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3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_rels/pivotTable6.xml.rels" ContentType="application/vnd.openxmlformats-package.relationships+xml"/>
  <Override PartName="/xl/pivotTables/_rels/pivotTable5.xml.rels" ContentType="application/vnd.openxmlformats-package.relationships+xml"/>
  <Override PartName="/xl/pivotTables/_rels/pivotTable4.xml.rels" ContentType="application/vnd.openxmlformats-package.relationships+xml"/>
  <Override PartName="/xl/pivotTables/_rels/pivotTable13.xml.rels" ContentType="application/vnd.openxmlformats-package.relationships+xml"/>
  <Override PartName="/xl/pivotTables/_rels/pivotTable12.xml.rels" ContentType="application/vnd.openxmlformats-package.relationships+xml"/>
  <Override PartName="/xl/pivotTables/_rels/pivotTable9.xml.rels" ContentType="application/vnd.openxmlformats-package.relationships+xml"/>
  <Override PartName="/xl/pivotTables/_rels/pivotTable16.xml.rels" ContentType="application/vnd.openxmlformats-package.relationships+xml"/>
  <Override PartName="/xl/pivotTables/_rels/pivotTable17.xml.rels" ContentType="application/vnd.openxmlformats-package.relationships+xml"/>
  <Override PartName="/xl/pivotTables/_rels/pivotTable15.xml.rels" ContentType="application/vnd.openxmlformats-package.relationships+xml"/>
  <Override PartName="/xl/pivotTables/_rels/pivotTable8.xml.rels" ContentType="application/vnd.openxmlformats-package.relationships+xml"/>
  <Override PartName="/xl/pivotTables/_rels/pivotTable11.xml.rels" ContentType="application/vnd.openxmlformats-package.relationships+xml"/>
  <Override PartName="/xl/pivotTables/_rels/pivotTable14.xml.rels" ContentType="application/vnd.openxmlformats-package.relationships+xml"/>
  <Override PartName="/xl/pivotTables/_rels/pivotTable10.xml.rels" ContentType="application/vnd.openxmlformats-package.relationships+xml"/>
  <Override PartName="/xl/pivotTables/_rels/pivotTable7.xml.rels" ContentType="application/vnd.openxmlformats-package.relationships+xml"/>
  <Override PartName="/xl/pivotTables/_rels/pivotTable1.xml.rels" ContentType="application/vnd.openxmlformats-package.relationships+xml"/>
  <Override PartName="/xl/pivotTables/_rels/pivotTable2.xml.rels" ContentType="application/vnd.openxmlformats-package.relationships+xml"/>
  <Override PartName="/xl/pivotTables/_rels/pivotTable3.xml.rels" ContentType="application/vnd.openxmlformats-package.relationships+xml"/>
  <Override PartName="/xl/pivotTables/pivotTable15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8.xml" ContentType="application/vnd.openxmlformats-officedocument.spreadsheetml.pivot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licers/slicer1.xml" ContentType="application/vnd.ms-excel.slicer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ablas_Dinamicas" sheetId="2" state="visible" r:id="rId4"/>
    <sheet name="Datos_Limpios" sheetId="3" state="visible" r:id="rId5"/>
    <sheet name="Datos_Origen" sheetId="4" state="visible" r:id="rId6"/>
    <sheet name="Control_Calidad" sheetId="5" state="visible" r:id="rId7"/>
    <sheet name="Parametros" sheetId="6" state="visible" r:id="rId8"/>
    <sheet name="Documentacion" sheetId="7" state="visible" r:id="rId9"/>
    <sheet name="Calculos" sheetId="8" state="hidden" r:id="rId10"/>
    <sheet name="Pivots_Aux" sheetId="9" state="hidden" r:id="rId11"/>
  </sheets>
  <definedNames>
    <definedName function="false" hidden="false" localSheetId="4" name="_xlnm.Print_Area" vbProcedure="false">Control_Calidad!$B$2:$F$43</definedName>
    <definedName function="false" hidden="false" localSheetId="0" name="_xlnm.Print_Area" vbProcedure="false">Dashboard!$A$1:$R$94</definedName>
    <definedName function="false" hidden="false" localSheetId="3" name="_xlnm.Print_Area" vbProcedure="false">Datos_Origen!$A$1:$K$2459</definedName>
    <definedName function="false" hidden="false" localSheetId="6" name="_xlnm.Print_Area" vbProcedure="false">Documentacion!$B$2:$D$59</definedName>
    <definedName function="false" hidden="false" localSheetId="5" name="_xlnm.Print_Area" vbProcedure="false">Parametros!$B$2:$M$109</definedName>
    <definedName function="false" hidden="false" localSheetId="1" name="_xlnm.Print_Area" vbProcedure="false">Tablas_Dinamicas!$B$2:$J$42</definedName>
    <definedName function="false" hidden="false" name="Lista_Anio" vbProcedure="false">Parametros!$M$5:$M$7</definedName>
    <definedName function="false" hidden="false" name="Lista_Categoria" vbProcedure="false">Parametros!$L$5:$L$8</definedName>
    <definedName function="false" hidden="false" name="Lista_Region" vbProcedure="false">Parametros!$K$5:$K$9</definedName>
  </definedNames>
  <calcPr calcId="171027" fullCalcOnLoad="1"/>
  <pivotCaches>
    <pivotCache cacheId="1" r:id="rId13"/>
  </pivotCaches>
  <extLst>
    <ext xmlns:loext="http://schemas.libreoffice.org/" uri="{7626C862-2A13-11E5-B345-FEFF819CDC9F}">
      <loext:extCalcPr stringRefSyntax="ExcelA1"/>
    </ext>
  </extLst>
  <extLst>
    <ext xmlns:x14="http://schemas.microsoft.com/office/spreadsheetml/2009/9/main" uri="{BBE1A952-AA13-448e-AADC-164F8A28A991}">
      <x14:slicerCaches>
        <x14:slicerCache xmlns:r="http://schemas.openxmlformats.org/officeDocument/2006/relationships" r:id="rId14"/>
        <x14:slicerCache xmlns:r="http://schemas.openxmlformats.org/officeDocument/2006/relationships" r:id="rId15"/>
        <x14:slicerCache xmlns:r="http://schemas.openxmlformats.org/officeDocument/2006/relationships" r:id="rId16"/>
        <x14:slicerCache xmlns:r="http://schemas.openxmlformats.org/officeDocument/2006/relationships" r:id="rId17"/>
      </x14:slicerCaches>
    </ext>
  </extLst>
</workbook>
</file>

<file path=xl/sharedStrings.xml><?xml version="1.0" encoding="utf-8"?>
<sst xmlns="http://schemas.openxmlformats.org/spreadsheetml/2006/main" count="14066" uniqueCount="1228">
  <si>
    <t xml:space="preserve">TechStore  |  Reporte ejecutivo de ventas y margen</t>
  </si>
  <si>
    <t xml:space="preserve">Actualizado: 06/08/2026   ·   Moneda: USD</t>
  </si>
  <si>
    <t xml:space="preserve">Ejercicios 2024-2025  ·  2.400 operaciones depuradas  ·  5 regiones  ·  2 canales</t>
  </si>
  <si>
    <t xml:space="preserve">VENTAS 2025</t>
  </si>
  <si>
    <t xml:space="preserve">MARGEN BRUTO</t>
  </si>
  <si>
    <t xml:space="preserve">CRECIMIENTO INTERANUAL</t>
  </si>
  <si>
    <t xml:space="preserve">COSTO LOGISTICO / VENTAS</t>
  </si>
  <si>
    <t xml:space="preserve">FILTROS  ·  cualquier seleccion recalcula a la vez las cuatro tarjetas y los cinco graficos</t>
  </si>
  <si>
    <t xml:space="preserve">1 · QUE PASO  ·  evolucion de las ventas y del margen</t>
  </si>
  <si>
    <t xml:space="preserve">2 · POR QUE  ·  de donde sale la caida del margen</t>
  </si>
  <si>
    <t xml:space="preserve">3 · DONDE ACTUAR  ·  que productos miran primero</t>
  </si>
  <si>
    <t xml:space="preserve">REPORTE EJECUTIVO  ·  cada linea dice primero el dato y despues que hacer con el</t>
  </si>
  <si>
    <t xml:space="preserve">Fuente: export del sistema transaccional depurado en este mismo libro (hojas Datos_Origen -&gt; Datos_Limpios -&gt; Control_Calidad). Metas y supuestos en la hoja Parametros. Dataset simulado con fines academicos. Elaborado por Lleyton Murphy · Coderhouse, Data Analyst · Practica Integradora Final.</t>
  </si>
  <si>
    <t xml:space="preserve">Tablas dinamicas del reporte</t>
  </si>
  <si>
    <t xml:space="preserve">Como leer esta hoja</t>
  </si>
  <si>
    <t xml:space="preserve">Las cuatro resumen la tabla de hechos depurada y comparten el mismo cache: los segmentadores del tablero las filtran a todas a la vez. Los graficos del dashboard leen exactamente estos numeros.</t>
  </si>
  <si>
    <t xml:space="preserve">Las cuatro tablas salen del mismo cache de datos, asi que los cuatro segmentadores del tablero (Trimestre, Categoria, Region y Canal) las filtran simultaneamente.</t>
  </si>
  <si>
    <t xml:space="preserve">1 · Ventas, margen y unidades por REGION</t>
  </si>
  <si>
    <t xml:space="preserve">2 · Ventas, margen y unidades por CATEGORIA</t>
  </si>
  <si>
    <t xml:space="preserve">Data</t>
  </si>
  <si>
    <t xml:space="preserve">Region</t>
  </si>
  <si>
    <t xml:space="preserve">Ventas</t>
  </si>
  <si>
    <t xml:space="preserve">Margen</t>
  </si>
  <si>
    <t xml:space="preserve">Unidades</t>
  </si>
  <si>
    <t xml:space="preserve">Categoria</t>
  </si>
  <si>
    <t xml:space="preserve">AMBA</t>
  </si>
  <si>
    <t xml:space="preserve">Computacion</t>
  </si>
  <si>
    <t xml:space="preserve">Centro</t>
  </si>
  <si>
    <t xml:space="preserve">Accesorios</t>
  </si>
  <si>
    <t xml:space="preserve">La tabla 4 resume una columna que no existe en el origen: Segmento_Rentabilidad se calcula con SI/Y/O en Datos_Limpios contra los umbrales de Parametros.</t>
  </si>
  <si>
    <t xml:space="preserve">Litoral</t>
  </si>
  <si>
    <t xml:space="preserve">Audio</t>
  </si>
  <si>
    <t xml:space="preserve">Cuyo</t>
  </si>
  <si>
    <t xml:space="preserve">Almacenamiento</t>
  </si>
  <si>
    <t xml:space="preserve">NOA</t>
  </si>
  <si>
    <t xml:space="preserve">Total Result</t>
  </si>
  <si>
    <t xml:space="preserve">Si los numeros no se mueven al abrir el archivo: Datos &gt; Actualizar todo. El libro pide el refresco al abrir, pero algunos visores de terceros no ejecutan tablas dinamicas.</t>
  </si>
  <si>
    <t xml:space="preserve">3 · Ventas, margen y unidades por PRODUCTO</t>
  </si>
  <si>
    <t xml:space="preserve">4 · Ventas y unidades por SEGMENTO DE RENTABILIDAD (columna calculada con SI/Y/O)</t>
  </si>
  <si>
    <t xml:space="preserve">Producto</t>
  </si>
  <si>
    <t xml:space="preserve">Segmento_Rentabilidad</t>
  </si>
  <si>
    <t xml:space="preserve">Laptop Pro 15</t>
  </si>
  <si>
    <t xml:space="preserve">Alta rentabilidad</t>
  </si>
  <si>
    <t xml:space="preserve">Monitor 4K 27</t>
  </si>
  <si>
    <t xml:space="preserve">Estandar</t>
  </si>
  <si>
    <t xml:space="preserve">PC Gamer Ryzen</t>
  </si>
  <si>
    <t xml:space="preserve">Revisar</t>
  </si>
  <si>
    <t xml:space="preserve">Mouse Inalambrico</t>
  </si>
  <si>
    <t xml:space="preserve">Teclado Mecanico</t>
  </si>
  <si>
    <t xml:space="preserve">Webcam Full HD</t>
  </si>
  <si>
    <t xml:space="preserve">Auriculares BT Pro</t>
  </si>
  <si>
    <t xml:space="preserve">Parlante Bluetooth</t>
  </si>
  <si>
    <t xml:space="preserve">SSD Externo 1TB</t>
  </si>
  <si>
    <t xml:space="preserve">Pendrive 256GB</t>
  </si>
  <si>
    <t xml:space="preserve">CONSULTA PUNTUAL  ·  elegi los valores en las listas desplegables</t>
  </si>
  <si>
    <t xml:space="preserve">Complementa a las tablas dinamicas: responde una pregunta concreta sin tocar los filtros del tablero. Las tres celdas azules son listas de validacion; el resto son formulas SUMAR.SI.CONJUNTO sobre Datos_Limpios.</t>
  </si>
  <si>
    <t xml:space="preserve">Margen bruto</t>
  </si>
  <si>
    <t xml:space="preserve">Anio</t>
  </si>
  <si>
    <t xml:space="preserve">Todos</t>
  </si>
  <si>
    <t xml:space="preserve">Margen bruto %</t>
  </si>
  <si>
    <t xml:space="preserve">Operaciones</t>
  </si>
  <si>
    <t xml:space="preserve">Nota: la opcion "Todos" del anio se resuelve con un criterio dinamico ("&gt;0") en la celda tecnica F35, para que una misma formula sirva para un anio puntual y para el total.</t>
  </si>
  <si>
    <t xml:space="preserve">ID_Venta</t>
  </si>
  <si>
    <t xml:space="preserve">Fecha</t>
  </si>
  <si>
    <t xml:space="preserve">Trimestre</t>
  </si>
  <si>
    <t xml:space="preserve">Mes_Num</t>
  </si>
  <si>
    <t xml:space="preserve">Mes</t>
  </si>
  <si>
    <t xml:space="preserve">Periodo</t>
  </si>
  <si>
    <t xml:space="preserve">Ciudad</t>
  </si>
  <si>
    <t xml:space="preserve">Canal</t>
  </si>
  <si>
    <t xml:space="preserve">Cat_Anio</t>
  </si>
  <si>
    <t xml:space="preserve">Prod_Anio</t>
  </si>
  <si>
    <t xml:space="preserve">Precio_Unitario</t>
  </si>
  <si>
    <t xml:space="preserve">Costo_Unitario</t>
  </si>
  <si>
    <t xml:space="preserve">Costo_Producto</t>
  </si>
  <si>
    <t xml:space="preserve">Costo_Logistico</t>
  </si>
  <si>
    <t xml:space="preserve">Margen_Bruto</t>
  </si>
  <si>
    <t xml:space="preserve">Margen_Pct</t>
  </si>
  <si>
    <t xml:space="preserve">Alerta_Logistica</t>
  </si>
  <si>
    <t xml:space="preserve">Ticket</t>
  </si>
  <si>
    <t xml:space="preserve">Pos_Origen</t>
  </si>
  <si>
    <t xml:space="preserve">Control_ETL</t>
  </si>
  <si>
    <t xml:space="preserve">Fecha_Origen</t>
  </si>
  <si>
    <t xml:space="preserve">Unidades_Origen</t>
  </si>
  <si>
    <t xml:space="preserve">Ciudad_Origen</t>
  </si>
  <si>
    <t xml:space="preserve">Ventas_Origen</t>
  </si>
  <si>
    <t xml:space="preserve">Cordoba</t>
  </si>
  <si>
    <t xml:space="preserve">e-commerce</t>
  </si>
  <si>
    <t xml:space="preserve">computación</t>
  </si>
  <si>
    <t xml:space="preserve">Monitor 4K 27 </t>
  </si>
  <si>
    <t xml:space="preserve">EXPORT CRUDO  ·  NO EDITAR  ·  entrada del proceso</t>
  </si>
  <si>
    <t xml:space="preserve"> Centro</t>
  </si>
  <si>
    <t xml:space="preserve">Tienda fisica</t>
  </si>
  <si>
    <t xml:space="preserve"> Almacenamiento </t>
  </si>
  <si>
    <t xml:space="preserve"> Pendrive 256GB</t>
  </si>
  <si>
    <t xml:space="preserve">03/01/2024</t>
  </si>
  <si>
    <t xml:space="preserve">A.M.B.A.</t>
  </si>
  <si>
    <t xml:space="preserve">Buenos Aires</t>
  </si>
  <si>
    <t xml:space="preserve">E-COMMERCE</t>
  </si>
  <si>
    <t xml:space="preserve"> accesorios</t>
  </si>
  <si>
    <t xml:space="preserve">Que es esta hoja</t>
  </si>
  <si>
    <t xml:space="preserve">TIENDA FISICA</t>
  </si>
  <si>
    <t xml:space="preserve">Accesorios </t>
  </si>
  <si>
    <t xml:space="preserve"> Mouse Inalambrico</t>
  </si>
  <si>
    <t xml:space="preserve">95</t>
  </si>
  <si>
    <t xml:space="preserve">El archivo tal como lo entrega el sistema transaccional. Se deja intacto a proposito: es la evidencia de que la limpieza se hizo y permite rehacerla si cambia una regla.</t>
  </si>
  <si>
    <t xml:space="preserve">21/09/2024</t>
  </si>
  <si>
    <t xml:space="preserve"> E-commerce </t>
  </si>
  <si>
    <t xml:space="preserve">LITORAL</t>
  </si>
  <si>
    <t xml:space="preserve">Rosario</t>
  </si>
  <si>
    <t xml:space="preserve">tienda fisica</t>
  </si>
  <si>
    <t xml:space="preserve"> Parlante Bluetooth</t>
  </si>
  <si>
    <t xml:space="preserve">Tucuman</t>
  </si>
  <si>
    <t xml:space="preserve">Mouse Inalambrico </t>
  </si>
  <si>
    <t xml:space="preserve">Las celdas ambar</t>
  </si>
  <si>
    <t xml:space="preserve">AUDIO</t>
  </si>
  <si>
    <t xml:space="preserve">Parlante Bluetooth </t>
  </si>
  <si>
    <t xml:space="preserve">Estan resaltadas por formato condicional. Marcan los cuatro defectos: ID repetido, fecha cargada como texto, unidades cargadas como texto y ciudad vacia.</t>
  </si>
  <si>
    <t xml:space="preserve">Litoral </t>
  </si>
  <si>
    <t xml:space="preserve">Ecommerce</t>
  </si>
  <si>
    <t xml:space="preserve">CENTRO</t>
  </si>
  <si>
    <t xml:space="preserve">Tienda Fisica</t>
  </si>
  <si>
    <t xml:space="preserve">9</t>
  </si>
  <si>
    <t xml:space="preserve">14/09/2024</t>
  </si>
  <si>
    <t xml:space="preserve"> AMBA </t>
  </si>
  <si>
    <t xml:space="preserve">E-commerce</t>
  </si>
  <si>
    <t xml:space="preserve">09/11/2024</t>
  </si>
  <si>
    <t xml:space="preserve"> SSD Externo 1TB</t>
  </si>
  <si>
    <t xml:space="preserve">Los textos sin estandarizar</t>
  </si>
  <si>
    <t xml:space="preserve">2025-06-15</t>
  </si>
  <si>
    <t xml:space="preserve">SSD Externo 1TB </t>
  </si>
  <si>
    <t xml:space="preserve">Region, Canal y Categoria llegan con mayusculas, minusculas, acentos y espacios mezclados. El diccionario de la hoja Parametros los unifica.</t>
  </si>
  <si>
    <t xml:space="preserve">16/02/2025</t>
  </si>
  <si>
    <t xml:space="preserve">Noa</t>
  </si>
  <si>
    <t xml:space="preserve">Tienda física</t>
  </si>
  <si>
    <t xml:space="preserve">Computación</t>
  </si>
  <si>
    <t xml:space="preserve"> Cuyo </t>
  </si>
  <si>
    <t xml:space="preserve">Mendoza</t>
  </si>
  <si>
    <t xml:space="preserve"> Tienda fisica </t>
  </si>
  <si>
    <t xml:space="preserve">COMPUTACION</t>
  </si>
  <si>
    <t xml:space="preserve">2024-03-12</t>
  </si>
  <si>
    <t xml:space="preserve">PC Gamer Ryzen </t>
  </si>
  <si>
    <t xml:space="preserve">noa</t>
  </si>
  <si>
    <t xml:space="preserve">ACCESORIOS</t>
  </si>
  <si>
    <t xml:space="preserve"> Webcam Full HD</t>
  </si>
  <si>
    <t xml:space="preserve">Que pasa despues</t>
  </si>
  <si>
    <t xml:space="preserve">22/11/2024</t>
  </si>
  <si>
    <t xml:space="preserve"> Computacion </t>
  </si>
  <si>
    <t xml:space="preserve">8</t>
  </si>
  <si>
    <t xml:space="preserve">La hoja Datos_Limpios reconstruye cada fila con formulas y la hoja Control_Calidad verifica que no quede ningun defecto.</t>
  </si>
  <si>
    <t xml:space="preserve">amba</t>
  </si>
  <si>
    <t xml:space="preserve">Laptop Pro 15 </t>
  </si>
  <si>
    <t xml:space="preserve">litoral</t>
  </si>
  <si>
    <t xml:space="preserve">computacion</t>
  </si>
  <si>
    <t xml:space="preserve"> Laptop Pro 15</t>
  </si>
  <si>
    <t xml:space="preserve">accesorios</t>
  </si>
  <si>
    <t xml:space="preserve">Auriculares BT Pro </t>
  </si>
  <si>
    <t xml:space="preserve"> PC Gamer Ryzen</t>
  </si>
  <si>
    <t xml:space="preserve">04/07/2025</t>
  </si>
  <si>
    <t xml:space="preserve">centro</t>
  </si>
  <si>
    <t xml:space="preserve">12/02/2025</t>
  </si>
  <si>
    <t xml:space="preserve"> NOA</t>
  </si>
  <si>
    <t xml:space="preserve">audio</t>
  </si>
  <si>
    <t xml:space="preserve">27/01/2024</t>
  </si>
  <si>
    <t xml:space="preserve">06/09/2024</t>
  </si>
  <si>
    <t xml:space="preserve">13/05/2025</t>
  </si>
  <si>
    <t xml:space="preserve"> Audio</t>
  </si>
  <si>
    <t xml:space="preserve">16/09/2024</t>
  </si>
  <si>
    <t xml:space="preserve">ALMACENAMIENTO</t>
  </si>
  <si>
    <t xml:space="preserve">2024-02-09</t>
  </si>
  <si>
    <t xml:space="preserve">Amba</t>
  </si>
  <si>
    <t xml:space="preserve"> Auriculares BT Pro</t>
  </si>
  <si>
    <t xml:space="preserve"> Teclado Mecanico</t>
  </si>
  <si>
    <t xml:space="preserve">2025-08-23</t>
  </si>
  <si>
    <t xml:space="preserve">21/06/2024</t>
  </si>
  <si>
    <t xml:space="preserve">15</t>
  </si>
  <si>
    <t xml:space="preserve">25/02/2024</t>
  </si>
  <si>
    <t xml:space="preserve"> Monitor 4K 27</t>
  </si>
  <si>
    <t xml:space="preserve">15/04/2024</t>
  </si>
  <si>
    <t xml:space="preserve">10/05/2024</t>
  </si>
  <si>
    <t xml:space="preserve">E commerce</t>
  </si>
  <si>
    <t xml:space="preserve">08/09/2024</t>
  </si>
  <si>
    <t xml:space="preserve">Almacenamiento </t>
  </si>
  <si>
    <t xml:space="preserve">almacenamiento</t>
  </si>
  <si>
    <t xml:space="preserve">CUYO</t>
  </si>
  <si>
    <t xml:space="preserve">03/07/2025</t>
  </si>
  <si>
    <t xml:space="preserve">07/01/2025</t>
  </si>
  <si>
    <t xml:space="preserve">2024-01-03</t>
  </si>
  <si>
    <t xml:space="preserve">2024-09-25</t>
  </si>
  <si>
    <t xml:space="preserve">04/08/2024</t>
  </si>
  <si>
    <t xml:space="preserve">2025-10-13</t>
  </si>
  <si>
    <t xml:space="preserve">03/05/2025</t>
  </si>
  <si>
    <t xml:space="preserve">04/12/2024</t>
  </si>
  <si>
    <t xml:space="preserve">cuyo</t>
  </si>
  <si>
    <t xml:space="preserve">21/10/2024</t>
  </si>
  <si>
    <t xml:space="preserve">02/12/2025</t>
  </si>
  <si>
    <t xml:space="preserve">25/11/2024</t>
  </si>
  <si>
    <t xml:space="preserve">07/06/2024</t>
  </si>
  <si>
    <t xml:space="preserve">25/04/2024</t>
  </si>
  <si>
    <t xml:space="preserve">10/05/2025</t>
  </si>
  <si>
    <t xml:space="preserve">24/04/2024</t>
  </si>
  <si>
    <t xml:space="preserve">16</t>
  </si>
  <si>
    <t xml:space="preserve">2025-01-14</t>
  </si>
  <si>
    <t xml:space="preserve">04/10/2024</t>
  </si>
  <si>
    <t xml:space="preserve">27/04/2025</t>
  </si>
  <si>
    <t xml:space="preserve">21</t>
  </si>
  <si>
    <t xml:space="preserve">12/04/2025</t>
  </si>
  <si>
    <t xml:space="preserve">26</t>
  </si>
  <si>
    <t xml:space="preserve">Webcam Full HD </t>
  </si>
  <si>
    <t xml:space="preserve">2025-05-01</t>
  </si>
  <si>
    <t xml:space="preserve">23/02/2024</t>
  </si>
  <si>
    <t xml:space="preserve">18</t>
  </si>
  <si>
    <t xml:space="preserve">10/02/2025</t>
  </si>
  <si>
    <t xml:space="preserve">17</t>
  </si>
  <si>
    <t xml:space="preserve">2024-07-10</t>
  </si>
  <si>
    <t xml:space="preserve">31</t>
  </si>
  <si>
    <t xml:space="preserve">23/05/2024</t>
  </si>
  <si>
    <t xml:space="preserve">Pendrive 256GB </t>
  </si>
  <si>
    <t xml:space="preserve">28</t>
  </si>
  <si>
    <t xml:space="preserve">12/07/2024</t>
  </si>
  <si>
    <t xml:space="preserve">04/06/2025</t>
  </si>
  <si>
    <t xml:space="preserve">23</t>
  </si>
  <si>
    <t xml:space="preserve">6</t>
  </si>
  <si>
    <t xml:space="preserve">2025-01-20</t>
  </si>
  <si>
    <t xml:space="preserve">15/09/2025</t>
  </si>
  <si>
    <t xml:space="preserve">13/04/2025</t>
  </si>
  <si>
    <t xml:space="preserve">07/09/2024</t>
  </si>
  <si>
    <t xml:space="preserve">11/06/2025</t>
  </si>
  <si>
    <t xml:space="preserve">14/03/2025</t>
  </si>
  <si>
    <t xml:space="preserve">7</t>
  </si>
  <si>
    <t xml:space="preserve">2025-02-07</t>
  </si>
  <si>
    <t xml:space="preserve">2025-07-26</t>
  </si>
  <si>
    <t xml:space="preserve">16/08/2024</t>
  </si>
  <si>
    <t xml:space="preserve">10/09/2025</t>
  </si>
  <si>
    <t xml:space="preserve">02/08/2024</t>
  </si>
  <si>
    <t xml:space="preserve">Teclado Mecanico </t>
  </si>
  <si>
    <t xml:space="preserve">24/09/2024</t>
  </si>
  <si>
    <t xml:space="preserve">24/11/2024</t>
  </si>
  <si>
    <t xml:space="preserve">46</t>
  </si>
  <si>
    <t xml:space="preserve">2025-11-11</t>
  </si>
  <si>
    <t xml:space="preserve">01/07/2025</t>
  </si>
  <si>
    <t xml:space="preserve">09/12/2024</t>
  </si>
  <si>
    <t xml:space="preserve">20/06/2024</t>
  </si>
  <si>
    <t xml:space="preserve">18/05/2025</t>
  </si>
  <si>
    <t xml:space="preserve">17/06/2024</t>
  </si>
  <si>
    <t xml:space="preserve">21/11/2024</t>
  </si>
  <si>
    <t xml:space="preserve">14/04/2025</t>
  </si>
  <si>
    <t xml:space="preserve">2024-08-06</t>
  </si>
  <si>
    <t xml:space="preserve">2024-10-19</t>
  </si>
  <si>
    <t xml:space="preserve">18/06/2025</t>
  </si>
  <si>
    <t xml:space="preserve">2024-10-18</t>
  </si>
  <si>
    <t xml:space="preserve">24</t>
  </si>
  <si>
    <t xml:space="preserve">03/11/2025</t>
  </si>
  <si>
    <t xml:space="preserve">27/11/2024</t>
  </si>
  <si>
    <t xml:space="preserve">20</t>
  </si>
  <si>
    <t xml:space="preserve">26/06/2024</t>
  </si>
  <si>
    <t xml:space="preserve">2024-04-15</t>
  </si>
  <si>
    <t xml:space="preserve">2024-11-01</t>
  </si>
  <si>
    <t xml:space="preserve">2025-10-20</t>
  </si>
  <si>
    <t xml:space="preserve">22/12/2025</t>
  </si>
  <si>
    <t xml:space="preserve">14</t>
  </si>
  <si>
    <t xml:space="preserve">2025-03-26</t>
  </si>
  <si>
    <t xml:space="preserve">2025-12-08</t>
  </si>
  <si>
    <t xml:space="preserve">14/06/2025</t>
  </si>
  <si>
    <t xml:space="preserve">26/09/2025</t>
  </si>
  <si>
    <t xml:space="preserve">21/04/2025</t>
  </si>
  <si>
    <t xml:space="preserve">05/05/2025</t>
  </si>
  <si>
    <t xml:space="preserve">2024-11-08</t>
  </si>
  <si>
    <t xml:space="preserve">18/02/2025</t>
  </si>
  <si>
    <t xml:space="preserve">24/11/2025</t>
  </si>
  <si>
    <t xml:space="preserve">21/05/2024</t>
  </si>
  <si>
    <t xml:space="preserve">25/07/2025</t>
  </si>
  <si>
    <t xml:space="preserve">03/06/2024</t>
  </si>
  <si>
    <t xml:space="preserve">2024-12-05</t>
  </si>
  <si>
    <t xml:space="preserve">2025-02-14</t>
  </si>
  <si>
    <t xml:space="preserve">15/09/2024</t>
  </si>
  <si>
    <t xml:space="preserve">20/09/2025</t>
  </si>
  <si>
    <t xml:space="preserve">2024-07-21</t>
  </si>
  <si>
    <t xml:space="preserve">03/10/2024</t>
  </si>
  <si>
    <t xml:space="preserve">21/08/2025</t>
  </si>
  <si>
    <t xml:space="preserve">03/11/2024</t>
  </si>
  <si>
    <t xml:space="preserve">17/09/2024</t>
  </si>
  <si>
    <t xml:space="preserve">08/04/2025</t>
  </si>
  <si>
    <t xml:space="preserve">24/07/2025</t>
  </si>
  <si>
    <t xml:space="preserve">19</t>
  </si>
  <si>
    <t xml:space="preserve">14/03/2024</t>
  </si>
  <si>
    <t xml:space="preserve">2025-11-16</t>
  </si>
  <si>
    <t xml:space="preserve">2025-12-18</t>
  </si>
  <si>
    <t xml:space="preserve">05/07/2025</t>
  </si>
  <si>
    <t xml:space="preserve">12/04/2024</t>
  </si>
  <si>
    <t xml:space="preserve">2024-01-24</t>
  </si>
  <si>
    <t xml:space="preserve">23/07/2024</t>
  </si>
  <si>
    <t xml:space="preserve">01/03/2024</t>
  </si>
  <si>
    <t xml:space="preserve">48</t>
  </si>
  <si>
    <t xml:space="preserve">2025-09-05</t>
  </si>
  <si>
    <t xml:space="preserve">12/05/2025</t>
  </si>
  <si>
    <t xml:space="preserve">34</t>
  </si>
  <si>
    <t xml:space="preserve">2024-02-23</t>
  </si>
  <si>
    <t xml:space="preserve">04/05/2024</t>
  </si>
  <si>
    <t xml:space="preserve">10</t>
  </si>
  <si>
    <t xml:space="preserve">13/10/2024</t>
  </si>
  <si>
    <t xml:space="preserve">33</t>
  </si>
  <si>
    <t xml:space="preserve">16/07/2025</t>
  </si>
  <si>
    <t xml:space="preserve">2024-09-18</t>
  </si>
  <si>
    <t xml:space="preserve">2025-02-20</t>
  </si>
  <si>
    <t xml:space="preserve">11/07/2024</t>
  </si>
  <si>
    <t xml:space="preserve">2025-04-16</t>
  </si>
  <si>
    <t xml:space="preserve">05/04/2025</t>
  </si>
  <si>
    <t xml:space="preserve">05/08/2025</t>
  </si>
  <si>
    <t xml:space="preserve">2025-06-09</t>
  </si>
  <si>
    <t xml:space="preserve">07/09/2025</t>
  </si>
  <si>
    <t xml:space="preserve">27/03/2024</t>
  </si>
  <si>
    <t xml:space="preserve">09/12/2025</t>
  </si>
  <si>
    <t xml:space="preserve">21/04/2024</t>
  </si>
  <si>
    <t xml:space="preserve">2024-06-23</t>
  </si>
  <si>
    <t xml:space="preserve">2024-08-12</t>
  </si>
  <si>
    <t xml:space="preserve">19/11/2024</t>
  </si>
  <si>
    <t xml:space="preserve">68</t>
  </si>
  <si>
    <t xml:space="preserve">2025-11-02</t>
  </si>
  <si>
    <t xml:space="preserve">04/09/2025</t>
  </si>
  <si>
    <t xml:space="preserve">27/06/2024</t>
  </si>
  <si>
    <t xml:space="preserve">26/07/2025</t>
  </si>
  <si>
    <t xml:space="preserve">27</t>
  </si>
  <si>
    <t xml:space="preserve">23/01/2025</t>
  </si>
  <si>
    <t xml:space="preserve">08/03/2025</t>
  </si>
  <si>
    <t xml:space="preserve">39</t>
  </si>
  <si>
    <t xml:space="preserve">2025-06-02</t>
  </si>
  <si>
    <t xml:space="preserve">25/08/2024</t>
  </si>
  <si>
    <t xml:space="preserve">12</t>
  </si>
  <si>
    <t xml:space="preserve">04/03/2025</t>
  </si>
  <si>
    <t xml:space="preserve">2024-03-11</t>
  </si>
  <si>
    <t xml:space="preserve">2024-10-14</t>
  </si>
  <si>
    <t xml:space="preserve">16/11/2024</t>
  </si>
  <si>
    <t xml:space="preserve">25/09/2025</t>
  </si>
  <si>
    <t xml:space="preserve">20/08/2024</t>
  </si>
  <si>
    <t xml:space="preserve">21/10/2025</t>
  </si>
  <si>
    <t xml:space="preserve">2025-12-12</t>
  </si>
  <si>
    <t xml:space="preserve">02/01/2024</t>
  </si>
  <si>
    <t xml:space="preserve">08/01/2025</t>
  </si>
  <si>
    <t xml:space="preserve">2025-07-16</t>
  </si>
  <si>
    <t xml:space="preserve">2025-05-07</t>
  </si>
  <si>
    <t xml:space="preserve">27/02/2025</t>
  </si>
  <si>
    <t xml:space="preserve">26/10/2025</t>
  </si>
  <si>
    <t xml:space="preserve">2024-11-18</t>
  </si>
  <si>
    <t xml:space="preserve">2024-08-03</t>
  </si>
  <si>
    <t xml:space="preserve">29</t>
  </si>
  <si>
    <t xml:space="preserve">07/04/2024</t>
  </si>
  <si>
    <t xml:space="preserve">2024-07-07</t>
  </si>
  <si>
    <t xml:space="preserve">19/11/2025</t>
  </si>
  <si>
    <t xml:space="preserve">78</t>
  </si>
  <si>
    <t xml:space="preserve">22</t>
  </si>
  <si>
    <t xml:space="preserve">08/08/2024</t>
  </si>
  <si>
    <t xml:space="preserve">01/09/2024</t>
  </si>
  <si>
    <t xml:space="preserve">21/01/2024</t>
  </si>
  <si>
    <t xml:space="preserve">25/03/2025</t>
  </si>
  <si>
    <t xml:space="preserve">56</t>
  </si>
  <si>
    <t xml:space="preserve">09/03/2024</t>
  </si>
  <si>
    <t xml:space="preserve">03/12/2025</t>
  </si>
  <si>
    <t xml:space="preserve">02/04/2025</t>
  </si>
  <si>
    <t xml:space="preserve">07/06/2025</t>
  </si>
  <si>
    <t xml:space="preserve">2025-07-27</t>
  </si>
  <si>
    <t xml:space="preserve">22/06/2024</t>
  </si>
  <si>
    <t xml:space="preserve">18/10/2025</t>
  </si>
  <si>
    <t xml:space="preserve">41</t>
  </si>
  <si>
    <t xml:space="preserve">2025-01-06</t>
  </si>
  <si>
    <t xml:space="preserve">2024-04-11</t>
  </si>
  <si>
    <t xml:space="preserve">2024-05-20</t>
  </si>
  <si>
    <t xml:space="preserve">24/02/2025</t>
  </si>
  <si>
    <t xml:space="preserve">2025-06-14</t>
  </si>
  <si>
    <t xml:space="preserve">2024-03-20</t>
  </si>
  <si>
    <t xml:space="preserve">13</t>
  </si>
  <si>
    <t xml:space="preserve">16/09/2025</t>
  </si>
  <si>
    <t xml:space="preserve">11</t>
  </si>
  <si>
    <t xml:space="preserve">25/11/2025</t>
  </si>
  <si>
    <t xml:space="preserve">18/01/2024</t>
  </si>
  <si>
    <t xml:space="preserve">11/03/2025</t>
  </si>
  <si>
    <t xml:space="preserve">2025-03-25</t>
  </si>
  <si>
    <t xml:space="preserve">26/06/2025</t>
  </si>
  <si>
    <t xml:space="preserve">47</t>
  </si>
  <si>
    <t xml:space="preserve">17/07/2024</t>
  </si>
  <si>
    <t xml:space="preserve">58</t>
  </si>
  <si>
    <t xml:space="preserve">22/10/2025</t>
  </si>
  <si>
    <t xml:space="preserve">03/04/2024</t>
  </si>
  <si>
    <t xml:space="preserve">2025-03-04</t>
  </si>
  <si>
    <t xml:space="preserve">114</t>
  </si>
  <si>
    <t xml:space="preserve">2024-03-26</t>
  </si>
  <si>
    <t xml:space="preserve">09/08/2024</t>
  </si>
  <si>
    <t xml:space="preserve">2024-04-14</t>
  </si>
  <si>
    <t xml:space="preserve">10/08/2024</t>
  </si>
  <si>
    <t xml:space="preserve">07/01/2024</t>
  </si>
  <si>
    <t xml:space="preserve">22/07/2025</t>
  </si>
  <si>
    <t xml:space="preserve">22/05/2025</t>
  </si>
  <si>
    <t xml:space="preserve">2025-01-07</t>
  </si>
  <si>
    <t xml:space="preserve">17/02/2024</t>
  </si>
  <si>
    <t xml:space="preserve">2024-09-20</t>
  </si>
  <si>
    <t xml:space="preserve">2025-02-21</t>
  </si>
  <si>
    <t xml:space="preserve">2024-09-22</t>
  </si>
  <si>
    <t xml:space="preserve">2024-05-09</t>
  </si>
  <si>
    <t xml:space="preserve">2024-10-08</t>
  </si>
  <si>
    <t xml:space="preserve">15/02/2025</t>
  </si>
  <si>
    <t xml:space="preserve">11/09/2025</t>
  </si>
  <si>
    <t xml:space="preserve">14/02/2025</t>
  </si>
  <si>
    <t xml:space="preserve">23/01/2024</t>
  </si>
  <si>
    <t xml:space="preserve">2025-05-09</t>
  </si>
  <si>
    <t xml:space="preserve">2024-12-16</t>
  </si>
  <si>
    <t xml:space="preserve">2025-06-12</t>
  </si>
  <si>
    <t xml:space="preserve">05/06/2024</t>
  </si>
  <si>
    <t xml:space="preserve">2024-06-13</t>
  </si>
  <si>
    <t xml:space="preserve">13/02/2024</t>
  </si>
  <si>
    <t xml:space="preserve">45</t>
  </si>
  <si>
    <t xml:space="preserve">27/11/2025</t>
  </si>
  <si>
    <t xml:space="preserve">24/09/2025</t>
  </si>
  <si>
    <t xml:space="preserve">2024-09-15</t>
  </si>
  <si>
    <t xml:space="preserve">02/12/2024</t>
  </si>
  <si>
    <t xml:space="preserve">2025-07-08</t>
  </si>
  <si>
    <t xml:space="preserve">2024-06-09</t>
  </si>
  <si>
    <t xml:space="preserve">08/10/2024</t>
  </si>
  <si>
    <t xml:space="preserve">66</t>
  </si>
  <si>
    <t xml:space="preserve">2024-06-21</t>
  </si>
  <si>
    <t xml:space="preserve">2024-09-26</t>
  </si>
  <si>
    <t xml:space="preserve">55</t>
  </si>
  <si>
    <t xml:space="preserve">2024-07-19</t>
  </si>
  <si>
    <t xml:space="preserve">26/03/2025</t>
  </si>
  <si>
    <t xml:space="preserve">35</t>
  </si>
  <si>
    <t xml:space="preserve">14/08/2024</t>
  </si>
  <si>
    <t xml:space="preserve">2024-06-11</t>
  </si>
  <si>
    <t xml:space="preserve">20/12/2024</t>
  </si>
  <si>
    <t xml:space="preserve">2024-11-20</t>
  </si>
  <si>
    <t xml:space="preserve">2024-09-14</t>
  </si>
  <si>
    <t xml:space="preserve">2025-08-11</t>
  </si>
  <si>
    <t xml:space="preserve">24/10/2025</t>
  </si>
  <si>
    <t xml:space="preserve">36</t>
  </si>
  <si>
    <t xml:space="preserve">2025-05-14</t>
  </si>
  <si>
    <t xml:space="preserve">2025-08-06</t>
  </si>
  <si>
    <t xml:space="preserve">2024-10-24</t>
  </si>
  <si>
    <t xml:space="preserve">05/06/2025</t>
  </si>
  <si>
    <t xml:space="preserve">01/12/2025</t>
  </si>
  <si>
    <t xml:space="preserve">06/05/2024</t>
  </si>
  <si>
    <t xml:space="preserve">15/01/2025</t>
  </si>
  <si>
    <t xml:space="preserve">27/09/2024</t>
  </si>
  <si>
    <t xml:space="preserve">2024-07-26</t>
  </si>
  <si>
    <t xml:space="preserve">38</t>
  </si>
  <si>
    <t xml:space="preserve">01/06/2025</t>
  </si>
  <si>
    <t xml:space="preserve">2024-11-04</t>
  </si>
  <si>
    <t xml:space="preserve">26/11/2024</t>
  </si>
  <si>
    <t xml:space="preserve">11/08/2024</t>
  </si>
  <si>
    <t xml:space="preserve">2024-03-14</t>
  </si>
  <si>
    <t xml:space="preserve">16/10/2025</t>
  </si>
  <si>
    <t xml:space="preserve">11/09/2024</t>
  </si>
  <si>
    <t xml:space="preserve">2025-04-25</t>
  </si>
  <si>
    <t xml:space="preserve">09/09/2024</t>
  </si>
  <si>
    <t xml:space="preserve">23/11/2025</t>
  </si>
  <si>
    <t xml:space="preserve">2025-01-11</t>
  </si>
  <si>
    <t xml:space="preserve">04/01/2025</t>
  </si>
  <si>
    <t xml:space="preserve">15/12/2024</t>
  </si>
  <si>
    <t xml:space="preserve">06/02/2024</t>
  </si>
  <si>
    <t xml:space="preserve">04/12/2025</t>
  </si>
  <si>
    <t xml:space="preserve">08/02/2025</t>
  </si>
  <si>
    <t xml:space="preserve">2024-08-17</t>
  </si>
  <si>
    <t xml:space="preserve">16/06/2024</t>
  </si>
  <si>
    <t xml:space="preserve">2025-09-07</t>
  </si>
  <si>
    <t xml:space="preserve">09/04/2025</t>
  </si>
  <si>
    <t xml:space="preserve">87</t>
  </si>
  <si>
    <t xml:space="preserve">2025-12-03</t>
  </si>
  <si>
    <t xml:space="preserve">20/04/2024</t>
  </si>
  <si>
    <t xml:space="preserve">06/04/2025</t>
  </si>
  <si>
    <t xml:space="preserve">23/11/2024</t>
  </si>
  <si>
    <t xml:space="preserve">2025-09-22</t>
  </si>
  <si>
    <t xml:space="preserve">23/08/2024</t>
  </si>
  <si>
    <t xml:space="preserve">2025-05-02</t>
  </si>
  <si>
    <t xml:space="preserve">12/09/2025</t>
  </si>
  <si>
    <t xml:space="preserve">14/12/2025</t>
  </si>
  <si>
    <t xml:space="preserve">08/11/2024</t>
  </si>
  <si>
    <t xml:space="preserve">25/10/2025</t>
  </si>
  <si>
    <t xml:space="preserve">2025-11-07</t>
  </si>
  <si>
    <t xml:space="preserve">02/03/2024</t>
  </si>
  <si>
    <t xml:space="preserve">15/07/2024</t>
  </si>
  <si>
    <t xml:space="preserve">15/03/2024</t>
  </si>
  <si>
    <t xml:space="preserve">2025-09-11</t>
  </si>
  <si>
    <t xml:space="preserve">27/07/2024</t>
  </si>
  <si>
    <t xml:space="preserve">15/12/2025</t>
  </si>
  <si>
    <t xml:space="preserve">2025-09-19</t>
  </si>
  <si>
    <t xml:space="preserve">19/01/2025</t>
  </si>
  <si>
    <t xml:space="preserve">30</t>
  </si>
  <si>
    <t xml:space="preserve">2024-07-22</t>
  </si>
  <si>
    <t xml:space="preserve">2025-01-27</t>
  </si>
  <si>
    <t xml:space="preserve">27/10/2025</t>
  </si>
  <si>
    <t xml:space="preserve">2025-05-18</t>
  </si>
  <si>
    <t xml:space="preserve">2025-03-21</t>
  </si>
  <si>
    <t xml:space="preserve">23/04/2024</t>
  </si>
  <si>
    <t xml:space="preserve">2024-04-22</t>
  </si>
  <si>
    <t xml:space="preserve">2024-05-11</t>
  </si>
  <si>
    <t xml:space="preserve">16/05/2025</t>
  </si>
  <si>
    <t xml:space="preserve">25/05/2025</t>
  </si>
  <si>
    <t xml:space="preserve">2025-01-22</t>
  </si>
  <si>
    <t xml:space="preserve">09/11/2025</t>
  </si>
  <si>
    <t xml:space="preserve">08/04/2024</t>
  </si>
  <si>
    <t xml:space="preserve">27/12/2025</t>
  </si>
  <si>
    <t xml:space="preserve">14/06/2024</t>
  </si>
  <si>
    <t xml:space="preserve">2025-04-01</t>
  </si>
  <si>
    <t xml:space="preserve">15/08/2025</t>
  </si>
  <si>
    <t xml:space="preserve">2024-10-10</t>
  </si>
  <si>
    <t xml:space="preserve">13/08/2024</t>
  </si>
  <si>
    <t xml:space="preserve">16/12/2024</t>
  </si>
  <si>
    <t xml:space="preserve">2024-01-05</t>
  </si>
  <si>
    <t xml:space="preserve">08/06/2024</t>
  </si>
  <si>
    <t xml:space="preserve">2024-08-11</t>
  </si>
  <si>
    <t xml:space="preserve">01/08/2025</t>
  </si>
  <si>
    <t xml:space="preserve">2024-01-18</t>
  </si>
  <si>
    <t xml:space="preserve">01/04/2025</t>
  </si>
  <si>
    <t xml:space="preserve">14/11/2025</t>
  </si>
  <si>
    <t xml:space="preserve">04/01/2024</t>
  </si>
  <si>
    <t xml:space="preserve">05/05/2024</t>
  </si>
  <si>
    <t xml:space="preserve">16/01/2025</t>
  </si>
  <si>
    <t xml:space="preserve">2024-04-09</t>
  </si>
  <si>
    <t xml:space="preserve">14/07/2024</t>
  </si>
  <si>
    <t xml:space="preserve">2024-04-08</t>
  </si>
  <si>
    <t xml:space="preserve">04/03/2024</t>
  </si>
  <si>
    <t xml:space="preserve">25/07/2024</t>
  </si>
  <si>
    <t xml:space="preserve">2025-02-03</t>
  </si>
  <si>
    <t xml:space="preserve">2024-10-01</t>
  </si>
  <si>
    <t xml:space="preserve">2025-09-20</t>
  </si>
  <si>
    <t xml:space="preserve">10/04/2025</t>
  </si>
  <si>
    <t xml:space="preserve">2024-07-14</t>
  </si>
  <si>
    <t xml:space="preserve">2024-09-16</t>
  </si>
  <si>
    <t xml:space="preserve">32</t>
  </si>
  <si>
    <t xml:space="preserve">81</t>
  </si>
  <si>
    <t xml:space="preserve">07/08/2025</t>
  </si>
  <si>
    <t xml:space="preserve">21/12/2024</t>
  </si>
  <si>
    <t xml:space="preserve">2024-06-07</t>
  </si>
  <si>
    <t xml:space="preserve">11/11/2024</t>
  </si>
  <si>
    <t xml:space="preserve">22/06/2025</t>
  </si>
  <si>
    <t xml:space="preserve">10/11/2025</t>
  </si>
  <si>
    <t xml:space="preserve">11/10/2024</t>
  </si>
  <si>
    <t xml:space="preserve">24/08/2025</t>
  </si>
  <si>
    <t xml:space="preserve">2024-12-27</t>
  </si>
  <si>
    <t xml:space="preserve">2024-03-04</t>
  </si>
  <si>
    <t xml:space="preserve">2025-06-01</t>
  </si>
  <si>
    <t xml:space="preserve">07/10/2024</t>
  </si>
  <si>
    <t xml:space="preserve">17/11/2024</t>
  </si>
  <si>
    <t xml:space="preserve">24/02/2024</t>
  </si>
  <si>
    <t xml:space="preserve">15/10/2025</t>
  </si>
  <si>
    <t xml:space="preserve">2024-06-24</t>
  </si>
  <si>
    <t xml:space="preserve">24/06/2024</t>
  </si>
  <si>
    <t xml:space="preserve">2024-05-24</t>
  </si>
  <si>
    <t xml:space="preserve">09/06/2024</t>
  </si>
  <si>
    <t xml:space="preserve">20/07/2025</t>
  </si>
  <si>
    <t xml:space="preserve">2025-05-08</t>
  </si>
  <si>
    <t xml:space="preserve">25</t>
  </si>
  <si>
    <t xml:space="preserve">49</t>
  </si>
  <si>
    <t xml:space="preserve">20/08/2025</t>
  </si>
  <si>
    <t xml:space="preserve">2024-03-22</t>
  </si>
  <si>
    <t xml:space="preserve">25/12/2024</t>
  </si>
  <si>
    <t xml:space="preserve">01/05/2025</t>
  </si>
  <si>
    <t xml:space="preserve">18/09/2025</t>
  </si>
  <si>
    <t xml:space="preserve">14/02/2024</t>
  </si>
  <si>
    <t xml:space="preserve">2025-11-26</t>
  </si>
  <si>
    <t xml:space="preserve">2025-06-17</t>
  </si>
  <si>
    <t xml:space="preserve">2024-10-16</t>
  </si>
  <si>
    <t xml:space="preserve">26/07/2024</t>
  </si>
  <si>
    <t xml:space="preserve">2024-07-16</t>
  </si>
  <si>
    <t xml:space="preserve">03/06/2025</t>
  </si>
  <si>
    <t xml:space="preserve">22/10/2024</t>
  </si>
  <si>
    <t xml:space="preserve">20/03/2025</t>
  </si>
  <si>
    <t xml:space="preserve">02/04/2024</t>
  </si>
  <si>
    <t xml:space="preserve">20/05/2025</t>
  </si>
  <si>
    <t xml:space="preserve">16/03/2025</t>
  </si>
  <si>
    <t xml:space="preserve">64</t>
  </si>
  <si>
    <t xml:space="preserve">25/10/2024</t>
  </si>
  <si>
    <t xml:space="preserve">2024-07-01</t>
  </si>
  <si>
    <t xml:space="preserve">18/11/2025</t>
  </si>
  <si>
    <t xml:space="preserve">26/11/2025</t>
  </si>
  <si>
    <t xml:space="preserve">2024-12-13</t>
  </si>
  <si>
    <t xml:space="preserve">04/05/2025</t>
  </si>
  <si>
    <t xml:space="preserve">2024-08-01</t>
  </si>
  <si>
    <t xml:space="preserve">12/01/2025</t>
  </si>
  <si>
    <t xml:space="preserve">2025-06-16</t>
  </si>
  <si>
    <t xml:space="preserve">2025-07-22</t>
  </si>
  <si>
    <t xml:space="preserve">10/02/2024</t>
  </si>
  <si>
    <t xml:space="preserve">18/07/2024</t>
  </si>
  <si>
    <t xml:space="preserve">02/01/2025</t>
  </si>
  <si>
    <t xml:space="preserve">20/01/2024</t>
  </si>
  <si>
    <t xml:space="preserve">25/03/2024</t>
  </si>
  <si>
    <t xml:space="preserve">80</t>
  </si>
  <si>
    <t xml:space="preserve">2024-10-25</t>
  </si>
  <si>
    <t xml:space="preserve">2025-06-06</t>
  </si>
  <si>
    <t xml:space="preserve">2024-06-12</t>
  </si>
  <si>
    <t xml:space="preserve">24/03/2025</t>
  </si>
  <si>
    <t xml:space="preserve">2024-05-10</t>
  </si>
  <si>
    <t xml:space="preserve">24/07/2024</t>
  </si>
  <si>
    <t xml:space="preserve">3</t>
  </si>
  <si>
    <t xml:space="preserve">2024-06-26</t>
  </si>
  <si>
    <t xml:space="preserve">37</t>
  </si>
  <si>
    <t xml:space="preserve">26/09/2024</t>
  </si>
  <si>
    <t xml:space="preserve">2024-04-27</t>
  </si>
  <si>
    <t xml:space="preserve">18/05/2024</t>
  </si>
  <si>
    <t xml:space="preserve">01/11/2025</t>
  </si>
  <si>
    <t xml:space="preserve">10/08/2025</t>
  </si>
  <si>
    <t xml:space="preserve">23/10/2025</t>
  </si>
  <si>
    <t xml:space="preserve">2025-06-23</t>
  </si>
  <si>
    <t xml:space="preserve">19/02/2025</t>
  </si>
  <si>
    <t xml:space="preserve">43</t>
  </si>
  <si>
    <t xml:space="preserve">27/10/2024</t>
  </si>
  <si>
    <t xml:space="preserve">2025-09-12</t>
  </si>
  <si>
    <t xml:space="preserve">14/01/2024</t>
  </si>
  <si>
    <t xml:space="preserve">2024-05-02</t>
  </si>
  <si>
    <t xml:space="preserve">2025-11-19</t>
  </si>
  <si>
    <t xml:space="preserve">2025-10-14</t>
  </si>
  <si>
    <t xml:space="preserve">02/09/2025</t>
  </si>
  <si>
    <t xml:space="preserve">2024-01-01</t>
  </si>
  <si>
    <t xml:space="preserve">2024-11-02</t>
  </si>
  <si>
    <t xml:space="preserve">2025-12-17</t>
  </si>
  <si>
    <t xml:space="preserve">17/12/2025</t>
  </si>
  <si>
    <t xml:space="preserve">22/11/2025</t>
  </si>
  <si>
    <t xml:space="preserve">2025-02-26</t>
  </si>
  <si>
    <t xml:space="preserve">2025-09-18</t>
  </si>
  <si>
    <t xml:space="preserve">18/07/2025</t>
  </si>
  <si>
    <t xml:space="preserve">2024-06-01</t>
  </si>
  <si>
    <t xml:space="preserve">09/10/2025</t>
  </si>
  <si>
    <t xml:space="preserve">2024-09-04</t>
  </si>
  <si>
    <t xml:space="preserve">2025-02-22</t>
  </si>
  <si>
    <t xml:space="preserve">26/05/2024</t>
  </si>
  <si>
    <t xml:space="preserve">44</t>
  </si>
  <si>
    <t xml:space="preserve">15/03/2025</t>
  </si>
  <si>
    <t xml:space="preserve">21/02/2024</t>
  </si>
  <si>
    <t xml:space="preserve">06/01/2024</t>
  </si>
  <si>
    <t xml:space="preserve">11/07/2025</t>
  </si>
  <si>
    <t xml:space="preserve">5</t>
  </si>
  <si>
    <t xml:space="preserve">03/02/2024</t>
  </si>
  <si>
    <t xml:space="preserve">11/05/2024</t>
  </si>
  <si>
    <t xml:space="preserve">2025-08-04</t>
  </si>
  <si>
    <t xml:space="preserve">2024-01-15</t>
  </si>
  <si>
    <t xml:space="preserve">16/04/2024</t>
  </si>
  <si>
    <t xml:space="preserve">10/07/2025</t>
  </si>
  <si>
    <t xml:space="preserve">05/01/2025</t>
  </si>
  <si>
    <t xml:space="preserve">2024-12-04</t>
  </si>
  <si>
    <t xml:space="preserve">12/06/2025</t>
  </si>
  <si>
    <t xml:space="preserve">2025-07-10</t>
  </si>
  <si>
    <t xml:space="preserve">2024-06-05</t>
  </si>
  <si>
    <t xml:space="preserve">17/04/2024</t>
  </si>
  <si>
    <t xml:space="preserve">19/03/2025</t>
  </si>
  <si>
    <t xml:space="preserve">18/04/2024</t>
  </si>
  <si>
    <t xml:space="preserve">21/07/2025</t>
  </si>
  <si>
    <t xml:space="preserve">21/02/2025</t>
  </si>
  <si>
    <t xml:space="preserve">22/05/2024</t>
  </si>
  <si>
    <t xml:space="preserve">2025-05-15</t>
  </si>
  <si>
    <t xml:space="preserve">2024-08-21</t>
  </si>
  <si>
    <t xml:space="preserve">2025-12-05</t>
  </si>
  <si>
    <t xml:space="preserve">05/04/2024</t>
  </si>
  <si>
    <t xml:space="preserve">27/12/2024</t>
  </si>
  <si>
    <t xml:space="preserve">2025-08-12</t>
  </si>
  <si>
    <t xml:space="preserve">19/06/2025</t>
  </si>
  <si>
    <t xml:space="preserve">2</t>
  </si>
  <si>
    <t xml:space="preserve">19/12/2025</t>
  </si>
  <si>
    <t xml:space="preserve">14/08/2025</t>
  </si>
  <si>
    <t xml:space="preserve">07/10/2025</t>
  </si>
  <si>
    <t xml:space="preserve">16/11/2025</t>
  </si>
  <si>
    <t xml:space="preserve">05/09/2024</t>
  </si>
  <si>
    <t xml:space="preserve">13/09/2024</t>
  </si>
  <si>
    <t xml:space="preserve">2025-08-20</t>
  </si>
  <si>
    <t xml:space="preserve">22/01/2024</t>
  </si>
  <si>
    <t xml:space="preserve">17/05/2024</t>
  </si>
  <si>
    <t xml:space="preserve">17/09/2025</t>
  </si>
  <si>
    <t xml:space="preserve">2025-02-08</t>
  </si>
  <si>
    <t xml:space="preserve">17/03/2024</t>
  </si>
  <si>
    <t xml:space="preserve">11/04/2025</t>
  </si>
  <si>
    <t xml:space="preserve">03/05/2024</t>
  </si>
  <si>
    <t xml:space="preserve">40</t>
  </si>
  <si>
    <t xml:space="preserve">03/09/2024</t>
  </si>
  <si>
    <t xml:space="preserve">01/02/2024</t>
  </si>
  <si>
    <t xml:space="preserve">2025-03-08</t>
  </si>
  <si>
    <t xml:space="preserve">2024-09-09</t>
  </si>
  <si>
    <t xml:space="preserve">2025-05-27</t>
  </si>
  <si>
    <t xml:space="preserve">26/04/2025</t>
  </si>
  <si>
    <t xml:space="preserve">08/07/2024</t>
  </si>
  <si>
    <t xml:space="preserve">17/01/2025</t>
  </si>
  <si>
    <t xml:space="preserve">03/07/2024</t>
  </si>
  <si>
    <t xml:space="preserve">12/11/2024</t>
  </si>
  <si>
    <t xml:space="preserve">2024-04-19</t>
  </si>
  <si>
    <t xml:space="preserve">25/01/2024</t>
  </si>
  <si>
    <t xml:space="preserve">2025-08-25</t>
  </si>
  <si>
    <t xml:space="preserve">08/01/2024</t>
  </si>
  <si>
    <t xml:space="preserve">04/08/2025</t>
  </si>
  <si>
    <t xml:space="preserve">26/04/2024</t>
  </si>
  <si>
    <t xml:space="preserve">2025-07-07</t>
  </si>
  <si>
    <t xml:space="preserve">2024-01-13</t>
  </si>
  <si>
    <t xml:space="preserve">04/04/2025</t>
  </si>
  <si>
    <t xml:space="preserve">2024-11-13</t>
  </si>
  <si>
    <t xml:space="preserve">09/01/2025</t>
  </si>
  <si>
    <t xml:space="preserve">2024-04-13</t>
  </si>
  <si>
    <t xml:space="preserve">18/04/2025</t>
  </si>
  <si>
    <t xml:space="preserve">07/12/2024</t>
  </si>
  <si>
    <t xml:space="preserve">20/12/2025</t>
  </si>
  <si>
    <t xml:space="preserve">18/08/2025</t>
  </si>
  <si>
    <t xml:space="preserve">18/09/2024</t>
  </si>
  <si>
    <t xml:space="preserve">11/05/2025</t>
  </si>
  <si>
    <t xml:space="preserve">2024-07-17</t>
  </si>
  <si>
    <t xml:space="preserve">10/01/2024</t>
  </si>
  <si>
    <t xml:space="preserve">02/07/2024</t>
  </si>
  <si>
    <t xml:space="preserve">2024-02-26</t>
  </si>
  <si>
    <t xml:space="preserve">26/12/2025</t>
  </si>
  <si>
    <t xml:space="preserve">05/11/2025</t>
  </si>
  <si>
    <t xml:space="preserve">2025-10-02</t>
  </si>
  <si>
    <t xml:space="preserve">22/02/2025</t>
  </si>
  <si>
    <t xml:space="preserve">10/01/2025</t>
  </si>
  <si>
    <t xml:space="preserve">09/02/2025</t>
  </si>
  <si>
    <t xml:space="preserve">13/05/2024</t>
  </si>
  <si>
    <t xml:space="preserve">22/03/2024</t>
  </si>
  <si>
    <t xml:space="preserve">27/08/2025</t>
  </si>
  <si>
    <t xml:space="preserve">2024-10-12</t>
  </si>
  <si>
    <t xml:space="preserve">2025-11-22</t>
  </si>
  <si>
    <t xml:space="preserve">2024-11-10</t>
  </si>
  <si>
    <t xml:space="preserve">2025-01-25</t>
  </si>
  <si>
    <t xml:space="preserve">20/02/2024</t>
  </si>
  <si>
    <t xml:space="preserve">2024-12-26</t>
  </si>
  <si>
    <t xml:space="preserve">2025-10-10</t>
  </si>
  <si>
    <t xml:space="preserve">2024-03-06</t>
  </si>
  <si>
    <t xml:space="preserve">2024-09-13</t>
  </si>
  <si>
    <t xml:space="preserve">23/05/2025</t>
  </si>
  <si>
    <t xml:space="preserve">2024-11-05</t>
  </si>
  <si>
    <t xml:space="preserve">2025-11-13</t>
  </si>
  <si>
    <t xml:space="preserve">12/05/2024</t>
  </si>
  <si>
    <t xml:space="preserve">2025-04-17</t>
  </si>
  <si>
    <t xml:space="preserve">24/05/2024</t>
  </si>
  <si>
    <t xml:space="preserve">2025-09-02</t>
  </si>
  <si>
    <t xml:space="preserve">2024-03-07</t>
  </si>
  <si>
    <t xml:space="preserve">2025-10-16</t>
  </si>
  <si>
    <t xml:space="preserve">2025-04-19</t>
  </si>
  <si>
    <t xml:space="preserve">11/12/2024</t>
  </si>
  <si>
    <t xml:space="preserve">25/06/2024</t>
  </si>
  <si>
    <t xml:space="preserve">2024-06-19</t>
  </si>
  <si>
    <t xml:space="preserve">09/06/2025</t>
  </si>
  <si>
    <t xml:space="preserve">13/02/2025</t>
  </si>
  <si>
    <t xml:space="preserve">02/08/2025</t>
  </si>
  <si>
    <t xml:space="preserve">2025-09-27</t>
  </si>
  <si>
    <t xml:space="preserve">18/08/2024</t>
  </si>
  <si>
    <t xml:space="preserve">54</t>
  </si>
  <si>
    <t xml:space="preserve">2025-07-12</t>
  </si>
  <si>
    <t xml:space="preserve">21/03/2024</t>
  </si>
  <si>
    <t xml:space="preserve">2024-04-17</t>
  </si>
  <si>
    <t xml:space="preserve">2024-09-06</t>
  </si>
  <si>
    <t xml:space="preserve">14/09/2025</t>
  </si>
  <si>
    <t xml:space="preserve">02/05/2024</t>
  </si>
  <si>
    <t xml:space="preserve">06/09/2025</t>
  </si>
  <si>
    <t xml:space="preserve">2024-01-22</t>
  </si>
  <si>
    <t xml:space="preserve">10/06/2025</t>
  </si>
  <si>
    <t xml:space="preserve">2025-11-14</t>
  </si>
  <si>
    <t xml:space="preserve">2024-05-18</t>
  </si>
  <si>
    <t xml:space="preserve">2024-06-15</t>
  </si>
  <si>
    <t xml:space="preserve">2025-03-10</t>
  </si>
  <si>
    <t xml:space="preserve">08/11/2025</t>
  </si>
  <si>
    <t xml:space="preserve">2024-05-04</t>
  </si>
  <si>
    <t xml:space="preserve">2024-02-16</t>
  </si>
  <si>
    <t xml:space="preserve">2025-10-25</t>
  </si>
  <si>
    <t xml:space="preserve">2025-12-13</t>
  </si>
  <si>
    <t xml:space="preserve">2024-01-10</t>
  </si>
  <si>
    <t xml:space="preserve">22/04/2024</t>
  </si>
  <si>
    <t xml:space="preserve">19/02/2024</t>
  </si>
  <si>
    <t xml:space="preserve">12/02/2024</t>
  </si>
  <si>
    <t xml:space="preserve">19/08/2025</t>
  </si>
  <si>
    <t xml:space="preserve">17/08/2024</t>
  </si>
  <si>
    <t xml:space="preserve">05/09/2025</t>
  </si>
  <si>
    <t xml:space="preserve">06/06/2025</t>
  </si>
  <si>
    <t xml:space="preserve">2024-09-01</t>
  </si>
  <si>
    <t xml:space="preserve">2024-03-27</t>
  </si>
  <si>
    <t xml:space="preserve">05/03/2024</t>
  </si>
  <si>
    <t xml:space="preserve">15/06/2025</t>
  </si>
  <si>
    <t xml:space="preserve">18/02/2024</t>
  </si>
  <si>
    <t xml:space="preserve">2025-06-18</t>
  </si>
  <si>
    <t xml:space="preserve">2024-05-21</t>
  </si>
  <si>
    <t xml:space="preserve">17/10/2024</t>
  </si>
  <si>
    <t xml:space="preserve">03/03/2025</t>
  </si>
  <si>
    <t xml:space="preserve">02/03/2025</t>
  </si>
  <si>
    <t xml:space="preserve">2025-12-24</t>
  </si>
  <si>
    <t xml:space="preserve">27/06/2025</t>
  </si>
  <si>
    <t xml:space="preserve">2025-08-27</t>
  </si>
  <si>
    <t xml:space="preserve">18/06/2024</t>
  </si>
  <si>
    <t xml:space="preserve">2025-03-16</t>
  </si>
  <si>
    <t xml:space="preserve">23/09/2024</t>
  </si>
  <si>
    <t xml:space="preserve">2024-12-08</t>
  </si>
  <si>
    <t xml:space="preserve">19/07/2025</t>
  </si>
  <si>
    <t xml:space="preserve">16/12/2025</t>
  </si>
  <si>
    <t xml:space="preserve">2025-08-21</t>
  </si>
  <si>
    <t xml:space="preserve">22/09/2024</t>
  </si>
  <si>
    <t xml:space="preserve">2024-02-01</t>
  </si>
  <si>
    <t xml:space="preserve">02/09/2024</t>
  </si>
  <si>
    <t xml:space="preserve">2025-03-22</t>
  </si>
  <si>
    <t xml:space="preserve">23/03/2025</t>
  </si>
  <si>
    <t xml:space="preserve">13/03/2025</t>
  </si>
  <si>
    <t xml:space="preserve">2024-11-17</t>
  </si>
  <si>
    <t xml:space="preserve">2025-06-04</t>
  </si>
  <si>
    <t xml:space="preserve">2025-04-12</t>
  </si>
  <si>
    <t xml:space="preserve">2024-09-02</t>
  </si>
  <si>
    <t xml:space="preserve">26/08/2024</t>
  </si>
  <si>
    <t xml:space="preserve">72</t>
  </si>
  <si>
    <t xml:space="preserve">2025-07-04</t>
  </si>
  <si>
    <t xml:space="preserve">2024-07-20</t>
  </si>
  <si>
    <t xml:space="preserve">2025-04-24</t>
  </si>
  <si>
    <t xml:space="preserve">2025-08-18</t>
  </si>
  <si>
    <t xml:space="preserve">25/06/2025</t>
  </si>
  <si>
    <t xml:space="preserve">07/02/2024</t>
  </si>
  <si>
    <t xml:space="preserve">18/01/2025</t>
  </si>
  <si>
    <t xml:space="preserve">27/04/2024</t>
  </si>
  <si>
    <t xml:space="preserve">2024-06-20</t>
  </si>
  <si>
    <t xml:space="preserve">2024-10-17</t>
  </si>
  <si>
    <t xml:space="preserve">2024-04-23</t>
  </si>
  <si>
    <t xml:space="preserve">25/02/2025</t>
  </si>
  <si>
    <t xml:space="preserve">2025-06-03</t>
  </si>
  <si>
    <t xml:space="preserve">2025-12-06</t>
  </si>
  <si>
    <t xml:space="preserve">21/09/2025</t>
  </si>
  <si>
    <t xml:space="preserve">2025-11-20</t>
  </si>
  <si>
    <t xml:space="preserve">04/02/2025</t>
  </si>
  <si>
    <t xml:space="preserve">25/09/2024</t>
  </si>
  <si>
    <t xml:space="preserve">18/10/2024</t>
  </si>
  <si>
    <t xml:space="preserve">15/02/2024</t>
  </si>
  <si>
    <t xml:space="preserve">2024-03-16</t>
  </si>
  <si>
    <t xml:space="preserve">13/06/2025</t>
  </si>
  <si>
    <t xml:space="preserve">27/08/2024</t>
  </si>
  <si>
    <t xml:space="preserve">2024-02-03</t>
  </si>
  <si>
    <t xml:space="preserve">2024-08-24</t>
  </si>
  <si>
    <t xml:space="preserve">08/05/2024</t>
  </si>
  <si>
    <t xml:space="preserve">19/08/2024</t>
  </si>
  <si>
    <t xml:space="preserve">12/06/2024</t>
  </si>
  <si>
    <t xml:space="preserve">13/12/2025</t>
  </si>
  <si>
    <t xml:space="preserve">2025-05-04</t>
  </si>
  <si>
    <t xml:space="preserve">05/12/2024</t>
  </si>
  <si>
    <t xml:space="preserve">2025-06-08</t>
  </si>
  <si>
    <t xml:space="preserve">2025-09-17</t>
  </si>
  <si>
    <t xml:space="preserve">06/10/2024</t>
  </si>
  <si>
    <t xml:space="preserve">2025-05-25</t>
  </si>
  <si>
    <t xml:space="preserve">2025-10-05</t>
  </si>
  <si>
    <t xml:space="preserve">2025-11-09</t>
  </si>
  <si>
    <t xml:space="preserve">4</t>
  </si>
  <si>
    <t xml:space="preserve">26/08/2025</t>
  </si>
  <si>
    <t xml:space="preserve">20/03/2024</t>
  </si>
  <si>
    <t xml:space="preserve">04/11/2024</t>
  </si>
  <si>
    <t xml:space="preserve">10/12/2025</t>
  </si>
  <si>
    <t xml:space="preserve">13/01/2024</t>
  </si>
  <si>
    <t xml:space="preserve">07/04/2025</t>
  </si>
  <si>
    <t xml:space="preserve">2025-04-08</t>
  </si>
  <si>
    <t xml:space="preserve">21/05/2025</t>
  </si>
  <si>
    <t xml:space="preserve">2025-04-07</t>
  </si>
  <si>
    <t xml:space="preserve">2024-03-01</t>
  </si>
  <si>
    <t xml:space="preserve">2025-12-19</t>
  </si>
  <si>
    <t xml:space="preserve">15/11/2025</t>
  </si>
  <si>
    <t xml:space="preserve">07/03/2024</t>
  </si>
  <si>
    <t xml:space="preserve">09/01/2024</t>
  </si>
  <si>
    <t xml:space="preserve">2024-05-03</t>
  </si>
  <si>
    <t xml:space="preserve">11/04/2024</t>
  </si>
  <si>
    <t xml:space="preserve">70</t>
  </si>
  <si>
    <t xml:space="preserve">13/07/2024</t>
  </si>
  <si>
    <t xml:space="preserve">17/10/2025</t>
  </si>
  <si>
    <t xml:space="preserve">2025-10-03</t>
  </si>
  <si>
    <t xml:space="preserve">2024-03-05</t>
  </si>
  <si>
    <t xml:space="preserve">07/07/2024</t>
  </si>
  <si>
    <t xml:space="preserve">09/08/2025</t>
  </si>
  <si>
    <t xml:space="preserve">2025-09-09</t>
  </si>
  <si>
    <t xml:space="preserve">21/03/2025</t>
  </si>
  <si>
    <t xml:space="preserve">Control de calidad del dato</t>
  </si>
  <si>
    <t xml:space="preserve">Cada fila mide un defecto del export crudo y verifica que despues del ETL ya no exista. Todos los numeros son formulas sobre las hojas Datos_Origen y Datos_Limpios: si el origen cambia, este tablero se actualiza solo. Nota: CONTAR.SI no distingue mayusculas de minusculas, asi que las cuentas de valores distintos son un piso; el diccionario de Parametros publica todas las variantes recibidas, una por fila.</t>
  </si>
  <si>
    <t xml:space="preserve">DIAGNOSTICO Y REMEDIACION</t>
  </si>
  <si>
    <t xml:space="preserve">Problema de calidad</t>
  </si>
  <si>
    <t xml:space="preserve">Regla aplicada</t>
  </si>
  <si>
    <t xml:space="preserve">En el origen</t>
  </si>
  <si>
    <t xml:space="preserve">Despues del ETL</t>
  </si>
  <si>
    <t xml:space="preserve">Estado</t>
  </si>
  <si>
    <t xml:space="preserve">Registros duplicados</t>
  </si>
  <si>
    <t xml:space="preserve">Se conserva la primera aparicion de cada ID_Venta y se descartan los reenvios del sistema.</t>
  </si>
  <si>
    <t xml:space="preserve">Fechas almacenadas como texto</t>
  </si>
  <si>
    <t xml:space="preserve">Se detecta el formato (dd/mm/aaaa o aaaa-mm-dd) y se reconstruye la fecha real con FECHA/DATE.</t>
  </si>
  <si>
    <t xml:space="preserve">Unidades cargadas como texto</t>
  </si>
  <si>
    <t xml:space="preserve">Se convierten a numero con VALOR/VALUE solo cuando la celda es texto.</t>
  </si>
  <si>
    <t xml:space="preserve">Ciudades vacias</t>
  </si>
  <si>
    <t xml:space="preserve">Se completan con la ciudad de referencia de la region (INDICE/COINCIDIR contra Parametros).</t>
  </si>
  <si>
    <t xml:space="preserve">Valores distintos en Categoria</t>
  </si>
  <si>
    <t xml:space="preserve">Diccionario de normalizacion: cada variante recibida se mapea a un unico valor estandar. Deben quedar tantos valores como categorias reales.</t>
  </si>
  <si>
    <t xml:space="preserve">Valores distintos en Region</t>
  </si>
  <si>
    <t xml:space="preserve">Mismo diccionario, dimension Region.</t>
  </si>
  <si>
    <t xml:space="preserve">Valores distintos en Canal</t>
  </si>
  <si>
    <t xml:space="preserve">Mismo diccionario, dimension Canal.</t>
  </si>
  <si>
    <t xml:space="preserve">Valores distintos en Producto</t>
  </si>
  <si>
    <t xml:space="preserve">ESPACIOS/TRIM sobre el nombre recibido.</t>
  </si>
  <si>
    <t xml:space="preserve">RECONCILIACION</t>
  </si>
  <si>
    <t xml:space="preserve">Concepto</t>
  </si>
  <si>
    <t xml:space="preserve">Detalle</t>
  </si>
  <si>
    <t xml:space="preserve">Valor</t>
  </si>
  <si>
    <t xml:space="preserve">Filas recibidas en el export</t>
  </si>
  <si>
    <t xml:space="preserve">Todo lo que entrego el sistema, reenvios incluidos.</t>
  </si>
  <si>
    <t xml:space="preserve">Operaciones unicas</t>
  </si>
  <si>
    <t xml:space="preserve">Filas distintas por ID_Venta: lo que realmente ocurrio.</t>
  </si>
  <si>
    <t xml:space="preserve">Filas descartadas por duplicado</t>
  </si>
  <si>
    <t xml:space="preserve">Diferencia entre las dos anteriores.</t>
  </si>
  <si>
    <t xml:space="preserve">Facturacion del export crudo</t>
  </si>
  <si>
    <t xml:space="preserve">Unidades x precio sobre TODAS las filas recibidas.</t>
  </si>
  <si>
    <t xml:space="preserve">Facturacion depurada</t>
  </si>
  <si>
    <t xml:space="preserve">La misma cuenta sobre la tabla limpia.</t>
  </si>
  <si>
    <t xml:space="preserve">Facturacion que inflaban los duplicados</t>
  </si>
  <si>
    <t xml:space="preserve">Lo que se habria reportado de mas sin depurar.</t>
  </si>
  <si>
    <t xml:space="preserve">Filas de la tabla limpia</t>
  </si>
  <si>
    <t xml:space="preserve">Debe coincidir con las operaciones unicas.</t>
  </si>
  <si>
    <t xml:space="preserve">Control de deduplicacion</t>
  </si>
  <si>
    <t xml:space="preserve">Filas donde Pos_Origen NO apunta a la primera aparicion del ID_Venta. Tiene que ser cero.</t>
  </si>
  <si>
    <t xml:space="preserve">COLUMNAS QUE AGREGA EL ETL</t>
  </si>
  <si>
    <t xml:space="preserve">Columna calculada</t>
  </si>
  <si>
    <t xml:space="preserve">Regla</t>
  </si>
  <si>
    <t xml:space="preserve">Resultado</t>
  </si>
  <si>
    <t xml:space="preserve">SI(Y(margen% &gt;= meta; ventas &gt;= ticket alto); "Alta rentabilidad"; SI(O(margen% &lt; piso; ventas &lt; ticket bajo); "Revisar"; "Estandar"))</t>
  </si>
  <si>
    <t xml:space="preserve">SI(Y(canal = "E-commerce"; costo logistico / ventas &gt; techo); "Alerta"; "OK")</t>
  </si>
  <si>
    <t xml:space="preserve">Alerta</t>
  </si>
  <si>
    <t xml:space="preserve">OK</t>
  </si>
  <si>
    <t xml:space="preserve">SI(ventas &gt;= ticket alto; "Alto"; SI(ventas &lt; ticket bajo; "Bajo"; "Medio"))</t>
  </si>
  <si>
    <t xml:space="preserve">Alto</t>
  </si>
  <si>
    <t xml:space="preserve">Medio</t>
  </si>
  <si>
    <t xml:space="preserve">Bajo</t>
  </si>
  <si>
    <t xml:space="preserve">Las tres columnas anteriores se calculan con logica condicional (SI / Y / O) sobre los umbrales de la hoja Parametros. Cambiar un umbral reclasifica las 2.400 operaciones sin tocar una sola formula.</t>
  </si>
  <si>
    <t xml:space="preserve">Parametros, supuestos, metas y diccionarios</t>
  </si>
  <si>
    <t xml:space="preserve">Toda constante del modelo vive en esta hoja. El ETL, los KPIs y las columnas logicas la referencian por celda; ninguna la repite escrita a mano.</t>
  </si>
  <si>
    <t xml:space="preserve">MESES</t>
  </si>
  <si>
    <t xml:space="preserve">LISTAS DE VALIDACION</t>
  </si>
  <si>
    <t xml:space="preserve">N</t>
  </si>
  <si>
    <t xml:space="preserve">METAS Y UMBRALES DEL EJERCICIO 2025</t>
  </si>
  <si>
    <t xml:space="preserve">Ene</t>
  </si>
  <si>
    <t xml:space="preserve">Indicador</t>
  </si>
  <si>
    <t xml:space="preserve">Se usa en</t>
  </si>
  <si>
    <t xml:space="preserve">Origen del supuesto</t>
  </si>
  <si>
    <t xml:space="preserve">Feb</t>
  </si>
  <si>
    <t xml:space="preserve">Ventas totales 2025 (meta)</t>
  </si>
  <si>
    <t xml:space="preserve">KPI 1</t>
  </si>
  <si>
    <t xml:space="preserve">Presupuesto comercial aprobado para el ejercicio.</t>
  </si>
  <si>
    <t xml:space="preserve">Mar</t>
  </si>
  <si>
    <t xml:space="preserve">Margen bruto % (meta)</t>
  </si>
  <si>
    <t xml:space="preserve">KPI 2 / columna logica</t>
  </si>
  <si>
    <t xml:space="preserve">Piso historico de la cadena: 2024 cerro en 35,8%.</t>
  </si>
  <si>
    <t xml:space="preserve">Abr</t>
  </si>
  <si>
    <t xml:space="preserve">Crecimiento interanual de ventas (meta)</t>
  </si>
  <si>
    <t xml:space="preserve">KPI 3</t>
  </si>
  <si>
    <t xml:space="preserve">Objetivo de expansion fijado por la direccion.</t>
  </si>
  <si>
    <t xml:space="preserve">May</t>
  </si>
  <si>
    <t xml:space="preserve">Costo logistico sobre ventas (techo)</t>
  </si>
  <si>
    <t xml:space="preserve">KPI 4</t>
  </si>
  <si>
    <t xml:space="preserve">Techo tolerado a nivel compania; 2024 cerro en 2,18%.</t>
  </si>
  <si>
    <t xml:space="preserve">Jun</t>
  </si>
  <si>
    <t xml:space="preserve">Margen bruto % piso por operacion</t>
  </si>
  <si>
    <t xml:space="preserve">Columna Segmento_Rentabilidad</t>
  </si>
  <si>
    <t xml:space="preserve">Por debajo de este margen la operacion entra en revision comercial.</t>
  </si>
  <si>
    <t xml:space="preserve">Jul</t>
  </si>
  <si>
    <t xml:space="preserve">Alimentan las listas desplegables del bloque de consulta de la hoja Tablas_Dinamicas.</t>
  </si>
  <si>
    <t xml:space="preserve">Ticket alto (USD)</t>
  </si>
  <si>
    <t xml:space="preserve">Columnas Segmento_Rentabilidad y Ticket</t>
  </si>
  <si>
    <t xml:space="preserve">Corte de venta grande: por encima requiere aprobacion de gerencia.</t>
  </si>
  <si>
    <t xml:space="preserve">Ago</t>
  </si>
  <si>
    <t xml:space="preserve">Ticket bajo (USD)</t>
  </si>
  <si>
    <t xml:space="preserve">Por debajo el costo de atencion se come el margen.</t>
  </si>
  <si>
    <t xml:space="preserve">Sep</t>
  </si>
  <si>
    <t xml:space="preserve">Costo logistico / ventas tolerado en e-commerce</t>
  </si>
  <si>
    <t xml:space="preserve">Columna Alerta_Logistica</t>
  </si>
  <si>
    <t xml:space="preserve">Umbral operativo de la ultima milla en el canal online.</t>
  </si>
  <si>
    <t xml:space="preserve">Oct</t>
  </si>
  <si>
    <t xml:space="preserve">Margen bruto % minimo por producto</t>
  </si>
  <si>
    <t xml:space="preserve">Grafico de dispersion</t>
  </si>
  <si>
    <t xml:space="preserve">Corte que separa la zona de riesgo en el mapa de productos.</t>
  </si>
  <si>
    <t xml:space="preserve">Nov</t>
  </si>
  <si>
    <t xml:space="preserve">Dic</t>
  </si>
  <si>
    <t xml:space="preserve">SUPUESTOS DEL DATASET</t>
  </si>
  <si>
    <t xml:space="preserve">Periodo cubierto</t>
  </si>
  <si>
    <t xml:space="preserve">Ene-2024 a Dic-2025</t>
  </si>
  <si>
    <t xml:space="preserve">Dataset SIMULADO y determinista (semilla fija). Extiende el modelo Ventas_Tech_DB del checkpoint de SQL -mismas categorias, productos y ciudades- a 24 meses, 5 regiones y 2 canales, para poder analizar margen, estacionalidad y evolucion interanual.</t>
  </si>
  <si>
    <t xml:space="preserve">CIUDAD POR REGION</t>
  </si>
  <si>
    <t xml:space="preserve">Operaciones unicas (tabla de hechos)</t>
  </si>
  <si>
    <t xml:space="preserve">Aumento de precio de lista 2025</t>
  </si>
  <si>
    <t xml:space="preserve">Inflacion de costo de compra 2025</t>
  </si>
  <si>
    <t xml:space="preserve">Crecimiento de unidades 2025</t>
  </si>
  <si>
    <t xml:space="preserve">Participacion de e-commerce 2024</t>
  </si>
  <si>
    <t xml:space="preserve">Participacion de e-commerce 2025</t>
  </si>
  <si>
    <t xml:space="preserve">COSTO LOGISTICO SOBRE VENTAS  ·  tasa que aplica el ETL</t>
  </si>
  <si>
    <t xml:space="preserve">Se usa para completar las ciudades que el export deja vacias.</t>
  </si>
  <si>
    <t xml:space="preserve">Tasa</t>
  </si>
  <si>
    <t xml:space="preserve">Q1</t>
  </si>
  <si>
    <t xml:space="preserve">El salto de e-commerce en 2025 (ultima milla y envio bonificado) y su baja en Q3-Q4 al fijar un umbral de envio minimo es el hecho que explica la caida y posterior recuperacion del margen.</t>
  </si>
  <si>
    <t xml:space="preserve">Q2</t>
  </si>
  <si>
    <t xml:space="preserve">Q3</t>
  </si>
  <si>
    <t xml:space="preserve">Q4</t>
  </si>
  <si>
    <t xml:space="preserve">DICCIONARIO DE NORMALIZACION DE TEXTO  ·  valor recibido -&gt; valor estandar</t>
  </si>
  <si>
    <t xml:space="preserve">CATEGORIA  ·  valor recibido en el export</t>
  </si>
  <si>
    <t xml:space="preserve">Valor estandar</t>
  </si>
  <si>
    <t xml:space="preserve">Cada fila es una variante que el sistema transaccional devuelve para un mismo valor real. El ETL busca el texto recibido (sin espacios de mas) en la columna izquierda y escribe el estandar de la derecha. Agregar una variante nueva es agregar una fila: no hay que tocar ninguna formula.</t>
  </si>
  <si>
    <t xml:space="preserve">REGION  ·  valor recibido en el export</t>
  </si>
  <si>
    <t xml:space="preserve">CANAL  ·  valor recibido en el export</t>
  </si>
  <si>
    <t xml:space="preserve">Documentacion del libro</t>
  </si>
  <si>
    <t xml:space="preserve">Practica Integradora Final · Coderhouse, Data Analyst · Lleyton Murphy</t>
  </si>
  <si>
    <t xml:space="preserve">MAPA DEL LIBRO</t>
  </si>
  <si>
    <t xml:space="preserve">Hoja</t>
  </si>
  <si>
    <t xml:space="preserve">Rol</t>
  </si>
  <si>
    <t xml:space="preserve">Que contiene</t>
  </si>
  <si>
    <t xml:space="preserve">Dashboard</t>
  </si>
  <si>
    <t xml:space="preserve">El entregable</t>
  </si>
  <si>
    <t xml:space="preserve">Titular, 4 tarjetas de KPI, 4 segmentadores, 5 graficos y el reporte ejecutivo. Se abre en esta hoja.</t>
  </si>
  <si>
    <t xml:space="preserve">Tablas_Dinamicas</t>
  </si>
  <si>
    <t xml:space="preserve">Analisis</t>
  </si>
  <si>
    <t xml:space="preserve">Las 4 tablas dinamicas del reporte mas un bloque de consulta con listas desplegables.</t>
  </si>
  <si>
    <t xml:space="preserve">Datos_Limpios</t>
  </si>
  <si>
    <t xml:space="preserve">Tabla de hechos</t>
  </si>
  <si>
    <t xml:space="preserve">2.400 operaciones depuradas. Cada celda es una formula que reconstruye el valor desde el export crudo.</t>
  </si>
  <si>
    <t xml:space="preserve">Datos_Origen</t>
  </si>
  <si>
    <t xml:space="preserve">Entrada</t>
  </si>
  <si>
    <t xml:space="preserve">El export del sistema transaccional, sin tocar. Los defectos estan resaltados con formato condicional.</t>
  </si>
  <si>
    <t xml:space="preserve">Control_Calidad</t>
  </si>
  <si>
    <t xml:space="preserve">Auditoria</t>
  </si>
  <si>
    <t xml:space="preserve">Cuenta los defectos del origen y verifica con formulas que despues del ETL no quede ninguno.</t>
  </si>
  <si>
    <t xml:space="preserve">Parametros</t>
  </si>
  <si>
    <t xml:space="preserve">Constantes</t>
  </si>
  <si>
    <t xml:space="preserve">Metas, umbrales, tasas, diccionarios de normalizacion y listas de validacion. Ningun numero fijo vive fuera de aca.</t>
  </si>
  <si>
    <t xml:space="preserve">Documentacion</t>
  </si>
  <si>
    <t xml:space="preserve">Esta hoja</t>
  </si>
  <si>
    <t xml:space="preserve">Como esta hecho y como se opera.</t>
  </si>
  <si>
    <t xml:space="preserve">Calculos (oculta)</t>
  </si>
  <si>
    <t xml:space="preserve">Soporte</t>
  </si>
  <si>
    <t xml:space="preserve">Grilla de tamano fijo resuelta con GETPIVOTDATA. Es lo que leen los graficos.</t>
  </si>
  <si>
    <t xml:space="preserve">Pivots_Aux (oculta)</t>
  </si>
  <si>
    <t xml:space="preserve">Tablas dinamicas de una sola medida que alimentan a GETPIVOTDATA.</t>
  </si>
  <si>
    <t xml:space="preserve">EL ETL, PASO A PASO  ·  de Datos_Origen a Datos_Limpios</t>
  </si>
  <si>
    <t xml:space="preserve">Paso</t>
  </si>
  <si>
    <t xml:space="preserve">Funciones usadas</t>
  </si>
  <si>
    <t xml:space="preserve">Que hace y por que</t>
  </si>
  <si>
    <t xml:space="preserve">1. Quitar duplicados</t>
  </si>
  <si>
    <t xml:space="preserve">COINCIDIR / MATCH</t>
  </si>
  <si>
    <t xml:space="preserve">El sistema reenvia lotes y repite filas. Se conserva la primera aparicion de cada ID_Venta. La columna Pos_Origen guarda a que fila del export apunta cada operacion y la columna Control_ETL verifica, fila por fila, que esa sea de verdad la primera aparicion.</t>
  </si>
  <si>
    <t xml:space="preserve">2. Normalizar fechas</t>
  </si>
  <si>
    <t xml:space="preserve">SI, ESNUMERO, EXTRAE, FECHA, VALOR</t>
  </si>
  <si>
    <t xml:space="preserve">El export mezcla tres formatos: fecha real, texto dd/mm/aaaa y texto aaaa-mm-dd. La formula detecta cual es cada uno y reconstruye una fecha real. Sin esto no hay agrupacion por mes ni por trimestre que funcione.</t>
  </si>
  <si>
    <t xml:space="preserve">3. Estandarizar textos</t>
  </si>
  <si>
    <t xml:space="preserve">ESPACIOS, INDICE, COINCIDIR</t>
  </si>
  <si>
    <t xml:space="preserve">Region, Canal y Categoria llegan con mayusculas, minusculas, acentos y espacios mezclados. Se resuelven contra el diccionario de la hoja Parametros. Agregar una variante nueva es agregar una fila al diccionario: no hay que tocar ninguna formula.</t>
  </si>
  <si>
    <t xml:space="preserve">4. Corregir tipos</t>
  </si>
  <si>
    <t xml:space="preserve">SI, ESTEXTO, VALOR</t>
  </si>
  <si>
    <t xml:space="preserve">Algunas unidades llegan como texto. Se convierten a numero solo cuando hace falta, para no romper las que ya venian bien.</t>
  </si>
  <si>
    <t xml:space="preserve">5. Completar vacios</t>
  </si>
  <si>
    <t xml:space="preserve">SI, ESPACIOS, INDICE, COINCIDIR</t>
  </si>
  <si>
    <t xml:space="preserve">Las ciudades vacias se completan con la ciudad de referencia de la region. Se documenta como imputacion, no se presenta como dato original.</t>
  </si>
  <si>
    <t xml:space="preserve">6. Derivar columnas</t>
  </si>
  <si>
    <t xml:space="preserve">ANIO, MES, REDONDEAR.MAS, TEXTO</t>
  </si>
  <si>
    <t xml:space="preserve">Anio, Trimestre, Mes, Periodo, Cat_Anio y Prod_Anio salen de la fecha y de los textos ya limpios. Son las que hacen posible el analisis temporal y la comparacion interanual.</t>
  </si>
  <si>
    <t xml:space="preserve">7. Calcular medidas</t>
  </si>
  <si>
    <t xml:space="preserve">REDONDEAR, SUMAR.SI.CONJUNTO</t>
  </si>
  <si>
    <t xml:space="preserve">Ventas, Costo_Producto, Costo_Logistico y Margen_Bruto se calculan en la planilla, no se pegan como numeros. La tasa logistica no se repite fila a fila: se busca en la tabla de Parametros segun canal, anio y trimestre.</t>
  </si>
  <si>
    <t xml:space="preserve">8. Clasificar</t>
  </si>
  <si>
    <t xml:space="preserve">SI, Y, O</t>
  </si>
  <si>
    <t xml:space="preserve">Tres columnas de logica condicional: Segmento_Rentabilidad, Alerta_Logistica y Ticket. Son las que convierten un numero en una decision, y son ademas dimensiones de analisis en las tablas dinamicas.</t>
  </si>
  <si>
    <t xml:space="preserve">LAS COLUMNAS CALCULADAS CON LOGICA CONDICIONAL</t>
  </si>
  <si>
    <t xml:space="preserve">Columna</t>
  </si>
  <si>
    <t xml:space="preserve">Para que sirve</t>
  </si>
  <si>
    <t xml:space="preserve">Separa las operaciones que sostienen el negocio de las que hay que revisar. Usa Y para exigir las dos condiciones a la vez y O para que alcance con una sola para marcar el problema. Es la dimension de la cuarta tabla dinamica.</t>
  </si>
  <si>
    <t xml:space="preserve">Marca las ventas online cuyo costo de envio se sale del umbral operativo. Es el detalle fila a fila de lo que el KPI de costo logistico muestra agregado.</t>
  </si>
  <si>
    <t xml:space="preserve">Clasifica el tamano de cada operacion. Permite mirar el mix de tickets sin recalcular nada.</t>
  </si>
  <si>
    <t xml:space="preserve">Donde estan los umbrales</t>
  </si>
  <si>
    <t xml:space="preserve">Parametros!C11:C14</t>
  </si>
  <si>
    <t xml:space="preserve">Los cuatro cortes viven en la hoja Parametros. Cambiar un umbral reclasifica las 2.400 operaciones y actualiza las tablas dinamicas sin tocar una sola formula.</t>
  </si>
  <si>
    <t xml:space="preserve">COMO VIAJA UN FILTRO HASTA UN GRAFICO</t>
  </si>
  <si>
    <t xml:space="preserve">La cadena</t>
  </si>
  <si>
    <t xml:space="preserve">segmentador -&gt; tabla dinamica -&gt; GETPIVOTDATA (Calculos) -&gt; grafico</t>
  </si>
  <si>
    <t xml:space="preserve">Los graficos no leen la tabla de hechos: leen una grilla de tamano fijo en la hoja Calculos, resuelta con GETPIVOTDATA contra las tablas dinamicas. Por eso el layout no se rompe cuando un filtro deja menos filas, y por eso los numeros del tablero y los de la hoja Tablas_Dinamicas son siempre los mismos.</t>
  </si>
  <si>
    <t xml:space="preserve">Un unico cache</t>
  </si>
  <si>
    <t xml:space="preserve">4 segmentadores, 17 tablas dinamicas</t>
  </si>
  <si>
    <t xml:space="preserve">Todas las tablas dinamicas del libro comparten un solo cache de datos. Eso es lo que hace que una sola seleccion recalcule a la vez las 4 tarjetas, los 5 graficos y las 4 tablas dinamicas visibles.</t>
  </si>
  <si>
    <t xml:space="preserve">Por que Trimestre y no Anio</t>
  </si>
  <si>
    <t xml:space="preserve">El filtro de tiempo es el trimestre</t>
  </si>
  <si>
    <t xml:space="preserve">Un segmentador de anio dejaria sin sentido el KPI de crecimiento interanual: al elegir 2025 no habria 2024 contra que comparar. Con el trimestre, elegir Q1 compara Q1-2024 contra Q1-2025 y la comparacion se mantiene valida siempre.</t>
  </si>
  <si>
    <t xml:space="preserve">Si los numeros no se mueven</t>
  </si>
  <si>
    <t xml:space="preserve">Datos &gt; Actualizar todo</t>
  </si>
  <si>
    <t xml:space="preserve">El libro pide el refresco al abrir. Algunos visores de terceros (Google Sheets, LibreOffice, la vista previa de GitHub) no ejecutan tablas dinamicas ni dibujan segmentadores: el archivo esta pensado para Excel 2010 o posterior.</t>
  </si>
  <si>
    <t xml:space="preserve">CRITERIOS DE DISENO DEL TABLERO</t>
  </si>
  <si>
    <t xml:space="preserve">Decision</t>
  </si>
  <si>
    <t xml:space="preserve">Que se hizo</t>
  </si>
  <si>
    <t xml:space="preserve">Por que</t>
  </si>
  <si>
    <t xml:space="preserve">Paleta</t>
  </si>
  <si>
    <t xml:space="preserve">Tres colores y nada mas</t>
  </si>
  <si>
    <t xml:space="preserve">Azul institucional (ano corriente y valor principal), gris (contexto y ano anterior) y ambar (alerta y efectos que restan). El resto son neutros de fondo y de texto. Un color que no significa nada es ruido.</t>
  </si>
  <si>
    <t xml:space="preserve">Interfaz</t>
  </si>
  <si>
    <t xml:space="preserve">Sin cuadricula ni encabezados de fila y columna</t>
  </si>
  <si>
    <t xml:space="preserve">El tablero tiene que leerse como un reporte, no como una planilla. Las hojas de soporte estan ocultas por la misma razon.</t>
  </si>
  <si>
    <t xml:space="preserve">Tarjetas de KPI</t>
  </si>
  <si>
    <t xml:space="preserve">Cuatro, con meta y formato condicional</t>
  </si>
  <si>
    <t xml:space="preserve">Cada tarjeta muestra el valor, la meta y la brecha. La que no llega a la meta pasa entera a ambar: la alerta se ve antes de leer el numero.</t>
  </si>
  <si>
    <t xml:space="preserve">Orden de lectura</t>
  </si>
  <si>
    <t xml:space="preserve">Que paso -&gt; por que -&gt; donde actuar</t>
  </si>
  <si>
    <t xml:space="preserve">Los graficos estan agrupados en tres secciones tituladas, en el orden en que un gerente hace las preguntas.</t>
  </si>
  <si>
    <t xml:space="preserve">Titulos de grafico</t>
  </si>
  <si>
    <t xml:space="preserve">Son formulas, no texto fijo</t>
  </si>
  <si>
    <t xml:space="preserve">Cada titulo apunta a una celda que se reescribe con los datos, asi que dice el hallazgo y no solo el nombre del grafico.</t>
  </si>
  <si>
    <t xml:space="preserve">Reporte ejecutivo</t>
  </si>
  <si>
    <t xml:space="preserve">Evidencia primero, insight despues</t>
  </si>
  <si>
    <t xml:space="preserve">Las tres notas del pie separan el dato cuantitativo de su significado estrategico, que es lo que permite decidir.</t>
  </si>
  <si>
    <t xml:space="preserve">Vocabulario</t>
  </si>
  <si>
    <t xml:space="preserve">Metricas de negocio, no comandos</t>
  </si>
  <si>
    <t xml:space="preserve">En el tablero no aparece ningun tecnicismo de software: ni nombres de funciones, ni errores de actualizacion, ni instrucciones de herramienta.</t>
  </si>
  <si>
    <t xml:space="preserve">ALCANCE, SUPUESTOS Y LIMITES</t>
  </si>
  <si>
    <t xml:space="preserve">Tema</t>
  </si>
  <si>
    <t xml:space="preserve">Aclaracion</t>
  </si>
  <si>
    <t xml:space="preserve">Origen de los datos</t>
  </si>
  <si>
    <t xml:space="preserve">Dataset simulado y determinista</t>
  </si>
  <si>
    <t xml:space="preserve">Extiende el modelo Ventas_Tech_DB del checkpoint de SQL -mismas categorias, productos y ciudades- a 24 meses, 5 regiones y 2 canales. Semilla fija: el mismo dataset se reproduce siempre igual. Todos los supuestos estan en la hoja Parametros.</t>
  </si>
  <si>
    <t xml:space="preserve">Ciudades imputadas</t>
  </si>
  <si>
    <t xml:space="preserve">Se completan por region</t>
  </si>
  <si>
    <t xml:space="preserve">Las ciudades que el export deja vacias se rellenan con la ciudad de referencia de la region. Es una imputacion documentada, no un dato original: la hoja Control_Calidad informa cuantas fueron.</t>
  </si>
  <si>
    <t xml:space="preserve">El ETL, en formulas</t>
  </si>
  <si>
    <t xml:space="preserve">Sin dependencias externas</t>
  </si>
  <si>
    <t xml:space="preserve">La limpieza esta escrita con formulas nativas de Excel a la vista, en lugar de quedar encerrada en un paso que no se puede auditar celda por celda. Se reejecuta sola al recalcular el libro y no depende de ningun conector.</t>
  </si>
  <si>
    <t xml:space="preserve">Formato del archivo</t>
  </si>
  <si>
    <t xml:space="preserve">.xlsx, sin macros</t>
  </si>
  <si>
    <t xml:space="preserve">El entregable se envia en .xlsx, que es un formato sin macros. Toda la interactividad del tablero -segmentadores, formato condicional, refresco al abrir, listas de validacion- es nativa y no necesita que el usuario habilite nada.</t>
  </si>
  <si>
    <t xml:space="preserve">Como reproducirlo</t>
  </si>
  <si>
    <t xml:space="preserve">generador/pipeline.py</t>
  </si>
  <si>
    <t xml:space="preserve">El libro se arma de cero con scripts versionados en el repositorio. El entregable es el .xlsx; los scripts existen para que el resultado sea auditable.</t>
  </si>
  <si>
    <t xml:space="preserve">Capa intermedia del tablero</t>
  </si>
  <si>
    <t xml:space="preserve">Cadena del filtro:  segmentador -&gt; tabla dinamica -&gt; GETPIVOTDATA (esta hoja) -&gt; grafico.</t>
  </si>
  <si>
    <t xml:space="preserve">Totales por ejercicio</t>
  </si>
  <si>
    <t xml:space="preserve">Costo de producto</t>
  </si>
  <si>
    <t xml:space="preserve">Costo logistico</t>
  </si>
  <si>
    <t xml:space="preserve">Precio promedio por unidad</t>
  </si>
  <si>
    <t xml:space="preserve">Costo de producto por unidad</t>
  </si>
  <si>
    <t xml:space="preserve">Margen unitario</t>
  </si>
  <si>
    <t xml:space="preserve">Costo logistico / ventas</t>
  </si>
  <si>
    <t xml:space="preserve">KPI</t>
  </si>
  <si>
    <t xml:space="preserve">Meta</t>
  </si>
  <si>
    <t xml:space="preserve">Brecha</t>
  </si>
  <si>
    <t xml:space="preserve">Cumple</t>
  </si>
  <si>
    <t xml:space="preserve">Ventas 2025</t>
  </si>
  <si>
    <t xml:space="preserve">Crecimiento interanual</t>
  </si>
  <si>
    <t xml:space="preserve">Variacion del margen % (p.p.)</t>
  </si>
  <si>
    <t xml:space="preserve">Variacion del costo logistico / ventas (p.p.)</t>
  </si>
  <si>
    <t xml:space="preserve">Puente de margen bruto 2024 -&gt; 2025</t>
  </si>
  <si>
    <t xml:space="preserve">Efecto</t>
  </si>
  <si>
    <t xml:space="preserve">Acumulado</t>
  </si>
  <si>
    <t xml:space="preserve">Base</t>
  </si>
  <si>
    <t xml:space="preserve">Total</t>
  </si>
  <si>
    <t xml:space="preserve">Suma</t>
  </si>
  <si>
    <t xml:space="preserve">Resta</t>
  </si>
  <si>
    <t xml:space="preserve">Margen 2024</t>
  </si>
  <si>
    <t xml:space="preserve">Mas unidades</t>
  </si>
  <si>
    <t xml:space="preserve">Precios mas altos</t>
  </si>
  <si>
    <t xml:space="preserve">Costo de compra</t>
  </si>
  <si>
    <t xml:space="preserve">Margen 2025</t>
  </si>
  <si>
    <t xml:space="preserve">Control: los efectos deben cerrar en cero</t>
  </si>
  <si>
    <t xml:space="preserve">Evolucion mensual</t>
  </si>
  <si>
    <t xml:space="preserve">Ventas 2024</t>
  </si>
  <si>
    <t xml:space="preserve">Margen % 2025</t>
  </si>
  <si>
    <t xml:space="preserve">YTD 2024</t>
  </si>
  <si>
    <t xml:space="preserve">YTD 2025</t>
  </si>
  <si>
    <t xml:space="preserve">Var. mensual</t>
  </si>
  <si>
    <t xml:space="preserve">Margen % por categoria</t>
  </si>
  <si>
    <t xml:space="preserve">Margen % 2024</t>
  </si>
  <si>
    <t xml:space="preserve">Productos 2025</t>
  </si>
  <si>
    <t xml:space="preserve">Crecimiento</t>
  </si>
  <si>
    <t xml:space="preserve">Margen %</t>
  </si>
  <si>
    <t xml:space="preserve">X en meta</t>
  </si>
  <si>
    <t xml:space="preserve">Y en meta</t>
  </si>
  <si>
    <t xml:space="preserve">X riesgo</t>
  </si>
  <si>
    <t xml:space="preserve">Y riesgo</t>
  </si>
  <si>
    <t xml:space="preserve">Regiones</t>
  </si>
  <si>
    <t xml:space="preserve">Region lider por ventas</t>
  </si>
  <si>
    <t xml:space="preserve">Participacion de la region lider</t>
  </si>
  <si>
    <t xml:space="preserve">Textos que el tablero muestra</t>
  </si>
  <si>
    <t xml:space="preserve">titular</t>
  </si>
  <si>
    <t xml:space="preserve">bajada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</si>
  <si>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</si>
  <si>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</si>
  <si>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</si>
  <si>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</si>
  <si>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</si>
  <si>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nota1</t>
  </si>
  <si>
    <t xml:space="preserve">nota2</t>
  </si>
  <si>
    <t xml:space="preserve">nota3</t>
  </si>
  <si>
    <t xml:space="preserve">pie5</t>
  </si>
  <si>
    <t xml:space="preserve">Tablas dinamicas de soporte. Los graficos del tablero las leen con GETPIVOTDATA sobre una grilla de tamano fijo. Se ocultan porque son infraestructura, no lectura. No editar a mano.</t>
  </si>
  <si>
    <t xml:space="preserve">CostoProd</t>
  </si>
  <si>
    <t xml:space="preserve">CostoLog</t>
  </si>
  <si>
    <t xml:space="preserve">2024-01</t>
  </si>
  <si>
    <t xml:space="preserve">Computacion 2024</t>
  </si>
  <si>
    <t xml:space="preserve">Laptop Pro 15 2024</t>
  </si>
  <si>
    <t xml:space="preserve">2024-02</t>
  </si>
  <si>
    <t xml:space="preserve">Accesorios 2024</t>
  </si>
  <si>
    <t xml:space="preserve">Monitor 4K 27 2024</t>
  </si>
  <si>
    <t xml:space="preserve">2024-03</t>
  </si>
  <si>
    <t xml:space="preserve">Audio 2024</t>
  </si>
  <si>
    <t xml:space="preserve">PC Gamer Ryzen 2024</t>
  </si>
  <si>
    <t xml:space="preserve">2024-04</t>
  </si>
  <si>
    <t xml:space="preserve">Almacenamiento 2024</t>
  </si>
  <si>
    <t xml:space="preserve">Mouse Inalambrico 2024</t>
  </si>
  <si>
    <t xml:space="preserve">2024-05</t>
  </si>
  <si>
    <t xml:space="preserve">Computacion 2025</t>
  </si>
  <si>
    <t xml:space="preserve">Teclado Mecanico 2024</t>
  </si>
  <si>
    <t xml:space="preserve">2024-06</t>
  </si>
  <si>
    <t xml:space="preserve">Accesorios 2025</t>
  </si>
  <si>
    <t xml:space="preserve">Webcam Full HD 2024</t>
  </si>
  <si>
    <t xml:space="preserve">2024-07</t>
  </si>
  <si>
    <t xml:space="preserve">Audio 2025</t>
  </si>
  <si>
    <t xml:space="preserve">Auriculares BT Pro 2024</t>
  </si>
  <si>
    <t xml:space="preserve">2024-08</t>
  </si>
  <si>
    <t xml:space="preserve">Almacenamiento 2025</t>
  </si>
  <si>
    <t xml:space="preserve">Parlante Bluetooth 2024</t>
  </si>
  <si>
    <t xml:space="preserve">2024-09</t>
  </si>
  <si>
    <t xml:space="preserve">SSD Externo 1TB 2024</t>
  </si>
  <si>
    <t xml:space="preserve">2024-10</t>
  </si>
  <si>
    <t xml:space="preserve">Pendrive 256GB 2024</t>
  </si>
  <si>
    <t xml:space="preserve">2024-11</t>
  </si>
  <si>
    <t xml:space="preserve">Laptop Pro 15 2025</t>
  </si>
  <si>
    <t xml:space="preserve">2024-12</t>
  </si>
  <si>
    <t xml:space="preserve">Monitor 4K 27 2025</t>
  </si>
  <si>
    <t xml:space="preserve">2025-01</t>
  </si>
  <si>
    <t xml:space="preserve">PC Gamer Ryzen 2025</t>
  </si>
  <si>
    <t xml:space="preserve">2025-02</t>
  </si>
  <si>
    <t xml:space="preserve">Mouse Inalambrico 2025</t>
  </si>
  <si>
    <t xml:space="preserve">2025-03</t>
  </si>
  <si>
    <t xml:space="preserve">Teclado Mecanico 2025</t>
  </si>
  <si>
    <t xml:space="preserve">2025-04</t>
  </si>
  <si>
    <t xml:space="preserve">Webcam Full HD 2025</t>
  </si>
  <si>
    <t xml:space="preserve">2025-05</t>
  </si>
  <si>
    <t xml:space="preserve">Auriculares BT Pro 2025</t>
  </si>
  <si>
    <t xml:space="preserve">2025-06</t>
  </si>
  <si>
    <t xml:space="preserve">Parlante Bluetooth 2025</t>
  </si>
  <si>
    <t xml:space="preserve">2025-07</t>
  </si>
  <si>
    <t xml:space="preserve">SSD Externo 1TB 2025</t>
  </si>
  <si>
    <t xml:space="preserve">2025-08</t>
  </si>
  <si>
    <t xml:space="preserve">Pendrive 256GB 2025</t>
  </si>
  <si>
    <t xml:space="preserve">2025-09</t>
  </si>
  <si>
    <t xml:space="preserve">2025-10</t>
  </si>
  <si>
    <t xml:space="preserve">2025-11</t>
  </si>
  <si>
    <t xml:space="preserve">2025-12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</si>
</sst>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0.0%"/>
    <numFmt numFmtId="167" formatCode="0.00%"/>
    <numFmt numFmtId="168" formatCode="\$#,##0,&quot; k&quot;"/>
    <numFmt numFmtId="169" formatCode="#,##0"/>
    <numFmt numFmtId="170" formatCode="General"/>
    <numFmt numFmtId="171" formatCode="dd/mm/yyyy"/>
    <numFmt numFmtId="172" formatCode="\$#,##0.00"/>
    <numFmt numFmtId="173" formatCode="0.0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7"/>
      <color rgb="FFFFFFFF"/>
      <name val="Arial"/>
      <family val="0"/>
      <charset val="1"/>
    </font>
    <font>
      <sz val="9"/>
      <color rgb="FFC7CEDB"/>
      <name val="Arial"/>
      <family val="0"/>
      <charset val="1"/>
    </font>
    <font>
      <sz val="10"/>
      <color rgb="FFC7CEDB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i val="true"/>
      <sz val="9.5"/>
      <color rgb="FF8C8C8C"/>
      <name val="Arial"/>
      <family val="0"/>
      <charset val="1"/>
    </font>
    <font>
      <b val="true"/>
      <sz val="8"/>
      <color rgb="FF8C8C8C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sz val="8.5"/>
      <color rgb="FF8C8C8C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8.5"/>
      <color rgb="FF8C8C8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.5"/>
      <color rgb="FF8C8C8C"/>
      <name val="Arial"/>
      <family val="0"/>
      <charset val="1"/>
    </font>
    <font>
      <sz val="9"/>
      <color rgb="FF2F3437"/>
      <name val="Arial"/>
      <family val="0"/>
      <charset val="1"/>
    </font>
    <font>
      <sz val="8"/>
      <color rgb="FF8C8C8C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5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color rgb="FF8C8C8C"/>
      <name val="Arial"/>
      <family val="0"/>
      <charset val="1"/>
    </font>
    <font>
      <sz val="9"/>
      <color rgb="FF8C8C8C"/>
      <name val="Arial"/>
      <family val="0"/>
      <charset val="1"/>
    </font>
    <font>
      <b val="true"/>
      <sz val="9.5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.5"/>
      <color rgb="FF0000FF"/>
      <name val="Arial"/>
      <family val="0"/>
      <charset val="1"/>
    </font>
    <font>
      <sz val="9.5"/>
      <color rgb="FF8C8C8C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sz val="9.5"/>
      <color rgb="FF2F3437"/>
      <name val="Arial"/>
      <family val="0"/>
      <charset val="1"/>
    </font>
    <font>
      <b val="true"/>
      <sz val="9.5"/>
      <color rgb="FFE8A33D"/>
      <name val="Arial"/>
      <family val="0"/>
      <charset val="1"/>
    </font>
    <font>
      <b val="true"/>
      <sz val="9.5"/>
      <color rgb="FF2F3437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1F3864"/>
      <name val="Arial"/>
      <family val="0"/>
      <charset val="1"/>
    </font>
    <font>
      <sz val="9.5"/>
      <color rgb="FF1F3864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.5"/>
      <color rgb="FFE8A33D"/>
      <name val="Arial"/>
      <family val="0"/>
      <charset val="1"/>
    </font>
    <font>
      <sz val="10"/>
      <color rgb="FF2F3437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2F3437"/>
      </patternFill>
    </fill>
    <fill>
      <patternFill patternType="solid">
        <fgColor rgb="FFF2F4F7"/>
        <bgColor rgb="FFE8F3ED"/>
      </patternFill>
    </fill>
    <fill>
      <patternFill patternType="solid">
        <fgColor rgb="FFFFFFFF"/>
        <bgColor rgb="FFF2F4F7"/>
      </patternFill>
    </fill>
    <fill>
      <patternFill patternType="solid">
        <fgColor rgb="FFFFF7D6"/>
        <bgColor rgb="FFFDF3E3"/>
      </patternFill>
    </fill>
    <fill>
      <patternFill patternType="solid">
        <fgColor rgb="FF8C8C8C"/>
        <bgColor rgb="FF878787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thin">
        <color rgb="FFDCE0E6"/>
      </left>
      <right style="thin">
        <color rgb="FFDCE0E6"/>
      </right>
      <top style="thin">
        <color rgb="FFDCE0E6"/>
      </top>
      <bottom/>
      <diagonal/>
    </border>
    <border diagonalUp="false" diagonalDown="false">
      <left style="thin">
        <color rgb="FFDCE0E6"/>
      </left>
      <right style="thin">
        <color rgb="FFDCE0E6"/>
      </right>
      <top/>
      <bottom/>
      <diagonal/>
    </border>
    <border diagonalUp="false" diagonalDown="false">
      <left style="thin">
        <color rgb="FFDCE0E6"/>
      </left>
      <right style="thin">
        <color rgb="FFDCE0E6"/>
      </right>
      <top/>
      <bottom style="thin">
        <color rgb="FFDCE0E6"/>
      </bottom>
      <diagonal/>
    </border>
    <border diagonalUp="false" diagonalDown="false">
      <left style="thin">
        <color rgb="FFDCE0E6"/>
      </left>
      <right style="thin">
        <color rgb="FFDCE0E6"/>
      </right>
      <top style="thin">
        <color rgb="FFDCE0E6"/>
      </top>
      <bottom style="thin">
        <color rgb="FFDCE0E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2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3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3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3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3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3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3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3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3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3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3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3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3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3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2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11">
    <dxf>
      <font>
        <name val="Arial"/>
        <charset val="1"/>
        <family val="0"/>
        <b val="1"/>
        <color rgb="FFE8A33D"/>
      </font>
      <fill>
        <patternFill>
          <bgColor rgb="FFFDF3E3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F343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DF3E3"/>
          <bgColor rgb="FF000000"/>
        </patternFill>
      </fill>
    </dxf>
    <dxf>
      <fill>
        <patternFill patternType="solid">
          <fgColor rgb="FFA96A12"/>
          <bgColor rgb="FF000000"/>
        </patternFill>
      </fill>
    </dxf>
    <dxf>
      <fill>
        <patternFill patternType="solid">
          <fgColor rgb="FF8C8C8C"/>
          <bgColor rgb="FF000000"/>
        </patternFill>
      </fill>
    </dxf>
    <dxf>
      <font>
        <name val="Arial"/>
        <charset val="1"/>
        <family val="0"/>
        <b val="1"/>
        <color rgb="FFA96A12"/>
        <sz val="9"/>
      </font>
      <fill>
        <patternFill>
          <bgColor rgb="FFFDF3E3"/>
        </patternFill>
      </fill>
    </dxf>
    <dxf>
      <font>
        <name val="Arial"/>
        <charset val="1"/>
        <family val="0"/>
        <color rgb="FFA96A12"/>
        <sz val="9"/>
      </font>
      <fill>
        <patternFill>
          <bgColor rgb="FFFDF3E3"/>
        </patternFill>
      </fill>
    </dxf>
    <dxf>
      <font>
        <name val="Arial"/>
        <charset val="1"/>
        <family val="0"/>
        <b val="1"/>
        <color rgb="FF1E7B4F"/>
        <sz val="9"/>
      </font>
      <fill>
        <patternFill>
          <bgColor rgb="FFE8F3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A12"/>
      <rgbColor rgb="FF800080"/>
      <rgbColor rgb="FF1E7B4F"/>
      <rgbColor rgb="FFD9D9D9"/>
      <rgbColor rgb="FF878787"/>
      <rgbColor rgb="FF9999FF"/>
      <rgbColor rgb="FF993366"/>
      <rgbColor rgb="FFFFF7D6"/>
      <rgbColor rgb="FFE8F3ED"/>
      <rgbColor rgb="FF660066"/>
      <rgbColor rgb="FFFF8080"/>
      <rgbColor rgb="FF0066CC"/>
      <rgbColor rgb="FFC7CE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DCE0E6"/>
      <rgbColor rgb="FFFDF3E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A33D"/>
      <rgbColor rgb="FFFF6600"/>
      <rgbColor rgb="FF666699"/>
      <rgbColor rgb="FF8C8C8C"/>
      <rgbColor rgb="FF1F3864"/>
      <rgbColor rgb="FF339966"/>
      <rgbColor rgb="FF003300"/>
      <rgbColor rgb="FF333300"/>
      <rgbColor rgb="FF993300"/>
      <rgbColor rgb="FF993366"/>
      <rgbColor rgb="FF333399"/>
      <rgbColor rgb="FF2F34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<Relationship Id="rId13" Type="http://schemas.openxmlformats.org/officeDocument/2006/relationships/pivotCacheDefinition" Target="pivotCache/pivotCacheDefinition1.xml"/>
<Relationship Id="rId14" Type="http://schemas.microsoft.com/office/2007/relationships/slicerCache" Target="slicerCaches/slicerCache1.xml"/><Relationship Id="rId15" Type="http://schemas.microsoft.com/office/2007/relationships/slicerCache" Target="slicerCaches/slicerCache2.xml"/><Relationship Id="rId16" Type="http://schemas.microsoft.com/office/2007/relationships/slicerCache" Target="slicerCaches/slicerCache3.xml"/><Relationship Id="rId17" Type="http://schemas.microsoft.com/office/2007/relationships/slicerCache" Target="slicerCaches/slicerCach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strRef>
          <c:f>Calculos!$B$87</c:f>
          <c:strCache>
            <c:ptCount val="1"/>
            <c:pt idx="0">
              <c:v>El margen se recupera en el segundo semestre (34.5%) pero no vuelve al nivel de 2024 (35.7%)</c:v>
            </c:pt>
          </c:strCache>
        </c:strRef>
      </c:tx>
      <c:overlay val="0"/>
      <c:txPr>
        <a:bodyPr rot="0"/>
        <a:lstStyle/>
        <a:p>
          <a:pPr>
            <a:defRPr sz="1000" b="1">
              <a:solidFill>
                <a:srgbClr val="1F3864"/>
              </a:solidFill>
              <a:latin typeface="Arial"/>
            </a:defRPr>
          </a:pPr>
          <a:endParaRPr lang="es-AR"/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Calculos!B37</c:f>
              <c:strCache>
                <c:ptCount val="1"/>
                <c:pt idx="0">
                  <c:v>Ventas 2024</c:v>
                </c:pt>
              </c:strCache>
            </c:strRef>
          </c:tx>
          <c:spPr>
            <a:solidFill>
              <a:srgbClr val="8c8c8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Calculos!$A$38:$A$49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Calculos!$B$38:$B$49</c:f>
              <c:numCache>
                <c:formatCode>\$#,##0</c:formatCode>
                <c:ptCount val="12"/>
                <c:pt idx="0">
                  <c:v>335709.78</c:v>
                </c:pt>
                <c:pt idx="1">
                  <c:v>297385.9</c:v>
                </c:pt>
                <c:pt idx="2">
                  <c:v>362339.32</c:v>
                </c:pt>
                <c:pt idx="3">
                  <c:v>351882.72</c:v>
                </c:pt>
                <c:pt idx="4">
                  <c:v>379787.24</c:v>
                </c:pt>
                <c:pt idx="5">
                  <c:v>402575.18</c:v>
                </c:pt>
                <c:pt idx="6">
                  <c:v>421091.3</c:v>
                </c:pt>
                <c:pt idx="7">
                  <c:v>369456.08</c:v>
                </c:pt>
                <c:pt idx="8">
                  <c:v>374810.8</c:v>
                </c:pt>
                <c:pt idx="9">
                  <c:v>400237.88</c:v>
                </c:pt>
                <c:pt idx="10">
                  <c:v>474654.18</c:v>
                </c:pt>
                <c:pt idx="11">
                  <c:v>556384.22</c:v>
                </c:pt>
              </c:numCache>
            </c:numRef>
          </c:val>
        </c:ser>
        <c:ser>
          <c:idx val="1"/>
          <c:order val="1"/>
          <c:tx>
            <c:strRef>
              <c:f>Calculos!C37</c:f>
              <c:strCache>
                <c:ptCount val="1"/>
                <c:pt idx="0">
                  <c:v>Ventas 2025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Calculos!$A$38:$A$49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Calculos!$C$38:$C$49</c:f>
              <c:numCache>
                <c:formatCode>\$#,##0</c:formatCode>
                <c:ptCount val="12"/>
                <c:pt idx="0">
                  <c:v>376115.96</c:v>
                </c:pt>
                <c:pt idx="1">
                  <c:v>354148.74</c:v>
                </c:pt>
                <c:pt idx="2">
                  <c:v>424353.81</c:v>
                </c:pt>
                <c:pt idx="3">
                  <c:v>401046.29</c:v>
                </c:pt>
                <c:pt idx="4">
                  <c:v>447928.5</c:v>
                </c:pt>
                <c:pt idx="5">
                  <c:v>466752.11</c:v>
                </c:pt>
                <c:pt idx="6">
                  <c:v>500057.9</c:v>
                </c:pt>
                <c:pt idx="7">
                  <c:v>444999.85</c:v>
                </c:pt>
                <c:pt idx="8">
                  <c:v>445706.66</c:v>
                </c:pt>
                <c:pt idx="9">
                  <c:v>466416.5</c:v>
                </c:pt>
                <c:pt idx="10">
                  <c:v>567804.81</c:v>
                </c:pt>
                <c:pt idx="11">
                  <c:v>670714.47</c:v>
                </c:pt>
              </c:numCache>
            </c:numRef>
          </c:val>
        </c:ser>
        <c:gapWidth val="60"/>
        <c:overlap val="-10"/>
        <c:axId val="2111043"/>
        <c:axId val="2179373"/>
      </c:barChart>
      <c:lineChart>
        <c:grouping val="standard"/>
        <c:varyColors val="0"/>
        <c:ser>
          <c:idx val="2"/>
          <c:order val="2"/>
          <c:tx>
            <c:strRef>
              <c:f>Calculos!D37</c:f>
              <c:strCache>
                <c:ptCount val="1"/>
                <c:pt idx="0">
                  <c:v>Margen % 2025</c:v>
                </c:pt>
              </c:strCache>
            </c:strRef>
          </c:tx>
          <c:spPr>
            <a:solidFill>
              <a:srgbClr val="e8a33d"/>
            </a:solidFill>
            <a:ln w="21960">
              <a:solidFill>
                <a:srgbClr val="e8a33d"/>
              </a:solidFill>
              <a:round/>
            </a:ln>
          </c:spPr>
          <c:marker>
            <c:symbol val="circle"/>
            <c:size val="5"/>
            <c:spPr>
              <a:solidFill>
                <a:srgbClr val="e8a33d"/>
              </a:solidFill>
            </c:spPr>
          </c:marker>
          <c:dLbls>
            <c:numFmt formatCode="0.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700" b="0">
                    <a:solidFill>
                      <a:srgbClr val="2F3437"/>
                    </a:solidFill>
                    <a:latin typeface="Arial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Calculos!$A$38:$A$49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Calculos!$D$38:$D$49</c:f>
              <c:numCache>
                <c:formatCode>0.0%</c:formatCode>
                <c:ptCount val="12"/>
                <c:pt idx="0">
                  <c:v>0.318490499578907</c:v>
                </c:pt>
                <c:pt idx="1">
                  <c:v>0.32058481981328</c:v>
                </c:pt>
                <c:pt idx="2">
                  <c:v>0.319193834974641</c:v>
                </c:pt>
                <c:pt idx="3">
                  <c:v>0.318380628829655</c:v>
                </c:pt>
                <c:pt idx="4">
                  <c:v>0.314476462203231</c:v>
                </c:pt>
                <c:pt idx="5">
                  <c:v>0.31764996198946</c:v>
                </c:pt>
                <c:pt idx="6">
                  <c:v>0.343593891827327</c:v>
                </c:pt>
                <c:pt idx="7">
                  <c:v>0.345087015197871</c:v>
                </c:pt>
                <c:pt idx="8">
                  <c:v>0.344371004014165</c:v>
                </c:pt>
                <c:pt idx="9">
                  <c:v>0.346056389514522</c:v>
                </c:pt>
                <c:pt idx="10">
                  <c:v>0.345865615333551</c:v>
                </c:pt>
                <c:pt idx="11">
                  <c:v>0.345073008488992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6856532"/>
        <c:axId val="6592264"/>
      </c:lineChart>
      <c:catAx>
        <c:axId val="21110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79373"/>
        <c:crosses val="autoZero"/>
        <c:auto val="1"/>
        <c:lblAlgn val="ctr"/>
        <c:lblOffset val="100"/>
        <c:noMultiLvlLbl val="0"/>
      </c:catAx>
      <c:valAx>
        <c:axId val="21793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&quot; k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11043"/>
        <c:crosses val="autoZero"/>
        <c:crossBetween val="between"/>
      </c:valAx>
      <c:catAx>
        <c:axId val="46856532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92264"/>
        <c:crosses val="autoZero"/>
        <c:auto val="1"/>
        <c:lblAlgn val="ctr"/>
        <c:lblOffset val="100"/>
        <c:noMultiLvlLbl val="0"/>
      </c:catAx>
      <c:valAx>
        <c:axId val="6592264"/>
        <c:scaling>
          <c:orientation val="minMax"/>
        </c:scaling>
        <c:delete val="0"/>
        <c:axPos val="r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85653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strRef>
          <c:f>Calculos!$B$88</c:f>
          <c:strCache>
            <c:ptCount val="1"/>
            <c:pt idx="0">
              <c:v>El acumulado del ano cierra 17.8% arriba de 2024, y la brecha se abre desde el primer trimestre</c:v>
            </c:pt>
          </c:strCache>
        </c:strRef>
      </c:tx>
      <c:overlay val="0"/>
      <c:txPr>
        <a:bodyPr rot="0"/>
        <a:lstStyle/>
        <a:p>
          <a:pPr>
            <a:defRPr sz="1000" b="1">
              <a:solidFill>
                <a:srgbClr val="1F3864"/>
              </a:solidFill>
              <a:latin typeface="Arial"/>
            </a:defRPr>
          </a:pPr>
          <a:endParaRPr lang="es-AR"/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Calculos!G37</c:f>
              <c:strCache>
                <c:ptCount val="1"/>
                <c:pt idx="0">
                  <c:v>YTD 2024</c:v>
                </c:pt>
              </c:strCache>
            </c:strRef>
          </c:tx>
          <c:spPr>
            <a:solidFill>
              <a:srgbClr val="8c8c8c"/>
            </a:solidFill>
            <a:ln w="21960">
              <a:solidFill>
                <a:srgbClr val="8c8c8c"/>
              </a:solidFill>
              <a:round/>
            </a:ln>
          </c:spPr>
          <c:marker>
            <c:symbol val="circle"/>
            <c:size val="5"/>
            <c:spPr>
              <a:solidFill>
                <a:srgbClr val="8c8c8c"/>
              </a:solidFill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numFmt formatCode="&quot;$&quot;#,##0,&quot; k&quot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700" b="0">
                    <a:solidFill>
                      <a:srgbClr val="2F3437"/>
                    </a:solidFill>
                    <a:latin typeface="Arial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Calculos!$J$38:$J$49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Calculos!$G$38:$G$49</c:f>
              <c:numCache>
                <c:formatCode>\$#,##0</c:formatCode>
                <c:ptCount val="12"/>
                <c:pt idx="0">
                  <c:v>335709.78</c:v>
                </c:pt>
                <c:pt idx="1">
                  <c:v>633095.68</c:v>
                </c:pt>
                <c:pt idx="2">
                  <c:v>995435</c:v>
                </c:pt>
                <c:pt idx="3">
                  <c:v>1347317.72</c:v>
                </c:pt>
                <c:pt idx="4">
                  <c:v>1727104.96</c:v>
                </c:pt>
                <c:pt idx="5">
                  <c:v>2129680.14</c:v>
                </c:pt>
                <c:pt idx="6">
                  <c:v>2550771.44</c:v>
                </c:pt>
                <c:pt idx="7">
                  <c:v>2920227.52</c:v>
                </c:pt>
                <c:pt idx="8">
                  <c:v>3295038.32</c:v>
                </c:pt>
                <c:pt idx="9">
                  <c:v>3695276.2</c:v>
                </c:pt>
                <c:pt idx="10">
                  <c:v>4169930.38</c:v>
                </c:pt>
                <c:pt idx="11">
                  <c:v>4726314.6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Calculos!H37</c:f>
              <c:strCache>
                <c:ptCount val="1"/>
                <c:pt idx="0">
                  <c:v>YTD 2025</c:v>
                </c:pt>
              </c:strCache>
            </c:strRef>
          </c:tx>
          <c:spPr>
            <a:solidFill>
              <a:srgbClr val="1f3864"/>
            </a:solidFill>
            <a:ln w="21960">
              <a:solidFill>
                <a:srgbClr val="1f3864"/>
              </a:solidFill>
              <a:round/>
            </a:ln>
          </c:spPr>
          <c:marker>
            <c:symbol val="circle"/>
            <c:size val="5"/>
            <c:spPr>
              <a:solidFill>
                <a:srgbClr val="1f3864"/>
              </a:solidFill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numFmt formatCode="&quot;$&quot;#,##0,&quot; k&quot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700" b="0">
                    <a:solidFill>
                      <a:srgbClr val="2F3437"/>
                    </a:solidFill>
                    <a:latin typeface="Arial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Calculos!$J$38:$J$49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Calculos!$H$38:$H$49</c:f>
              <c:numCache>
                <c:formatCode>\$#,##0</c:formatCode>
                <c:ptCount val="12"/>
                <c:pt idx="0">
                  <c:v>376115.96</c:v>
                </c:pt>
                <c:pt idx="1">
                  <c:v>730264.7</c:v>
                </c:pt>
                <c:pt idx="2">
                  <c:v>1154618.51</c:v>
                </c:pt>
                <c:pt idx="3">
                  <c:v>1555664.8</c:v>
                </c:pt>
                <c:pt idx="4">
                  <c:v>2003593.3</c:v>
                </c:pt>
                <c:pt idx="5">
                  <c:v>2470345.41</c:v>
                </c:pt>
                <c:pt idx="6">
                  <c:v>2970403.31</c:v>
                </c:pt>
                <c:pt idx="7">
                  <c:v>3415403.16</c:v>
                </c:pt>
                <c:pt idx="8">
                  <c:v>3861109.82</c:v>
                </c:pt>
                <c:pt idx="9">
                  <c:v>4327526.32</c:v>
                </c:pt>
                <c:pt idx="10">
                  <c:v>4895331.13</c:v>
                </c:pt>
                <c:pt idx="11">
                  <c:v>5566045.6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3468917"/>
        <c:axId val="14264107"/>
      </c:lineChart>
      <c:catAx>
        <c:axId val="234689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264107"/>
        <c:crosses val="autoZero"/>
        <c:auto val="1"/>
        <c:lblAlgn val="ctr"/>
        <c:lblOffset val="100"/>
        <c:noMultiLvlLbl val="0"/>
      </c:catAx>
      <c:valAx>
        <c:axId val="142641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&quot; k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46891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strRef>
          <c:f>Calculos!$B$89</c:f>
          <c:strCache>
            <c:ptCount val="1"/>
            <c:pt idx="0">
              <c:v>Volumen y precio sumaron $417,296 de margen; los costos se llevaron $253,423</c:v>
            </c:pt>
          </c:strCache>
        </c:strRef>
      </c:tx>
      <c:overlay val="0"/>
      <c:txPr>
        <a:bodyPr rot="0"/>
        <a:lstStyle/>
        <a:p>
          <a:pPr>
            <a:defRPr sz="1000" b="1">
              <a:solidFill>
                <a:srgbClr val="1F3864"/>
              </a:solidFill>
              <a:latin typeface="Arial"/>
            </a:defRPr>
          </a:pPr>
          <a:endParaRPr lang="es-AR"/>
        </a:p>
      </c:tx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Calculos!D27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Calculos!$A$28:$A$33</c:f>
              <c:strCache>
                <c:ptCount val="6"/>
                <c:pt idx="0">
                  <c:v>Margen 2024</c:v>
                </c:pt>
                <c:pt idx="1">
                  <c:v>Mas unidades</c:v>
                </c:pt>
                <c:pt idx="2">
                  <c:v>Precios mas altos</c:v>
                </c:pt>
                <c:pt idx="3">
                  <c:v>Costo de compra</c:v>
                </c:pt>
                <c:pt idx="4">
                  <c:v>Costo logistico</c:v>
                </c:pt>
                <c:pt idx="5">
                  <c:v>Margen 2025</c:v>
                </c:pt>
              </c:strCache>
            </c:strRef>
          </c:cat>
          <c:val>
            <c:numRef>
              <c:f>Calculos!$D$28:$D$33</c:f>
              <c:numCache>
                <c:formatCode>\$#,##0</c:formatCode>
                <c:ptCount val="6"/>
                <c:pt idx="0">
                  <c:v>0</c:v>
                </c:pt>
                <c:pt idx="1">
                  <c:v>1689818.71</c:v>
                </c:pt>
                <c:pt idx="2">
                  <c:v>1947961.61105058</c:v>
                </c:pt>
                <c:pt idx="3">
                  <c:v>1934612.86</c:v>
                </c:pt>
                <c:pt idx="4">
                  <c:v>1853692.31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Calculos!E27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numFmt formatCode="&quot;$&quot;#,##0,&quot; k&quot;;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700" b="0">
                    <a:solidFill>
                      <a:srgbClr val="2F3437"/>
                    </a:solidFill>
                    <a:latin typeface="Arial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Calculos!$A$28:$A$33</c:f>
              <c:strCache>
                <c:ptCount val="6"/>
                <c:pt idx="0">
                  <c:v>Margen 2024</c:v>
                </c:pt>
                <c:pt idx="1">
                  <c:v>Mas unidades</c:v>
                </c:pt>
                <c:pt idx="2">
                  <c:v>Precios mas altos</c:v>
                </c:pt>
                <c:pt idx="3">
                  <c:v>Costo de compra</c:v>
                </c:pt>
                <c:pt idx="4">
                  <c:v>Costo logistico</c:v>
                </c:pt>
                <c:pt idx="5">
                  <c:v>Margen 2025</c:v>
                </c:pt>
              </c:strCache>
            </c:strRef>
          </c:cat>
          <c:val>
            <c:numRef>
              <c:f>Calculos!$E$28:$E$33</c:f>
              <c:numCache>
                <c:formatCode>\$#,##0</c:formatCode>
                <c:ptCount val="6"/>
                <c:pt idx="0">
                  <c:v>1689818.71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1853692.31</c:v>
                </c:pt>
              </c:numCache>
            </c:numRef>
          </c:val>
        </c:ser>
        <c:ser>
          <c:idx val="2"/>
          <c:order val="2"/>
          <c:tx>
            <c:strRef>
              <c:f>Calculos!F27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8c8c8c"/>
            </a:solidFill>
            <a:ln w="0">
              <a:noFill/>
            </a:ln>
          </c:spPr>
          <c:invertIfNegative val="0"/>
          <c:dLbls>
            <c:numFmt formatCode="&quot;$&quot;#,##0,&quot; k&quot;;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700" b="0">
                    <a:solidFill>
                      <a:srgbClr val="2F3437"/>
                    </a:solidFill>
                    <a:latin typeface="Arial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Calculos!$A$28:$A$33</c:f>
              <c:strCache>
                <c:ptCount val="6"/>
                <c:pt idx="0">
                  <c:v>Margen 2024</c:v>
                </c:pt>
                <c:pt idx="1">
                  <c:v>Mas unidades</c:v>
                </c:pt>
                <c:pt idx="2">
                  <c:v>Precios mas altos</c:v>
                </c:pt>
                <c:pt idx="3">
                  <c:v>Costo de compra</c:v>
                </c:pt>
                <c:pt idx="4">
                  <c:v>Costo logistico</c:v>
                </c:pt>
                <c:pt idx="5">
                  <c:v>Margen 2025</c:v>
                </c:pt>
              </c:strCache>
            </c:strRef>
          </c:cat>
          <c:val>
            <c:numRef>
              <c:f>Calculos!$F$28:$F$33</c:f>
              <c:numCache>
                <c:formatCode>\$#,##0</c:formatCode>
                <c:ptCount val="6"/>
                <c:pt idx="0">
                  <c:v>0</c:v>
                </c:pt>
                <c:pt idx="1">
                  <c:v>258142.901050582</c:v>
                </c:pt>
                <c:pt idx="2">
                  <c:v>159153.476118533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Calculos!G27</c:f>
              <c:strCache>
                <c:ptCount val="1"/>
                <c:pt idx="0">
                  <c:v>Resta</c:v>
                </c:pt>
              </c:strCache>
            </c:strRef>
          </c:tx>
          <c:spPr>
            <a:solidFill>
              <a:srgbClr val="e8a33d"/>
            </a:solidFill>
            <a:ln w="0">
              <a:noFill/>
            </a:ln>
          </c:spPr>
          <c:invertIfNegative val="0"/>
          <c:dLbls>
            <c:numFmt formatCode="&quot;$&quot;#,##0,&quot; k&quot;;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700" b="0">
                    <a:solidFill>
                      <a:srgbClr val="2F3437"/>
                    </a:solidFill>
                    <a:latin typeface="Arial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Calculos!$A$28:$A$33</c:f>
              <c:strCache>
                <c:ptCount val="6"/>
                <c:pt idx="0">
                  <c:v>Margen 2024</c:v>
                </c:pt>
                <c:pt idx="1">
                  <c:v>Mas unidades</c:v>
                </c:pt>
                <c:pt idx="2">
                  <c:v>Precios mas altos</c:v>
                </c:pt>
                <c:pt idx="3">
                  <c:v>Costo de compra</c:v>
                </c:pt>
                <c:pt idx="4">
                  <c:v>Costo logistico</c:v>
                </c:pt>
                <c:pt idx="5">
                  <c:v>Margen 2025</c:v>
                </c:pt>
              </c:strCache>
            </c:strRef>
          </c:cat>
          <c:val>
            <c:numRef>
              <c:f>Calculos!$G$28:$G$33</c:f>
              <c:numCache>
                <c:formatCode>\$#,##0</c:formatCode>
                <c:ptCount val="6"/>
                <c:pt idx="0">
                  <c:v>0</c:v>
                </c:pt>
                <c:pt idx="1">
                  <c:v>-0</c:v>
                </c:pt>
                <c:pt idx="2">
                  <c:v>-0</c:v>
                </c:pt>
                <c:pt idx="3">
                  <c:v>172502.227169116</c:v>
                </c:pt>
                <c:pt idx="4">
                  <c:v>80920.5499999999</c:v>
                </c:pt>
                <c:pt idx="5">
                  <c:v>0</c:v>
                </c:pt>
              </c:numCache>
            </c:numRef>
          </c:val>
        </c:ser>
        <c:gapWidth val="45"/>
        <c:overlap val="100"/>
        <c:axId val="70946571"/>
        <c:axId val="51319294"/>
      </c:barChart>
      <c:catAx>
        <c:axId val="709465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319294"/>
        <c:crosses val="autoZero"/>
        <c:auto val="1"/>
        <c:lblAlgn val="ctr"/>
        <c:lblOffset val="100"/>
        <c:noMultiLvlLbl val="0"/>
      </c:catAx>
      <c:valAx>
        <c:axId val="513192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&quot; k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946571"/>
        <c:crosses val="autoZero"/>
        <c:crossBetween val="between"/>
      </c:valAx>
      <c:spPr>
        <a:noFill/>
        <a:ln w="0">
          <a:noFill/>
        </a:ln>
      </c:spPr>
    </c:plotArea>
    <c:legend>
      <c:legendPos val="b"/>
      <c:legendEntry>
        <c:idx val="0"/>
        <c:delete val="1"/>
      </c:legendEntry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strRef>
          <c:f>Calculos!$B$90</c:f>
          <c:strCache>
            <c:ptCount val="1"/>
            <c:pt idx="0">
              <c:v>Computacion concentra la caida: pierde 2.8 p.p. de margen</c:v>
            </c:pt>
          </c:strCache>
        </c:strRef>
      </c:tx>
      <c:overlay val="0"/>
      <c:txPr>
        <a:bodyPr rot="0"/>
        <a:lstStyle/>
        <a:p>
          <a:pPr>
            <a:defRPr sz="1000" b="1">
              <a:solidFill>
                <a:srgbClr val="1F3864"/>
              </a:solidFill>
              <a:latin typeface="Arial"/>
            </a:defRPr>
          </a:pPr>
          <a:endParaRPr lang="es-AR"/>
        </a:p>
      </c:tx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Calculos!B53</c:f>
              <c:strCache>
                <c:ptCount val="1"/>
                <c:pt idx="0">
                  <c:v>Margen % 2024</c:v>
                </c:pt>
              </c:strCache>
            </c:strRef>
          </c:tx>
          <c:spPr>
            <a:solidFill>
              <a:srgbClr val="8c8c8c"/>
            </a:solidFill>
            <a:ln w="0">
              <a:noFill/>
            </a:ln>
          </c:spPr>
          <c:invertIfNegative val="0"/>
          <c:dLbls>
            <c:numFmt formatCode="0.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700" b="0">
                    <a:solidFill>
                      <a:srgbClr val="2F3437"/>
                    </a:solidFill>
                    <a:latin typeface="Arial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Calculos!$A$54:$A$57</c:f>
              <c:strCache>
                <c:ptCount val="4"/>
                <c:pt idx="0">
                  <c:v>Computacion</c:v>
                </c:pt>
                <c:pt idx="1">
                  <c:v>Accesorios</c:v>
                </c:pt>
                <c:pt idx="2">
                  <c:v>Audio</c:v>
                </c:pt>
                <c:pt idx="3">
                  <c:v>Almacenamiento</c:v>
                </c:pt>
              </c:strCache>
            </c:strRef>
          </c:cat>
          <c:val>
            <c:numRef>
              <c:f>Calculos!$B$54:$B$57</c:f>
              <c:numCache>
                <c:formatCode>0.0%</c:formatCode>
                <c:ptCount val="4"/>
                <c:pt idx="0">
                  <c:v>0.317633256226047</c:v>
                </c:pt>
                <c:pt idx="1">
                  <c:v>0.452658865186448</c:v>
                </c:pt>
                <c:pt idx="2">
                  <c:v>0.422346730306092</c:v>
                </c:pt>
                <c:pt idx="3">
                  <c:v>0.397559203122239</c:v>
                </c:pt>
              </c:numCache>
            </c:numRef>
          </c:val>
        </c:ser>
        <c:ser>
          <c:idx val="1"/>
          <c:order val="1"/>
          <c:tx>
            <c:strRef>
              <c:f>Calculos!C53</c:f>
              <c:strCache>
                <c:ptCount val="1"/>
                <c:pt idx="0">
                  <c:v>Margen % 2025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numFmt formatCode="0.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700" b="0">
                    <a:solidFill>
                      <a:srgbClr val="2F3437"/>
                    </a:solidFill>
                    <a:latin typeface="Arial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Calculos!$A$54:$A$57</c:f>
              <c:strCache>
                <c:ptCount val="4"/>
                <c:pt idx="0">
                  <c:v>Computacion</c:v>
                </c:pt>
                <c:pt idx="1">
                  <c:v>Accesorios</c:v>
                </c:pt>
                <c:pt idx="2">
                  <c:v>Audio</c:v>
                </c:pt>
                <c:pt idx="3">
                  <c:v>Almacenamiento</c:v>
                </c:pt>
              </c:strCache>
            </c:strRef>
          </c:cat>
          <c:val>
            <c:numRef>
              <c:f>Calculos!$C$54:$C$57</c:f>
              <c:numCache>
                <c:formatCode>0.0%</c:formatCode>
                <c:ptCount val="4"/>
                <c:pt idx="0">
                  <c:v>0.28973779429825</c:v>
                </c:pt>
                <c:pt idx="1">
                  <c:v>0.435744939103133</c:v>
                </c:pt>
                <c:pt idx="2">
                  <c:v>0.405529772887226</c:v>
                </c:pt>
                <c:pt idx="3">
                  <c:v>0.380429720359443</c:v>
                </c:pt>
              </c:numCache>
            </c:numRef>
          </c:val>
        </c:ser>
        <c:gapWidth val="60"/>
        <c:overlap val="0"/>
        <c:axId val="72872049"/>
        <c:axId val="38435576"/>
      </c:barChart>
      <c:catAx>
        <c:axId val="72872049"/>
        <c:scaling>
          <c:orientation val="minMax"/>
        </c:scaling>
        <c:delete val="0"/>
        <c:axPos val="b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435576"/>
        <c:crosses val="autoZero"/>
        <c:auto val="1"/>
        <c:lblAlgn val="ctr"/>
        <c:lblOffset val="100"/>
        <c:noMultiLvlLbl val="0"/>
      </c:catAx>
      <c:valAx>
        <c:axId val="384355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87204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strRef>
          <c:f>Calculos!$B$91</c:f>
          <c:strCache>
            <c:ptCount val="1"/>
            <c:pt idx="0">
              <c:v>Los productos que mas crecen son los que menos margen dejan</c:v>
            </c:pt>
          </c:strCache>
        </c:strRef>
      </c:tx>
      <c:overlay val="0"/>
      <c:txPr>
        <a:bodyPr rot="0"/>
        <a:lstStyle/>
        <a:p>
          <a:pPr>
            <a:defRPr sz="1000" b="1">
              <a:solidFill>
                <a:srgbClr val="1F3864"/>
              </a:solidFill>
              <a:latin typeface="Arial"/>
            </a:defRPr>
          </a:pPr>
          <a:endParaRPr lang="es-AR"/>
        </a:p>
      </c:tx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"En meta de margen"</c:f>
              <c:strCache>
                <c:ptCount val="1"/>
                <c:pt idx="0">
                  <c:v>En meta de margen</c:v>
                </c:pt>
              </c:strCache>
            </c:strRef>
          </c:tx>
          <c:spPr>
            <a:solidFill>
              <a:srgbClr val="1f3864"/>
            </a:solidFill>
            <a:ln w="28440">
              <a:noFill/>
            </a:ln>
          </c:spPr>
          <c:marker>
            <c:symbol val="circle"/>
            <c:size val="9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Calculos!$E$62:$E$71</c:f>
              <c:numCache>
                <c:formatCode>0.0%</c:formatCode>
                <c:ptCount val="10"/>
                <c:pt idx="1">
                  <c:v>0.176050080108353</c:v>
                </c:pt>
                <c:pt idx="3">
                  <c:v>0.151039779936655</c:v>
                </c:pt>
                <c:pt idx="4">
                  <c:v>0.165154986074542</c:v>
                </c:pt>
                <c:pt idx="5">
                  <c:v>0.141136610823022</c:v>
                </c:pt>
                <c:pt idx="6">
                  <c:v>0.210496672247157</c:v>
                </c:pt>
                <c:pt idx="7">
                  <c:v>0.168288417729297</c:v>
                </c:pt>
                <c:pt idx="8">
                  <c:v>0.165529648169793</c:v>
                </c:pt>
                <c:pt idx="9">
                  <c:v>0.174085219698131</c:v>
                </c:pt>
              </c:numCache>
            </c:numRef>
          </c:xVal>
          <c:yVal>
            <c:numRef>
              <c:f>Calculos!$F$62:$F$71</c:f>
              <c:numCache>
                <c:formatCode>0.0%</c:formatCode>
                <c:ptCount val="10"/>
                <c:pt idx="1">
                  <c:v>0.334185808826126</c:v>
                </c:pt>
                <c:pt idx="3">
                  <c:v>0.472445193744698</c:v>
                </c:pt>
                <c:pt idx="4">
                  <c:v>0.445955323884097</c:v>
                </c:pt>
                <c:pt idx="5">
                  <c:v>0.404791368878501</c:v>
                </c:pt>
                <c:pt idx="6">
                  <c:v>0.420637746381836</c:v>
                </c:pt>
                <c:pt idx="7">
                  <c:v>0.383919700245319</c:v>
                </c:pt>
                <c:pt idx="8">
                  <c:v>0.363930889211542</c:v>
                </c:pt>
                <c:pt idx="9">
                  <c:v>0.441217900592534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"Zona de riesgo"</c:f>
              <c:strCache>
                <c:ptCount val="1"/>
                <c:pt idx="0">
                  <c:v>Zona de riesgo</c:v>
                </c:pt>
              </c:strCache>
            </c:strRef>
          </c:tx>
          <c:spPr>
            <a:solidFill>
              <a:srgbClr val="e8a33d"/>
            </a:solidFill>
            <a:ln w="28440">
              <a:noFill/>
            </a:ln>
          </c:spPr>
          <c:marker>
            <c:symbol val="circle"/>
            <c:size val="9"/>
            <c:spPr>
              <a:solidFill>
                <a:srgbClr val="e8a33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Calculos!$G$62:$G$71</c:f>
              <c:numCache>
                <c:formatCode>0.0%</c:formatCode>
                <c:ptCount val="10"/>
                <c:pt idx="0">
                  <c:v>0.152764737473936</c:v>
                </c:pt>
                <c:pt idx="2">
                  <c:v>0.208592049527534</c:v>
                </c:pt>
              </c:numCache>
            </c:numRef>
          </c:xVal>
          <c:yVal>
            <c:numRef>
              <c:f>Calculos!$H$62:$H$71</c:f>
              <c:numCache>
                <c:formatCode>0.0%</c:formatCode>
                <c:ptCount val="10"/>
                <c:pt idx="0">
                  <c:v>0.319144570311307</c:v>
                </c:pt>
                <c:pt idx="2">
                  <c:v>0.256294526964319</c:v>
                </c:pt>
              </c:numCache>
            </c:numRef>
          </c:yVal>
          <c:smooth val="1"/>
        </c:ser>
        <c:axId val="47613381"/>
        <c:axId val="44438332"/>
      </c:scatterChart>
      <c:valAx>
        <c:axId val="4761338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Crecimiento de ventas 2025 vs 2024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438332"/>
        <c:crosses val="autoZero"/>
        <c:crossBetween val="midCat"/>
      </c:valAx>
      <c:valAx>
        <c:axId val="444383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Margen bruto % 2025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61338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25</xdr:row>
      <xdr:rowOff>0</xdr:rowOff>
    </xdr:from>
    <xdr:to>
      <xdr:col>6</xdr:col>
      <xdr:colOff>573120</xdr:colOff>
      <xdr:row>41</xdr:row>
      <xdr:rowOff>119520</xdr:rowOff>
    </xdr:to>
    <xdr:graphicFrame>
      <xdr:nvGraphicFramePr>
        <xdr:cNvPr id="0" name="Chart 1"/>
        <xdr:cNvGraphicFramePr/>
      </xdr:nvGraphicFramePr>
      <xdr:xfrm>
        <a:off x="195480" y="4724280"/>
        <a:ext cx="4751640" cy="316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25</xdr:row>
      <xdr:rowOff>0</xdr:rowOff>
    </xdr:from>
    <xdr:to>
      <xdr:col>14</xdr:col>
      <xdr:colOff>573480</xdr:colOff>
      <xdr:row>41</xdr:row>
      <xdr:rowOff>119520</xdr:rowOff>
    </xdr:to>
    <xdr:graphicFrame>
      <xdr:nvGraphicFramePr>
        <xdr:cNvPr id="1" name="Chart 2"/>
        <xdr:cNvGraphicFramePr/>
      </xdr:nvGraphicFramePr>
      <xdr:xfrm>
        <a:off x="6881040" y="4724280"/>
        <a:ext cx="4751640" cy="316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44</xdr:row>
      <xdr:rowOff>0</xdr:rowOff>
    </xdr:from>
    <xdr:to>
      <xdr:col>6</xdr:col>
      <xdr:colOff>573120</xdr:colOff>
      <xdr:row>60</xdr:row>
      <xdr:rowOff>119880</xdr:rowOff>
    </xdr:to>
    <xdr:graphicFrame>
      <xdr:nvGraphicFramePr>
        <xdr:cNvPr id="2" name="Chart 3"/>
        <xdr:cNvGraphicFramePr/>
      </xdr:nvGraphicFramePr>
      <xdr:xfrm>
        <a:off x="195480" y="8344080"/>
        <a:ext cx="4751640" cy="316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44</xdr:row>
      <xdr:rowOff>0</xdr:rowOff>
    </xdr:from>
    <xdr:to>
      <xdr:col>14</xdr:col>
      <xdr:colOff>573480</xdr:colOff>
      <xdr:row>60</xdr:row>
      <xdr:rowOff>119880</xdr:rowOff>
    </xdr:to>
    <xdr:graphicFrame>
      <xdr:nvGraphicFramePr>
        <xdr:cNvPr id="3" name="Chart 4"/>
        <xdr:cNvGraphicFramePr/>
      </xdr:nvGraphicFramePr>
      <xdr:xfrm>
        <a:off x="6881040" y="8344080"/>
        <a:ext cx="4751640" cy="316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63</xdr:row>
      <xdr:rowOff>0</xdr:rowOff>
    </xdr:from>
    <xdr:to>
      <xdr:col>12</xdr:col>
      <xdr:colOff>599400</xdr:colOff>
      <xdr:row>79</xdr:row>
      <xdr:rowOff>119880</xdr:rowOff>
    </xdr:to>
    <xdr:graphicFrame>
      <xdr:nvGraphicFramePr>
        <xdr:cNvPr id="4" name="Chart 5"/>
        <xdr:cNvGraphicFramePr/>
      </xdr:nvGraphicFramePr>
      <xdr:xfrm>
        <a:off x="195480" y="11963520"/>
        <a:ext cx="9791640" cy="316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14</xdr:row>
      <xdr:rowOff>0</xdr:rowOff>
    </xdr:from>
    <xdr:to>
      <xdr:col>5</xdr:col>
      <xdr:colOff>0</xdr:colOff>
      <xdr:row>23</xdr:row>
      <xdr:rowOff>0</xdr:rowOff>
    </xdr:to>
    <mc:AlternateContent xmlns:mc="http://schemas.openxmlformats.org/markup-compatibility/2006">
      <mc:Choice xmlns:sle="http://schemas.microsoft.com/office/drawing/2010/slicer" Requires="sle">
        <xdr:graphicFrame macro="">
          <xdr:nvGraphicFramePr>
            <xdr:cNvPr id="5" name="Trimestr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imestre"/>
            </a:graphicData>
          </a:graphic>
        </xdr:graphicFrame>
      </mc:Choice>
      <mc:Fallback>
        <xdr:sp macro="" textlink="">
          <xdr:nvSpPr>
            <xdr:cNvPr id="5" name="Trimestre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8C8C8C"/>
              </a:solidFill>
            </a:ln>
          </xdr:spPr>
          <xdr:txBody>
            <a:bodyPr vertOverflow="clip" horzOverflow="clip"/>
            <a:lstStyle/>
            <a:p>
              <a:r>
                <a:rPr lang="es-AR" sz="1000"/>
                <a:t>Segmentador "Trimestre": requiere Excel 2010 o posterior.</a:t>
              </a:r>
            </a:p>
          </xdr:txBody>
        </xdr:sp>
      </mc:Fallback>
    </mc:AlternateContent>
    <xdr:clientData/>
  </xdr:twoCellAnchor>
  <xdr:twoCellAnchor>
    <xdr:from>
      <xdr:col>5</xdr:col>
      <xdr:colOff>0</xdr:colOff>
      <xdr:row>14</xdr:row>
      <xdr:rowOff>0</xdr:rowOff>
    </xdr:from>
    <xdr:to>
      <xdr:col>9</xdr:col>
      <xdr:colOff>0</xdr:colOff>
      <xdr:row>23</xdr:row>
      <xdr:rowOff>0</xdr:rowOff>
    </xdr:to>
    <mc:AlternateContent xmlns:mc="http://schemas.openxmlformats.org/markup-compatibility/2006">
      <mc:Choice xmlns:sle="http://schemas.microsoft.com/office/drawing/2010/slicer" Requires="sle">
        <xdr:graphicFrame macro="">
          <xdr:nvGraphicFramePr>
            <xdr:cNvPr id="6" name="Categori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>
        <xdr:sp macro="" textlink="">
          <xdr:nvSpPr>
            <xdr:cNvPr id="6" name="Categoria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8C8C8C"/>
              </a:solidFill>
            </a:ln>
          </xdr:spPr>
          <xdr:txBody>
            <a:bodyPr vertOverflow="clip" horzOverflow="clip"/>
            <a:lstStyle/>
            <a:p>
              <a:r>
                <a:rPr lang="es-AR" sz="1000"/>
                <a:t>Segmentador "Categoria": requiere Excel 2010 o posterior.</a:t>
              </a:r>
            </a:p>
          </xdr:txBody>
        </xdr:sp>
      </mc:Fallback>
    </mc:AlternateContent>
    <xdr:clientData/>
  </xdr:twoCellAnchor>
  <xdr:twoCellAnchor>
    <xdr:from>
      <xdr:col>9</xdr:col>
      <xdr:colOff>0</xdr:colOff>
      <xdr:row>14</xdr:row>
      <xdr:rowOff>0</xdr:rowOff>
    </xdr:from>
    <xdr:to>
      <xdr:col>13</xdr:col>
      <xdr:colOff>0</xdr:colOff>
      <xdr:row>23</xdr:row>
      <xdr:rowOff>0</xdr:rowOff>
    </xdr:to>
    <mc:AlternateContent xmlns:mc="http://schemas.openxmlformats.org/markup-compatibility/2006">
      <mc:Choice xmlns:sle="http://schemas.microsoft.com/office/drawing/2010/slicer" Requires="sle">
        <xdr:graphicFrame macro="">
          <xdr:nvGraphicFramePr>
            <xdr:cNvPr id="7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7" name="Region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8C8C8C"/>
              </a:solidFill>
            </a:ln>
          </xdr:spPr>
          <xdr:txBody>
            <a:bodyPr vertOverflow="clip" horzOverflow="clip"/>
            <a:lstStyle/>
            <a:p>
              <a:r>
                <a:rPr lang="es-AR" sz="1000"/>
                <a:t>Segmentador "Region": requiere Excel 2010 o posterior.</a:t>
              </a:r>
            </a:p>
          </xdr:txBody>
        </xdr:sp>
      </mc:Fallback>
    </mc:AlternateContent>
    <xdr:clientData/>
  </xdr:twoCellAnchor>
  <xdr:twoCellAnchor>
    <xdr:from>
      <xdr:col>13</xdr:col>
      <xdr:colOff>0</xdr:colOff>
      <xdr:row>14</xdr:row>
      <xdr:rowOff>0</xdr:rowOff>
    </xdr:from>
    <xdr:to>
      <xdr:col>17</xdr:col>
      <xdr:colOff>0</xdr:colOff>
      <xdr:row>23</xdr:row>
      <xdr:rowOff>0</xdr:rowOff>
    </xdr:to>
    <mc:AlternateContent xmlns:mc="http://schemas.openxmlformats.org/markup-compatibility/2006">
      <mc:Choice xmlns:sle="http://schemas.microsoft.com/office/drawing/2010/slicer" Requires="sle">
        <xdr:graphicFrame macro="">
          <xdr:nvGraphicFramePr>
            <xdr:cNvPr id="8" name="Cana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al"/>
            </a:graphicData>
          </a:graphic>
        </xdr:graphicFrame>
      </mc:Choice>
      <mc:Fallback>
        <xdr:sp macro="" textlink="">
          <xdr:nvSpPr>
            <xdr:cNvPr id="8" name="Canal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8C8C8C"/>
              </a:solidFill>
            </a:ln>
          </xdr:spPr>
          <xdr:txBody>
            <a:bodyPr vertOverflow="clip" horzOverflow="clip"/>
            <a:lstStyle/>
            <a:p>
              <a:r>
                <a:rPr lang="es-AR" sz="1000"/>
                <a:t>Segmentador "Canal": requiere Excel 2010 o posterior.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efreshOnLoad="1" r:id="rId1" recordCount="2400" createdVersion="3">
  <cacheSource type="worksheet">
    <worksheetSource ref="A1:Y2401" sheet="Datos_Limpios"/>
  </cacheSource>
  <cacheFields count="25">
    <cacheField name="ID_Venta" numFmtId="0">
      <sharedItems containsSemiMixedTypes="0" containsString="0" containsNumber="1" containsInteger="1" minValue="1" maxValue="2400" count="24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</sharedItems>
    </cacheField>
    <cacheField name="Fecha" numFmtId="0">
      <sharedItems containsSemiMixedTypes="0" containsNonDate="0" containsDate="1" containsString="0" minDate="2024-01-01T00:00:00" maxDate="2025-12-27T00:00:00" count="648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</sharedItems>
    </cacheField>
    <cacheField name="Anio" numFmtId="0">
      <sharedItems containsSemiMixedTypes="0" containsString="0" containsNumber="1" containsInteger="1" minValue="2024" maxValue="2025" count="2">
        <n v="2024"/>
        <n v="2025"/>
      </sharedItems>
    </cacheField>
    <cacheField name="Trimestre" numFmtId="0">
      <sharedItems count="4">
        <s v="Q1"/>
        <s v="Q2"/>
        <s v="Q3"/>
        <s v="Q4"/>
      </sharedItems>
    </cacheField>
    <cacheField name="Mes_Num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es" numFmtId="0">
      <sharedItems count="12">
        <s v="Abr"/>
        <s v="Ago"/>
        <s v="Dic"/>
        <s v="Ene"/>
        <s v="Feb"/>
        <s v="Jul"/>
        <s v="Jun"/>
        <s v="Mar"/>
        <s v="May"/>
        <s v="Nov"/>
        <s v="Oct"/>
        <s v="Sep"/>
      </sharedItems>
    </cacheField>
    <cacheField name="Periodo" numFmtId="0">
      <sharedItems count="24"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</sharedItems>
    </cacheField>
    <cacheField name="Region" numFmtId="0">
      <sharedItems count="5">
        <s v="AMBA"/>
        <s v="Centro"/>
        <s v="Cuyo"/>
        <s v="Litoral"/>
        <s v="NOA"/>
      </sharedItems>
    </cacheField>
    <cacheField name="Ciudad" numFmtId="0">
      <sharedItems count="5">
        <s v="Buenos Aires"/>
        <s v="Cordoba"/>
        <s v="Mendoza"/>
        <s v="Rosario"/>
        <s v="Tucuman"/>
      </sharedItems>
    </cacheField>
    <cacheField name="Canal" numFmtId="0">
      <sharedItems count="2">
        <s v="E-commerce"/>
        <s v="Tienda fisica"/>
      </sharedItems>
    </cacheField>
    <cacheField name="Categoria" numFmtId="0">
      <sharedItems count="4">
        <s v="Accesorios"/>
        <s v="Almacenamiento"/>
        <s v="Audio"/>
        <s v="Computacion"/>
      </sharedItems>
    </cacheField>
    <cacheField name="Cat_Anio" numFmtId="0">
      <sharedItems count="8">
        <s v="Accesorios 2024"/>
        <s v="Accesorios 2025"/>
        <s v="Almacenamiento 2024"/>
        <s v="Almacenamiento 2025"/>
        <s v="Audio 2024"/>
        <s v="Audio 2025"/>
        <s v="Computacion 2024"/>
        <s v="Computacion 2025"/>
      </sharedItems>
    </cacheField>
    <cacheField name="Producto" numFmtId="0">
      <sharedItems count="10">
        <s v="Auriculares BT Pro"/>
        <s v="Laptop Pro 15"/>
        <s v="Monitor 4K 27"/>
        <s v="Mouse Inalambrico"/>
        <s v="Parlante Bluetooth"/>
        <s v="PC Gamer Ryzen"/>
        <s v="Pendrive 256GB"/>
        <s v="SSD Externo 1TB"/>
        <s v="Teclado Mecanico"/>
        <s v="Webcam Full HD"/>
      </sharedItems>
    </cacheField>
    <cacheField name="Prod_Anio" numFmtId="0">
      <sharedItems count="20">
        <s v="Auriculares BT Pro 2024"/>
        <s v="Auriculares BT Pro 2025"/>
        <s v="Laptop Pro 15 2024"/>
        <s v="Laptop Pro 15 2025"/>
        <s v="Monitor 4K 27 2024"/>
        <s v="Monitor 4K 27 2025"/>
        <s v="Mouse Inalambrico 2024"/>
        <s v="Mouse Inalambrico 2025"/>
        <s v="Parlante Bluetooth 2024"/>
        <s v="Parlante Bluetooth 2025"/>
        <s v="PC Gamer Ryzen 2024"/>
        <s v="PC Gamer Ryzen 2025"/>
        <s v="Pendrive 256GB 2024"/>
        <s v="Pendrive 256GB 2025"/>
        <s v="SSD Externo 1TB 2024"/>
        <s v="SSD Externo 1TB 2025"/>
        <s v="Teclado Mecanico 2024"/>
        <s v="Teclado Mecanico 2025"/>
        <s v="Webcam Full HD 2024"/>
        <s v="Webcam Full HD 2025"/>
      </sharedItems>
    </cacheField>
    <cacheField name="Unidades" numFmtId="0">
      <sharedItems containsSemiMixedTypes="0" containsString="0" containsNumber="1" containsInteger="1" minValue="2" maxValue="158" count="118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1"/>
        <n v="102"/>
        <n v="103"/>
        <n v="104"/>
        <n v="105"/>
        <n v="106"/>
        <n v="107"/>
        <n v="110"/>
        <n v="112"/>
        <n v="113"/>
        <n v="114"/>
        <n v="115"/>
        <n v="118"/>
        <n v="119"/>
        <n v="122"/>
        <n v="124"/>
        <n v="125"/>
        <n v="127"/>
        <n v="132"/>
        <n v="136"/>
        <n v="153"/>
        <n v="158"/>
      </sharedItems>
    </cacheField>
    <cacheField name="Precio_Unitario" numFmtId="0">
      <sharedItems containsSemiMixedTypes="0" containsString="0" containsNumber="1" minValue="27.44" maxValue="1656.52" count="30">
        <n v="27.44"/>
        <n v="27.82"/>
        <n v="28.11"/>
        <n v="34.3"/>
        <n v="34.78"/>
        <n v="35.14"/>
        <n v="63.7"/>
        <n v="64.58"/>
        <n v="65.26"/>
        <n v="83.3"/>
        <n v="84.46"/>
        <n v="85.34"/>
        <n v="93.1"/>
        <n v="94.39"/>
        <n v="95.38"/>
        <n v="117.6"/>
        <n v="119.23"/>
        <n v="120.47"/>
        <n v="127.4"/>
        <n v="129.17"/>
        <n v="130.51"/>
        <n v="433.15"/>
        <n v="441"/>
        <n v="451.78"/>
        <n v="1155.06"/>
        <n v="1176"/>
        <n v="1204.74"/>
        <n v="1588.21"/>
        <n v="1617"/>
        <n v="1656.52"/>
      </sharedItems>
    </cacheField>
    <cacheField name="Costo_Unitario" numFmtId="0">
      <sharedItems containsSemiMixedTypes="0" containsString="0" containsNumber="1" minValue="13.44" maxValue="1155.66" count="20">
        <n v="13.44"/>
        <n v="13.84"/>
        <n v="17.85"/>
        <n v="18.39"/>
        <n v="35.43"/>
        <n v="36.49"/>
        <n v="47.98"/>
        <n v="48.03"/>
        <n v="49.41"/>
        <n v="49.47"/>
        <n v="63.6"/>
        <n v="65.51"/>
        <n v="76.05"/>
        <n v="78.33"/>
        <n v="272.25"/>
        <n v="280.42"/>
        <n v="744"/>
        <n v="766.32"/>
        <n v="1122"/>
        <n v="1155.66"/>
      </sharedItems>
    </cacheField>
    <cacheField name="Ventas" numFmtId="0">
      <sharedItems containsSemiMixedTypes="0" containsString="0" containsNumber="1" minValue="171.5" maxValue="56321.68" count="891">
        <n v="171.5"/>
        <n v="205.8"/>
        <n v="219.52"/>
        <n v="240.1"/>
        <n v="246.96"/>
        <n v="274.4"/>
        <n v="301.84"/>
        <n v="308.7"/>
        <n v="329.28"/>
        <n v="333.2"/>
        <n v="343"/>
        <n v="347.8"/>
        <n v="356.72"/>
        <n v="377.3"/>
        <n v="382.58"/>
        <n v="384.16"/>
        <n v="389.48"/>
        <n v="411.6"/>
        <n v="416.5"/>
        <n v="417.3"/>
        <n v="417.36"/>
        <n v="421.68"/>
        <n v="439.04"/>
        <n v="445.12"/>
        <n v="445.9"/>
        <n v="452.14"/>
        <n v="456.82"/>
        <n v="466.48"/>
        <n v="470.4"/>
        <n v="472.94"/>
        <n v="480.2"/>
        <n v="486.92"/>
        <n v="491.96"/>
        <n v="493.92"/>
        <n v="499.8"/>
        <n v="500.76"/>
        <n v="505.98"/>
        <n v="514.5"/>
        <n v="521.36"/>
        <n v="521.7"/>
        <n v="527.1"/>
        <n v="534.09"/>
        <n v="548.8"/>
        <n v="556.4"/>
        <n v="556.48"/>
        <n v="562.24"/>
        <n v="583.1"/>
        <n v="584.22"/>
        <n v="588"/>
        <n v="590.31"/>
        <n v="591.22"/>
        <n v="591.26"/>
        <n v="597.38"/>
        <n v="603.68"/>
        <n v="617.4"/>
        <n v="618.42"/>
        <n v="626.04"/>
        <n v="631.12"/>
        <n v="632.52"/>
        <n v="637"/>
        <n v="639.86"/>
        <n v="646.53"/>
        <n v="651.7"/>
        <n v="658.56"/>
        <n v="660.82"/>
        <n v="666.4"/>
        <n v="667.66"/>
        <n v="667.68"/>
        <n v="674.64"/>
        <n v="675.68"/>
        <n v="686"/>
        <n v="695.5"/>
        <n v="695.6"/>
        <n v="700.7"/>
        <n v="702.75"/>
        <n v="702.8"/>
        <n v="705.6"/>
        <n v="713.44"/>
        <n v="720.3"/>
        <n v="723.32"/>
        <n v="730.38"/>
        <n v="730.86"/>
        <n v="737.94"/>
        <n v="740.88"/>
        <n v="749.7"/>
        <n v="751.14"/>
        <n v="754.6"/>
        <n v="758.97"/>
        <n v="760.14"/>
        <n v="764.4"/>
        <n v="765.16"/>
        <n v="768.06"/>
        <n v="768.32"/>
        <n v="778.96"/>
        <n v="788.9"/>
        <n v="795.76"/>
        <n v="799.94"/>
        <n v="808.22"/>
        <n v="815.19"/>
        <n v="823.2"/>
        <n v="828.1"/>
        <n v="833"/>
        <n v="834.6"/>
        <n v="834.61"/>
        <n v="834.72"/>
        <n v="837.9"/>
        <n v="843.3"/>
        <n v="843.36"/>
        <n v="844.6"/>
        <n v="853.4"/>
        <n v="857.5"/>
        <n v="862.42"/>
        <n v="869.5"/>
        <n v="871.41"/>
        <n v="878.08"/>
        <n v="878.5"/>
        <n v="882"/>
        <n v="890.24"/>
        <n v="891.8"/>
        <n v="905.52"/>
        <n v="913.64"/>
        <n v="916.3"/>
        <n v="918.06"/>
        <n v="926.1"/>
        <n v="927.63"/>
        <n v="929.06"/>
        <n v="931"/>
        <n v="932.96"/>
        <n v="938.74"/>
        <n v="939.06"/>
        <n v="940.8"/>
        <n v="945.88"/>
        <n v="948.78"/>
        <n v="953.84"/>
        <n v="955.5"/>
        <n v="955.74"/>
        <n v="960.4"/>
        <n v="963.76"/>
        <n v="968.7"/>
        <n v="973.7"/>
        <n v="973.84"/>
        <n v="983.85"/>
        <n v="987.84"/>
        <n v="994.7"/>
        <n v="999.6"/>
        <n v="1001.52"/>
        <n v="1008.62"/>
        <n v="1011.96"/>
        <n v="1013.52"/>
        <n v="1019.06"/>
        <n v="1019.2"/>
        <n v="1024.08"/>
        <n v="1024.1"/>
        <n v="1029"/>
        <n v="1029.34"/>
        <n v="1033.28"/>
        <n v="1033.36"/>
        <n v="1042.72"/>
        <n v="1054.2"/>
        <n v="1057.16"/>
        <n v="1058.4"/>
        <n v="1063.3"/>
        <n v="1068.18"/>
        <n v="1073.07"/>
        <n v="1078.18"/>
        <n v="1082.9"/>
        <n v="1084.23"/>
        <n v="1084.98"/>
        <n v="1089.34"/>
        <n v="1097.6"/>
        <n v="1097.98"/>
        <n v="1109.42"/>
        <n v="1112.8"/>
        <n v="1117.2"/>
        <n v="1125.04"/>
        <n v="1131.9"/>
        <n v="1146.6"/>
        <n v="1147.74"/>
        <n v="1152.48"/>
        <n v="1152.51"/>
        <n v="1159.62"/>
        <n v="1162.44"/>
        <n v="1162.53"/>
        <n v="1166.2"/>
        <n v="1174.68"/>
        <n v="1176"/>
        <n v="1179.92"/>
        <n v="1180.62"/>
        <n v="1182.44"/>
        <n v="1182.52"/>
        <n v="1192.3"/>
        <n v="1194.76"/>
        <n v="1196.26"/>
        <n v="1200.5"/>
        <n v="1204.7"/>
        <n v="1207.36"/>
        <n v="1210.3"/>
        <n v="1217.3"/>
        <n v="1227.02"/>
        <n v="1234.8"/>
        <n v="1236.84"/>
        <n v="1239.94"/>
        <n v="1249.5"/>
        <n v="1262.24"/>
        <n v="1264.95"/>
        <n v="1265.04"/>
        <n v="1266.9"/>
        <n v="1274"/>
        <n v="1279.72"/>
        <n v="1280.1"/>
        <n v="1291.6"/>
        <n v="1291.7"/>
        <n v="1293.6"/>
        <n v="1299.45"/>
        <n v="1300.18"/>
        <n v="1303.4"/>
        <n v="1305.1"/>
        <n v="1307.54"/>
        <n v="1311.53"/>
        <n v="1321.64"/>
        <n v="1323"/>
        <n v="1325.17"/>
        <n v="1332.8"/>
        <n v="1335.36"/>
        <n v="1337.7"/>
        <n v="1344.56"/>
        <n v="1351.36"/>
        <n v="1356.18"/>
        <n v="1365.44"/>
        <n v="1370.46"/>
        <n v="1372"/>
        <n v="1377.39"/>
        <n v="1391"/>
        <n v="1396.5"/>
        <n v="1399.44"/>
        <n v="1401.4"/>
        <n v="1405.5"/>
        <n v="1411.2"/>
        <n v="1415.85"/>
        <n v="1416.1"/>
        <n v="1418.82"/>
        <n v="1420.76"/>
        <n v="1420.87"/>
        <n v="1425.98"/>
        <n v="1426.88"/>
        <n v="1430.76"/>
        <n v="1435.61"/>
        <n v="1435.72"/>
        <n v="1440.6"/>
        <n v="1440.74"/>
        <n v="1445.64"/>
        <n v="1450.78"/>
        <n v="1454.32"/>
        <n v="1460.76"/>
        <n v="1465.1"/>
        <n v="1474.9"/>
        <n v="1475.88"/>
        <n v="1485.34"/>
        <n v="1489.6"/>
        <n v="1499.4"/>
        <n v="1500.98"/>
        <n v="1520.28"/>
        <n v="1528.8"/>
        <n v="1530.32"/>
        <n v="1536.12"/>
        <n v="1546.05"/>
        <n v="1549.92"/>
        <n v="1549.99"/>
        <n v="1550.04"/>
        <n v="1564.08"/>
        <n v="1566.11"/>
        <n v="1566.12"/>
        <n v="1566.24"/>
        <n v="1574.16"/>
        <n v="1582.7"/>
        <n v="1585.74"/>
        <n v="1591.52"/>
        <n v="1592.5"/>
        <n v="1602.27"/>
        <n v="1604.63"/>
        <n v="1614.5"/>
        <n v="1616.44"/>
        <n v="1618.96"/>
        <n v="1621.46"/>
        <n v="1631.5"/>
        <n v="1634.66"/>
        <n v="1646.4"/>
        <n v="1651.58"/>
        <n v="1656.2"/>
        <n v="1658.49"/>
        <n v="1666"/>
        <n v="1669.22"/>
        <n v="1669.44"/>
        <n v="1675.8"/>
        <n v="1679.08"/>
        <n v="1679.21"/>
        <n v="1680.7"/>
        <n v="1686.58"/>
        <n v="1686.6"/>
        <n v="1686.72"/>
        <n v="1689.2"/>
        <n v="1696.63"/>
        <n v="1696.76"/>
        <n v="1697.02"/>
        <n v="1699.02"/>
        <n v="1704.22"/>
        <n v="1706.8"/>
        <n v="1716.84"/>
        <n v="1719.9"/>
        <n v="1732.6"/>
        <n v="1742.82"/>
        <n v="1743.66"/>
        <n v="1749.3"/>
        <n v="1756.16"/>
        <n v="1757"/>
        <n v="1762.02"/>
        <n v="1764"/>
        <n v="1768.9"/>
        <n v="1773.66"/>
        <n v="1780.48"/>
        <n v="1783.6"/>
        <n v="1788.45"/>
        <n v="1792.14"/>
        <n v="1793.41"/>
        <n v="1799.04"/>
        <n v="1807.05"/>
        <n v="1807.12"/>
        <n v="1808.24"/>
        <n v="1808.38"/>
        <n v="1817.9"/>
        <n v="1827.14"/>
        <n v="1827.28"/>
        <n v="1832.6"/>
        <n v="1858.12"/>
        <n v="1862"/>
        <n v="1872.82"/>
        <n v="1877.48"/>
        <n v="1881.6"/>
        <n v="1887.8"/>
        <n v="1893.36"/>
        <n v="1907.6"/>
        <n v="1907.68"/>
        <n v="1911"/>
        <n v="1915.9"/>
        <n v="1920.8"/>
        <n v="1927.52"/>
        <n v="1937.4"/>
        <n v="1937.55"/>
        <n v="1955.1"/>
        <n v="1957.8"/>
        <n v="1974.7"/>
        <n v="1999.2"/>
        <n v="2001.98"/>
        <n v="2002.98"/>
        <n v="2023.06"/>
        <n v="2023.92"/>
        <n v="2026.91"/>
        <n v="2030.56"/>
        <n v="2038.4"/>
        <n v="2047.99"/>
        <n v="2048.16"/>
        <n v="2048.2"/>
        <n v="2066.72"/>
        <n v="2076.58"/>
        <n v="2082.5"/>
        <n v="2088.16"/>
        <n v="2088.32"/>
        <n v="2092.3"/>
        <n v="2102.1"/>
        <n v="2116.8"/>
        <n v="2142.14"/>
        <n v="2146.14"/>
        <n v="2153.58"/>
        <n v="2160.9"/>
        <n v="2165.75"/>
        <n v="2165.8"/>
        <n v="2168.46"/>
        <n v="2170.97"/>
        <n v="2191.14"/>
        <n v="2193.74"/>
        <n v="2195.2"/>
        <n v="2195.89"/>
        <n v="2195.96"/>
        <n v="2197.78"/>
        <n v="2205"/>
        <n v="2218.67"/>
        <n v="2218.84"/>
        <n v="2229.5"/>
        <n v="2234.4"/>
        <n v="2249.1"/>
        <n v="2258.9"/>
        <n v="2260.3"/>
        <n v="2263.8"/>
        <n v="2265.36"/>
        <n v="2276.91"/>
        <n v="2277.52"/>
        <n v="2281.24"/>
        <n v="2288.93"/>
        <n v="2289.12"/>
        <n v="2293.2"/>
        <n v="2304.18"/>
        <n v="2309.06"/>
        <n v="2325.06"/>
        <n v="2327.5"/>
        <n v="2332.4"/>
        <n v="2349.18"/>
        <n v="2349.36"/>
        <n v="2352"/>
        <n v="2356.9"/>
        <n v="2361.24"/>
        <n v="2384.6"/>
        <n v="2409.4"/>
        <n v="2414.62"/>
        <n v="2420.34"/>
        <n v="2420.6"/>
        <n v="2435.3"/>
        <n v="2449.34"/>
        <n v="2454.23"/>
        <n v="2469.6"/>
        <n v="2479.88"/>
        <n v="2484.3"/>
        <n v="2497.04"/>
        <n v="2499"/>
        <n v="2501.79"/>
        <n v="2513.7"/>
        <n v="2524.48"/>
        <n v="2529.87"/>
        <n v="2533.8"/>
        <n v="2545.14"/>
        <n v="2548"/>
        <n v="2548.53"/>
        <n v="2583.4"/>
        <n v="2587.2"/>
        <n v="2587.26"/>
        <n v="2598.9"/>
        <n v="2606.8"/>
        <n v="2610.2"/>
        <n v="2610.4"/>
        <n v="2611.7"/>
        <n v="2614.23"/>
        <n v="2618.26"/>
        <n v="2623.06"/>
        <n v="2642.34"/>
        <n v="2642.92"/>
        <n v="2645.54"/>
        <n v="2646"/>
        <n v="2650.34"/>
        <n v="2670.45"/>
        <n v="2670.64"/>
        <n v="2675.4"/>
        <n v="2675.66"/>
        <n v="2689.12"/>
        <n v="2699.9"/>
        <n v="2704.8"/>
        <n v="2710.68"/>
        <n v="2712.57"/>
        <n v="2739.1"/>
        <n v="2740.71"/>
        <n v="2740.92"/>
        <n v="2742.29"/>
        <n v="2744"/>
        <n v="2766.02"/>
        <n v="2771.44"/>
        <n v="2776.94"/>
        <n v="2782.89"/>
        <n v="2787.18"/>
        <n v="2793"/>
        <n v="2798.88"/>
        <n v="2802.8"/>
        <n v="2806.18"/>
        <n v="2822.4"/>
        <n v="2826.32"/>
        <n v="2831.7"/>
        <n v="2841.52"/>
        <n v="2861.4"/>
        <n v="2871.22"/>
        <n v="2871.44"/>
        <n v="2871.64"/>
        <n v="2881.2"/>
        <n v="2886.1"/>
        <n v="2891.28"/>
        <n v="2915.5"/>
        <n v="2930.2"/>
        <n v="2940"/>
        <n v="2948.92"/>
        <n v="2956.1"/>
        <n v="2956.78"/>
        <n v="2970.68"/>
        <n v="2970.91"/>
        <n v="2980.75"/>
        <n v="2986.9"/>
        <n v="3020.48"/>
        <n v="3032.05"/>
        <n v="3040.56"/>
        <n v="3052.16"/>
        <n v="3057.6"/>
        <n v="3067.22"/>
        <n v="3072.24"/>
        <n v="3072.3"/>
        <n v="3082.1"/>
        <n v="3087"/>
        <n v="3092.32"/>
        <n v="3099.98"/>
        <n v="3100.08"/>
        <n v="3132.22"/>
        <n v="3132.24"/>
        <n v="3132.48"/>
        <n v="3147.54"/>
        <n v="3162.46"/>
        <n v="3164.42"/>
        <n v="3165.4"/>
        <n v="3175.2"/>
        <n v="3185"/>
        <n v="3197.74"/>
        <n v="3209.26"/>
        <n v="3209.48"/>
        <n v="3219.21"/>
        <n v="3234"/>
        <n v="3242.92"/>
        <n v="3252.69"/>
        <n v="3258.5"/>
        <n v="3262.75"/>
        <n v="3263"/>
        <n v="3292.8"/>
        <n v="3303.65"/>
        <n v="3312.4"/>
        <n v="3316.98"/>
        <n v="3328.26"/>
        <n v="3338.3"/>
        <n v="3338.44"/>
        <n v="3345.09"/>
        <n v="3347.68"/>
        <n v="3351.6"/>
        <n v="3358.42"/>
        <n v="3373.16"/>
        <n v="3376.1"/>
        <n v="3402.56"/>
        <n v="3410.4"/>
        <n v="3415.3"/>
        <n v="3433.68"/>
        <n v="3439.8"/>
        <n v="3444.7"/>
        <n v="3465.18"/>
        <n v="3465.2"/>
        <n v="3487.32"/>
        <n v="3487.59"/>
        <n v="3492.43"/>
        <n v="3523.77"/>
        <n v="3528"/>
        <n v="3529.06"/>
        <n v="3537.8"/>
        <n v="3567.2"/>
        <n v="3576.9"/>
        <n v="3581.9"/>
        <n v="3589.3"/>
        <n v="3614.24"/>
        <n v="3616.48"/>
        <n v="3624.44"/>
        <n v="3630.9"/>
        <n v="3654.28"/>
        <n v="3665.2"/>
        <n v="3681.21"/>
        <n v="3694.6"/>
        <n v="3696.13"/>
        <n v="3716.24"/>
        <n v="3719.82"/>
        <n v="3724"/>
        <n v="3734.57"/>
        <n v="3745.93"/>
        <n v="3758.3"/>
        <n v="3763.2"/>
        <n v="3775.6"/>
        <n v="3784.79"/>
        <n v="3810.22"/>
        <n v="3815.2"/>
        <n v="3817.1"/>
        <n v="3822"/>
        <n v="3855.04"/>
        <n v="3875.1"/>
        <n v="3898.35"/>
        <n v="3910.2"/>
        <n v="3915.3"/>
        <n v="3949.4"/>
        <n v="3969"/>
        <n v="3998.4"/>
        <n v="4003.3"/>
        <n v="4003.96"/>
        <n v="4004.27"/>
        <n v="4046.12"/>
        <n v="4058.77"/>
        <n v="4066.02"/>
        <n v="4076.8"/>
        <n v="4081.7"/>
        <n v="4096.32"/>
        <n v="4096.4"/>
        <n v="4101.34"/>
        <n v="4133.12"/>
        <n v="4140.5"/>
        <n v="4153.16"/>
        <n v="4165"/>
        <n v="4176.32"/>
        <n v="4176.64"/>
        <n v="4189.5"/>
        <n v="4196.72"/>
        <n v="4197.7"/>
        <n v="4204.2"/>
        <n v="4216.45"/>
        <n v="4233.6"/>
        <n v="4267"/>
        <n v="4282.6"/>
        <n v="4292.1"/>
        <n v="4292.28"/>
        <n v="4331.5"/>
        <n v="4331.6"/>
        <n v="4335.52"/>
        <n v="4341.94"/>
        <n v="4351.2"/>
        <n v="4372.42"/>
        <n v="4375.7"/>
        <n v="4391.78"/>
        <n v="4410"/>
        <n v="4437.34"/>
        <n v="4459"/>
        <n v="4517.8"/>
        <n v="4520.95"/>
        <n v="4530.74"/>
        <n v="4561.9"/>
        <n v="4586.4"/>
        <n v="4620.24"/>
        <n v="4649.76"/>
        <n v="4650.12"/>
        <n v="4673.62"/>
        <n v="4698.33"/>
        <n v="4698.72"/>
        <n v="4704"/>
        <n v="4713.8"/>
        <n v="4714.34"/>
        <n v="4748.1"/>
        <n v="4764.65"/>
        <n v="4769"/>
        <n v="4779.29"/>
        <n v="4818.96"/>
        <n v="4829.24"/>
        <n v="4841.2"/>
        <n v="4851"/>
        <n v="4908.46"/>
        <n v="4934.3"/>
        <n v="4939.27"/>
        <n v="4959.38"/>
        <n v="4969.58"/>
        <n v="4972.66"/>
        <n v="5025.02"/>
        <n v="5056.8"/>
        <n v="5081.3"/>
        <n v="5089.89"/>
        <n v="5097.06"/>
        <n v="5120.5"/>
        <n v="5126.89"/>
        <n v="5159.7"/>
        <n v="5166.8"/>
        <n v="5191.45"/>
        <n v="5197.8"/>
        <n v="5213.6"/>
        <n v="5220.8"/>
        <n v="5245.9"/>
        <n v="5292"/>
        <n v="5300.68"/>
        <n v="5350.8"/>
        <n v="5350.91"/>
        <n v="5365.35"/>
        <n v="5399.8"/>
        <n v="5409.6"/>
        <n v="5414.5"/>
        <n v="5416.58"/>
        <n v="5421.36"/>
        <n v="5424.72"/>
        <n v="5436.66"/>
        <n v="5474.62"/>
        <n v="5478.2"/>
        <n v="5481.42"/>
        <n v="5532.04"/>
        <n v="5541.62"/>
        <n v="5541.9"/>
        <n v="5553.88"/>
        <n v="5603.81"/>
        <n v="5618.46"/>
        <n v="5644.8"/>
        <n v="5662.09"/>
        <n v="5663.4"/>
        <n v="5677.62"/>
        <n v="5722.8"/>
        <n v="5733"/>
        <n v="5742.88"/>
        <n v="5775.3"/>
        <n v="5803.12"/>
        <n v="5812.65"/>
        <n v="5818.18"/>
        <n v="5880"/>
        <n v="5938.66"/>
        <n v="5987.8"/>
        <n v="5997.6"/>
        <n v="6023.7"/>
        <n v="6040.96"/>
        <n v="6051.5"/>
        <n v="6064.1"/>
        <n v="6070.52"/>
        <n v="6104.32"/>
        <n v="6115.2"/>
        <n v="6133.97"/>
        <n v="6144.6"/>
        <n v="6174"/>
        <n v="6199.7"/>
        <n v="6200.16"/>
        <n v="6229.74"/>
        <n v="6242.6"/>
        <n v="6264.96"/>
        <n v="6324.92"/>
        <n v="6352.84"/>
        <n v="6370"/>
        <n v="6394.99"/>
        <n v="6433.7"/>
        <n v="6468"/>
        <n v="6497.25"/>
        <n v="6607.3"/>
        <n v="6615"/>
        <n v="6624.8"/>
        <n v="6626.08"/>
        <n v="6676.6"/>
        <n v="6701.69"/>
        <n v="6703.2"/>
        <n v="6746.32"/>
        <n v="6776.7"/>
        <n v="6796.08"/>
        <n v="6796.3"/>
        <n v="6815.9"/>
        <n v="6930.36"/>
        <n v="6930.4"/>
        <n v="6962.74"/>
        <n v="6987.26"/>
        <n v="7056"/>
        <n v="7134.4"/>
        <n v="7178.05"/>
        <n v="7228.44"/>
        <n v="7228.48"/>
        <n v="7261.8"/>
        <n v="7308.56"/>
        <n v="7325.5"/>
        <n v="7344.26"/>
        <n v="7362.42"/>
        <n v="7439.64"/>
        <n v="7491.86"/>
        <n v="7497"/>
        <n v="7680.26"/>
        <n v="7700.09"/>
        <n v="7750.2"/>
        <n v="7834.37"/>
        <n v="7913.5"/>
        <n v="7938"/>
        <n v="7941.05"/>
        <n v="7996.8"/>
        <n v="8085"/>
        <n v="8085.42"/>
        <n v="8089.9"/>
        <n v="8099.7"/>
        <n v="8132.04"/>
        <n v="8153.6"/>
        <n v="8222.13"/>
        <n v="8229.85"/>
        <n v="8232"/>
        <n v="8281"/>
        <n v="8282.6"/>
        <n v="8379"/>
        <n v="8408.4"/>
        <n v="8433.18"/>
        <n v="8535.8"/>
        <n v="8584.2"/>
        <n v="8614.32"/>
        <n v="8663"/>
        <n v="8663.2"/>
        <n v="8679.58"/>
        <n v="8774.96"/>
        <n v="8844.5"/>
        <n v="8967.05"/>
        <n v="9030.7"/>
        <n v="9035.6"/>
        <n v="9061.1"/>
        <n v="9240.48"/>
        <n v="9261"/>
        <n v="9266.21"/>
        <n v="9408"/>
        <n v="9487.38"/>
        <n v="9529.26"/>
        <n v="9637.92"/>
        <n v="9702"/>
        <n v="9824.14"/>
        <n v="9939.12"/>
        <n v="9939.16"/>
        <n v="9962.45"/>
        <n v="10099.73"/>
        <n v="10143"/>
        <n v="10241"/>
        <n v="10319.4"/>
        <n v="10427.2"/>
        <n v="10520.3"/>
        <n v="10584"/>
        <n v="10842.66"/>
        <n v="10842.72"/>
        <n v="11117.47"/>
        <n v="11319"/>
        <n v="11550.6"/>
        <n v="11595.64"/>
        <n v="11636.36"/>
        <n v="11637.5"/>
        <n v="11760"/>
        <n v="12047.4"/>
        <n v="12649.84"/>
        <n v="12705.66"/>
        <n v="12705.68"/>
        <n v="12936"/>
        <n v="12971.68"/>
        <n v="13252.14"/>
        <n v="13252.16"/>
        <n v="13671"/>
        <n v="13860.72"/>
        <n v="14005.18"/>
        <n v="14112"/>
        <n v="14244.3"/>
        <n v="14293.89"/>
        <n v="14456.88"/>
        <n v="14553"/>
        <n v="14908.68"/>
        <n v="15015.78"/>
        <n v="15288"/>
        <n v="15661.62"/>
        <n v="15882.1"/>
        <n v="16170"/>
        <n v="16170.84"/>
        <n v="16464"/>
        <n v="16565.2"/>
        <n v="16866.36"/>
        <n v="17325.9"/>
        <n v="17470.31"/>
        <n v="17787"/>
        <n v="18071.1"/>
        <n v="18221.72"/>
        <n v="18480.96"/>
        <n v="19058.52"/>
        <n v="19404"/>
        <n v="19992"/>
        <n v="20480.58"/>
        <n v="20646.73"/>
        <n v="21021"/>
        <n v="21168"/>
        <n v="21685.32"/>
        <n v="21946.14"/>
        <n v="22344"/>
        <n v="22638"/>
        <n v="22890.06"/>
        <n v="23191.28"/>
        <n v="23520"/>
        <n v="23823.15"/>
        <n v="24094.8"/>
        <n v="24255"/>
        <n v="24696"/>
        <n v="24847.8"/>
        <n v="26504.32"/>
        <n v="26566.38"/>
        <n v="27048"/>
        <n v="27489"/>
        <n v="28160.84"/>
        <n v="29106"/>
        <n v="29817.36"/>
        <n v="30175.99"/>
        <n v="30576"/>
        <n v="30723"/>
        <n v="31473.88"/>
        <n v="31764.2"/>
        <n v="32340"/>
        <n v="33352.41"/>
        <n v="33732.72"/>
        <n v="33957"/>
        <n v="34786.92"/>
        <n v="35574"/>
        <n v="36443.44"/>
        <n v="37191"/>
        <n v="37346.94"/>
        <n v="38117.04"/>
        <n v="41413"/>
        <n v="42042"/>
        <n v="42336"/>
        <n v="56321.68"/>
      </sharedItems>
    </cacheField>
    <cacheField name="Costo_Producto" numFmtId="0">
      <sharedItems containsSemiMixedTypes="0" containsString="0" containsNumber="1" minValue="89.25" maxValue="39292.44" count="795">
        <n v="89.25"/>
        <n v="107.1"/>
        <n v="107.52"/>
        <n v="120.96"/>
        <n v="124.95"/>
        <n v="134.4"/>
        <n v="142.8"/>
        <n v="147.84"/>
        <n v="160.65"/>
        <n v="161.28"/>
        <n v="174.72"/>
        <n v="178.5"/>
        <n v="183.9"/>
        <n v="188.16"/>
        <n v="192.12"/>
        <n v="193.76"/>
        <n v="196.35"/>
        <n v="201.6"/>
        <n v="202.29"/>
        <n v="207.6"/>
        <n v="214.2"/>
        <n v="215.04"/>
        <n v="220.68"/>
        <n v="221.44"/>
        <n v="228.48"/>
        <n v="232.05"/>
        <n v="235.28"/>
        <n v="239.07"/>
        <n v="240.15"/>
        <n v="241.92"/>
        <n v="249.12"/>
        <n v="249.9"/>
        <n v="254.4"/>
        <n v="255.36"/>
        <n v="257.46"/>
        <n v="262.96"/>
        <n v="267.75"/>
        <n v="268.8"/>
        <n v="275.85"/>
        <n v="276.8"/>
        <n v="285.6"/>
        <n v="288.18"/>
        <n v="290.64"/>
        <n v="294.24"/>
        <n v="295.68"/>
        <n v="303.45"/>
        <n v="304.48"/>
        <n v="309.12"/>
        <n v="312.63"/>
        <n v="318"/>
        <n v="318.32"/>
        <n v="321.3"/>
        <n v="322.56"/>
        <n v="331.02"/>
        <n v="332.16"/>
        <n v="336"/>
        <n v="336.21"/>
        <n v="339.15"/>
        <n v="346"/>
        <n v="346.29"/>
        <n v="349.41"/>
        <n v="349.44"/>
        <n v="354.3"/>
        <n v="357"/>
        <n v="359.84"/>
        <n v="362.88"/>
        <n v="367.8"/>
        <n v="373.68"/>
        <n v="374.85"/>
        <n v="376.32"/>
        <n v="381.6"/>
        <n v="384.24"/>
        <n v="386.19"/>
        <n v="387.52"/>
        <n v="389.73"/>
        <n v="389.76"/>
        <n v="392.7"/>
        <n v="395.76"/>
        <n v="401.36"/>
        <n v="403.2"/>
        <n v="404.58"/>
        <n v="410.55"/>
        <n v="415.2"/>
        <n v="422.97"/>
        <n v="425.16"/>
        <n v="428.4"/>
        <n v="429.04"/>
        <n v="430.08"/>
        <n v="431.82"/>
        <n v="432.27"/>
        <n v="441.36"/>
        <n v="442.88"/>
        <n v="443.52"/>
        <n v="445.2"/>
        <n v="445.23"/>
        <n v="446.25"/>
        <n v="456.3"/>
        <n v="456.72"/>
        <n v="456.96"/>
        <n v="458.57"/>
        <n v="459.75"/>
        <n v="460.59"/>
        <n v="464.1"/>
        <n v="470.4"/>
        <n v="470.56"/>
        <n v="478.14"/>
        <n v="479.8"/>
        <n v="480.3"/>
        <n v="481.95"/>
        <n v="483.84"/>
        <n v="484.4"/>
        <n v="494.7"/>
        <n v="496.02"/>
        <n v="496.53"/>
        <n v="498.24"/>
        <n v="499.8"/>
        <n v="508.8"/>
        <n v="510.72"/>
        <n v="512.08"/>
        <n v="514.92"/>
        <n v="517.65"/>
        <n v="524.08"/>
        <n v="525.92"/>
        <n v="527.78"/>
        <n v="528.33"/>
        <n v="531.45"/>
        <n v="532.35"/>
        <n v="533.31"/>
        <n v="535.5"/>
        <n v="537.6"/>
        <n v="539.76"/>
        <n v="544.17"/>
        <n v="544.5"/>
        <n v="547.35"/>
        <n v="551.04"/>
        <n v="551.7"/>
        <n v="553.35"/>
        <n v="553.6"/>
        <n v="564.48"/>
        <n v="566.88"/>
        <n v="567.44"/>
        <n v="570.09"/>
        <n v="572.4"/>
        <n v="575.76"/>
        <n v="576.36"/>
        <n v="577.92"/>
        <n v="581.28"/>
        <n v="583.84"/>
        <n v="589.05"/>
        <n v="589.59"/>
        <n v="591.36"/>
        <n v="593.64"/>
        <n v="595.12"/>
        <n v="602.31"/>
        <n v="604.8"/>
        <n v="606.87"/>
        <n v="606.9"/>
        <n v="608.4"/>
        <n v="608.96"/>
        <n v="618.24"/>
        <n v="622.8"/>
        <n v="623.74"/>
        <n v="624.39"/>
        <n v="624.75"/>
        <n v="625.26"/>
        <n v="626.64"/>
        <n v="636"/>
        <n v="636.64"/>
        <n v="637.74"/>
        <n v="643.11"/>
        <n v="643.65"/>
        <n v="650.48"/>
        <n v="655.1"/>
        <n v="656.82"/>
        <n v="658.56"/>
        <n v="662.04"/>
        <n v="664.32"/>
        <n v="671.72"/>
        <n v="672"/>
        <n v="672.42"/>
        <n v="673.17"/>
        <n v="678.16"/>
        <n v="680.43"/>
        <n v="684.45"/>
        <n v="685.44"/>
        <n v="692"/>
        <n v="692.58"/>
        <n v="693.31"/>
        <n v="698.82"/>
        <n v="698.88"/>
        <n v="699.6"/>
        <n v="704.97"/>
        <n v="705.84"/>
        <n v="708.6"/>
        <n v="712.32"/>
        <n v="714"/>
        <n v="717.21"/>
        <n v="719.7"/>
        <n v="720.45"/>
        <n v="720.61"/>
        <n v="729.8"/>
        <n v="741.15"/>
        <n v="742.05"/>
        <n v="744.03"/>
        <n v="749.7"/>
        <n v="753.99"/>
        <n v="760.5"/>
        <n v="761.2"/>
        <n v="763.2"/>
        <n v="766.08"/>
        <n v="766.29"/>
        <n v="767.55"/>
        <n v="767.68"/>
        <n v="768.48"/>
        <n v="772.38"/>
        <n v="775.04"/>
        <n v="779.46"/>
        <n v="779.52"/>
        <n v="783.3"/>
        <n v="786.12"/>
        <n v="788.88"/>
        <n v="791.52"/>
        <n v="792.96"/>
        <n v="802.78"/>
        <n v="809.16"/>
        <n v="814.89"/>
        <n v="815.66"/>
        <n v="816.51"/>
        <n v="816.56"/>
        <n v="816.75"/>
        <n v="826.8"/>
        <n v="830.4"/>
        <n v="836.55"/>
        <n v="839.27"/>
        <n v="839.97"/>
        <n v="840.99"/>
        <n v="841.26"/>
        <n v="844.24"/>
        <n v="845.94"/>
        <n v="850.32"/>
        <n v="851.63"/>
        <n v="858.08"/>
        <n v="860.16"/>
        <n v="861.63"/>
        <n v="863.64"/>
        <n v="864.33"/>
        <n v="864.54"/>
        <n v="874.65"/>
        <n v="875.76"/>
        <n v="882.72"/>
        <n v="885.75"/>
        <n v="885.76"/>
        <n v="889.38"/>
        <n v="890.4"/>
        <n v="890.46"/>
        <n v="901.11"/>
        <n v="911.62"/>
        <n v="912.25"/>
        <n v="912.57"/>
        <n v="912.6"/>
        <n v="917.14"/>
        <n v="919.5"/>
        <n v="921.18"/>
        <n v="927.36"/>
        <n v="928.2"/>
        <n v="937.89"/>
        <n v="938.79"/>
        <n v="939.96"/>
        <n v="940.8"/>
        <n v="946.05"/>
        <n v="948.74"/>
        <n v="954"/>
        <n v="956.28"/>
        <n v="956.61"/>
        <n v="959.6"/>
        <n v="960.6"/>
        <n v="982.65"/>
        <n v="985.23"/>
        <n v="988.2"/>
        <n v="988.65"/>
        <n v="989.4"/>
        <n v="992.04"/>
        <n v="994.56"/>
        <n v="996.48"/>
        <n v="999.6"/>
        <n v="1007.58"/>
        <n v="1008.63"/>
        <n v="1017.6"/>
        <n v="1018.29"/>
        <n v="1021.72"/>
        <n v="1037.61"/>
        <n v="1038.87"/>
        <n v="1048.16"/>
        <n v="1048.23"/>
        <n v="1055.56"/>
        <n v="1056.66"/>
        <n v="1058.21"/>
        <n v="1062.9"/>
        <n v="1064.7"/>
        <n v="1065.68"/>
        <n v="1081.2"/>
        <n v="1087.02"/>
        <n v="1088.34"/>
        <n v="1088.85"/>
        <n v="1089"/>
        <n v="1093.36"/>
        <n v="1094.7"/>
        <n v="1096.62"/>
        <n v="1098.33"/>
        <n v="1104.69"/>
        <n v="1113.67"/>
        <n v="1115.52"/>
        <n v="1121.04"/>
        <n v="1121.68"/>
        <n v="1124.55"/>
        <n v="1131.19"/>
        <n v="1133.76"/>
        <n v="1134.88"/>
        <n v="1136.43"/>
        <n v="1140.75"/>
        <n v="1142.4"/>
        <n v="1144.8"/>
        <n v="1148.72"/>
        <n v="1152.72"/>
        <n v="1158.57"/>
        <n v="1162.56"/>
        <n v="1167.68"/>
        <n v="1169.19"/>
        <n v="1174.95"/>
        <n v="1178.1"/>
        <n v="1179.18"/>
        <n v="1185.84"/>
        <n v="1187.28"/>
        <n v="1199.5"/>
        <n v="1200.75"/>
        <n v="1204.08"/>
        <n v="1204.17"/>
        <n v="1204.62"/>
        <n v="1208.4"/>
        <n v="1216.8"/>
        <n v="1223.04"/>
        <n v="1231.76"/>
        <n v="1236.48"/>
        <n v="1240.05"/>
        <n v="1240.66"/>
        <n v="1244.69"/>
        <n v="1247.48"/>
        <n v="1248.78"/>
        <n v="1253.28"/>
        <n v="1267.35"/>
        <n v="1272"/>
        <n v="1275.48"/>
        <n v="1277.15"/>
        <n v="1284.66"/>
        <n v="1286.22"/>
        <n v="1287.12"/>
        <n v="1292.85"/>
        <n v="1295.46"/>
        <n v="1296.81"/>
        <n v="1300.96"/>
        <n v="1310.2"/>
        <n v="1310.91"/>
        <n v="1313.64"/>
        <n v="1314.8"/>
        <n v="1317.12"/>
        <n v="1331.61"/>
        <n v="1334.07"/>
        <n v="1335.6"/>
        <n v="1335.69"/>
        <n v="1343.44"/>
        <n v="1344.84"/>
        <n v="1346.34"/>
        <n v="1350.13"/>
        <n v="1357.44"/>
        <n v="1361.25"/>
        <n v="1368.9"/>
        <n v="1370.16"/>
        <n v="1370.88"/>
        <n v="1375.71"/>
        <n v="1381.77"/>
        <n v="1383.48"/>
        <n v="1384.32"/>
        <n v="1386.62"/>
        <n v="1391.42"/>
        <n v="1399.2"/>
        <n v="1402.1"/>
        <n v="1409.94"/>
        <n v="1411.2"/>
        <n v="1417.2"/>
        <n v="1423.11"/>
        <n v="1428"/>
        <n v="1432.89"/>
        <n v="1434.63"/>
        <n v="1439.4"/>
        <n v="1440.9"/>
        <n v="1441.22"/>
        <n v="1444.95"/>
        <n v="1452.63"/>
        <n v="1459.6"/>
        <n v="1462.8"/>
        <n v="1467.04"/>
        <n v="1482.3"/>
        <n v="1484.1"/>
        <n v="1487.38"/>
        <n v="1488"/>
        <n v="1488.06"/>
        <n v="1488.27"/>
        <n v="1496.09"/>
        <n v="1506.73"/>
        <n v="1521"/>
        <n v="1523.49"/>
        <n v="1526.4"/>
        <n v="1531.71"/>
        <n v="1532.58"/>
        <n v="1533.57"/>
        <n v="1566.6"/>
        <n v="1569.07"/>
        <n v="1572.24"/>
        <n v="1581.12"/>
        <n v="1583.34"/>
        <n v="1590"/>
        <n v="1597.05"/>
        <n v="1605.56"/>
        <n v="1618.32"/>
        <n v="1629.78"/>
        <n v="1630.53"/>
        <n v="1631.32"/>
        <n v="1632.51"/>
        <n v="1633.12"/>
        <n v="1633.5"/>
        <n v="1637.75"/>
        <n v="1639.68"/>
        <n v="1644.93"/>
        <n v="1646.96"/>
        <n v="1653.6"/>
        <n v="1666.56"/>
        <n v="1673.1"/>
        <n v="1678.54"/>
        <n v="1679.3"/>
        <n v="1679.94"/>
        <n v="1681.05"/>
        <n v="1681.98"/>
        <n v="1682.52"/>
        <n v="1700.64"/>
        <n v="1703.26"/>
        <n v="1715.03"/>
        <n v="1717.2"/>
        <n v="1723.26"/>
        <n v="1727.28"/>
        <n v="1729.35"/>
        <n v="1731.45"/>
        <n v="1749.15"/>
        <n v="1751.52"/>
        <n v="1768.77"/>
        <n v="1771.5"/>
        <n v="1775.26"/>
        <n v="1777.11"/>
        <n v="1778.76"/>
        <n v="1780.8"/>
        <n v="1780.92"/>
        <n v="1788.01"/>
        <n v="1801.59"/>
        <n v="1823.24"/>
        <n v="1824.5"/>
        <n v="1825.14"/>
        <n v="1825.2"/>
        <n v="1828.17"/>
        <n v="1834.28"/>
        <n v="1844.4"/>
        <n v="1860.99"/>
        <n v="1871.22"/>
        <n v="1877.58"/>
        <n v="1877.79"/>
        <n v="1879.86"/>
        <n v="1879.92"/>
        <n v="1901.25"/>
        <n v="1905.75"/>
        <n v="1913.22"/>
        <n v="1919.2"/>
        <n v="1926.99"/>
        <n v="1929.33"/>
        <n v="1958.25"/>
        <n v="1962.94"/>
        <n v="1965.3"/>
        <n v="1967.18"/>
        <n v="1969.23"/>
        <n v="1970.46"/>
        <n v="1976.4"/>
        <n v="1977.3"/>
        <n v="1984.08"/>
        <n v="2006.95"/>
        <n v="2015.16"/>
        <n v="2019.51"/>
        <n v="2030.81"/>
        <n v="2035.2"/>
        <n v="2036.58"/>
        <n v="2043.44"/>
        <n v="2053.35"/>
        <n v="2054.94"/>
        <n v="2063.14"/>
        <n v="2065.29"/>
        <n v="2079.93"/>
        <n v="2090.37"/>
        <n v="2096.32"/>
        <n v="2111.12"/>
        <n v="2113.32"/>
        <n v="2114.91"/>
        <n v="2123.52"/>
        <n v="2124.63"/>
        <n v="2125.8"/>
        <n v="2152.91"/>
        <n v="2159.1"/>
        <n v="2174.04"/>
        <n v="2176.68"/>
        <n v="2178"/>
        <n v="2193.24"/>
        <n v="2196.66"/>
        <n v="2207.08"/>
        <n v="2223.45"/>
        <n v="2232"/>
        <n v="2243.36"/>
        <n v="2244"/>
        <n v="2255.06"/>
        <n v="2262.38"/>
        <n v="2267.52"/>
        <n v="2271.57"/>
        <n v="2272.86"/>
        <n v="2281.5"/>
        <n v="2289.6"/>
        <n v="2292.85"/>
        <n v="2298.96"/>
        <n v="2302.95"/>
        <n v="2305.44"/>
        <n v="2335.36"/>
        <n v="2349.9"/>
        <n v="2351.02"/>
        <n v="2353.2"/>
        <n v="2353.47"/>
        <n v="2357.55"/>
        <n v="2358.36"/>
        <n v="2371.85"/>
        <n v="2374.56"/>
        <n v="2401.5"/>
        <n v="2421.09"/>
        <n v="2428.23"/>
        <n v="2433.6"/>
        <n v="2444.83"/>
        <n v="2446.98"/>
        <n v="2450.25"/>
        <n v="2470.5"/>
        <n v="2473.5"/>
        <n v="2480.1"/>
        <n v="2489.38"/>
        <n v="2494.96"/>
        <n v="2506.56"/>
        <n v="2509.65"/>
        <n v="2523.78"/>
        <n v="2542.94"/>
        <n v="2544"/>
        <n v="2550.96"/>
        <n v="2554.89"/>
        <n v="2585.7"/>
        <n v="2627.28"/>
        <n v="2638.9"/>
        <n v="2661.75"/>
        <n v="2663.22"/>
        <n v="2663.77"/>
        <n v="2668.14"/>
        <n v="2685.91"/>
        <n v="2686.88"/>
        <n v="2700.26"/>
        <n v="2717.55"/>
        <n v="2722.5"/>
        <n v="2734.8"/>
        <n v="2737.8"/>
        <n v="2741.55"/>
        <n v="2782.84"/>
        <n v="2804.2"/>
        <n v="2809.73"/>
        <n v="2813.85"/>
        <n v="2816.37"/>
        <n v="2816.93"/>
        <n v="2819.88"/>
        <n v="2865.78"/>
        <n v="2869.83"/>
        <n v="2882.44"/>
        <n v="2898.21"/>
        <n v="2919.2"/>
        <n v="2925.6"/>
        <n v="2929.83"/>
        <n v="2947.95"/>
        <n v="2964.6"/>
        <n v="2976"/>
        <n v="2976.54"/>
        <n v="3013.46"/>
        <n v="3014.01"/>
        <n v="3028.67"/>
        <n v="3052.8"/>
        <n v="3054.87"/>
        <n v="3065.16"/>
        <n v="3065.28"/>
        <n v="3078.97"/>
        <n v="3082.41"/>
        <n v="3084.62"/>
        <n v="3118.7"/>
        <n v="3121.95"/>
        <n v="3133.2"/>
        <n v="3138.14"/>
        <n v="3162.24"/>
        <n v="3166.68"/>
        <n v="3174.63"/>
        <n v="3194.1"/>
        <n v="3211.12"/>
        <n v="3211.53"/>
        <n v="3243.6"/>
        <n v="3261.06"/>
        <n v="3267"/>
        <n v="3270.15"/>
        <n v="3289.86"/>
        <n v="3320.59"/>
        <n v="3330.42"/>
        <n v="3363.96"/>
        <n v="3365.04"/>
        <n v="3366"/>
        <n v="3401.28"/>
        <n v="3422.25"/>
        <n v="3430.06"/>
        <n v="3454.56"/>
        <n v="3458.7"/>
        <n v="3466.55"/>
        <n v="3472.14"/>
        <n v="3502.54"/>
        <n v="3503.04"/>
        <n v="3508.11"/>
        <n v="3524.85"/>
        <n v="3539.25"/>
        <n v="3557.52"/>
        <n v="3574.35"/>
        <n v="3578.43"/>
        <n v="3606.93"/>
        <n v="3625.2"/>
        <n v="3650.4"/>
        <n v="3668.56"/>
        <n v="3681.51"/>
        <n v="3684.72"/>
        <n v="3720"/>
        <n v="3726.45"/>
        <n v="3759.84"/>
        <n v="3791.01"/>
        <n v="3799.58"/>
        <n v="3802.5"/>
        <n v="3804.57"/>
        <n v="3811.5"/>
        <n v="3831.6"/>
        <n v="3838.17"/>
        <n v="3853.98"/>
        <n v="3925.88"/>
        <n v="4039.02"/>
        <n v="4074.45"/>
        <n v="4078.3"/>
        <n v="4083.75"/>
        <n v="4101.03"/>
        <n v="4174.26"/>
        <n v="4206.3"/>
        <n v="4258.8"/>
        <n v="4308.15"/>
        <n v="4318.2"/>
        <n v="4324.8"/>
        <n v="4356"/>
        <n v="4386.48"/>
        <n v="4446.9"/>
        <n v="4464"/>
        <n v="4486.72"/>
        <n v="4488"/>
        <n v="4496.31"/>
        <n v="4499.61"/>
        <n v="4543.14"/>
        <n v="4545.72"/>
        <n v="4558.1"/>
        <n v="4597.92"/>
        <n v="4621.47"/>
        <n v="4622.64"/>
        <n v="4628.25"/>
        <n v="4654.06"/>
        <n v="4676.76"/>
        <n v="4693.95"/>
        <n v="4699.8"/>
        <n v="4767.14"/>
        <n v="4816.68"/>
        <n v="4867.2"/>
        <n v="4900.5"/>
        <n v="4934.79"/>
        <n v="4943.25"/>
        <n v="5047.56"/>
        <n v="5089.23"/>
        <n v="5095.35"/>
        <n v="5171.4"/>
        <n v="5172.75"/>
        <n v="5208"/>
        <n v="5277.8"/>
        <n v="5286.87"/>
        <n v="5327.98"/>
        <n v="5364.24"/>
        <n v="5373.76"/>
        <n v="5421.74"/>
        <n v="5561.43"/>
        <n v="5608.4"/>
        <n v="5610"/>
        <n v="5717.25"/>
        <n v="5778.3"/>
        <n v="5888.82"/>
        <n v="5952"/>
        <n v="5989.5"/>
        <n v="5997.5"/>
        <n v="6028.02"/>
        <n v="6130.56"/>
        <n v="6160.05"/>
        <n v="6169.24"/>
        <n v="6261.75"/>
        <n v="6449.66"/>
        <n v="6534"/>
        <n v="6696"/>
        <n v="6719.76"/>
        <n v="6730.08"/>
        <n v="6732"/>
        <n v="6896.88"/>
        <n v="6933.96"/>
        <n v="7340.94"/>
        <n v="7440"/>
        <n v="7663.2"/>
        <n v="7851.76"/>
        <n v="7854"/>
        <n v="8089.62"/>
        <n v="8184"/>
        <n v="8429.52"/>
        <n v="8439.75"/>
        <n v="8693.02"/>
        <n v="8928"/>
        <n v="8976"/>
        <n v="8984.25"/>
        <n v="9195.84"/>
        <n v="9245.28"/>
        <n v="9672"/>
        <n v="9962.16"/>
        <n v="10098"/>
        <n v="10400.94"/>
        <n v="10416"/>
        <n v="10728.48"/>
        <n v="11220"/>
        <n v="11494.8"/>
        <n v="11556.6"/>
        <n v="12261.12"/>
        <n v="12342"/>
        <n v="12648"/>
        <n v="12712.26"/>
        <n v="13027.44"/>
        <n v="13392"/>
        <n v="13464"/>
        <n v="13793.76"/>
        <n v="13867.92"/>
        <n v="14136"/>
        <n v="14560.08"/>
        <n v="14586"/>
        <n v="14880"/>
        <n v="15023.58"/>
        <n v="15326.4"/>
        <n v="15624"/>
        <n v="15708"/>
        <n v="16179.24"/>
        <n v="16830"/>
        <n v="17112"/>
        <n v="17334.9"/>
        <n v="17625.36"/>
        <n v="18490.56"/>
        <n v="19074"/>
        <n v="19344"/>
        <n v="19646.22"/>
        <n v="20196"/>
        <n v="20801.88"/>
        <n v="21318"/>
        <n v="21456.96"/>
        <n v="21957.54"/>
        <n v="22440"/>
        <n v="23113.2"/>
        <n v="23562"/>
        <n v="23755.92"/>
        <n v="24268.86"/>
        <n v="24684"/>
        <n v="25424.52"/>
        <n v="25806"/>
        <n v="26784"/>
        <n v="27735.84"/>
        <n v="28891.5"/>
        <n v="29172"/>
        <n v="39292.44"/>
      </sharedItems>
    </cacheField>
    <cacheField name="Costo_Logistico" numFmtId="0">
      <sharedItems containsSemiMixedTypes="0" containsString="0" containsNumber="1" minValue="5.35" maxValue="1808.92" count="1338">
        <n v="5.35"/>
        <n v="5.76"/>
        <n v="5.88"/>
        <n v="6.17"/>
        <n v="6.33"/>
        <n v="6.59"/>
        <n v="6.69"/>
        <n v="6.85"/>
        <n v="7"/>
        <n v="7.2"/>
        <n v="7.23"/>
        <n v="7.24"/>
        <n v="7.3"/>
        <n v="7.31"/>
        <n v="7.41"/>
        <n v="7.55"/>
        <n v="7.57"/>
        <n v="7.58"/>
        <n v="7.59"/>
        <n v="7.69"/>
        <n v="7.77"/>
        <n v="7.79"/>
        <n v="7.82"/>
        <n v="7.9"/>
        <n v="8.03"/>
        <n v="8.22"/>
        <n v="8.23"/>
        <n v="8.32"/>
        <n v="8.64"/>
        <n v="8.68"/>
        <n v="8.76"/>
        <n v="8.92"/>
        <n v="9.04"/>
        <n v="9.06"/>
        <n v="9.14"/>
        <n v="9.22"/>
        <n v="9.25"/>
        <n v="9.27"/>
        <n v="9.36"/>
        <n v="9.4"/>
        <n v="9.47"/>
        <n v="9.55"/>
        <n v="9.63"/>
        <n v="9.87"/>
        <n v="9.88"/>
        <n v="9.95"/>
        <n v="9.99"/>
        <n v="10.08"/>
        <n v="10.13"/>
        <n v="10.23"/>
        <n v="10.37"/>
        <n v="10.51"/>
        <n v="10.54"/>
        <n v="10.56"/>
        <n v="10.6"/>
        <n v="10.7"/>
        <n v="10.85"/>
        <n v="10.87"/>
        <n v="10.91"/>
        <n v="10.96"/>
        <n v="11"/>
        <n v="11.15"/>
        <n v="11.2"/>
        <n v="11.3"/>
        <n v="11.42"/>
        <n v="11.52"/>
        <n v="11.59"/>
        <n v="11.68"/>
        <n v="11.77"/>
        <n v="11.88"/>
        <n v="12"/>
        <n v="12.04"/>
        <n v="12.06"/>
        <n v="12.07"/>
        <n v="12.08"/>
        <n v="12.2"/>
        <n v="12.21"/>
        <n v="12.33"/>
        <n v="12.35"/>
        <n v="12.42"/>
        <n v="12.49"/>
        <n v="12.62"/>
        <n v="12.66"/>
        <n v="12.68"/>
        <n v="12.79"/>
        <n v="12.93"/>
        <n v="12.97"/>
        <n v="12.99"/>
        <n v="13.15"/>
        <n v="13.16"/>
        <n v="13.17"/>
        <n v="13.24"/>
        <n v="13.25"/>
        <n v="13.28"/>
        <n v="13.31"/>
        <n v="13.38"/>
        <n v="13.63"/>
        <n v="13.7"/>
        <n v="13.74"/>
        <n v="13.83"/>
        <n v="13.89"/>
        <n v="13.99"/>
        <n v="14.02"/>
        <n v="14.08"/>
        <n v="14.11"/>
        <n v="14.12"/>
        <n v="14.19"/>
        <n v="14.2"/>
        <n v="14.27"/>
        <n v="14.41"/>
        <n v="14.42"/>
        <n v="14.49"/>
        <n v="14.66"/>
        <n v="14.71"/>
        <n v="14.8"/>
        <n v="14.82"/>
        <n v="14.98"/>
        <n v="14.99"/>
        <n v="15.09"/>
        <n v="15.15"/>
        <n v="15.16"/>
        <n v="15.34"/>
        <n v="15.35"/>
        <n v="15.37"/>
        <n v="15.5"/>
        <n v="15.52"/>
        <n v="15.53"/>
        <n v="15.55"/>
        <n v="15.81"/>
        <n v="15.85"/>
        <n v="15.99"/>
        <n v="16.08"/>
        <n v="16.13"/>
        <n v="16.24"/>
        <n v="16.41"/>
        <n v="16.44"/>
        <n v="16.45"/>
        <n v="16.46"/>
        <n v="16.47"/>
        <n v="16.6"/>
        <n v="16.64"/>
        <n v="16.9"/>
        <n v="16.93"/>
        <n v="16.99"/>
        <n v="17.04"/>
        <n v="17.05"/>
        <n v="17.12"/>
        <n v="17.36"/>
        <n v="17.48"/>
        <n v="17.49"/>
        <n v="17.57"/>
        <n v="17.67"/>
        <n v="17.74"/>
        <n v="17.75"/>
        <n v="17.82"/>
        <n v="17.84"/>
        <n v="17.91"/>
        <n v="18.11"/>
        <n v="18.19"/>
        <n v="18.27"/>
        <n v="18.31"/>
        <n v="18.33"/>
        <n v="18.35"/>
        <n v="18.41"/>
        <n v="18.44"/>
        <n v="18.5"/>
        <n v="18.54"/>
        <n v="18.6"/>
        <n v="18.7"/>
        <n v="18.73"/>
        <n v="18.77"/>
        <n v="18.79"/>
        <n v="18.86"/>
        <n v="18.91"/>
        <n v="18.92"/>
        <n v="18.93"/>
        <n v="18.99"/>
        <n v="19.1"/>
        <n v="19.11"/>
        <n v="19.16"/>
        <n v="19.17"/>
        <n v="19.19"/>
        <n v="19.31"/>
        <n v="19.47"/>
        <n v="19.49"/>
        <n v="19.76"/>
        <n v="19.87"/>
        <n v="19.89"/>
        <n v="19.97"/>
        <n v="19.99"/>
        <n v="20.1"/>
        <n v="20.17"/>
        <n v="20.2"/>
        <n v="20.36"/>
        <n v="20.53"/>
        <n v="20.58"/>
        <n v="20.74"/>
        <n v="20.83"/>
        <n v="20.99"/>
        <n v="21.05"/>
        <n v="21.07"/>
        <n v="21.17"/>
        <n v="21.4"/>
        <n v="21.7"/>
        <n v="21.81"/>
        <n v="21.83"/>
        <n v="21.85"/>
        <n v="21.93"/>
        <n v="21.96"/>
        <n v="21.99"/>
        <n v="22.15"/>
        <n v="22.19"/>
        <n v="22.39"/>
        <n v="22.58"/>
        <n v="22.64"/>
        <n v="22.66"/>
        <n v="22.67"/>
        <n v="22.72"/>
        <n v="22.74"/>
        <n v="22.83"/>
        <n v="22.84"/>
        <n v="22.89"/>
        <n v="22.91"/>
        <n v="22.93"/>
        <n v="22.99"/>
        <n v="23.05"/>
        <n v="23.3"/>
        <n v="23.37"/>
        <n v="23.46"/>
        <n v="23.49"/>
        <n v="23.51"/>
        <n v="23.61"/>
        <n v="23.65"/>
        <n v="23.7"/>
        <n v="23.75"/>
        <n v="23.82"/>
        <n v="23.98"/>
        <n v="23.99"/>
        <n v="24.41"/>
        <n v="24.46"/>
        <n v="24.49"/>
        <n v="24.61"/>
        <n v="24.7"/>
        <n v="24.8"/>
        <n v="24.83"/>
        <n v="24.84"/>
        <n v="24.91"/>
        <n v="24.93"/>
        <n v="24.97"/>
        <n v="25.03"/>
        <n v="25.04"/>
        <n v="25.19"/>
        <n v="25.23"/>
        <n v="25.24"/>
        <n v="25.32"/>
        <n v="25.35"/>
        <n v="25.4"/>
        <n v="25.45"/>
        <n v="25.58"/>
        <n v="25.74"/>
        <n v="25.87"/>
        <n v="25.93"/>
        <n v="25.99"/>
        <n v="26.01"/>
        <n v="26.02"/>
        <n v="26.03"/>
        <n v="26.04"/>
        <n v="26.22"/>
        <n v="26.3"/>
        <n v="26.31"/>
        <n v="26.34"/>
        <n v="26.35"/>
        <n v="26.4"/>
        <n v="26.46"/>
        <n v="26.48"/>
        <n v="26.5"/>
        <n v="26.56"/>
        <n v="26.62"/>
        <n v="26.63"/>
        <n v="26.75"/>
        <n v="26.82"/>
        <n v="26.87"/>
        <n v="26.99"/>
        <n v="27"/>
        <n v="27.05"/>
        <n v="27.07"/>
        <n v="27.12"/>
        <n v="27.13"/>
        <n v="27.15"/>
        <n v="27.2"/>
        <n v="27.33"/>
        <n v="27.41"/>
        <n v="27.52"/>
        <n v="27.55"/>
        <n v="27.77"/>
        <n v="27.85"/>
        <n v="27.9"/>
        <n v="27.93"/>
        <n v="27.99"/>
        <n v="28"/>
        <n v="28.03"/>
        <n v="28.15"/>
        <n v="28.16"/>
        <n v="28.19"/>
        <n v="28.28"/>
        <n v="28.31"/>
        <n v="28.33"/>
        <n v="28.38"/>
        <n v="28.81"/>
        <n v="28.84"/>
        <n v="28.98"/>
        <n v="29.03"/>
        <n v="29.05"/>
        <n v="29.24"/>
        <n v="29.3"/>
        <n v="29.32"/>
        <n v="29.37"/>
        <n v="29.38"/>
        <n v="29.43"/>
        <n v="29.45"/>
        <n v="29.52"/>
        <n v="29.64"/>
        <n v="29.76"/>
        <n v="29.81"/>
        <n v="29.95"/>
        <n v="29.96"/>
        <n v="29.99"/>
        <n v="30.05"/>
        <n v="30.16"/>
        <n v="30.18"/>
        <n v="30.23"/>
        <n v="30.29"/>
        <n v="30.32"/>
        <n v="30.54"/>
        <n v="30.58"/>
        <n v="30.65"/>
        <n v="30.68"/>
        <n v="30.7"/>
        <n v="30.74"/>
        <n v="30.75"/>
        <n v="30.83"/>
        <n v="30.88"/>
        <n v="31.05"/>
        <n v="31.06"/>
        <n v="31.28"/>
        <n v="31.34"/>
        <n v="31.39"/>
        <n v="31.46"/>
        <n v="31.47"/>
        <n v="31.49"/>
        <n v="31.56"/>
        <n v="31.64"/>
        <n v="31.66"/>
        <n v="31.72"/>
        <n v="31.75"/>
        <n v="31.9"/>
        <n v="31.94"/>
        <n v="31.99"/>
        <n v="32.1"/>
        <n v="32.16"/>
        <n v="32.23"/>
        <n v="32.24"/>
        <n v="32.27"/>
        <n v="32.33"/>
        <n v="32.4"/>
        <n v="32.46"/>
        <n v="32.49"/>
        <n v="32.52"/>
        <n v="32.55"/>
        <n v="32.82"/>
        <n v="32.87"/>
        <n v="32.89"/>
        <n v="32.93"/>
        <n v="32.94"/>
        <n v="32.99"/>
        <n v="33.12"/>
        <n v="33.13"/>
        <n v="33.26"/>
        <n v="33.38"/>
        <n v="33.52"/>
        <n v="33.63"/>
        <n v="33.79"/>
        <n v="33.87"/>
        <n v="33.93"/>
        <n v="33.94"/>
        <n v="34.05"/>
        <n v="34.1"/>
        <n v="34.35"/>
        <n v="34.36"/>
        <n v="34.4"/>
        <n v="34.45"/>
        <n v="34.57"/>
        <n v="34.63"/>
        <n v="34.72"/>
        <n v="34.78"/>
        <n v="34.99"/>
        <n v="35.16"/>
        <n v="35.19"/>
        <n v="35.24"/>
        <n v="35.26"/>
        <n v="35.42"/>
        <n v="35.47"/>
        <n v="35.48"/>
        <n v="35.56"/>
        <n v="35.61"/>
        <n v="35.63"/>
        <n v="35.65"/>
        <n v="35.67"/>
        <n v="35.68"/>
        <n v="35.99"/>
        <n v="36.02"/>
        <n v="36.1"/>
        <n v="36.17"/>
        <n v="36.18"/>
        <n v="36.21"/>
        <n v="36.22"/>
        <n v="36.23"/>
        <n v="36.31"/>
        <n v="36.38"/>
        <n v="36.39"/>
        <n v="36.44"/>
        <n v="36.69"/>
        <n v="36.74"/>
        <n v="36.81"/>
        <n v="36.87"/>
        <n v="37"/>
        <n v="37.04"/>
        <n v="37.06"/>
        <n v="37.39"/>
        <n v="37.46"/>
        <n v="37.59"/>
        <n v="37.73"/>
        <n v="37.78"/>
        <n v="37.84"/>
        <n v="37.87"/>
        <n v="37.98"/>
        <n v="38"/>
        <n v="38.09"/>
        <n v="38.22"/>
        <n v="38.32"/>
        <n v="38.37"/>
        <n v="38.44"/>
        <n v="38.61"/>
        <n v="38.62"/>
        <n v="38.64"/>
        <n v="38.81"/>
        <n v="39.1"/>
        <n v="39.24"/>
        <n v="39.35"/>
        <n v="39.42"/>
        <n v="39.45"/>
        <n v="39.51"/>
        <n v="39.53"/>
        <n v="39.64"/>
        <n v="39.68"/>
        <n v="39.75"/>
        <n v="39.78"/>
        <n v="39.87"/>
        <n v="39.94"/>
        <n v="39.98"/>
        <n v="40.07"/>
        <n v="40.13"/>
        <n v="40.17"/>
        <n v="40.2"/>
        <n v="40.21"/>
        <n v="40.22"/>
        <n v="40.3"/>
        <n v="40.32"/>
        <n v="40.34"/>
        <n v="40.57"/>
        <n v="40.72"/>
        <n v="40.93"/>
        <n v="40.96"/>
        <n v="41.02"/>
        <n v="41.11"/>
        <n v="41.15"/>
        <n v="41.16"/>
        <n v="41.17"/>
        <n v="41.18"/>
        <n v="41.28"/>
        <n v="41.34"/>
        <n v="41.39"/>
        <n v="41.41"/>
        <n v="41.57"/>
        <n v="41.72"/>
        <n v="41.73"/>
        <n v="42.04"/>
        <n v="42.15"/>
        <n v="42.16"/>
        <n v="42.28"/>
        <n v="42.29"/>
        <n v="42.34"/>
        <n v="42.42"/>
        <n v="42.45"/>
        <n v="42.6"/>
        <n v="42.81"/>
        <n v="42.83"/>
        <n v="42.98"/>
        <n v="43.01"/>
        <n v="43.06"/>
        <n v="43.12"/>
        <n v="43.23"/>
        <n v="43.27"/>
        <n v="43.28"/>
        <n v="43.4"/>
        <n v="43.46"/>
        <n v="43.49"/>
        <n v="43.57"/>
        <n v="43.66"/>
        <n v="43.75"/>
        <n v="43.85"/>
        <n v="43.89"/>
        <n v="43.98"/>
        <n v="44.23"/>
        <n v="44.3"/>
        <n v="44.34"/>
        <n v="44.4"/>
        <n v="44.45"/>
        <n v="44.64"/>
        <n v="44.72"/>
        <n v="44.78"/>
        <n v="44.84"/>
        <n v="44.93"/>
        <n v="44.94"/>
        <n v="45.06"/>
        <n v="45.16"/>
        <n v="45.31"/>
        <n v="45.4"/>
        <n v="45.48"/>
        <n v="45.68"/>
        <n v="45.81"/>
        <n v="45.86"/>
        <n v="45.88"/>
        <n v="45.95"/>
        <n v="45.98"/>
        <n v="46.5"/>
        <n v="46.56"/>
        <n v="46.57"/>
        <n v="46.74"/>
        <n v="46.88"/>
        <n v="46.99"/>
        <n v="47.11"/>
        <n v="47.12"/>
        <n v="47.2"/>
        <n v="47.22"/>
        <n v="47.25"/>
        <n v="47.29"/>
        <n v="47.3"/>
        <n v="47.35"/>
        <n v="47.39"/>
        <n v="47.51"/>
        <n v="47.63"/>
        <n v="47.75"/>
        <n v="47.79"/>
        <n v="47.86"/>
        <n v="47.97"/>
        <n v="47.98"/>
        <n v="48.03"/>
        <n v="48.16"/>
        <n v="48.24"/>
        <n v="48.36"/>
        <n v="48.41"/>
        <n v="48.51"/>
        <n v="48.69"/>
        <n v="48.7"/>
        <n v="48.81"/>
        <n v="48.82"/>
        <n v="48.83"/>
        <n v="48.86"/>
        <n v="48.89"/>
        <n v="48.92"/>
        <n v="48.98"/>
        <n v="49.08"/>
        <n v="49.16"/>
        <n v="49.2"/>
        <n v="49.5"/>
        <n v="49.53"/>
        <n v="49.6"/>
        <n v="49.62"/>
        <n v="49.69"/>
        <n v="50"/>
        <n v="50.05"/>
        <n v="50.27"/>
        <n v="50.45"/>
        <n v="50.49"/>
        <n v="50.68"/>
        <n v="50.8"/>
        <n v="50.83"/>
        <n v="50.9"/>
        <n v="51.04"/>
        <n v="51.08"/>
        <n v="51.16"/>
        <n v="51.34"/>
        <n v="51.39"/>
        <n v="51.47"/>
        <n v="51.6"/>
        <n v="51.69"/>
        <n v="51.98"/>
        <n v="52.03"/>
        <n v="52.48"/>
        <n v="52.57"/>
        <n v="52.6"/>
        <n v="52.74"/>
        <n v="52.76"/>
        <n v="52.86"/>
        <n v="52.92"/>
        <n v="53"/>
        <n v="53.25"/>
        <n v="53.32"/>
        <n v="53.51"/>
        <n v="53.83"/>
        <n v="53.97"/>
        <n v="54.1"/>
        <n v="54.15"/>
        <n v="54.46"/>
        <n v="54.56"/>
        <n v="54.58"/>
        <n v="54.74"/>
        <n v="55.04"/>
        <n v="55.47"/>
        <n v="55.55"/>
        <n v="55.57"/>
        <n v="55.58"/>
        <n v="55.67"/>
        <n v="55.8"/>
        <n v="55.98"/>
        <n v="56.06"/>
        <n v="56.25"/>
        <n v="56.31"/>
        <n v="56.36"/>
        <n v="56.38"/>
        <n v="56.45"/>
        <n v="56.57"/>
        <n v="56.67"/>
        <n v="56.75"/>
        <n v="56.8"/>
        <n v="56.88"/>
        <n v="56.92"/>
        <n v="56.98"/>
        <n v="57.33"/>
        <n v="57.35"/>
        <n v="57.43"/>
        <n v="57.69"/>
        <n v="57.86"/>
        <n v="57.95"/>
        <n v="57.97"/>
        <n v="58.09"/>
        <n v="58.14"/>
        <n v="58.21"/>
        <n v="58.6"/>
        <n v="58.73"/>
        <n v="58.86"/>
        <n v="58.9"/>
        <n v="59.2"/>
        <n v="59.27"/>
        <n v="60.3"/>
        <n v="60.72"/>
        <n v="60.79"/>
        <n v="60.86"/>
        <n v="61"/>
        <n v="61.08"/>
        <n v="61.15"/>
        <n v="61.28"/>
        <n v="61.29"/>
        <n v="61.66"/>
        <n v="61.77"/>
        <n v="61.92"/>
        <n v="61.94"/>
        <n v="62"/>
        <n v="62.13"/>
        <n v="62.31"/>
        <n v="62.43"/>
        <n v="62.5"/>
        <n v="62.56"/>
        <n v="62.94"/>
        <n v="63.18"/>
        <n v="63.29"/>
        <n v="63.5"/>
        <n v="63.86"/>
        <n v="64.15"/>
        <n v="64.21"/>
        <n v="64.46"/>
        <n v="64.47"/>
        <n v="64.6"/>
        <n v="64.8"/>
        <n v="64.86"/>
        <n v="64.92"/>
        <n v="65.14"/>
        <n v="65.74"/>
        <n v="65.78"/>
        <n v="65.87"/>
        <n v="65.88"/>
        <n v="65.97"/>
        <n v="66.06"/>
        <n v="66.11"/>
        <n v="66.47"/>
        <n v="66.57"/>
        <n v="66.71"/>
        <n v="67.03"/>
        <n v="67.08"/>
        <n v="67.17"/>
        <n v="67.27"/>
        <n v="67.46"/>
        <n v="67.74"/>
        <n v="67.78"/>
        <n v="67.97"/>
        <n v="68.2"/>
        <n v="68.75"/>
        <n v="68.8"/>
        <n v="68.91"/>
        <n v="69.15"/>
        <n v="69.26"/>
        <n v="69.44"/>
        <n v="69.56"/>
        <n v="69.62"/>
        <n v="70.26"/>
        <n v="70.27"/>
        <n v="70.32"/>
        <n v="70.39"/>
        <n v="70.52"/>
        <n v="70.56"/>
        <n v="70.58"/>
        <n v="71"/>
        <n v="71.26"/>
        <n v="71.36"/>
        <n v="71.5"/>
        <n v="71.62"/>
        <n v="71.69"/>
        <n v="71.78"/>
        <n v="71.85"/>
        <n v="71.92"/>
        <n v="71.97"/>
        <n v="72.04"/>
        <n v="72.24"/>
        <n v="72.62"/>
        <n v="72.8"/>
        <n v="72.97"/>
        <n v="73.09"/>
        <n v="73.26"/>
        <n v="73.3"/>
        <n v="73.38"/>
        <n v="73.62"/>
        <n v="73.81"/>
        <n v="74.09"/>
        <n v="74.21"/>
        <n v="74.53"/>
        <n v="74.66"/>
        <n v="74.91"/>
        <n v="74.92"/>
        <n v="75.08"/>
        <n v="75.11"/>
        <n v="75.17"/>
        <n v="75.44"/>
        <n v="75.56"/>
        <n v="75.64"/>
        <n v="75.67"/>
        <n v="76.17"/>
        <n v="76.19"/>
        <n v="76.39"/>
        <n v="76.64"/>
        <n v="77.09"/>
        <n v="77.2"/>
        <n v="77.62"/>
        <n v="77.75"/>
        <n v="77.83"/>
        <n v="77.84"/>
        <n v="78.05"/>
        <n v="78.31"/>
        <n v="78.45"/>
        <n v="78.48"/>
        <n v="78.66"/>
        <n v="78.67"/>
        <n v="78.92"/>
        <n v="79.05"/>
        <n v="79.36"/>
        <n v="79.41"/>
        <n v="79.5"/>
        <n v="79.74"/>
        <n v="79.88"/>
        <n v="80.26"/>
        <n v="80.29"/>
        <n v="80.39"/>
        <n v="80.4"/>
        <n v="80.41"/>
        <n v="80.44"/>
        <n v="80.6"/>
        <n v="80.68"/>
        <n v="80.85"/>
        <n v="80.96"/>
        <n v="80.99"/>
        <n v="81.08"/>
        <n v="81.14"/>
        <n v="81.24"/>
        <n v="81.25"/>
        <n v="81.35"/>
        <n v="81.38"/>
        <n v="81.44"/>
        <n v="81.79"/>
        <n v="81.93"/>
        <n v="82.22"/>
        <n v="82.81"/>
        <n v="82.94"/>
        <n v="83.13"/>
        <n v="83.32"/>
        <n v="83.64"/>
        <n v="83.97"/>
        <n v="84.05"/>
        <n v="84.3"/>
        <n v="84.46"/>
        <n v="84.67"/>
        <n v="84.9"/>
        <n v="84.91"/>
        <n v="85.61"/>
        <n v="85.88"/>
        <n v="86"/>
        <n v="86.02"/>
        <n v="86.15"/>
        <n v="86.55"/>
        <n v="86.8"/>
        <n v="87.14"/>
        <n v="87.5"/>
        <n v="87.7"/>
        <n v="87.83"/>
        <n v="87.84"/>
        <n v="88.1"/>
        <n v="88.15"/>
        <n v="88.22"/>
        <n v="88.23"/>
        <n v="88.35"/>
        <n v="88.36"/>
        <n v="88.91"/>
        <n v="89.18"/>
        <n v="89.28"/>
        <n v="90.09"/>
        <n v="90.52"/>
        <n v="90.8"/>
        <n v="90.83"/>
        <n v="91.36"/>
        <n v="91.63"/>
        <n v="91.73"/>
        <n v="91.89"/>
        <n v="92.22"/>
        <n v="92.49"/>
        <n v="92.88"/>
        <n v="93.14"/>
        <n v="93.31"/>
        <n v="93.55"/>
        <n v="93.97"/>
        <n v="95.01"/>
        <n v="95.02"/>
        <n v="95.23"/>
        <n v="95.26"/>
        <n v="95.3"/>
        <n v="95.58"/>
        <n v="95.59"/>
        <n v="95.71"/>
        <n v="95.96"/>
        <n v="96.28"/>
        <n v="96.62"/>
        <n v="97.02"/>
        <n v="97.03"/>
        <n v="97.05"/>
        <n v="97.2"/>
        <n v="97.37"/>
        <n v="97.46"/>
        <n v="97.63"/>
        <n v="97.8"/>
        <n v="98.31"/>
        <n v="98.78"/>
        <n v="99.37"/>
        <n v="99.84"/>
        <n v="100.36"/>
        <n v="100.55"/>
        <n v="100.75"/>
        <n v="101.19"/>
        <n v="101.2"/>
        <n v="101.43"/>
        <n v="101.67"/>
        <n v="101.85"/>
        <n v="102.32"/>
        <n v="102.78"/>
        <n v="102.88"/>
        <n v="103.19"/>
        <n v="103.23"/>
        <n v="103.49"/>
        <n v="103.7"/>
        <n v="103.96"/>
        <n v="104.89"/>
        <n v="105.11"/>
        <n v="105.14"/>
        <n v="105.17"/>
        <n v="105.2"/>
        <n v="105.24"/>
        <n v="105.39"/>
        <n v="105.52"/>
        <n v="105.58"/>
        <n v="105.72"/>
        <n v="105.84"/>
        <n v="105.88"/>
        <n v="106"/>
        <n v="106.13"/>
        <n v="106.83"/>
        <n v="106.89"/>
        <n v="106.99"/>
        <n v="107.02"/>
        <n v="107.07"/>
        <n v="107.65"/>
        <n v="107.67"/>
        <n v="107.83"/>
        <n v="107.94"/>
        <n v="107.96"/>
        <n v="108.1"/>
        <n v="108.19"/>
        <n v="108.37"/>
        <n v="108.93"/>
        <n v="109.11"/>
        <n v="109.31"/>
        <n v="109.63"/>
        <n v="109.64"/>
        <n v="109.68"/>
        <n v="110.07"/>
        <n v="110.97"/>
        <n v="111.17"/>
        <n v="111.35"/>
        <n v="111.59"/>
        <n v="111.72"/>
        <n v="111.99"/>
        <n v="112.11"/>
        <n v="112.17"/>
        <n v="112.37"/>
        <n v="112.5"/>
        <n v="112.62"/>
        <n v="112.83"/>
        <n v="112.9"/>
        <n v="113.2"/>
        <n v="113.29"/>
        <n v="114.07"/>
        <n v="114.18"/>
        <n v="114.69"/>
        <n v="114.7"/>
        <n v="114.87"/>
        <n v="115.22"/>
        <n v="115.53"/>
        <n v="116.19"/>
        <n v="116.42"/>
        <n v="116.94"/>
        <n v="117.34"/>
        <n v="117.4"/>
        <n v="117.46"/>
        <n v="117.79"/>
        <n v="117.82"/>
        <n v="118.57"/>
        <n v="118.74"/>
        <n v="119.02"/>
        <n v="119.03"/>
        <n v="119.91"/>
        <n v="120.13"/>
        <n v="120.39"/>
        <n v="120.46"/>
        <n v="120.66"/>
        <n v="121.22"/>
        <n v="121.28"/>
        <n v="121.43"/>
        <n v="121.61"/>
        <n v="121.72"/>
        <n v="121.95"/>
        <n v="122.16"/>
        <n v="122.3"/>
        <n v="122.85"/>
        <n v="123.07"/>
        <n v="123.32"/>
        <n v="123.34"/>
        <n v="123.52"/>
        <n v="123.88"/>
        <n v="124.19"/>
        <n v="124.25"/>
        <n v="124.26"/>
        <n v="125"/>
        <n v="125.13"/>
        <n v="125.29"/>
        <n v="125.54"/>
        <n v="125.58"/>
        <n v="126"/>
        <n v="126.13"/>
        <n v="126.5"/>
        <n v="127.01"/>
        <n v="127.51"/>
        <n v="128.19"/>
        <n v="128.21"/>
        <n v="128.37"/>
        <n v="128.93"/>
        <n v="128.95"/>
        <n v="129.21"/>
        <n v="129.37"/>
        <n v="129.51"/>
        <n v="129.72"/>
        <n v="129.83"/>
        <n v="131.55"/>
        <n v="131.74"/>
        <n v="131.75"/>
        <n v="132.35"/>
        <n v="132.71"/>
        <n v="133.13"/>
        <n v="133.41"/>
        <n v="133.82"/>
        <n v="134.15"/>
        <n v="135.74"/>
        <n v="135.83"/>
        <n v="135.94"/>
        <n v="136.13"/>
        <n v="136.76"/>
        <n v="136.86"/>
        <n v="137.57"/>
        <n v="137.59"/>
        <n v="138.53"/>
        <n v="138.59"/>
        <n v="138.87"/>
        <n v="140.54"/>
        <n v="140.95"/>
        <n v="140.96"/>
        <n v="141.12"/>
        <n v="141.17"/>
        <n v="141.21"/>
        <n v="141.4"/>
        <n v="142.3"/>
        <n v="143.37"/>
        <n v="144.53"/>
        <n v="146.76"/>
        <n v="147.15"/>
        <n v="147.27"/>
        <n v="147.63"/>
        <n v="148.15"/>
        <n v="148.18"/>
        <n v="148.76"/>
        <n v="148.79"/>
        <n v="149.3"/>
        <n v="149.31"/>
        <n v="149.33"/>
        <n v="149.89"/>
        <n v="150.16"/>
        <n v="150.74"/>
        <n v="151.27"/>
        <n v="151.29"/>
        <n v="151.57"/>
        <n v="151.8"/>
        <n v="152.88"/>
        <n v="153.49"/>
        <n v="153.67"/>
        <n v="153.75"/>
        <n v="154.9"/>
        <n v="155.23"/>
        <n v="155.64"/>
        <n v="157.15"/>
        <n v="158.1"/>
        <n v="158.23"/>
        <n v="160.27"/>
        <n v="160.79"/>
        <n v="162.29"/>
        <n v="162.5"/>
        <n v="162.64"/>
        <n v="162.88"/>
        <n v="163.67"/>
        <n v="164.45"/>
        <n v="165.17"/>
        <n v="166.56"/>
        <n v="167.27"/>
        <n v="167.64"/>
        <n v="168.17"/>
        <n v="168.63"/>
        <n v="169.14"/>
        <n v="169.34"/>
        <n v="169.68"/>
        <n v="170.92"/>
        <n v="172.05"/>
        <n v="172.28"/>
        <n v="173.07"/>
        <n v="174.64"/>
        <n v="175.42"/>
        <n v="175.67"/>
        <n v="176.73"/>
        <n v="177.1"/>
        <n v="177.72"/>
        <n v="177.88"/>
        <n v="178.37"/>
        <n v="179.72"/>
        <n v="179.87"/>
        <n v="182.07"/>
        <n v="182.57"/>
        <n v="182.71"/>
        <n v="183.46"/>
        <n v="184.34"/>
        <n v="185.18"/>
        <n v="185.82"/>
        <n v="186.64"/>
        <n v="186.94"/>
        <n v="187.94"/>
        <n v="188.59"/>
        <n v="189.19"/>
        <n v="189.57"/>
        <n v="190.51"/>
        <n v="192.16"/>
        <n v="192.32"/>
        <n v="193.22"/>
        <n v="193.75"/>
        <n v="193.81"/>
        <n v="194.04"/>
        <n v="194.2"/>
        <n v="195.58"/>
        <n v="197.57"/>
        <n v="197.63"/>
        <n v="198.39"/>
        <n v="198.74"/>
        <n v="200.11"/>
        <n v="200.73"/>
        <n v="201.8"/>
        <n v="202.02"/>
        <n v="202.4"/>
        <n v="203.6"/>
        <n v="203.74"/>
        <n v="205.49"/>
        <n v="205.56"/>
        <n v="206.18"/>
        <n v="206.98"/>
        <n v="209.14"/>
        <n v="209.85"/>
        <n v="210.21"/>
        <n v="211.43"/>
        <n v="212.5"/>
        <n v="213.44"/>
        <n v="215.35"/>
        <n v="215.88"/>
        <n v="216.38"/>
        <n v="217.17"/>
        <n v="218.23"/>
        <n v="218.91"/>
        <n v="218.97"/>
        <n v="219.26"/>
        <n v="220.58"/>
        <n v="221.88"/>
        <n v="222.35"/>
        <n v="223.15"/>
        <n v="224.65"/>
        <n v="225.79"/>
        <n v="226.39"/>
        <n v="227.11"/>
        <n v="227.7"/>
        <n v="229.4"/>
        <n v="229.41"/>
        <n v="229.68"/>
        <n v="231.23"/>
        <n v="232.85"/>
        <n v="233.89"/>
        <n v="234.92"/>
        <n v="235.63"/>
        <n v="236.12"/>
        <n v="236.88"/>
        <n v="237.14"/>
        <n v="237.49"/>
        <n v="240.25"/>
        <n v="243.03"/>
        <n v="244.58"/>
        <n v="244.86"/>
        <n v="245.92"/>
        <n v="248.49"/>
        <n v="250.59"/>
        <n v="251.34"/>
        <n v="252.25"/>
        <n v="254.02"/>
        <n v="256.42"/>
        <n v="258.72"/>
        <n v="259.9"/>
        <n v="261.3"/>
        <n v="263.51"/>
        <n v="264.67"/>
        <n v="266.25"/>
        <n v="268.13"/>
        <n v="269.86"/>
        <n v="270.44"/>
        <n v="270.48"/>
        <n v="271.48"/>
        <n v="271.66"/>
        <n v="273.27"/>
        <n v="275.18"/>
        <n v="279.39"/>
        <n v="281.66"/>
        <n v="281.91"/>
        <n v="282.24"/>
        <n v="284.59"/>
        <n v="285.03"/>
        <n v="285.3"/>
        <n v="287.67"/>
        <n v="288.48"/>
        <n v="294.43"/>
        <n v="294.54"/>
        <n v="296.29"/>
        <n v="296.35"/>
        <n v="297.53"/>
        <n v="298.64"/>
        <n v="301.49"/>
        <n v="303.6"/>
        <n v="304.45"/>
        <n v="307.25"/>
        <n v="309.7"/>
        <n v="310.46"/>
        <n v="310.63"/>
        <n v="313.23"/>
        <n v="314.18"/>
        <n v="315.32"/>
        <n v="316.21"/>
        <n v="317.63"/>
        <n v="320.48"/>
        <n v="320.53"/>
        <n v="321.3"/>
        <n v="328.9"/>
        <n v="329.87"/>
        <n v="337.33"/>
        <n v="338.69"/>
        <n v="339.57"/>
        <n v="341.9"/>
        <n v="344.08"/>
        <n v="344.11"/>
        <n v="344.56"/>
        <n v="349.27"/>
        <n v="351.62"/>
        <n v="353.02"/>
        <n v="353.45"/>
        <n v="353.67"/>
        <n v="355.74"/>
        <n v="357.36"/>
        <n v="362.21"/>
        <n v="363.23"/>
        <n v="366.09"/>
        <n v="368.68"/>
        <n v="371.06"/>
        <n v="371.93"/>
        <n v="373.89"/>
        <n v="375.88"/>
        <n v="378.67"/>
        <n v="381.9"/>
        <n v="384.64"/>
        <n v="385.11"/>
        <n v="386.86"/>
        <n v="388.08"/>
        <n v="392.29"/>
        <n v="392.72"/>
        <n v="395.14"/>
        <n v="397.49"/>
        <n v="399.4"/>
        <n v="400.4"/>
        <n v="404.79"/>
        <n v="407.48"/>
        <n v="409.16"/>
        <n v="410.79"/>
        <n v="412.93"/>
        <n v="420.42"/>
        <n v="426.89"/>
        <n v="427.37"/>
        <n v="430.09"/>
        <n v="430.7"/>
        <n v="431.99"/>
        <n v="438.53"/>
        <n v="441.44"/>
        <n v="444.7"/>
        <n v="446.29"/>
        <n v="463.83"/>
        <n v="465.7"/>
        <n v="466.93"/>
        <n v="469.85"/>
        <n v="470.11"/>
        <n v="471.26"/>
        <n v="471.27"/>
        <n v="473.76"/>
        <n v="480.8"/>
        <n v="483.48"/>
        <n v="485.51"/>
        <n v="488.94"/>
        <n v="495.93"/>
        <n v="501.17"/>
        <n v="502.91"/>
        <n v="508.03"/>
        <n v="510.86"/>
        <n v="512.85"/>
        <n v="516.83"/>
        <n v="520.67"/>
        <n v="533.64"/>
        <n v="538.37"/>
        <n v="539.72"/>
        <n v="540.96"/>
        <n v="543.31"/>
        <n v="546.55"/>
        <n v="549.81"/>
        <n v="550.37"/>
        <n v="563.82"/>
        <n v="564.48"/>
        <n v="587.64"/>
        <n v="595.06"/>
        <n v="598.32"/>
        <n v="602.97"/>
        <n v="626.46"/>
        <n v="640.33"/>
        <n v="647.99"/>
        <n v="649.36"/>
        <n v="683.8"/>
        <n v="689.11"/>
        <n v="698.54"/>
        <n v="711.48"/>
        <n v="732.18"/>
        <n v="733.82"/>
        <n v="742.12"/>
        <n v="743.82"/>
        <n v="751.76"/>
        <n v="775.25"/>
        <n v="785.44"/>
        <n v="822.69"/>
        <n v="853.78"/>
        <n v="863.99"/>
        <n v="877.05"/>
        <n v="931.39"/>
        <n v="940.22"/>
        <n v="942.53"/>
        <n v="947.53"/>
        <n v="971.98"/>
        <n v="1011.98"/>
        <n v="1021.07"/>
        <n v="1057.75"/>
        <n v="1079.98"/>
        <n v="1190.28"/>
        <n v="1252.93"/>
        <n v="1282.12"/>
        <n v="1292.09"/>
        <n v="1292.8"/>
        <n v="1295.98"/>
        <n v="1378.22"/>
        <n v="1391.48"/>
        <n v="1527.86"/>
        <n v="1619.97"/>
        <n v="1669.77"/>
        <n v="1808.92"/>
      </sharedItems>
    </cacheField>
    <cacheField name="Margen_Bruto" numFmtId="0">
      <sharedItems containsSemiMixedTypes="0" containsString="0" containsNumber="1" minValue="74.7" maxValue="16297.06" count="1623">
        <n v="74.7"/>
        <n v="75.05"/>
        <n v="89.23"/>
        <n v="89.64"/>
        <n v="90.06"/>
        <n v="102.78"/>
        <n v="104.59"/>
        <n v="105.07"/>
        <n v="115.13"/>
        <n v="115.63"/>
        <n v="118.43"/>
        <n v="118.98"/>
        <n v="120.08"/>
        <n v="126.42"/>
        <n v="127.09"/>
        <n v="127.38"/>
        <n v="128.48"/>
        <n v="133.23"/>
        <n v="133.85"/>
        <n v="135.08"/>
        <n v="138.16"/>
        <n v="139.51"/>
        <n v="140.25"/>
        <n v="140.72"/>
        <n v="141.32"/>
        <n v="149.41"/>
        <n v="150.09"/>
        <n v="151.98"/>
        <n v="152.19"/>
        <n v="152.85"/>
        <n v="153.51"/>
        <n v="154.17"/>
        <n v="154.27"/>
        <n v="156.36"/>
        <n v="157.19"/>
        <n v="158.02"/>
        <n v="158.86"/>
        <n v="162.84"/>
        <n v="163.59"/>
        <n v="164.35"/>
        <n v="165.1"/>
        <n v="165.59"/>
        <n v="165.8"/>
        <n v="169.24"/>
        <n v="177.39"/>
        <n v="178.33"/>
        <n v="178.47"/>
        <n v="179.07"/>
        <n v="179.1"/>
        <n v="179.29"/>
        <n v="179.87"/>
        <n v="181.32"/>
        <n v="182.32"/>
        <n v="188.63"/>
        <n v="189.63"/>
        <n v="190.24"/>
        <n v="190.63"/>
        <n v="190.74"/>
        <n v="192.17"/>
        <n v="192.45"/>
        <n v="194"/>
        <n v="196.24"/>
        <n v="202.93"/>
        <n v="203.8"/>
        <n v="204.73"/>
        <n v="205.5"/>
        <n v="205.56"/>
        <n v="206.95"/>
        <n v="207.19"/>
        <n v="207.24"/>
        <n v="207.25"/>
        <n v="208.5"/>
        <n v="208.92"/>
        <n v="210.13"/>
        <n v="210.37"/>
        <n v="214.58"/>
        <n v="215.61"/>
        <n v="217.47"/>
        <n v="217.59"/>
        <n v="218.9"/>
        <n v="220.07"/>
        <n v="221.06"/>
        <n v="221.73"/>
        <n v="222.4"/>
        <n v="223.13"/>
        <n v="223.84"/>
        <n v="224.11"/>
        <n v="224.54"/>
        <n v="228.53"/>
        <n v="229.28"/>
        <n v="229.92"/>
        <n v="230.55"/>
        <n v="231.26"/>
        <n v="233.97"/>
        <n v="234.88"/>
        <n v="237.96"/>
        <n v="238.42"/>
        <n v="238.43"/>
        <n v="238.55"/>
        <n v="240.06"/>
        <n v="240.58"/>
        <n v="240.97"/>
        <n v="241.76"/>
        <n v="242.02"/>
        <n v="242.95"/>
        <n v="243.36"/>
        <n v="244.13"/>
        <n v="244.4"/>
        <n v="245.3"/>
        <n v="250.17"/>
        <n v="250.35"/>
        <n v="251.51"/>
        <n v="251.66"/>
        <n v="252.84"/>
        <n v="253.4"/>
        <n v="253.66"/>
        <n v="253.69"/>
        <n v="254.45"/>
        <n v="254.67"/>
        <n v="255.01"/>
        <n v="255.16"/>
        <n v="255.95"/>
        <n v="256.61"/>
        <n v="258.66"/>
        <n v="260.69"/>
        <n v="263.22"/>
        <n v="266.08"/>
        <n v="266.47"/>
        <n v="268.61"/>
        <n v="268.97"/>
        <n v="270.94"/>
        <n v="272.07"/>
        <n v="272.65"/>
        <n v="272.94"/>
        <n v="274.19"/>
        <n v="274.47"/>
        <n v="276"/>
        <n v="276.98"/>
        <n v="278.74"/>
        <n v="279.31"/>
        <n v="279.82"/>
        <n v="280.14"/>
        <n v="280.5"/>
        <n v="280.86"/>
        <n v="281.44"/>
        <n v="281.54"/>
        <n v="282.65"/>
        <n v="282.89"/>
        <n v="283.53"/>
        <n v="284.44"/>
        <n v="285.94"/>
        <n v="285.99"/>
        <n v="286.26"/>
        <n v="287.4"/>
        <n v="288.07"/>
        <n v="288.69"/>
        <n v="290.12"/>
        <n v="290.13"/>
        <n v="291.54"/>
        <n v="291.71"/>
        <n v="292"/>
        <n v="292.47"/>
        <n v="292.95"/>
        <n v="292.97"/>
        <n v="293.28"/>
        <n v="294.36"/>
        <n v="296.07"/>
        <n v="296.93"/>
        <n v="298.03"/>
        <n v="298.69"/>
        <n v="298.82"/>
        <n v="300.19"/>
        <n v="300.46"/>
        <n v="300.76"/>
        <n v="302.16"/>
        <n v="302.21"/>
        <n v="304.08"/>
        <n v="304.7"/>
        <n v="304.73"/>
        <n v="305.03"/>
        <n v="305.61"/>
        <n v="307.02"/>
        <n v="307.14"/>
        <n v="309.57"/>
        <n v="310.91"/>
        <n v="312.32"/>
        <n v="312.72"/>
        <n v="313.22"/>
        <n v="313.38"/>
        <n v="314.38"/>
        <n v="314.43"/>
        <n v="316.14"/>
        <n v="316.64"/>
        <n v="317.4"/>
        <n v="317.71"/>
        <n v="317.77"/>
        <n v="318.43"/>
        <n v="318.44"/>
        <n v="319.29"/>
        <n v="319.82"/>
        <n v="320.08"/>
        <n v="320.21"/>
        <n v="320.77"/>
        <n v="321.71"/>
        <n v="321.88"/>
        <n v="321.99"/>
        <n v="325.86"/>
        <n v="326.38"/>
        <n v="327.76"/>
        <n v="328.1"/>
        <n v="329.42"/>
        <n v="330.09"/>
        <n v="331.59"/>
        <n v="332.73"/>
        <n v="333.02"/>
        <n v="333.96"/>
        <n v="336.09"/>
        <n v="336.45"/>
        <n v="338.49"/>
        <n v="340.13"/>
        <n v="340.46"/>
        <n v="341.77"/>
        <n v="341.78"/>
        <n v="342"/>
        <n v="342.44"/>
        <n v="343.99"/>
        <n v="345.76"/>
        <n v="345.82"/>
        <n v="347.65"/>
        <n v="350.63"/>
        <n v="352.84"/>
        <n v="352.97"/>
        <n v="354.08"/>
        <n v="354.73"/>
        <n v="354.76"/>
        <n v="355.48"/>
        <n v="356.54"/>
        <n v="358.15"/>
        <n v="358.32"/>
        <n v="358.58"/>
        <n v="359.18"/>
        <n v="361.88"/>
        <n v="362.65"/>
        <n v="363.92"/>
        <n v="364.9"/>
        <n v="365.77"/>
        <n v="365.96"/>
        <n v="367.99"/>
        <n v="368.37"/>
        <n v="368.88"/>
        <n v="369.55"/>
        <n v="369.83"/>
        <n v="370.09"/>
        <n v="370.89"/>
        <n v="371.8"/>
        <n v="372.81"/>
        <n v="373.07"/>
        <n v="373.52"/>
        <n v="373.62"/>
        <n v="374.74"/>
        <n v="375.23"/>
        <n v="375.42"/>
        <n v="376.97"/>
        <n v="377.19"/>
        <n v="377.26"/>
        <n v="378.19"/>
        <n v="378.51"/>
        <n v="378.67"/>
        <n v="379.18"/>
        <n v="380.53"/>
        <n v="380.88"/>
        <n v="381.31"/>
        <n v="381.48"/>
        <n v="382.01"/>
        <n v="382.37"/>
        <n v="384.1"/>
        <n v="384.25"/>
        <n v="384.34"/>
        <n v="384.92"/>
        <n v="385.43"/>
        <n v="385.71"/>
        <n v="386.84"/>
        <n v="388.72"/>
        <n v="391.04"/>
        <n v="392.49"/>
        <n v="396.45"/>
        <n v="397.06"/>
        <n v="398.45"/>
        <n v="398.91"/>
        <n v="400.1"/>
        <n v="401.55"/>
        <n v="402.36"/>
        <n v="403.23"/>
        <n v="404.07"/>
        <n v="404.18"/>
        <n v="405.44"/>
        <n v="405.69"/>
        <n v="406.53"/>
        <n v="407.11"/>
        <n v="407.33"/>
        <n v="407.48"/>
        <n v="407.72"/>
        <n v="408.37"/>
        <n v="408.55"/>
        <n v="409.36"/>
        <n v="409.41"/>
        <n v="409.45"/>
        <n v="409.51"/>
        <n v="410.12"/>
        <n v="410.24"/>
        <n v="410.25"/>
        <n v="410.51"/>
        <n v="411.24"/>
        <n v="411.7"/>
        <n v="412.1"/>
        <n v="412.81"/>
        <n v="416.11"/>
        <n v="417"/>
        <n v="417.13"/>
        <n v="420.56"/>
        <n v="421.31"/>
        <n v="422.67"/>
        <n v="423.62"/>
        <n v="426.57"/>
        <n v="428.61"/>
        <n v="429.3"/>
        <n v="429.38"/>
        <n v="430.32"/>
        <n v="431.22"/>
        <n v="432.11"/>
        <n v="433.92"/>
        <n v="435.11"/>
        <n v="436.58"/>
        <n v="437.31"/>
        <n v="437.46"/>
        <n v="437.8"/>
        <n v="438.26"/>
        <n v="438.7"/>
        <n v="439.43"/>
        <n v="439.5"/>
        <n v="439.92"/>
        <n v="440.05"/>
        <n v="440.6"/>
        <n v="441.09"/>
        <n v="441.55"/>
        <n v="442.75"/>
        <n v="442.91"/>
        <n v="444.43"/>
        <n v="444.8"/>
        <n v="445.29"/>
        <n v="445.39"/>
        <n v="445.52"/>
        <n v="448.04"/>
        <n v="448.11"/>
        <n v="448.71"/>
        <n v="448.97"/>
        <n v="449.08"/>
        <n v="449.21"/>
        <n v="449.66"/>
        <n v="450.23"/>
        <n v="450.68"/>
        <n v="451.13"/>
        <n v="451.26"/>
        <n v="451.89"/>
        <n v="452.08"/>
        <n v="452.35"/>
        <n v="453.31"/>
        <n v="453.82"/>
        <n v="454.1"/>
        <n v="454.9"/>
        <n v="456.12"/>
        <n v="457.05"/>
        <n v="457.44"/>
        <n v="458.25"/>
        <n v="458.85"/>
        <n v="458.91"/>
        <n v="459.99"/>
        <n v="460.54"/>
        <n v="460.7"/>
        <n v="461.19"/>
        <n v="462.08"/>
        <n v="462.62"/>
        <n v="462.82"/>
        <n v="464.12"/>
        <n v="464.93"/>
        <n v="466.22"/>
        <n v="466.36"/>
        <n v="467.95"/>
        <n v="471.48"/>
        <n v="472.5"/>
        <n v="472.76"/>
        <n v="473.97"/>
        <n v="476.57"/>
        <n v="476.64"/>
        <n v="476.85"/>
        <n v="477.19"/>
        <n v="478.48"/>
        <n v="478.62"/>
        <n v="479.04"/>
        <n v="479.79"/>
        <n v="480.12"/>
        <n v="481.15"/>
        <n v="481.46"/>
        <n v="481.95"/>
        <n v="482.14"/>
        <n v="482.71"/>
        <n v="483.53"/>
        <n v="483.55"/>
        <n v="484.03"/>
        <n v="485.9"/>
        <n v="486.65"/>
        <n v="486.66"/>
        <n v="486.71"/>
        <n v="488.8"/>
        <n v="489.26"/>
        <n v="489.53"/>
        <n v="490.05"/>
        <n v="492.28"/>
        <n v="492.45"/>
        <n v="493.1"/>
        <n v="493.59"/>
        <n v="493.87"/>
        <n v="494.07"/>
        <n v="495.38"/>
        <n v="497.58"/>
        <n v="497.67"/>
        <n v="500.39"/>
        <n v="500.56"/>
        <n v="501.74"/>
        <n v="502.92"/>
        <n v="503.19"/>
        <n v="504.25"/>
        <n v="506.8"/>
        <n v="507.11"/>
        <n v="508.34"/>
        <n v="508.38"/>
        <n v="509.51"/>
        <n v="512.81"/>
        <n v="512.84"/>
        <n v="514.06"/>
        <n v="516.44"/>
        <n v="517.32"/>
        <n v="517.5"/>
        <n v="519.79"/>
        <n v="521.41"/>
        <n v="521.7"/>
        <n v="524.5"/>
        <n v="525.02"/>
        <n v="525.89"/>
        <n v="526.75"/>
        <n v="528.14"/>
        <n v="528.37"/>
        <n v="528.47"/>
        <n v="528.55"/>
        <n v="529.46"/>
        <n v="530.35"/>
        <n v="530.89"/>
        <n v="531.62"/>
        <n v="533.23"/>
        <n v="533.31"/>
        <n v="534.45"/>
        <n v="534.81"/>
        <n v="535.65"/>
        <n v="535.73"/>
        <n v="536.66"/>
        <n v="537.08"/>
        <n v="537.28"/>
        <n v="538.46"/>
        <n v="538.76"/>
        <n v="540.92"/>
        <n v="542.27"/>
        <n v="542.82"/>
        <n v="544.14"/>
        <n v="544.72"/>
        <n v="545.31"/>
        <n v="545.73"/>
        <n v="545.88"/>
        <n v="546.83"/>
        <n v="548.33"/>
        <n v="548.93"/>
        <n v="551.99"/>
        <n v="552.54"/>
        <n v="556.17"/>
        <n v="556.61"/>
        <n v="558.05"/>
        <n v="558.28"/>
        <n v="558.62"/>
        <n v="561.34"/>
        <n v="563.08"/>
        <n v="565.78"/>
        <n v="566.47"/>
        <n v="568.15"/>
        <n v="568.77"/>
        <n v="568.89"/>
        <n v="570.09"/>
        <n v="573.02"/>
        <n v="573.2"/>
        <n v="573.87"/>
        <n v="574.33"/>
        <n v="574.8"/>
        <n v="576.94"/>
        <n v="577.66"/>
        <n v="577.94"/>
        <n v="578.42"/>
        <n v="578.48"/>
        <n v="578.56"/>
        <n v="579.89"/>
        <n v="580.26"/>
        <n v="580.28"/>
        <n v="581.18"/>
        <n v="581.99"/>
        <n v="582.6"/>
        <n v="583.08"/>
        <n v="583.33"/>
        <n v="583.99"/>
        <n v="584.24"/>
        <n v="584.35"/>
        <n v="584.93"/>
        <n v="585.59"/>
        <n v="585.75"/>
        <n v="586.55"/>
        <n v="586.66"/>
        <n v="588.05"/>
        <n v="588.73"/>
        <n v="590.12"/>
        <n v="590.33"/>
        <n v="590.93"/>
        <n v="591.36"/>
        <n v="591.47"/>
        <n v="593.86"/>
        <n v="597.33"/>
        <n v="597.38"/>
        <n v="600.91"/>
        <n v="601.51"/>
        <n v="602.85"/>
        <n v="603.38"/>
        <n v="604.32"/>
        <n v="605.1"/>
        <n v="606.07"/>
        <n v="606.09"/>
        <n v="609.04"/>
        <n v="609.77"/>
        <n v="610.06"/>
        <n v="611.8"/>
        <n v="611.83"/>
        <n v="615.37"/>
        <n v="616.16"/>
        <n v="616.38"/>
        <n v="625.69"/>
        <n v="625.71"/>
        <n v="626.04"/>
        <n v="626.44"/>
        <n v="626.76"/>
        <n v="627.61"/>
        <n v="627.89"/>
        <n v="628.2"/>
        <n v="628.56"/>
        <n v="628.62"/>
        <n v="628.85"/>
        <n v="629.65"/>
        <n v="630.85"/>
        <n v="631.07"/>
        <n v="632.1"/>
        <n v="633.04"/>
        <n v="633.49"/>
        <n v="634.73"/>
        <n v="635.43"/>
        <n v="635.51"/>
        <n v="638.75"/>
        <n v="639.09"/>
        <n v="639.86"/>
        <n v="640.42"/>
        <n v="640.73"/>
        <n v="641.54"/>
        <n v="643.99"/>
        <n v="645.92"/>
        <n v="649.55"/>
        <n v="650.42"/>
        <n v="651.14"/>
        <n v="652.34"/>
        <n v="652.91"/>
        <n v="653"/>
        <n v="653.45"/>
        <n v="655.55"/>
        <n v="656.7"/>
        <n v="658.83"/>
        <n v="660.13"/>
        <n v="668.52"/>
        <n v="672.17"/>
        <n v="672.9"/>
        <n v="673.45"/>
        <n v="676.02"/>
        <n v="676.15"/>
        <n v="676.66"/>
        <n v="677.84"/>
        <n v="678.52"/>
        <n v="679.52"/>
        <n v="679.53"/>
        <n v="679.98"/>
        <n v="681.26"/>
        <n v="681.32"/>
        <n v="682.13"/>
        <n v="682.16"/>
        <n v="683.65"/>
        <n v="684.19"/>
        <n v="684.31"/>
        <n v="685.16"/>
        <n v="685.41"/>
        <n v="686.44"/>
        <n v="686.85"/>
        <n v="687.64"/>
        <n v="688.18"/>
        <n v="689.03"/>
        <n v="690.69"/>
        <n v="691.05"/>
        <n v="691.51"/>
        <n v="691.64"/>
        <n v="694.11"/>
        <n v="694.12"/>
        <n v="694.24"/>
        <n v="694.54"/>
        <n v="695.21"/>
        <n v="695.23"/>
        <n v="695.81"/>
        <n v="697.5"/>
        <n v="700.57"/>
        <n v="701.27"/>
        <n v="701.37"/>
        <n v="701.78"/>
        <n v="706.77"/>
        <n v="706.83"/>
        <n v="709.96"/>
        <n v="710.54"/>
        <n v="710.88"/>
        <n v="710.96"/>
        <n v="710.97"/>
        <n v="715.15"/>
        <n v="717.93"/>
        <n v="717.94"/>
        <n v="718.35"/>
        <n v="721.91"/>
        <n v="722.64"/>
        <n v="723.09"/>
        <n v="723.21"/>
        <n v="724.06"/>
        <n v="727.2"/>
        <n v="728.71"/>
        <n v="729.8"/>
        <n v="729.97"/>
        <n v="730.07"/>
        <n v="730.3"/>
        <n v="730.43"/>
        <n v="732.38"/>
        <n v="732.67"/>
        <n v="733.33"/>
        <n v="734.6"/>
        <n v="734.66"/>
        <n v="735.07"/>
        <n v="735.47"/>
        <n v="735.5"/>
        <n v="735.61"/>
        <n v="735.76"/>
        <n v="736.24"/>
        <n v="737.41"/>
        <n v="737.91"/>
        <n v="738.18"/>
        <n v="739.34"/>
        <n v="739.65"/>
        <n v="742.32"/>
        <n v="743.07"/>
        <n v="743.77"/>
        <n v="745.41"/>
        <n v="746.18"/>
        <n v="746.73"/>
        <n v="747.24"/>
        <n v="747.32"/>
        <n v="747.44"/>
        <n v="747.51"/>
        <n v="749.05"/>
        <n v="751.1"/>
        <n v="752.12"/>
        <n v="753.46"/>
        <n v="753.88"/>
        <n v="753.95"/>
        <n v="755.81"/>
        <n v="756.37"/>
        <n v="757.02"/>
        <n v="760.41"/>
        <n v="760.51"/>
        <n v="763.01"/>
        <n v="763.35"/>
        <n v="764.73"/>
        <n v="764.75"/>
        <n v="765.22"/>
        <n v="768.99"/>
        <n v="770.16"/>
        <n v="771.23"/>
        <n v="771.42"/>
        <n v="772.37"/>
        <n v="777.45"/>
        <n v="777.65"/>
        <n v="778.58"/>
        <n v="779.23"/>
        <n v="779.45"/>
        <n v="780.76"/>
        <n v="780.96"/>
        <n v="781.81"/>
        <n v="782.07"/>
        <n v="784.2"/>
        <n v="786.3"/>
        <n v="786.57"/>
        <n v="786.67"/>
        <n v="787.07"/>
        <n v="788.22"/>
        <n v="788.39"/>
        <n v="788.83"/>
        <n v="792.56"/>
        <n v="792.9"/>
        <n v="793.43"/>
        <n v="797.14"/>
        <n v="800.91"/>
        <n v="804.95"/>
        <n v="807.69"/>
        <n v="807.73"/>
        <n v="812.57"/>
        <n v="814.23"/>
        <n v="814.66"/>
        <n v="815.58"/>
        <n v="817.08"/>
        <n v="817.29"/>
        <n v="817.51"/>
        <n v="819.03"/>
        <n v="819.63"/>
        <n v="819.73"/>
        <n v="820.47"/>
        <n v="820.49"/>
        <n v="822.04"/>
        <n v="823.26"/>
        <n v="827.43"/>
        <n v="830.95"/>
        <n v="833.54"/>
        <n v="834"/>
        <n v="834.25"/>
        <n v="834.27"/>
        <n v="834.72"/>
        <n v="835.89"/>
        <n v="837.42"/>
        <n v="837.65"/>
        <n v="840.42"/>
        <n v="841.13"/>
        <n v="841.24"/>
        <n v="841.42"/>
        <n v="842.76"/>
        <n v="844.33"/>
        <n v="844.76"/>
        <n v="844.79"/>
        <n v="846.96"/>
        <n v="847.25"/>
        <n v="847.7"/>
        <n v="848.15"/>
        <n v="848.35"/>
        <n v="850.04"/>
        <n v="852.67"/>
        <n v="853.2"/>
        <n v="854.17"/>
        <n v="854.68"/>
        <n v="858.22"/>
        <n v="861.5"/>
        <n v="862.08"/>
        <n v="862.93"/>
        <n v="864.3"/>
        <n v="865.57"/>
        <n v="866.91"/>
        <n v="867.85"/>
        <n v="869.79"/>
        <n v="873.17"/>
        <n v="873.98"/>
        <n v="874.63"/>
        <n v="876.36"/>
        <n v="878.14"/>
        <n v="878.86"/>
        <n v="880"/>
        <n v="880.18"/>
        <n v="882.57"/>
        <n v="882.59"/>
        <n v="884.89"/>
        <n v="885.49"/>
        <n v="886.89"/>
        <n v="886.91"/>
        <n v="887.2"/>
        <n v="888.86"/>
        <n v="890.94"/>
        <n v="892.01"/>
        <n v="893.49"/>
        <n v="894.01"/>
        <n v="894.33"/>
        <n v="894.49"/>
        <n v="896.23"/>
        <n v="896.78"/>
        <n v="903.78"/>
        <n v="905.58"/>
        <n v="906.62"/>
        <n v="907.68"/>
        <n v="907.7"/>
        <n v="908.7"/>
        <n v="909.8"/>
        <n v="911.88"/>
        <n v="914.89"/>
        <n v="921.41"/>
        <n v="922.2"/>
        <n v="923.05"/>
        <n v="923.22"/>
        <n v="924.06"/>
        <n v="925.22"/>
        <n v="925.3"/>
        <n v="927.69"/>
        <n v="928.71"/>
        <n v="930.59"/>
        <n v="931.6"/>
        <n v="933.02"/>
        <n v="934.06"/>
        <n v="934.46"/>
        <n v="936.91"/>
        <n v="938.54"/>
        <n v="939.06"/>
        <n v="941.39"/>
        <n v="941.78"/>
        <n v="942.29"/>
        <n v="943.24"/>
        <n v="944.48"/>
        <n v="946.6"/>
        <n v="949.34"/>
        <n v="951.51"/>
        <n v="953.77"/>
        <n v="955.28"/>
        <n v="956.95"/>
        <n v="958.07"/>
        <n v="959.57"/>
        <n v="961.09"/>
        <n v="962.56"/>
        <n v="962.7"/>
        <n v="962.91"/>
        <n v="963.82"/>
        <n v="965.42"/>
        <n v="965.98"/>
        <n v="967.3"/>
        <n v="973.91"/>
        <n v="974.4"/>
        <n v="975.09"/>
        <n v="976.25"/>
        <n v="977.16"/>
        <n v="978.1"/>
        <n v="980.63"/>
        <n v="980.75"/>
        <n v="984.25"/>
        <n v="986.21"/>
        <n v="987.17"/>
        <n v="987.91"/>
        <n v="989.68"/>
        <n v="990.75"/>
        <n v="992.92"/>
        <n v="993.88"/>
        <n v="998.66"/>
        <n v="1001.89"/>
        <n v="1002.38"/>
        <n v="1003.47"/>
        <n v="1005.18"/>
        <n v="1006.38"/>
        <n v="1009.6"/>
        <n v="1009.67"/>
        <n v="1010.42"/>
        <n v="1014.23"/>
        <n v="1014.48"/>
        <n v="1015.06"/>
        <n v="1016.28"/>
        <n v="1017.71"/>
        <n v="1020.93"/>
        <n v="1022.42"/>
        <n v="1025.61"/>
        <n v="1025.87"/>
        <n v="1026.46"/>
        <n v="1026.66"/>
        <n v="1028.11"/>
        <n v="1028.36"/>
        <n v="1029.69"/>
        <n v="1032.38"/>
        <n v="1033.1"/>
        <n v="1041.02"/>
        <n v="1042.74"/>
        <n v="1043.57"/>
        <n v="1045.21"/>
        <n v="1045.42"/>
        <n v="1047.8"/>
        <n v="1048.61"/>
        <n v="1049.42"/>
        <n v="1050.07"/>
        <n v="1054.85"/>
        <n v="1056.27"/>
        <n v="1056.35"/>
        <n v="1060.15"/>
        <n v="1061.02"/>
        <n v="1061.77"/>
        <n v="1063.81"/>
        <n v="1063.86"/>
        <n v="1064.27"/>
        <n v="1066.27"/>
        <n v="1072.72"/>
        <n v="1079.72"/>
        <n v="1079.96"/>
        <n v="1086.09"/>
        <n v="1088.18"/>
        <n v="1089.44"/>
        <n v="1089.61"/>
        <n v="1093.26"/>
        <n v="1096.07"/>
        <n v="1097.58"/>
        <n v="1097.68"/>
        <n v="1100.07"/>
        <n v="1101.9"/>
        <n v="1112.17"/>
        <n v="1112.66"/>
        <n v="1114.42"/>
        <n v="1116.57"/>
        <n v="1116.86"/>
        <n v="1118.44"/>
        <n v="1121.27"/>
        <n v="1121.79"/>
        <n v="1122.42"/>
        <n v="1126.66"/>
        <n v="1127.73"/>
        <n v="1128.01"/>
        <n v="1130.87"/>
        <n v="1133.71"/>
        <n v="1134.67"/>
        <n v="1136.29"/>
        <n v="1138.23"/>
        <n v="1140.77"/>
        <n v="1141.12"/>
        <n v="1141.65"/>
        <n v="1142.96"/>
        <n v="1143.45"/>
        <n v="1144.07"/>
        <n v="1144.21"/>
        <n v="1144.79"/>
        <n v="1145.89"/>
        <n v="1147.74"/>
        <n v="1147.82"/>
        <n v="1154.37"/>
        <n v="1155.24"/>
        <n v="1156.95"/>
        <n v="1158.41"/>
        <n v="1162.98"/>
        <n v="1167.32"/>
        <n v="1167.98"/>
        <n v="1168.48"/>
        <n v="1171.49"/>
        <n v="1171.77"/>
        <n v="1173.33"/>
        <n v="1174.67"/>
        <n v="1176.76"/>
        <n v="1178.23"/>
        <n v="1178.78"/>
        <n v="1179.86"/>
        <n v="1180"/>
        <n v="1180.66"/>
        <n v="1181.33"/>
        <n v="1182.74"/>
        <n v="1182.94"/>
        <n v="1183.26"/>
        <n v="1184.8"/>
        <n v="1187.71"/>
        <n v="1188.08"/>
        <n v="1191.17"/>
        <n v="1192.65"/>
        <n v="1195.71"/>
        <n v="1196.18"/>
        <n v="1199.46"/>
        <n v="1199.91"/>
        <n v="1201.82"/>
        <n v="1205.54"/>
        <n v="1206.77"/>
        <n v="1209.54"/>
        <n v="1210.2"/>
        <n v="1211.6"/>
        <n v="1213.06"/>
        <n v="1220.11"/>
        <n v="1222.44"/>
        <n v="1225.08"/>
        <n v="1225.86"/>
        <n v="1228.22"/>
        <n v="1230.31"/>
        <n v="1231.53"/>
        <n v="1232.08"/>
        <n v="1232.76"/>
        <n v="1237.51"/>
        <n v="1240.78"/>
        <n v="1242.34"/>
        <n v="1244.04"/>
        <n v="1245.53"/>
        <n v="1251.38"/>
        <n v="1252.15"/>
        <n v="1252.44"/>
        <n v="1253.52"/>
        <n v="1255.18"/>
        <n v="1259.31"/>
        <n v="1260.09"/>
        <n v="1260.19"/>
        <n v="1261.69"/>
        <n v="1261.85"/>
        <n v="1262.08"/>
        <n v="1262.13"/>
        <n v="1262.33"/>
        <n v="1264.92"/>
        <n v="1266.08"/>
        <n v="1266.51"/>
        <n v="1268.82"/>
        <n v="1271.32"/>
        <n v="1271.56"/>
        <n v="1276.08"/>
        <n v="1277.5"/>
        <n v="1278.18"/>
        <n v="1279.72"/>
        <n v="1280.33"/>
        <n v="1281.26"/>
        <n v="1281.45"/>
        <n v="1284.69"/>
        <n v="1287.9"/>
        <n v="1291.83"/>
        <n v="1292.04"/>
        <n v="1298.21"/>
        <n v="1300.12"/>
        <n v="1301.27"/>
        <n v="1302.28"/>
        <n v="1304.14"/>
        <n v="1307.03"/>
        <n v="1307.66"/>
        <n v="1309.76"/>
        <n v="1311.09"/>
        <n v="1311.78"/>
        <n v="1312.32"/>
        <n v="1312.59"/>
        <n v="1314.54"/>
        <n v="1314.78"/>
        <n v="1317.21"/>
        <n v="1317.29"/>
        <n v="1319.99"/>
        <n v="1320.08"/>
        <n v="1320.9"/>
        <n v="1320.93"/>
        <n v="1323.85"/>
        <n v="1323.89"/>
        <n v="1327.12"/>
        <n v="1328.24"/>
        <n v="1330.81"/>
        <n v="1332.11"/>
        <n v="1336.18"/>
        <n v="1339.73"/>
        <n v="1340.24"/>
        <n v="1341.73"/>
        <n v="1344.11"/>
        <n v="1345.17"/>
        <n v="1349.65"/>
        <n v="1353.34"/>
        <n v="1355.66"/>
        <n v="1361.8"/>
        <n v="1363.05"/>
        <n v="1364.09"/>
        <n v="1367.31"/>
        <n v="1368.16"/>
        <n v="1375.28"/>
        <n v="1376.55"/>
        <n v="1380.74"/>
        <n v="1386.63"/>
        <n v="1391.61"/>
        <n v="1394.35"/>
        <n v="1395.71"/>
        <n v="1396.08"/>
        <n v="1397.07"/>
        <n v="1401.67"/>
        <n v="1402.28"/>
        <n v="1405.26"/>
        <n v="1413.53"/>
        <n v="1413.98"/>
        <n v="1416.72"/>
        <n v="1422.01"/>
        <n v="1424"/>
        <n v="1425.66"/>
        <n v="1426.77"/>
        <n v="1429.31"/>
        <n v="1429.92"/>
        <n v="1431.36"/>
        <n v="1432.54"/>
        <n v="1433.8"/>
        <n v="1435.83"/>
        <n v="1440.6"/>
        <n v="1441.64"/>
        <n v="1442.34"/>
        <n v="1445.29"/>
        <n v="1448.12"/>
        <n v="1449.02"/>
        <n v="1452.09"/>
        <n v="1452.59"/>
        <n v="1454.42"/>
        <n v="1457.42"/>
        <n v="1464.02"/>
        <n v="1467.15"/>
        <n v="1468.04"/>
        <n v="1469.19"/>
        <n v="1470.05"/>
        <n v="1470.99"/>
        <n v="1471.12"/>
        <n v="1473.63"/>
        <n v="1479.31"/>
        <n v="1481.86"/>
        <n v="1483.82"/>
        <n v="1484.39"/>
        <n v="1486.13"/>
        <n v="1487.53"/>
        <n v="1489.38"/>
        <n v="1490.81"/>
        <n v="1492.75"/>
        <n v="1492.93"/>
        <n v="1493.46"/>
        <n v="1494.62"/>
        <n v="1495.03"/>
        <n v="1496.1"/>
        <n v="1502.21"/>
        <n v="1503.09"/>
        <n v="1503.26"/>
        <n v="1507.9"/>
        <n v="1509.56"/>
        <n v="1511.62"/>
        <n v="1514.03"/>
        <n v="1514.5"/>
        <n v="1515.22"/>
        <n v="1516.33"/>
        <n v="1517.87"/>
        <n v="1519.81"/>
        <n v="1519.98"/>
        <n v="1520.82"/>
        <n v="1521.02"/>
        <n v="1521.66"/>
        <n v="1525.63"/>
        <n v="1527.41"/>
        <n v="1530.43"/>
        <n v="1540.31"/>
        <n v="1540.51"/>
        <n v="1542.84"/>
        <n v="1544.46"/>
        <n v="1550.98"/>
        <n v="1563.17"/>
        <n v="1564.19"/>
        <n v="1565.1"/>
        <n v="1567.82"/>
        <n v="1568.69"/>
        <n v="1571.62"/>
        <n v="1575.11"/>
        <n v="1584.1"/>
        <n v="1591.53"/>
        <n v="1591.63"/>
        <n v="1594.28"/>
        <n v="1607.39"/>
        <n v="1607.78"/>
        <n v="1610.28"/>
        <n v="1613.32"/>
        <n v="1615.37"/>
        <n v="1616.29"/>
        <n v="1618.09"/>
        <n v="1619.07"/>
        <n v="1628.1"/>
        <n v="1630.17"/>
        <n v="1632.38"/>
        <n v="1634.58"/>
        <n v="1640.41"/>
        <n v="1640.74"/>
        <n v="1644.98"/>
        <n v="1650.34"/>
        <n v="1654.64"/>
        <n v="1654.87"/>
        <n v="1655.01"/>
        <n v="1658.88"/>
        <n v="1667.83"/>
        <n v="1668.51"/>
        <n v="1669.54"/>
        <n v="1672.11"/>
        <n v="1678.4"/>
        <n v="1679.08"/>
        <n v="1679.25"/>
        <n v="1682.47"/>
        <n v="1682.73"/>
        <n v="1682.84"/>
        <n v="1687.48"/>
        <n v="1689.59"/>
        <n v="1691.77"/>
        <n v="1695.41"/>
        <n v="1699.74"/>
        <n v="1706.36"/>
        <n v="1708.34"/>
        <n v="1709.35"/>
        <n v="1712.48"/>
        <n v="1715.17"/>
        <n v="1716.11"/>
        <n v="1716.43"/>
        <n v="1731.14"/>
        <n v="1738.03"/>
        <n v="1739.28"/>
        <n v="1739.9"/>
        <n v="1747.03"/>
        <n v="1747.78"/>
        <n v="1748"/>
        <n v="1749.99"/>
        <n v="1750.12"/>
        <n v="1752.72"/>
        <n v="1756.28"/>
        <n v="1756.39"/>
        <n v="1770.35"/>
        <n v="1770.98"/>
        <n v="1774.41"/>
        <n v="1783.72"/>
        <n v="1789.2"/>
        <n v="1793.56"/>
        <n v="1800.3"/>
        <n v="1810.15"/>
        <n v="1819.59"/>
        <n v="1820.36"/>
        <n v="1838.67"/>
        <n v="1843.38"/>
        <n v="1846.06"/>
        <n v="1854.77"/>
        <n v="1858.54"/>
        <n v="1861.18"/>
        <n v="1862.85"/>
        <n v="1868.62"/>
        <n v="1869.96"/>
        <n v="1877.76"/>
        <n v="1878.12"/>
        <n v="1878.87"/>
        <n v="1881.38"/>
        <n v="1889.52"/>
        <n v="1893.2"/>
        <n v="1901.28"/>
        <n v="1902.38"/>
        <n v="1906.53"/>
        <n v="1918.37"/>
        <n v="1920.98"/>
        <n v="1923.39"/>
        <n v="1925.39"/>
        <n v="1930.83"/>
        <n v="1932.03"/>
        <n v="1941.43"/>
        <n v="1947.31"/>
        <n v="1953.99"/>
        <n v="1956.2"/>
        <n v="1966.43"/>
        <n v="1968.12"/>
        <n v="1972.41"/>
        <n v="1975.94"/>
        <n v="1980.13"/>
        <n v="1980.4"/>
        <n v="1982.46"/>
        <n v="1989.28"/>
        <n v="1991.91"/>
        <n v="2001.03"/>
        <n v="2008.29"/>
        <n v="2009.5"/>
        <n v="2010.36"/>
        <n v="2012.85"/>
        <n v="2030.12"/>
        <n v="2040.47"/>
        <n v="2051.58"/>
        <n v="2053.32"/>
        <n v="2059.52"/>
        <n v="2063.76"/>
        <n v="2069.82"/>
        <n v="2070.14"/>
        <n v="2073.6"/>
        <n v="2082.36"/>
        <n v="2085.41"/>
        <n v="2086.92"/>
        <n v="2087.14"/>
        <n v="2089.44"/>
        <n v="2093.31"/>
        <n v="2103.55"/>
        <n v="2106.25"/>
        <n v="2113.79"/>
        <n v="2119.22"/>
        <n v="2119.26"/>
        <n v="2120.88"/>
        <n v="2122.86"/>
        <n v="2124.95"/>
        <n v="2135.43"/>
        <n v="2142.31"/>
        <n v="2155.64"/>
        <n v="2171.37"/>
        <n v="2189.15"/>
        <n v="2205.16"/>
        <n v="2206.42"/>
        <n v="2206.49"/>
        <n v="2212.24"/>
        <n v="2222.16"/>
        <n v="2222.79"/>
        <n v="2225.73"/>
        <n v="2227.95"/>
        <n v="2235.41"/>
        <n v="2236.22"/>
        <n v="2236.5"/>
        <n v="2238.18"/>
        <n v="2242.35"/>
        <n v="2244.14"/>
        <n v="2253.31"/>
        <n v="2254.64"/>
        <n v="2256.26"/>
        <n v="2281.54"/>
        <n v="2282.24"/>
        <n v="2283.3"/>
        <n v="2288.15"/>
        <n v="2288.41"/>
        <n v="2288.69"/>
        <n v="2289.04"/>
        <n v="2295.65"/>
        <n v="2313.69"/>
        <n v="2315.84"/>
        <n v="2316.82"/>
        <n v="2327.21"/>
        <n v="2336.97"/>
        <n v="2337.99"/>
        <n v="2341.6"/>
        <n v="2342.29"/>
        <n v="2346.65"/>
        <n v="2349.33"/>
        <n v="2353.52"/>
        <n v="2357.56"/>
        <n v="2363.72"/>
        <n v="2365.17"/>
        <n v="2372.72"/>
        <n v="2377.98"/>
        <n v="2378.59"/>
        <n v="2387.45"/>
        <n v="2391.42"/>
        <n v="2396.63"/>
        <n v="2415.03"/>
        <n v="2419.08"/>
        <n v="2426.12"/>
        <n v="2429.18"/>
        <n v="2437.72"/>
        <n v="2441.24"/>
        <n v="2445.25"/>
        <n v="2446.39"/>
        <n v="2456.12"/>
        <n v="2457.1"/>
        <n v="2458.94"/>
        <n v="2460.15"/>
        <n v="2461.89"/>
        <n v="2464.16"/>
        <n v="2467.93"/>
        <n v="2471.42"/>
        <n v="2473.69"/>
        <n v="2482.3"/>
        <n v="2483.03"/>
        <n v="2484.69"/>
        <n v="2488.33"/>
        <n v="2500.27"/>
        <n v="2504.3"/>
        <n v="2507.33"/>
        <n v="2518.62"/>
        <n v="2520.18"/>
        <n v="2523.71"/>
        <n v="2532.2"/>
        <n v="2536.55"/>
        <n v="2540.87"/>
        <n v="2552.16"/>
        <n v="2561.54"/>
        <n v="2562.52"/>
        <n v="2579.54"/>
        <n v="2594.34"/>
        <n v="2596.41"/>
        <n v="2607.98"/>
        <n v="2608.27"/>
        <n v="2615.33"/>
        <n v="2616.07"/>
        <n v="2625.18"/>
        <n v="2628.86"/>
        <n v="2630.41"/>
        <n v="2634.42"/>
        <n v="2645.33"/>
        <n v="2652.55"/>
        <n v="2659.66"/>
        <n v="2661.79"/>
        <n v="2678.22"/>
        <n v="2680.48"/>
        <n v="2682.03"/>
        <n v="2695.55"/>
        <n v="2697.65"/>
        <n v="2728.53"/>
        <n v="2735.65"/>
        <n v="2771.29"/>
        <n v="2771.63"/>
        <n v="2776.59"/>
        <n v="2786.65"/>
        <n v="2789.99"/>
        <n v="2794.88"/>
        <n v="2813.28"/>
        <n v="2827.07"/>
        <n v="2835.2"/>
        <n v="2843.83"/>
        <n v="2843.87"/>
        <n v="2844.01"/>
        <n v="2853.58"/>
        <n v="2854.13"/>
        <n v="2856.66"/>
        <n v="2860.18"/>
        <n v="2860.58"/>
        <n v="2862.72"/>
        <n v="2872.21"/>
        <n v="2875.95"/>
        <n v="2883.32"/>
        <n v="2887.69"/>
        <n v="2898.04"/>
        <n v="2903.05"/>
        <n v="2916.98"/>
        <n v="2920.97"/>
        <n v="2925.22"/>
        <n v="2933.32"/>
        <n v="2934.31"/>
        <n v="2942.24"/>
        <n v="2943.1"/>
        <n v="2944.33"/>
        <n v="2949.65"/>
        <n v="2957.35"/>
        <n v="2959.31"/>
        <n v="2967.64"/>
        <n v="2978.76"/>
        <n v="2980.55"/>
        <n v="2989.79"/>
        <n v="2990.06"/>
        <n v="2990.86"/>
        <n v="3006.19"/>
        <n v="3060.86"/>
        <n v="3096.85"/>
        <n v="3097.32"/>
        <n v="3101.96"/>
        <n v="3135.64"/>
        <n v="3155.82"/>
        <n v="3157.79"/>
        <n v="3168.2"/>
        <n v="3180.4"/>
        <n v="3180.45"/>
        <n v="3198.8"/>
        <n v="3205.41"/>
        <n v="3230.1"/>
        <n v="3238.38"/>
        <n v="3245.52"/>
        <n v="3264.76"/>
        <n v="3265.29"/>
        <n v="3282.52"/>
        <n v="3295.23"/>
        <n v="3317.77"/>
        <n v="3317.85"/>
        <n v="3329.17"/>
        <n v="3329.48"/>
        <n v="3333.7"/>
        <n v="3335.92"/>
        <n v="3343.1"/>
        <n v="3355.28"/>
        <n v="3364.94"/>
        <n v="3379.18"/>
        <n v="3379.97"/>
        <n v="3381.96"/>
        <n v="3382.07"/>
        <n v="3383.28"/>
        <n v="3412.73"/>
        <n v="3416.69"/>
        <n v="3422.3"/>
        <n v="3423.36"/>
        <n v="3465.25"/>
        <n v="3475.22"/>
        <n v="3485.12"/>
        <n v="3548.82"/>
        <n v="3568.04"/>
        <n v="3584.32"/>
        <n v="3586.37"/>
        <n v="3596.08"/>
        <n v="3622.33"/>
        <n v="3623.66"/>
        <n v="3631.49"/>
        <n v="3640.71"/>
        <n v="3685.65"/>
        <n v="3692.84"/>
        <n v="3707.13"/>
        <n v="3722.35"/>
        <n v="3732.32"/>
        <n v="3732.49"/>
        <n v="3737.24"/>
        <n v="3750.41"/>
        <n v="3755.52"/>
        <n v="3756.46"/>
        <n v="3757.74"/>
        <n v="3759.53"/>
        <n v="3760.99"/>
        <n v="3779.04"/>
        <n v="3791.83"/>
        <n v="3804.77"/>
        <n v="3804.83"/>
        <n v="3814.67"/>
        <n v="3828.24"/>
        <n v="3834.6"/>
        <n v="3894.62"/>
        <n v="3922.99"/>
        <n v="3960.25"/>
        <n v="4025.2"/>
        <n v="4025.71"/>
        <n v="4032.55"/>
        <n v="4070.44"/>
        <n v="4095.29"/>
        <n v="4098.26"/>
        <n v="4103.15"/>
        <n v="4115.17"/>
        <n v="4147.56"/>
        <n v="4167.12"/>
        <n v="4178.88"/>
        <n v="4180.27"/>
        <n v="4206.18"/>
        <n v="4224.05"/>
        <n v="4238.52"/>
        <n v="4249.36"/>
        <n v="4259.24"/>
        <n v="4265.81"/>
        <n v="4268.27"/>
        <n v="4280.36"/>
        <n v="4313.93"/>
        <n v="4509.28"/>
        <n v="4513.47"/>
        <n v="4530.94"/>
        <n v="4548.98"/>
        <n v="4561.93"/>
        <n v="4583.83"/>
        <n v="4591.22"/>
        <n v="4633.63"/>
        <n v="4650.34"/>
        <n v="4671.46"/>
        <n v="4739.79"/>
        <n v="4755.96"/>
        <n v="4793.25"/>
        <n v="4822.41"/>
        <n v="4830.07"/>
        <n v="4868.28"/>
        <n v="4882.18"/>
        <n v="4928.31"/>
        <n v="4961.8"/>
        <n v="5000.54"/>
        <n v="5008.61"/>
        <n v="5014.66"/>
        <n v="5053.53"/>
        <n v="5073.1"/>
        <n v="5130.09"/>
        <n v="5213.77"/>
        <n v="5215.97"/>
        <n v="5231.56"/>
        <n v="5272.58"/>
        <n v="5379.56"/>
        <n v="5417.26"/>
        <n v="5432.54"/>
        <n v="5457.07"/>
        <n v="5488.71"/>
        <n v="5564.32"/>
        <n v="5687.75"/>
        <n v="5850.43"/>
        <n v="5918.62"/>
        <n v="5979.59"/>
        <n v="6083.29"/>
        <n v="6121.42"/>
        <n v="6161.73"/>
        <n v="6178.55"/>
        <n v="6220.81"/>
        <n v="6341.38"/>
        <n v="6635.54"/>
        <n v="6658.34"/>
        <n v="6710.55"/>
        <n v="6718.18"/>
        <n v="7078.81"/>
        <n v="7084.1"/>
        <n v="7100.76"/>
        <n v="7109.68"/>
        <n v="7139.7"/>
        <n v="7186.89"/>
        <n v="7345.71"/>
        <n v="7500.82"/>
        <n v="7515.47"/>
        <n v="7521.98"/>
        <n v="7609.65"/>
        <n v="7669.2"/>
        <n v="7826.16"/>
        <n v="7939.87"/>
        <n v="8057.64"/>
        <n v="8085.13"/>
        <n v="8148.53"/>
        <n v="8206.3"/>
        <n v="8238.07"/>
        <n v="8357.76"/>
        <n v="8455.17"/>
        <n v="8560.73"/>
        <n v="8569.09"/>
        <n v="8616.62"/>
        <n v="8709.14"/>
        <n v="8775.65"/>
        <n v="9005.6"/>
        <n v="9036.32"/>
        <n v="9107.18"/>
        <n v="9479.58"/>
        <n v="9511.92"/>
        <n v="9584.38"/>
        <n v="9847.56"/>
        <n v="9953.56"/>
        <n v="10463.11"/>
        <n v="10545.16"/>
        <n v="10834.51"/>
        <n v="10901.52"/>
        <n v="11837.23"/>
        <n v="11983.13"/>
        <n v="12323.45"/>
        <n v="13105.51"/>
        <n v="15001.63"/>
        <n v="16297.06"/>
      </sharedItems>
    </cacheField>
    <cacheField name="Margen_Pct" numFmtId="0">
      <sharedItems containsSemiMixedTypes="0" containsString="0" containsNumber="1" minValue="0.198350344098073" maxValue="0.498210972700769" count="1258">
        <n v="0.198350344098073"/>
        <n v="0.198350484017996"/>
        <n v="0.198350537833352"/>
        <n v="0.198350658917901"/>
        <n v="0.198350802017823"/>
        <n v="0.198350883789207"/>
        <n v="0.204350337801676"/>
        <n v="0.204350600151533"/>
        <n v="0.204350810031419"/>
        <n v="0.204350949951343"/>
        <n v="0.204351124851248"/>
        <n v="0.246356216646947"/>
        <n v="0.246356389125568"/>
        <n v="0.246356619097063"/>
        <n v="0.246356820322121"/>
        <n v="0.250356168352933"/>
        <n v="0.250356570803049"/>
        <n v="0.250356717148546"/>
        <n v="0.25035674328167"/>
        <n v="0.250356839103127"/>
        <n v="0.250356922946901"/>
        <n v="0.250357030746039"/>
        <n v="0.250357174478224"/>
        <n v="0.258122036693465"/>
        <n v="0.25812222409625"/>
        <n v="0.258122448979592"/>
        <n v="0.258122552051123"/>
        <n v="0.25812272383701"/>
        <n v="0.258123067408782"/>
        <n v="0.258350595953936"/>
        <n v="0.25835074586814"/>
        <n v="0.25835088215378"/>
        <n v="0.258350945753745"/>
        <n v="0.258351045696548"/>
        <n v="0.258351225593593"/>
        <n v="0.259350373781085"/>
        <n v="0.259350563146396"/>
        <n v="0.259350673609493"/>
        <n v="0.259350778549436"/>
        <n v="0.25935086440939"/>
        <n v="0.25935093595935"/>
        <n v="0.259351093369265"/>
        <n v="0.260121624407339"/>
        <n v="0.260122139764997"/>
        <n v="0.260122448979592"/>
        <n v="0.260122655122655"/>
        <n v="0.2601228023677"/>
        <n v="0.260123685837972"/>
        <n v="0.262121212121212"/>
        <n v="0.262122448979592"/>
        <n v="0.262122586408301"/>
        <n v="0.262122758194187"/>
        <n v="0.262123273551845"/>
        <n v="0.262553460426298"/>
        <n v="0.262553749011595"/>
        <n v="0.262553853951703"/>
        <n v="0.262554078823364"/>
        <n v="0.26255432618219"/>
        <n v="0.262554903352784"/>
        <n v="0.264121830550402"/>
        <n v="0.264122448979592"/>
        <n v="0.264122603586889"/>
        <n v="0.264122861265718"/>
        <n v="0.268553148754177"/>
        <n v="0.268553767151243"/>
        <n v="0.26855387021742"/>
        <n v="0.268554014510069"/>
        <n v="0.268554147703283"/>
        <n v="0.268554591680663"/>
        <n v="0.278600946554312"/>
        <n v="0.278602485667013"/>
        <n v="0.278602966639732"/>
        <n v="0.278603255223364"/>
        <n v="0.27860440955789"/>
        <n v="0.284601177421217"/>
        <n v="0.284602620339374"/>
        <n v="0.28460282647054"/>
        <n v="0.284603101312094"/>
        <n v="0.284603486090269"/>
        <n v="0.284604063257532"/>
        <n v="0.284605025202971"/>
        <n v="0.289356602999058"/>
        <n v="0.289356723734093"/>
        <n v="0.289356761860946"/>
        <n v="0.28935678055058"/>
        <n v="0.289356877396865"/>
        <n v="0.289356938374155"/>
        <n v="0.289357034195611"/>
        <n v="0.289357206674233"/>
        <n v="0.293122036693465"/>
        <n v="0.29312218393851"/>
        <n v="0.293122242836529"/>
        <n v="0.293122294372294"/>
        <n v="0.293122339845029"/>
        <n v="0.29312235383664"/>
        <n v="0.293122380265237"/>
        <n v="0.293122416430687"/>
        <n v="0.293122448979592"/>
        <n v="0.293122478428601"/>
        <n v="0.293122505200427"/>
        <n v="0.293122529644269"/>
        <n v="0.293122552051124"/>
        <n v="0.29312259169402"/>
        <n v="0.294121830550402"/>
        <n v="0.294122174122174"/>
        <n v="0.294122272285538"/>
        <n v="0.294122318783973"/>
        <n v="0.294122376223217"/>
        <n v="0.294122392758756"/>
        <n v="0.294122448979592"/>
        <n v="0.294122517693946"/>
        <n v="0.294122603586889"/>
        <n v="0.294122673862934"/>
        <n v="0.294122861265718"/>
        <n v="0.307912080614905"/>
        <n v="0.307912591417746"/>
        <n v="0.30791263398465"/>
        <n v="0.307912910669522"/>
        <n v="0.31191169878978"/>
        <n v="0.311911995237858"/>
        <n v="0.311912390501962"/>
        <n v="0.311912528844398"/>
        <n v="0.311912681749196"/>
        <n v="0.311912736358052"/>
        <n v="0.311912943871707"/>
        <n v="0.319345238095238"/>
        <n v="0.319346452866861"/>
        <n v="0.319346655328798"/>
        <n v="0.31934693877551"/>
        <n v="0.319347127739985"/>
        <n v="0.319347200418629"/>
        <n v="0.319347363945578"/>
        <n v="0.319348072562358"/>
        <n v="0.319586591313773"/>
        <n v="0.319587957502425"/>
        <n v="0.319588526747697"/>
        <n v="0.319589036072414"/>
        <n v="0.319589311383072"/>
        <n v="0.319589601988766"/>
        <n v="0.3195899092005"/>
        <n v="0.319590759940686"/>
        <n v="0.319591752470904"/>
        <n v="0.319592925461161"/>
        <n v="0.321346371882086"/>
        <n v="0.32134693877551"/>
        <n v="0.321347181729835"/>
        <n v="0.321347789115646"/>
        <n v="0.32255322955806"/>
        <n v="0.322553435690416"/>
        <n v="0.322553590289682"/>
        <n v="0.322553761162555"/>
        <n v="0.322553885433736"/>
        <n v="0.322553919653336"/>
        <n v="0.322554054087481"/>
        <n v="0.322554672484546"/>
        <n v="0.323298950816769"/>
        <n v="0.323300252856023"/>
        <n v="0.323300334233476"/>
        <n v="0.323346088435374"/>
        <n v="0.323346560846561"/>
        <n v="0.323346695821186"/>
        <n v="0.32334693877551"/>
        <n v="0.323347505668934"/>
        <n v="0.323553538344328"/>
        <n v="0.323553754783301"/>
        <n v="0.323553937047699"/>
        <n v="0.323554002142127"/>
        <n v="0.323554079441761"/>
        <n v="0.323554620539193"/>
        <n v="0.325345804988662"/>
        <n v="0.325346513605442"/>
        <n v="0.325347222222222"/>
        <n v="0.325348639455782"/>
        <n v="0.325586436479059"/>
        <n v="0.325588371912983"/>
        <n v="0.325589017057624"/>
        <n v="0.325589251655676"/>
        <n v="0.325589447154052"/>
        <n v="0.325590079648799"/>
        <n v="0.325590307346907"/>
        <n v="0.325590475645509"/>
        <n v="0.32559159763619"/>
        <n v="0.327297947378518"/>
        <n v="0.327299001410295"/>
        <n v="0.327299791934127"/>
        <n v="0.327300406785997"/>
        <n v="0.327300898667493"/>
        <n v="0.334652305366591"/>
        <n v="0.33465306122449"/>
        <n v="0.334653565129756"/>
        <n v="0.334654195011338"/>
        <n v="0.334656084656085"/>
        <n v="0.336651549508692"/>
        <n v="0.336652494331066"/>
        <n v="0.33665306122449"/>
        <n v="0.336654069035021"/>
        <n v="0.336655328798186"/>
        <n v="0.338601995949335"/>
        <n v="0.338602229148229"/>
        <n v="0.338602389472469"/>
        <n v="0.338602595603635"/>
        <n v="0.338602769187774"/>
        <n v="0.338603255223364"/>
        <n v="0.338603832390627"/>
        <n v="0.338604794336065"/>
        <n v="0.338650793650794"/>
        <n v="0.338652053413958"/>
        <n v="0.338652413346291"/>
        <n v="0.33865306122449"/>
        <n v="0.338654572940287"/>
        <n v="0.339601369810304"/>
        <n v="0.339601919493412"/>
        <n v="0.339602652404222"/>
        <n v="0.339602787414109"/>
        <n v="0.339602908923006"/>
        <n v="0.339603118802011"/>
        <n v="0.339603210053752"/>
        <n v="0.339603678479357"/>
        <n v="0.339605217592058"/>
        <n v="0.340279422211698"/>
        <n v="0.340650037792895"/>
        <n v="0.340651927437642"/>
        <n v="0.340657596371882"/>
        <n v="0.343812734656348"/>
        <n v="0.343814650218374"/>
        <n v="0.343815520928386"/>
        <n v="0.343816018476964"/>
        <n v="0.343816340420162"/>
        <n v="0.34381686048225"/>
        <n v="0.34381733200521"/>
        <n v="0.343817842821751"/>
        <n v="0.343819003768433"/>
        <n v="0.346273383850343"/>
        <n v="0.346274729296278"/>
        <n v="0.346275498122526"/>
        <n v="0.3462763438314"/>
        <n v="0.3462767992131"/>
        <n v="0.346276956241273"/>
        <n v="0.346278317152104"/>
        <n v="0.346280783802984"/>
        <n v="0.346282263793512"/>
        <n v="0.346283955211258"/>
        <n v="0.347814982249125"/>
        <n v="0.347815780399969"/>
        <n v="0.347816713830618"/>
        <n v="0.347816806593912"/>
        <n v="0.347816946928126"/>
        <n v="0.34781730414249"/>
        <n v="0.347818911607127"/>
        <n v="0.350912230024736"/>
        <n v="0.350912380943757"/>
        <n v="0.350912407893582"/>
        <n v="0.350912425331705"/>
        <n v="0.350912506709608"/>
        <n v="0.350912551336201"/>
        <n v="0.350912645052044"/>
        <n v="0.35091270434166"/>
        <n v="0.350912783394481"/>
        <n v="0.350912852565699"/>
        <n v="0.350912967851062"/>
        <n v="0.354346452866861"/>
        <n v="0.354346655328798"/>
        <n v="0.354346738695478"/>
        <n v="0.354346784168213"/>
        <n v="0.354346873364731"/>
        <n v="0.354346891534392"/>
        <n v="0.35434693877551"/>
        <n v="0.354347086660751"/>
        <n v="0.354347127739985"/>
        <n v="0.354347200418629"/>
        <n v="0.354347363945578"/>
        <n v="0.355057187710249"/>
        <n v="0.355058433629862"/>
        <n v="0.355059226487798"/>
        <n v="0.355059775389446"/>
        <n v="0.355060177917321"/>
        <n v="0.355060485732755"/>
        <n v="0.355061224489796"/>
        <n v="0.355061528333418"/>
        <n v="0.355061605061605"/>
        <n v="0.355062794348509"/>
        <n v="0.355346513605442"/>
        <n v="0.355346677132391"/>
        <n v="0.355346749811036"/>
        <n v="0.355346817298348"/>
        <n v="0.355346849266022"/>
        <n v="0.35534693877551"/>
        <n v="0.355347019760285"/>
        <n v="0.355347222222222"/>
        <n v="0.355347424684159"/>
        <n v="0.357058326289096"/>
        <n v="0.357060233000083"/>
        <n v="0.357060626448382"/>
        <n v="0.357061457061457"/>
        <n v="0.357064364207221"/>
        <n v="0.359058084772371"/>
        <n v="0.359059008218672"/>
        <n v="0.359059392987964"/>
        <n v="0.359060327427674"/>
        <n v="0.359061573347288"/>
        <n v="0.359062009419152"/>
        <n v="0.359062366205223"/>
        <n v="0.359065934065934"/>
        <n v="0.360961738787691"/>
        <n v="0.360962409119733"/>
        <n v="0.36096264697949"/>
        <n v="0.36096314648498"/>
        <n v="0.360963680439124"/>
        <n v="0.360963961467621"/>
        <n v="0.360964337613455"/>
        <n v="0.360964867003888"/>
        <n v="0.360965144506938"/>
        <n v="0.36096552874193"/>
        <n v="0.360965667245241"/>
        <n v="0.361056290648127"/>
        <n v="0.361057692307692"/>
        <n v="0.361059241510369"/>
        <n v="0.361059654631083"/>
        <n v="0.361060028406967"/>
        <n v="0.361060962846677"/>
        <n v="0.361061897286387"/>
        <n v="0.361067503924647"/>
        <n v="0.364315287868135"/>
        <n v="0.364316489697319"/>
        <n v="0.364317240840559"/>
        <n v="0.36431751983662"/>
        <n v="0.364318128555298"/>
        <n v="0.364318635820862"/>
        <n v="0.364318815818321"/>
        <n v="0.364319193812983"/>
        <n v="0.364320495794599"/>
        <n v="0.364321261666138"/>
        <n v="0.366297755544734"/>
        <n v="0.366298308911417"/>
        <n v="0.366299231189222"/>
        <n v="0.366299469196397"/>
        <n v="0.366299494697166"/>
        <n v="0.366299566562969"/>
        <n v="0.366299969011466"/>
        <n v="0.366300099215391"/>
        <n v="0.366300285220999"/>
        <n v="0.366300572684211"/>
        <n v="0.366960875400021"/>
        <n v="0.366962860614146"/>
        <n v="0.366963456178383"/>
        <n v="0.366963742931535"/>
        <n v="0.366964562226253"/>
        <n v="0.366965567724317"/>
        <n v="0.366966036956746"/>
        <n v="0.366966702964066"/>
        <n v="0.366967327345928"/>
        <n v="0.368314975392547"/>
        <n v="0.368316649368911"/>
        <n v="0.368317579355779"/>
        <n v="0.368317999349849"/>
        <n v="0.368318171165605"/>
        <n v="0.3683185808801"/>
        <n v="0.368319662526365"/>
        <n v="0.36832083430982"/>
        <n v="0.368323497454034"/>
        <n v="0.369652305366591"/>
        <n v="0.369652648938363"/>
        <n v="0.369652703186538"/>
        <n v="0.369652777777778"/>
        <n v="0.369652886795744"/>
        <n v="0.369652992510135"/>
        <n v="0.36965306122449"/>
        <n v="0.369653194611178"/>
        <n v="0.369653280667106"/>
        <n v="0.369653385163589"/>
        <n v="0.369653565129756"/>
        <n v="0.369654195011338"/>
        <n v="0.370651927437642"/>
        <n v="0.370652363509506"/>
        <n v="0.370652557319224"/>
        <n v="0.370652666863847"/>
        <n v="0.37065273728539"/>
        <n v="0.370652872260015"/>
        <n v="0.37065306122449"/>
        <n v="0.370653344671202"/>
        <n v="0.370653473510616"/>
        <n v="0.370653817082389"/>
        <n v="0.370654356980888"/>
        <n v="0.375403494731226"/>
        <n v="0.375405162064826"/>
        <n v="0.375407305779455"/>
        <n v="0.375407940954159"/>
        <n v="0.375408624988457"/>
        <n v="0.375411341006991"/>
        <n v="0.375411982975008"/>
        <n v="0.375414165666266"/>
        <n v="0.376555117559898"/>
        <n v="0.376556235846683"/>
        <n v="0.376556864882999"/>
        <n v="0.376557268111407"/>
        <n v="0.376557447324033"/>
        <n v="0.37655791327686"/>
        <n v="0.376559111441272"/>
        <n v="0.376560200681647"/>
        <n v="0.376562106852302"/>
        <n v="0.377406962785114"/>
        <n v="0.377409145476372"/>
        <n v="0.37740978744439"/>
        <n v="0.377410964385754"/>
        <n v="0.377412017438554"/>
        <n v="0.377413822671926"/>
        <n v="0.377415966386555"/>
        <n v="0.379399759903962"/>
        <n v="0.379405095371482"/>
        <n v="0.379406307977737"/>
        <n v="0.379408233881788"/>
        <n v="0.379411764705882"/>
        <n v="0.379587623545199"/>
        <n v="0.379588360853361"/>
        <n v="0.379588770469006"/>
        <n v="0.379588913834482"/>
        <n v="0.379589314269087"/>
        <n v="0.379589343930909"/>
        <n v="0.379589525024142"/>
        <n v="0.379589787901415"/>
        <n v="0.379590204123765"/>
        <n v="0.379590572777845"/>
        <n v="0.37959096311746"/>
        <n v="0.380588027835841"/>
        <n v="0.380588565456375"/>
        <n v="0.380588888028696"/>
        <n v="0.380589065999632"/>
        <n v="0.380589533173338"/>
        <n v="0.38058968205287"/>
        <n v="0.380590178317979"/>
        <n v="0.380590608414407"/>
        <n v="0.380591099953181"/>
        <n v="0.380591876067035"/>
        <n v="0.38140456182473"/>
        <n v="0.38140589569161"/>
        <n v="0.38140756302521"/>
        <n v="0.38140856342537"/>
        <n v="0.381409706739839"/>
        <n v="0.38141256502601"/>
        <n v="0.381416566626651"/>
        <n v="0.381422569027611"/>
        <n v="0.382554726159524"/>
        <n v="0.382556589970831"/>
        <n v="0.382556890585559"/>
        <n v="0.38255701356431"/>
        <n v="0.382558919734966"/>
        <n v="0.382560317593447"/>
        <n v="0.382560825905622"/>
        <n v="0.382561915145996"/>
        <n v="0.384849266900011"/>
        <n v="0.38485034222086"/>
        <n v="0.384850579791745"/>
        <n v="0.384850952104327"/>
        <n v="0.38485112803225"/>
        <n v="0.384851446604435"/>
        <n v="0.384851619164368"/>
        <n v="0.384852199593236"/>
        <n v="0.384852417254061"/>
        <n v="0.384852531266874"/>
        <n v="0.38485264895752"/>
        <n v="0.384853747403548"/>
        <n v="0.384854428440086"/>
        <n v="0.38485522791776"/>
        <n v="0.386814228794728"/>
        <n v="0.386814803463336"/>
        <n v="0.386814912924023"/>
        <n v="0.386815073895622"/>
        <n v="0.386815825096417"/>
        <n v="0.386816184826374"/>
        <n v="0.386816281182613"/>
        <n v="0.386816368518268"/>
        <n v="0.386816448043417"/>
        <n v="0.386816497223443"/>
        <n v="0.386816705814589"/>
        <n v="0.386816753853763"/>
        <n v="0.386816867579152"/>
        <n v="0.386817102137767"/>
        <n v="0.386817327498006"/>
        <n v="0.386817649441203"/>
        <n v="0.388849161757528"/>
        <n v="0.38885019363107"/>
        <n v="0.388850750842783"/>
        <n v="0.388850908005061"/>
        <n v="0.388851188651985"/>
        <n v="0.388851541723923"/>
        <n v="0.388852183672901"/>
        <n v="0.388852283174992"/>
        <n v="0.388852375484162"/>
        <n v="0.388852979689633"/>
        <n v="0.388853676204274"/>
        <n v="0.388854837062008"/>
        <n v="0.390059100563302"/>
        <n v="0.390059654631083"/>
        <n v="0.39005994005994"/>
        <n v="0.390060177917321"/>
        <n v="0.390060468631897"/>
        <n v="0.390060551693205"/>
        <n v="0.390060685583074"/>
        <n v="0.390060832025118"/>
        <n v="0.39006105006105"/>
        <n v="0.390061097203954"/>
        <n v="0.390061224489796"/>
        <n v="0.390061299244973"/>
        <n v="0.390061409179056"/>
        <n v="0.390061437680485"/>
        <n v="0.390061586764883"/>
        <n v="0.390061781536436"/>
        <n v="0.390061922204779"/>
        <n v="0.390062111801242"/>
        <n v="0.390062794348509"/>
        <n v="0.391060067751797"/>
        <n v="0.391060291060291"/>
        <n v="0.391060526774813"/>
        <n v="0.391060932423059"/>
        <n v="0.391061039800536"/>
        <n v="0.391061224489796"/>
        <n v="0.391061416717394"/>
        <n v="0.391061466006521"/>
        <n v="0.391061616954474"/>
        <n v="0.391061825712282"/>
        <n v="0.391061933458247"/>
        <n v="0.391062043546516"/>
        <n v="0.391062271062271"/>
        <n v="0.391062508919652"/>
        <n v="0.391063018614039"/>
        <n v="0.395795021305225"/>
        <n v="0.395796267224839"/>
        <n v="0.395797608984422"/>
        <n v="0.395798011512297"/>
        <n v="0.395798319327731"/>
        <n v="0.395798562339916"/>
        <n v="0.395798759064065"/>
        <n v="0.395799361928394"/>
        <n v="0.395800627943485"/>
        <n v="0.395802334311651"/>
        <n v="0.395802693547054"/>
        <n v="0.395803244374673"/>
        <n v="0.397239792984474"/>
        <n v="0.397242293171988"/>
        <n v="0.397245269585695"/>
        <n v="0.397246981023577"/>
        <n v="0.397248872612814"/>
        <n v="0.39724961079398"/>
        <n v="0.397250248314078"/>
        <n v="0.397253323411021"/>
        <n v="0.397258961088748"/>
        <n v="0.397795918367347"/>
        <n v="0.397796159884072"/>
        <n v="0.397798066595059"/>
        <n v="0.397798460043358"/>
        <n v="0.397798546967982"/>
        <n v="0.397802197802198"/>
        <n v="0.399795918367347"/>
        <n v="0.399798161022651"/>
        <n v="0.399798648556413"/>
        <n v="0.3998001998002"/>
        <n v="0.399800585514871"/>
        <n v="0.399801151229723"/>
        <n v="0.399802061292745"/>
        <n v="0.39980376766091"/>
        <n v="0.400210287485128"/>
        <n v="0.400211915097242"/>
        <n v="0.400212072608092"/>
        <n v="0.400212802885668"/>
        <n v="0.400213449702949"/>
        <n v="0.40021374616087"/>
        <n v="0.400214899052784"/>
        <n v="0.400215821366315"/>
        <n v="0.400276264898571"/>
        <n v="0.400277392510402"/>
        <n v="0.400278238219275"/>
        <n v="0.400279647734064"/>
        <n v="0.400279796104042"/>
        <n v="0.40028021153998"/>
        <n v="0.40028051512778"/>
        <n v="0.400280929111145"/>
        <n v="0.401276559102749"/>
        <n v="0.401277231825716"/>
        <n v="0.401278054042676"/>
        <n v="0.401278711816244"/>
        <n v="0.401279958124058"/>
        <n v="0.401280146958575"/>
        <n v="0.401281342910517"/>
        <n v="0.401282354869852"/>
        <n v="0.401794124243104"/>
        <n v="0.401795525902669"/>
        <n v="0.40179661608233"/>
        <n v="0.401797741429078"/>
        <n v="0.401798201798202"/>
        <n v="0.401799299601497"/>
        <n v="0.401800431711146"/>
        <n v="0.401800720288115"/>
        <n v="0.401805337519623"/>
        <n v="0.402532047886429"/>
        <n v="0.402532793966895"/>
        <n v="0.402533519322904"/>
        <n v="0.402533561363946"/>
        <n v="0.402534009801729"/>
        <n v="0.40253435100439"/>
        <n v="0.402534696472084"/>
        <n v="0.402534835871329"/>
        <n v="0.402535163869553"/>
        <n v="0.40323592451252"/>
        <n v="0.403237935152829"/>
        <n v="0.403239409622388"/>
        <n v="0.403240537157934"/>
        <n v="0.403241427317575"/>
        <n v="0.403243669201116"/>
        <n v="0.40324463728719"/>
        <n v="0.403248993674526"/>
        <n v="0.404211283583741"/>
        <n v="0.40421170926691"/>
        <n v="0.404212289743957"/>
        <n v="0.404212533169816"/>
        <n v="0.404212667054038"/>
        <n v="0.404212931973883"/>
        <n v="0.404213128210804"/>
        <n v="0.404215069923501"/>
        <n v="0.404215433994632"/>
        <n v="0.407316811186626"/>
        <n v="0.407317255043995"/>
        <n v="0.407317508676778"/>
        <n v="0.407317787672838"/>
        <n v="0.407317937901486"/>
        <n v="0.407318096036905"/>
        <n v="0.407318438663646"/>
        <n v="0.407318821599415"/>
        <n v="0.407318959456293"/>
        <n v="0.407319252402156"/>
        <n v="0.407319740645262"/>
        <n v="0.407320298637383"/>
        <n v="0.407320608633006"/>
        <n v="0.407320942474446"/>
        <n v="0.407321693617686"/>
        <n v="0.407322581332424"/>
        <n v="0.408531670175083"/>
        <n v="0.408531977257478"/>
        <n v="0.408532168146534"/>
        <n v="0.408532298298163"/>
        <n v="0.408532749761627"/>
        <n v="0.408532986242489"/>
        <n v="0.40853326142022"/>
        <n v="0.408533431382936"/>
        <n v="0.408533742981248"/>
        <n v="0.408534579376718"/>
        <n v="0.408535508705018"/>
        <n v="0.40853654736606"/>
        <n v="0.410406267770266"/>
        <n v="0.410407239819005"/>
        <n v="0.410407641317397"/>
        <n v="0.410408163265306"/>
        <n v="0.410408487719412"/>
        <n v="0.4104086078876"/>
        <n v="0.410408753665401"/>
        <n v="0.410408869430125"/>
        <n v="0.410409041665447"/>
        <n v="0.410409086711608"/>
        <n v="0.410409163665466"/>
        <n v="0.410409878237009"/>
        <n v="0.41041056422569"/>
        <n v="0.410410675898266"/>
        <n v="0.410410830999066"/>
        <n v="0.410411437302194"/>
        <n v="0.410412164865946"/>
        <n v="0.410414165666267"/>
        <n v="0.411181972789116"/>
        <n v="0.411183821354629"/>
        <n v="0.411184473789516"/>
        <n v="0.4111852433281"/>
        <n v="0.41118804664723"/>
        <n v="0.41140456182473"/>
        <n v="0.411407991768136"/>
        <n v="0.41140856342537"/>
        <n v="0.411408849253987"/>
        <n v="0.411409008047664"/>
        <n v="0.411409461743881"/>
        <n v="0.41140956382553"/>
        <n v="0.411409781303826"/>
        <n v="0.411410018552876"/>
        <n v="0.41141014545353"/>
        <n v="0.41141056422569"/>
        <n v="0.41141088014153"/>
        <n v="0.411411623472919"/>
        <n v="0.41141206482593"/>
        <n v="0.41141256502601"/>
        <n v="0.411413136683245"/>
        <n v="0.411413796287746"/>
        <n v="0.413180272108843"/>
        <n v="0.413184747583244"/>
        <n v="0.413184996220711"/>
        <n v="0.413185586734694"/>
        <n v="0.415178571428571"/>
        <n v="0.415181405895692"/>
        <n v="0.415181841967556"/>
        <n v="0.415182436611008"/>
        <n v="0.415183295540439"/>
        <n v="0.415184645286686"/>
        <n v="0.415185284640172"/>
        <n v="0.415187074829932"/>
        <n v="0.417176870748299"/>
        <n v="0.417182944606414"/>
        <n v="0.4171839569161"/>
        <n v="0.417186318972033"/>
        <n v="0.4171875"/>
        <n v="0.420660216277746"/>
        <n v="0.420663211814397"/>
        <n v="0.420664281648915"/>
        <n v="0.420665165425256"/>
        <n v="0.42066576897983"/>
        <n v="0.420666540188453"/>
        <n v="0.42066756017405"/>
        <n v="0.420668972461801"/>
        <n v="0.420674445076836"/>
        <n v="0.42096267003359"/>
        <n v="0.420963246386078"/>
        <n v="0.420963830223663"/>
        <n v="0.420964107602439"/>
        <n v="0.420964835721726"/>
        <n v="0.420964979364307"/>
        <n v="0.42096509640641"/>
        <n v="0.420965163093189"/>
        <n v="0.420965275627129"/>
        <n v="0.420966243419015"/>
        <n v="0.421962257365208"/>
        <n v="0.421962423867038"/>
        <n v="0.421962792549662"/>
        <n v="0.421962997373341"/>
        <n v="0.421963456178383"/>
        <n v="0.421963625873399"/>
        <n v="0.421963851531665"/>
        <n v="0.421963994775607"/>
        <n v="0.421964464482488"/>
        <n v="0.421964635962778"/>
        <n v="0.42196513587142"/>
        <n v="0.421966110693271"/>
        <n v="0.424658508821855"/>
        <n v="0.424662253242668"/>
        <n v="0.424663251754885"/>
        <n v="0.424663714480059"/>
        <n v="0.424664976457805"/>
        <n v="0.424666077332009"/>
        <n v="0.424666413710238"/>
        <n v="0.424667046101309"/>
        <n v="0.424667629846913"/>
        <n v="0.424668672249776"/>
        <n v="0.42467036615443"/>
        <n v="0.424671063644581"/>
        <n v="0.424674926666959"/>
        <n v="0.425964562801426"/>
        <n v="0.425965311685589"/>
        <n v="0.425965660003804"/>
        <n v="0.425965828157425"/>
        <n v="0.425966121290089"/>
        <n v="0.425966310197805"/>
        <n v="0.425966614092828"/>
        <n v="0.425966809453914"/>
        <n v="0.425967183895995"/>
        <n v="0.425967413816571"/>
        <n v="0.425967954806162"/>
        <n v="0.425968192009291"/>
        <n v="0.425968307222239"/>
        <n v="0.427849854144675"/>
        <n v="0.427850137909899"/>
        <n v="0.427850370081446"/>
        <n v="0.42785109561753"/>
        <n v="0.427851189510435"/>
        <n v="0.427851347645854"/>
        <n v="0.42785153093918"/>
        <n v="0.427851670242108"/>
        <n v="0.42785181114622"/>
        <n v="0.427851867962394"/>
        <n v="0.427852001557181"/>
        <n v="0.427852170595483"/>
        <n v="0.42785241114999"/>
        <n v="0.427852691796915"/>
        <n v="0.427853235177131"/>
        <n v="0.427853314696187"/>
        <n v="0.427854194083395"/>
        <n v="0.427854516001926"/>
        <n v="0.428508666826424"/>
        <n v="0.428511861969806"/>
        <n v="0.428513659237958"/>
        <n v="0.428514227993703"/>
        <n v="0.428514811332928"/>
        <n v="0.428515612790298"/>
        <n v="0.428515868993883"/>
        <n v="0.428517302349078"/>
        <n v="0.428519177166496"/>
        <n v="0.428520078052788"/>
        <n v="0.428521979923849"/>
        <n v="0.42852264557872"/>
        <n v="0.42996435311386"/>
        <n v="0.429966160765287"/>
        <n v="0.429966388915467"/>
        <n v="0.429966492782896"/>
        <n v="0.429966974208429"/>
        <n v="0.429967041415983"/>
        <n v="0.429967076328997"/>
        <n v="0.42996743675453"/>
        <n v="0.429967530198187"/>
        <n v="0.429967735171369"/>
        <n v="0.429967847906619"/>
        <n v="0.429968385567044"/>
        <n v="0.429968721604809"/>
        <n v="0.429968911539198"/>
        <n v="0.430796934158279"/>
        <n v="0.430797773654916"/>
        <n v="0.430798212776235"/>
        <n v="0.430798302226874"/>
        <n v="0.430798437442956"/>
        <n v="0.430798499321502"/>
        <n v="0.430798665620094"/>
        <n v="0.430798762764817"/>
        <n v="0.430798850744942"/>
        <n v="0.430798897390573"/>
        <n v="0.43079896294182"/>
        <n v="0.430799003951713"/>
        <n v="0.430799262848952"/>
        <n v="0.430799291893517"/>
        <n v="0.430799526288248"/>
        <n v="0.430799755799756"/>
        <n v="0.430799906169364"/>
        <n v="0.430799945396219"/>
        <n v="0.430800627943485"/>
        <n v="0.431584062196307"/>
        <n v="0.431587413290439"/>
        <n v="0.431588921282799"/>
        <n v="0.43158977876865"/>
        <n v="0.431590331985329"/>
        <n v="0.431591003748438"/>
        <n v="0.431591836734694"/>
        <n v="0.431592896899019"/>
        <n v="0.431596209912536"/>
        <n v="0.431599013231666"/>
        <n v="0.431796180010466"/>
        <n v="0.431796774653917"/>
        <n v="0.431797235023042"/>
        <n v="0.431797901346774"/>
        <n v="0.431798048889886"/>
        <n v="0.431798360369789"/>
        <n v="0.431798609553712"/>
        <n v="0.431798695809685"/>
        <n v="0.431798766018035"/>
        <n v="0.431799058084772"/>
        <n v="0.431799175457386"/>
        <n v="0.43179921124172"/>
        <n v="0.43179925031237"/>
        <n v="0.43179927841582"/>
        <n v="0.431799450549451"/>
        <n v="0.431799702129373"/>
        <n v="0.431800104657248"/>
        <n v="0.43180024608596"/>
        <n v="0.431800852209016"/>
        <n v="0.431801714768748"/>
        <n v="0.43357628765792"/>
        <n v="0.433580705009277"/>
        <n v="0.433586005830904"/>
        <n v="0.433592484612893"/>
        <n v="0.433597112314313"/>
        <n v="0.433600583090379"/>
        <n v="0.43450754852624"/>
        <n v="0.434512564158293"/>
        <n v="0.43451287376521"/>
        <n v="0.434514084046794"/>
        <n v="0.434516006258722"/>
        <n v="0.434516377211901"/>
        <n v="0.434516534867002"/>
        <n v="0.434518255655659"/>
        <n v="0.434519530313923"/>
        <n v="0.434521926671459"/>
        <n v="0.434528088733696"/>
        <n v="0.435568513119534"/>
        <n v="0.435587949465501"/>
        <n v="0.435591836734694"/>
        <n v="0.435592808551992"/>
        <n v="0.43559501722767"/>
        <n v="0.435597667638484"/>
        <n v="0.43561016243232"/>
        <n v="0.436555863084421"/>
        <n v="0.436556794990075"/>
        <n v="0.436557055056769"/>
        <n v="0.436557194378213"/>
        <n v="0.436557655210679"/>
        <n v="0.43655791327686"/>
        <n v="0.436558341556905"/>
        <n v="0.436558658801383"/>
        <n v="0.436559590707037"/>
        <n v="0.436638588953587"/>
        <n v="0.436638790854688"/>
        <n v="0.436639217090345"/>
        <n v="0.436639772187945"/>
        <n v="0.436640171858217"/>
        <n v="0.436640434906508"/>
        <n v="0.436640708915145"/>
        <n v="0.436641142025571"/>
        <n v="0.436641292672676"/>
        <n v="0.436641604010025"/>
        <n v="0.436641929499072"/>
        <n v="0.436643807320499"/>
        <n v="0.437557661662333"/>
        <n v="0.437576935536119"/>
        <n v="0.437580174927114"/>
        <n v="0.437582825337927"/>
        <n v="0.437586005830904"/>
        <n v="0.437588504789671"/>
        <n v="0.437592179729034"/>
        <n v="0.437594752186589"/>
        <n v="0.437609329446064"/>
        <n v="0.438635875402793"/>
        <n v="0.438638023630505"/>
        <n v="0.438638262322473"/>
        <n v="0.438638804804218"/>
        <n v="0.438639180368504"/>
        <n v="0.438639601920253"/>
        <n v="0.438639967265101"/>
        <n v="0.43864047874789"/>
        <n v="0.438641245972073"/>
        <n v="0.438642825551273"/>
        <n v="0.438643311575642"/>
        <n v="0.440637307554601"/>
        <n v="0.440639097744361"/>
        <n v="0.440639242894882"/>
        <n v="0.440639694474281"/>
        <n v="0.440639864968544"/>
        <n v="0.440640562445074"/>
        <n v="0.440641076375148"/>
        <n v="0.44064139941691"/>
        <n v="0.440642422382487"/>
        <n v="0.440642815830786"/>
        <n v="0.440644468313641"/>
        <n v="0.442638341886462"/>
        <n v="0.442638855202522"/>
        <n v="0.442639251189198"/>
        <n v="0.442642320085929"/>
        <n v="0.443210520698692"/>
        <n v="0.4432114568816"/>
        <n v="0.443212002988296"/>
        <n v="0.44321249708483"/>
        <n v="0.443212801144236"/>
        <n v="0.443212946263498"/>
        <n v="0.44321315588021"/>
        <n v="0.44321326835747"/>
        <n v="0.443213356383152"/>
        <n v="0.4432134852779"/>
        <n v="0.443213791958507"/>
        <n v="0.443214078193741"/>
        <n v="0.443214693069429"/>
        <n v="0.443214832813903"/>
        <n v="0.44321505476101"/>
        <n v="0.443215461664038"/>
        <n v="0.446180555555556"/>
        <n v="0.446181972789116"/>
        <n v="0.446182266009852"/>
        <n v="0.446182580174927"/>
        <n v="0.446182662254091"/>
        <n v="0.446182917611489"/>
        <n v="0.446183357063756"/>
        <n v="0.446183473389356"/>
        <n v="0.446183673469388"/>
        <n v="0.446183912161356"/>
        <n v="0.446184098639456"/>
        <n v="0.446184807256236"/>
        <n v="0.446185064935065"/>
        <n v="0.446185617103985"/>
        <n v="0.446186551543694"/>
        <n v="0.447180795395081"/>
        <n v="0.447181729834791"/>
        <n v="0.447182282003711"/>
        <n v="0.44718253968254"/>
        <n v="0.447182786157942"/>
        <n v="0.44718324829932"/>
        <n v="0.44718387354942"/>
        <n v="0.447184065934066"/>
        <n v="0.447184429327287"/>
        <n v="0.44718537414966"/>
        <n v="0.447186147186147"/>
        <n v="0.44718679138322"/>
        <n v="0.451641841832552"/>
        <n v="0.451645774168069"/>
        <n v="0.451646006075035"/>
        <n v="0.451647188514258"/>
        <n v="0.451648286493537"/>
        <n v="0.451650404025004"/>
        <n v="0.451650981533586"/>
        <n v="0.45165252155647"/>
        <n v="0.451654215581644"/>
        <n v="0.451658168307048"/>
        <n v="0.455641950839389"/>
        <n v="0.455644179819881"/>
        <n v="0.455645030885159"/>
        <n v="0.455647300392568"/>
        <n v="0.455648508356189"/>
        <n v="0.455648568125222"/>
        <n v="0.455650420965256"/>
        <n v="0.455651630983236"/>
        <n v="0.455652333574322"/>
        <n v="0.455653541537943"/>
        <n v="0.45565498180226"/>
        <n v="0.45724143596484"/>
        <n v="0.457244478521074"/>
        <n v="0.457244931667747"/>
        <n v="0.457245999799191"/>
        <n v="0.457246793509513"/>
        <n v="0.457248517776764"/>
        <n v="0.457249137435308"/>
        <n v="0.457249650866672"/>
        <n v="0.457250083229926"/>
        <n v="0.45725170459213"/>
        <n v="0.457255127467893"/>
        <n v="0.458241721070257"/>
        <n v="0.458243022072809"/>
        <n v="0.458244027392964"/>
        <n v="0.458244448978835"/>
        <n v="0.458245479522075"/>
        <n v="0.458246258713306"/>
        <n v="0.458247761439251"/>
        <n v="0.458250561973966"/>
        <n v="0.458250695332762"/>
        <n v="0.458251868890167"/>
        <n v="0.458255462909718"/>
        <n v="0.462190233236152"/>
        <n v="0.462195028387295"/>
        <n v="0.462196307094266"/>
        <n v="0.462198515769944"/>
        <n v="0.462204618689581"/>
        <n v="0.462205941489896"/>
        <n v="0.462206311095867"/>
        <n v="0.462206798303737"/>
        <n v="0.462207105064248"/>
        <n v="0.462208454810496"/>
        <n v="0.462210039295221"/>
        <n v="0.462213010204082"/>
        <n v="0.462531341596921"/>
        <n v="0.462532445174277"/>
        <n v="0.462532877008895"/>
        <n v="0.462533156826965"/>
        <n v="0.462533303512221"/>
        <n v="0.462533386119181"/>
        <n v="0.462533418919003"/>
        <n v="0.462533681712761"/>
        <n v="0.462533864059449"/>
        <n v="0.462534385948248"/>
        <n v="0.462534552003775"/>
        <n v="0.462534682155405"/>
        <n v="0.462534873044461"/>
        <n v="0.46353138333221"/>
        <n v="0.463532371149704"/>
        <n v="0.463532759220862"/>
        <n v="0.463532988535637"/>
        <n v="0.463533123914239"/>
        <n v="0.463533389836494"/>
        <n v="0.463533729398758"/>
        <n v="0.463533880315319"/>
        <n v="0.463534272698379"/>
        <n v="0.46353451907844"/>
        <n v="0.463657973149419"/>
        <n v="0.463659647125783"/>
        <n v="0.46366088441266"/>
        <n v="0.463661228103459"/>
        <n v="0.463661836171796"/>
        <n v="0.463662357373228"/>
        <n v="0.463662591015249"/>
        <n v="0.463663204325555"/>
        <n v="0.463663553070631"/>
        <n v="0.463664140430758"/>
        <n v="0.463664821234542"/>
        <n v="0.463665338645418"/>
        <n v="0.463666569244259"/>
        <n v="0.463667308786831"/>
        <n v="0.463669132991842"/>
        <n v="0.464194606413994"/>
        <n v="0.464198250728863"/>
        <n v="0.464199401565137"/>
        <n v="0.464201614711819"/>
        <n v="0.464203717201166"/>
        <n v="0.464204729510852"/>
        <n v="0.464206490049436"/>
        <n v="0.46420762182424"/>
        <n v="0.464208991867424"/>
        <n v="0.464212827988338"/>
        <n v="0.466188856494979"/>
        <n v="0.466193620305265"/>
        <n v="0.466198979591837"/>
        <n v="0.466205646021475"/>
        <n v="0.466207262125629"/>
        <n v="0.466209102688695"/>
        <n v="0.466209912536443"/>
        <n v="0.466211995002083"/>
        <n v="0.466585681891804"/>
        <n v="0.46658683881716"/>
        <n v="0.466588921282799"/>
        <n v="0.466590309593225"/>
        <n v="0.466591080876795"/>
        <n v="0.46659130124353"/>
        <n v="0.466591385044964"/>
        <n v="0.466591571693613"/>
        <n v="0.466591788940401"/>
        <n v="0.466592044981258"/>
        <n v="0.466592351226205"/>
        <n v="0.466592565597668"/>
        <n v="0.466592942595758"/>
        <n v="0.466593780369291"/>
        <n v="0.466594345379348"/>
        <n v="0.46659564924871"/>
        <n v="0.466595989044969"/>
        <n v="0.466597251145356"/>
        <n v="0.467583819241982"/>
        <n v="0.467585475748741"/>
        <n v="0.467587034813926"/>
        <n v="0.467587780453796"/>
        <n v="0.467588504789671"/>
        <n v="0.467589893100097"/>
        <n v="0.467592206950808"/>
        <n v="0.46759245051404"/>
        <n v="0.467592930029155"/>
        <n v="0.467593630858937"/>
        <n v="0.467594477143957"/>
        <n v="0.467594752186589"/>
        <n v="0.46759560967244"/>
        <n v="0.467596834652228"/>
        <n v="0.467599611273081"/>
        <n v="0.468195070235886"/>
        <n v="0.46820074968763"/>
        <n v="0.468203352769679"/>
        <n v="0.468205574912892"/>
        <n v="0.468209426627794"/>
        <n v="0.468211635303472"/>
        <n v="0.468213475866537"/>
        <n v="0.468216368179925"/>
        <n v="0.468221574344023"/>
        <n v="0.46896624030195"/>
        <n v="0.468967011212118"/>
        <n v="0.468967099677219"/>
        <n v="0.468967343920716"/>
        <n v="0.468967379908284"/>
        <n v="0.468967392431431"/>
        <n v="0.46896740523287"/>
        <n v="0.471639262992646"/>
        <n v="0.471639340939951"/>
        <n v="0.471639488331218"/>
        <n v="0.471639558078871"/>
        <n v="0.471639603209705"/>
        <n v="0.471639813820265"/>
        <n v="0.471639884023785"/>
        <n v="0.471639957035446"/>
        <n v="0.471640072198169"/>
        <n v="0.471640089234074"/>
        <n v="0.471640139309312"/>
        <n v="0.471640235041385"/>
        <n v="0.471640451422097"/>
        <n v="0.47164046479836"/>
        <n v="0.471640542570079"/>
        <n v="0.471640640061693"/>
        <n v="0.471640708915145"/>
        <n v="0.471640774409892"/>
        <n v="0.47164095303193"/>
        <n v="0.471641007280105"/>
        <n v="0.471641108851155"/>
        <n v="0.472638739706409"/>
        <n v="0.472639015120218"/>
        <n v="0.472639126774465"/>
        <n v="0.472639390684504"/>
        <n v="0.472639582148649"/>
        <n v="0.472639727397311"/>
        <n v="0.472639826607335"/>
        <n v="0.472639841361646"/>
        <n v="0.472639933166249"/>
        <n v="0.472639994684797"/>
        <n v="0.472640171858217"/>
        <n v="0.472640624116683"/>
        <n v="0.472640785637563"/>
        <n v="0.472641080723787"/>
        <n v="0.472641126626089"/>
        <n v="0.472641189439765"/>
        <n v="0.472641280620907"/>
        <n v="0.472641688254249"/>
        <n v="0.472641922265982"/>
        <n v="0.488510321454247"/>
        <n v="0.48851246105919"/>
        <n v="0.488512779723756"/>
        <n v="0.488514333213516"/>
        <n v="0.488514806891116"/>
        <n v="0.488515018148025"/>
        <n v="0.488516402436717"/>
        <n v="0.488517453470725"/>
        <n v="0.488517830256501"/>
        <n v="0.488518628155791"/>
        <n v="0.488519051042416"/>
        <n v="0.488520674381392"/>
        <n v="0.488521447399952"/>
        <n v="0.489511656567731"/>
        <n v="0.489513331041165"/>
        <n v="0.489514224093663"/>
        <n v="0.489515157739457"/>
        <n v="0.489515935777618"/>
        <n v="0.489517329008744"/>
        <n v="0.489517868324019"/>
        <n v="0.489518001603081"/>
        <n v="0.489518332135155"/>
        <n v="0.48951908887964"/>
        <n v="0.489519459832819"/>
        <n v="0.489520544157496"/>
        <n v="0.489524494197391"/>
        <n v="0.494644057077355"/>
        <n v="0.494645097268251"/>
        <n v="0.494645420086115"/>
        <n v="0.494645670434663"/>
        <n v="0.494646033440057"/>
        <n v="0.494646607222777"/>
        <n v="0.494646880452644"/>
        <n v="0.494646969611863"/>
        <n v="0.494647378695342"/>
        <n v="0.494647650464086"/>
        <n v="0.494648217840938"/>
        <n v="0.494648574477817"/>
        <n v="0.494648682607083"/>
        <n v="0.494648746751563"/>
        <n v="0.494649590892921"/>
        <n v="0.494649830721204"/>
        <n v="0.494650805632923"/>
        <n v="0.494651962528163"/>
        <n v="0.494653357607718"/>
        <n v="0.497198432944606"/>
        <n v="0.497201166180758"/>
        <n v="0.49720144122339"/>
        <n v="0.497201686797168"/>
        <n v="0.497201907397342"/>
        <n v="0.497202452409535"/>
        <n v="0.497202554491184"/>
        <n v="0.497202742100701"/>
        <n v="0.497202988338192"/>
        <n v="0.497203200216964"/>
        <n v="0.497203384459374"/>
        <n v="0.497203546141489"/>
        <n v="0.497204127186589"/>
        <n v="0.497204487581651"/>
        <n v="0.497204845877325"/>
        <n v="0.497205045612715"/>
        <n v="0.49720602526725"/>
        <n v="0.4972106974658"/>
        <n v="0.498199929322378"/>
        <n v="0.498200619533528"/>
        <n v="0.498201609836481"/>
        <n v="0.498202137998056"/>
        <n v="0.498202690166976"/>
        <n v="0.498202975771589"/>
        <n v="0.498203100193401"/>
        <n v="0.498203416705028"/>
        <n v="0.498203873386089"/>
        <n v="0.498204187010432"/>
        <n v="0.498204726855613"/>
        <n v="0.498205174927114"/>
        <n v="0.498205875756896"/>
        <n v="0.498206997084548"/>
        <n v="0.498208211856171"/>
        <n v="0.498209079550187"/>
        <n v="0.498209532260109"/>
        <n v="0.498210972700769"/>
      </sharedItems>
    </cacheField>
    <cacheField name="Segmento_Rentabilidad" numFmtId="0">
      <sharedItems count="3">
        <s v="Alta rentabilidad"/>
        <s v="Estandar"/>
        <s v="Revisar"/>
      </sharedItems>
    </cacheField>
    <cacheField name="Alerta_Logistica" numFmtId="0">
      <sharedItems count="2">
        <s v="Alerta"/>
        <s v="OK"/>
      </sharedItems>
    </cacheField>
    <cacheField name="Ticket" numFmtId="0">
      <sharedItems count="3">
        <s v="Alto"/>
        <s v="Bajo"/>
        <s v="Medio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00">
  <r>
    <x v="0"/>
    <x v="7"/>
    <x v="0"/>
    <x v="0"/>
    <x v="0"/>
    <x v="3"/>
    <x v="0"/>
    <x v="0"/>
    <x v="0"/>
    <x v="1"/>
    <x v="3"/>
    <x v="6"/>
    <x v="1"/>
    <x v="2"/>
    <x v="19"/>
    <x v="25"/>
    <x v="16"/>
    <x v="863"/>
    <x v="766"/>
    <x v="1195"/>
    <x v="1604"/>
    <x v="287"/>
    <x v="0"/>
    <x v="1"/>
    <x v="0"/>
  </r>
  <r>
    <x v="1"/>
    <x v="14"/>
    <x v="0"/>
    <x v="0"/>
    <x v="0"/>
    <x v="3"/>
    <x v="0"/>
    <x v="0"/>
    <x v="0"/>
    <x v="0"/>
    <x v="3"/>
    <x v="6"/>
    <x v="1"/>
    <x v="2"/>
    <x v="6"/>
    <x v="25"/>
    <x v="16"/>
    <x v="789"/>
    <x v="711"/>
    <x v="1245"/>
    <x v="1437"/>
    <x v="170"/>
    <x v="1"/>
    <x v="1"/>
    <x v="0"/>
  </r>
  <r>
    <x v="2"/>
    <x v="21"/>
    <x v="0"/>
    <x v="0"/>
    <x v="0"/>
    <x v="3"/>
    <x v="0"/>
    <x v="0"/>
    <x v="0"/>
    <x v="1"/>
    <x v="3"/>
    <x v="6"/>
    <x v="2"/>
    <x v="4"/>
    <x v="16"/>
    <x v="22"/>
    <x v="14"/>
    <x v="757"/>
    <x v="690"/>
    <x v="851"/>
    <x v="1424"/>
    <x v="374"/>
    <x v="0"/>
    <x v="1"/>
    <x v="0"/>
  </r>
  <r>
    <x v="3"/>
    <x v="1"/>
    <x v="0"/>
    <x v="0"/>
    <x v="0"/>
    <x v="3"/>
    <x v="0"/>
    <x v="0"/>
    <x v="0"/>
    <x v="0"/>
    <x v="3"/>
    <x v="6"/>
    <x v="2"/>
    <x v="4"/>
    <x v="6"/>
    <x v="22"/>
    <x v="14"/>
    <x v="548"/>
    <x v="514"/>
    <x v="1032"/>
    <x v="978"/>
    <x v="221"/>
    <x v="0"/>
    <x v="1"/>
    <x v="0"/>
  </r>
  <r>
    <x v="4"/>
    <x v="8"/>
    <x v="0"/>
    <x v="0"/>
    <x v="0"/>
    <x v="3"/>
    <x v="0"/>
    <x v="0"/>
    <x v="0"/>
    <x v="1"/>
    <x v="3"/>
    <x v="6"/>
    <x v="5"/>
    <x v="10"/>
    <x v="17"/>
    <x v="28"/>
    <x v="18"/>
    <x v="874"/>
    <x v="779"/>
    <x v="1232"/>
    <x v="1606"/>
    <x v="106"/>
    <x v="1"/>
    <x v="1"/>
    <x v="0"/>
  </r>
  <r>
    <x v="5"/>
    <x v="15"/>
    <x v="0"/>
    <x v="0"/>
    <x v="0"/>
    <x v="3"/>
    <x v="0"/>
    <x v="0"/>
    <x v="0"/>
    <x v="0"/>
    <x v="3"/>
    <x v="6"/>
    <x v="5"/>
    <x v="10"/>
    <x v="6"/>
    <x v="28"/>
    <x v="18"/>
    <x v="818"/>
    <x v="738"/>
    <x v="1288"/>
    <x v="1471"/>
    <x v="61"/>
    <x v="2"/>
    <x v="1"/>
    <x v="0"/>
  </r>
  <r>
    <x v="6"/>
    <x v="22"/>
    <x v="0"/>
    <x v="0"/>
    <x v="0"/>
    <x v="3"/>
    <x v="0"/>
    <x v="0"/>
    <x v="0"/>
    <x v="1"/>
    <x v="0"/>
    <x v="0"/>
    <x v="3"/>
    <x v="6"/>
    <x v="87"/>
    <x v="0"/>
    <x v="0"/>
    <x v="421"/>
    <x v="340"/>
    <x v="325"/>
    <x v="997"/>
    <x v="1252"/>
    <x v="1"/>
    <x v="1"/>
    <x v="2"/>
  </r>
  <r>
    <x v="7"/>
    <x v="2"/>
    <x v="0"/>
    <x v="0"/>
    <x v="0"/>
    <x v="3"/>
    <x v="0"/>
    <x v="0"/>
    <x v="0"/>
    <x v="0"/>
    <x v="0"/>
    <x v="0"/>
    <x v="3"/>
    <x v="6"/>
    <x v="28"/>
    <x v="0"/>
    <x v="0"/>
    <x v="99"/>
    <x v="79"/>
    <x v="391"/>
    <x v="279"/>
    <x v="1125"/>
    <x v="1"/>
    <x v="1"/>
    <x v="2"/>
  </r>
  <r>
    <x v="8"/>
    <x v="9"/>
    <x v="0"/>
    <x v="0"/>
    <x v="0"/>
    <x v="3"/>
    <x v="0"/>
    <x v="0"/>
    <x v="0"/>
    <x v="1"/>
    <x v="0"/>
    <x v="0"/>
    <x v="8"/>
    <x v="16"/>
    <x v="91"/>
    <x v="12"/>
    <x v="6"/>
    <x v="781"/>
    <x v="678"/>
    <x v="900"/>
    <x v="1520"/>
    <x v="1169"/>
    <x v="0"/>
    <x v="1"/>
    <x v="0"/>
  </r>
  <r>
    <x v="9"/>
    <x v="16"/>
    <x v="0"/>
    <x v="0"/>
    <x v="0"/>
    <x v="3"/>
    <x v="0"/>
    <x v="0"/>
    <x v="0"/>
    <x v="0"/>
    <x v="0"/>
    <x v="0"/>
    <x v="8"/>
    <x v="16"/>
    <x v="33"/>
    <x v="12"/>
    <x v="6"/>
    <x v="520"/>
    <x v="438"/>
    <x v="1011"/>
    <x v="1096"/>
    <x v="932"/>
    <x v="0"/>
    <x v="1"/>
    <x v="0"/>
  </r>
  <r>
    <x v="10"/>
    <x v="23"/>
    <x v="0"/>
    <x v="0"/>
    <x v="0"/>
    <x v="3"/>
    <x v="0"/>
    <x v="0"/>
    <x v="0"/>
    <x v="1"/>
    <x v="0"/>
    <x v="0"/>
    <x v="9"/>
    <x v="18"/>
    <x v="94"/>
    <x v="6"/>
    <x v="4"/>
    <x v="714"/>
    <x v="630"/>
    <x v="747"/>
    <x v="1391"/>
    <x v="846"/>
    <x v="0"/>
    <x v="1"/>
    <x v="0"/>
  </r>
  <r>
    <x v="11"/>
    <x v="3"/>
    <x v="0"/>
    <x v="0"/>
    <x v="0"/>
    <x v="3"/>
    <x v="0"/>
    <x v="0"/>
    <x v="0"/>
    <x v="0"/>
    <x v="0"/>
    <x v="0"/>
    <x v="9"/>
    <x v="18"/>
    <x v="30"/>
    <x v="6"/>
    <x v="4"/>
    <x v="358"/>
    <x v="316"/>
    <x v="812"/>
    <x v="731"/>
    <x v="590"/>
    <x v="1"/>
    <x v="1"/>
    <x v="2"/>
  </r>
  <r>
    <x v="12"/>
    <x v="10"/>
    <x v="0"/>
    <x v="0"/>
    <x v="0"/>
    <x v="3"/>
    <x v="0"/>
    <x v="0"/>
    <x v="0"/>
    <x v="1"/>
    <x v="2"/>
    <x v="4"/>
    <x v="0"/>
    <x v="0"/>
    <x v="30"/>
    <x v="15"/>
    <x v="10"/>
    <x v="570"/>
    <x v="494"/>
    <x v="525"/>
    <x v="1190"/>
    <x v="970"/>
    <x v="0"/>
    <x v="1"/>
    <x v="0"/>
  </r>
  <r>
    <x v="13"/>
    <x v="17"/>
    <x v="0"/>
    <x v="0"/>
    <x v="0"/>
    <x v="3"/>
    <x v="0"/>
    <x v="0"/>
    <x v="0"/>
    <x v="0"/>
    <x v="2"/>
    <x v="4"/>
    <x v="0"/>
    <x v="0"/>
    <x v="12"/>
    <x v="15"/>
    <x v="10"/>
    <x v="286"/>
    <x v="253"/>
    <x v="710"/>
    <x v="609"/>
    <x v="700"/>
    <x v="1"/>
    <x v="1"/>
    <x v="2"/>
  </r>
  <r>
    <x v="14"/>
    <x v="24"/>
    <x v="0"/>
    <x v="0"/>
    <x v="0"/>
    <x v="3"/>
    <x v="0"/>
    <x v="0"/>
    <x v="0"/>
    <x v="1"/>
    <x v="2"/>
    <x v="4"/>
    <x v="4"/>
    <x v="8"/>
    <x v="41"/>
    <x v="9"/>
    <x v="7"/>
    <x v="553"/>
    <x v="500"/>
    <x v="497"/>
    <x v="1111"/>
    <x v="679"/>
    <x v="0"/>
    <x v="1"/>
    <x v="0"/>
  </r>
  <r>
    <x v="15"/>
    <x v="4"/>
    <x v="0"/>
    <x v="0"/>
    <x v="0"/>
    <x v="3"/>
    <x v="0"/>
    <x v="0"/>
    <x v="0"/>
    <x v="0"/>
    <x v="2"/>
    <x v="4"/>
    <x v="4"/>
    <x v="8"/>
    <x v="14"/>
    <x v="9"/>
    <x v="7"/>
    <x v="222"/>
    <x v="213"/>
    <x v="625"/>
    <x v="434"/>
    <x v="435"/>
    <x v="1"/>
    <x v="1"/>
    <x v="2"/>
  </r>
  <r>
    <x v="16"/>
    <x v="11"/>
    <x v="0"/>
    <x v="0"/>
    <x v="0"/>
    <x v="3"/>
    <x v="0"/>
    <x v="0"/>
    <x v="0"/>
    <x v="1"/>
    <x v="1"/>
    <x v="2"/>
    <x v="7"/>
    <x v="14"/>
    <x v="47"/>
    <x v="18"/>
    <x v="12"/>
    <x v="714"/>
    <x v="646"/>
    <x v="747"/>
    <x v="1345"/>
    <x v="516"/>
    <x v="0"/>
    <x v="1"/>
    <x v="0"/>
  </r>
  <r>
    <x v="17"/>
    <x v="18"/>
    <x v="0"/>
    <x v="0"/>
    <x v="0"/>
    <x v="3"/>
    <x v="0"/>
    <x v="0"/>
    <x v="0"/>
    <x v="0"/>
    <x v="1"/>
    <x v="2"/>
    <x v="7"/>
    <x v="14"/>
    <x v="19"/>
    <x v="18"/>
    <x v="12"/>
    <x v="449"/>
    <x v="421"/>
    <x v="929"/>
    <x v="844"/>
    <x v="318"/>
    <x v="1"/>
    <x v="1"/>
    <x v="2"/>
  </r>
  <r>
    <x v="18"/>
    <x v="25"/>
    <x v="0"/>
    <x v="0"/>
    <x v="0"/>
    <x v="3"/>
    <x v="0"/>
    <x v="0"/>
    <x v="0"/>
    <x v="1"/>
    <x v="1"/>
    <x v="2"/>
    <x v="6"/>
    <x v="12"/>
    <x v="50"/>
    <x v="3"/>
    <x v="2"/>
    <x v="320"/>
    <x v="264"/>
    <x v="202"/>
    <x v="741"/>
    <x v="1115"/>
    <x v="1"/>
    <x v="1"/>
    <x v="2"/>
  </r>
  <r>
    <x v="19"/>
    <x v="5"/>
    <x v="0"/>
    <x v="0"/>
    <x v="0"/>
    <x v="3"/>
    <x v="0"/>
    <x v="0"/>
    <x v="0"/>
    <x v="0"/>
    <x v="1"/>
    <x v="2"/>
    <x v="6"/>
    <x v="12"/>
    <x v="15"/>
    <x v="3"/>
    <x v="2"/>
    <x v="46"/>
    <x v="45"/>
    <x v="240"/>
    <x v="120"/>
    <x v="905"/>
    <x v="1"/>
    <x v="1"/>
    <x v="2"/>
  </r>
  <r>
    <x v="20"/>
    <x v="12"/>
    <x v="0"/>
    <x v="0"/>
    <x v="0"/>
    <x v="3"/>
    <x v="0"/>
    <x v="1"/>
    <x v="1"/>
    <x v="1"/>
    <x v="3"/>
    <x v="6"/>
    <x v="1"/>
    <x v="2"/>
    <x v="10"/>
    <x v="25"/>
    <x v="16"/>
    <x v="825"/>
    <x v="737"/>
    <x v="1070"/>
    <x v="1551"/>
    <x v="288"/>
    <x v="0"/>
    <x v="1"/>
    <x v="0"/>
  </r>
  <r>
    <x v="21"/>
    <x v="19"/>
    <x v="0"/>
    <x v="0"/>
    <x v="0"/>
    <x v="3"/>
    <x v="0"/>
    <x v="1"/>
    <x v="1"/>
    <x v="0"/>
    <x v="3"/>
    <x v="6"/>
    <x v="1"/>
    <x v="2"/>
    <x v="2"/>
    <x v="25"/>
    <x v="16"/>
    <x v="634"/>
    <x v="592"/>
    <x v="1108"/>
    <x v="1144"/>
    <x v="170"/>
    <x v="1"/>
    <x v="1"/>
    <x v="0"/>
  </r>
  <r>
    <x v="22"/>
    <x v="26"/>
    <x v="0"/>
    <x v="0"/>
    <x v="0"/>
    <x v="3"/>
    <x v="0"/>
    <x v="1"/>
    <x v="1"/>
    <x v="1"/>
    <x v="3"/>
    <x v="6"/>
    <x v="2"/>
    <x v="4"/>
    <x v="7"/>
    <x v="22"/>
    <x v="14"/>
    <x v="583"/>
    <x v="548"/>
    <x v="551"/>
    <x v="1110"/>
    <x v="374"/>
    <x v="0"/>
    <x v="1"/>
    <x v="0"/>
  </r>
  <r>
    <x v="23"/>
    <x v="6"/>
    <x v="0"/>
    <x v="0"/>
    <x v="0"/>
    <x v="3"/>
    <x v="0"/>
    <x v="1"/>
    <x v="1"/>
    <x v="0"/>
    <x v="3"/>
    <x v="6"/>
    <x v="2"/>
    <x v="4"/>
    <x v="1"/>
    <x v="22"/>
    <x v="14"/>
    <x v="220"/>
    <x v="229"/>
    <x v="621"/>
    <x v="360"/>
    <x v="220"/>
    <x v="1"/>
    <x v="1"/>
    <x v="2"/>
  </r>
  <r>
    <x v="24"/>
    <x v="13"/>
    <x v="0"/>
    <x v="0"/>
    <x v="0"/>
    <x v="3"/>
    <x v="0"/>
    <x v="1"/>
    <x v="1"/>
    <x v="1"/>
    <x v="3"/>
    <x v="6"/>
    <x v="5"/>
    <x v="10"/>
    <x v="9"/>
    <x v="28"/>
    <x v="18"/>
    <x v="842"/>
    <x v="752"/>
    <x v="1128"/>
    <x v="1557"/>
    <x v="112"/>
    <x v="1"/>
    <x v="1"/>
    <x v="0"/>
  </r>
  <r>
    <x v="25"/>
    <x v="20"/>
    <x v="0"/>
    <x v="0"/>
    <x v="0"/>
    <x v="3"/>
    <x v="0"/>
    <x v="1"/>
    <x v="1"/>
    <x v="0"/>
    <x v="3"/>
    <x v="6"/>
    <x v="5"/>
    <x v="10"/>
    <x v="1"/>
    <x v="28"/>
    <x v="18"/>
    <x v="644"/>
    <x v="623"/>
    <x v="1118"/>
    <x v="1023"/>
    <x v="62"/>
    <x v="2"/>
    <x v="1"/>
    <x v="0"/>
  </r>
  <r>
    <x v="26"/>
    <x v="0"/>
    <x v="0"/>
    <x v="0"/>
    <x v="0"/>
    <x v="3"/>
    <x v="0"/>
    <x v="1"/>
    <x v="1"/>
    <x v="1"/>
    <x v="0"/>
    <x v="0"/>
    <x v="3"/>
    <x v="6"/>
    <x v="55"/>
    <x v="0"/>
    <x v="0"/>
    <x v="269"/>
    <x v="209"/>
    <x v="170"/>
    <x v="702"/>
    <x v="1247"/>
    <x v="1"/>
    <x v="1"/>
    <x v="2"/>
  </r>
  <r>
    <x v="27"/>
    <x v="7"/>
    <x v="0"/>
    <x v="0"/>
    <x v="0"/>
    <x v="3"/>
    <x v="0"/>
    <x v="1"/>
    <x v="1"/>
    <x v="0"/>
    <x v="0"/>
    <x v="0"/>
    <x v="3"/>
    <x v="6"/>
    <x v="20"/>
    <x v="0"/>
    <x v="0"/>
    <x v="53"/>
    <x v="44"/>
    <x v="255"/>
    <x v="146"/>
    <x v="1126"/>
    <x v="1"/>
    <x v="1"/>
    <x v="2"/>
  </r>
  <r>
    <x v="28"/>
    <x v="14"/>
    <x v="0"/>
    <x v="0"/>
    <x v="0"/>
    <x v="3"/>
    <x v="0"/>
    <x v="1"/>
    <x v="1"/>
    <x v="1"/>
    <x v="0"/>
    <x v="0"/>
    <x v="8"/>
    <x v="16"/>
    <x v="43"/>
    <x v="12"/>
    <x v="6"/>
    <x v="602"/>
    <x v="511"/>
    <x v="582"/>
    <x v="1257"/>
    <x v="1172"/>
    <x v="0"/>
    <x v="1"/>
    <x v="0"/>
  </r>
  <r>
    <x v="29"/>
    <x v="21"/>
    <x v="0"/>
    <x v="0"/>
    <x v="0"/>
    <x v="3"/>
    <x v="0"/>
    <x v="1"/>
    <x v="1"/>
    <x v="0"/>
    <x v="0"/>
    <x v="0"/>
    <x v="8"/>
    <x v="16"/>
    <x v="15"/>
    <x v="12"/>
    <x v="6"/>
    <x v="274"/>
    <x v="226"/>
    <x v="695"/>
    <x v="625"/>
    <x v="933"/>
    <x v="1"/>
    <x v="1"/>
    <x v="2"/>
  </r>
  <r>
    <x v="30"/>
    <x v="1"/>
    <x v="0"/>
    <x v="0"/>
    <x v="0"/>
    <x v="3"/>
    <x v="0"/>
    <x v="1"/>
    <x v="1"/>
    <x v="1"/>
    <x v="0"/>
    <x v="0"/>
    <x v="9"/>
    <x v="18"/>
    <x v="55"/>
    <x v="6"/>
    <x v="4"/>
    <x v="558"/>
    <x v="492"/>
    <x v="507"/>
    <x v="1153"/>
    <x v="847"/>
    <x v="0"/>
    <x v="1"/>
    <x v="0"/>
  </r>
  <r>
    <x v="31"/>
    <x v="8"/>
    <x v="0"/>
    <x v="0"/>
    <x v="0"/>
    <x v="3"/>
    <x v="0"/>
    <x v="1"/>
    <x v="1"/>
    <x v="0"/>
    <x v="0"/>
    <x v="0"/>
    <x v="9"/>
    <x v="18"/>
    <x v="16"/>
    <x v="6"/>
    <x v="4"/>
    <x v="176"/>
    <x v="168"/>
    <x v="558"/>
    <x v="378"/>
    <x v="586"/>
    <x v="1"/>
    <x v="1"/>
    <x v="2"/>
  </r>
  <r>
    <x v="32"/>
    <x v="15"/>
    <x v="0"/>
    <x v="0"/>
    <x v="0"/>
    <x v="3"/>
    <x v="0"/>
    <x v="1"/>
    <x v="1"/>
    <x v="1"/>
    <x v="2"/>
    <x v="4"/>
    <x v="0"/>
    <x v="0"/>
    <x v="21"/>
    <x v="15"/>
    <x v="10"/>
    <x v="453"/>
    <x v="399"/>
    <x v="365"/>
    <x v="981"/>
    <x v="969"/>
    <x v="1"/>
    <x v="1"/>
    <x v="2"/>
  </r>
  <r>
    <x v="33"/>
    <x v="22"/>
    <x v="0"/>
    <x v="0"/>
    <x v="0"/>
    <x v="3"/>
    <x v="0"/>
    <x v="1"/>
    <x v="1"/>
    <x v="0"/>
    <x v="2"/>
    <x v="4"/>
    <x v="0"/>
    <x v="0"/>
    <x v="7"/>
    <x v="15"/>
    <x v="10"/>
    <x v="160"/>
    <x v="142"/>
    <x v="517"/>
    <x v="344"/>
    <x v="702"/>
    <x v="1"/>
    <x v="1"/>
    <x v="2"/>
  </r>
  <r>
    <x v="34"/>
    <x v="2"/>
    <x v="0"/>
    <x v="0"/>
    <x v="0"/>
    <x v="3"/>
    <x v="0"/>
    <x v="1"/>
    <x v="1"/>
    <x v="1"/>
    <x v="2"/>
    <x v="4"/>
    <x v="4"/>
    <x v="8"/>
    <x v="18"/>
    <x v="9"/>
    <x v="7"/>
    <x v="290"/>
    <x v="275"/>
    <x v="189"/>
    <x v="607"/>
    <x v="680"/>
    <x v="1"/>
    <x v="1"/>
    <x v="2"/>
  </r>
  <r>
    <x v="35"/>
    <x v="9"/>
    <x v="0"/>
    <x v="0"/>
    <x v="0"/>
    <x v="3"/>
    <x v="0"/>
    <x v="1"/>
    <x v="1"/>
    <x v="0"/>
    <x v="2"/>
    <x v="4"/>
    <x v="4"/>
    <x v="8"/>
    <x v="8"/>
    <x v="9"/>
    <x v="7"/>
    <x v="101"/>
    <x v="107"/>
    <x v="395"/>
    <x v="194"/>
    <x v="433"/>
    <x v="1"/>
    <x v="1"/>
    <x v="2"/>
  </r>
  <r>
    <x v="36"/>
    <x v="16"/>
    <x v="0"/>
    <x v="0"/>
    <x v="0"/>
    <x v="3"/>
    <x v="0"/>
    <x v="1"/>
    <x v="1"/>
    <x v="1"/>
    <x v="1"/>
    <x v="2"/>
    <x v="7"/>
    <x v="14"/>
    <x v="25"/>
    <x v="18"/>
    <x v="12"/>
    <x v="540"/>
    <x v="497"/>
    <x v="479"/>
    <x v="1060"/>
    <x v="512"/>
    <x v="0"/>
    <x v="1"/>
    <x v="0"/>
  </r>
  <r>
    <x v="37"/>
    <x v="23"/>
    <x v="0"/>
    <x v="0"/>
    <x v="0"/>
    <x v="3"/>
    <x v="0"/>
    <x v="1"/>
    <x v="1"/>
    <x v="0"/>
    <x v="1"/>
    <x v="2"/>
    <x v="7"/>
    <x v="14"/>
    <x v="10"/>
    <x v="18"/>
    <x v="12"/>
    <x v="262"/>
    <x v="259"/>
    <x v="680"/>
    <x v="480"/>
    <x v="319"/>
    <x v="1"/>
    <x v="1"/>
    <x v="2"/>
  </r>
  <r>
    <x v="38"/>
    <x v="3"/>
    <x v="0"/>
    <x v="0"/>
    <x v="0"/>
    <x v="3"/>
    <x v="0"/>
    <x v="1"/>
    <x v="1"/>
    <x v="1"/>
    <x v="1"/>
    <x v="2"/>
    <x v="6"/>
    <x v="12"/>
    <x v="26"/>
    <x v="3"/>
    <x v="2"/>
    <x v="136"/>
    <x v="115"/>
    <x v="65"/>
    <x v="356"/>
    <x v="1119"/>
    <x v="1"/>
    <x v="1"/>
    <x v="2"/>
  </r>
  <r>
    <x v="39"/>
    <x v="10"/>
    <x v="0"/>
    <x v="0"/>
    <x v="0"/>
    <x v="3"/>
    <x v="0"/>
    <x v="1"/>
    <x v="1"/>
    <x v="0"/>
    <x v="1"/>
    <x v="2"/>
    <x v="6"/>
    <x v="12"/>
    <x v="9"/>
    <x v="3"/>
    <x v="2"/>
    <x v="13"/>
    <x v="16"/>
    <x v="129"/>
    <x v="40"/>
    <x v="902"/>
    <x v="1"/>
    <x v="1"/>
    <x v="2"/>
  </r>
  <r>
    <x v="40"/>
    <x v="17"/>
    <x v="0"/>
    <x v="0"/>
    <x v="0"/>
    <x v="3"/>
    <x v="0"/>
    <x v="3"/>
    <x v="3"/>
    <x v="1"/>
    <x v="3"/>
    <x v="6"/>
    <x v="1"/>
    <x v="2"/>
    <x v="4"/>
    <x v="25"/>
    <x v="16"/>
    <x v="739"/>
    <x v="671"/>
    <x v="809"/>
    <x v="1363"/>
    <x v="288"/>
    <x v="0"/>
    <x v="1"/>
    <x v="0"/>
  </r>
  <r>
    <x v="41"/>
    <x v="24"/>
    <x v="0"/>
    <x v="0"/>
    <x v="0"/>
    <x v="3"/>
    <x v="0"/>
    <x v="3"/>
    <x v="3"/>
    <x v="0"/>
    <x v="3"/>
    <x v="6"/>
    <x v="1"/>
    <x v="2"/>
    <x v="1"/>
    <x v="25"/>
    <x v="16"/>
    <x v="548"/>
    <x v="519"/>
    <x v="1032"/>
    <x v="946"/>
    <x v="169"/>
    <x v="1"/>
    <x v="1"/>
    <x v="0"/>
  </r>
  <r>
    <x v="42"/>
    <x v="4"/>
    <x v="0"/>
    <x v="0"/>
    <x v="0"/>
    <x v="3"/>
    <x v="0"/>
    <x v="3"/>
    <x v="3"/>
    <x v="1"/>
    <x v="3"/>
    <x v="6"/>
    <x v="2"/>
    <x v="4"/>
    <x v="5"/>
    <x v="22"/>
    <x v="14"/>
    <x v="500"/>
    <x v="476"/>
    <x v="426"/>
    <x v="942"/>
    <x v="382"/>
    <x v="0"/>
    <x v="1"/>
    <x v="0"/>
  </r>
  <r>
    <x v="43"/>
    <x v="11"/>
    <x v="0"/>
    <x v="0"/>
    <x v="0"/>
    <x v="3"/>
    <x v="0"/>
    <x v="3"/>
    <x v="3"/>
    <x v="0"/>
    <x v="3"/>
    <x v="6"/>
    <x v="2"/>
    <x v="4"/>
    <x v="1"/>
    <x v="22"/>
    <x v="14"/>
    <x v="220"/>
    <x v="229"/>
    <x v="621"/>
    <x v="360"/>
    <x v="220"/>
    <x v="1"/>
    <x v="1"/>
    <x v="2"/>
  </r>
  <r>
    <x v="44"/>
    <x v="18"/>
    <x v="0"/>
    <x v="0"/>
    <x v="0"/>
    <x v="3"/>
    <x v="0"/>
    <x v="3"/>
    <x v="3"/>
    <x v="1"/>
    <x v="3"/>
    <x v="6"/>
    <x v="5"/>
    <x v="10"/>
    <x v="5"/>
    <x v="28"/>
    <x v="18"/>
    <x v="808"/>
    <x v="731"/>
    <x v="1007"/>
    <x v="1458"/>
    <x v="105"/>
    <x v="1"/>
    <x v="1"/>
    <x v="0"/>
  </r>
  <r>
    <x v="45"/>
    <x v="25"/>
    <x v="0"/>
    <x v="0"/>
    <x v="0"/>
    <x v="3"/>
    <x v="0"/>
    <x v="3"/>
    <x v="3"/>
    <x v="0"/>
    <x v="3"/>
    <x v="6"/>
    <x v="5"/>
    <x v="10"/>
    <x v="1"/>
    <x v="28"/>
    <x v="18"/>
    <x v="644"/>
    <x v="623"/>
    <x v="1118"/>
    <x v="1023"/>
    <x v="62"/>
    <x v="2"/>
    <x v="1"/>
    <x v="0"/>
  </r>
  <r>
    <x v="46"/>
    <x v="5"/>
    <x v="0"/>
    <x v="0"/>
    <x v="0"/>
    <x v="3"/>
    <x v="0"/>
    <x v="3"/>
    <x v="3"/>
    <x v="1"/>
    <x v="0"/>
    <x v="0"/>
    <x v="3"/>
    <x v="6"/>
    <x v="30"/>
    <x v="0"/>
    <x v="0"/>
    <x v="114"/>
    <x v="87"/>
    <x v="52"/>
    <x v="334"/>
    <x v="1241"/>
    <x v="1"/>
    <x v="1"/>
    <x v="2"/>
  </r>
  <r>
    <x v="47"/>
    <x v="12"/>
    <x v="0"/>
    <x v="0"/>
    <x v="0"/>
    <x v="3"/>
    <x v="0"/>
    <x v="3"/>
    <x v="3"/>
    <x v="0"/>
    <x v="0"/>
    <x v="0"/>
    <x v="3"/>
    <x v="6"/>
    <x v="10"/>
    <x v="0"/>
    <x v="0"/>
    <x v="8"/>
    <x v="9"/>
    <x v="99"/>
    <x v="31"/>
    <x v="1123"/>
    <x v="1"/>
    <x v="1"/>
    <x v="2"/>
  </r>
  <r>
    <x v="48"/>
    <x v="19"/>
    <x v="0"/>
    <x v="0"/>
    <x v="0"/>
    <x v="3"/>
    <x v="0"/>
    <x v="3"/>
    <x v="3"/>
    <x v="1"/>
    <x v="0"/>
    <x v="0"/>
    <x v="8"/>
    <x v="16"/>
    <x v="34"/>
    <x v="12"/>
    <x v="6"/>
    <x v="532"/>
    <x v="448"/>
    <x v="465"/>
    <x v="1157"/>
    <x v="1166"/>
    <x v="0"/>
    <x v="1"/>
    <x v="0"/>
  </r>
  <r>
    <x v="49"/>
    <x v="26"/>
    <x v="0"/>
    <x v="0"/>
    <x v="0"/>
    <x v="3"/>
    <x v="0"/>
    <x v="3"/>
    <x v="3"/>
    <x v="0"/>
    <x v="0"/>
    <x v="0"/>
    <x v="8"/>
    <x v="16"/>
    <x v="11"/>
    <x v="12"/>
    <x v="6"/>
    <x v="196"/>
    <x v="161"/>
    <x v="587"/>
    <x v="463"/>
    <x v="933"/>
    <x v="1"/>
    <x v="1"/>
    <x v="2"/>
  </r>
  <r>
    <x v="50"/>
    <x v="6"/>
    <x v="0"/>
    <x v="0"/>
    <x v="0"/>
    <x v="3"/>
    <x v="0"/>
    <x v="3"/>
    <x v="3"/>
    <x v="1"/>
    <x v="0"/>
    <x v="0"/>
    <x v="9"/>
    <x v="18"/>
    <x v="31"/>
    <x v="6"/>
    <x v="4"/>
    <x v="368"/>
    <x v="327"/>
    <x v="252"/>
    <x v="802"/>
    <x v="835"/>
    <x v="1"/>
    <x v="1"/>
    <x v="2"/>
  </r>
  <r>
    <x v="51"/>
    <x v="13"/>
    <x v="0"/>
    <x v="0"/>
    <x v="0"/>
    <x v="3"/>
    <x v="0"/>
    <x v="3"/>
    <x v="3"/>
    <x v="0"/>
    <x v="0"/>
    <x v="0"/>
    <x v="9"/>
    <x v="18"/>
    <x v="11"/>
    <x v="6"/>
    <x v="4"/>
    <x v="100"/>
    <x v="101"/>
    <x v="394"/>
    <x v="213"/>
    <x v="589"/>
    <x v="1"/>
    <x v="1"/>
    <x v="2"/>
  </r>
  <r>
    <x v="52"/>
    <x v="20"/>
    <x v="0"/>
    <x v="0"/>
    <x v="0"/>
    <x v="3"/>
    <x v="0"/>
    <x v="3"/>
    <x v="3"/>
    <x v="1"/>
    <x v="2"/>
    <x v="4"/>
    <x v="0"/>
    <x v="0"/>
    <x v="15"/>
    <x v="15"/>
    <x v="10"/>
    <x v="351"/>
    <x v="300"/>
    <x v="237"/>
    <x v="794"/>
    <x v="971"/>
    <x v="1"/>
    <x v="1"/>
    <x v="2"/>
  </r>
  <r>
    <x v="53"/>
    <x v="0"/>
    <x v="0"/>
    <x v="0"/>
    <x v="0"/>
    <x v="3"/>
    <x v="0"/>
    <x v="3"/>
    <x v="3"/>
    <x v="0"/>
    <x v="2"/>
    <x v="4"/>
    <x v="0"/>
    <x v="0"/>
    <x v="4"/>
    <x v="15"/>
    <x v="10"/>
    <x v="76"/>
    <x v="70"/>
    <x v="321"/>
    <x v="165"/>
    <x v="699"/>
    <x v="1"/>
    <x v="1"/>
    <x v="2"/>
  </r>
  <r>
    <x v="54"/>
    <x v="7"/>
    <x v="0"/>
    <x v="0"/>
    <x v="0"/>
    <x v="3"/>
    <x v="0"/>
    <x v="3"/>
    <x v="3"/>
    <x v="1"/>
    <x v="2"/>
    <x v="4"/>
    <x v="4"/>
    <x v="8"/>
    <x v="14"/>
    <x v="9"/>
    <x v="7"/>
    <x v="222"/>
    <x v="213"/>
    <x v="130"/>
    <x v="478"/>
    <x v="683"/>
    <x v="1"/>
    <x v="1"/>
    <x v="2"/>
  </r>
  <r>
    <x v="55"/>
    <x v="14"/>
    <x v="0"/>
    <x v="0"/>
    <x v="0"/>
    <x v="3"/>
    <x v="0"/>
    <x v="3"/>
    <x v="3"/>
    <x v="0"/>
    <x v="2"/>
    <x v="4"/>
    <x v="4"/>
    <x v="8"/>
    <x v="3"/>
    <x v="9"/>
    <x v="7"/>
    <x v="18"/>
    <x v="28"/>
    <x v="149"/>
    <x v="36"/>
    <x v="439"/>
    <x v="1"/>
    <x v="1"/>
    <x v="2"/>
  </r>
  <r>
    <x v="56"/>
    <x v="21"/>
    <x v="0"/>
    <x v="0"/>
    <x v="0"/>
    <x v="3"/>
    <x v="0"/>
    <x v="3"/>
    <x v="3"/>
    <x v="1"/>
    <x v="1"/>
    <x v="2"/>
    <x v="7"/>
    <x v="14"/>
    <x v="21"/>
    <x v="18"/>
    <x v="12"/>
    <x v="482"/>
    <x v="451"/>
    <x v="396"/>
    <x v="944"/>
    <x v="521"/>
    <x v="1"/>
    <x v="1"/>
    <x v="2"/>
  </r>
  <r>
    <x v="57"/>
    <x v="1"/>
    <x v="0"/>
    <x v="0"/>
    <x v="0"/>
    <x v="3"/>
    <x v="0"/>
    <x v="3"/>
    <x v="3"/>
    <x v="0"/>
    <x v="1"/>
    <x v="2"/>
    <x v="7"/>
    <x v="14"/>
    <x v="5"/>
    <x v="18"/>
    <x v="12"/>
    <x v="118"/>
    <x v="126"/>
    <x v="429"/>
    <x v="205"/>
    <x v="314"/>
    <x v="1"/>
    <x v="1"/>
    <x v="2"/>
  </r>
  <r>
    <x v="58"/>
    <x v="8"/>
    <x v="0"/>
    <x v="0"/>
    <x v="0"/>
    <x v="3"/>
    <x v="0"/>
    <x v="3"/>
    <x v="3"/>
    <x v="1"/>
    <x v="1"/>
    <x v="2"/>
    <x v="6"/>
    <x v="12"/>
    <x v="16"/>
    <x v="3"/>
    <x v="2"/>
    <x v="54"/>
    <x v="51"/>
    <x v="14"/>
    <x v="155"/>
    <x v="1111"/>
    <x v="1"/>
    <x v="1"/>
    <x v="2"/>
  </r>
  <r>
    <x v="59"/>
    <x v="15"/>
    <x v="0"/>
    <x v="0"/>
    <x v="0"/>
    <x v="3"/>
    <x v="0"/>
    <x v="3"/>
    <x v="3"/>
    <x v="0"/>
    <x v="1"/>
    <x v="2"/>
    <x v="6"/>
    <x v="12"/>
    <x v="6"/>
    <x v="3"/>
    <x v="2"/>
    <x v="5"/>
    <x v="6"/>
    <x v="65"/>
    <x v="12"/>
    <x v="907"/>
    <x v="2"/>
    <x v="1"/>
    <x v="1"/>
  </r>
  <r>
    <x v="60"/>
    <x v="22"/>
    <x v="0"/>
    <x v="0"/>
    <x v="0"/>
    <x v="3"/>
    <x v="0"/>
    <x v="2"/>
    <x v="2"/>
    <x v="1"/>
    <x v="3"/>
    <x v="6"/>
    <x v="1"/>
    <x v="2"/>
    <x v="3"/>
    <x v="25"/>
    <x v="16"/>
    <x v="697"/>
    <x v="645"/>
    <x v="720"/>
    <x v="1280"/>
    <x v="286"/>
    <x v="0"/>
    <x v="1"/>
    <x v="0"/>
  </r>
  <r>
    <x v="61"/>
    <x v="2"/>
    <x v="0"/>
    <x v="0"/>
    <x v="0"/>
    <x v="3"/>
    <x v="0"/>
    <x v="2"/>
    <x v="2"/>
    <x v="0"/>
    <x v="3"/>
    <x v="6"/>
    <x v="1"/>
    <x v="2"/>
    <x v="0"/>
    <x v="25"/>
    <x v="16"/>
    <x v="407"/>
    <x v="404"/>
    <x v="868"/>
    <x v="693"/>
    <x v="172"/>
    <x v="1"/>
    <x v="1"/>
    <x v="2"/>
  </r>
  <r>
    <x v="62"/>
    <x v="9"/>
    <x v="0"/>
    <x v="0"/>
    <x v="0"/>
    <x v="3"/>
    <x v="0"/>
    <x v="2"/>
    <x v="2"/>
    <x v="1"/>
    <x v="3"/>
    <x v="6"/>
    <x v="2"/>
    <x v="4"/>
    <x v="3"/>
    <x v="22"/>
    <x v="14"/>
    <x v="384"/>
    <x v="374"/>
    <x v="273"/>
    <x v="729"/>
    <x v="378"/>
    <x v="1"/>
    <x v="1"/>
    <x v="2"/>
  </r>
  <r>
    <x v="63"/>
    <x v="16"/>
    <x v="0"/>
    <x v="0"/>
    <x v="0"/>
    <x v="3"/>
    <x v="0"/>
    <x v="2"/>
    <x v="2"/>
    <x v="0"/>
    <x v="3"/>
    <x v="6"/>
    <x v="2"/>
    <x v="4"/>
    <x v="0"/>
    <x v="22"/>
    <x v="14"/>
    <x v="116"/>
    <x v="132"/>
    <x v="426"/>
    <x v="172"/>
    <x v="222"/>
    <x v="1"/>
    <x v="1"/>
    <x v="2"/>
  </r>
  <r>
    <x v="64"/>
    <x v="23"/>
    <x v="0"/>
    <x v="0"/>
    <x v="0"/>
    <x v="3"/>
    <x v="0"/>
    <x v="2"/>
    <x v="2"/>
    <x v="1"/>
    <x v="3"/>
    <x v="6"/>
    <x v="5"/>
    <x v="10"/>
    <x v="5"/>
    <x v="28"/>
    <x v="18"/>
    <x v="808"/>
    <x v="731"/>
    <x v="1007"/>
    <x v="1458"/>
    <x v="105"/>
    <x v="1"/>
    <x v="1"/>
    <x v="0"/>
  </r>
  <r>
    <x v="65"/>
    <x v="3"/>
    <x v="0"/>
    <x v="0"/>
    <x v="0"/>
    <x v="3"/>
    <x v="0"/>
    <x v="2"/>
    <x v="2"/>
    <x v="0"/>
    <x v="3"/>
    <x v="6"/>
    <x v="5"/>
    <x v="10"/>
    <x v="0"/>
    <x v="28"/>
    <x v="18"/>
    <x v="517"/>
    <x v="521"/>
    <x v="1007"/>
    <x v="764"/>
    <x v="59"/>
    <x v="2"/>
    <x v="1"/>
    <x v="0"/>
  </r>
  <r>
    <x v="66"/>
    <x v="10"/>
    <x v="0"/>
    <x v="0"/>
    <x v="0"/>
    <x v="3"/>
    <x v="0"/>
    <x v="2"/>
    <x v="2"/>
    <x v="1"/>
    <x v="0"/>
    <x v="0"/>
    <x v="3"/>
    <x v="6"/>
    <x v="27"/>
    <x v="0"/>
    <x v="0"/>
    <x v="95"/>
    <x v="75"/>
    <x v="41"/>
    <x v="285"/>
    <x v="1245"/>
    <x v="1"/>
    <x v="1"/>
    <x v="2"/>
  </r>
  <r>
    <x v="67"/>
    <x v="17"/>
    <x v="0"/>
    <x v="0"/>
    <x v="0"/>
    <x v="3"/>
    <x v="0"/>
    <x v="2"/>
    <x v="2"/>
    <x v="0"/>
    <x v="0"/>
    <x v="0"/>
    <x v="3"/>
    <x v="6"/>
    <x v="9"/>
    <x v="0"/>
    <x v="0"/>
    <x v="6"/>
    <x v="7"/>
    <x v="83"/>
    <x v="24"/>
    <x v="1121"/>
    <x v="1"/>
    <x v="1"/>
    <x v="2"/>
  </r>
  <r>
    <x v="68"/>
    <x v="24"/>
    <x v="0"/>
    <x v="0"/>
    <x v="0"/>
    <x v="3"/>
    <x v="0"/>
    <x v="2"/>
    <x v="2"/>
    <x v="1"/>
    <x v="0"/>
    <x v="0"/>
    <x v="8"/>
    <x v="16"/>
    <x v="28"/>
    <x v="12"/>
    <x v="6"/>
    <x v="466"/>
    <x v="393"/>
    <x v="379"/>
    <x v="1046"/>
    <x v="1158"/>
    <x v="1"/>
    <x v="1"/>
    <x v="2"/>
  </r>
  <r>
    <x v="69"/>
    <x v="4"/>
    <x v="0"/>
    <x v="0"/>
    <x v="0"/>
    <x v="3"/>
    <x v="0"/>
    <x v="2"/>
    <x v="2"/>
    <x v="0"/>
    <x v="0"/>
    <x v="0"/>
    <x v="8"/>
    <x v="16"/>
    <x v="7"/>
    <x v="12"/>
    <x v="6"/>
    <x v="105"/>
    <x v="88"/>
    <x v="397"/>
    <x v="253"/>
    <x v="933"/>
    <x v="1"/>
    <x v="1"/>
    <x v="2"/>
  </r>
  <r>
    <x v="70"/>
    <x v="11"/>
    <x v="0"/>
    <x v="0"/>
    <x v="0"/>
    <x v="3"/>
    <x v="0"/>
    <x v="2"/>
    <x v="2"/>
    <x v="1"/>
    <x v="0"/>
    <x v="0"/>
    <x v="9"/>
    <x v="18"/>
    <x v="26"/>
    <x v="6"/>
    <x v="4"/>
    <x v="320"/>
    <x v="281"/>
    <x v="202"/>
    <x v="695"/>
    <x v="852"/>
    <x v="1"/>
    <x v="1"/>
    <x v="2"/>
  </r>
  <r>
    <x v="71"/>
    <x v="18"/>
    <x v="0"/>
    <x v="0"/>
    <x v="0"/>
    <x v="3"/>
    <x v="0"/>
    <x v="2"/>
    <x v="2"/>
    <x v="0"/>
    <x v="0"/>
    <x v="0"/>
    <x v="9"/>
    <x v="18"/>
    <x v="10"/>
    <x v="6"/>
    <x v="4"/>
    <x v="89"/>
    <x v="84"/>
    <x v="358"/>
    <x v="182"/>
    <x v="592"/>
    <x v="1"/>
    <x v="1"/>
    <x v="2"/>
  </r>
  <r>
    <x v="72"/>
    <x v="25"/>
    <x v="0"/>
    <x v="0"/>
    <x v="0"/>
    <x v="3"/>
    <x v="0"/>
    <x v="2"/>
    <x v="2"/>
    <x v="1"/>
    <x v="2"/>
    <x v="4"/>
    <x v="0"/>
    <x v="0"/>
    <x v="9"/>
    <x v="15"/>
    <x v="10"/>
    <x v="212"/>
    <x v="190"/>
    <x v="125"/>
    <x v="504"/>
    <x v="975"/>
    <x v="1"/>
    <x v="1"/>
    <x v="2"/>
  </r>
  <r>
    <x v="73"/>
    <x v="5"/>
    <x v="0"/>
    <x v="0"/>
    <x v="0"/>
    <x v="3"/>
    <x v="0"/>
    <x v="2"/>
    <x v="2"/>
    <x v="0"/>
    <x v="2"/>
    <x v="4"/>
    <x v="0"/>
    <x v="0"/>
    <x v="2"/>
    <x v="15"/>
    <x v="10"/>
    <x v="28"/>
    <x v="32"/>
    <x v="185"/>
    <x v="61"/>
    <x v="699"/>
    <x v="1"/>
    <x v="1"/>
    <x v="2"/>
  </r>
  <r>
    <x v="74"/>
    <x v="12"/>
    <x v="0"/>
    <x v="0"/>
    <x v="0"/>
    <x v="3"/>
    <x v="0"/>
    <x v="2"/>
    <x v="2"/>
    <x v="1"/>
    <x v="2"/>
    <x v="4"/>
    <x v="4"/>
    <x v="8"/>
    <x v="9"/>
    <x v="9"/>
    <x v="7"/>
    <x v="121"/>
    <x v="124"/>
    <x v="60"/>
    <x v="262"/>
    <x v="670"/>
    <x v="1"/>
    <x v="1"/>
    <x v="2"/>
  </r>
  <r>
    <x v="75"/>
    <x v="19"/>
    <x v="0"/>
    <x v="0"/>
    <x v="0"/>
    <x v="3"/>
    <x v="0"/>
    <x v="2"/>
    <x v="2"/>
    <x v="0"/>
    <x v="2"/>
    <x v="4"/>
    <x v="4"/>
    <x v="8"/>
    <x v="3"/>
    <x v="9"/>
    <x v="7"/>
    <x v="18"/>
    <x v="28"/>
    <x v="149"/>
    <x v="36"/>
    <x v="439"/>
    <x v="1"/>
    <x v="1"/>
    <x v="2"/>
  </r>
  <r>
    <x v="76"/>
    <x v="26"/>
    <x v="0"/>
    <x v="0"/>
    <x v="0"/>
    <x v="3"/>
    <x v="0"/>
    <x v="2"/>
    <x v="2"/>
    <x v="1"/>
    <x v="1"/>
    <x v="2"/>
    <x v="7"/>
    <x v="14"/>
    <x v="13"/>
    <x v="18"/>
    <x v="12"/>
    <x v="342"/>
    <x v="319"/>
    <x v="223"/>
    <x v="675"/>
    <x v="522"/>
    <x v="1"/>
    <x v="1"/>
    <x v="2"/>
  </r>
  <r>
    <x v="77"/>
    <x v="6"/>
    <x v="0"/>
    <x v="0"/>
    <x v="0"/>
    <x v="3"/>
    <x v="0"/>
    <x v="2"/>
    <x v="2"/>
    <x v="0"/>
    <x v="1"/>
    <x v="2"/>
    <x v="7"/>
    <x v="14"/>
    <x v="4"/>
    <x v="18"/>
    <x v="12"/>
    <x v="89"/>
    <x v="96"/>
    <x v="358"/>
    <x v="136"/>
    <x v="321"/>
    <x v="1"/>
    <x v="1"/>
    <x v="2"/>
  </r>
  <r>
    <x v="78"/>
    <x v="13"/>
    <x v="0"/>
    <x v="0"/>
    <x v="0"/>
    <x v="3"/>
    <x v="0"/>
    <x v="2"/>
    <x v="2"/>
    <x v="1"/>
    <x v="1"/>
    <x v="2"/>
    <x v="6"/>
    <x v="12"/>
    <x v="16"/>
    <x v="3"/>
    <x v="2"/>
    <x v="54"/>
    <x v="51"/>
    <x v="14"/>
    <x v="155"/>
    <x v="1111"/>
    <x v="1"/>
    <x v="1"/>
    <x v="2"/>
  </r>
  <r>
    <x v="79"/>
    <x v="20"/>
    <x v="0"/>
    <x v="0"/>
    <x v="0"/>
    <x v="3"/>
    <x v="0"/>
    <x v="2"/>
    <x v="2"/>
    <x v="0"/>
    <x v="1"/>
    <x v="2"/>
    <x v="6"/>
    <x v="12"/>
    <x v="4"/>
    <x v="3"/>
    <x v="2"/>
    <x v="1"/>
    <x v="1"/>
    <x v="28"/>
    <x v="4"/>
    <x v="907"/>
    <x v="2"/>
    <x v="1"/>
    <x v="1"/>
  </r>
  <r>
    <x v="80"/>
    <x v="0"/>
    <x v="0"/>
    <x v="0"/>
    <x v="0"/>
    <x v="3"/>
    <x v="0"/>
    <x v="4"/>
    <x v="4"/>
    <x v="1"/>
    <x v="3"/>
    <x v="6"/>
    <x v="1"/>
    <x v="2"/>
    <x v="4"/>
    <x v="25"/>
    <x v="16"/>
    <x v="739"/>
    <x v="671"/>
    <x v="809"/>
    <x v="1363"/>
    <x v="288"/>
    <x v="0"/>
    <x v="1"/>
    <x v="0"/>
  </r>
  <r>
    <x v="81"/>
    <x v="7"/>
    <x v="0"/>
    <x v="0"/>
    <x v="0"/>
    <x v="3"/>
    <x v="0"/>
    <x v="4"/>
    <x v="4"/>
    <x v="0"/>
    <x v="3"/>
    <x v="6"/>
    <x v="1"/>
    <x v="2"/>
    <x v="0"/>
    <x v="25"/>
    <x v="16"/>
    <x v="407"/>
    <x v="404"/>
    <x v="868"/>
    <x v="693"/>
    <x v="172"/>
    <x v="1"/>
    <x v="1"/>
    <x v="2"/>
  </r>
  <r>
    <x v="82"/>
    <x v="14"/>
    <x v="0"/>
    <x v="0"/>
    <x v="0"/>
    <x v="3"/>
    <x v="0"/>
    <x v="4"/>
    <x v="4"/>
    <x v="1"/>
    <x v="3"/>
    <x v="6"/>
    <x v="2"/>
    <x v="4"/>
    <x v="3"/>
    <x v="22"/>
    <x v="14"/>
    <x v="384"/>
    <x v="374"/>
    <x v="273"/>
    <x v="729"/>
    <x v="378"/>
    <x v="1"/>
    <x v="1"/>
    <x v="2"/>
  </r>
  <r>
    <x v="83"/>
    <x v="21"/>
    <x v="0"/>
    <x v="0"/>
    <x v="0"/>
    <x v="3"/>
    <x v="0"/>
    <x v="4"/>
    <x v="4"/>
    <x v="0"/>
    <x v="3"/>
    <x v="6"/>
    <x v="2"/>
    <x v="4"/>
    <x v="0"/>
    <x v="22"/>
    <x v="14"/>
    <x v="116"/>
    <x v="132"/>
    <x v="426"/>
    <x v="172"/>
    <x v="222"/>
    <x v="1"/>
    <x v="1"/>
    <x v="2"/>
  </r>
  <r>
    <x v="84"/>
    <x v="1"/>
    <x v="0"/>
    <x v="0"/>
    <x v="0"/>
    <x v="3"/>
    <x v="0"/>
    <x v="4"/>
    <x v="4"/>
    <x v="1"/>
    <x v="3"/>
    <x v="6"/>
    <x v="5"/>
    <x v="10"/>
    <x v="5"/>
    <x v="28"/>
    <x v="18"/>
    <x v="808"/>
    <x v="731"/>
    <x v="1007"/>
    <x v="1458"/>
    <x v="105"/>
    <x v="1"/>
    <x v="1"/>
    <x v="0"/>
  </r>
  <r>
    <x v="85"/>
    <x v="8"/>
    <x v="0"/>
    <x v="0"/>
    <x v="0"/>
    <x v="3"/>
    <x v="0"/>
    <x v="4"/>
    <x v="4"/>
    <x v="0"/>
    <x v="3"/>
    <x v="6"/>
    <x v="5"/>
    <x v="10"/>
    <x v="0"/>
    <x v="28"/>
    <x v="18"/>
    <x v="517"/>
    <x v="521"/>
    <x v="1007"/>
    <x v="764"/>
    <x v="59"/>
    <x v="2"/>
    <x v="1"/>
    <x v="0"/>
  </r>
  <r>
    <x v="86"/>
    <x v="15"/>
    <x v="0"/>
    <x v="0"/>
    <x v="0"/>
    <x v="3"/>
    <x v="0"/>
    <x v="4"/>
    <x v="4"/>
    <x v="1"/>
    <x v="0"/>
    <x v="0"/>
    <x v="3"/>
    <x v="6"/>
    <x v="21"/>
    <x v="0"/>
    <x v="0"/>
    <x v="57"/>
    <x v="47"/>
    <x v="16"/>
    <x v="190"/>
    <x v="1256"/>
    <x v="1"/>
    <x v="1"/>
    <x v="2"/>
  </r>
  <r>
    <x v="87"/>
    <x v="22"/>
    <x v="0"/>
    <x v="0"/>
    <x v="0"/>
    <x v="3"/>
    <x v="0"/>
    <x v="4"/>
    <x v="4"/>
    <x v="0"/>
    <x v="0"/>
    <x v="0"/>
    <x v="3"/>
    <x v="6"/>
    <x v="8"/>
    <x v="0"/>
    <x v="0"/>
    <x v="5"/>
    <x v="5"/>
    <x v="65"/>
    <x v="16"/>
    <x v="1129"/>
    <x v="2"/>
    <x v="1"/>
    <x v="1"/>
  </r>
  <r>
    <x v="88"/>
    <x v="2"/>
    <x v="0"/>
    <x v="0"/>
    <x v="0"/>
    <x v="3"/>
    <x v="0"/>
    <x v="4"/>
    <x v="4"/>
    <x v="1"/>
    <x v="0"/>
    <x v="0"/>
    <x v="8"/>
    <x v="16"/>
    <x v="27"/>
    <x v="12"/>
    <x v="6"/>
    <x v="452"/>
    <x v="383"/>
    <x v="364"/>
    <x v="1018"/>
    <x v="1163"/>
    <x v="1"/>
    <x v="1"/>
    <x v="2"/>
  </r>
  <r>
    <x v="89"/>
    <x v="9"/>
    <x v="0"/>
    <x v="0"/>
    <x v="0"/>
    <x v="3"/>
    <x v="0"/>
    <x v="4"/>
    <x v="4"/>
    <x v="0"/>
    <x v="0"/>
    <x v="0"/>
    <x v="8"/>
    <x v="16"/>
    <x v="8"/>
    <x v="12"/>
    <x v="6"/>
    <x v="126"/>
    <x v="106"/>
    <x v="446"/>
    <x v="314"/>
    <x v="933"/>
    <x v="1"/>
    <x v="1"/>
    <x v="2"/>
  </r>
  <r>
    <x v="90"/>
    <x v="16"/>
    <x v="0"/>
    <x v="0"/>
    <x v="0"/>
    <x v="3"/>
    <x v="0"/>
    <x v="4"/>
    <x v="4"/>
    <x v="1"/>
    <x v="0"/>
    <x v="0"/>
    <x v="9"/>
    <x v="18"/>
    <x v="23"/>
    <x v="6"/>
    <x v="4"/>
    <x v="277"/>
    <x v="250"/>
    <x v="178"/>
    <x v="610"/>
    <x v="843"/>
    <x v="1"/>
    <x v="1"/>
    <x v="2"/>
  </r>
  <r>
    <x v="91"/>
    <x v="23"/>
    <x v="0"/>
    <x v="0"/>
    <x v="0"/>
    <x v="3"/>
    <x v="0"/>
    <x v="4"/>
    <x v="4"/>
    <x v="0"/>
    <x v="0"/>
    <x v="0"/>
    <x v="9"/>
    <x v="18"/>
    <x v="9"/>
    <x v="6"/>
    <x v="4"/>
    <x v="73"/>
    <x v="74"/>
    <x v="318"/>
    <x v="145"/>
    <x v="588"/>
    <x v="1"/>
    <x v="1"/>
    <x v="2"/>
  </r>
  <r>
    <x v="92"/>
    <x v="3"/>
    <x v="0"/>
    <x v="0"/>
    <x v="0"/>
    <x v="3"/>
    <x v="0"/>
    <x v="4"/>
    <x v="4"/>
    <x v="1"/>
    <x v="2"/>
    <x v="4"/>
    <x v="0"/>
    <x v="0"/>
    <x v="10"/>
    <x v="15"/>
    <x v="10"/>
    <x v="237"/>
    <x v="208"/>
    <x v="142"/>
    <x v="561"/>
    <x v="976"/>
    <x v="1"/>
    <x v="1"/>
    <x v="2"/>
  </r>
  <r>
    <x v="93"/>
    <x v="10"/>
    <x v="0"/>
    <x v="0"/>
    <x v="0"/>
    <x v="3"/>
    <x v="0"/>
    <x v="4"/>
    <x v="4"/>
    <x v="0"/>
    <x v="2"/>
    <x v="4"/>
    <x v="0"/>
    <x v="0"/>
    <x v="3"/>
    <x v="15"/>
    <x v="10"/>
    <x v="48"/>
    <x v="49"/>
    <x v="242"/>
    <x v="108"/>
    <x v="699"/>
    <x v="1"/>
    <x v="1"/>
    <x v="2"/>
  </r>
  <r>
    <x v="94"/>
    <x v="17"/>
    <x v="0"/>
    <x v="0"/>
    <x v="0"/>
    <x v="3"/>
    <x v="0"/>
    <x v="4"/>
    <x v="4"/>
    <x v="1"/>
    <x v="2"/>
    <x v="4"/>
    <x v="4"/>
    <x v="8"/>
    <x v="9"/>
    <x v="9"/>
    <x v="7"/>
    <x v="121"/>
    <x v="124"/>
    <x v="60"/>
    <x v="262"/>
    <x v="670"/>
    <x v="1"/>
    <x v="1"/>
    <x v="2"/>
  </r>
  <r>
    <x v="95"/>
    <x v="24"/>
    <x v="0"/>
    <x v="0"/>
    <x v="0"/>
    <x v="3"/>
    <x v="0"/>
    <x v="4"/>
    <x v="4"/>
    <x v="0"/>
    <x v="2"/>
    <x v="4"/>
    <x v="4"/>
    <x v="8"/>
    <x v="2"/>
    <x v="9"/>
    <x v="7"/>
    <x v="9"/>
    <x v="14"/>
    <x v="101"/>
    <x v="14"/>
    <x v="440"/>
    <x v="1"/>
    <x v="1"/>
    <x v="2"/>
  </r>
  <r>
    <x v="96"/>
    <x v="4"/>
    <x v="0"/>
    <x v="0"/>
    <x v="0"/>
    <x v="3"/>
    <x v="0"/>
    <x v="4"/>
    <x v="4"/>
    <x v="1"/>
    <x v="1"/>
    <x v="2"/>
    <x v="7"/>
    <x v="14"/>
    <x v="12"/>
    <x v="18"/>
    <x v="12"/>
    <x v="320"/>
    <x v="298"/>
    <x v="202"/>
    <x v="624"/>
    <x v="524"/>
    <x v="1"/>
    <x v="1"/>
    <x v="2"/>
  </r>
  <r>
    <x v="97"/>
    <x v="11"/>
    <x v="0"/>
    <x v="0"/>
    <x v="0"/>
    <x v="3"/>
    <x v="0"/>
    <x v="4"/>
    <x v="4"/>
    <x v="0"/>
    <x v="1"/>
    <x v="2"/>
    <x v="7"/>
    <x v="14"/>
    <x v="4"/>
    <x v="18"/>
    <x v="12"/>
    <x v="89"/>
    <x v="96"/>
    <x v="358"/>
    <x v="136"/>
    <x v="321"/>
    <x v="1"/>
    <x v="1"/>
    <x v="2"/>
  </r>
  <r>
    <x v="98"/>
    <x v="18"/>
    <x v="0"/>
    <x v="0"/>
    <x v="0"/>
    <x v="3"/>
    <x v="0"/>
    <x v="4"/>
    <x v="4"/>
    <x v="1"/>
    <x v="1"/>
    <x v="2"/>
    <x v="6"/>
    <x v="12"/>
    <x v="12"/>
    <x v="3"/>
    <x v="2"/>
    <x v="30"/>
    <x v="31"/>
    <x v="1"/>
    <x v="87"/>
    <x v="1119"/>
    <x v="1"/>
    <x v="1"/>
    <x v="2"/>
  </r>
  <r>
    <x v="99"/>
    <x v="25"/>
    <x v="0"/>
    <x v="0"/>
    <x v="0"/>
    <x v="3"/>
    <x v="0"/>
    <x v="4"/>
    <x v="4"/>
    <x v="0"/>
    <x v="1"/>
    <x v="2"/>
    <x v="6"/>
    <x v="12"/>
    <x v="4"/>
    <x v="3"/>
    <x v="2"/>
    <x v="1"/>
    <x v="1"/>
    <x v="28"/>
    <x v="4"/>
    <x v="907"/>
    <x v="2"/>
    <x v="1"/>
    <x v="1"/>
  </r>
  <r>
    <x v="100"/>
    <x v="32"/>
    <x v="0"/>
    <x v="0"/>
    <x v="1"/>
    <x v="4"/>
    <x v="1"/>
    <x v="0"/>
    <x v="0"/>
    <x v="1"/>
    <x v="3"/>
    <x v="6"/>
    <x v="1"/>
    <x v="2"/>
    <x v="16"/>
    <x v="25"/>
    <x v="16"/>
    <x v="852"/>
    <x v="756"/>
    <x v="1167"/>
    <x v="1588"/>
    <x v="283"/>
    <x v="0"/>
    <x v="1"/>
    <x v="0"/>
  </r>
  <r>
    <x v="101"/>
    <x v="39"/>
    <x v="0"/>
    <x v="0"/>
    <x v="1"/>
    <x v="4"/>
    <x v="1"/>
    <x v="0"/>
    <x v="0"/>
    <x v="0"/>
    <x v="3"/>
    <x v="6"/>
    <x v="1"/>
    <x v="2"/>
    <x v="4"/>
    <x v="25"/>
    <x v="16"/>
    <x v="739"/>
    <x v="671"/>
    <x v="1195"/>
    <x v="1319"/>
    <x v="171"/>
    <x v="1"/>
    <x v="1"/>
    <x v="0"/>
  </r>
  <r>
    <x v="102"/>
    <x v="46"/>
    <x v="0"/>
    <x v="0"/>
    <x v="1"/>
    <x v="4"/>
    <x v="1"/>
    <x v="0"/>
    <x v="0"/>
    <x v="1"/>
    <x v="3"/>
    <x v="6"/>
    <x v="2"/>
    <x v="4"/>
    <x v="14"/>
    <x v="22"/>
    <x v="14"/>
    <x v="739"/>
    <x v="668"/>
    <x v="809"/>
    <x v="1378"/>
    <x v="379"/>
    <x v="0"/>
    <x v="1"/>
    <x v="0"/>
  </r>
  <r>
    <x v="103"/>
    <x v="53"/>
    <x v="0"/>
    <x v="0"/>
    <x v="1"/>
    <x v="4"/>
    <x v="1"/>
    <x v="0"/>
    <x v="0"/>
    <x v="0"/>
    <x v="3"/>
    <x v="6"/>
    <x v="2"/>
    <x v="4"/>
    <x v="6"/>
    <x v="22"/>
    <x v="14"/>
    <x v="548"/>
    <x v="514"/>
    <x v="1032"/>
    <x v="978"/>
    <x v="221"/>
    <x v="0"/>
    <x v="1"/>
    <x v="0"/>
  </r>
  <r>
    <x v="104"/>
    <x v="33"/>
    <x v="0"/>
    <x v="0"/>
    <x v="1"/>
    <x v="4"/>
    <x v="1"/>
    <x v="0"/>
    <x v="0"/>
    <x v="1"/>
    <x v="3"/>
    <x v="6"/>
    <x v="5"/>
    <x v="10"/>
    <x v="12"/>
    <x v="28"/>
    <x v="18"/>
    <x v="856"/>
    <x v="767"/>
    <x v="1180"/>
    <x v="1576"/>
    <x v="105"/>
    <x v="1"/>
    <x v="1"/>
    <x v="0"/>
  </r>
  <r>
    <x v="105"/>
    <x v="40"/>
    <x v="0"/>
    <x v="0"/>
    <x v="1"/>
    <x v="4"/>
    <x v="1"/>
    <x v="0"/>
    <x v="0"/>
    <x v="0"/>
    <x v="3"/>
    <x v="6"/>
    <x v="5"/>
    <x v="10"/>
    <x v="4"/>
    <x v="28"/>
    <x v="18"/>
    <x v="793"/>
    <x v="724"/>
    <x v="1250"/>
    <x v="1372"/>
    <x v="62"/>
    <x v="2"/>
    <x v="1"/>
    <x v="0"/>
  </r>
  <r>
    <x v="106"/>
    <x v="47"/>
    <x v="0"/>
    <x v="0"/>
    <x v="1"/>
    <x v="4"/>
    <x v="1"/>
    <x v="0"/>
    <x v="0"/>
    <x v="1"/>
    <x v="0"/>
    <x v="0"/>
    <x v="3"/>
    <x v="6"/>
    <x v="79"/>
    <x v="0"/>
    <x v="0"/>
    <x v="395"/>
    <x v="311"/>
    <x v="290"/>
    <x v="933"/>
    <x v="1249"/>
    <x v="1"/>
    <x v="1"/>
    <x v="2"/>
  </r>
  <r>
    <x v="107"/>
    <x v="27"/>
    <x v="0"/>
    <x v="0"/>
    <x v="1"/>
    <x v="4"/>
    <x v="1"/>
    <x v="0"/>
    <x v="0"/>
    <x v="0"/>
    <x v="0"/>
    <x v="0"/>
    <x v="3"/>
    <x v="6"/>
    <x v="33"/>
    <x v="0"/>
    <x v="0"/>
    <x v="136"/>
    <x v="103"/>
    <x v="468"/>
    <x v="358"/>
    <x v="1122"/>
    <x v="1"/>
    <x v="1"/>
    <x v="2"/>
  </r>
  <r>
    <x v="108"/>
    <x v="34"/>
    <x v="0"/>
    <x v="0"/>
    <x v="1"/>
    <x v="4"/>
    <x v="1"/>
    <x v="0"/>
    <x v="0"/>
    <x v="1"/>
    <x v="0"/>
    <x v="0"/>
    <x v="8"/>
    <x v="16"/>
    <x v="70"/>
    <x v="12"/>
    <x v="6"/>
    <x v="729"/>
    <x v="627"/>
    <x v="784"/>
    <x v="1444"/>
    <x v="1166"/>
    <x v="0"/>
    <x v="1"/>
    <x v="0"/>
  </r>
  <r>
    <x v="109"/>
    <x v="41"/>
    <x v="0"/>
    <x v="0"/>
    <x v="1"/>
    <x v="4"/>
    <x v="1"/>
    <x v="0"/>
    <x v="0"/>
    <x v="0"/>
    <x v="0"/>
    <x v="0"/>
    <x v="8"/>
    <x v="16"/>
    <x v="25"/>
    <x v="12"/>
    <x v="6"/>
    <x v="424"/>
    <x v="357"/>
    <x v="895"/>
    <x v="920"/>
    <x v="930"/>
    <x v="1"/>
    <x v="1"/>
    <x v="2"/>
  </r>
  <r>
    <x v="110"/>
    <x v="48"/>
    <x v="0"/>
    <x v="0"/>
    <x v="1"/>
    <x v="4"/>
    <x v="1"/>
    <x v="0"/>
    <x v="0"/>
    <x v="1"/>
    <x v="0"/>
    <x v="0"/>
    <x v="9"/>
    <x v="18"/>
    <x v="70"/>
    <x v="6"/>
    <x v="4"/>
    <x v="627"/>
    <x v="559"/>
    <x v="618"/>
    <x v="1258"/>
    <x v="839"/>
    <x v="0"/>
    <x v="1"/>
    <x v="0"/>
  </r>
  <r>
    <x v="111"/>
    <x v="28"/>
    <x v="0"/>
    <x v="0"/>
    <x v="1"/>
    <x v="4"/>
    <x v="1"/>
    <x v="0"/>
    <x v="0"/>
    <x v="0"/>
    <x v="0"/>
    <x v="0"/>
    <x v="9"/>
    <x v="18"/>
    <x v="25"/>
    <x v="6"/>
    <x v="4"/>
    <x v="308"/>
    <x v="273"/>
    <x v="733"/>
    <x v="614"/>
    <x v="586"/>
    <x v="1"/>
    <x v="1"/>
    <x v="2"/>
  </r>
  <r>
    <x v="112"/>
    <x v="35"/>
    <x v="0"/>
    <x v="0"/>
    <x v="1"/>
    <x v="4"/>
    <x v="1"/>
    <x v="0"/>
    <x v="0"/>
    <x v="1"/>
    <x v="2"/>
    <x v="4"/>
    <x v="0"/>
    <x v="0"/>
    <x v="38"/>
    <x v="15"/>
    <x v="10"/>
    <x v="634"/>
    <x v="558"/>
    <x v="631"/>
    <x v="1282"/>
    <x v="970"/>
    <x v="0"/>
    <x v="1"/>
    <x v="0"/>
  </r>
  <r>
    <x v="113"/>
    <x v="42"/>
    <x v="0"/>
    <x v="0"/>
    <x v="1"/>
    <x v="4"/>
    <x v="1"/>
    <x v="0"/>
    <x v="0"/>
    <x v="0"/>
    <x v="2"/>
    <x v="4"/>
    <x v="0"/>
    <x v="0"/>
    <x v="10"/>
    <x v="15"/>
    <x v="10"/>
    <x v="237"/>
    <x v="208"/>
    <x v="654"/>
    <x v="523"/>
    <x v="701"/>
    <x v="1"/>
    <x v="1"/>
    <x v="2"/>
  </r>
  <r>
    <x v="114"/>
    <x v="49"/>
    <x v="0"/>
    <x v="0"/>
    <x v="1"/>
    <x v="4"/>
    <x v="1"/>
    <x v="0"/>
    <x v="0"/>
    <x v="1"/>
    <x v="2"/>
    <x v="4"/>
    <x v="4"/>
    <x v="8"/>
    <x v="36"/>
    <x v="9"/>
    <x v="7"/>
    <x v="510"/>
    <x v="464"/>
    <x v="435"/>
    <x v="1032"/>
    <x v="681"/>
    <x v="0"/>
    <x v="1"/>
    <x v="0"/>
  </r>
  <r>
    <x v="115"/>
    <x v="29"/>
    <x v="0"/>
    <x v="0"/>
    <x v="1"/>
    <x v="4"/>
    <x v="1"/>
    <x v="0"/>
    <x v="0"/>
    <x v="0"/>
    <x v="2"/>
    <x v="4"/>
    <x v="4"/>
    <x v="8"/>
    <x v="13"/>
    <x v="9"/>
    <x v="7"/>
    <x v="202"/>
    <x v="198"/>
    <x v="599"/>
    <x v="392"/>
    <x v="436"/>
    <x v="1"/>
    <x v="1"/>
    <x v="2"/>
  </r>
  <r>
    <x v="116"/>
    <x v="36"/>
    <x v="0"/>
    <x v="0"/>
    <x v="1"/>
    <x v="4"/>
    <x v="1"/>
    <x v="0"/>
    <x v="0"/>
    <x v="1"/>
    <x v="1"/>
    <x v="2"/>
    <x v="7"/>
    <x v="14"/>
    <x v="45"/>
    <x v="18"/>
    <x v="12"/>
    <x v="699"/>
    <x v="637"/>
    <x v="729"/>
    <x v="1326"/>
    <x v="519"/>
    <x v="0"/>
    <x v="1"/>
    <x v="0"/>
  </r>
  <r>
    <x v="117"/>
    <x v="43"/>
    <x v="0"/>
    <x v="0"/>
    <x v="1"/>
    <x v="4"/>
    <x v="1"/>
    <x v="0"/>
    <x v="0"/>
    <x v="0"/>
    <x v="1"/>
    <x v="2"/>
    <x v="7"/>
    <x v="14"/>
    <x v="17"/>
    <x v="18"/>
    <x v="12"/>
    <x v="414"/>
    <x v="396"/>
    <x v="877"/>
    <x v="776"/>
    <x v="316"/>
    <x v="1"/>
    <x v="1"/>
    <x v="2"/>
  </r>
  <r>
    <x v="118"/>
    <x v="50"/>
    <x v="0"/>
    <x v="0"/>
    <x v="1"/>
    <x v="4"/>
    <x v="1"/>
    <x v="0"/>
    <x v="0"/>
    <x v="1"/>
    <x v="1"/>
    <x v="2"/>
    <x v="6"/>
    <x v="12"/>
    <x v="50"/>
    <x v="3"/>
    <x v="2"/>
    <x v="320"/>
    <x v="264"/>
    <x v="202"/>
    <x v="741"/>
    <x v="1115"/>
    <x v="1"/>
    <x v="1"/>
    <x v="2"/>
  </r>
  <r>
    <x v="119"/>
    <x v="30"/>
    <x v="0"/>
    <x v="0"/>
    <x v="1"/>
    <x v="4"/>
    <x v="1"/>
    <x v="0"/>
    <x v="0"/>
    <x v="0"/>
    <x v="1"/>
    <x v="2"/>
    <x v="6"/>
    <x v="12"/>
    <x v="18"/>
    <x v="3"/>
    <x v="2"/>
    <x v="70"/>
    <x v="63"/>
    <x v="308"/>
    <x v="171"/>
    <x v="906"/>
    <x v="1"/>
    <x v="1"/>
    <x v="2"/>
  </r>
  <r>
    <x v="120"/>
    <x v="37"/>
    <x v="0"/>
    <x v="0"/>
    <x v="1"/>
    <x v="4"/>
    <x v="1"/>
    <x v="1"/>
    <x v="1"/>
    <x v="1"/>
    <x v="3"/>
    <x v="6"/>
    <x v="1"/>
    <x v="2"/>
    <x v="8"/>
    <x v="25"/>
    <x v="16"/>
    <x v="813"/>
    <x v="728"/>
    <x v="1020"/>
    <x v="1519"/>
    <x v="286"/>
    <x v="0"/>
    <x v="1"/>
    <x v="0"/>
  </r>
  <r>
    <x v="121"/>
    <x v="44"/>
    <x v="0"/>
    <x v="0"/>
    <x v="1"/>
    <x v="4"/>
    <x v="1"/>
    <x v="1"/>
    <x v="1"/>
    <x v="0"/>
    <x v="3"/>
    <x v="6"/>
    <x v="1"/>
    <x v="2"/>
    <x v="1"/>
    <x v="25"/>
    <x v="16"/>
    <x v="548"/>
    <x v="519"/>
    <x v="1032"/>
    <x v="946"/>
    <x v="169"/>
    <x v="1"/>
    <x v="1"/>
    <x v="0"/>
  </r>
  <r>
    <x v="122"/>
    <x v="51"/>
    <x v="0"/>
    <x v="0"/>
    <x v="1"/>
    <x v="4"/>
    <x v="1"/>
    <x v="1"/>
    <x v="1"/>
    <x v="1"/>
    <x v="3"/>
    <x v="6"/>
    <x v="2"/>
    <x v="4"/>
    <x v="7"/>
    <x v="22"/>
    <x v="14"/>
    <x v="583"/>
    <x v="548"/>
    <x v="551"/>
    <x v="1110"/>
    <x v="374"/>
    <x v="0"/>
    <x v="1"/>
    <x v="0"/>
  </r>
  <r>
    <x v="123"/>
    <x v="31"/>
    <x v="0"/>
    <x v="0"/>
    <x v="1"/>
    <x v="4"/>
    <x v="1"/>
    <x v="1"/>
    <x v="1"/>
    <x v="0"/>
    <x v="3"/>
    <x v="6"/>
    <x v="2"/>
    <x v="4"/>
    <x v="1"/>
    <x v="22"/>
    <x v="14"/>
    <x v="220"/>
    <x v="229"/>
    <x v="621"/>
    <x v="360"/>
    <x v="220"/>
    <x v="1"/>
    <x v="1"/>
    <x v="2"/>
  </r>
  <r>
    <x v="124"/>
    <x v="38"/>
    <x v="0"/>
    <x v="0"/>
    <x v="1"/>
    <x v="4"/>
    <x v="1"/>
    <x v="1"/>
    <x v="1"/>
    <x v="1"/>
    <x v="3"/>
    <x v="6"/>
    <x v="5"/>
    <x v="10"/>
    <x v="8"/>
    <x v="28"/>
    <x v="18"/>
    <x v="835"/>
    <x v="748"/>
    <x v="1105"/>
    <x v="1541"/>
    <x v="109"/>
    <x v="1"/>
    <x v="1"/>
    <x v="0"/>
  </r>
  <r>
    <x v="125"/>
    <x v="45"/>
    <x v="0"/>
    <x v="0"/>
    <x v="1"/>
    <x v="4"/>
    <x v="1"/>
    <x v="1"/>
    <x v="1"/>
    <x v="0"/>
    <x v="3"/>
    <x v="6"/>
    <x v="5"/>
    <x v="10"/>
    <x v="2"/>
    <x v="28"/>
    <x v="18"/>
    <x v="721"/>
    <x v="673"/>
    <x v="1180"/>
    <x v="1197"/>
    <x v="59"/>
    <x v="2"/>
    <x v="1"/>
    <x v="0"/>
  </r>
  <r>
    <x v="126"/>
    <x v="52"/>
    <x v="0"/>
    <x v="0"/>
    <x v="1"/>
    <x v="4"/>
    <x v="1"/>
    <x v="1"/>
    <x v="1"/>
    <x v="1"/>
    <x v="0"/>
    <x v="0"/>
    <x v="3"/>
    <x v="6"/>
    <x v="42"/>
    <x v="0"/>
    <x v="0"/>
    <x v="195"/>
    <x v="150"/>
    <x v="111"/>
    <x v="533"/>
    <x v="1244"/>
    <x v="1"/>
    <x v="1"/>
    <x v="2"/>
  </r>
  <r>
    <x v="127"/>
    <x v="32"/>
    <x v="0"/>
    <x v="0"/>
    <x v="1"/>
    <x v="4"/>
    <x v="1"/>
    <x v="1"/>
    <x v="1"/>
    <x v="0"/>
    <x v="0"/>
    <x v="0"/>
    <x v="3"/>
    <x v="6"/>
    <x v="14"/>
    <x v="0"/>
    <x v="0"/>
    <x v="22"/>
    <x v="21"/>
    <x v="164"/>
    <x v="66"/>
    <x v="1123"/>
    <x v="1"/>
    <x v="1"/>
    <x v="2"/>
  </r>
  <r>
    <x v="128"/>
    <x v="39"/>
    <x v="0"/>
    <x v="0"/>
    <x v="1"/>
    <x v="4"/>
    <x v="1"/>
    <x v="1"/>
    <x v="1"/>
    <x v="1"/>
    <x v="0"/>
    <x v="0"/>
    <x v="8"/>
    <x v="16"/>
    <x v="43"/>
    <x v="12"/>
    <x v="6"/>
    <x v="602"/>
    <x v="511"/>
    <x v="582"/>
    <x v="1257"/>
    <x v="1172"/>
    <x v="0"/>
    <x v="1"/>
    <x v="0"/>
  </r>
  <r>
    <x v="129"/>
    <x v="46"/>
    <x v="0"/>
    <x v="0"/>
    <x v="1"/>
    <x v="4"/>
    <x v="1"/>
    <x v="1"/>
    <x v="1"/>
    <x v="0"/>
    <x v="0"/>
    <x v="0"/>
    <x v="8"/>
    <x v="16"/>
    <x v="15"/>
    <x v="12"/>
    <x v="6"/>
    <x v="274"/>
    <x v="226"/>
    <x v="695"/>
    <x v="625"/>
    <x v="933"/>
    <x v="1"/>
    <x v="1"/>
    <x v="2"/>
  </r>
  <r>
    <x v="130"/>
    <x v="53"/>
    <x v="0"/>
    <x v="0"/>
    <x v="1"/>
    <x v="4"/>
    <x v="1"/>
    <x v="1"/>
    <x v="1"/>
    <x v="1"/>
    <x v="0"/>
    <x v="0"/>
    <x v="9"/>
    <x v="18"/>
    <x v="37"/>
    <x v="6"/>
    <x v="4"/>
    <x v="420"/>
    <x v="379"/>
    <x v="323"/>
    <x v="906"/>
    <x v="849"/>
    <x v="1"/>
    <x v="1"/>
    <x v="2"/>
  </r>
  <r>
    <x v="131"/>
    <x v="33"/>
    <x v="0"/>
    <x v="0"/>
    <x v="1"/>
    <x v="4"/>
    <x v="1"/>
    <x v="1"/>
    <x v="1"/>
    <x v="0"/>
    <x v="0"/>
    <x v="0"/>
    <x v="9"/>
    <x v="18"/>
    <x v="14"/>
    <x v="6"/>
    <x v="4"/>
    <x v="150"/>
    <x v="139"/>
    <x v="495"/>
    <x v="307"/>
    <x v="585"/>
    <x v="1"/>
    <x v="1"/>
    <x v="2"/>
  </r>
  <r>
    <x v="132"/>
    <x v="40"/>
    <x v="0"/>
    <x v="0"/>
    <x v="1"/>
    <x v="4"/>
    <x v="1"/>
    <x v="1"/>
    <x v="1"/>
    <x v="1"/>
    <x v="2"/>
    <x v="4"/>
    <x v="0"/>
    <x v="0"/>
    <x v="22"/>
    <x v="15"/>
    <x v="10"/>
    <x v="470"/>
    <x v="411"/>
    <x v="382"/>
    <x v="1010"/>
    <x v="970"/>
    <x v="1"/>
    <x v="1"/>
    <x v="2"/>
  </r>
  <r>
    <x v="133"/>
    <x v="47"/>
    <x v="0"/>
    <x v="0"/>
    <x v="1"/>
    <x v="4"/>
    <x v="1"/>
    <x v="1"/>
    <x v="1"/>
    <x v="0"/>
    <x v="2"/>
    <x v="4"/>
    <x v="0"/>
    <x v="0"/>
    <x v="6"/>
    <x v="15"/>
    <x v="10"/>
    <x v="130"/>
    <x v="116"/>
    <x v="451"/>
    <x v="284"/>
    <x v="703"/>
    <x v="1"/>
    <x v="1"/>
    <x v="2"/>
  </r>
  <r>
    <x v="134"/>
    <x v="27"/>
    <x v="0"/>
    <x v="0"/>
    <x v="1"/>
    <x v="4"/>
    <x v="1"/>
    <x v="1"/>
    <x v="1"/>
    <x v="1"/>
    <x v="2"/>
    <x v="4"/>
    <x v="4"/>
    <x v="8"/>
    <x v="15"/>
    <x v="9"/>
    <x v="7"/>
    <x v="239"/>
    <x v="227"/>
    <x v="143"/>
    <x v="511"/>
    <x v="682"/>
    <x v="1"/>
    <x v="1"/>
    <x v="2"/>
  </r>
  <r>
    <x v="135"/>
    <x v="34"/>
    <x v="0"/>
    <x v="0"/>
    <x v="1"/>
    <x v="4"/>
    <x v="1"/>
    <x v="1"/>
    <x v="1"/>
    <x v="0"/>
    <x v="2"/>
    <x v="4"/>
    <x v="4"/>
    <x v="8"/>
    <x v="7"/>
    <x v="9"/>
    <x v="7"/>
    <x v="84"/>
    <x v="89"/>
    <x v="349"/>
    <x v="150"/>
    <x v="434"/>
    <x v="1"/>
    <x v="1"/>
    <x v="2"/>
  </r>
  <r>
    <x v="136"/>
    <x v="41"/>
    <x v="0"/>
    <x v="0"/>
    <x v="1"/>
    <x v="4"/>
    <x v="1"/>
    <x v="1"/>
    <x v="1"/>
    <x v="1"/>
    <x v="1"/>
    <x v="2"/>
    <x v="7"/>
    <x v="14"/>
    <x v="22"/>
    <x v="18"/>
    <x v="12"/>
    <x v="495"/>
    <x v="465"/>
    <x v="421"/>
    <x v="974"/>
    <x v="518"/>
    <x v="0"/>
    <x v="1"/>
    <x v="0"/>
  </r>
  <r>
    <x v="137"/>
    <x v="48"/>
    <x v="0"/>
    <x v="0"/>
    <x v="1"/>
    <x v="4"/>
    <x v="1"/>
    <x v="1"/>
    <x v="1"/>
    <x v="0"/>
    <x v="1"/>
    <x v="2"/>
    <x v="7"/>
    <x v="14"/>
    <x v="8"/>
    <x v="18"/>
    <x v="12"/>
    <x v="207"/>
    <x v="206"/>
    <x v="609"/>
    <x v="376"/>
    <x v="317"/>
    <x v="1"/>
    <x v="1"/>
    <x v="2"/>
  </r>
  <r>
    <x v="138"/>
    <x v="28"/>
    <x v="0"/>
    <x v="0"/>
    <x v="1"/>
    <x v="4"/>
    <x v="1"/>
    <x v="1"/>
    <x v="1"/>
    <x v="1"/>
    <x v="1"/>
    <x v="2"/>
    <x v="6"/>
    <x v="12"/>
    <x v="21"/>
    <x v="3"/>
    <x v="2"/>
    <x v="94"/>
    <x v="81"/>
    <x v="40"/>
    <x v="249"/>
    <x v="1109"/>
    <x v="1"/>
    <x v="1"/>
    <x v="2"/>
  </r>
  <r>
    <x v="139"/>
    <x v="35"/>
    <x v="0"/>
    <x v="0"/>
    <x v="1"/>
    <x v="4"/>
    <x v="1"/>
    <x v="1"/>
    <x v="1"/>
    <x v="0"/>
    <x v="1"/>
    <x v="2"/>
    <x v="6"/>
    <x v="12"/>
    <x v="7"/>
    <x v="3"/>
    <x v="2"/>
    <x v="7"/>
    <x v="8"/>
    <x v="86"/>
    <x v="19"/>
    <x v="900"/>
    <x v="1"/>
    <x v="1"/>
    <x v="2"/>
  </r>
  <r>
    <x v="140"/>
    <x v="42"/>
    <x v="0"/>
    <x v="0"/>
    <x v="1"/>
    <x v="4"/>
    <x v="1"/>
    <x v="3"/>
    <x v="3"/>
    <x v="1"/>
    <x v="3"/>
    <x v="6"/>
    <x v="1"/>
    <x v="2"/>
    <x v="5"/>
    <x v="25"/>
    <x v="16"/>
    <x v="768"/>
    <x v="698"/>
    <x v="868"/>
    <x v="1421"/>
    <x v="289"/>
    <x v="0"/>
    <x v="1"/>
    <x v="0"/>
  </r>
  <r>
    <x v="141"/>
    <x v="49"/>
    <x v="0"/>
    <x v="0"/>
    <x v="1"/>
    <x v="4"/>
    <x v="1"/>
    <x v="3"/>
    <x v="3"/>
    <x v="0"/>
    <x v="3"/>
    <x v="6"/>
    <x v="1"/>
    <x v="2"/>
    <x v="1"/>
    <x v="25"/>
    <x v="16"/>
    <x v="548"/>
    <x v="519"/>
    <x v="1032"/>
    <x v="946"/>
    <x v="169"/>
    <x v="1"/>
    <x v="1"/>
    <x v="0"/>
  </r>
  <r>
    <x v="142"/>
    <x v="29"/>
    <x v="0"/>
    <x v="0"/>
    <x v="1"/>
    <x v="4"/>
    <x v="1"/>
    <x v="3"/>
    <x v="3"/>
    <x v="1"/>
    <x v="3"/>
    <x v="6"/>
    <x v="2"/>
    <x v="4"/>
    <x v="6"/>
    <x v="22"/>
    <x v="14"/>
    <x v="548"/>
    <x v="514"/>
    <x v="491"/>
    <x v="1035"/>
    <x v="372"/>
    <x v="0"/>
    <x v="1"/>
    <x v="0"/>
  </r>
  <r>
    <x v="143"/>
    <x v="36"/>
    <x v="0"/>
    <x v="0"/>
    <x v="1"/>
    <x v="4"/>
    <x v="1"/>
    <x v="3"/>
    <x v="3"/>
    <x v="0"/>
    <x v="3"/>
    <x v="6"/>
    <x v="2"/>
    <x v="4"/>
    <x v="0"/>
    <x v="22"/>
    <x v="14"/>
    <x v="116"/>
    <x v="132"/>
    <x v="426"/>
    <x v="172"/>
    <x v="222"/>
    <x v="1"/>
    <x v="1"/>
    <x v="2"/>
  </r>
  <r>
    <x v="144"/>
    <x v="43"/>
    <x v="0"/>
    <x v="0"/>
    <x v="1"/>
    <x v="4"/>
    <x v="1"/>
    <x v="3"/>
    <x v="3"/>
    <x v="1"/>
    <x v="3"/>
    <x v="6"/>
    <x v="5"/>
    <x v="10"/>
    <x v="5"/>
    <x v="28"/>
    <x v="18"/>
    <x v="808"/>
    <x v="731"/>
    <x v="1007"/>
    <x v="1458"/>
    <x v="105"/>
    <x v="1"/>
    <x v="1"/>
    <x v="0"/>
  </r>
  <r>
    <x v="145"/>
    <x v="50"/>
    <x v="0"/>
    <x v="0"/>
    <x v="1"/>
    <x v="4"/>
    <x v="1"/>
    <x v="3"/>
    <x v="3"/>
    <x v="0"/>
    <x v="3"/>
    <x v="6"/>
    <x v="5"/>
    <x v="10"/>
    <x v="1"/>
    <x v="28"/>
    <x v="18"/>
    <x v="644"/>
    <x v="623"/>
    <x v="1118"/>
    <x v="1023"/>
    <x v="62"/>
    <x v="2"/>
    <x v="1"/>
    <x v="0"/>
  </r>
  <r>
    <x v="146"/>
    <x v="30"/>
    <x v="0"/>
    <x v="0"/>
    <x v="1"/>
    <x v="4"/>
    <x v="1"/>
    <x v="3"/>
    <x v="3"/>
    <x v="1"/>
    <x v="0"/>
    <x v="0"/>
    <x v="3"/>
    <x v="6"/>
    <x v="28"/>
    <x v="0"/>
    <x v="0"/>
    <x v="99"/>
    <x v="79"/>
    <x v="44"/>
    <x v="308"/>
    <x v="1243"/>
    <x v="1"/>
    <x v="1"/>
    <x v="2"/>
  </r>
  <r>
    <x v="147"/>
    <x v="37"/>
    <x v="0"/>
    <x v="0"/>
    <x v="1"/>
    <x v="4"/>
    <x v="1"/>
    <x v="3"/>
    <x v="3"/>
    <x v="0"/>
    <x v="0"/>
    <x v="0"/>
    <x v="3"/>
    <x v="6"/>
    <x v="12"/>
    <x v="0"/>
    <x v="0"/>
    <x v="15"/>
    <x v="13"/>
    <x v="132"/>
    <x v="50"/>
    <x v="1128"/>
    <x v="1"/>
    <x v="1"/>
    <x v="2"/>
  </r>
  <r>
    <x v="148"/>
    <x v="44"/>
    <x v="0"/>
    <x v="0"/>
    <x v="1"/>
    <x v="4"/>
    <x v="1"/>
    <x v="3"/>
    <x v="3"/>
    <x v="1"/>
    <x v="0"/>
    <x v="0"/>
    <x v="8"/>
    <x v="16"/>
    <x v="32"/>
    <x v="12"/>
    <x v="6"/>
    <x v="510"/>
    <x v="426"/>
    <x v="435"/>
    <x v="1125"/>
    <x v="1175"/>
    <x v="0"/>
    <x v="1"/>
    <x v="0"/>
  </r>
  <r>
    <x v="149"/>
    <x v="51"/>
    <x v="0"/>
    <x v="0"/>
    <x v="1"/>
    <x v="4"/>
    <x v="1"/>
    <x v="3"/>
    <x v="3"/>
    <x v="0"/>
    <x v="0"/>
    <x v="0"/>
    <x v="8"/>
    <x v="16"/>
    <x v="12"/>
    <x v="12"/>
    <x v="6"/>
    <x v="215"/>
    <x v="177"/>
    <x v="617"/>
    <x v="500"/>
    <x v="933"/>
    <x v="1"/>
    <x v="1"/>
    <x v="2"/>
  </r>
  <r>
    <x v="150"/>
    <x v="31"/>
    <x v="0"/>
    <x v="0"/>
    <x v="1"/>
    <x v="4"/>
    <x v="1"/>
    <x v="3"/>
    <x v="3"/>
    <x v="1"/>
    <x v="0"/>
    <x v="0"/>
    <x v="9"/>
    <x v="18"/>
    <x v="35"/>
    <x v="6"/>
    <x v="4"/>
    <x v="408"/>
    <x v="361"/>
    <x v="304"/>
    <x v="875"/>
    <x v="851"/>
    <x v="1"/>
    <x v="1"/>
    <x v="2"/>
  </r>
  <r>
    <x v="151"/>
    <x v="38"/>
    <x v="0"/>
    <x v="0"/>
    <x v="1"/>
    <x v="4"/>
    <x v="1"/>
    <x v="3"/>
    <x v="3"/>
    <x v="0"/>
    <x v="0"/>
    <x v="0"/>
    <x v="9"/>
    <x v="18"/>
    <x v="12"/>
    <x v="6"/>
    <x v="4"/>
    <x v="118"/>
    <x v="112"/>
    <x v="429"/>
    <x v="238"/>
    <x v="584"/>
    <x v="1"/>
    <x v="1"/>
    <x v="2"/>
  </r>
  <r>
    <x v="152"/>
    <x v="45"/>
    <x v="0"/>
    <x v="0"/>
    <x v="1"/>
    <x v="4"/>
    <x v="1"/>
    <x v="3"/>
    <x v="3"/>
    <x v="1"/>
    <x v="2"/>
    <x v="4"/>
    <x v="0"/>
    <x v="0"/>
    <x v="14"/>
    <x v="15"/>
    <x v="10"/>
    <x v="337"/>
    <x v="287"/>
    <x v="213"/>
    <x v="751"/>
    <x v="970"/>
    <x v="1"/>
    <x v="1"/>
    <x v="2"/>
  </r>
  <r>
    <x v="153"/>
    <x v="52"/>
    <x v="0"/>
    <x v="0"/>
    <x v="1"/>
    <x v="4"/>
    <x v="1"/>
    <x v="3"/>
    <x v="3"/>
    <x v="0"/>
    <x v="2"/>
    <x v="4"/>
    <x v="0"/>
    <x v="0"/>
    <x v="4"/>
    <x v="15"/>
    <x v="10"/>
    <x v="76"/>
    <x v="70"/>
    <x v="321"/>
    <x v="165"/>
    <x v="699"/>
    <x v="1"/>
    <x v="1"/>
    <x v="2"/>
  </r>
  <r>
    <x v="154"/>
    <x v="32"/>
    <x v="0"/>
    <x v="0"/>
    <x v="1"/>
    <x v="4"/>
    <x v="1"/>
    <x v="3"/>
    <x v="3"/>
    <x v="1"/>
    <x v="2"/>
    <x v="4"/>
    <x v="4"/>
    <x v="8"/>
    <x v="11"/>
    <x v="9"/>
    <x v="7"/>
    <x v="165"/>
    <x v="162"/>
    <x v="87"/>
    <x v="351"/>
    <x v="686"/>
    <x v="1"/>
    <x v="1"/>
    <x v="2"/>
  </r>
  <r>
    <x v="155"/>
    <x v="39"/>
    <x v="0"/>
    <x v="0"/>
    <x v="1"/>
    <x v="4"/>
    <x v="1"/>
    <x v="3"/>
    <x v="3"/>
    <x v="0"/>
    <x v="2"/>
    <x v="4"/>
    <x v="4"/>
    <x v="8"/>
    <x v="3"/>
    <x v="9"/>
    <x v="7"/>
    <x v="18"/>
    <x v="28"/>
    <x v="149"/>
    <x v="36"/>
    <x v="439"/>
    <x v="1"/>
    <x v="1"/>
    <x v="2"/>
  </r>
  <r>
    <x v="156"/>
    <x v="46"/>
    <x v="0"/>
    <x v="0"/>
    <x v="1"/>
    <x v="4"/>
    <x v="1"/>
    <x v="3"/>
    <x v="3"/>
    <x v="1"/>
    <x v="1"/>
    <x v="2"/>
    <x v="7"/>
    <x v="14"/>
    <x v="16"/>
    <x v="18"/>
    <x v="12"/>
    <x v="399"/>
    <x v="375"/>
    <x v="292"/>
    <x v="798"/>
    <x v="512"/>
    <x v="1"/>
    <x v="1"/>
    <x v="2"/>
  </r>
  <r>
    <x v="157"/>
    <x v="53"/>
    <x v="0"/>
    <x v="0"/>
    <x v="1"/>
    <x v="4"/>
    <x v="1"/>
    <x v="3"/>
    <x v="3"/>
    <x v="0"/>
    <x v="1"/>
    <x v="2"/>
    <x v="7"/>
    <x v="14"/>
    <x v="5"/>
    <x v="18"/>
    <x v="12"/>
    <x v="118"/>
    <x v="126"/>
    <x v="429"/>
    <x v="205"/>
    <x v="314"/>
    <x v="1"/>
    <x v="1"/>
    <x v="2"/>
  </r>
  <r>
    <x v="158"/>
    <x v="33"/>
    <x v="0"/>
    <x v="0"/>
    <x v="1"/>
    <x v="4"/>
    <x v="1"/>
    <x v="3"/>
    <x v="3"/>
    <x v="1"/>
    <x v="1"/>
    <x v="2"/>
    <x v="6"/>
    <x v="12"/>
    <x v="16"/>
    <x v="3"/>
    <x v="2"/>
    <x v="54"/>
    <x v="51"/>
    <x v="14"/>
    <x v="155"/>
    <x v="1111"/>
    <x v="1"/>
    <x v="1"/>
    <x v="2"/>
  </r>
  <r>
    <x v="159"/>
    <x v="40"/>
    <x v="0"/>
    <x v="0"/>
    <x v="1"/>
    <x v="4"/>
    <x v="1"/>
    <x v="3"/>
    <x v="3"/>
    <x v="0"/>
    <x v="1"/>
    <x v="2"/>
    <x v="6"/>
    <x v="12"/>
    <x v="5"/>
    <x v="3"/>
    <x v="2"/>
    <x v="3"/>
    <x v="4"/>
    <x v="47"/>
    <x v="7"/>
    <x v="907"/>
    <x v="2"/>
    <x v="1"/>
    <x v="1"/>
  </r>
  <r>
    <x v="160"/>
    <x v="47"/>
    <x v="0"/>
    <x v="0"/>
    <x v="1"/>
    <x v="4"/>
    <x v="1"/>
    <x v="2"/>
    <x v="2"/>
    <x v="1"/>
    <x v="3"/>
    <x v="6"/>
    <x v="1"/>
    <x v="2"/>
    <x v="3"/>
    <x v="25"/>
    <x v="16"/>
    <x v="697"/>
    <x v="645"/>
    <x v="720"/>
    <x v="1280"/>
    <x v="286"/>
    <x v="0"/>
    <x v="1"/>
    <x v="0"/>
  </r>
  <r>
    <x v="161"/>
    <x v="27"/>
    <x v="0"/>
    <x v="0"/>
    <x v="1"/>
    <x v="4"/>
    <x v="1"/>
    <x v="2"/>
    <x v="2"/>
    <x v="0"/>
    <x v="3"/>
    <x v="6"/>
    <x v="1"/>
    <x v="2"/>
    <x v="0"/>
    <x v="25"/>
    <x v="16"/>
    <x v="407"/>
    <x v="404"/>
    <x v="868"/>
    <x v="693"/>
    <x v="172"/>
    <x v="1"/>
    <x v="1"/>
    <x v="2"/>
  </r>
  <r>
    <x v="162"/>
    <x v="34"/>
    <x v="0"/>
    <x v="0"/>
    <x v="1"/>
    <x v="4"/>
    <x v="1"/>
    <x v="2"/>
    <x v="2"/>
    <x v="1"/>
    <x v="3"/>
    <x v="6"/>
    <x v="2"/>
    <x v="4"/>
    <x v="4"/>
    <x v="22"/>
    <x v="14"/>
    <x v="445"/>
    <x v="429"/>
    <x v="354"/>
    <x v="853"/>
    <x v="381"/>
    <x v="1"/>
    <x v="1"/>
    <x v="2"/>
  </r>
  <r>
    <x v="163"/>
    <x v="41"/>
    <x v="0"/>
    <x v="0"/>
    <x v="1"/>
    <x v="4"/>
    <x v="1"/>
    <x v="2"/>
    <x v="2"/>
    <x v="0"/>
    <x v="3"/>
    <x v="6"/>
    <x v="2"/>
    <x v="4"/>
    <x v="0"/>
    <x v="22"/>
    <x v="14"/>
    <x v="116"/>
    <x v="132"/>
    <x v="426"/>
    <x v="172"/>
    <x v="222"/>
    <x v="1"/>
    <x v="1"/>
    <x v="2"/>
  </r>
  <r>
    <x v="164"/>
    <x v="48"/>
    <x v="0"/>
    <x v="0"/>
    <x v="1"/>
    <x v="4"/>
    <x v="1"/>
    <x v="2"/>
    <x v="2"/>
    <x v="1"/>
    <x v="3"/>
    <x v="6"/>
    <x v="5"/>
    <x v="10"/>
    <x v="4"/>
    <x v="28"/>
    <x v="18"/>
    <x v="793"/>
    <x v="724"/>
    <x v="944"/>
    <x v="1407"/>
    <x v="113"/>
    <x v="1"/>
    <x v="1"/>
    <x v="0"/>
  </r>
  <r>
    <x v="165"/>
    <x v="28"/>
    <x v="0"/>
    <x v="0"/>
    <x v="1"/>
    <x v="4"/>
    <x v="1"/>
    <x v="2"/>
    <x v="2"/>
    <x v="0"/>
    <x v="3"/>
    <x v="6"/>
    <x v="5"/>
    <x v="10"/>
    <x v="0"/>
    <x v="28"/>
    <x v="18"/>
    <x v="517"/>
    <x v="521"/>
    <x v="1007"/>
    <x v="764"/>
    <x v="59"/>
    <x v="2"/>
    <x v="1"/>
    <x v="0"/>
  </r>
  <r>
    <x v="166"/>
    <x v="35"/>
    <x v="0"/>
    <x v="0"/>
    <x v="1"/>
    <x v="4"/>
    <x v="1"/>
    <x v="2"/>
    <x v="2"/>
    <x v="1"/>
    <x v="0"/>
    <x v="0"/>
    <x v="3"/>
    <x v="6"/>
    <x v="22"/>
    <x v="0"/>
    <x v="0"/>
    <x v="63"/>
    <x v="52"/>
    <x v="23"/>
    <x v="209"/>
    <x v="1254"/>
    <x v="1"/>
    <x v="1"/>
    <x v="2"/>
  </r>
  <r>
    <x v="167"/>
    <x v="42"/>
    <x v="0"/>
    <x v="0"/>
    <x v="1"/>
    <x v="4"/>
    <x v="1"/>
    <x v="2"/>
    <x v="2"/>
    <x v="0"/>
    <x v="0"/>
    <x v="0"/>
    <x v="3"/>
    <x v="6"/>
    <x v="6"/>
    <x v="0"/>
    <x v="0"/>
    <x v="2"/>
    <x v="2"/>
    <x v="35"/>
    <x v="5"/>
    <x v="1123"/>
    <x v="2"/>
    <x v="1"/>
    <x v="1"/>
  </r>
  <r>
    <x v="168"/>
    <x v="49"/>
    <x v="0"/>
    <x v="0"/>
    <x v="1"/>
    <x v="4"/>
    <x v="1"/>
    <x v="2"/>
    <x v="2"/>
    <x v="1"/>
    <x v="0"/>
    <x v="0"/>
    <x v="8"/>
    <x v="16"/>
    <x v="23"/>
    <x v="12"/>
    <x v="6"/>
    <x v="403"/>
    <x v="333"/>
    <x v="297"/>
    <x v="917"/>
    <x v="1168"/>
    <x v="1"/>
    <x v="1"/>
    <x v="2"/>
  </r>
  <r>
    <x v="169"/>
    <x v="29"/>
    <x v="0"/>
    <x v="0"/>
    <x v="1"/>
    <x v="4"/>
    <x v="1"/>
    <x v="2"/>
    <x v="2"/>
    <x v="0"/>
    <x v="0"/>
    <x v="0"/>
    <x v="8"/>
    <x v="16"/>
    <x v="8"/>
    <x v="12"/>
    <x v="6"/>
    <x v="126"/>
    <x v="106"/>
    <x v="446"/>
    <x v="314"/>
    <x v="933"/>
    <x v="1"/>
    <x v="1"/>
    <x v="2"/>
  </r>
  <r>
    <x v="170"/>
    <x v="36"/>
    <x v="0"/>
    <x v="0"/>
    <x v="1"/>
    <x v="4"/>
    <x v="1"/>
    <x v="2"/>
    <x v="2"/>
    <x v="1"/>
    <x v="0"/>
    <x v="0"/>
    <x v="9"/>
    <x v="18"/>
    <x v="26"/>
    <x v="6"/>
    <x v="4"/>
    <x v="320"/>
    <x v="281"/>
    <x v="202"/>
    <x v="695"/>
    <x v="852"/>
    <x v="1"/>
    <x v="1"/>
    <x v="2"/>
  </r>
  <r>
    <x v="171"/>
    <x v="43"/>
    <x v="0"/>
    <x v="0"/>
    <x v="1"/>
    <x v="4"/>
    <x v="1"/>
    <x v="2"/>
    <x v="2"/>
    <x v="0"/>
    <x v="0"/>
    <x v="0"/>
    <x v="9"/>
    <x v="18"/>
    <x v="8"/>
    <x v="6"/>
    <x v="4"/>
    <x v="59"/>
    <x v="62"/>
    <x v="279"/>
    <x v="121"/>
    <x v="592"/>
    <x v="1"/>
    <x v="1"/>
    <x v="2"/>
  </r>
  <r>
    <x v="172"/>
    <x v="50"/>
    <x v="0"/>
    <x v="0"/>
    <x v="1"/>
    <x v="4"/>
    <x v="1"/>
    <x v="2"/>
    <x v="2"/>
    <x v="1"/>
    <x v="2"/>
    <x v="4"/>
    <x v="0"/>
    <x v="0"/>
    <x v="10"/>
    <x v="15"/>
    <x v="10"/>
    <x v="237"/>
    <x v="208"/>
    <x v="142"/>
    <x v="561"/>
    <x v="976"/>
    <x v="1"/>
    <x v="1"/>
    <x v="2"/>
  </r>
  <r>
    <x v="173"/>
    <x v="30"/>
    <x v="0"/>
    <x v="0"/>
    <x v="1"/>
    <x v="4"/>
    <x v="1"/>
    <x v="2"/>
    <x v="2"/>
    <x v="0"/>
    <x v="2"/>
    <x v="4"/>
    <x v="0"/>
    <x v="0"/>
    <x v="2"/>
    <x v="15"/>
    <x v="10"/>
    <x v="28"/>
    <x v="32"/>
    <x v="185"/>
    <x v="61"/>
    <x v="699"/>
    <x v="1"/>
    <x v="1"/>
    <x v="2"/>
  </r>
  <r>
    <x v="174"/>
    <x v="37"/>
    <x v="0"/>
    <x v="0"/>
    <x v="1"/>
    <x v="4"/>
    <x v="1"/>
    <x v="2"/>
    <x v="2"/>
    <x v="1"/>
    <x v="2"/>
    <x v="4"/>
    <x v="4"/>
    <x v="8"/>
    <x v="10"/>
    <x v="9"/>
    <x v="7"/>
    <x v="144"/>
    <x v="144"/>
    <x v="70"/>
    <x v="312"/>
    <x v="670"/>
    <x v="1"/>
    <x v="1"/>
    <x v="2"/>
  </r>
  <r>
    <x v="175"/>
    <x v="44"/>
    <x v="0"/>
    <x v="0"/>
    <x v="1"/>
    <x v="4"/>
    <x v="1"/>
    <x v="2"/>
    <x v="2"/>
    <x v="0"/>
    <x v="2"/>
    <x v="4"/>
    <x v="4"/>
    <x v="8"/>
    <x v="2"/>
    <x v="9"/>
    <x v="7"/>
    <x v="9"/>
    <x v="14"/>
    <x v="101"/>
    <x v="14"/>
    <x v="440"/>
    <x v="1"/>
    <x v="1"/>
    <x v="2"/>
  </r>
  <r>
    <x v="176"/>
    <x v="51"/>
    <x v="0"/>
    <x v="0"/>
    <x v="1"/>
    <x v="4"/>
    <x v="1"/>
    <x v="2"/>
    <x v="2"/>
    <x v="1"/>
    <x v="1"/>
    <x v="2"/>
    <x v="7"/>
    <x v="14"/>
    <x v="12"/>
    <x v="18"/>
    <x v="12"/>
    <x v="320"/>
    <x v="298"/>
    <x v="202"/>
    <x v="624"/>
    <x v="524"/>
    <x v="1"/>
    <x v="1"/>
    <x v="2"/>
  </r>
  <r>
    <x v="177"/>
    <x v="31"/>
    <x v="0"/>
    <x v="0"/>
    <x v="1"/>
    <x v="4"/>
    <x v="1"/>
    <x v="2"/>
    <x v="2"/>
    <x v="0"/>
    <x v="1"/>
    <x v="2"/>
    <x v="7"/>
    <x v="14"/>
    <x v="4"/>
    <x v="18"/>
    <x v="12"/>
    <x v="89"/>
    <x v="96"/>
    <x v="358"/>
    <x v="136"/>
    <x v="321"/>
    <x v="1"/>
    <x v="1"/>
    <x v="2"/>
  </r>
  <r>
    <x v="178"/>
    <x v="38"/>
    <x v="0"/>
    <x v="0"/>
    <x v="1"/>
    <x v="4"/>
    <x v="1"/>
    <x v="2"/>
    <x v="2"/>
    <x v="1"/>
    <x v="1"/>
    <x v="2"/>
    <x v="6"/>
    <x v="12"/>
    <x v="11"/>
    <x v="3"/>
    <x v="2"/>
    <x v="24"/>
    <x v="25"/>
    <x v="0"/>
    <x v="71"/>
    <x v="1115"/>
    <x v="1"/>
    <x v="1"/>
    <x v="2"/>
  </r>
  <r>
    <x v="179"/>
    <x v="45"/>
    <x v="0"/>
    <x v="0"/>
    <x v="1"/>
    <x v="4"/>
    <x v="1"/>
    <x v="2"/>
    <x v="2"/>
    <x v="0"/>
    <x v="1"/>
    <x v="2"/>
    <x v="6"/>
    <x v="12"/>
    <x v="3"/>
    <x v="3"/>
    <x v="2"/>
    <x v="0"/>
    <x v="0"/>
    <x v="9"/>
    <x v="1"/>
    <x v="907"/>
    <x v="2"/>
    <x v="1"/>
    <x v="1"/>
  </r>
  <r>
    <x v="180"/>
    <x v="52"/>
    <x v="0"/>
    <x v="0"/>
    <x v="1"/>
    <x v="4"/>
    <x v="1"/>
    <x v="4"/>
    <x v="4"/>
    <x v="1"/>
    <x v="3"/>
    <x v="6"/>
    <x v="1"/>
    <x v="2"/>
    <x v="3"/>
    <x v="25"/>
    <x v="16"/>
    <x v="697"/>
    <x v="645"/>
    <x v="720"/>
    <x v="1280"/>
    <x v="286"/>
    <x v="0"/>
    <x v="1"/>
    <x v="0"/>
  </r>
  <r>
    <x v="181"/>
    <x v="32"/>
    <x v="0"/>
    <x v="0"/>
    <x v="1"/>
    <x v="4"/>
    <x v="1"/>
    <x v="4"/>
    <x v="4"/>
    <x v="0"/>
    <x v="3"/>
    <x v="6"/>
    <x v="1"/>
    <x v="2"/>
    <x v="0"/>
    <x v="25"/>
    <x v="16"/>
    <x v="407"/>
    <x v="404"/>
    <x v="868"/>
    <x v="693"/>
    <x v="172"/>
    <x v="1"/>
    <x v="1"/>
    <x v="2"/>
  </r>
  <r>
    <x v="182"/>
    <x v="39"/>
    <x v="0"/>
    <x v="0"/>
    <x v="1"/>
    <x v="4"/>
    <x v="1"/>
    <x v="4"/>
    <x v="4"/>
    <x v="1"/>
    <x v="3"/>
    <x v="6"/>
    <x v="2"/>
    <x v="4"/>
    <x v="3"/>
    <x v="22"/>
    <x v="14"/>
    <x v="384"/>
    <x v="374"/>
    <x v="273"/>
    <x v="729"/>
    <x v="378"/>
    <x v="1"/>
    <x v="1"/>
    <x v="2"/>
  </r>
  <r>
    <x v="183"/>
    <x v="46"/>
    <x v="0"/>
    <x v="0"/>
    <x v="1"/>
    <x v="4"/>
    <x v="1"/>
    <x v="4"/>
    <x v="4"/>
    <x v="0"/>
    <x v="3"/>
    <x v="6"/>
    <x v="2"/>
    <x v="4"/>
    <x v="0"/>
    <x v="22"/>
    <x v="14"/>
    <x v="116"/>
    <x v="132"/>
    <x v="426"/>
    <x v="172"/>
    <x v="222"/>
    <x v="1"/>
    <x v="1"/>
    <x v="2"/>
  </r>
  <r>
    <x v="184"/>
    <x v="53"/>
    <x v="0"/>
    <x v="0"/>
    <x v="1"/>
    <x v="4"/>
    <x v="1"/>
    <x v="4"/>
    <x v="4"/>
    <x v="1"/>
    <x v="3"/>
    <x v="6"/>
    <x v="5"/>
    <x v="10"/>
    <x v="2"/>
    <x v="28"/>
    <x v="18"/>
    <x v="721"/>
    <x v="673"/>
    <x v="762"/>
    <x v="1241"/>
    <x v="103"/>
    <x v="1"/>
    <x v="1"/>
    <x v="0"/>
  </r>
  <r>
    <x v="185"/>
    <x v="33"/>
    <x v="0"/>
    <x v="0"/>
    <x v="1"/>
    <x v="4"/>
    <x v="1"/>
    <x v="4"/>
    <x v="4"/>
    <x v="0"/>
    <x v="3"/>
    <x v="6"/>
    <x v="5"/>
    <x v="10"/>
    <x v="0"/>
    <x v="28"/>
    <x v="18"/>
    <x v="517"/>
    <x v="521"/>
    <x v="1007"/>
    <x v="764"/>
    <x v="59"/>
    <x v="2"/>
    <x v="1"/>
    <x v="0"/>
  </r>
  <r>
    <x v="186"/>
    <x v="40"/>
    <x v="0"/>
    <x v="0"/>
    <x v="1"/>
    <x v="4"/>
    <x v="1"/>
    <x v="4"/>
    <x v="4"/>
    <x v="1"/>
    <x v="0"/>
    <x v="0"/>
    <x v="3"/>
    <x v="6"/>
    <x v="20"/>
    <x v="0"/>
    <x v="0"/>
    <x v="53"/>
    <x v="44"/>
    <x v="11"/>
    <x v="173"/>
    <x v="1257"/>
    <x v="1"/>
    <x v="1"/>
    <x v="2"/>
  </r>
  <r>
    <x v="187"/>
    <x v="47"/>
    <x v="0"/>
    <x v="0"/>
    <x v="1"/>
    <x v="4"/>
    <x v="1"/>
    <x v="4"/>
    <x v="4"/>
    <x v="0"/>
    <x v="0"/>
    <x v="0"/>
    <x v="3"/>
    <x v="6"/>
    <x v="7"/>
    <x v="0"/>
    <x v="0"/>
    <x v="4"/>
    <x v="3"/>
    <x v="50"/>
    <x v="9"/>
    <x v="1127"/>
    <x v="2"/>
    <x v="1"/>
    <x v="1"/>
  </r>
  <r>
    <x v="188"/>
    <x v="27"/>
    <x v="0"/>
    <x v="0"/>
    <x v="1"/>
    <x v="4"/>
    <x v="1"/>
    <x v="4"/>
    <x v="4"/>
    <x v="1"/>
    <x v="0"/>
    <x v="0"/>
    <x v="8"/>
    <x v="16"/>
    <x v="19"/>
    <x v="12"/>
    <x v="6"/>
    <x v="348"/>
    <x v="285"/>
    <x v="228"/>
    <x v="812"/>
    <x v="1170"/>
    <x v="1"/>
    <x v="1"/>
    <x v="2"/>
  </r>
  <r>
    <x v="189"/>
    <x v="34"/>
    <x v="0"/>
    <x v="0"/>
    <x v="1"/>
    <x v="4"/>
    <x v="1"/>
    <x v="4"/>
    <x v="4"/>
    <x v="0"/>
    <x v="0"/>
    <x v="0"/>
    <x v="8"/>
    <x v="16"/>
    <x v="7"/>
    <x v="12"/>
    <x v="6"/>
    <x v="105"/>
    <x v="88"/>
    <x v="397"/>
    <x v="253"/>
    <x v="933"/>
    <x v="1"/>
    <x v="1"/>
    <x v="2"/>
  </r>
  <r>
    <x v="190"/>
    <x v="41"/>
    <x v="0"/>
    <x v="0"/>
    <x v="1"/>
    <x v="4"/>
    <x v="1"/>
    <x v="4"/>
    <x v="4"/>
    <x v="1"/>
    <x v="0"/>
    <x v="0"/>
    <x v="9"/>
    <x v="18"/>
    <x v="22"/>
    <x v="6"/>
    <x v="4"/>
    <x v="262"/>
    <x v="239"/>
    <x v="162"/>
    <x v="586"/>
    <x v="834"/>
    <x v="1"/>
    <x v="1"/>
    <x v="2"/>
  </r>
  <r>
    <x v="191"/>
    <x v="48"/>
    <x v="0"/>
    <x v="0"/>
    <x v="1"/>
    <x v="4"/>
    <x v="1"/>
    <x v="4"/>
    <x v="4"/>
    <x v="0"/>
    <x v="0"/>
    <x v="0"/>
    <x v="9"/>
    <x v="18"/>
    <x v="8"/>
    <x v="6"/>
    <x v="4"/>
    <x v="59"/>
    <x v="62"/>
    <x v="279"/>
    <x v="121"/>
    <x v="592"/>
    <x v="1"/>
    <x v="1"/>
    <x v="2"/>
  </r>
  <r>
    <x v="192"/>
    <x v="28"/>
    <x v="0"/>
    <x v="0"/>
    <x v="1"/>
    <x v="4"/>
    <x v="1"/>
    <x v="4"/>
    <x v="4"/>
    <x v="1"/>
    <x v="2"/>
    <x v="4"/>
    <x v="0"/>
    <x v="0"/>
    <x v="8"/>
    <x v="15"/>
    <x v="10"/>
    <x v="185"/>
    <x v="166"/>
    <x v="104"/>
    <x v="448"/>
    <x v="974"/>
    <x v="1"/>
    <x v="1"/>
    <x v="2"/>
  </r>
  <r>
    <x v="193"/>
    <x v="35"/>
    <x v="0"/>
    <x v="0"/>
    <x v="1"/>
    <x v="4"/>
    <x v="1"/>
    <x v="4"/>
    <x v="4"/>
    <x v="0"/>
    <x v="2"/>
    <x v="4"/>
    <x v="0"/>
    <x v="0"/>
    <x v="3"/>
    <x v="15"/>
    <x v="10"/>
    <x v="48"/>
    <x v="49"/>
    <x v="242"/>
    <x v="108"/>
    <x v="699"/>
    <x v="1"/>
    <x v="1"/>
    <x v="2"/>
  </r>
  <r>
    <x v="194"/>
    <x v="42"/>
    <x v="0"/>
    <x v="0"/>
    <x v="1"/>
    <x v="4"/>
    <x v="1"/>
    <x v="4"/>
    <x v="4"/>
    <x v="1"/>
    <x v="2"/>
    <x v="4"/>
    <x v="4"/>
    <x v="8"/>
    <x v="10"/>
    <x v="9"/>
    <x v="7"/>
    <x v="144"/>
    <x v="144"/>
    <x v="70"/>
    <x v="312"/>
    <x v="670"/>
    <x v="1"/>
    <x v="1"/>
    <x v="2"/>
  </r>
  <r>
    <x v="195"/>
    <x v="49"/>
    <x v="0"/>
    <x v="0"/>
    <x v="1"/>
    <x v="4"/>
    <x v="1"/>
    <x v="4"/>
    <x v="4"/>
    <x v="0"/>
    <x v="2"/>
    <x v="4"/>
    <x v="4"/>
    <x v="8"/>
    <x v="2"/>
    <x v="9"/>
    <x v="7"/>
    <x v="9"/>
    <x v="14"/>
    <x v="101"/>
    <x v="14"/>
    <x v="440"/>
    <x v="1"/>
    <x v="1"/>
    <x v="2"/>
  </r>
  <r>
    <x v="196"/>
    <x v="29"/>
    <x v="0"/>
    <x v="0"/>
    <x v="1"/>
    <x v="4"/>
    <x v="1"/>
    <x v="4"/>
    <x v="4"/>
    <x v="1"/>
    <x v="1"/>
    <x v="2"/>
    <x v="7"/>
    <x v="14"/>
    <x v="14"/>
    <x v="18"/>
    <x v="12"/>
    <x v="358"/>
    <x v="339"/>
    <x v="239"/>
    <x v="719"/>
    <x v="518"/>
    <x v="1"/>
    <x v="1"/>
    <x v="2"/>
  </r>
  <r>
    <x v="197"/>
    <x v="36"/>
    <x v="0"/>
    <x v="0"/>
    <x v="1"/>
    <x v="4"/>
    <x v="1"/>
    <x v="4"/>
    <x v="4"/>
    <x v="0"/>
    <x v="1"/>
    <x v="2"/>
    <x v="7"/>
    <x v="14"/>
    <x v="5"/>
    <x v="18"/>
    <x v="12"/>
    <x v="118"/>
    <x v="126"/>
    <x v="429"/>
    <x v="205"/>
    <x v="314"/>
    <x v="1"/>
    <x v="1"/>
    <x v="2"/>
  </r>
  <r>
    <x v="198"/>
    <x v="43"/>
    <x v="0"/>
    <x v="0"/>
    <x v="1"/>
    <x v="4"/>
    <x v="1"/>
    <x v="4"/>
    <x v="4"/>
    <x v="1"/>
    <x v="1"/>
    <x v="2"/>
    <x v="6"/>
    <x v="12"/>
    <x v="12"/>
    <x v="3"/>
    <x v="2"/>
    <x v="30"/>
    <x v="31"/>
    <x v="1"/>
    <x v="87"/>
    <x v="1119"/>
    <x v="1"/>
    <x v="1"/>
    <x v="2"/>
  </r>
  <r>
    <x v="199"/>
    <x v="50"/>
    <x v="0"/>
    <x v="0"/>
    <x v="1"/>
    <x v="4"/>
    <x v="1"/>
    <x v="4"/>
    <x v="4"/>
    <x v="0"/>
    <x v="1"/>
    <x v="2"/>
    <x v="6"/>
    <x v="12"/>
    <x v="4"/>
    <x v="3"/>
    <x v="2"/>
    <x v="1"/>
    <x v="1"/>
    <x v="28"/>
    <x v="4"/>
    <x v="907"/>
    <x v="2"/>
    <x v="1"/>
    <x v="1"/>
  </r>
  <r>
    <x v="200"/>
    <x v="57"/>
    <x v="0"/>
    <x v="0"/>
    <x v="2"/>
    <x v="7"/>
    <x v="2"/>
    <x v="0"/>
    <x v="0"/>
    <x v="1"/>
    <x v="3"/>
    <x v="6"/>
    <x v="1"/>
    <x v="2"/>
    <x v="16"/>
    <x v="25"/>
    <x v="16"/>
    <x v="852"/>
    <x v="756"/>
    <x v="1167"/>
    <x v="1588"/>
    <x v="283"/>
    <x v="0"/>
    <x v="1"/>
    <x v="0"/>
  </r>
  <r>
    <x v="201"/>
    <x v="64"/>
    <x v="0"/>
    <x v="0"/>
    <x v="2"/>
    <x v="7"/>
    <x v="2"/>
    <x v="0"/>
    <x v="0"/>
    <x v="0"/>
    <x v="3"/>
    <x v="6"/>
    <x v="1"/>
    <x v="2"/>
    <x v="6"/>
    <x v="25"/>
    <x v="16"/>
    <x v="789"/>
    <x v="711"/>
    <x v="1245"/>
    <x v="1437"/>
    <x v="170"/>
    <x v="1"/>
    <x v="1"/>
    <x v="0"/>
  </r>
  <r>
    <x v="202"/>
    <x v="71"/>
    <x v="0"/>
    <x v="0"/>
    <x v="2"/>
    <x v="7"/>
    <x v="2"/>
    <x v="0"/>
    <x v="0"/>
    <x v="1"/>
    <x v="3"/>
    <x v="6"/>
    <x v="2"/>
    <x v="4"/>
    <x v="21"/>
    <x v="22"/>
    <x v="14"/>
    <x v="799"/>
    <x v="718"/>
    <x v="964"/>
    <x v="1497"/>
    <x v="375"/>
    <x v="0"/>
    <x v="1"/>
    <x v="0"/>
  </r>
  <r>
    <x v="203"/>
    <x v="78"/>
    <x v="0"/>
    <x v="0"/>
    <x v="2"/>
    <x v="7"/>
    <x v="2"/>
    <x v="0"/>
    <x v="0"/>
    <x v="0"/>
    <x v="3"/>
    <x v="6"/>
    <x v="2"/>
    <x v="4"/>
    <x v="6"/>
    <x v="22"/>
    <x v="14"/>
    <x v="548"/>
    <x v="514"/>
    <x v="1032"/>
    <x v="978"/>
    <x v="221"/>
    <x v="0"/>
    <x v="1"/>
    <x v="0"/>
  </r>
  <r>
    <x v="204"/>
    <x v="58"/>
    <x v="0"/>
    <x v="0"/>
    <x v="2"/>
    <x v="7"/>
    <x v="2"/>
    <x v="0"/>
    <x v="0"/>
    <x v="1"/>
    <x v="3"/>
    <x v="6"/>
    <x v="5"/>
    <x v="10"/>
    <x v="18"/>
    <x v="28"/>
    <x v="18"/>
    <x v="877"/>
    <x v="782"/>
    <x v="1242"/>
    <x v="1609"/>
    <x v="109"/>
    <x v="1"/>
    <x v="1"/>
    <x v="0"/>
  </r>
  <r>
    <x v="205"/>
    <x v="65"/>
    <x v="0"/>
    <x v="0"/>
    <x v="2"/>
    <x v="7"/>
    <x v="2"/>
    <x v="0"/>
    <x v="0"/>
    <x v="0"/>
    <x v="3"/>
    <x v="6"/>
    <x v="5"/>
    <x v="10"/>
    <x v="6"/>
    <x v="28"/>
    <x v="18"/>
    <x v="818"/>
    <x v="738"/>
    <x v="1288"/>
    <x v="1471"/>
    <x v="61"/>
    <x v="2"/>
    <x v="1"/>
    <x v="0"/>
  </r>
  <r>
    <x v="206"/>
    <x v="72"/>
    <x v="0"/>
    <x v="0"/>
    <x v="2"/>
    <x v="7"/>
    <x v="2"/>
    <x v="0"/>
    <x v="0"/>
    <x v="1"/>
    <x v="0"/>
    <x v="0"/>
    <x v="3"/>
    <x v="6"/>
    <x v="94"/>
    <x v="0"/>
    <x v="0"/>
    <x v="451"/>
    <x v="364"/>
    <x v="362"/>
    <x v="1056"/>
    <x v="1248"/>
    <x v="1"/>
    <x v="1"/>
    <x v="2"/>
  </r>
  <r>
    <x v="207"/>
    <x v="79"/>
    <x v="0"/>
    <x v="0"/>
    <x v="2"/>
    <x v="7"/>
    <x v="2"/>
    <x v="0"/>
    <x v="0"/>
    <x v="0"/>
    <x v="0"/>
    <x v="0"/>
    <x v="3"/>
    <x v="6"/>
    <x v="39"/>
    <x v="0"/>
    <x v="0"/>
    <x v="174"/>
    <x v="134"/>
    <x v="545"/>
    <x v="449"/>
    <x v="1124"/>
    <x v="1"/>
    <x v="1"/>
    <x v="2"/>
  </r>
  <r>
    <x v="208"/>
    <x v="59"/>
    <x v="0"/>
    <x v="0"/>
    <x v="2"/>
    <x v="7"/>
    <x v="2"/>
    <x v="0"/>
    <x v="0"/>
    <x v="1"/>
    <x v="0"/>
    <x v="0"/>
    <x v="8"/>
    <x v="16"/>
    <x v="86"/>
    <x v="12"/>
    <x v="6"/>
    <x v="771"/>
    <x v="666"/>
    <x v="872"/>
    <x v="1508"/>
    <x v="1166"/>
    <x v="0"/>
    <x v="1"/>
    <x v="0"/>
  </r>
  <r>
    <x v="209"/>
    <x v="66"/>
    <x v="0"/>
    <x v="0"/>
    <x v="2"/>
    <x v="7"/>
    <x v="2"/>
    <x v="0"/>
    <x v="0"/>
    <x v="0"/>
    <x v="0"/>
    <x v="0"/>
    <x v="8"/>
    <x v="16"/>
    <x v="29"/>
    <x v="12"/>
    <x v="6"/>
    <x v="479"/>
    <x v="403"/>
    <x v="960"/>
    <x v="1019"/>
    <x v="931"/>
    <x v="1"/>
    <x v="1"/>
    <x v="2"/>
  </r>
  <r>
    <x v="210"/>
    <x v="73"/>
    <x v="0"/>
    <x v="0"/>
    <x v="2"/>
    <x v="7"/>
    <x v="2"/>
    <x v="0"/>
    <x v="0"/>
    <x v="1"/>
    <x v="0"/>
    <x v="0"/>
    <x v="9"/>
    <x v="18"/>
    <x v="102"/>
    <x v="6"/>
    <x v="4"/>
    <x v="734"/>
    <x v="648"/>
    <x v="797"/>
    <x v="1425"/>
    <x v="844"/>
    <x v="0"/>
    <x v="1"/>
    <x v="0"/>
  </r>
  <r>
    <x v="211"/>
    <x v="80"/>
    <x v="0"/>
    <x v="0"/>
    <x v="2"/>
    <x v="7"/>
    <x v="2"/>
    <x v="0"/>
    <x v="0"/>
    <x v="0"/>
    <x v="0"/>
    <x v="0"/>
    <x v="9"/>
    <x v="18"/>
    <x v="29"/>
    <x v="6"/>
    <x v="4"/>
    <x v="350"/>
    <x v="308"/>
    <x v="801"/>
    <x v="718"/>
    <x v="587"/>
    <x v="1"/>
    <x v="1"/>
    <x v="2"/>
  </r>
  <r>
    <x v="212"/>
    <x v="60"/>
    <x v="0"/>
    <x v="0"/>
    <x v="2"/>
    <x v="7"/>
    <x v="2"/>
    <x v="0"/>
    <x v="0"/>
    <x v="1"/>
    <x v="2"/>
    <x v="4"/>
    <x v="0"/>
    <x v="0"/>
    <x v="34"/>
    <x v="15"/>
    <x v="10"/>
    <x v="607"/>
    <x v="528"/>
    <x v="586"/>
    <x v="1239"/>
    <x v="973"/>
    <x v="0"/>
    <x v="1"/>
    <x v="0"/>
  </r>
  <r>
    <x v="213"/>
    <x v="67"/>
    <x v="0"/>
    <x v="0"/>
    <x v="2"/>
    <x v="7"/>
    <x v="2"/>
    <x v="0"/>
    <x v="0"/>
    <x v="0"/>
    <x v="2"/>
    <x v="4"/>
    <x v="0"/>
    <x v="0"/>
    <x v="12"/>
    <x v="15"/>
    <x v="10"/>
    <x v="286"/>
    <x v="253"/>
    <x v="710"/>
    <x v="609"/>
    <x v="700"/>
    <x v="1"/>
    <x v="1"/>
    <x v="2"/>
  </r>
  <r>
    <x v="214"/>
    <x v="74"/>
    <x v="0"/>
    <x v="0"/>
    <x v="2"/>
    <x v="7"/>
    <x v="2"/>
    <x v="0"/>
    <x v="0"/>
    <x v="1"/>
    <x v="2"/>
    <x v="4"/>
    <x v="4"/>
    <x v="8"/>
    <x v="47"/>
    <x v="9"/>
    <x v="7"/>
    <x v="592"/>
    <x v="537"/>
    <x v="571"/>
    <x v="1187"/>
    <x v="675"/>
    <x v="0"/>
    <x v="1"/>
    <x v="0"/>
  </r>
  <r>
    <x v="215"/>
    <x v="54"/>
    <x v="0"/>
    <x v="0"/>
    <x v="2"/>
    <x v="7"/>
    <x v="2"/>
    <x v="0"/>
    <x v="0"/>
    <x v="0"/>
    <x v="2"/>
    <x v="4"/>
    <x v="4"/>
    <x v="8"/>
    <x v="12"/>
    <x v="9"/>
    <x v="7"/>
    <x v="183"/>
    <x v="179"/>
    <x v="571"/>
    <x v="348"/>
    <x v="437"/>
    <x v="1"/>
    <x v="1"/>
    <x v="2"/>
  </r>
  <r>
    <x v="216"/>
    <x v="61"/>
    <x v="0"/>
    <x v="0"/>
    <x v="2"/>
    <x v="7"/>
    <x v="2"/>
    <x v="0"/>
    <x v="0"/>
    <x v="1"/>
    <x v="1"/>
    <x v="2"/>
    <x v="7"/>
    <x v="14"/>
    <x v="54"/>
    <x v="18"/>
    <x v="12"/>
    <x v="740"/>
    <x v="664"/>
    <x v="812"/>
    <x v="1399"/>
    <x v="518"/>
    <x v="0"/>
    <x v="1"/>
    <x v="0"/>
  </r>
  <r>
    <x v="217"/>
    <x v="68"/>
    <x v="0"/>
    <x v="0"/>
    <x v="2"/>
    <x v="7"/>
    <x v="2"/>
    <x v="0"/>
    <x v="0"/>
    <x v="0"/>
    <x v="1"/>
    <x v="2"/>
    <x v="7"/>
    <x v="14"/>
    <x v="17"/>
    <x v="18"/>
    <x v="12"/>
    <x v="414"/>
    <x v="396"/>
    <x v="877"/>
    <x v="776"/>
    <x v="316"/>
    <x v="1"/>
    <x v="1"/>
    <x v="2"/>
  </r>
  <r>
    <x v="218"/>
    <x v="75"/>
    <x v="0"/>
    <x v="0"/>
    <x v="2"/>
    <x v="7"/>
    <x v="2"/>
    <x v="0"/>
    <x v="0"/>
    <x v="1"/>
    <x v="1"/>
    <x v="2"/>
    <x v="6"/>
    <x v="12"/>
    <x v="51"/>
    <x v="3"/>
    <x v="2"/>
    <x v="329"/>
    <x v="269"/>
    <x v="204"/>
    <x v="761"/>
    <x v="1116"/>
    <x v="1"/>
    <x v="1"/>
    <x v="2"/>
  </r>
  <r>
    <x v="219"/>
    <x v="55"/>
    <x v="0"/>
    <x v="0"/>
    <x v="2"/>
    <x v="7"/>
    <x v="2"/>
    <x v="0"/>
    <x v="0"/>
    <x v="0"/>
    <x v="1"/>
    <x v="2"/>
    <x v="6"/>
    <x v="12"/>
    <x v="23"/>
    <x v="3"/>
    <x v="2"/>
    <x v="110"/>
    <x v="95"/>
    <x v="410"/>
    <x v="260"/>
    <x v="903"/>
    <x v="1"/>
    <x v="1"/>
    <x v="2"/>
  </r>
  <r>
    <x v="220"/>
    <x v="62"/>
    <x v="0"/>
    <x v="0"/>
    <x v="2"/>
    <x v="7"/>
    <x v="2"/>
    <x v="1"/>
    <x v="1"/>
    <x v="1"/>
    <x v="3"/>
    <x v="6"/>
    <x v="1"/>
    <x v="2"/>
    <x v="11"/>
    <x v="25"/>
    <x v="16"/>
    <x v="832"/>
    <x v="742"/>
    <x v="1089"/>
    <x v="1561"/>
    <x v="282"/>
    <x v="0"/>
    <x v="1"/>
    <x v="0"/>
  </r>
  <r>
    <x v="221"/>
    <x v="69"/>
    <x v="0"/>
    <x v="0"/>
    <x v="2"/>
    <x v="7"/>
    <x v="2"/>
    <x v="1"/>
    <x v="1"/>
    <x v="0"/>
    <x v="3"/>
    <x v="6"/>
    <x v="1"/>
    <x v="2"/>
    <x v="2"/>
    <x v="25"/>
    <x v="16"/>
    <x v="634"/>
    <x v="592"/>
    <x v="1108"/>
    <x v="1144"/>
    <x v="170"/>
    <x v="1"/>
    <x v="1"/>
    <x v="0"/>
  </r>
  <r>
    <x v="222"/>
    <x v="76"/>
    <x v="0"/>
    <x v="0"/>
    <x v="2"/>
    <x v="7"/>
    <x v="2"/>
    <x v="1"/>
    <x v="1"/>
    <x v="1"/>
    <x v="3"/>
    <x v="6"/>
    <x v="2"/>
    <x v="4"/>
    <x v="11"/>
    <x v="22"/>
    <x v="14"/>
    <x v="691"/>
    <x v="635"/>
    <x v="708"/>
    <x v="1289"/>
    <x v="373"/>
    <x v="0"/>
    <x v="1"/>
    <x v="0"/>
  </r>
  <r>
    <x v="223"/>
    <x v="56"/>
    <x v="0"/>
    <x v="0"/>
    <x v="2"/>
    <x v="7"/>
    <x v="2"/>
    <x v="1"/>
    <x v="1"/>
    <x v="0"/>
    <x v="3"/>
    <x v="6"/>
    <x v="2"/>
    <x v="4"/>
    <x v="2"/>
    <x v="22"/>
    <x v="14"/>
    <x v="316"/>
    <x v="304"/>
    <x v="743"/>
    <x v="532"/>
    <x v="221"/>
    <x v="1"/>
    <x v="1"/>
    <x v="2"/>
  </r>
  <r>
    <x v="224"/>
    <x v="63"/>
    <x v="0"/>
    <x v="0"/>
    <x v="2"/>
    <x v="7"/>
    <x v="2"/>
    <x v="1"/>
    <x v="1"/>
    <x v="1"/>
    <x v="3"/>
    <x v="6"/>
    <x v="5"/>
    <x v="10"/>
    <x v="9"/>
    <x v="28"/>
    <x v="18"/>
    <x v="842"/>
    <x v="752"/>
    <x v="1128"/>
    <x v="1557"/>
    <x v="112"/>
    <x v="1"/>
    <x v="1"/>
    <x v="0"/>
  </r>
  <r>
    <x v="225"/>
    <x v="70"/>
    <x v="0"/>
    <x v="0"/>
    <x v="2"/>
    <x v="7"/>
    <x v="2"/>
    <x v="1"/>
    <x v="1"/>
    <x v="0"/>
    <x v="3"/>
    <x v="6"/>
    <x v="5"/>
    <x v="10"/>
    <x v="3"/>
    <x v="28"/>
    <x v="18"/>
    <x v="760"/>
    <x v="707"/>
    <x v="1217"/>
    <x v="1290"/>
    <x v="60"/>
    <x v="2"/>
    <x v="1"/>
    <x v="0"/>
  </r>
  <r>
    <x v="226"/>
    <x v="77"/>
    <x v="0"/>
    <x v="0"/>
    <x v="2"/>
    <x v="7"/>
    <x v="2"/>
    <x v="1"/>
    <x v="1"/>
    <x v="1"/>
    <x v="0"/>
    <x v="0"/>
    <x v="3"/>
    <x v="6"/>
    <x v="56"/>
    <x v="0"/>
    <x v="0"/>
    <x v="276"/>
    <x v="217"/>
    <x v="177"/>
    <x v="717"/>
    <x v="1245"/>
    <x v="1"/>
    <x v="1"/>
    <x v="2"/>
  </r>
  <r>
    <x v="227"/>
    <x v="57"/>
    <x v="0"/>
    <x v="0"/>
    <x v="2"/>
    <x v="7"/>
    <x v="2"/>
    <x v="1"/>
    <x v="1"/>
    <x v="0"/>
    <x v="0"/>
    <x v="0"/>
    <x v="3"/>
    <x v="6"/>
    <x v="16"/>
    <x v="0"/>
    <x v="0"/>
    <x v="33"/>
    <x v="29"/>
    <x v="196"/>
    <x v="92"/>
    <x v="1127"/>
    <x v="1"/>
    <x v="1"/>
    <x v="2"/>
  </r>
  <r>
    <x v="228"/>
    <x v="64"/>
    <x v="0"/>
    <x v="0"/>
    <x v="2"/>
    <x v="7"/>
    <x v="2"/>
    <x v="1"/>
    <x v="1"/>
    <x v="1"/>
    <x v="0"/>
    <x v="0"/>
    <x v="8"/>
    <x v="16"/>
    <x v="50"/>
    <x v="12"/>
    <x v="6"/>
    <x v="643"/>
    <x v="553"/>
    <x v="646"/>
    <x v="1315"/>
    <x v="1171"/>
    <x v="0"/>
    <x v="1"/>
    <x v="0"/>
  </r>
  <r>
    <x v="229"/>
    <x v="71"/>
    <x v="0"/>
    <x v="0"/>
    <x v="2"/>
    <x v="7"/>
    <x v="2"/>
    <x v="1"/>
    <x v="1"/>
    <x v="0"/>
    <x v="0"/>
    <x v="0"/>
    <x v="8"/>
    <x v="16"/>
    <x v="20"/>
    <x v="12"/>
    <x v="6"/>
    <x v="361"/>
    <x v="294"/>
    <x v="815"/>
    <x v="801"/>
    <x v="933"/>
    <x v="1"/>
    <x v="1"/>
    <x v="2"/>
  </r>
  <r>
    <x v="230"/>
    <x v="78"/>
    <x v="0"/>
    <x v="0"/>
    <x v="2"/>
    <x v="7"/>
    <x v="2"/>
    <x v="1"/>
    <x v="1"/>
    <x v="1"/>
    <x v="0"/>
    <x v="0"/>
    <x v="9"/>
    <x v="18"/>
    <x v="54"/>
    <x v="6"/>
    <x v="4"/>
    <x v="551"/>
    <x v="489"/>
    <x v="495"/>
    <x v="1145"/>
    <x v="838"/>
    <x v="0"/>
    <x v="1"/>
    <x v="0"/>
  </r>
  <r>
    <x v="231"/>
    <x v="58"/>
    <x v="0"/>
    <x v="0"/>
    <x v="2"/>
    <x v="7"/>
    <x v="2"/>
    <x v="1"/>
    <x v="1"/>
    <x v="0"/>
    <x v="0"/>
    <x v="0"/>
    <x v="9"/>
    <x v="18"/>
    <x v="20"/>
    <x v="6"/>
    <x v="4"/>
    <x v="235"/>
    <x v="216"/>
    <x v="651"/>
    <x v="488"/>
    <x v="588"/>
    <x v="1"/>
    <x v="1"/>
    <x v="2"/>
  </r>
  <r>
    <x v="232"/>
    <x v="65"/>
    <x v="0"/>
    <x v="0"/>
    <x v="2"/>
    <x v="7"/>
    <x v="2"/>
    <x v="1"/>
    <x v="1"/>
    <x v="1"/>
    <x v="2"/>
    <x v="4"/>
    <x v="0"/>
    <x v="0"/>
    <x v="21"/>
    <x v="15"/>
    <x v="10"/>
    <x v="453"/>
    <x v="399"/>
    <x v="365"/>
    <x v="981"/>
    <x v="969"/>
    <x v="1"/>
    <x v="1"/>
    <x v="2"/>
  </r>
  <r>
    <x v="233"/>
    <x v="72"/>
    <x v="0"/>
    <x v="0"/>
    <x v="2"/>
    <x v="7"/>
    <x v="2"/>
    <x v="1"/>
    <x v="1"/>
    <x v="0"/>
    <x v="2"/>
    <x v="4"/>
    <x v="0"/>
    <x v="0"/>
    <x v="7"/>
    <x v="15"/>
    <x v="10"/>
    <x v="160"/>
    <x v="142"/>
    <x v="517"/>
    <x v="344"/>
    <x v="702"/>
    <x v="1"/>
    <x v="1"/>
    <x v="2"/>
  </r>
  <r>
    <x v="234"/>
    <x v="79"/>
    <x v="0"/>
    <x v="0"/>
    <x v="2"/>
    <x v="7"/>
    <x v="2"/>
    <x v="1"/>
    <x v="1"/>
    <x v="1"/>
    <x v="2"/>
    <x v="4"/>
    <x v="4"/>
    <x v="8"/>
    <x v="26"/>
    <x v="9"/>
    <x v="7"/>
    <x v="404"/>
    <x v="370"/>
    <x v="298"/>
    <x v="837"/>
    <x v="673"/>
    <x v="1"/>
    <x v="1"/>
    <x v="2"/>
  </r>
  <r>
    <x v="235"/>
    <x v="59"/>
    <x v="0"/>
    <x v="0"/>
    <x v="2"/>
    <x v="7"/>
    <x v="2"/>
    <x v="1"/>
    <x v="1"/>
    <x v="0"/>
    <x v="2"/>
    <x v="4"/>
    <x v="4"/>
    <x v="8"/>
    <x v="7"/>
    <x v="9"/>
    <x v="7"/>
    <x v="84"/>
    <x v="89"/>
    <x v="349"/>
    <x v="150"/>
    <x v="434"/>
    <x v="1"/>
    <x v="1"/>
    <x v="2"/>
  </r>
  <r>
    <x v="236"/>
    <x v="66"/>
    <x v="0"/>
    <x v="0"/>
    <x v="2"/>
    <x v="7"/>
    <x v="2"/>
    <x v="1"/>
    <x v="1"/>
    <x v="1"/>
    <x v="1"/>
    <x v="2"/>
    <x v="7"/>
    <x v="14"/>
    <x v="35"/>
    <x v="18"/>
    <x v="12"/>
    <x v="635"/>
    <x v="579"/>
    <x v="632"/>
    <x v="1226"/>
    <x v="511"/>
    <x v="0"/>
    <x v="1"/>
    <x v="0"/>
  </r>
  <r>
    <x v="237"/>
    <x v="73"/>
    <x v="0"/>
    <x v="0"/>
    <x v="2"/>
    <x v="7"/>
    <x v="2"/>
    <x v="1"/>
    <x v="1"/>
    <x v="0"/>
    <x v="1"/>
    <x v="2"/>
    <x v="7"/>
    <x v="14"/>
    <x v="12"/>
    <x v="18"/>
    <x v="12"/>
    <x v="320"/>
    <x v="298"/>
    <x v="747"/>
    <x v="574"/>
    <x v="320"/>
    <x v="1"/>
    <x v="1"/>
    <x v="2"/>
  </r>
  <r>
    <x v="238"/>
    <x v="80"/>
    <x v="0"/>
    <x v="0"/>
    <x v="2"/>
    <x v="7"/>
    <x v="2"/>
    <x v="1"/>
    <x v="1"/>
    <x v="1"/>
    <x v="1"/>
    <x v="2"/>
    <x v="6"/>
    <x v="12"/>
    <x v="33"/>
    <x v="3"/>
    <x v="2"/>
    <x v="193"/>
    <x v="163"/>
    <x v="109"/>
    <x v="487"/>
    <x v="1110"/>
    <x v="1"/>
    <x v="1"/>
    <x v="2"/>
  </r>
  <r>
    <x v="239"/>
    <x v="60"/>
    <x v="0"/>
    <x v="0"/>
    <x v="2"/>
    <x v="7"/>
    <x v="2"/>
    <x v="1"/>
    <x v="1"/>
    <x v="0"/>
    <x v="1"/>
    <x v="2"/>
    <x v="6"/>
    <x v="12"/>
    <x v="12"/>
    <x v="3"/>
    <x v="2"/>
    <x v="30"/>
    <x v="31"/>
    <x v="191"/>
    <x v="73"/>
    <x v="904"/>
    <x v="1"/>
    <x v="1"/>
    <x v="2"/>
  </r>
  <r>
    <x v="240"/>
    <x v="67"/>
    <x v="0"/>
    <x v="0"/>
    <x v="2"/>
    <x v="7"/>
    <x v="2"/>
    <x v="3"/>
    <x v="3"/>
    <x v="1"/>
    <x v="3"/>
    <x v="6"/>
    <x v="1"/>
    <x v="2"/>
    <x v="8"/>
    <x v="25"/>
    <x v="16"/>
    <x v="813"/>
    <x v="728"/>
    <x v="1020"/>
    <x v="1519"/>
    <x v="286"/>
    <x v="0"/>
    <x v="1"/>
    <x v="0"/>
  </r>
  <r>
    <x v="241"/>
    <x v="74"/>
    <x v="0"/>
    <x v="0"/>
    <x v="2"/>
    <x v="7"/>
    <x v="2"/>
    <x v="3"/>
    <x v="3"/>
    <x v="0"/>
    <x v="3"/>
    <x v="6"/>
    <x v="1"/>
    <x v="2"/>
    <x v="2"/>
    <x v="25"/>
    <x v="16"/>
    <x v="634"/>
    <x v="592"/>
    <x v="1108"/>
    <x v="1144"/>
    <x v="170"/>
    <x v="1"/>
    <x v="1"/>
    <x v="0"/>
  </r>
  <r>
    <x v="242"/>
    <x v="54"/>
    <x v="0"/>
    <x v="0"/>
    <x v="2"/>
    <x v="7"/>
    <x v="2"/>
    <x v="3"/>
    <x v="3"/>
    <x v="1"/>
    <x v="3"/>
    <x v="6"/>
    <x v="2"/>
    <x v="4"/>
    <x v="7"/>
    <x v="22"/>
    <x v="14"/>
    <x v="583"/>
    <x v="548"/>
    <x v="551"/>
    <x v="1110"/>
    <x v="374"/>
    <x v="0"/>
    <x v="1"/>
    <x v="0"/>
  </r>
  <r>
    <x v="243"/>
    <x v="61"/>
    <x v="0"/>
    <x v="0"/>
    <x v="2"/>
    <x v="7"/>
    <x v="2"/>
    <x v="3"/>
    <x v="3"/>
    <x v="0"/>
    <x v="3"/>
    <x v="6"/>
    <x v="2"/>
    <x v="4"/>
    <x v="1"/>
    <x v="22"/>
    <x v="14"/>
    <x v="220"/>
    <x v="229"/>
    <x v="621"/>
    <x v="360"/>
    <x v="220"/>
    <x v="1"/>
    <x v="1"/>
    <x v="2"/>
  </r>
  <r>
    <x v="244"/>
    <x v="68"/>
    <x v="0"/>
    <x v="0"/>
    <x v="2"/>
    <x v="7"/>
    <x v="2"/>
    <x v="3"/>
    <x v="3"/>
    <x v="1"/>
    <x v="3"/>
    <x v="6"/>
    <x v="5"/>
    <x v="10"/>
    <x v="7"/>
    <x v="28"/>
    <x v="18"/>
    <x v="829"/>
    <x v="744"/>
    <x v="1076"/>
    <x v="1528"/>
    <x v="104"/>
    <x v="1"/>
    <x v="1"/>
    <x v="0"/>
  </r>
  <r>
    <x v="245"/>
    <x v="75"/>
    <x v="0"/>
    <x v="0"/>
    <x v="2"/>
    <x v="7"/>
    <x v="2"/>
    <x v="3"/>
    <x v="3"/>
    <x v="0"/>
    <x v="3"/>
    <x v="6"/>
    <x v="5"/>
    <x v="10"/>
    <x v="1"/>
    <x v="28"/>
    <x v="18"/>
    <x v="644"/>
    <x v="623"/>
    <x v="1118"/>
    <x v="1023"/>
    <x v="62"/>
    <x v="2"/>
    <x v="1"/>
    <x v="0"/>
  </r>
  <r>
    <x v="246"/>
    <x v="55"/>
    <x v="0"/>
    <x v="0"/>
    <x v="2"/>
    <x v="7"/>
    <x v="2"/>
    <x v="3"/>
    <x v="3"/>
    <x v="1"/>
    <x v="0"/>
    <x v="0"/>
    <x v="3"/>
    <x v="6"/>
    <x v="38"/>
    <x v="0"/>
    <x v="0"/>
    <x v="169"/>
    <x v="129"/>
    <x v="90"/>
    <x v="477"/>
    <x v="1251"/>
    <x v="1"/>
    <x v="1"/>
    <x v="2"/>
  </r>
  <r>
    <x v="247"/>
    <x v="62"/>
    <x v="0"/>
    <x v="0"/>
    <x v="2"/>
    <x v="7"/>
    <x v="2"/>
    <x v="3"/>
    <x v="3"/>
    <x v="0"/>
    <x v="0"/>
    <x v="0"/>
    <x v="3"/>
    <x v="6"/>
    <x v="12"/>
    <x v="0"/>
    <x v="0"/>
    <x v="15"/>
    <x v="13"/>
    <x v="132"/>
    <x v="50"/>
    <x v="1128"/>
    <x v="1"/>
    <x v="1"/>
    <x v="2"/>
  </r>
  <r>
    <x v="248"/>
    <x v="69"/>
    <x v="0"/>
    <x v="0"/>
    <x v="2"/>
    <x v="7"/>
    <x v="2"/>
    <x v="3"/>
    <x v="3"/>
    <x v="1"/>
    <x v="0"/>
    <x v="0"/>
    <x v="8"/>
    <x v="16"/>
    <x v="31"/>
    <x v="12"/>
    <x v="6"/>
    <x v="498"/>
    <x v="419"/>
    <x v="424"/>
    <x v="1100"/>
    <x v="1161"/>
    <x v="0"/>
    <x v="1"/>
    <x v="0"/>
  </r>
  <r>
    <x v="249"/>
    <x v="76"/>
    <x v="0"/>
    <x v="0"/>
    <x v="2"/>
    <x v="7"/>
    <x v="2"/>
    <x v="3"/>
    <x v="3"/>
    <x v="0"/>
    <x v="0"/>
    <x v="0"/>
    <x v="8"/>
    <x v="16"/>
    <x v="15"/>
    <x v="12"/>
    <x v="6"/>
    <x v="274"/>
    <x v="226"/>
    <x v="695"/>
    <x v="625"/>
    <x v="933"/>
    <x v="1"/>
    <x v="1"/>
    <x v="2"/>
  </r>
  <r>
    <x v="250"/>
    <x v="56"/>
    <x v="0"/>
    <x v="0"/>
    <x v="2"/>
    <x v="7"/>
    <x v="2"/>
    <x v="3"/>
    <x v="3"/>
    <x v="1"/>
    <x v="0"/>
    <x v="0"/>
    <x v="9"/>
    <x v="18"/>
    <x v="40"/>
    <x v="6"/>
    <x v="4"/>
    <x v="449"/>
    <x v="405"/>
    <x v="358"/>
    <x v="948"/>
    <x v="852"/>
    <x v="1"/>
    <x v="1"/>
    <x v="2"/>
  </r>
  <r>
    <x v="251"/>
    <x v="63"/>
    <x v="0"/>
    <x v="0"/>
    <x v="2"/>
    <x v="7"/>
    <x v="2"/>
    <x v="3"/>
    <x v="3"/>
    <x v="0"/>
    <x v="0"/>
    <x v="0"/>
    <x v="9"/>
    <x v="18"/>
    <x v="15"/>
    <x v="6"/>
    <x v="4"/>
    <x v="165"/>
    <x v="153"/>
    <x v="528"/>
    <x v="331"/>
    <x v="591"/>
    <x v="1"/>
    <x v="1"/>
    <x v="2"/>
  </r>
  <r>
    <x v="252"/>
    <x v="70"/>
    <x v="0"/>
    <x v="0"/>
    <x v="2"/>
    <x v="7"/>
    <x v="2"/>
    <x v="3"/>
    <x v="3"/>
    <x v="1"/>
    <x v="2"/>
    <x v="4"/>
    <x v="0"/>
    <x v="0"/>
    <x v="13"/>
    <x v="15"/>
    <x v="10"/>
    <x v="316"/>
    <x v="271"/>
    <x v="201"/>
    <x v="715"/>
    <x v="968"/>
    <x v="1"/>
    <x v="1"/>
    <x v="2"/>
  </r>
  <r>
    <x v="253"/>
    <x v="77"/>
    <x v="0"/>
    <x v="0"/>
    <x v="2"/>
    <x v="7"/>
    <x v="2"/>
    <x v="3"/>
    <x v="3"/>
    <x v="0"/>
    <x v="2"/>
    <x v="4"/>
    <x v="0"/>
    <x v="0"/>
    <x v="4"/>
    <x v="15"/>
    <x v="10"/>
    <x v="76"/>
    <x v="70"/>
    <x v="321"/>
    <x v="165"/>
    <x v="699"/>
    <x v="1"/>
    <x v="1"/>
    <x v="2"/>
  </r>
  <r>
    <x v="254"/>
    <x v="57"/>
    <x v="0"/>
    <x v="0"/>
    <x v="2"/>
    <x v="7"/>
    <x v="2"/>
    <x v="3"/>
    <x v="3"/>
    <x v="1"/>
    <x v="2"/>
    <x v="4"/>
    <x v="4"/>
    <x v="8"/>
    <x v="17"/>
    <x v="9"/>
    <x v="7"/>
    <x v="274"/>
    <x v="258"/>
    <x v="176"/>
    <x v="578"/>
    <x v="681"/>
    <x v="1"/>
    <x v="1"/>
    <x v="2"/>
  </r>
  <r>
    <x v="255"/>
    <x v="64"/>
    <x v="0"/>
    <x v="0"/>
    <x v="2"/>
    <x v="7"/>
    <x v="2"/>
    <x v="3"/>
    <x v="3"/>
    <x v="0"/>
    <x v="2"/>
    <x v="4"/>
    <x v="4"/>
    <x v="8"/>
    <x v="5"/>
    <x v="9"/>
    <x v="7"/>
    <x v="46"/>
    <x v="56"/>
    <x v="240"/>
    <x v="83"/>
    <x v="437"/>
    <x v="1"/>
    <x v="1"/>
    <x v="2"/>
  </r>
  <r>
    <x v="256"/>
    <x v="71"/>
    <x v="0"/>
    <x v="0"/>
    <x v="2"/>
    <x v="7"/>
    <x v="2"/>
    <x v="3"/>
    <x v="3"/>
    <x v="1"/>
    <x v="1"/>
    <x v="2"/>
    <x v="7"/>
    <x v="14"/>
    <x v="25"/>
    <x v="18"/>
    <x v="12"/>
    <x v="540"/>
    <x v="497"/>
    <x v="479"/>
    <x v="1060"/>
    <x v="512"/>
    <x v="0"/>
    <x v="1"/>
    <x v="0"/>
  </r>
  <r>
    <x v="257"/>
    <x v="78"/>
    <x v="0"/>
    <x v="0"/>
    <x v="2"/>
    <x v="7"/>
    <x v="2"/>
    <x v="3"/>
    <x v="3"/>
    <x v="0"/>
    <x v="1"/>
    <x v="2"/>
    <x v="7"/>
    <x v="14"/>
    <x v="8"/>
    <x v="18"/>
    <x v="12"/>
    <x v="207"/>
    <x v="206"/>
    <x v="609"/>
    <x v="376"/>
    <x v="317"/>
    <x v="1"/>
    <x v="1"/>
    <x v="2"/>
  </r>
  <r>
    <x v="258"/>
    <x v="58"/>
    <x v="0"/>
    <x v="0"/>
    <x v="2"/>
    <x v="7"/>
    <x v="2"/>
    <x v="3"/>
    <x v="3"/>
    <x v="1"/>
    <x v="1"/>
    <x v="2"/>
    <x v="6"/>
    <x v="12"/>
    <x v="24"/>
    <x v="3"/>
    <x v="2"/>
    <x v="118"/>
    <x v="102"/>
    <x v="55"/>
    <x v="317"/>
    <x v="1115"/>
    <x v="1"/>
    <x v="1"/>
    <x v="2"/>
  </r>
  <r>
    <x v="259"/>
    <x v="65"/>
    <x v="0"/>
    <x v="0"/>
    <x v="2"/>
    <x v="7"/>
    <x v="2"/>
    <x v="3"/>
    <x v="3"/>
    <x v="0"/>
    <x v="1"/>
    <x v="2"/>
    <x v="6"/>
    <x v="12"/>
    <x v="8"/>
    <x v="3"/>
    <x v="2"/>
    <x v="10"/>
    <x v="11"/>
    <x v="109"/>
    <x v="26"/>
    <x v="901"/>
    <x v="1"/>
    <x v="1"/>
    <x v="2"/>
  </r>
  <r>
    <x v="260"/>
    <x v="72"/>
    <x v="0"/>
    <x v="0"/>
    <x v="2"/>
    <x v="7"/>
    <x v="2"/>
    <x v="2"/>
    <x v="2"/>
    <x v="1"/>
    <x v="3"/>
    <x v="6"/>
    <x v="1"/>
    <x v="2"/>
    <x v="3"/>
    <x v="25"/>
    <x v="16"/>
    <x v="697"/>
    <x v="645"/>
    <x v="720"/>
    <x v="1280"/>
    <x v="286"/>
    <x v="0"/>
    <x v="1"/>
    <x v="0"/>
  </r>
  <r>
    <x v="261"/>
    <x v="79"/>
    <x v="0"/>
    <x v="0"/>
    <x v="2"/>
    <x v="7"/>
    <x v="2"/>
    <x v="2"/>
    <x v="2"/>
    <x v="0"/>
    <x v="3"/>
    <x v="6"/>
    <x v="1"/>
    <x v="2"/>
    <x v="0"/>
    <x v="25"/>
    <x v="16"/>
    <x v="407"/>
    <x v="404"/>
    <x v="868"/>
    <x v="693"/>
    <x v="172"/>
    <x v="1"/>
    <x v="1"/>
    <x v="2"/>
  </r>
  <r>
    <x v="262"/>
    <x v="59"/>
    <x v="0"/>
    <x v="0"/>
    <x v="2"/>
    <x v="7"/>
    <x v="2"/>
    <x v="2"/>
    <x v="2"/>
    <x v="1"/>
    <x v="3"/>
    <x v="6"/>
    <x v="2"/>
    <x v="4"/>
    <x v="3"/>
    <x v="22"/>
    <x v="14"/>
    <x v="384"/>
    <x v="374"/>
    <x v="273"/>
    <x v="729"/>
    <x v="378"/>
    <x v="1"/>
    <x v="1"/>
    <x v="2"/>
  </r>
  <r>
    <x v="263"/>
    <x v="66"/>
    <x v="0"/>
    <x v="0"/>
    <x v="2"/>
    <x v="7"/>
    <x v="2"/>
    <x v="2"/>
    <x v="2"/>
    <x v="0"/>
    <x v="3"/>
    <x v="6"/>
    <x v="2"/>
    <x v="4"/>
    <x v="0"/>
    <x v="22"/>
    <x v="14"/>
    <x v="116"/>
    <x v="132"/>
    <x v="426"/>
    <x v="172"/>
    <x v="222"/>
    <x v="1"/>
    <x v="1"/>
    <x v="2"/>
  </r>
  <r>
    <x v="264"/>
    <x v="73"/>
    <x v="0"/>
    <x v="0"/>
    <x v="2"/>
    <x v="7"/>
    <x v="2"/>
    <x v="2"/>
    <x v="2"/>
    <x v="1"/>
    <x v="3"/>
    <x v="6"/>
    <x v="5"/>
    <x v="10"/>
    <x v="4"/>
    <x v="28"/>
    <x v="18"/>
    <x v="793"/>
    <x v="724"/>
    <x v="944"/>
    <x v="1407"/>
    <x v="113"/>
    <x v="1"/>
    <x v="1"/>
    <x v="0"/>
  </r>
  <r>
    <x v="265"/>
    <x v="80"/>
    <x v="0"/>
    <x v="0"/>
    <x v="2"/>
    <x v="7"/>
    <x v="2"/>
    <x v="2"/>
    <x v="2"/>
    <x v="0"/>
    <x v="3"/>
    <x v="6"/>
    <x v="5"/>
    <x v="10"/>
    <x v="1"/>
    <x v="28"/>
    <x v="18"/>
    <x v="644"/>
    <x v="623"/>
    <x v="1118"/>
    <x v="1023"/>
    <x v="62"/>
    <x v="2"/>
    <x v="1"/>
    <x v="0"/>
  </r>
  <r>
    <x v="266"/>
    <x v="60"/>
    <x v="0"/>
    <x v="0"/>
    <x v="2"/>
    <x v="7"/>
    <x v="2"/>
    <x v="2"/>
    <x v="2"/>
    <x v="1"/>
    <x v="0"/>
    <x v="0"/>
    <x v="3"/>
    <x v="6"/>
    <x v="28"/>
    <x v="0"/>
    <x v="0"/>
    <x v="99"/>
    <x v="79"/>
    <x v="44"/>
    <x v="308"/>
    <x v="1243"/>
    <x v="1"/>
    <x v="1"/>
    <x v="2"/>
  </r>
  <r>
    <x v="267"/>
    <x v="67"/>
    <x v="0"/>
    <x v="0"/>
    <x v="2"/>
    <x v="7"/>
    <x v="2"/>
    <x v="2"/>
    <x v="2"/>
    <x v="0"/>
    <x v="0"/>
    <x v="0"/>
    <x v="3"/>
    <x v="6"/>
    <x v="10"/>
    <x v="0"/>
    <x v="0"/>
    <x v="8"/>
    <x v="9"/>
    <x v="99"/>
    <x v="31"/>
    <x v="1123"/>
    <x v="1"/>
    <x v="1"/>
    <x v="2"/>
  </r>
  <r>
    <x v="268"/>
    <x v="74"/>
    <x v="0"/>
    <x v="0"/>
    <x v="2"/>
    <x v="7"/>
    <x v="2"/>
    <x v="2"/>
    <x v="2"/>
    <x v="1"/>
    <x v="0"/>
    <x v="0"/>
    <x v="8"/>
    <x v="16"/>
    <x v="31"/>
    <x v="12"/>
    <x v="6"/>
    <x v="498"/>
    <x v="419"/>
    <x v="424"/>
    <x v="1100"/>
    <x v="1161"/>
    <x v="0"/>
    <x v="1"/>
    <x v="0"/>
  </r>
  <r>
    <x v="269"/>
    <x v="54"/>
    <x v="0"/>
    <x v="0"/>
    <x v="2"/>
    <x v="7"/>
    <x v="2"/>
    <x v="2"/>
    <x v="2"/>
    <x v="0"/>
    <x v="0"/>
    <x v="0"/>
    <x v="8"/>
    <x v="16"/>
    <x v="11"/>
    <x v="12"/>
    <x v="6"/>
    <x v="196"/>
    <x v="161"/>
    <x v="587"/>
    <x v="463"/>
    <x v="933"/>
    <x v="1"/>
    <x v="1"/>
    <x v="2"/>
  </r>
  <r>
    <x v="270"/>
    <x v="61"/>
    <x v="0"/>
    <x v="0"/>
    <x v="2"/>
    <x v="7"/>
    <x v="2"/>
    <x v="2"/>
    <x v="2"/>
    <x v="1"/>
    <x v="0"/>
    <x v="0"/>
    <x v="9"/>
    <x v="18"/>
    <x v="30"/>
    <x v="6"/>
    <x v="4"/>
    <x v="358"/>
    <x v="316"/>
    <x v="239"/>
    <x v="782"/>
    <x v="848"/>
    <x v="1"/>
    <x v="1"/>
    <x v="2"/>
  </r>
  <r>
    <x v="271"/>
    <x v="68"/>
    <x v="0"/>
    <x v="0"/>
    <x v="2"/>
    <x v="7"/>
    <x v="2"/>
    <x v="2"/>
    <x v="2"/>
    <x v="0"/>
    <x v="0"/>
    <x v="0"/>
    <x v="9"/>
    <x v="18"/>
    <x v="9"/>
    <x v="6"/>
    <x v="4"/>
    <x v="73"/>
    <x v="74"/>
    <x v="318"/>
    <x v="145"/>
    <x v="588"/>
    <x v="1"/>
    <x v="1"/>
    <x v="2"/>
  </r>
  <r>
    <x v="272"/>
    <x v="75"/>
    <x v="0"/>
    <x v="0"/>
    <x v="2"/>
    <x v="7"/>
    <x v="2"/>
    <x v="2"/>
    <x v="2"/>
    <x v="1"/>
    <x v="2"/>
    <x v="4"/>
    <x v="0"/>
    <x v="0"/>
    <x v="10"/>
    <x v="15"/>
    <x v="10"/>
    <x v="237"/>
    <x v="208"/>
    <x v="142"/>
    <x v="561"/>
    <x v="976"/>
    <x v="1"/>
    <x v="1"/>
    <x v="2"/>
  </r>
  <r>
    <x v="273"/>
    <x v="55"/>
    <x v="0"/>
    <x v="0"/>
    <x v="2"/>
    <x v="7"/>
    <x v="2"/>
    <x v="2"/>
    <x v="2"/>
    <x v="0"/>
    <x v="2"/>
    <x v="4"/>
    <x v="0"/>
    <x v="0"/>
    <x v="3"/>
    <x v="15"/>
    <x v="10"/>
    <x v="48"/>
    <x v="49"/>
    <x v="242"/>
    <x v="108"/>
    <x v="699"/>
    <x v="1"/>
    <x v="1"/>
    <x v="2"/>
  </r>
  <r>
    <x v="274"/>
    <x v="62"/>
    <x v="0"/>
    <x v="0"/>
    <x v="2"/>
    <x v="7"/>
    <x v="2"/>
    <x v="2"/>
    <x v="2"/>
    <x v="1"/>
    <x v="2"/>
    <x v="4"/>
    <x v="4"/>
    <x v="8"/>
    <x v="11"/>
    <x v="9"/>
    <x v="7"/>
    <x v="165"/>
    <x v="162"/>
    <x v="87"/>
    <x v="351"/>
    <x v="686"/>
    <x v="1"/>
    <x v="1"/>
    <x v="2"/>
  </r>
  <r>
    <x v="275"/>
    <x v="69"/>
    <x v="0"/>
    <x v="0"/>
    <x v="2"/>
    <x v="7"/>
    <x v="2"/>
    <x v="2"/>
    <x v="2"/>
    <x v="0"/>
    <x v="2"/>
    <x v="4"/>
    <x v="4"/>
    <x v="8"/>
    <x v="4"/>
    <x v="9"/>
    <x v="7"/>
    <x v="34"/>
    <x v="41"/>
    <x v="198"/>
    <x v="56"/>
    <x v="438"/>
    <x v="1"/>
    <x v="1"/>
    <x v="2"/>
  </r>
  <r>
    <x v="276"/>
    <x v="76"/>
    <x v="0"/>
    <x v="0"/>
    <x v="2"/>
    <x v="7"/>
    <x v="2"/>
    <x v="2"/>
    <x v="2"/>
    <x v="1"/>
    <x v="1"/>
    <x v="2"/>
    <x v="7"/>
    <x v="14"/>
    <x v="13"/>
    <x v="18"/>
    <x v="12"/>
    <x v="342"/>
    <x v="319"/>
    <x v="223"/>
    <x v="675"/>
    <x v="522"/>
    <x v="1"/>
    <x v="1"/>
    <x v="2"/>
  </r>
  <r>
    <x v="277"/>
    <x v="56"/>
    <x v="0"/>
    <x v="0"/>
    <x v="2"/>
    <x v="7"/>
    <x v="2"/>
    <x v="2"/>
    <x v="2"/>
    <x v="0"/>
    <x v="1"/>
    <x v="2"/>
    <x v="7"/>
    <x v="14"/>
    <x v="6"/>
    <x v="18"/>
    <x v="12"/>
    <x v="150"/>
    <x v="157"/>
    <x v="495"/>
    <x v="247"/>
    <x v="315"/>
    <x v="1"/>
    <x v="1"/>
    <x v="2"/>
  </r>
  <r>
    <x v="278"/>
    <x v="63"/>
    <x v="0"/>
    <x v="0"/>
    <x v="2"/>
    <x v="7"/>
    <x v="2"/>
    <x v="2"/>
    <x v="2"/>
    <x v="1"/>
    <x v="1"/>
    <x v="2"/>
    <x v="6"/>
    <x v="12"/>
    <x v="18"/>
    <x v="3"/>
    <x v="2"/>
    <x v="70"/>
    <x v="63"/>
    <x v="26"/>
    <x v="202"/>
    <x v="1117"/>
    <x v="1"/>
    <x v="1"/>
    <x v="2"/>
  </r>
  <r>
    <x v="279"/>
    <x v="70"/>
    <x v="0"/>
    <x v="0"/>
    <x v="2"/>
    <x v="7"/>
    <x v="2"/>
    <x v="2"/>
    <x v="2"/>
    <x v="0"/>
    <x v="1"/>
    <x v="2"/>
    <x v="6"/>
    <x v="12"/>
    <x v="4"/>
    <x v="3"/>
    <x v="2"/>
    <x v="1"/>
    <x v="1"/>
    <x v="28"/>
    <x v="4"/>
    <x v="907"/>
    <x v="2"/>
    <x v="1"/>
    <x v="1"/>
  </r>
  <r>
    <x v="280"/>
    <x v="77"/>
    <x v="0"/>
    <x v="0"/>
    <x v="2"/>
    <x v="7"/>
    <x v="2"/>
    <x v="4"/>
    <x v="4"/>
    <x v="1"/>
    <x v="3"/>
    <x v="6"/>
    <x v="1"/>
    <x v="2"/>
    <x v="4"/>
    <x v="25"/>
    <x v="16"/>
    <x v="739"/>
    <x v="671"/>
    <x v="809"/>
    <x v="1363"/>
    <x v="288"/>
    <x v="0"/>
    <x v="1"/>
    <x v="0"/>
  </r>
  <r>
    <x v="281"/>
    <x v="57"/>
    <x v="0"/>
    <x v="0"/>
    <x v="2"/>
    <x v="7"/>
    <x v="2"/>
    <x v="4"/>
    <x v="4"/>
    <x v="0"/>
    <x v="3"/>
    <x v="6"/>
    <x v="1"/>
    <x v="2"/>
    <x v="1"/>
    <x v="25"/>
    <x v="16"/>
    <x v="548"/>
    <x v="519"/>
    <x v="1032"/>
    <x v="946"/>
    <x v="169"/>
    <x v="1"/>
    <x v="1"/>
    <x v="0"/>
  </r>
  <r>
    <x v="282"/>
    <x v="64"/>
    <x v="0"/>
    <x v="0"/>
    <x v="2"/>
    <x v="7"/>
    <x v="2"/>
    <x v="4"/>
    <x v="4"/>
    <x v="1"/>
    <x v="3"/>
    <x v="6"/>
    <x v="2"/>
    <x v="4"/>
    <x v="4"/>
    <x v="22"/>
    <x v="14"/>
    <x v="445"/>
    <x v="429"/>
    <x v="354"/>
    <x v="853"/>
    <x v="381"/>
    <x v="1"/>
    <x v="1"/>
    <x v="2"/>
  </r>
  <r>
    <x v="283"/>
    <x v="71"/>
    <x v="0"/>
    <x v="0"/>
    <x v="2"/>
    <x v="7"/>
    <x v="2"/>
    <x v="4"/>
    <x v="4"/>
    <x v="0"/>
    <x v="3"/>
    <x v="6"/>
    <x v="2"/>
    <x v="4"/>
    <x v="0"/>
    <x v="22"/>
    <x v="14"/>
    <x v="116"/>
    <x v="132"/>
    <x v="426"/>
    <x v="172"/>
    <x v="222"/>
    <x v="1"/>
    <x v="1"/>
    <x v="2"/>
  </r>
  <r>
    <x v="284"/>
    <x v="78"/>
    <x v="0"/>
    <x v="0"/>
    <x v="2"/>
    <x v="7"/>
    <x v="2"/>
    <x v="4"/>
    <x v="4"/>
    <x v="1"/>
    <x v="3"/>
    <x v="6"/>
    <x v="5"/>
    <x v="10"/>
    <x v="3"/>
    <x v="28"/>
    <x v="18"/>
    <x v="760"/>
    <x v="707"/>
    <x v="859"/>
    <x v="1335"/>
    <x v="109"/>
    <x v="1"/>
    <x v="1"/>
    <x v="0"/>
  </r>
  <r>
    <x v="285"/>
    <x v="58"/>
    <x v="0"/>
    <x v="0"/>
    <x v="2"/>
    <x v="7"/>
    <x v="2"/>
    <x v="4"/>
    <x v="4"/>
    <x v="0"/>
    <x v="3"/>
    <x v="6"/>
    <x v="5"/>
    <x v="10"/>
    <x v="0"/>
    <x v="28"/>
    <x v="18"/>
    <x v="517"/>
    <x v="521"/>
    <x v="1007"/>
    <x v="764"/>
    <x v="59"/>
    <x v="2"/>
    <x v="1"/>
    <x v="0"/>
  </r>
  <r>
    <x v="286"/>
    <x v="65"/>
    <x v="0"/>
    <x v="0"/>
    <x v="2"/>
    <x v="7"/>
    <x v="2"/>
    <x v="4"/>
    <x v="4"/>
    <x v="1"/>
    <x v="0"/>
    <x v="0"/>
    <x v="3"/>
    <x v="6"/>
    <x v="23"/>
    <x v="0"/>
    <x v="0"/>
    <x v="70"/>
    <x v="55"/>
    <x v="26"/>
    <x v="221"/>
    <x v="1253"/>
    <x v="1"/>
    <x v="1"/>
    <x v="2"/>
  </r>
  <r>
    <x v="287"/>
    <x v="72"/>
    <x v="0"/>
    <x v="0"/>
    <x v="2"/>
    <x v="7"/>
    <x v="2"/>
    <x v="4"/>
    <x v="4"/>
    <x v="0"/>
    <x v="0"/>
    <x v="0"/>
    <x v="3"/>
    <x v="6"/>
    <x v="10"/>
    <x v="0"/>
    <x v="0"/>
    <x v="8"/>
    <x v="9"/>
    <x v="99"/>
    <x v="31"/>
    <x v="1123"/>
    <x v="1"/>
    <x v="1"/>
    <x v="2"/>
  </r>
  <r>
    <x v="288"/>
    <x v="79"/>
    <x v="0"/>
    <x v="0"/>
    <x v="2"/>
    <x v="7"/>
    <x v="2"/>
    <x v="4"/>
    <x v="4"/>
    <x v="1"/>
    <x v="0"/>
    <x v="0"/>
    <x v="8"/>
    <x v="16"/>
    <x v="23"/>
    <x v="12"/>
    <x v="6"/>
    <x v="403"/>
    <x v="333"/>
    <x v="297"/>
    <x v="917"/>
    <x v="1168"/>
    <x v="1"/>
    <x v="1"/>
    <x v="2"/>
  </r>
  <r>
    <x v="289"/>
    <x v="59"/>
    <x v="0"/>
    <x v="0"/>
    <x v="2"/>
    <x v="7"/>
    <x v="2"/>
    <x v="4"/>
    <x v="4"/>
    <x v="0"/>
    <x v="0"/>
    <x v="0"/>
    <x v="8"/>
    <x v="16"/>
    <x v="9"/>
    <x v="12"/>
    <x v="6"/>
    <x v="152"/>
    <x v="123"/>
    <x v="498"/>
    <x v="366"/>
    <x v="933"/>
    <x v="1"/>
    <x v="1"/>
    <x v="2"/>
  </r>
  <r>
    <x v="290"/>
    <x v="66"/>
    <x v="0"/>
    <x v="0"/>
    <x v="2"/>
    <x v="7"/>
    <x v="2"/>
    <x v="4"/>
    <x v="4"/>
    <x v="1"/>
    <x v="0"/>
    <x v="0"/>
    <x v="9"/>
    <x v="18"/>
    <x v="29"/>
    <x v="6"/>
    <x v="4"/>
    <x v="350"/>
    <x v="308"/>
    <x v="233"/>
    <x v="762"/>
    <x v="836"/>
    <x v="1"/>
    <x v="1"/>
    <x v="2"/>
  </r>
  <r>
    <x v="291"/>
    <x v="73"/>
    <x v="0"/>
    <x v="0"/>
    <x v="2"/>
    <x v="7"/>
    <x v="2"/>
    <x v="4"/>
    <x v="4"/>
    <x v="0"/>
    <x v="0"/>
    <x v="0"/>
    <x v="9"/>
    <x v="18"/>
    <x v="10"/>
    <x v="6"/>
    <x v="4"/>
    <x v="89"/>
    <x v="84"/>
    <x v="358"/>
    <x v="182"/>
    <x v="592"/>
    <x v="1"/>
    <x v="1"/>
    <x v="2"/>
  </r>
  <r>
    <x v="292"/>
    <x v="80"/>
    <x v="0"/>
    <x v="0"/>
    <x v="2"/>
    <x v="7"/>
    <x v="2"/>
    <x v="4"/>
    <x v="4"/>
    <x v="1"/>
    <x v="2"/>
    <x v="4"/>
    <x v="0"/>
    <x v="0"/>
    <x v="11"/>
    <x v="15"/>
    <x v="10"/>
    <x v="262"/>
    <x v="230"/>
    <x v="162"/>
    <x v="603"/>
    <x v="965"/>
    <x v="1"/>
    <x v="1"/>
    <x v="2"/>
  </r>
  <r>
    <x v="293"/>
    <x v="60"/>
    <x v="0"/>
    <x v="0"/>
    <x v="2"/>
    <x v="7"/>
    <x v="2"/>
    <x v="4"/>
    <x v="4"/>
    <x v="0"/>
    <x v="2"/>
    <x v="4"/>
    <x v="0"/>
    <x v="0"/>
    <x v="3"/>
    <x v="15"/>
    <x v="10"/>
    <x v="48"/>
    <x v="49"/>
    <x v="242"/>
    <x v="108"/>
    <x v="699"/>
    <x v="1"/>
    <x v="1"/>
    <x v="2"/>
  </r>
  <r>
    <x v="294"/>
    <x v="67"/>
    <x v="0"/>
    <x v="0"/>
    <x v="2"/>
    <x v="7"/>
    <x v="2"/>
    <x v="4"/>
    <x v="4"/>
    <x v="1"/>
    <x v="2"/>
    <x v="4"/>
    <x v="4"/>
    <x v="8"/>
    <x v="10"/>
    <x v="9"/>
    <x v="7"/>
    <x v="144"/>
    <x v="144"/>
    <x v="70"/>
    <x v="312"/>
    <x v="670"/>
    <x v="1"/>
    <x v="1"/>
    <x v="2"/>
  </r>
  <r>
    <x v="295"/>
    <x v="74"/>
    <x v="0"/>
    <x v="0"/>
    <x v="2"/>
    <x v="7"/>
    <x v="2"/>
    <x v="4"/>
    <x v="4"/>
    <x v="0"/>
    <x v="2"/>
    <x v="4"/>
    <x v="4"/>
    <x v="8"/>
    <x v="3"/>
    <x v="9"/>
    <x v="7"/>
    <x v="18"/>
    <x v="28"/>
    <x v="149"/>
    <x v="36"/>
    <x v="439"/>
    <x v="1"/>
    <x v="1"/>
    <x v="2"/>
  </r>
  <r>
    <x v="296"/>
    <x v="54"/>
    <x v="0"/>
    <x v="0"/>
    <x v="2"/>
    <x v="7"/>
    <x v="2"/>
    <x v="4"/>
    <x v="4"/>
    <x v="1"/>
    <x v="1"/>
    <x v="2"/>
    <x v="7"/>
    <x v="14"/>
    <x v="17"/>
    <x v="18"/>
    <x v="12"/>
    <x v="414"/>
    <x v="396"/>
    <x v="312"/>
    <x v="830"/>
    <x v="510"/>
    <x v="1"/>
    <x v="1"/>
    <x v="2"/>
  </r>
  <r>
    <x v="297"/>
    <x v="61"/>
    <x v="0"/>
    <x v="0"/>
    <x v="2"/>
    <x v="7"/>
    <x v="2"/>
    <x v="4"/>
    <x v="4"/>
    <x v="0"/>
    <x v="1"/>
    <x v="2"/>
    <x v="7"/>
    <x v="14"/>
    <x v="5"/>
    <x v="18"/>
    <x v="12"/>
    <x v="118"/>
    <x v="126"/>
    <x v="429"/>
    <x v="205"/>
    <x v="314"/>
    <x v="1"/>
    <x v="1"/>
    <x v="2"/>
  </r>
  <r>
    <x v="298"/>
    <x v="68"/>
    <x v="0"/>
    <x v="0"/>
    <x v="2"/>
    <x v="7"/>
    <x v="2"/>
    <x v="4"/>
    <x v="4"/>
    <x v="1"/>
    <x v="1"/>
    <x v="2"/>
    <x v="6"/>
    <x v="12"/>
    <x v="15"/>
    <x v="3"/>
    <x v="2"/>
    <x v="46"/>
    <x v="45"/>
    <x v="8"/>
    <x v="132"/>
    <x v="1108"/>
    <x v="1"/>
    <x v="1"/>
    <x v="2"/>
  </r>
  <r>
    <x v="299"/>
    <x v="75"/>
    <x v="0"/>
    <x v="0"/>
    <x v="2"/>
    <x v="7"/>
    <x v="2"/>
    <x v="4"/>
    <x v="4"/>
    <x v="0"/>
    <x v="1"/>
    <x v="2"/>
    <x v="6"/>
    <x v="12"/>
    <x v="4"/>
    <x v="3"/>
    <x v="2"/>
    <x v="1"/>
    <x v="1"/>
    <x v="28"/>
    <x v="4"/>
    <x v="907"/>
    <x v="2"/>
    <x v="1"/>
    <x v="1"/>
  </r>
  <r>
    <x v="300"/>
    <x v="82"/>
    <x v="0"/>
    <x v="1"/>
    <x v="3"/>
    <x v="0"/>
    <x v="3"/>
    <x v="0"/>
    <x v="0"/>
    <x v="1"/>
    <x v="3"/>
    <x v="6"/>
    <x v="1"/>
    <x v="2"/>
    <x v="18"/>
    <x v="25"/>
    <x v="16"/>
    <x v="859"/>
    <x v="763"/>
    <x v="1186"/>
    <x v="1598"/>
    <x v="286"/>
    <x v="0"/>
    <x v="1"/>
    <x v="0"/>
  </r>
  <r>
    <x v="301"/>
    <x v="89"/>
    <x v="0"/>
    <x v="1"/>
    <x v="3"/>
    <x v="0"/>
    <x v="3"/>
    <x v="0"/>
    <x v="0"/>
    <x v="0"/>
    <x v="3"/>
    <x v="6"/>
    <x v="1"/>
    <x v="2"/>
    <x v="7"/>
    <x v="25"/>
    <x v="16"/>
    <x v="804"/>
    <x v="721"/>
    <x v="1265"/>
    <x v="1472"/>
    <x v="159"/>
    <x v="1"/>
    <x v="1"/>
    <x v="0"/>
  </r>
  <r>
    <x v="302"/>
    <x v="96"/>
    <x v="0"/>
    <x v="1"/>
    <x v="3"/>
    <x v="0"/>
    <x v="3"/>
    <x v="0"/>
    <x v="0"/>
    <x v="1"/>
    <x v="3"/>
    <x v="6"/>
    <x v="2"/>
    <x v="4"/>
    <x v="20"/>
    <x v="22"/>
    <x v="14"/>
    <x v="793"/>
    <x v="712"/>
    <x v="944"/>
    <x v="1481"/>
    <x v="380"/>
    <x v="0"/>
    <x v="1"/>
    <x v="0"/>
  </r>
  <r>
    <x v="303"/>
    <x v="103"/>
    <x v="0"/>
    <x v="1"/>
    <x v="3"/>
    <x v="0"/>
    <x v="3"/>
    <x v="0"/>
    <x v="0"/>
    <x v="0"/>
    <x v="3"/>
    <x v="6"/>
    <x v="2"/>
    <x v="4"/>
    <x v="5"/>
    <x v="22"/>
    <x v="14"/>
    <x v="500"/>
    <x v="476"/>
    <x v="1007"/>
    <x v="891"/>
    <x v="207"/>
    <x v="1"/>
    <x v="1"/>
    <x v="0"/>
  </r>
  <r>
    <x v="304"/>
    <x v="83"/>
    <x v="0"/>
    <x v="1"/>
    <x v="3"/>
    <x v="0"/>
    <x v="3"/>
    <x v="0"/>
    <x v="0"/>
    <x v="1"/>
    <x v="3"/>
    <x v="6"/>
    <x v="5"/>
    <x v="10"/>
    <x v="15"/>
    <x v="28"/>
    <x v="18"/>
    <x v="868"/>
    <x v="774"/>
    <x v="1214"/>
    <x v="1594"/>
    <x v="107"/>
    <x v="1"/>
    <x v="1"/>
    <x v="0"/>
  </r>
  <r>
    <x v="305"/>
    <x v="90"/>
    <x v="0"/>
    <x v="1"/>
    <x v="3"/>
    <x v="0"/>
    <x v="3"/>
    <x v="0"/>
    <x v="0"/>
    <x v="0"/>
    <x v="3"/>
    <x v="6"/>
    <x v="5"/>
    <x v="10"/>
    <x v="7"/>
    <x v="28"/>
    <x v="18"/>
    <x v="829"/>
    <x v="744"/>
    <x v="1299"/>
    <x v="1503"/>
    <x v="50"/>
    <x v="2"/>
    <x v="1"/>
    <x v="0"/>
  </r>
  <r>
    <x v="306"/>
    <x v="97"/>
    <x v="0"/>
    <x v="1"/>
    <x v="3"/>
    <x v="0"/>
    <x v="3"/>
    <x v="0"/>
    <x v="0"/>
    <x v="1"/>
    <x v="0"/>
    <x v="0"/>
    <x v="3"/>
    <x v="6"/>
    <x v="96"/>
    <x v="0"/>
    <x v="0"/>
    <x v="462"/>
    <x v="373"/>
    <x v="377"/>
    <x v="1071"/>
    <x v="1246"/>
    <x v="1"/>
    <x v="1"/>
    <x v="2"/>
  </r>
  <r>
    <x v="307"/>
    <x v="104"/>
    <x v="0"/>
    <x v="1"/>
    <x v="3"/>
    <x v="0"/>
    <x v="3"/>
    <x v="0"/>
    <x v="0"/>
    <x v="0"/>
    <x v="0"/>
    <x v="0"/>
    <x v="3"/>
    <x v="6"/>
    <x v="30"/>
    <x v="0"/>
    <x v="0"/>
    <x v="114"/>
    <x v="87"/>
    <x v="444"/>
    <x v="304"/>
    <x v="1082"/>
    <x v="1"/>
    <x v="1"/>
    <x v="2"/>
  </r>
  <r>
    <x v="308"/>
    <x v="84"/>
    <x v="0"/>
    <x v="1"/>
    <x v="3"/>
    <x v="0"/>
    <x v="3"/>
    <x v="0"/>
    <x v="0"/>
    <x v="1"/>
    <x v="0"/>
    <x v="0"/>
    <x v="8"/>
    <x v="16"/>
    <x v="93"/>
    <x v="12"/>
    <x v="6"/>
    <x v="783"/>
    <x v="683"/>
    <x v="913"/>
    <x v="1527"/>
    <x v="1167"/>
    <x v="0"/>
    <x v="1"/>
    <x v="0"/>
  </r>
  <r>
    <x v="309"/>
    <x v="91"/>
    <x v="0"/>
    <x v="1"/>
    <x v="3"/>
    <x v="0"/>
    <x v="3"/>
    <x v="0"/>
    <x v="0"/>
    <x v="0"/>
    <x v="0"/>
    <x v="0"/>
    <x v="8"/>
    <x v="16"/>
    <x v="33"/>
    <x v="12"/>
    <x v="6"/>
    <x v="520"/>
    <x v="438"/>
    <x v="1025"/>
    <x v="1093"/>
    <x v="926"/>
    <x v="0"/>
    <x v="1"/>
    <x v="0"/>
  </r>
  <r>
    <x v="310"/>
    <x v="98"/>
    <x v="0"/>
    <x v="1"/>
    <x v="3"/>
    <x v="0"/>
    <x v="3"/>
    <x v="0"/>
    <x v="0"/>
    <x v="1"/>
    <x v="0"/>
    <x v="0"/>
    <x v="9"/>
    <x v="18"/>
    <x v="99"/>
    <x v="6"/>
    <x v="4"/>
    <x v="725"/>
    <x v="644"/>
    <x v="776"/>
    <x v="1411"/>
    <x v="841"/>
    <x v="0"/>
    <x v="1"/>
    <x v="0"/>
  </r>
  <r>
    <x v="311"/>
    <x v="105"/>
    <x v="0"/>
    <x v="1"/>
    <x v="3"/>
    <x v="0"/>
    <x v="3"/>
    <x v="0"/>
    <x v="0"/>
    <x v="0"/>
    <x v="0"/>
    <x v="0"/>
    <x v="9"/>
    <x v="18"/>
    <x v="35"/>
    <x v="6"/>
    <x v="4"/>
    <x v="408"/>
    <x v="361"/>
    <x v="885"/>
    <x v="827"/>
    <x v="556"/>
    <x v="1"/>
    <x v="1"/>
    <x v="2"/>
  </r>
  <r>
    <x v="312"/>
    <x v="85"/>
    <x v="0"/>
    <x v="1"/>
    <x v="3"/>
    <x v="0"/>
    <x v="3"/>
    <x v="0"/>
    <x v="0"/>
    <x v="1"/>
    <x v="2"/>
    <x v="4"/>
    <x v="0"/>
    <x v="0"/>
    <x v="44"/>
    <x v="15"/>
    <x v="10"/>
    <x v="671"/>
    <x v="588"/>
    <x v="686"/>
    <x v="1341"/>
    <x v="969"/>
    <x v="0"/>
    <x v="1"/>
    <x v="0"/>
  </r>
  <r>
    <x v="313"/>
    <x v="92"/>
    <x v="0"/>
    <x v="1"/>
    <x v="3"/>
    <x v="0"/>
    <x v="3"/>
    <x v="0"/>
    <x v="0"/>
    <x v="0"/>
    <x v="2"/>
    <x v="4"/>
    <x v="0"/>
    <x v="0"/>
    <x v="16"/>
    <x v="15"/>
    <x v="10"/>
    <x v="369"/>
    <x v="321"/>
    <x v="844"/>
    <x v="780"/>
    <x v="695"/>
    <x v="1"/>
    <x v="1"/>
    <x v="2"/>
  </r>
  <r>
    <x v="314"/>
    <x v="99"/>
    <x v="0"/>
    <x v="1"/>
    <x v="3"/>
    <x v="0"/>
    <x v="3"/>
    <x v="0"/>
    <x v="0"/>
    <x v="1"/>
    <x v="2"/>
    <x v="4"/>
    <x v="4"/>
    <x v="8"/>
    <x v="33"/>
    <x v="9"/>
    <x v="7"/>
    <x v="481"/>
    <x v="440"/>
    <x v="395"/>
    <x v="976"/>
    <x v="671"/>
    <x v="1"/>
    <x v="1"/>
    <x v="2"/>
  </r>
  <r>
    <x v="315"/>
    <x v="106"/>
    <x v="0"/>
    <x v="1"/>
    <x v="3"/>
    <x v="0"/>
    <x v="3"/>
    <x v="0"/>
    <x v="0"/>
    <x v="0"/>
    <x v="2"/>
    <x v="4"/>
    <x v="4"/>
    <x v="8"/>
    <x v="16"/>
    <x v="9"/>
    <x v="7"/>
    <x v="259"/>
    <x v="246"/>
    <x v="692"/>
    <x v="493"/>
    <x v="411"/>
    <x v="1"/>
    <x v="1"/>
    <x v="2"/>
  </r>
  <r>
    <x v="316"/>
    <x v="86"/>
    <x v="0"/>
    <x v="1"/>
    <x v="3"/>
    <x v="0"/>
    <x v="3"/>
    <x v="0"/>
    <x v="0"/>
    <x v="1"/>
    <x v="1"/>
    <x v="2"/>
    <x v="7"/>
    <x v="14"/>
    <x v="41"/>
    <x v="18"/>
    <x v="12"/>
    <x v="678"/>
    <x v="617"/>
    <x v="688"/>
    <x v="1291"/>
    <x v="513"/>
    <x v="0"/>
    <x v="1"/>
    <x v="0"/>
  </r>
  <r>
    <x v="317"/>
    <x v="93"/>
    <x v="0"/>
    <x v="1"/>
    <x v="3"/>
    <x v="0"/>
    <x v="3"/>
    <x v="0"/>
    <x v="0"/>
    <x v="0"/>
    <x v="1"/>
    <x v="2"/>
    <x v="7"/>
    <x v="14"/>
    <x v="15"/>
    <x v="18"/>
    <x v="12"/>
    <x v="375"/>
    <x v="356"/>
    <x v="852"/>
    <x v="700"/>
    <x v="296"/>
    <x v="1"/>
    <x v="1"/>
    <x v="2"/>
  </r>
  <r>
    <x v="318"/>
    <x v="100"/>
    <x v="0"/>
    <x v="1"/>
    <x v="3"/>
    <x v="0"/>
    <x v="3"/>
    <x v="0"/>
    <x v="0"/>
    <x v="1"/>
    <x v="1"/>
    <x v="2"/>
    <x v="6"/>
    <x v="12"/>
    <x v="51"/>
    <x v="3"/>
    <x v="2"/>
    <x v="329"/>
    <x v="269"/>
    <x v="204"/>
    <x v="761"/>
    <x v="1116"/>
    <x v="1"/>
    <x v="1"/>
    <x v="2"/>
  </r>
  <r>
    <x v="319"/>
    <x v="107"/>
    <x v="0"/>
    <x v="1"/>
    <x v="3"/>
    <x v="0"/>
    <x v="3"/>
    <x v="0"/>
    <x v="0"/>
    <x v="0"/>
    <x v="1"/>
    <x v="2"/>
    <x v="6"/>
    <x v="12"/>
    <x v="18"/>
    <x v="3"/>
    <x v="2"/>
    <x v="70"/>
    <x v="63"/>
    <x v="329"/>
    <x v="170"/>
    <x v="876"/>
    <x v="1"/>
    <x v="1"/>
    <x v="2"/>
  </r>
  <r>
    <x v="320"/>
    <x v="87"/>
    <x v="0"/>
    <x v="1"/>
    <x v="3"/>
    <x v="0"/>
    <x v="3"/>
    <x v="1"/>
    <x v="1"/>
    <x v="1"/>
    <x v="3"/>
    <x v="6"/>
    <x v="1"/>
    <x v="2"/>
    <x v="11"/>
    <x v="25"/>
    <x v="16"/>
    <x v="832"/>
    <x v="742"/>
    <x v="1089"/>
    <x v="1561"/>
    <x v="282"/>
    <x v="0"/>
    <x v="1"/>
    <x v="0"/>
  </r>
  <r>
    <x v="321"/>
    <x v="94"/>
    <x v="0"/>
    <x v="1"/>
    <x v="3"/>
    <x v="0"/>
    <x v="3"/>
    <x v="1"/>
    <x v="1"/>
    <x v="0"/>
    <x v="3"/>
    <x v="6"/>
    <x v="1"/>
    <x v="2"/>
    <x v="3"/>
    <x v="25"/>
    <x v="16"/>
    <x v="697"/>
    <x v="645"/>
    <x v="1169"/>
    <x v="1240"/>
    <x v="161"/>
    <x v="1"/>
    <x v="1"/>
    <x v="0"/>
  </r>
  <r>
    <x v="322"/>
    <x v="101"/>
    <x v="0"/>
    <x v="1"/>
    <x v="3"/>
    <x v="0"/>
    <x v="3"/>
    <x v="1"/>
    <x v="1"/>
    <x v="1"/>
    <x v="3"/>
    <x v="6"/>
    <x v="2"/>
    <x v="4"/>
    <x v="11"/>
    <x v="22"/>
    <x v="14"/>
    <x v="691"/>
    <x v="635"/>
    <x v="708"/>
    <x v="1289"/>
    <x v="373"/>
    <x v="0"/>
    <x v="1"/>
    <x v="0"/>
  </r>
  <r>
    <x v="323"/>
    <x v="81"/>
    <x v="0"/>
    <x v="1"/>
    <x v="3"/>
    <x v="0"/>
    <x v="3"/>
    <x v="1"/>
    <x v="1"/>
    <x v="0"/>
    <x v="3"/>
    <x v="6"/>
    <x v="2"/>
    <x v="4"/>
    <x v="2"/>
    <x v="22"/>
    <x v="14"/>
    <x v="316"/>
    <x v="304"/>
    <x v="762"/>
    <x v="531"/>
    <x v="205"/>
    <x v="1"/>
    <x v="1"/>
    <x v="2"/>
  </r>
  <r>
    <x v="324"/>
    <x v="88"/>
    <x v="0"/>
    <x v="1"/>
    <x v="3"/>
    <x v="0"/>
    <x v="3"/>
    <x v="1"/>
    <x v="1"/>
    <x v="1"/>
    <x v="3"/>
    <x v="6"/>
    <x v="5"/>
    <x v="10"/>
    <x v="8"/>
    <x v="28"/>
    <x v="18"/>
    <x v="835"/>
    <x v="748"/>
    <x v="1105"/>
    <x v="1541"/>
    <x v="109"/>
    <x v="1"/>
    <x v="1"/>
    <x v="0"/>
  </r>
  <r>
    <x v="325"/>
    <x v="95"/>
    <x v="0"/>
    <x v="1"/>
    <x v="3"/>
    <x v="0"/>
    <x v="3"/>
    <x v="1"/>
    <x v="1"/>
    <x v="0"/>
    <x v="3"/>
    <x v="6"/>
    <x v="5"/>
    <x v="10"/>
    <x v="2"/>
    <x v="28"/>
    <x v="18"/>
    <x v="721"/>
    <x v="673"/>
    <x v="1187"/>
    <x v="1194"/>
    <x v="51"/>
    <x v="2"/>
    <x v="1"/>
    <x v="0"/>
  </r>
  <r>
    <x v="326"/>
    <x v="102"/>
    <x v="0"/>
    <x v="1"/>
    <x v="3"/>
    <x v="0"/>
    <x v="3"/>
    <x v="1"/>
    <x v="1"/>
    <x v="1"/>
    <x v="0"/>
    <x v="0"/>
    <x v="3"/>
    <x v="6"/>
    <x v="50"/>
    <x v="0"/>
    <x v="0"/>
    <x v="244"/>
    <x v="189"/>
    <x v="146"/>
    <x v="633"/>
    <x v="1252"/>
    <x v="1"/>
    <x v="1"/>
    <x v="2"/>
  </r>
  <r>
    <x v="327"/>
    <x v="82"/>
    <x v="0"/>
    <x v="1"/>
    <x v="3"/>
    <x v="0"/>
    <x v="3"/>
    <x v="1"/>
    <x v="1"/>
    <x v="0"/>
    <x v="0"/>
    <x v="0"/>
    <x v="3"/>
    <x v="6"/>
    <x v="20"/>
    <x v="0"/>
    <x v="0"/>
    <x v="53"/>
    <x v="44"/>
    <x v="276"/>
    <x v="144"/>
    <x v="1084"/>
    <x v="1"/>
    <x v="1"/>
    <x v="2"/>
  </r>
  <r>
    <x v="328"/>
    <x v="89"/>
    <x v="0"/>
    <x v="1"/>
    <x v="3"/>
    <x v="0"/>
    <x v="3"/>
    <x v="1"/>
    <x v="1"/>
    <x v="1"/>
    <x v="0"/>
    <x v="0"/>
    <x v="8"/>
    <x v="16"/>
    <x v="54"/>
    <x v="12"/>
    <x v="6"/>
    <x v="662"/>
    <x v="569"/>
    <x v="673"/>
    <x v="1353"/>
    <x v="1170"/>
    <x v="0"/>
    <x v="1"/>
    <x v="0"/>
  </r>
  <r>
    <x v="329"/>
    <x v="96"/>
    <x v="0"/>
    <x v="1"/>
    <x v="3"/>
    <x v="0"/>
    <x v="3"/>
    <x v="1"/>
    <x v="1"/>
    <x v="0"/>
    <x v="0"/>
    <x v="0"/>
    <x v="8"/>
    <x v="16"/>
    <x v="17"/>
    <x v="12"/>
    <x v="6"/>
    <x v="317"/>
    <x v="256"/>
    <x v="764"/>
    <x v="703"/>
    <x v="925"/>
    <x v="1"/>
    <x v="1"/>
    <x v="2"/>
  </r>
  <r>
    <x v="330"/>
    <x v="103"/>
    <x v="0"/>
    <x v="1"/>
    <x v="3"/>
    <x v="0"/>
    <x v="3"/>
    <x v="1"/>
    <x v="1"/>
    <x v="1"/>
    <x v="0"/>
    <x v="0"/>
    <x v="9"/>
    <x v="18"/>
    <x v="48"/>
    <x v="6"/>
    <x v="4"/>
    <x v="512"/>
    <x v="454"/>
    <x v="438"/>
    <x v="1069"/>
    <x v="843"/>
    <x v="0"/>
    <x v="1"/>
    <x v="0"/>
  </r>
  <r>
    <x v="331"/>
    <x v="83"/>
    <x v="0"/>
    <x v="1"/>
    <x v="3"/>
    <x v="0"/>
    <x v="3"/>
    <x v="1"/>
    <x v="1"/>
    <x v="0"/>
    <x v="0"/>
    <x v="0"/>
    <x v="9"/>
    <x v="18"/>
    <x v="19"/>
    <x v="6"/>
    <x v="4"/>
    <x v="224"/>
    <x v="203"/>
    <x v="651"/>
    <x v="461"/>
    <x v="553"/>
    <x v="1"/>
    <x v="1"/>
    <x v="2"/>
  </r>
  <r>
    <x v="332"/>
    <x v="90"/>
    <x v="0"/>
    <x v="1"/>
    <x v="3"/>
    <x v="0"/>
    <x v="3"/>
    <x v="1"/>
    <x v="1"/>
    <x v="1"/>
    <x v="2"/>
    <x v="4"/>
    <x v="0"/>
    <x v="0"/>
    <x v="22"/>
    <x v="15"/>
    <x v="10"/>
    <x v="470"/>
    <x v="411"/>
    <x v="382"/>
    <x v="1010"/>
    <x v="970"/>
    <x v="1"/>
    <x v="1"/>
    <x v="2"/>
  </r>
  <r>
    <x v="333"/>
    <x v="97"/>
    <x v="0"/>
    <x v="1"/>
    <x v="3"/>
    <x v="0"/>
    <x v="3"/>
    <x v="1"/>
    <x v="1"/>
    <x v="0"/>
    <x v="2"/>
    <x v="4"/>
    <x v="0"/>
    <x v="0"/>
    <x v="7"/>
    <x v="15"/>
    <x v="10"/>
    <x v="160"/>
    <x v="142"/>
    <x v="537"/>
    <x v="338"/>
    <x v="695"/>
    <x v="1"/>
    <x v="1"/>
    <x v="2"/>
  </r>
  <r>
    <x v="334"/>
    <x v="104"/>
    <x v="0"/>
    <x v="1"/>
    <x v="3"/>
    <x v="0"/>
    <x v="3"/>
    <x v="1"/>
    <x v="1"/>
    <x v="1"/>
    <x v="2"/>
    <x v="4"/>
    <x v="4"/>
    <x v="8"/>
    <x v="20"/>
    <x v="9"/>
    <x v="7"/>
    <x v="332"/>
    <x v="295"/>
    <x v="209"/>
    <x v="683"/>
    <x v="678"/>
    <x v="1"/>
    <x v="1"/>
    <x v="2"/>
  </r>
  <r>
    <x v="335"/>
    <x v="84"/>
    <x v="0"/>
    <x v="1"/>
    <x v="3"/>
    <x v="0"/>
    <x v="3"/>
    <x v="1"/>
    <x v="1"/>
    <x v="0"/>
    <x v="2"/>
    <x v="4"/>
    <x v="4"/>
    <x v="8"/>
    <x v="9"/>
    <x v="9"/>
    <x v="7"/>
    <x v="121"/>
    <x v="124"/>
    <x v="467"/>
    <x v="228"/>
    <x v="409"/>
    <x v="1"/>
    <x v="1"/>
    <x v="2"/>
  </r>
  <r>
    <x v="336"/>
    <x v="91"/>
    <x v="0"/>
    <x v="1"/>
    <x v="3"/>
    <x v="0"/>
    <x v="3"/>
    <x v="1"/>
    <x v="1"/>
    <x v="1"/>
    <x v="1"/>
    <x v="2"/>
    <x v="7"/>
    <x v="14"/>
    <x v="29"/>
    <x v="18"/>
    <x v="12"/>
    <x v="582"/>
    <x v="538"/>
    <x v="549"/>
    <x v="1148"/>
    <x v="520"/>
    <x v="0"/>
    <x v="1"/>
    <x v="0"/>
  </r>
  <r>
    <x v="337"/>
    <x v="98"/>
    <x v="0"/>
    <x v="1"/>
    <x v="3"/>
    <x v="0"/>
    <x v="3"/>
    <x v="1"/>
    <x v="1"/>
    <x v="0"/>
    <x v="1"/>
    <x v="2"/>
    <x v="7"/>
    <x v="14"/>
    <x v="10"/>
    <x v="18"/>
    <x v="12"/>
    <x v="262"/>
    <x v="259"/>
    <x v="701"/>
    <x v="479"/>
    <x v="297"/>
    <x v="1"/>
    <x v="1"/>
    <x v="2"/>
  </r>
  <r>
    <x v="338"/>
    <x v="105"/>
    <x v="0"/>
    <x v="1"/>
    <x v="3"/>
    <x v="0"/>
    <x v="3"/>
    <x v="1"/>
    <x v="1"/>
    <x v="1"/>
    <x v="1"/>
    <x v="2"/>
    <x v="6"/>
    <x v="12"/>
    <x v="32"/>
    <x v="3"/>
    <x v="2"/>
    <x v="183"/>
    <x v="156"/>
    <x v="101"/>
    <x v="474"/>
    <x v="1118"/>
    <x v="1"/>
    <x v="1"/>
    <x v="2"/>
  </r>
  <r>
    <x v="339"/>
    <x v="85"/>
    <x v="0"/>
    <x v="1"/>
    <x v="3"/>
    <x v="0"/>
    <x v="3"/>
    <x v="1"/>
    <x v="1"/>
    <x v="0"/>
    <x v="1"/>
    <x v="2"/>
    <x v="6"/>
    <x v="12"/>
    <x v="9"/>
    <x v="3"/>
    <x v="2"/>
    <x v="13"/>
    <x v="16"/>
    <x v="139"/>
    <x v="39"/>
    <x v="875"/>
    <x v="1"/>
    <x v="1"/>
    <x v="2"/>
  </r>
  <r>
    <x v="340"/>
    <x v="92"/>
    <x v="0"/>
    <x v="1"/>
    <x v="3"/>
    <x v="0"/>
    <x v="3"/>
    <x v="3"/>
    <x v="3"/>
    <x v="1"/>
    <x v="3"/>
    <x v="6"/>
    <x v="1"/>
    <x v="2"/>
    <x v="7"/>
    <x v="25"/>
    <x v="16"/>
    <x v="804"/>
    <x v="721"/>
    <x v="985"/>
    <x v="1498"/>
    <x v="283"/>
    <x v="0"/>
    <x v="1"/>
    <x v="0"/>
  </r>
  <r>
    <x v="341"/>
    <x v="99"/>
    <x v="0"/>
    <x v="1"/>
    <x v="3"/>
    <x v="0"/>
    <x v="3"/>
    <x v="3"/>
    <x v="3"/>
    <x v="0"/>
    <x v="3"/>
    <x v="6"/>
    <x v="1"/>
    <x v="2"/>
    <x v="2"/>
    <x v="25"/>
    <x v="16"/>
    <x v="634"/>
    <x v="592"/>
    <x v="1122"/>
    <x v="1140"/>
    <x v="158"/>
    <x v="1"/>
    <x v="1"/>
    <x v="0"/>
  </r>
  <r>
    <x v="342"/>
    <x v="106"/>
    <x v="0"/>
    <x v="1"/>
    <x v="3"/>
    <x v="0"/>
    <x v="3"/>
    <x v="3"/>
    <x v="3"/>
    <x v="1"/>
    <x v="3"/>
    <x v="6"/>
    <x v="2"/>
    <x v="4"/>
    <x v="5"/>
    <x v="22"/>
    <x v="14"/>
    <x v="500"/>
    <x v="476"/>
    <x v="426"/>
    <x v="942"/>
    <x v="382"/>
    <x v="0"/>
    <x v="1"/>
    <x v="0"/>
  </r>
  <r>
    <x v="343"/>
    <x v="86"/>
    <x v="0"/>
    <x v="1"/>
    <x v="3"/>
    <x v="0"/>
    <x v="3"/>
    <x v="3"/>
    <x v="3"/>
    <x v="0"/>
    <x v="3"/>
    <x v="6"/>
    <x v="2"/>
    <x v="4"/>
    <x v="2"/>
    <x v="22"/>
    <x v="14"/>
    <x v="316"/>
    <x v="304"/>
    <x v="762"/>
    <x v="531"/>
    <x v="205"/>
    <x v="1"/>
    <x v="1"/>
    <x v="2"/>
  </r>
  <r>
    <x v="344"/>
    <x v="93"/>
    <x v="0"/>
    <x v="1"/>
    <x v="3"/>
    <x v="0"/>
    <x v="3"/>
    <x v="3"/>
    <x v="3"/>
    <x v="1"/>
    <x v="3"/>
    <x v="6"/>
    <x v="5"/>
    <x v="10"/>
    <x v="6"/>
    <x v="28"/>
    <x v="18"/>
    <x v="818"/>
    <x v="738"/>
    <x v="1050"/>
    <x v="1501"/>
    <x v="111"/>
    <x v="1"/>
    <x v="1"/>
    <x v="0"/>
  </r>
  <r>
    <x v="345"/>
    <x v="100"/>
    <x v="0"/>
    <x v="1"/>
    <x v="3"/>
    <x v="0"/>
    <x v="3"/>
    <x v="3"/>
    <x v="3"/>
    <x v="0"/>
    <x v="3"/>
    <x v="6"/>
    <x v="5"/>
    <x v="10"/>
    <x v="1"/>
    <x v="28"/>
    <x v="18"/>
    <x v="644"/>
    <x v="623"/>
    <x v="1128"/>
    <x v="1017"/>
    <x v="52"/>
    <x v="2"/>
    <x v="1"/>
    <x v="0"/>
  </r>
  <r>
    <x v="346"/>
    <x v="107"/>
    <x v="0"/>
    <x v="1"/>
    <x v="3"/>
    <x v="0"/>
    <x v="3"/>
    <x v="3"/>
    <x v="3"/>
    <x v="1"/>
    <x v="0"/>
    <x v="0"/>
    <x v="3"/>
    <x v="6"/>
    <x v="33"/>
    <x v="0"/>
    <x v="0"/>
    <x v="136"/>
    <x v="103"/>
    <x v="65"/>
    <x v="396"/>
    <x v="1255"/>
    <x v="1"/>
    <x v="1"/>
    <x v="2"/>
  </r>
  <r>
    <x v="347"/>
    <x v="87"/>
    <x v="0"/>
    <x v="1"/>
    <x v="3"/>
    <x v="0"/>
    <x v="3"/>
    <x v="3"/>
    <x v="3"/>
    <x v="0"/>
    <x v="0"/>
    <x v="0"/>
    <x v="3"/>
    <x v="6"/>
    <x v="12"/>
    <x v="0"/>
    <x v="0"/>
    <x v="15"/>
    <x v="13"/>
    <x v="141"/>
    <x v="48"/>
    <x v="1087"/>
    <x v="1"/>
    <x v="1"/>
    <x v="2"/>
  </r>
  <r>
    <x v="348"/>
    <x v="94"/>
    <x v="0"/>
    <x v="1"/>
    <x v="3"/>
    <x v="0"/>
    <x v="3"/>
    <x v="3"/>
    <x v="3"/>
    <x v="1"/>
    <x v="0"/>
    <x v="0"/>
    <x v="8"/>
    <x v="16"/>
    <x v="35"/>
    <x v="12"/>
    <x v="6"/>
    <x v="541"/>
    <x v="455"/>
    <x v="480"/>
    <x v="1169"/>
    <x v="1160"/>
    <x v="0"/>
    <x v="1"/>
    <x v="0"/>
  </r>
  <r>
    <x v="349"/>
    <x v="101"/>
    <x v="0"/>
    <x v="1"/>
    <x v="3"/>
    <x v="0"/>
    <x v="3"/>
    <x v="3"/>
    <x v="3"/>
    <x v="0"/>
    <x v="0"/>
    <x v="0"/>
    <x v="8"/>
    <x v="16"/>
    <x v="11"/>
    <x v="12"/>
    <x v="6"/>
    <x v="196"/>
    <x v="161"/>
    <x v="607"/>
    <x v="459"/>
    <x v="928"/>
    <x v="1"/>
    <x v="1"/>
    <x v="2"/>
  </r>
  <r>
    <x v="350"/>
    <x v="81"/>
    <x v="0"/>
    <x v="1"/>
    <x v="3"/>
    <x v="0"/>
    <x v="3"/>
    <x v="3"/>
    <x v="3"/>
    <x v="1"/>
    <x v="0"/>
    <x v="0"/>
    <x v="9"/>
    <x v="18"/>
    <x v="36"/>
    <x v="6"/>
    <x v="4"/>
    <x v="414"/>
    <x v="371"/>
    <x v="312"/>
    <x v="890"/>
    <x v="837"/>
    <x v="1"/>
    <x v="1"/>
    <x v="2"/>
  </r>
  <r>
    <x v="351"/>
    <x v="88"/>
    <x v="0"/>
    <x v="1"/>
    <x v="3"/>
    <x v="0"/>
    <x v="3"/>
    <x v="3"/>
    <x v="3"/>
    <x v="0"/>
    <x v="0"/>
    <x v="0"/>
    <x v="9"/>
    <x v="18"/>
    <x v="13"/>
    <x v="6"/>
    <x v="4"/>
    <x v="134"/>
    <x v="125"/>
    <x v="486"/>
    <x v="273"/>
    <x v="557"/>
    <x v="1"/>
    <x v="1"/>
    <x v="2"/>
  </r>
  <r>
    <x v="352"/>
    <x v="95"/>
    <x v="0"/>
    <x v="1"/>
    <x v="3"/>
    <x v="0"/>
    <x v="3"/>
    <x v="3"/>
    <x v="3"/>
    <x v="1"/>
    <x v="2"/>
    <x v="4"/>
    <x v="0"/>
    <x v="0"/>
    <x v="16"/>
    <x v="15"/>
    <x v="10"/>
    <x v="369"/>
    <x v="321"/>
    <x v="256"/>
    <x v="830"/>
    <x v="973"/>
    <x v="1"/>
    <x v="1"/>
    <x v="2"/>
  </r>
  <r>
    <x v="353"/>
    <x v="102"/>
    <x v="0"/>
    <x v="1"/>
    <x v="3"/>
    <x v="0"/>
    <x v="3"/>
    <x v="3"/>
    <x v="3"/>
    <x v="0"/>
    <x v="2"/>
    <x v="4"/>
    <x v="0"/>
    <x v="0"/>
    <x v="4"/>
    <x v="15"/>
    <x v="10"/>
    <x v="76"/>
    <x v="70"/>
    <x v="342"/>
    <x v="162"/>
    <x v="691"/>
    <x v="1"/>
    <x v="1"/>
    <x v="2"/>
  </r>
  <r>
    <x v="354"/>
    <x v="82"/>
    <x v="0"/>
    <x v="1"/>
    <x v="3"/>
    <x v="0"/>
    <x v="3"/>
    <x v="3"/>
    <x v="3"/>
    <x v="1"/>
    <x v="2"/>
    <x v="4"/>
    <x v="4"/>
    <x v="8"/>
    <x v="13"/>
    <x v="9"/>
    <x v="7"/>
    <x v="202"/>
    <x v="198"/>
    <x v="117"/>
    <x v="439"/>
    <x v="684"/>
    <x v="1"/>
    <x v="1"/>
    <x v="2"/>
  </r>
  <r>
    <x v="355"/>
    <x v="89"/>
    <x v="0"/>
    <x v="1"/>
    <x v="3"/>
    <x v="0"/>
    <x v="3"/>
    <x v="3"/>
    <x v="3"/>
    <x v="0"/>
    <x v="2"/>
    <x v="4"/>
    <x v="4"/>
    <x v="8"/>
    <x v="4"/>
    <x v="9"/>
    <x v="7"/>
    <x v="34"/>
    <x v="41"/>
    <x v="209"/>
    <x v="54"/>
    <x v="411"/>
    <x v="1"/>
    <x v="1"/>
    <x v="2"/>
  </r>
  <r>
    <x v="356"/>
    <x v="96"/>
    <x v="0"/>
    <x v="1"/>
    <x v="3"/>
    <x v="0"/>
    <x v="3"/>
    <x v="3"/>
    <x v="3"/>
    <x v="1"/>
    <x v="1"/>
    <x v="2"/>
    <x v="7"/>
    <x v="14"/>
    <x v="22"/>
    <x v="18"/>
    <x v="12"/>
    <x v="495"/>
    <x v="465"/>
    <x v="421"/>
    <x v="974"/>
    <x v="518"/>
    <x v="0"/>
    <x v="1"/>
    <x v="0"/>
  </r>
  <r>
    <x v="357"/>
    <x v="103"/>
    <x v="0"/>
    <x v="1"/>
    <x v="3"/>
    <x v="0"/>
    <x v="3"/>
    <x v="3"/>
    <x v="3"/>
    <x v="0"/>
    <x v="1"/>
    <x v="2"/>
    <x v="7"/>
    <x v="14"/>
    <x v="5"/>
    <x v="18"/>
    <x v="12"/>
    <x v="118"/>
    <x v="126"/>
    <x v="447"/>
    <x v="201"/>
    <x v="298"/>
    <x v="1"/>
    <x v="1"/>
    <x v="2"/>
  </r>
  <r>
    <x v="358"/>
    <x v="83"/>
    <x v="0"/>
    <x v="1"/>
    <x v="3"/>
    <x v="0"/>
    <x v="3"/>
    <x v="3"/>
    <x v="3"/>
    <x v="1"/>
    <x v="1"/>
    <x v="2"/>
    <x v="6"/>
    <x v="12"/>
    <x v="21"/>
    <x v="3"/>
    <x v="2"/>
    <x v="94"/>
    <x v="81"/>
    <x v="40"/>
    <x v="249"/>
    <x v="1109"/>
    <x v="1"/>
    <x v="1"/>
    <x v="2"/>
  </r>
  <r>
    <x v="359"/>
    <x v="90"/>
    <x v="0"/>
    <x v="1"/>
    <x v="3"/>
    <x v="0"/>
    <x v="3"/>
    <x v="3"/>
    <x v="3"/>
    <x v="0"/>
    <x v="1"/>
    <x v="2"/>
    <x v="6"/>
    <x v="12"/>
    <x v="8"/>
    <x v="3"/>
    <x v="2"/>
    <x v="10"/>
    <x v="11"/>
    <x v="118"/>
    <x v="25"/>
    <x v="876"/>
    <x v="1"/>
    <x v="1"/>
    <x v="2"/>
  </r>
  <r>
    <x v="360"/>
    <x v="97"/>
    <x v="0"/>
    <x v="1"/>
    <x v="3"/>
    <x v="0"/>
    <x v="3"/>
    <x v="2"/>
    <x v="2"/>
    <x v="1"/>
    <x v="3"/>
    <x v="6"/>
    <x v="1"/>
    <x v="2"/>
    <x v="4"/>
    <x v="25"/>
    <x v="16"/>
    <x v="739"/>
    <x v="671"/>
    <x v="809"/>
    <x v="1363"/>
    <x v="288"/>
    <x v="0"/>
    <x v="1"/>
    <x v="0"/>
  </r>
  <r>
    <x v="361"/>
    <x v="104"/>
    <x v="0"/>
    <x v="1"/>
    <x v="3"/>
    <x v="0"/>
    <x v="3"/>
    <x v="2"/>
    <x v="2"/>
    <x v="0"/>
    <x v="3"/>
    <x v="6"/>
    <x v="1"/>
    <x v="2"/>
    <x v="0"/>
    <x v="25"/>
    <x v="16"/>
    <x v="407"/>
    <x v="404"/>
    <x v="884"/>
    <x v="688"/>
    <x v="158"/>
    <x v="1"/>
    <x v="1"/>
    <x v="2"/>
  </r>
  <r>
    <x v="362"/>
    <x v="84"/>
    <x v="0"/>
    <x v="1"/>
    <x v="3"/>
    <x v="0"/>
    <x v="3"/>
    <x v="2"/>
    <x v="2"/>
    <x v="1"/>
    <x v="3"/>
    <x v="6"/>
    <x v="2"/>
    <x v="4"/>
    <x v="4"/>
    <x v="22"/>
    <x v="14"/>
    <x v="445"/>
    <x v="429"/>
    <x v="354"/>
    <x v="853"/>
    <x v="381"/>
    <x v="1"/>
    <x v="1"/>
    <x v="2"/>
  </r>
  <r>
    <x v="363"/>
    <x v="91"/>
    <x v="0"/>
    <x v="1"/>
    <x v="3"/>
    <x v="0"/>
    <x v="3"/>
    <x v="2"/>
    <x v="2"/>
    <x v="0"/>
    <x v="3"/>
    <x v="6"/>
    <x v="2"/>
    <x v="4"/>
    <x v="0"/>
    <x v="22"/>
    <x v="14"/>
    <x v="116"/>
    <x v="132"/>
    <x v="445"/>
    <x v="169"/>
    <x v="205"/>
    <x v="1"/>
    <x v="1"/>
    <x v="2"/>
  </r>
  <r>
    <x v="364"/>
    <x v="98"/>
    <x v="0"/>
    <x v="1"/>
    <x v="3"/>
    <x v="0"/>
    <x v="3"/>
    <x v="2"/>
    <x v="2"/>
    <x v="1"/>
    <x v="3"/>
    <x v="6"/>
    <x v="5"/>
    <x v="10"/>
    <x v="4"/>
    <x v="28"/>
    <x v="18"/>
    <x v="793"/>
    <x v="724"/>
    <x v="944"/>
    <x v="1407"/>
    <x v="113"/>
    <x v="1"/>
    <x v="1"/>
    <x v="0"/>
  </r>
  <r>
    <x v="365"/>
    <x v="105"/>
    <x v="0"/>
    <x v="1"/>
    <x v="3"/>
    <x v="0"/>
    <x v="3"/>
    <x v="2"/>
    <x v="2"/>
    <x v="0"/>
    <x v="3"/>
    <x v="6"/>
    <x v="5"/>
    <x v="10"/>
    <x v="0"/>
    <x v="28"/>
    <x v="18"/>
    <x v="517"/>
    <x v="521"/>
    <x v="1024"/>
    <x v="758"/>
    <x v="48"/>
    <x v="2"/>
    <x v="1"/>
    <x v="0"/>
  </r>
  <r>
    <x v="366"/>
    <x v="85"/>
    <x v="0"/>
    <x v="1"/>
    <x v="3"/>
    <x v="0"/>
    <x v="3"/>
    <x v="2"/>
    <x v="2"/>
    <x v="1"/>
    <x v="0"/>
    <x v="0"/>
    <x v="3"/>
    <x v="6"/>
    <x v="22"/>
    <x v="0"/>
    <x v="0"/>
    <x v="63"/>
    <x v="52"/>
    <x v="23"/>
    <x v="209"/>
    <x v="1254"/>
    <x v="1"/>
    <x v="1"/>
    <x v="2"/>
  </r>
  <r>
    <x v="367"/>
    <x v="92"/>
    <x v="0"/>
    <x v="1"/>
    <x v="3"/>
    <x v="0"/>
    <x v="3"/>
    <x v="2"/>
    <x v="2"/>
    <x v="0"/>
    <x v="0"/>
    <x v="0"/>
    <x v="3"/>
    <x v="6"/>
    <x v="9"/>
    <x v="0"/>
    <x v="0"/>
    <x v="6"/>
    <x v="7"/>
    <x v="93"/>
    <x v="23"/>
    <x v="1084"/>
    <x v="1"/>
    <x v="1"/>
    <x v="2"/>
  </r>
  <r>
    <x v="368"/>
    <x v="99"/>
    <x v="0"/>
    <x v="1"/>
    <x v="3"/>
    <x v="0"/>
    <x v="3"/>
    <x v="2"/>
    <x v="2"/>
    <x v="1"/>
    <x v="0"/>
    <x v="0"/>
    <x v="8"/>
    <x v="16"/>
    <x v="26"/>
    <x v="12"/>
    <x v="6"/>
    <x v="435"/>
    <x v="369"/>
    <x v="344"/>
    <x v="992"/>
    <x v="1170"/>
    <x v="1"/>
    <x v="1"/>
    <x v="2"/>
  </r>
  <r>
    <x v="369"/>
    <x v="106"/>
    <x v="0"/>
    <x v="1"/>
    <x v="3"/>
    <x v="0"/>
    <x v="3"/>
    <x v="2"/>
    <x v="2"/>
    <x v="0"/>
    <x v="0"/>
    <x v="0"/>
    <x v="8"/>
    <x v="16"/>
    <x v="8"/>
    <x v="12"/>
    <x v="6"/>
    <x v="126"/>
    <x v="106"/>
    <x v="472"/>
    <x v="309"/>
    <x v="929"/>
    <x v="1"/>
    <x v="1"/>
    <x v="2"/>
  </r>
  <r>
    <x v="370"/>
    <x v="86"/>
    <x v="0"/>
    <x v="1"/>
    <x v="3"/>
    <x v="0"/>
    <x v="3"/>
    <x v="2"/>
    <x v="2"/>
    <x v="1"/>
    <x v="0"/>
    <x v="0"/>
    <x v="9"/>
    <x v="18"/>
    <x v="24"/>
    <x v="6"/>
    <x v="4"/>
    <x v="288"/>
    <x v="262"/>
    <x v="186"/>
    <x v="636"/>
    <x v="853"/>
    <x v="1"/>
    <x v="1"/>
    <x v="2"/>
  </r>
  <r>
    <x v="371"/>
    <x v="93"/>
    <x v="0"/>
    <x v="1"/>
    <x v="3"/>
    <x v="0"/>
    <x v="3"/>
    <x v="2"/>
    <x v="2"/>
    <x v="0"/>
    <x v="0"/>
    <x v="0"/>
    <x v="9"/>
    <x v="18"/>
    <x v="10"/>
    <x v="6"/>
    <x v="4"/>
    <x v="89"/>
    <x v="84"/>
    <x v="380"/>
    <x v="180"/>
    <x v="559"/>
    <x v="1"/>
    <x v="1"/>
    <x v="2"/>
  </r>
  <r>
    <x v="372"/>
    <x v="100"/>
    <x v="0"/>
    <x v="1"/>
    <x v="3"/>
    <x v="0"/>
    <x v="3"/>
    <x v="2"/>
    <x v="2"/>
    <x v="1"/>
    <x v="2"/>
    <x v="4"/>
    <x v="0"/>
    <x v="0"/>
    <x v="9"/>
    <x v="15"/>
    <x v="10"/>
    <x v="212"/>
    <x v="190"/>
    <x v="125"/>
    <x v="504"/>
    <x v="975"/>
    <x v="1"/>
    <x v="1"/>
    <x v="2"/>
  </r>
  <r>
    <x v="373"/>
    <x v="107"/>
    <x v="0"/>
    <x v="1"/>
    <x v="3"/>
    <x v="0"/>
    <x v="3"/>
    <x v="2"/>
    <x v="2"/>
    <x v="0"/>
    <x v="2"/>
    <x v="4"/>
    <x v="0"/>
    <x v="0"/>
    <x v="3"/>
    <x v="15"/>
    <x v="10"/>
    <x v="48"/>
    <x v="49"/>
    <x v="260"/>
    <x v="106"/>
    <x v="698"/>
    <x v="1"/>
    <x v="1"/>
    <x v="2"/>
  </r>
  <r>
    <x v="374"/>
    <x v="87"/>
    <x v="0"/>
    <x v="1"/>
    <x v="3"/>
    <x v="0"/>
    <x v="3"/>
    <x v="2"/>
    <x v="2"/>
    <x v="1"/>
    <x v="2"/>
    <x v="4"/>
    <x v="4"/>
    <x v="8"/>
    <x v="13"/>
    <x v="9"/>
    <x v="7"/>
    <x v="202"/>
    <x v="198"/>
    <x v="117"/>
    <x v="439"/>
    <x v="684"/>
    <x v="1"/>
    <x v="1"/>
    <x v="2"/>
  </r>
  <r>
    <x v="375"/>
    <x v="94"/>
    <x v="0"/>
    <x v="1"/>
    <x v="3"/>
    <x v="0"/>
    <x v="3"/>
    <x v="2"/>
    <x v="2"/>
    <x v="0"/>
    <x v="2"/>
    <x v="4"/>
    <x v="4"/>
    <x v="8"/>
    <x v="2"/>
    <x v="9"/>
    <x v="7"/>
    <x v="9"/>
    <x v="14"/>
    <x v="112"/>
    <x v="13"/>
    <x v="411"/>
    <x v="1"/>
    <x v="1"/>
    <x v="2"/>
  </r>
  <r>
    <x v="376"/>
    <x v="101"/>
    <x v="0"/>
    <x v="1"/>
    <x v="3"/>
    <x v="0"/>
    <x v="3"/>
    <x v="2"/>
    <x v="2"/>
    <x v="1"/>
    <x v="1"/>
    <x v="2"/>
    <x v="7"/>
    <x v="14"/>
    <x v="15"/>
    <x v="18"/>
    <x v="12"/>
    <x v="375"/>
    <x v="356"/>
    <x v="262"/>
    <x v="756"/>
    <x v="514"/>
    <x v="1"/>
    <x v="1"/>
    <x v="2"/>
  </r>
  <r>
    <x v="377"/>
    <x v="81"/>
    <x v="0"/>
    <x v="1"/>
    <x v="3"/>
    <x v="0"/>
    <x v="3"/>
    <x v="2"/>
    <x v="2"/>
    <x v="0"/>
    <x v="1"/>
    <x v="2"/>
    <x v="7"/>
    <x v="14"/>
    <x v="4"/>
    <x v="18"/>
    <x v="12"/>
    <x v="89"/>
    <x v="96"/>
    <x v="380"/>
    <x v="135"/>
    <x v="302"/>
    <x v="1"/>
    <x v="1"/>
    <x v="2"/>
  </r>
  <r>
    <x v="378"/>
    <x v="88"/>
    <x v="0"/>
    <x v="1"/>
    <x v="3"/>
    <x v="0"/>
    <x v="3"/>
    <x v="2"/>
    <x v="2"/>
    <x v="1"/>
    <x v="1"/>
    <x v="2"/>
    <x v="6"/>
    <x v="12"/>
    <x v="17"/>
    <x v="3"/>
    <x v="2"/>
    <x v="62"/>
    <x v="57"/>
    <x v="22"/>
    <x v="178"/>
    <x v="1113"/>
    <x v="1"/>
    <x v="1"/>
    <x v="2"/>
  </r>
  <r>
    <x v="379"/>
    <x v="95"/>
    <x v="0"/>
    <x v="1"/>
    <x v="3"/>
    <x v="0"/>
    <x v="3"/>
    <x v="2"/>
    <x v="2"/>
    <x v="0"/>
    <x v="1"/>
    <x v="2"/>
    <x v="6"/>
    <x v="12"/>
    <x v="5"/>
    <x v="3"/>
    <x v="2"/>
    <x v="3"/>
    <x v="4"/>
    <x v="53"/>
    <x v="6"/>
    <x v="877"/>
    <x v="2"/>
    <x v="1"/>
    <x v="1"/>
  </r>
  <r>
    <x v="380"/>
    <x v="102"/>
    <x v="0"/>
    <x v="1"/>
    <x v="3"/>
    <x v="0"/>
    <x v="3"/>
    <x v="4"/>
    <x v="4"/>
    <x v="1"/>
    <x v="3"/>
    <x v="6"/>
    <x v="1"/>
    <x v="2"/>
    <x v="3"/>
    <x v="25"/>
    <x v="16"/>
    <x v="697"/>
    <x v="645"/>
    <x v="720"/>
    <x v="1280"/>
    <x v="286"/>
    <x v="0"/>
    <x v="1"/>
    <x v="0"/>
  </r>
  <r>
    <x v="381"/>
    <x v="82"/>
    <x v="0"/>
    <x v="1"/>
    <x v="3"/>
    <x v="0"/>
    <x v="3"/>
    <x v="4"/>
    <x v="4"/>
    <x v="0"/>
    <x v="3"/>
    <x v="6"/>
    <x v="1"/>
    <x v="2"/>
    <x v="0"/>
    <x v="25"/>
    <x v="16"/>
    <x v="407"/>
    <x v="404"/>
    <x v="884"/>
    <x v="688"/>
    <x v="158"/>
    <x v="1"/>
    <x v="1"/>
    <x v="2"/>
  </r>
  <r>
    <x v="382"/>
    <x v="89"/>
    <x v="0"/>
    <x v="1"/>
    <x v="3"/>
    <x v="0"/>
    <x v="3"/>
    <x v="4"/>
    <x v="4"/>
    <x v="1"/>
    <x v="3"/>
    <x v="6"/>
    <x v="2"/>
    <x v="4"/>
    <x v="4"/>
    <x v="22"/>
    <x v="14"/>
    <x v="445"/>
    <x v="429"/>
    <x v="354"/>
    <x v="853"/>
    <x v="381"/>
    <x v="1"/>
    <x v="1"/>
    <x v="2"/>
  </r>
  <r>
    <x v="383"/>
    <x v="96"/>
    <x v="0"/>
    <x v="1"/>
    <x v="3"/>
    <x v="0"/>
    <x v="3"/>
    <x v="4"/>
    <x v="4"/>
    <x v="0"/>
    <x v="3"/>
    <x v="6"/>
    <x v="2"/>
    <x v="4"/>
    <x v="1"/>
    <x v="22"/>
    <x v="14"/>
    <x v="220"/>
    <x v="229"/>
    <x v="648"/>
    <x v="352"/>
    <x v="209"/>
    <x v="1"/>
    <x v="1"/>
    <x v="2"/>
  </r>
  <r>
    <x v="384"/>
    <x v="103"/>
    <x v="0"/>
    <x v="1"/>
    <x v="3"/>
    <x v="0"/>
    <x v="3"/>
    <x v="4"/>
    <x v="4"/>
    <x v="1"/>
    <x v="3"/>
    <x v="6"/>
    <x v="5"/>
    <x v="10"/>
    <x v="4"/>
    <x v="28"/>
    <x v="18"/>
    <x v="793"/>
    <x v="724"/>
    <x v="944"/>
    <x v="1407"/>
    <x v="113"/>
    <x v="1"/>
    <x v="1"/>
    <x v="0"/>
  </r>
  <r>
    <x v="385"/>
    <x v="83"/>
    <x v="0"/>
    <x v="1"/>
    <x v="3"/>
    <x v="0"/>
    <x v="3"/>
    <x v="4"/>
    <x v="4"/>
    <x v="0"/>
    <x v="3"/>
    <x v="6"/>
    <x v="5"/>
    <x v="10"/>
    <x v="0"/>
    <x v="28"/>
    <x v="18"/>
    <x v="517"/>
    <x v="521"/>
    <x v="1024"/>
    <x v="758"/>
    <x v="48"/>
    <x v="2"/>
    <x v="1"/>
    <x v="0"/>
  </r>
  <r>
    <x v="386"/>
    <x v="90"/>
    <x v="0"/>
    <x v="1"/>
    <x v="3"/>
    <x v="0"/>
    <x v="3"/>
    <x v="4"/>
    <x v="4"/>
    <x v="1"/>
    <x v="0"/>
    <x v="0"/>
    <x v="3"/>
    <x v="6"/>
    <x v="31"/>
    <x v="0"/>
    <x v="0"/>
    <x v="119"/>
    <x v="92"/>
    <x v="57"/>
    <x v="361"/>
    <x v="1240"/>
    <x v="1"/>
    <x v="1"/>
    <x v="2"/>
  </r>
  <r>
    <x v="387"/>
    <x v="97"/>
    <x v="0"/>
    <x v="1"/>
    <x v="3"/>
    <x v="0"/>
    <x v="3"/>
    <x v="4"/>
    <x v="4"/>
    <x v="0"/>
    <x v="0"/>
    <x v="0"/>
    <x v="3"/>
    <x v="6"/>
    <x v="7"/>
    <x v="0"/>
    <x v="0"/>
    <x v="4"/>
    <x v="3"/>
    <x v="57"/>
    <x v="8"/>
    <x v="1080"/>
    <x v="2"/>
    <x v="1"/>
    <x v="1"/>
  </r>
  <r>
    <x v="388"/>
    <x v="104"/>
    <x v="0"/>
    <x v="1"/>
    <x v="3"/>
    <x v="0"/>
    <x v="3"/>
    <x v="4"/>
    <x v="4"/>
    <x v="1"/>
    <x v="0"/>
    <x v="0"/>
    <x v="8"/>
    <x v="16"/>
    <x v="25"/>
    <x v="12"/>
    <x v="6"/>
    <x v="424"/>
    <x v="357"/>
    <x v="328"/>
    <x v="971"/>
    <x v="1176"/>
    <x v="1"/>
    <x v="1"/>
    <x v="2"/>
  </r>
  <r>
    <x v="389"/>
    <x v="84"/>
    <x v="0"/>
    <x v="1"/>
    <x v="3"/>
    <x v="0"/>
    <x v="3"/>
    <x v="4"/>
    <x v="4"/>
    <x v="0"/>
    <x v="0"/>
    <x v="0"/>
    <x v="8"/>
    <x v="16"/>
    <x v="10"/>
    <x v="12"/>
    <x v="6"/>
    <x v="173"/>
    <x v="143"/>
    <x v="573"/>
    <x v="417"/>
    <x v="919"/>
    <x v="1"/>
    <x v="1"/>
    <x v="2"/>
  </r>
  <r>
    <x v="390"/>
    <x v="91"/>
    <x v="0"/>
    <x v="1"/>
    <x v="3"/>
    <x v="0"/>
    <x v="3"/>
    <x v="4"/>
    <x v="4"/>
    <x v="1"/>
    <x v="0"/>
    <x v="0"/>
    <x v="9"/>
    <x v="18"/>
    <x v="30"/>
    <x v="6"/>
    <x v="4"/>
    <x v="358"/>
    <x v="316"/>
    <x v="239"/>
    <x v="782"/>
    <x v="848"/>
    <x v="1"/>
    <x v="1"/>
    <x v="2"/>
  </r>
  <r>
    <x v="391"/>
    <x v="98"/>
    <x v="0"/>
    <x v="1"/>
    <x v="3"/>
    <x v="0"/>
    <x v="3"/>
    <x v="4"/>
    <x v="4"/>
    <x v="0"/>
    <x v="0"/>
    <x v="0"/>
    <x v="9"/>
    <x v="18"/>
    <x v="8"/>
    <x v="6"/>
    <x v="4"/>
    <x v="59"/>
    <x v="62"/>
    <x v="300"/>
    <x v="118"/>
    <x v="552"/>
    <x v="1"/>
    <x v="1"/>
    <x v="2"/>
  </r>
  <r>
    <x v="392"/>
    <x v="105"/>
    <x v="0"/>
    <x v="1"/>
    <x v="3"/>
    <x v="0"/>
    <x v="3"/>
    <x v="4"/>
    <x v="4"/>
    <x v="1"/>
    <x v="2"/>
    <x v="4"/>
    <x v="0"/>
    <x v="0"/>
    <x v="13"/>
    <x v="15"/>
    <x v="10"/>
    <x v="316"/>
    <x v="271"/>
    <x v="201"/>
    <x v="715"/>
    <x v="968"/>
    <x v="1"/>
    <x v="1"/>
    <x v="2"/>
  </r>
  <r>
    <x v="393"/>
    <x v="85"/>
    <x v="0"/>
    <x v="1"/>
    <x v="3"/>
    <x v="0"/>
    <x v="3"/>
    <x v="4"/>
    <x v="4"/>
    <x v="0"/>
    <x v="2"/>
    <x v="4"/>
    <x v="0"/>
    <x v="0"/>
    <x v="3"/>
    <x v="15"/>
    <x v="10"/>
    <x v="48"/>
    <x v="49"/>
    <x v="260"/>
    <x v="106"/>
    <x v="698"/>
    <x v="1"/>
    <x v="1"/>
    <x v="2"/>
  </r>
  <r>
    <x v="394"/>
    <x v="92"/>
    <x v="0"/>
    <x v="1"/>
    <x v="3"/>
    <x v="0"/>
    <x v="3"/>
    <x v="4"/>
    <x v="4"/>
    <x v="1"/>
    <x v="2"/>
    <x v="4"/>
    <x v="4"/>
    <x v="8"/>
    <x v="9"/>
    <x v="9"/>
    <x v="7"/>
    <x v="121"/>
    <x v="124"/>
    <x v="60"/>
    <x v="262"/>
    <x v="670"/>
    <x v="1"/>
    <x v="1"/>
    <x v="2"/>
  </r>
  <r>
    <x v="395"/>
    <x v="99"/>
    <x v="0"/>
    <x v="1"/>
    <x v="3"/>
    <x v="0"/>
    <x v="3"/>
    <x v="4"/>
    <x v="4"/>
    <x v="0"/>
    <x v="2"/>
    <x v="4"/>
    <x v="4"/>
    <x v="8"/>
    <x v="3"/>
    <x v="9"/>
    <x v="7"/>
    <x v="18"/>
    <x v="28"/>
    <x v="161"/>
    <x v="35"/>
    <x v="407"/>
    <x v="1"/>
    <x v="1"/>
    <x v="2"/>
  </r>
  <r>
    <x v="396"/>
    <x v="106"/>
    <x v="0"/>
    <x v="1"/>
    <x v="3"/>
    <x v="0"/>
    <x v="3"/>
    <x v="4"/>
    <x v="4"/>
    <x v="1"/>
    <x v="1"/>
    <x v="2"/>
    <x v="7"/>
    <x v="14"/>
    <x v="17"/>
    <x v="18"/>
    <x v="12"/>
    <x v="414"/>
    <x v="396"/>
    <x v="312"/>
    <x v="830"/>
    <x v="510"/>
    <x v="1"/>
    <x v="1"/>
    <x v="2"/>
  </r>
  <r>
    <x v="397"/>
    <x v="86"/>
    <x v="0"/>
    <x v="1"/>
    <x v="3"/>
    <x v="0"/>
    <x v="3"/>
    <x v="4"/>
    <x v="4"/>
    <x v="0"/>
    <x v="1"/>
    <x v="2"/>
    <x v="7"/>
    <x v="14"/>
    <x v="5"/>
    <x v="18"/>
    <x v="12"/>
    <x v="118"/>
    <x v="126"/>
    <x v="447"/>
    <x v="201"/>
    <x v="298"/>
    <x v="1"/>
    <x v="1"/>
    <x v="2"/>
  </r>
  <r>
    <x v="398"/>
    <x v="93"/>
    <x v="0"/>
    <x v="1"/>
    <x v="3"/>
    <x v="0"/>
    <x v="3"/>
    <x v="4"/>
    <x v="4"/>
    <x v="1"/>
    <x v="1"/>
    <x v="2"/>
    <x v="6"/>
    <x v="12"/>
    <x v="17"/>
    <x v="3"/>
    <x v="2"/>
    <x v="62"/>
    <x v="57"/>
    <x v="22"/>
    <x v="178"/>
    <x v="1113"/>
    <x v="1"/>
    <x v="1"/>
    <x v="2"/>
  </r>
  <r>
    <x v="399"/>
    <x v="100"/>
    <x v="0"/>
    <x v="1"/>
    <x v="3"/>
    <x v="0"/>
    <x v="3"/>
    <x v="4"/>
    <x v="4"/>
    <x v="0"/>
    <x v="1"/>
    <x v="2"/>
    <x v="6"/>
    <x v="12"/>
    <x v="3"/>
    <x v="3"/>
    <x v="2"/>
    <x v="0"/>
    <x v="0"/>
    <x v="15"/>
    <x v="0"/>
    <x v="871"/>
    <x v="2"/>
    <x v="1"/>
    <x v="1"/>
  </r>
  <r>
    <x v="400"/>
    <x v="134"/>
    <x v="0"/>
    <x v="1"/>
    <x v="4"/>
    <x v="8"/>
    <x v="4"/>
    <x v="0"/>
    <x v="0"/>
    <x v="1"/>
    <x v="3"/>
    <x v="6"/>
    <x v="1"/>
    <x v="2"/>
    <x v="19"/>
    <x v="25"/>
    <x v="16"/>
    <x v="863"/>
    <x v="766"/>
    <x v="1195"/>
    <x v="1604"/>
    <x v="287"/>
    <x v="0"/>
    <x v="1"/>
    <x v="0"/>
  </r>
  <r>
    <x v="401"/>
    <x v="114"/>
    <x v="0"/>
    <x v="1"/>
    <x v="4"/>
    <x v="8"/>
    <x v="4"/>
    <x v="0"/>
    <x v="0"/>
    <x v="0"/>
    <x v="3"/>
    <x v="6"/>
    <x v="1"/>
    <x v="2"/>
    <x v="5"/>
    <x v="25"/>
    <x v="16"/>
    <x v="768"/>
    <x v="698"/>
    <x v="1229"/>
    <x v="1387"/>
    <x v="160"/>
    <x v="1"/>
    <x v="1"/>
    <x v="0"/>
  </r>
  <r>
    <x v="402"/>
    <x v="121"/>
    <x v="0"/>
    <x v="1"/>
    <x v="4"/>
    <x v="8"/>
    <x v="4"/>
    <x v="0"/>
    <x v="0"/>
    <x v="1"/>
    <x v="3"/>
    <x v="6"/>
    <x v="2"/>
    <x v="4"/>
    <x v="20"/>
    <x v="22"/>
    <x v="14"/>
    <x v="793"/>
    <x v="712"/>
    <x v="944"/>
    <x v="1481"/>
    <x v="380"/>
    <x v="0"/>
    <x v="1"/>
    <x v="0"/>
  </r>
  <r>
    <x v="403"/>
    <x v="128"/>
    <x v="0"/>
    <x v="1"/>
    <x v="4"/>
    <x v="8"/>
    <x v="4"/>
    <x v="0"/>
    <x v="0"/>
    <x v="0"/>
    <x v="3"/>
    <x v="6"/>
    <x v="2"/>
    <x v="4"/>
    <x v="7"/>
    <x v="22"/>
    <x v="14"/>
    <x v="583"/>
    <x v="548"/>
    <x v="1076"/>
    <x v="1059"/>
    <x v="206"/>
    <x v="1"/>
    <x v="1"/>
    <x v="0"/>
  </r>
  <r>
    <x v="404"/>
    <x v="108"/>
    <x v="0"/>
    <x v="1"/>
    <x v="4"/>
    <x v="8"/>
    <x v="4"/>
    <x v="0"/>
    <x v="0"/>
    <x v="1"/>
    <x v="3"/>
    <x v="6"/>
    <x v="5"/>
    <x v="10"/>
    <x v="16"/>
    <x v="28"/>
    <x v="18"/>
    <x v="870"/>
    <x v="777"/>
    <x v="1222"/>
    <x v="1600"/>
    <x v="110"/>
    <x v="1"/>
    <x v="1"/>
    <x v="0"/>
  </r>
  <r>
    <x v="405"/>
    <x v="115"/>
    <x v="0"/>
    <x v="1"/>
    <x v="4"/>
    <x v="8"/>
    <x v="4"/>
    <x v="0"/>
    <x v="0"/>
    <x v="0"/>
    <x v="3"/>
    <x v="6"/>
    <x v="5"/>
    <x v="10"/>
    <x v="8"/>
    <x v="28"/>
    <x v="18"/>
    <x v="835"/>
    <x v="748"/>
    <x v="1305"/>
    <x v="1523"/>
    <x v="49"/>
    <x v="2"/>
    <x v="1"/>
    <x v="0"/>
  </r>
  <r>
    <x v="406"/>
    <x v="122"/>
    <x v="0"/>
    <x v="1"/>
    <x v="4"/>
    <x v="8"/>
    <x v="4"/>
    <x v="0"/>
    <x v="0"/>
    <x v="1"/>
    <x v="0"/>
    <x v="0"/>
    <x v="3"/>
    <x v="6"/>
    <x v="94"/>
    <x v="0"/>
    <x v="0"/>
    <x v="451"/>
    <x v="364"/>
    <x v="362"/>
    <x v="1056"/>
    <x v="1248"/>
    <x v="1"/>
    <x v="1"/>
    <x v="2"/>
  </r>
  <r>
    <x v="407"/>
    <x v="129"/>
    <x v="0"/>
    <x v="1"/>
    <x v="4"/>
    <x v="8"/>
    <x v="4"/>
    <x v="0"/>
    <x v="0"/>
    <x v="0"/>
    <x v="0"/>
    <x v="0"/>
    <x v="3"/>
    <x v="6"/>
    <x v="39"/>
    <x v="0"/>
    <x v="0"/>
    <x v="174"/>
    <x v="134"/>
    <x v="575"/>
    <x v="446"/>
    <x v="1083"/>
    <x v="1"/>
    <x v="1"/>
    <x v="2"/>
  </r>
  <r>
    <x v="408"/>
    <x v="109"/>
    <x v="0"/>
    <x v="1"/>
    <x v="4"/>
    <x v="8"/>
    <x v="4"/>
    <x v="0"/>
    <x v="0"/>
    <x v="1"/>
    <x v="0"/>
    <x v="0"/>
    <x v="8"/>
    <x v="16"/>
    <x v="83"/>
    <x v="12"/>
    <x v="6"/>
    <x v="763"/>
    <x v="662"/>
    <x v="862"/>
    <x v="1504"/>
    <x v="1163"/>
    <x v="0"/>
    <x v="1"/>
    <x v="0"/>
  </r>
  <r>
    <x v="409"/>
    <x v="116"/>
    <x v="0"/>
    <x v="1"/>
    <x v="4"/>
    <x v="8"/>
    <x v="4"/>
    <x v="0"/>
    <x v="0"/>
    <x v="0"/>
    <x v="0"/>
    <x v="0"/>
    <x v="8"/>
    <x v="16"/>
    <x v="35"/>
    <x v="12"/>
    <x v="6"/>
    <x v="541"/>
    <x v="455"/>
    <x v="1043"/>
    <x v="1136"/>
    <x v="921"/>
    <x v="0"/>
    <x v="1"/>
    <x v="0"/>
  </r>
  <r>
    <x v="410"/>
    <x v="123"/>
    <x v="0"/>
    <x v="1"/>
    <x v="4"/>
    <x v="8"/>
    <x v="4"/>
    <x v="0"/>
    <x v="0"/>
    <x v="1"/>
    <x v="0"/>
    <x v="0"/>
    <x v="9"/>
    <x v="18"/>
    <x v="77"/>
    <x v="6"/>
    <x v="4"/>
    <x v="658"/>
    <x v="584"/>
    <x v="666"/>
    <x v="1302"/>
    <x v="839"/>
    <x v="0"/>
    <x v="1"/>
    <x v="0"/>
  </r>
  <r>
    <x v="411"/>
    <x v="130"/>
    <x v="0"/>
    <x v="1"/>
    <x v="4"/>
    <x v="8"/>
    <x v="4"/>
    <x v="0"/>
    <x v="0"/>
    <x v="0"/>
    <x v="0"/>
    <x v="0"/>
    <x v="9"/>
    <x v="18"/>
    <x v="31"/>
    <x v="6"/>
    <x v="4"/>
    <x v="368"/>
    <x v="327"/>
    <x v="842"/>
    <x v="748"/>
    <x v="555"/>
    <x v="1"/>
    <x v="1"/>
    <x v="2"/>
  </r>
  <r>
    <x v="412"/>
    <x v="110"/>
    <x v="0"/>
    <x v="1"/>
    <x v="4"/>
    <x v="8"/>
    <x v="4"/>
    <x v="0"/>
    <x v="0"/>
    <x v="1"/>
    <x v="2"/>
    <x v="4"/>
    <x v="0"/>
    <x v="0"/>
    <x v="49"/>
    <x v="15"/>
    <x v="10"/>
    <x v="700"/>
    <x v="614"/>
    <x v="731"/>
    <x v="1390"/>
    <x v="971"/>
    <x v="0"/>
    <x v="1"/>
    <x v="0"/>
  </r>
  <r>
    <x v="413"/>
    <x v="117"/>
    <x v="0"/>
    <x v="1"/>
    <x v="4"/>
    <x v="8"/>
    <x v="4"/>
    <x v="0"/>
    <x v="0"/>
    <x v="0"/>
    <x v="2"/>
    <x v="4"/>
    <x v="0"/>
    <x v="0"/>
    <x v="13"/>
    <x v="15"/>
    <x v="10"/>
    <x v="316"/>
    <x v="271"/>
    <x v="762"/>
    <x v="652"/>
    <x v="692"/>
    <x v="1"/>
    <x v="1"/>
    <x v="2"/>
  </r>
  <r>
    <x v="414"/>
    <x v="124"/>
    <x v="0"/>
    <x v="1"/>
    <x v="4"/>
    <x v="8"/>
    <x v="4"/>
    <x v="0"/>
    <x v="0"/>
    <x v="1"/>
    <x v="2"/>
    <x v="4"/>
    <x v="4"/>
    <x v="8"/>
    <x v="42"/>
    <x v="9"/>
    <x v="7"/>
    <x v="560"/>
    <x v="505"/>
    <x v="512"/>
    <x v="1129"/>
    <x v="678"/>
    <x v="0"/>
    <x v="1"/>
    <x v="0"/>
  </r>
  <r>
    <x v="415"/>
    <x v="131"/>
    <x v="0"/>
    <x v="1"/>
    <x v="4"/>
    <x v="8"/>
    <x v="4"/>
    <x v="0"/>
    <x v="0"/>
    <x v="0"/>
    <x v="2"/>
    <x v="4"/>
    <x v="4"/>
    <x v="8"/>
    <x v="18"/>
    <x v="9"/>
    <x v="7"/>
    <x v="290"/>
    <x v="275"/>
    <x v="739"/>
    <x v="562"/>
    <x v="411"/>
    <x v="1"/>
    <x v="1"/>
    <x v="2"/>
  </r>
  <r>
    <x v="416"/>
    <x v="111"/>
    <x v="0"/>
    <x v="1"/>
    <x v="4"/>
    <x v="8"/>
    <x v="4"/>
    <x v="0"/>
    <x v="0"/>
    <x v="1"/>
    <x v="1"/>
    <x v="2"/>
    <x v="7"/>
    <x v="14"/>
    <x v="46"/>
    <x v="18"/>
    <x v="12"/>
    <x v="707"/>
    <x v="641"/>
    <x v="740"/>
    <x v="1338"/>
    <x v="518"/>
    <x v="0"/>
    <x v="1"/>
    <x v="0"/>
  </r>
  <r>
    <x v="417"/>
    <x v="118"/>
    <x v="0"/>
    <x v="1"/>
    <x v="4"/>
    <x v="8"/>
    <x v="4"/>
    <x v="0"/>
    <x v="0"/>
    <x v="0"/>
    <x v="1"/>
    <x v="2"/>
    <x v="7"/>
    <x v="14"/>
    <x v="18"/>
    <x v="18"/>
    <x v="12"/>
    <x v="429"/>
    <x v="409"/>
    <x v="927"/>
    <x v="807"/>
    <x v="300"/>
    <x v="1"/>
    <x v="1"/>
    <x v="2"/>
  </r>
  <r>
    <x v="418"/>
    <x v="125"/>
    <x v="0"/>
    <x v="1"/>
    <x v="4"/>
    <x v="8"/>
    <x v="4"/>
    <x v="0"/>
    <x v="0"/>
    <x v="1"/>
    <x v="1"/>
    <x v="2"/>
    <x v="6"/>
    <x v="12"/>
    <x v="62"/>
    <x v="3"/>
    <x v="2"/>
    <x v="380"/>
    <x v="320"/>
    <x v="270"/>
    <x v="880"/>
    <x v="1114"/>
    <x v="1"/>
    <x v="1"/>
    <x v="2"/>
  </r>
  <r>
    <x v="419"/>
    <x v="132"/>
    <x v="0"/>
    <x v="1"/>
    <x v="4"/>
    <x v="8"/>
    <x v="4"/>
    <x v="0"/>
    <x v="0"/>
    <x v="0"/>
    <x v="1"/>
    <x v="2"/>
    <x v="6"/>
    <x v="12"/>
    <x v="23"/>
    <x v="3"/>
    <x v="2"/>
    <x v="110"/>
    <x v="95"/>
    <x v="431"/>
    <x v="257"/>
    <x v="873"/>
    <x v="1"/>
    <x v="1"/>
    <x v="2"/>
  </r>
  <r>
    <x v="420"/>
    <x v="112"/>
    <x v="0"/>
    <x v="1"/>
    <x v="4"/>
    <x v="8"/>
    <x v="4"/>
    <x v="1"/>
    <x v="1"/>
    <x v="1"/>
    <x v="3"/>
    <x v="6"/>
    <x v="1"/>
    <x v="2"/>
    <x v="12"/>
    <x v="25"/>
    <x v="16"/>
    <x v="837"/>
    <x v="746"/>
    <x v="1108"/>
    <x v="1566"/>
    <x v="284"/>
    <x v="0"/>
    <x v="1"/>
    <x v="0"/>
  </r>
  <r>
    <x v="421"/>
    <x v="119"/>
    <x v="0"/>
    <x v="1"/>
    <x v="4"/>
    <x v="8"/>
    <x v="4"/>
    <x v="1"/>
    <x v="1"/>
    <x v="0"/>
    <x v="3"/>
    <x v="6"/>
    <x v="1"/>
    <x v="2"/>
    <x v="4"/>
    <x v="25"/>
    <x v="16"/>
    <x v="739"/>
    <x v="671"/>
    <x v="1203"/>
    <x v="1312"/>
    <x v="162"/>
    <x v="1"/>
    <x v="1"/>
    <x v="0"/>
  </r>
  <r>
    <x v="422"/>
    <x v="126"/>
    <x v="0"/>
    <x v="1"/>
    <x v="4"/>
    <x v="8"/>
    <x v="4"/>
    <x v="1"/>
    <x v="1"/>
    <x v="1"/>
    <x v="3"/>
    <x v="6"/>
    <x v="2"/>
    <x v="4"/>
    <x v="11"/>
    <x v="22"/>
    <x v="14"/>
    <x v="691"/>
    <x v="635"/>
    <x v="708"/>
    <x v="1289"/>
    <x v="373"/>
    <x v="0"/>
    <x v="1"/>
    <x v="0"/>
  </r>
  <r>
    <x v="423"/>
    <x v="133"/>
    <x v="0"/>
    <x v="1"/>
    <x v="4"/>
    <x v="8"/>
    <x v="4"/>
    <x v="1"/>
    <x v="1"/>
    <x v="0"/>
    <x v="3"/>
    <x v="6"/>
    <x v="2"/>
    <x v="4"/>
    <x v="2"/>
    <x v="22"/>
    <x v="14"/>
    <x v="316"/>
    <x v="304"/>
    <x v="762"/>
    <x v="531"/>
    <x v="205"/>
    <x v="1"/>
    <x v="1"/>
    <x v="2"/>
  </r>
  <r>
    <x v="424"/>
    <x v="113"/>
    <x v="0"/>
    <x v="1"/>
    <x v="4"/>
    <x v="8"/>
    <x v="4"/>
    <x v="1"/>
    <x v="1"/>
    <x v="1"/>
    <x v="3"/>
    <x v="6"/>
    <x v="5"/>
    <x v="10"/>
    <x v="9"/>
    <x v="28"/>
    <x v="18"/>
    <x v="842"/>
    <x v="752"/>
    <x v="1128"/>
    <x v="1557"/>
    <x v="112"/>
    <x v="1"/>
    <x v="1"/>
    <x v="0"/>
  </r>
  <r>
    <x v="425"/>
    <x v="120"/>
    <x v="0"/>
    <x v="1"/>
    <x v="4"/>
    <x v="8"/>
    <x v="4"/>
    <x v="1"/>
    <x v="1"/>
    <x v="0"/>
    <x v="3"/>
    <x v="6"/>
    <x v="5"/>
    <x v="10"/>
    <x v="2"/>
    <x v="28"/>
    <x v="18"/>
    <x v="721"/>
    <x v="673"/>
    <x v="1187"/>
    <x v="1194"/>
    <x v="51"/>
    <x v="2"/>
    <x v="1"/>
    <x v="0"/>
  </r>
  <r>
    <x v="426"/>
    <x v="127"/>
    <x v="0"/>
    <x v="1"/>
    <x v="4"/>
    <x v="8"/>
    <x v="4"/>
    <x v="1"/>
    <x v="1"/>
    <x v="1"/>
    <x v="0"/>
    <x v="0"/>
    <x v="3"/>
    <x v="6"/>
    <x v="50"/>
    <x v="0"/>
    <x v="0"/>
    <x v="244"/>
    <x v="189"/>
    <x v="146"/>
    <x v="633"/>
    <x v="1252"/>
    <x v="1"/>
    <x v="1"/>
    <x v="2"/>
  </r>
  <r>
    <x v="427"/>
    <x v="134"/>
    <x v="0"/>
    <x v="1"/>
    <x v="4"/>
    <x v="8"/>
    <x v="4"/>
    <x v="1"/>
    <x v="1"/>
    <x v="0"/>
    <x v="0"/>
    <x v="0"/>
    <x v="3"/>
    <x v="6"/>
    <x v="23"/>
    <x v="0"/>
    <x v="0"/>
    <x v="70"/>
    <x v="55"/>
    <x v="329"/>
    <x v="199"/>
    <x v="1086"/>
    <x v="1"/>
    <x v="1"/>
    <x v="2"/>
  </r>
  <r>
    <x v="428"/>
    <x v="114"/>
    <x v="0"/>
    <x v="1"/>
    <x v="4"/>
    <x v="8"/>
    <x v="4"/>
    <x v="1"/>
    <x v="1"/>
    <x v="1"/>
    <x v="0"/>
    <x v="0"/>
    <x v="8"/>
    <x v="16"/>
    <x v="63"/>
    <x v="12"/>
    <x v="6"/>
    <x v="703"/>
    <x v="604"/>
    <x v="734"/>
    <x v="1410"/>
    <x v="1165"/>
    <x v="0"/>
    <x v="1"/>
    <x v="0"/>
  </r>
  <r>
    <x v="429"/>
    <x v="121"/>
    <x v="0"/>
    <x v="1"/>
    <x v="4"/>
    <x v="8"/>
    <x v="4"/>
    <x v="1"/>
    <x v="1"/>
    <x v="0"/>
    <x v="0"/>
    <x v="0"/>
    <x v="8"/>
    <x v="16"/>
    <x v="19"/>
    <x v="12"/>
    <x v="6"/>
    <x v="348"/>
    <x v="285"/>
    <x v="815"/>
    <x v="767"/>
    <x v="927"/>
    <x v="1"/>
    <x v="1"/>
    <x v="2"/>
  </r>
  <r>
    <x v="430"/>
    <x v="128"/>
    <x v="0"/>
    <x v="1"/>
    <x v="4"/>
    <x v="8"/>
    <x v="4"/>
    <x v="1"/>
    <x v="1"/>
    <x v="1"/>
    <x v="0"/>
    <x v="0"/>
    <x v="9"/>
    <x v="18"/>
    <x v="58"/>
    <x v="6"/>
    <x v="4"/>
    <x v="576"/>
    <x v="509"/>
    <x v="531"/>
    <x v="1176"/>
    <x v="850"/>
    <x v="0"/>
    <x v="1"/>
    <x v="0"/>
  </r>
  <r>
    <x v="431"/>
    <x v="108"/>
    <x v="0"/>
    <x v="1"/>
    <x v="4"/>
    <x v="8"/>
    <x v="4"/>
    <x v="1"/>
    <x v="1"/>
    <x v="0"/>
    <x v="0"/>
    <x v="0"/>
    <x v="9"/>
    <x v="18"/>
    <x v="19"/>
    <x v="6"/>
    <x v="4"/>
    <x v="224"/>
    <x v="203"/>
    <x v="651"/>
    <x v="461"/>
    <x v="553"/>
    <x v="1"/>
    <x v="1"/>
    <x v="2"/>
  </r>
  <r>
    <x v="432"/>
    <x v="115"/>
    <x v="0"/>
    <x v="1"/>
    <x v="4"/>
    <x v="8"/>
    <x v="4"/>
    <x v="1"/>
    <x v="1"/>
    <x v="1"/>
    <x v="2"/>
    <x v="4"/>
    <x v="0"/>
    <x v="0"/>
    <x v="24"/>
    <x v="15"/>
    <x v="10"/>
    <x v="495"/>
    <x v="434"/>
    <x v="421"/>
    <x v="1067"/>
    <x v="972"/>
    <x v="0"/>
    <x v="1"/>
    <x v="0"/>
  </r>
  <r>
    <x v="433"/>
    <x v="122"/>
    <x v="0"/>
    <x v="1"/>
    <x v="4"/>
    <x v="8"/>
    <x v="4"/>
    <x v="1"/>
    <x v="1"/>
    <x v="0"/>
    <x v="2"/>
    <x v="4"/>
    <x v="0"/>
    <x v="0"/>
    <x v="9"/>
    <x v="15"/>
    <x v="10"/>
    <x v="212"/>
    <x v="190"/>
    <x v="637"/>
    <x v="465"/>
    <x v="694"/>
    <x v="1"/>
    <x v="1"/>
    <x v="2"/>
  </r>
  <r>
    <x v="434"/>
    <x v="129"/>
    <x v="0"/>
    <x v="1"/>
    <x v="4"/>
    <x v="8"/>
    <x v="4"/>
    <x v="1"/>
    <x v="1"/>
    <x v="1"/>
    <x v="2"/>
    <x v="4"/>
    <x v="4"/>
    <x v="8"/>
    <x v="28"/>
    <x v="9"/>
    <x v="7"/>
    <x v="422"/>
    <x v="394"/>
    <x v="326"/>
    <x v="882"/>
    <x v="672"/>
    <x v="1"/>
    <x v="1"/>
    <x v="2"/>
  </r>
  <r>
    <x v="435"/>
    <x v="109"/>
    <x v="0"/>
    <x v="1"/>
    <x v="4"/>
    <x v="8"/>
    <x v="4"/>
    <x v="1"/>
    <x v="1"/>
    <x v="0"/>
    <x v="2"/>
    <x v="4"/>
    <x v="4"/>
    <x v="8"/>
    <x v="7"/>
    <x v="9"/>
    <x v="7"/>
    <x v="84"/>
    <x v="89"/>
    <x v="374"/>
    <x v="149"/>
    <x v="408"/>
    <x v="1"/>
    <x v="1"/>
    <x v="2"/>
  </r>
  <r>
    <x v="436"/>
    <x v="116"/>
    <x v="0"/>
    <x v="1"/>
    <x v="4"/>
    <x v="8"/>
    <x v="4"/>
    <x v="1"/>
    <x v="1"/>
    <x v="1"/>
    <x v="1"/>
    <x v="2"/>
    <x v="7"/>
    <x v="14"/>
    <x v="30"/>
    <x v="18"/>
    <x v="12"/>
    <x v="591"/>
    <x v="545"/>
    <x v="570"/>
    <x v="1160"/>
    <x v="518"/>
    <x v="0"/>
    <x v="1"/>
    <x v="0"/>
  </r>
  <r>
    <x v="437"/>
    <x v="123"/>
    <x v="0"/>
    <x v="1"/>
    <x v="4"/>
    <x v="8"/>
    <x v="4"/>
    <x v="1"/>
    <x v="1"/>
    <x v="0"/>
    <x v="1"/>
    <x v="2"/>
    <x v="7"/>
    <x v="14"/>
    <x v="9"/>
    <x v="18"/>
    <x v="12"/>
    <x v="235"/>
    <x v="232"/>
    <x v="664"/>
    <x v="430"/>
    <x v="301"/>
    <x v="1"/>
    <x v="1"/>
    <x v="2"/>
  </r>
  <r>
    <x v="438"/>
    <x v="130"/>
    <x v="0"/>
    <x v="1"/>
    <x v="4"/>
    <x v="8"/>
    <x v="4"/>
    <x v="1"/>
    <x v="1"/>
    <x v="1"/>
    <x v="1"/>
    <x v="2"/>
    <x v="6"/>
    <x v="12"/>
    <x v="28"/>
    <x v="3"/>
    <x v="2"/>
    <x v="153"/>
    <x v="128"/>
    <x v="78"/>
    <x v="401"/>
    <x v="1111"/>
    <x v="1"/>
    <x v="1"/>
    <x v="2"/>
  </r>
  <r>
    <x v="439"/>
    <x v="110"/>
    <x v="0"/>
    <x v="1"/>
    <x v="4"/>
    <x v="8"/>
    <x v="4"/>
    <x v="1"/>
    <x v="1"/>
    <x v="0"/>
    <x v="1"/>
    <x v="2"/>
    <x v="6"/>
    <x v="12"/>
    <x v="10"/>
    <x v="3"/>
    <x v="2"/>
    <x v="17"/>
    <x v="20"/>
    <x v="157"/>
    <x v="49"/>
    <x v="874"/>
    <x v="1"/>
    <x v="1"/>
    <x v="2"/>
  </r>
  <r>
    <x v="440"/>
    <x v="117"/>
    <x v="0"/>
    <x v="1"/>
    <x v="4"/>
    <x v="8"/>
    <x v="4"/>
    <x v="3"/>
    <x v="3"/>
    <x v="1"/>
    <x v="3"/>
    <x v="6"/>
    <x v="1"/>
    <x v="2"/>
    <x v="7"/>
    <x v="25"/>
    <x v="16"/>
    <x v="804"/>
    <x v="721"/>
    <x v="985"/>
    <x v="1498"/>
    <x v="283"/>
    <x v="0"/>
    <x v="1"/>
    <x v="0"/>
  </r>
  <r>
    <x v="441"/>
    <x v="124"/>
    <x v="0"/>
    <x v="1"/>
    <x v="4"/>
    <x v="8"/>
    <x v="4"/>
    <x v="3"/>
    <x v="3"/>
    <x v="0"/>
    <x v="3"/>
    <x v="6"/>
    <x v="1"/>
    <x v="2"/>
    <x v="2"/>
    <x v="25"/>
    <x v="16"/>
    <x v="634"/>
    <x v="592"/>
    <x v="1122"/>
    <x v="1140"/>
    <x v="158"/>
    <x v="1"/>
    <x v="1"/>
    <x v="0"/>
  </r>
  <r>
    <x v="442"/>
    <x v="131"/>
    <x v="0"/>
    <x v="1"/>
    <x v="4"/>
    <x v="8"/>
    <x v="4"/>
    <x v="3"/>
    <x v="3"/>
    <x v="1"/>
    <x v="3"/>
    <x v="6"/>
    <x v="2"/>
    <x v="4"/>
    <x v="7"/>
    <x v="22"/>
    <x v="14"/>
    <x v="583"/>
    <x v="548"/>
    <x v="551"/>
    <x v="1110"/>
    <x v="374"/>
    <x v="0"/>
    <x v="1"/>
    <x v="0"/>
  </r>
  <r>
    <x v="443"/>
    <x v="111"/>
    <x v="0"/>
    <x v="1"/>
    <x v="4"/>
    <x v="8"/>
    <x v="4"/>
    <x v="3"/>
    <x v="3"/>
    <x v="0"/>
    <x v="3"/>
    <x v="6"/>
    <x v="2"/>
    <x v="4"/>
    <x v="1"/>
    <x v="22"/>
    <x v="14"/>
    <x v="220"/>
    <x v="229"/>
    <x v="648"/>
    <x v="352"/>
    <x v="209"/>
    <x v="1"/>
    <x v="1"/>
    <x v="2"/>
  </r>
  <r>
    <x v="444"/>
    <x v="118"/>
    <x v="0"/>
    <x v="1"/>
    <x v="4"/>
    <x v="8"/>
    <x v="4"/>
    <x v="3"/>
    <x v="3"/>
    <x v="1"/>
    <x v="3"/>
    <x v="6"/>
    <x v="5"/>
    <x v="10"/>
    <x v="8"/>
    <x v="28"/>
    <x v="18"/>
    <x v="835"/>
    <x v="748"/>
    <x v="1105"/>
    <x v="1541"/>
    <x v="109"/>
    <x v="1"/>
    <x v="1"/>
    <x v="0"/>
  </r>
  <r>
    <x v="445"/>
    <x v="125"/>
    <x v="0"/>
    <x v="1"/>
    <x v="4"/>
    <x v="8"/>
    <x v="4"/>
    <x v="3"/>
    <x v="3"/>
    <x v="0"/>
    <x v="3"/>
    <x v="6"/>
    <x v="5"/>
    <x v="10"/>
    <x v="1"/>
    <x v="28"/>
    <x v="18"/>
    <x v="644"/>
    <x v="623"/>
    <x v="1128"/>
    <x v="1017"/>
    <x v="52"/>
    <x v="2"/>
    <x v="1"/>
    <x v="0"/>
  </r>
  <r>
    <x v="446"/>
    <x v="132"/>
    <x v="0"/>
    <x v="1"/>
    <x v="4"/>
    <x v="8"/>
    <x v="4"/>
    <x v="3"/>
    <x v="3"/>
    <x v="1"/>
    <x v="0"/>
    <x v="0"/>
    <x v="3"/>
    <x v="6"/>
    <x v="44"/>
    <x v="0"/>
    <x v="0"/>
    <x v="203"/>
    <x v="159"/>
    <x v="119"/>
    <x v="558"/>
    <x v="1242"/>
    <x v="1"/>
    <x v="1"/>
    <x v="2"/>
  </r>
  <r>
    <x v="447"/>
    <x v="112"/>
    <x v="0"/>
    <x v="1"/>
    <x v="4"/>
    <x v="8"/>
    <x v="4"/>
    <x v="3"/>
    <x v="3"/>
    <x v="0"/>
    <x v="0"/>
    <x v="0"/>
    <x v="3"/>
    <x v="6"/>
    <x v="12"/>
    <x v="0"/>
    <x v="0"/>
    <x v="15"/>
    <x v="13"/>
    <x v="141"/>
    <x v="48"/>
    <x v="1087"/>
    <x v="1"/>
    <x v="1"/>
    <x v="2"/>
  </r>
  <r>
    <x v="448"/>
    <x v="119"/>
    <x v="0"/>
    <x v="1"/>
    <x v="4"/>
    <x v="8"/>
    <x v="4"/>
    <x v="3"/>
    <x v="3"/>
    <x v="1"/>
    <x v="0"/>
    <x v="0"/>
    <x v="8"/>
    <x v="16"/>
    <x v="36"/>
    <x v="12"/>
    <x v="6"/>
    <x v="550"/>
    <x v="462"/>
    <x v="493"/>
    <x v="1184"/>
    <x v="1173"/>
    <x v="0"/>
    <x v="1"/>
    <x v="0"/>
  </r>
  <r>
    <x v="449"/>
    <x v="126"/>
    <x v="0"/>
    <x v="1"/>
    <x v="4"/>
    <x v="8"/>
    <x v="4"/>
    <x v="3"/>
    <x v="3"/>
    <x v="0"/>
    <x v="0"/>
    <x v="0"/>
    <x v="8"/>
    <x v="16"/>
    <x v="12"/>
    <x v="12"/>
    <x v="6"/>
    <x v="215"/>
    <x v="177"/>
    <x v="640"/>
    <x v="498"/>
    <x v="923"/>
    <x v="1"/>
    <x v="1"/>
    <x v="2"/>
  </r>
  <r>
    <x v="450"/>
    <x v="133"/>
    <x v="0"/>
    <x v="1"/>
    <x v="4"/>
    <x v="8"/>
    <x v="4"/>
    <x v="3"/>
    <x v="3"/>
    <x v="1"/>
    <x v="0"/>
    <x v="0"/>
    <x v="9"/>
    <x v="18"/>
    <x v="41"/>
    <x v="6"/>
    <x v="4"/>
    <x v="456"/>
    <x v="410"/>
    <x v="370"/>
    <x v="966"/>
    <x v="842"/>
    <x v="1"/>
    <x v="1"/>
    <x v="2"/>
  </r>
  <r>
    <x v="451"/>
    <x v="113"/>
    <x v="0"/>
    <x v="1"/>
    <x v="4"/>
    <x v="8"/>
    <x v="4"/>
    <x v="3"/>
    <x v="3"/>
    <x v="0"/>
    <x v="0"/>
    <x v="0"/>
    <x v="9"/>
    <x v="18"/>
    <x v="12"/>
    <x v="6"/>
    <x v="4"/>
    <x v="118"/>
    <x v="112"/>
    <x v="447"/>
    <x v="236"/>
    <x v="553"/>
    <x v="1"/>
    <x v="1"/>
    <x v="2"/>
  </r>
  <r>
    <x v="452"/>
    <x v="120"/>
    <x v="0"/>
    <x v="1"/>
    <x v="4"/>
    <x v="8"/>
    <x v="4"/>
    <x v="3"/>
    <x v="3"/>
    <x v="1"/>
    <x v="2"/>
    <x v="4"/>
    <x v="0"/>
    <x v="0"/>
    <x v="16"/>
    <x v="15"/>
    <x v="10"/>
    <x v="369"/>
    <x v="321"/>
    <x v="256"/>
    <x v="830"/>
    <x v="973"/>
    <x v="1"/>
    <x v="1"/>
    <x v="2"/>
  </r>
  <r>
    <x v="453"/>
    <x v="127"/>
    <x v="0"/>
    <x v="1"/>
    <x v="4"/>
    <x v="8"/>
    <x v="4"/>
    <x v="3"/>
    <x v="3"/>
    <x v="0"/>
    <x v="2"/>
    <x v="4"/>
    <x v="0"/>
    <x v="0"/>
    <x v="5"/>
    <x v="15"/>
    <x v="10"/>
    <x v="99"/>
    <x v="93"/>
    <x v="415"/>
    <x v="222"/>
    <x v="696"/>
    <x v="1"/>
    <x v="1"/>
    <x v="2"/>
  </r>
  <r>
    <x v="454"/>
    <x v="134"/>
    <x v="0"/>
    <x v="1"/>
    <x v="4"/>
    <x v="8"/>
    <x v="4"/>
    <x v="3"/>
    <x v="3"/>
    <x v="1"/>
    <x v="2"/>
    <x v="4"/>
    <x v="4"/>
    <x v="8"/>
    <x v="15"/>
    <x v="9"/>
    <x v="7"/>
    <x v="239"/>
    <x v="227"/>
    <x v="143"/>
    <x v="511"/>
    <x v="682"/>
    <x v="1"/>
    <x v="1"/>
    <x v="2"/>
  </r>
  <r>
    <x v="455"/>
    <x v="114"/>
    <x v="0"/>
    <x v="1"/>
    <x v="4"/>
    <x v="8"/>
    <x v="4"/>
    <x v="3"/>
    <x v="3"/>
    <x v="0"/>
    <x v="2"/>
    <x v="4"/>
    <x v="4"/>
    <x v="8"/>
    <x v="7"/>
    <x v="9"/>
    <x v="7"/>
    <x v="84"/>
    <x v="89"/>
    <x v="374"/>
    <x v="149"/>
    <x v="408"/>
    <x v="1"/>
    <x v="1"/>
    <x v="2"/>
  </r>
  <r>
    <x v="456"/>
    <x v="121"/>
    <x v="0"/>
    <x v="1"/>
    <x v="4"/>
    <x v="8"/>
    <x v="4"/>
    <x v="3"/>
    <x v="3"/>
    <x v="1"/>
    <x v="1"/>
    <x v="2"/>
    <x v="7"/>
    <x v="14"/>
    <x v="23"/>
    <x v="18"/>
    <x v="12"/>
    <x v="512"/>
    <x v="475"/>
    <x v="438"/>
    <x v="998"/>
    <x v="515"/>
    <x v="0"/>
    <x v="1"/>
    <x v="0"/>
  </r>
  <r>
    <x v="457"/>
    <x v="128"/>
    <x v="0"/>
    <x v="1"/>
    <x v="4"/>
    <x v="8"/>
    <x v="4"/>
    <x v="3"/>
    <x v="3"/>
    <x v="0"/>
    <x v="1"/>
    <x v="2"/>
    <x v="7"/>
    <x v="14"/>
    <x v="6"/>
    <x v="18"/>
    <x v="12"/>
    <x v="150"/>
    <x v="157"/>
    <x v="521"/>
    <x v="246"/>
    <x v="302"/>
    <x v="1"/>
    <x v="1"/>
    <x v="2"/>
  </r>
  <r>
    <x v="458"/>
    <x v="108"/>
    <x v="0"/>
    <x v="1"/>
    <x v="4"/>
    <x v="8"/>
    <x v="4"/>
    <x v="3"/>
    <x v="3"/>
    <x v="1"/>
    <x v="1"/>
    <x v="2"/>
    <x v="6"/>
    <x v="12"/>
    <x v="22"/>
    <x v="3"/>
    <x v="2"/>
    <x v="99"/>
    <x v="85"/>
    <x v="44"/>
    <x v="278"/>
    <x v="1111"/>
    <x v="1"/>
    <x v="1"/>
    <x v="2"/>
  </r>
  <r>
    <x v="459"/>
    <x v="115"/>
    <x v="0"/>
    <x v="1"/>
    <x v="4"/>
    <x v="8"/>
    <x v="4"/>
    <x v="3"/>
    <x v="3"/>
    <x v="0"/>
    <x v="1"/>
    <x v="2"/>
    <x v="6"/>
    <x v="12"/>
    <x v="8"/>
    <x v="3"/>
    <x v="2"/>
    <x v="10"/>
    <x v="11"/>
    <x v="118"/>
    <x v="25"/>
    <x v="876"/>
    <x v="1"/>
    <x v="1"/>
    <x v="2"/>
  </r>
  <r>
    <x v="460"/>
    <x v="122"/>
    <x v="0"/>
    <x v="1"/>
    <x v="4"/>
    <x v="8"/>
    <x v="4"/>
    <x v="2"/>
    <x v="2"/>
    <x v="1"/>
    <x v="3"/>
    <x v="6"/>
    <x v="1"/>
    <x v="2"/>
    <x v="6"/>
    <x v="25"/>
    <x v="16"/>
    <x v="789"/>
    <x v="711"/>
    <x v="933"/>
    <x v="1462"/>
    <x v="281"/>
    <x v="0"/>
    <x v="1"/>
    <x v="0"/>
  </r>
  <r>
    <x v="461"/>
    <x v="129"/>
    <x v="0"/>
    <x v="1"/>
    <x v="4"/>
    <x v="8"/>
    <x v="4"/>
    <x v="2"/>
    <x v="2"/>
    <x v="0"/>
    <x v="3"/>
    <x v="6"/>
    <x v="1"/>
    <x v="2"/>
    <x v="1"/>
    <x v="25"/>
    <x v="16"/>
    <x v="548"/>
    <x v="519"/>
    <x v="1050"/>
    <x v="936"/>
    <x v="162"/>
    <x v="1"/>
    <x v="1"/>
    <x v="0"/>
  </r>
  <r>
    <x v="462"/>
    <x v="109"/>
    <x v="0"/>
    <x v="1"/>
    <x v="4"/>
    <x v="8"/>
    <x v="4"/>
    <x v="2"/>
    <x v="2"/>
    <x v="1"/>
    <x v="3"/>
    <x v="6"/>
    <x v="2"/>
    <x v="4"/>
    <x v="5"/>
    <x v="22"/>
    <x v="14"/>
    <x v="500"/>
    <x v="476"/>
    <x v="426"/>
    <x v="942"/>
    <x v="382"/>
    <x v="0"/>
    <x v="1"/>
    <x v="0"/>
  </r>
  <r>
    <x v="463"/>
    <x v="116"/>
    <x v="0"/>
    <x v="1"/>
    <x v="4"/>
    <x v="8"/>
    <x v="4"/>
    <x v="2"/>
    <x v="2"/>
    <x v="0"/>
    <x v="3"/>
    <x v="6"/>
    <x v="2"/>
    <x v="4"/>
    <x v="0"/>
    <x v="22"/>
    <x v="14"/>
    <x v="116"/>
    <x v="132"/>
    <x v="445"/>
    <x v="169"/>
    <x v="205"/>
    <x v="1"/>
    <x v="1"/>
    <x v="2"/>
  </r>
  <r>
    <x v="464"/>
    <x v="123"/>
    <x v="0"/>
    <x v="1"/>
    <x v="4"/>
    <x v="8"/>
    <x v="4"/>
    <x v="2"/>
    <x v="2"/>
    <x v="1"/>
    <x v="3"/>
    <x v="6"/>
    <x v="5"/>
    <x v="10"/>
    <x v="5"/>
    <x v="28"/>
    <x v="18"/>
    <x v="808"/>
    <x v="731"/>
    <x v="1007"/>
    <x v="1458"/>
    <x v="105"/>
    <x v="1"/>
    <x v="1"/>
    <x v="0"/>
  </r>
  <r>
    <x v="465"/>
    <x v="130"/>
    <x v="0"/>
    <x v="1"/>
    <x v="4"/>
    <x v="8"/>
    <x v="4"/>
    <x v="2"/>
    <x v="2"/>
    <x v="0"/>
    <x v="3"/>
    <x v="6"/>
    <x v="5"/>
    <x v="10"/>
    <x v="1"/>
    <x v="28"/>
    <x v="18"/>
    <x v="644"/>
    <x v="623"/>
    <x v="1128"/>
    <x v="1017"/>
    <x v="52"/>
    <x v="2"/>
    <x v="1"/>
    <x v="0"/>
  </r>
  <r>
    <x v="466"/>
    <x v="110"/>
    <x v="0"/>
    <x v="1"/>
    <x v="4"/>
    <x v="8"/>
    <x v="4"/>
    <x v="2"/>
    <x v="2"/>
    <x v="1"/>
    <x v="0"/>
    <x v="0"/>
    <x v="3"/>
    <x v="6"/>
    <x v="27"/>
    <x v="0"/>
    <x v="0"/>
    <x v="95"/>
    <x v="75"/>
    <x v="41"/>
    <x v="285"/>
    <x v="1245"/>
    <x v="1"/>
    <x v="1"/>
    <x v="2"/>
  </r>
  <r>
    <x v="467"/>
    <x v="117"/>
    <x v="0"/>
    <x v="1"/>
    <x v="4"/>
    <x v="8"/>
    <x v="4"/>
    <x v="2"/>
    <x v="2"/>
    <x v="0"/>
    <x v="0"/>
    <x v="0"/>
    <x v="3"/>
    <x v="6"/>
    <x v="10"/>
    <x v="0"/>
    <x v="0"/>
    <x v="8"/>
    <x v="9"/>
    <x v="111"/>
    <x v="30"/>
    <x v="1082"/>
    <x v="1"/>
    <x v="1"/>
    <x v="2"/>
  </r>
  <r>
    <x v="468"/>
    <x v="124"/>
    <x v="0"/>
    <x v="1"/>
    <x v="4"/>
    <x v="8"/>
    <x v="4"/>
    <x v="2"/>
    <x v="2"/>
    <x v="1"/>
    <x v="0"/>
    <x v="0"/>
    <x v="8"/>
    <x v="16"/>
    <x v="24"/>
    <x v="12"/>
    <x v="6"/>
    <x v="414"/>
    <x v="346"/>
    <x v="312"/>
    <x v="941"/>
    <x v="1159"/>
    <x v="1"/>
    <x v="1"/>
    <x v="2"/>
  </r>
  <r>
    <x v="469"/>
    <x v="131"/>
    <x v="0"/>
    <x v="1"/>
    <x v="4"/>
    <x v="8"/>
    <x v="4"/>
    <x v="2"/>
    <x v="2"/>
    <x v="0"/>
    <x v="0"/>
    <x v="0"/>
    <x v="8"/>
    <x v="16"/>
    <x v="9"/>
    <x v="12"/>
    <x v="6"/>
    <x v="152"/>
    <x v="123"/>
    <x v="524"/>
    <x v="362"/>
    <x v="924"/>
    <x v="1"/>
    <x v="1"/>
    <x v="2"/>
  </r>
  <r>
    <x v="470"/>
    <x v="111"/>
    <x v="0"/>
    <x v="1"/>
    <x v="4"/>
    <x v="8"/>
    <x v="4"/>
    <x v="2"/>
    <x v="2"/>
    <x v="1"/>
    <x v="0"/>
    <x v="0"/>
    <x v="9"/>
    <x v="18"/>
    <x v="24"/>
    <x v="6"/>
    <x v="4"/>
    <x v="288"/>
    <x v="262"/>
    <x v="186"/>
    <x v="636"/>
    <x v="853"/>
    <x v="1"/>
    <x v="1"/>
    <x v="2"/>
  </r>
  <r>
    <x v="471"/>
    <x v="118"/>
    <x v="0"/>
    <x v="1"/>
    <x v="4"/>
    <x v="8"/>
    <x v="4"/>
    <x v="2"/>
    <x v="2"/>
    <x v="0"/>
    <x v="0"/>
    <x v="0"/>
    <x v="9"/>
    <x v="18"/>
    <x v="9"/>
    <x v="6"/>
    <x v="4"/>
    <x v="73"/>
    <x v="74"/>
    <x v="340"/>
    <x v="141"/>
    <x v="555"/>
    <x v="1"/>
    <x v="1"/>
    <x v="2"/>
  </r>
  <r>
    <x v="472"/>
    <x v="125"/>
    <x v="0"/>
    <x v="1"/>
    <x v="4"/>
    <x v="8"/>
    <x v="4"/>
    <x v="2"/>
    <x v="2"/>
    <x v="1"/>
    <x v="2"/>
    <x v="4"/>
    <x v="0"/>
    <x v="0"/>
    <x v="12"/>
    <x v="15"/>
    <x v="10"/>
    <x v="286"/>
    <x v="253"/>
    <x v="185"/>
    <x v="662"/>
    <x v="966"/>
    <x v="1"/>
    <x v="1"/>
    <x v="2"/>
  </r>
  <r>
    <x v="473"/>
    <x v="132"/>
    <x v="0"/>
    <x v="1"/>
    <x v="4"/>
    <x v="8"/>
    <x v="4"/>
    <x v="2"/>
    <x v="2"/>
    <x v="0"/>
    <x v="2"/>
    <x v="4"/>
    <x v="0"/>
    <x v="0"/>
    <x v="3"/>
    <x v="15"/>
    <x v="10"/>
    <x v="48"/>
    <x v="49"/>
    <x v="260"/>
    <x v="106"/>
    <x v="698"/>
    <x v="1"/>
    <x v="1"/>
    <x v="2"/>
  </r>
  <r>
    <x v="474"/>
    <x v="112"/>
    <x v="0"/>
    <x v="1"/>
    <x v="4"/>
    <x v="8"/>
    <x v="4"/>
    <x v="2"/>
    <x v="2"/>
    <x v="1"/>
    <x v="2"/>
    <x v="4"/>
    <x v="4"/>
    <x v="8"/>
    <x v="13"/>
    <x v="9"/>
    <x v="7"/>
    <x v="202"/>
    <x v="198"/>
    <x v="117"/>
    <x v="439"/>
    <x v="684"/>
    <x v="1"/>
    <x v="1"/>
    <x v="2"/>
  </r>
  <r>
    <x v="475"/>
    <x v="119"/>
    <x v="0"/>
    <x v="1"/>
    <x v="4"/>
    <x v="8"/>
    <x v="4"/>
    <x v="2"/>
    <x v="2"/>
    <x v="0"/>
    <x v="2"/>
    <x v="4"/>
    <x v="4"/>
    <x v="8"/>
    <x v="3"/>
    <x v="9"/>
    <x v="7"/>
    <x v="18"/>
    <x v="28"/>
    <x v="161"/>
    <x v="35"/>
    <x v="407"/>
    <x v="1"/>
    <x v="1"/>
    <x v="2"/>
  </r>
  <r>
    <x v="476"/>
    <x v="126"/>
    <x v="0"/>
    <x v="1"/>
    <x v="4"/>
    <x v="8"/>
    <x v="4"/>
    <x v="2"/>
    <x v="2"/>
    <x v="1"/>
    <x v="1"/>
    <x v="2"/>
    <x v="7"/>
    <x v="14"/>
    <x v="13"/>
    <x v="18"/>
    <x v="12"/>
    <x v="342"/>
    <x v="319"/>
    <x v="223"/>
    <x v="675"/>
    <x v="522"/>
    <x v="1"/>
    <x v="1"/>
    <x v="2"/>
  </r>
  <r>
    <x v="477"/>
    <x v="133"/>
    <x v="0"/>
    <x v="1"/>
    <x v="4"/>
    <x v="8"/>
    <x v="4"/>
    <x v="2"/>
    <x v="2"/>
    <x v="0"/>
    <x v="1"/>
    <x v="2"/>
    <x v="7"/>
    <x v="14"/>
    <x v="4"/>
    <x v="18"/>
    <x v="12"/>
    <x v="89"/>
    <x v="96"/>
    <x v="380"/>
    <x v="135"/>
    <x v="302"/>
    <x v="1"/>
    <x v="1"/>
    <x v="2"/>
  </r>
  <r>
    <x v="478"/>
    <x v="113"/>
    <x v="0"/>
    <x v="1"/>
    <x v="4"/>
    <x v="8"/>
    <x v="4"/>
    <x v="2"/>
    <x v="2"/>
    <x v="1"/>
    <x v="1"/>
    <x v="2"/>
    <x v="6"/>
    <x v="12"/>
    <x v="13"/>
    <x v="3"/>
    <x v="2"/>
    <x v="37"/>
    <x v="36"/>
    <x v="3"/>
    <x v="100"/>
    <x v="1120"/>
    <x v="1"/>
    <x v="1"/>
    <x v="2"/>
  </r>
  <r>
    <x v="479"/>
    <x v="120"/>
    <x v="0"/>
    <x v="1"/>
    <x v="4"/>
    <x v="8"/>
    <x v="4"/>
    <x v="2"/>
    <x v="2"/>
    <x v="0"/>
    <x v="1"/>
    <x v="2"/>
    <x v="6"/>
    <x v="12"/>
    <x v="5"/>
    <x v="3"/>
    <x v="2"/>
    <x v="3"/>
    <x v="4"/>
    <x v="53"/>
    <x v="6"/>
    <x v="877"/>
    <x v="2"/>
    <x v="1"/>
    <x v="1"/>
  </r>
  <r>
    <x v="480"/>
    <x v="127"/>
    <x v="0"/>
    <x v="1"/>
    <x v="4"/>
    <x v="8"/>
    <x v="4"/>
    <x v="4"/>
    <x v="4"/>
    <x v="1"/>
    <x v="3"/>
    <x v="6"/>
    <x v="1"/>
    <x v="2"/>
    <x v="6"/>
    <x v="25"/>
    <x v="16"/>
    <x v="789"/>
    <x v="711"/>
    <x v="933"/>
    <x v="1462"/>
    <x v="281"/>
    <x v="0"/>
    <x v="1"/>
    <x v="0"/>
  </r>
  <r>
    <x v="481"/>
    <x v="134"/>
    <x v="0"/>
    <x v="1"/>
    <x v="4"/>
    <x v="8"/>
    <x v="4"/>
    <x v="4"/>
    <x v="4"/>
    <x v="0"/>
    <x v="3"/>
    <x v="6"/>
    <x v="1"/>
    <x v="2"/>
    <x v="0"/>
    <x v="25"/>
    <x v="16"/>
    <x v="407"/>
    <x v="404"/>
    <x v="884"/>
    <x v="688"/>
    <x v="158"/>
    <x v="1"/>
    <x v="1"/>
    <x v="2"/>
  </r>
  <r>
    <x v="482"/>
    <x v="114"/>
    <x v="0"/>
    <x v="1"/>
    <x v="4"/>
    <x v="8"/>
    <x v="4"/>
    <x v="4"/>
    <x v="4"/>
    <x v="1"/>
    <x v="3"/>
    <x v="6"/>
    <x v="2"/>
    <x v="4"/>
    <x v="4"/>
    <x v="22"/>
    <x v="14"/>
    <x v="445"/>
    <x v="429"/>
    <x v="354"/>
    <x v="853"/>
    <x v="381"/>
    <x v="1"/>
    <x v="1"/>
    <x v="2"/>
  </r>
  <r>
    <x v="483"/>
    <x v="121"/>
    <x v="0"/>
    <x v="1"/>
    <x v="4"/>
    <x v="8"/>
    <x v="4"/>
    <x v="4"/>
    <x v="4"/>
    <x v="0"/>
    <x v="3"/>
    <x v="6"/>
    <x v="2"/>
    <x v="4"/>
    <x v="0"/>
    <x v="22"/>
    <x v="14"/>
    <x v="116"/>
    <x v="132"/>
    <x v="445"/>
    <x v="169"/>
    <x v="205"/>
    <x v="1"/>
    <x v="1"/>
    <x v="2"/>
  </r>
  <r>
    <x v="484"/>
    <x v="128"/>
    <x v="0"/>
    <x v="1"/>
    <x v="4"/>
    <x v="8"/>
    <x v="4"/>
    <x v="4"/>
    <x v="4"/>
    <x v="1"/>
    <x v="3"/>
    <x v="6"/>
    <x v="5"/>
    <x v="10"/>
    <x v="4"/>
    <x v="28"/>
    <x v="18"/>
    <x v="793"/>
    <x v="724"/>
    <x v="944"/>
    <x v="1407"/>
    <x v="113"/>
    <x v="1"/>
    <x v="1"/>
    <x v="0"/>
  </r>
  <r>
    <x v="485"/>
    <x v="108"/>
    <x v="0"/>
    <x v="1"/>
    <x v="4"/>
    <x v="8"/>
    <x v="4"/>
    <x v="4"/>
    <x v="4"/>
    <x v="0"/>
    <x v="3"/>
    <x v="6"/>
    <x v="5"/>
    <x v="10"/>
    <x v="1"/>
    <x v="28"/>
    <x v="18"/>
    <x v="644"/>
    <x v="623"/>
    <x v="1128"/>
    <x v="1017"/>
    <x v="52"/>
    <x v="2"/>
    <x v="1"/>
    <x v="0"/>
  </r>
  <r>
    <x v="486"/>
    <x v="115"/>
    <x v="0"/>
    <x v="1"/>
    <x v="4"/>
    <x v="8"/>
    <x v="4"/>
    <x v="4"/>
    <x v="4"/>
    <x v="1"/>
    <x v="0"/>
    <x v="0"/>
    <x v="3"/>
    <x v="6"/>
    <x v="31"/>
    <x v="0"/>
    <x v="0"/>
    <x v="119"/>
    <x v="92"/>
    <x v="57"/>
    <x v="361"/>
    <x v="1240"/>
    <x v="1"/>
    <x v="1"/>
    <x v="2"/>
  </r>
  <r>
    <x v="487"/>
    <x v="122"/>
    <x v="0"/>
    <x v="1"/>
    <x v="4"/>
    <x v="8"/>
    <x v="4"/>
    <x v="4"/>
    <x v="4"/>
    <x v="0"/>
    <x v="0"/>
    <x v="0"/>
    <x v="3"/>
    <x v="6"/>
    <x v="9"/>
    <x v="0"/>
    <x v="0"/>
    <x v="6"/>
    <x v="7"/>
    <x v="93"/>
    <x v="23"/>
    <x v="1084"/>
    <x v="1"/>
    <x v="1"/>
    <x v="2"/>
  </r>
  <r>
    <x v="488"/>
    <x v="129"/>
    <x v="0"/>
    <x v="1"/>
    <x v="4"/>
    <x v="8"/>
    <x v="4"/>
    <x v="4"/>
    <x v="4"/>
    <x v="1"/>
    <x v="0"/>
    <x v="0"/>
    <x v="8"/>
    <x v="16"/>
    <x v="27"/>
    <x v="12"/>
    <x v="6"/>
    <x v="452"/>
    <x v="383"/>
    <x v="364"/>
    <x v="1018"/>
    <x v="1163"/>
    <x v="1"/>
    <x v="1"/>
    <x v="2"/>
  </r>
  <r>
    <x v="489"/>
    <x v="109"/>
    <x v="0"/>
    <x v="1"/>
    <x v="4"/>
    <x v="8"/>
    <x v="4"/>
    <x v="4"/>
    <x v="4"/>
    <x v="0"/>
    <x v="0"/>
    <x v="0"/>
    <x v="8"/>
    <x v="16"/>
    <x v="10"/>
    <x v="12"/>
    <x v="6"/>
    <x v="173"/>
    <x v="143"/>
    <x v="573"/>
    <x v="417"/>
    <x v="919"/>
    <x v="1"/>
    <x v="1"/>
    <x v="2"/>
  </r>
  <r>
    <x v="490"/>
    <x v="116"/>
    <x v="0"/>
    <x v="1"/>
    <x v="4"/>
    <x v="8"/>
    <x v="4"/>
    <x v="4"/>
    <x v="4"/>
    <x v="1"/>
    <x v="0"/>
    <x v="0"/>
    <x v="9"/>
    <x v="18"/>
    <x v="33"/>
    <x v="6"/>
    <x v="4"/>
    <x v="387"/>
    <x v="343"/>
    <x v="279"/>
    <x v="840"/>
    <x v="852"/>
    <x v="1"/>
    <x v="1"/>
    <x v="2"/>
  </r>
  <r>
    <x v="491"/>
    <x v="123"/>
    <x v="0"/>
    <x v="1"/>
    <x v="4"/>
    <x v="8"/>
    <x v="4"/>
    <x v="4"/>
    <x v="4"/>
    <x v="0"/>
    <x v="0"/>
    <x v="0"/>
    <x v="9"/>
    <x v="18"/>
    <x v="10"/>
    <x v="6"/>
    <x v="4"/>
    <x v="89"/>
    <x v="84"/>
    <x v="380"/>
    <x v="180"/>
    <x v="559"/>
    <x v="1"/>
    <x v="1"/>
    <x v="2"/>
  </r>
  <r>
    <x v="492"/>
    <x v="130"/>
    <x v="0"/>
    <x v="1"/>
    <x v="4"/>
    <x v="8"/>
    <x v="4"/>
    <x v="4"/>
    <x v="4"/>
    <x v="1"/>
    <x v="2"/>
    <x v="4"/>
    <x v="0"/>
    <x v="0"/>
    <x v="14"/>
    <x v="15"/>
    <x v="10"/>
    <x v="337"/>
    <x v="287"/>
    <x v="213"/>
    <x v="751"/>
    <x v="970"/>
    <x v="1"/>
    <x v="1"/>
    <x v="2"/>
  </r>
  <r>
    <x v="493"/>
    <x v="110"/>
    <x v="0"/>
    <x v="1"/>
    <x v="4"/>
    <x v="8"/>
    <x v="4"/>
    <x v="4"/>
    <x v="4"/>
    <x v="0"/>
    <x v="2"/>
    <x v="4"/>
    <x v="0"/>
    <x v="0"/>
    <x v="4"/>
    <x v="15"/>
    <x v="10"/>
    <x v="76"/>
    <x v="70"/>
    <x v="342"/>
    <x v="162"/>
    <x v="691"/>
    <x v="1"/>
    <x v="1"/>
    <x v="2"/>
  </r>
  <r>
    <x v="494"/>
    <x v="117"/>
    <x v="0"/>
    <x v="1"/>
    <x v="4"/>
    <x v="8"/>
    <x v="4"/>
    <x v="4"/>
    <x v="4"/>
    <x v="1"/>
    <x v="2"/>
    <x v="4"/>
    <x v="4"/>
    <x v="8"/>
    <x v="10"/>
    <x v="9"/>
    <x v="7"/>
    <x v="144"/>
    <x v="144"/>
    <x v="70"/>
    <x v="312"/>
    <x v="670"/>
    <x v="1"/>
    <x v="1"/>
    <x v="2"/>
  </r>
  <r>
    <x v="495"/>
    <x v="124"/>
    <x v="0"/>
    <x v="1"/>
    <x v="4"/>
    <x v="8"/>
    <x v="4"/>
    <x v="4"/>
    <x v="4"/>
    <x v="0"/>
    <x v="2"/>
    <x v="4"/>
    <x v="4"/>
    <x v="8"/>
    <x v="4"/>
    <x v="9"/>
    <x v="7"/>
    <x v="34"/>
    <x v="41"/>
    <x v="209"/>
    <x v="54"/>
    <x v="411"/>
    <x v="1"/>
    <x v="1"/>
    <x v="2"/>
  </r>
  <r>
    <x v="496"/>
    <x v="131"/>
    <x v="0"/>
    <x v="1"/>
    <x v="4"/>
    <x v="8"/>
    <x v="4"/>
    <x v="4"/>
    <x v="4"/>
    <x v="1"/>
    <x v="1"/>
    <x v="2"/>
    <x v="7"/>
    <x v="14"/>
    <x v="16"/>
    <x v="18"/>
    <x v="12"/>
    <x v="399"/>
    <x v="375"/>
    <x v="292"/>
    <x v="798"/>
    <x v="512"/>
    <x v="1"/>
    <x v="1"/>
    <x v="2"/>
  </r>
  <r>
    <x v="497"/>
    <x v="111"/>
    <x v="0"/>
    <x v="1"/>
    <x v="4"/>
    <x v="8"/>
    <x v="4"/>
    <x v="4"/>
    <x v="4"/>
    <x v="0"/>
    <x v="1"/>
    <x v="2"/>
    <x v="7"/>
    <x v="14"/>
    <x v="5"/>
    <x v="18"/>
    <x v="12"/>
    <x v="118"/>
    <x v="126"/>
    <x v="447"/>
    <x v="201"/>
    <x v="298"/>
    <x v="1"/>
    <x v="1"/>
    <x v="2"/>
  </r>
  <r>
    <x v="498"/>
    <x v="118"/>
    <x v="0"/>
    <x v="1"/>
    <x v="4"/>
    <x v="8"/>
    <x v="4"/>
    <x v="4"/>
    <x v="4"/>
    <x v="1"/>
    <x v="1"/>
    <x v="2"/>
    <x v="6"/>
    <x v="12"/>
    <x v="14"/>
    <x v="3"/>
    <x v="2"/>
    <x v="42"/>
    <x v="40"/>
    <x v="5"/>
    <x v="122"/>
    <x v="1106"/>
    <x v="1"/>
    <x v="1"/>
    <x v="2"/>
  </r>
  <r>
    <x v="499"/>
    <x v="125"/>
    <x v="0"/>
    <x v="1"/>
    <x v="4"/>
    <x v="8"/>
    <x v="4"/>
    <x v="4"/>
    <x v="4"/>
    <x v="0"/>
    <x v="1"/>
    <x v="2"/>
    <x v="6"/>
    <x v="12"/>
    <x v="4"/>
    <x v="3"/>
    <x v="2"/>
    <x v="1"/>
    <x v="1"/>
    <x v="33"/>
    <x v="3"/>
    <x v="871"/>
    <x v="2"/>
    <x v="1"/>
    <x v="1"/>
  </r>
  <r>
    <x v="500"/>
    <x v="159"/>
    <x v="0"/>
    <x v="1"/>
    <x v="5"/>
    <x v="6"/>
    <x v="5"/>
    <x v="0"/>
    <x v="0"/>
    <x v="1"/>
    <x v="3"/>
    <x v="6"/>
    <x v="1"/>
    <x v="2"/>
    <x v="17"/>
    <x v="25"/>
    <x v="16"/>
    <x v="855"/>
    <x v="760"/>
    <x v="1175"/>
    <x v="1592"/>
    <x v="285"/>
    <x v="0"/>
    <x v="1"/>
    <x v="0"/>
  </r>
  <r>
    <x v="501"/>
    <x v="139"/>
    <x v="0"/>
    <x v="1"/>
    <x v="5"/>
    <x v="6"/>
    <x v="5"/>
    <x v="0"/>
    <x v="0"/>
    <x v="0"/>
    <x v="3"/>
    <x v="6"/>
    <x v="1"/>
    <x v="2"/>
    <x v="5"/>
    <x v="25"/>
    <x v="16"/>
    <x v="768"/>
    <x v="698"/>
    <x v="1229"/>
    <x v="1387"/>
    <x v="160"/>
    <x v="1"/>
    <x v="1"/>
    <x v="0"/>
  </r>
  <r>
    <x v="502"/>
    <x v="146"/>
    <x v="0"/>
    <x v="1"/>
    <x v="5"/>
    <x v="6"/>
    <x v="5"/>
    <x v="0"/>
    <x v="0"/>
    <x v="1"/>
    <x v="3"/>
    <x v="6"/>
    <x v="2"/>
    <x v="4"/>
    <x v="22"/>
    <x v="22"/>
    <x v="14"/>
    <x v="804"/>
    <x v="720"/>
    <x v="985"/>
    <x v="1507"/>
    <x v="377"/>
    <x v="0"/>
    <x v="1"/>
    <x v="0"/>
  </r>
  <r>
    <x v="503"/>
    <x v="153"/>
    <x v="0"/>
    <x v="1"/>
    <x v="5"/>
    <x v="6"/>
    <x v="5"/>
    <x v="0"/>
    <x v="0"/>
    <x v="0"/>
    <x v="3"/>
    <x v="6"/>
    <x v="2"/>
    <x v="4"/>
    <x v="8"/>
    <x v="22"/>
    <x v="14"/>
    <x v="620"/>
    <x v="572"/>
    <x v="1105"/>
    <x v="1122"/>
    <x v="208"/>
    <x v="1"/>
    <x v="1"/>
    <x v="0"/>
  </r>
  <r>
    <x v="504"/>
    <x v="160"/>
    <x v="0"/>
    <x v="1"/>
    <x v="5"/>
    <x v="6"/>
    <x v="5"/>
    <x v="0"/>
    <x v="0"/>
    <x v="1"/>
    <x v="3"/>
    <x v="6"/>
    <x v="5"/>
    <x v="10"/>
    <x v="20"/>
    <x v="28"/>
    <x v="18"/>
    <x v="882"/>
    <x v="787"/>
    <x v="1255"/>
    <x v="1613"/>
    <x v="108"/>
    <x v="1"/>
    <x v="1"/>
    <x v="0"/>
  </r>
  <r>
    <x v="505"/>
    <x v="140"/>
    <x v="0"/>
    <x v="1"/>
    <x v="5"/>
    <x v="6"/>
    <x v="5"/>
    <x v="0"/>
    <x v="0"/>
    <x v="0"/>
    <x v="3"/>
    <x v="6"/>
    <x v="5"/>
    <x v="10"/>
    <x v="7"/>
    <x v="28"/>
    <x v="18"/>
    <x v="829"/>
    <x v="744"/>
    <x v="1299"/>
    <x v="1503"/>
    <x v="50"/>
    <x v="2"/>
    <x v="1"/>
    <x v="0"/>
  </r>
  <r>
    <x v="506"/>
    <x v="147"/>
    <x v="0"/>
    <x v="1"/>
    <x v="5"/>
    <x v="6"/>
    <x v="5"/>
    <x v="0"/>
    <x v="0"/>
    <x v="1"/>
    <x v="0"/>
    <x v="0"/>
    <x v="3"/>
    <x v="6"/>
    <x v="110"/>
    <x v="0"/>
    <x v="0"/>
    <x v="531"/>
    <x v="431"/>
    <x v="462"/>
    <x v="1181"/>
    <x v="1250"/>
    <x v="0"/>
    <x v="1"/>
    <x v="0"/>
  </r>
  <r>
    <x v="507"/>
    <x v="154"/>
    <x v="0"/>
    <x v="1"/>
    <x v="5"/>
    <x v="6"/>
    <x v="5"/>
    <x v="0"/>
    <x v="0"/>
    <x v="0"/>
    <x v="0"/>
    <x v="0"/>
    <x v="3"/>
    <x v="6"/>
    <x v="34"/>
    <x v="0"/>
    <x v="0"/>
    <x v="142"/>
    <x v="109"/>
    <x v="505"/>
    <x v="377"/>
    <x v="1085"/>
    <x v="1"/>
    <x v="1"/>
    <x v="2"/>
  </r>
  <r>
    <x v="508"/>
    <x v="161"/>
    <x v="0"/>
    <x v="1"/>
    <x v="5"/>
    <x v="6"/>
    <x v="5"/>
    <x v="0"/>
    <x v="0"/>
    <x v="1"/>
    <x v="0"/>
    <x v="0"/>
    <x v="8"/>
    <x v="16"/>
    <x v="104"/>
    <x v="12"/>
    <x v="6"/>
    <x v="802"/>
    <x v="703"/>
    <x v="978"/>
    <x v="1547"/>
    <x v="1164"/>
    <x v="0"/>
    <x v="1"/>
    <x v="0"/>
  </r>
  <r>
    <x v="509"/>
    <x v="141"/>
    <x v="0"/>
    <x v="1"/>
    <x v="5"/>
    <x v="6"/>
    <x v="5"/>
    <x v="0"/>
    <x v="0"/>
    <x v="0"/>
    <x v="0"/>
    <x v="0"/>
    <x v="8"/>
    <x v="16"/>
    <x v="43"/>
    <x v="12"/>
    <x v="6"/>
    <x v="602"/>
    <x v="511"/>
    <x v="1090"/>
    <x v="1227"/>
    <x v="922"/>
    <x v="0"/>
    <x v="1"/>
    <x v="0"/>
  </r>
  <r>
    <x v="510"/>
    <x v="148"/>
    <x v="0"/>
    <x v="1"/>
    <x v="5"/>
    <x v="6"/>
    <x v="5"/>
    <x v="0"/>
    <x v="0"/>
    <x v="1"/>
    <x v="0"/>
    <x v="0"/>
    <x v="9"/>
    <x v="18"/>
    <x v="106"/>
    <x v="6"/>
    <x v="4"/>
    <x v="744"/>
    <x v="657"/>
    <x v="819"/>
    <x v="1441"/>
    <x v="847"/>
    <x v="0"/>
    <x v="1"/>
    <x v="0"/>
  </r>
  <r>
    <x v="511"/>
    <x v="155"/>
    <x v="0"/>
    <x v="1"/>
    <x v="5"/>
    <x v="6"/>
    <x v="5"/>
    <x v="0"/>
    <x v="0"/>
    <x v="0"/>
    <x v="0"/>
    <x v="0"/>
    <x v="9"/>
    <x v="18"/>
    <x v="44"/>
    <x v="6"/>
    <x v="4"/>
    <x v="482"/>
    <x v="424"/>
    <x v="990"/>
    <x v="955"/>
    <x v="554"/>
    <x v="1"/>
    <x v="1"/>
    <x v="2"/>
  </r>
  <r>
    <x v="512"/>
    <x v="135"/>
    <x v="0"/>
    <x v="1"/>
    <x v="5"/>
    <x v="6"/>
    <x v="5"/>
    <x v="0"/>
    <x v="0"/>
    <x v="1"/>
    <x v="2"/>
    <x v="4"/>
    <x v="0"/>
    <x v="0"/>
    <x v="38"/>
    <x v="15"/>
    <x v="10"/>
    <x v="634"/>
    <x v="558"/>
    <x v="631"/>
    <x v="1282"/>
    <x v="970"/>
    <x v="0"/>
    <x v="1"/>
    <x v="0"/>
  </r>
  <r>
    <x v="513"/>
    <x v="142"/>
    <x v="0"/>
    <x v="1"/>
    <x v="5"/>
    <x v="6"/>
    <x v="5"/>
    <x v="0"/>
    <x v="0"/>
    <x v="0"/>
    <x v="2"/>
    <x v="4"/>
    <x v="0"/>
    <x v="0"/>
    <x v="17"/>
    <x v="15"/>
    <x v="10"/>
    <x v="388"/>
    <x v="338"/>
    <x v="867"/>
    <x v="815"/>
    <x v="697"/>
    <x v="1"/>
    <x v="1"/>
    <x v="2"/>
  </r>
  <r>
    <x v="514"/>
    <x v="149"/>
    <x v="0"/>
    <x v="1"/>
    <x v="5"/>
    <x v="6"/>
    <x v="5"/>
    <x v="0"/>
    <x v="0"/>
    <x v="1"/>
    <x v="2"/>
    <x v="4"/>
    <x v="4"/>
    <x v="8"/>
    <x v="46"/>
    <x v="9"/>
    <x v="7"/>
    <x v="584"/>
    <x v="532"/>
    <x v="556"/>
    <x v="1175"/>
    <x v="676"/>
    <x v="0"/>
    <x v="1"/>
    <x v="0"/>
  </r>
  <r>
    <x v="515"/>
    <x v="156"/>
    <x v="0"/>
    <x v="1"/>
    <x v="5"/>
    <x v="6"/>
    <x v="5"/>
    <x v="0"/>
    <x v="0"/>
    <x v="0"/>
    <x v="2"/>
    <x v="4"/>
    <x v="4"/>
    <x v="8"/>
    <x v="15"/>
    <x v="9"/>
    <x v="7"/>
    <x v="239"/>
    <x v="227"/>
    <x v="670"/>
    <x v="466"/>
    <x v="410"/>
    <x v="1"/>
    <x v="1"/>
    <x v="2"/>
  </r>
  <r>
    <x v="516"/>
    <x v="136"/>
    <x v="0"/>
    <x v="1"/>
    <x v="5"/>
    <x v="6"/>
    <x v="5"/>
    <x v="0"/>
    <x v="0"/>
    <x v="1"/>
    <x v="1"/>
    <x v="2"/>
    <x v="7"/>
    <x v="14"/>
    <x v="63"/>
    <x v="18"/>
    <x v="12"/>
    <x v="769"/>
    <x v="692"/>
    <x v="869"/>
    <x v="1450"/>
    <x v="517"/>
    <x v="0"/>
    <x v="1"/>
    <x v="0"/>
  </r>
  <r>
    <x v="517"/>
    <x v="143"/>
    <x v="0"/>
    <x v="1"/>
    <x v="5"/>
    <x v="6"/>
    <x v="5"/>
    <x v="0"/>
    <x v="0"/>
    <x v="0"/>
    <x v="1"/>
    <x v="2"/>
    <x v="7"/>
    <x v="14"/>
    <x v="20"/>
    <x v="18"/>
    <x v="12"/>
    <x v="468"/>
    <x v="436"/>
    <x v="970"/>
    <x v="867"/>
    <x v="301"/>
    <x v="1"/>
    <x v="1"/>
    <x v="2"/>
  </r>
  <r>
    <x v="518"/>
    <x v="150"/>
    <x v="0"/>
    <x v="1"/>
    <x v="5"/>
    <x v="6"/>
    <x v="5"/>
    <x v="0"/>
    <x v="0"/>
    <x v="1"/>
    <x v="1"/>
    <x v="2"/>
    <x v="6"/>
    <x v="12"/>
    <x v="61"/>
    <x v="3"/>
    <x v="2"/>
    <x v="373"/>
    <x v="314"/>
    <x v="261"/>
    <x v="870"/>
    <x v="1112"/>
    <x v="1"/>
    <x v="1"/>
    <x v="2"/>
  </r>
  <r>
    <x v="519"/>
    <x v="157"/>
    <x v="0"/>
    <x v="1"/>
    <x v="5"/>
    <x v="6"/>
    <x v="5"/>
    <x v="0"/>
    <x v="0"/>
    <x v="0"/>
    <x v="1"/>
    <x v="2"/>
    <x v="6"/>
    <x v="12"/>
    <x v="22"/>
    <x v="3"/>
    <x v="2"/>
    <x v="99"/>
    <x v="85"/>
    <x v="415"/>
    <x v="239"/>
    <x v="874"/>
    <x v="1"/>
    <x v="1"/>
    <x v="2"/>
  </r>
  <r>
    <x v="520"/>
    <x v="137"/>
    <x v="0"/>
    <x v="1"/>
    <x v="5"/>
    <x v="6"/>
    <x v="5"/>
    <x v="1"/>
    <x v="1"/>
    <x v="1"/>
    <x v="3"/>
    <x v="6"/>
    <x v="1"/>
    <x v="2"/>
    <x v="12"/>
    <x v="25"/>
    <x v="16"/>
    <x v="837"/>
    <x v="746"/>
    <x v="1108"/>
    <x v="1566"/>
    <x v="284"/>
    <x v="0"/>
    <x v="1"/>
    <x v="0"/>
  </r>
  <r>
    <x v="521"/>
    <x v="144"/>
    <x v="0"/>
    <x v="1"/>
    <x v="5"/>
    <x v="6"/>
    <x v="5"/>
    <x v="1"/>
    <x v="1"/>
    <x v="0"/>
    <x v="3"/>
    <x v="6"/>
    <x v="1"/>
    <x v="2"/>
    <x v="3"/>
    <x v="25"/>
    <x v="16"/>
    <x v="697"/>
    <x v="645"/>
    <x v="1169"/>
    <x v="1240"/>
    <x v="161"/>
    <x v="1"/>
    <x v="1"/>
    <x v="0"/>
  </r>
  <r>
    <x v="522"/>
    <x v="151"/>
    <x v="0"/>
    <x v="1"/>
    <x v="5"/>
    <x v="6"/>
    <x v="5"/>
    <x v="1"/>
    <x v="1"/>
    <x v="1"/>
    <x v="3"/>
    <x v="6"/>
    <x v="2"/>
    <x v="4"/>
    <x v="12"/>
    <x v="22"/>
    <x v="14"/>
    <x v="710"/>
    <x v="652"/>
    <x v="743"/>
    <x v="1316"/>
    <x v="376"/>
    <x v="0"/>
    <x v="1"/>
    <x v="0"/>
  </r>
  <r>
    <x v="523"/>
    <x v="158"/>
    <x v="0"/>
    <x v="1"/>
    <x v="5"/>
    <x v="6"/>
    <x v="5"/>
    <x v="1"/>
    <x v="1"/>
    <x v="0"/>
    <x v="3"/>
    <x v="6"/>
    <x v="2"/>
    <x v="4"/>
    <x v="3"/>
    <x v="22"/>
    <x v="14"/>
    <x v="384"/>
    <x v="374"/>
    <x v="859"/>
    <x v="673"/>
    <x v="208"/>
    <x v="1"/>
    <x v="1"/>
    <x v="2"/>
  </r>
  <r>
    <x v="524"/>
    <x v="138"/>
    <x v="0"/>
    <x v="1"/>
    <x v="5"/>
    <x v="6"/>
    <x v="5"/>
    <x v="1"/>
    <x v="1"/>
    <x v="1"/>
    <x v="3"/>
    <x v="6"/>
    <x v="5"/>
    <x v="10"/>
    <x v="9"/>
    <x v="28"/>
    <x v="18"/>
    <x v="842"/>
    <x v="752"/>
    <x v="1128"/>
    <x v="1557"/>
    <x v="112"/>
    <x v="1"/>
    <x v="1"/>
    <x v="0"/>
  </r>
  <r>
    <x v="525"/>
    <x v="145"/>
    <x v="0"/>
    <x v="1"/>
    <x v="5"/>
    <x v="6"/>
    <x v="5"/>
    <x v="1"/>
    <x v="1"/>
    <x v="0"/>
    <x v="3"/>
    <x v="6"/>
    <x v="5"/>
    <x v="10"/>
    <x v="3"/>
    <x v="28"/>
    <x v="18"/>
    <x v="760"/>
    <x v="707"/>
    <x v="1227"/>
    <x v="1286"/>
    <x v="49"/>
    <x v="2"/>
    <x v="1"/>
    <x v="0"/>
  </r>
  <r>
    <x v="526"/>
    <x v="152"/>
    <x v="0"/>
    <x v="1"/>
    <x v="5"/>
    <x v="6"/>
    <x v="5"/>
    <x v="1"/>
    <x v="1"/>
    <x v="1"/>
    <x v="0"/>
    <x v="0"/>
    <x v="3"/>
    <x v="6"/>
    <x v="68"/>
    <x v="0"/>
    <x v="0"/>
    <x v="344"/>
    <x v="268"/>
    <x v="225"/>
    <x v="835"/>
    <x v="1248"/>
    <x v="1"/>
    <x v="1"/>
    <x v="2"/>
  </r>
  <r>
    <x v="527"/>
    <x v="159"/>
    <x v="0"/>
    <x v="1"/>
    <x v="5"/>
    <x v="6"/>
    <x v="5"/>
    <x v="1"/>
    <x v="1"/>
    <x v="0"/>
    <x v="0"/>
    <x v="0"/>
    <x v="3"/>
    <x v="6"/>
    <x v="22"/>
    <x v="0"/>
    <x v="0"/>
    <x v="63"/>
    <x v="52"/>
    <x v="310"/>
    <x v="181"/>
    <x v="1082"/>
    <x v="1"/>
    <x v="1"/>
    <x v="2"/>
  </r>
  <r>
    <x v="528"/>
    <x v="139"/>
    <x v="0"/>
    <x v="1"/>
    <x v="5"/>
    <x v="6"/>
    <x v="5"/>
    <x v="1"/>
    <x v="1"/>
    <x v="1"/>
    <x v="0"/>
    <x v="0"/>
    <x v="8"/>
    <x v="16"/>
    <x v="56"/>
    <x v="12"/>
    <x v="6"/>
    <x v="670"/>
    <x v="576"/>
    <x v="684"/>
    <x v="1370"/>
    <x v="1163"/>
    <x v="0"/>
    <x v="1"/>
    <x v="0"/>
  </r>
  <r>
    <x v="529"/>
    <x v="146"/>
    <x v="0"/>
    <x v="1"/>
    <x v="5"/>
    <x v="6"/>
    <x v="5"/>
    <x v="1"/>
    <x v="1"/>
    <x v="0"/>
    <x v="0"/>
    <x v="0"/>
    <x v="8"/>
    <x v="16"/>
    <x v="18"/>
    <x v="12"/>
    <x v="6"/>
    <x v="334"/>
    <x v="274"/>
    <x v="798"/>
    <x v="734"/>
    <x v="920"/>
    <x v="1"/>
    <x v="1"/>
    <x v="2"/>
  </r>
  <r>
    <x v="530"/>
    <x v="153"/>
    <x v="0"/>
    <x v="1"/>
    <x v="5"/>
    <x v="6"/>
    <x v="5"/>
    <x v="1"/>
    <x v="1"/>
    <x v="1"/>
    <x v="0"/>
    <x v="0"/>
    <x v="9"/>
    <x v="18"/>
    <x v="68"/>
    <x v="6"/>
    <x v="4"/>
    <x v="622"/>
    <x v="551"/>
    <x v="609"/>
    <x v="1246"/>
    <x v="840"/>
    <x v="0"/>
    <x v="1"/>
    <x v="0"/>
  </r>
  <r>
    <x v="531"/>
    <x v="160"/>
    <x v="0"/>
    <x v="1"/>
    <x v="5"/>
    <x v="6"/>
    <x v="5"/>
    <x v="1"/>
    <x v="1"/>
    <x v="0"/>
    <x v="0"/>
    <x v="0"/>
    <x v="9"/>
    <x v="18"/>
    <x v="21"/>
    <x v="6"/>
    <x v="4"/>
    <x v="254"/>
    <x v="225"/>
    <x v="681"/>
    <x v="519"/>
    <x v="558"/>
    <x v="1"/>
    <x v="1"/>
    <x v="2"/>
  </r>
  <r>
    <x v="532"/>
    <x v="140"/>
    <x v="0"/>
    <x v="1"/>
    <x v="5"/>
    <x v="6"/>
    <x v="5"/>
    <x v="1"/>
    <x v="1"/>
    <x v="1"/>
    <x v="2"/>
    <x v="4"/>
    <x v="0"/>
    <x v="0"/>
    <x v="21"/>
    <x v="15"/>
    <x v="10"/>
    <x v="453"/>
    <x v="399"/>
    <x v="365"/>
    <x v="981"/>
    <x v="969"/>
    <x v="1"/>
    <x v="1"/>
    <x v="2"/>
  </r>
  <r>
    <x v="533"/>
    <x v="147"/>
    <x v="0"/>
    <x v="1"/>
    <x v="5"/>
    <x v="6"/>
    <x v="5"/>
    <x v="1"/>
    <x v="1"/>
    <x v="0"/>
    <x v="2"/>
    <x v="4"/>
    <x v="0"/>
    <x v="0"/>
    <x v="11"/>
    <x v="15"/>
    <x v="10"/>
    <x v="262"/>
    <x v="230"/>
    <x v="701"/>
    <x v="565"/>
    <x v="693"/>
    <x v="1"/>
    <x v="1"/>
    <x v="2"/>
  </r>
  <r>
    <x v="534"/>
    <x v="154"/>
    <x v="0"/>
    <x v="1"/>
    <x v="5"/>
    <x v="6"/>
    <x v="5"/>
    <x v="1"/>
    <x v="1"/>
    <x v="1"/>
    <x v="2"/>
    <x v="4"/>
    <x v="4"/>
    <x v="8"/>
    <x v="25"/>
    <x v="9"/>
    <x v="7"/>
    <x v="389"/>
    <x v="358"/>
    <x v="282"/>
    <x v="814"/>
    <x v="674"/>
    <x v="1"/>
    <x v="1"/>
    <x v="2"/>
  </r>
  <r>
    <x v="535"/>
    <x v="161"/>
    <x v="0"/>
    <x v="1"/>
    <x v="5"/>
    <x v="6"/>
    <x v="5"/>
    <x v="1"/>
    <x v="1"/>
    <x v="0"/>
    <x v="2"/>
    <x v="4"/>
    <x v="4"/>
    <x v="8"/>
    <x v="9"/>
    <x v="9"/>
    <x v="7"/>
    <x v="121"/>
    <x v="124"/>
    <x v="467"/>
    <x v="228"/>
    <x v="409"/>
    <x v="1"/>
    <x v="1"/>
    <x v="2"/>
  </r>
  <r>
    <x v="536"/>
    <x v="141"/>
    <x v="0"/>
    <x v="1"/>
    <x v="5"/>
    <x v="6"/>
    <x v="5"/>
    <x v="1"/>
    <x v="1"/>
    <x v="1"/>
    <x v="1"/>
    <x v="2"/>
    <x v="7"/>
    <x v="14"/>
    <x v="34"/>
    <x v="18"/>
    <x v="12"/>
    <x v="627"/>
    <x v="574"/>
    <x v="618"/>
    <x v="1220"/>
    <x v="512"/>
    <x v="0"/>
    <x v="1"/>
    <x v="0"/>
  </r>
  <r>
    <x v="537"/>
    <x v="148"/>
    <x v="0"/>
    <x v="1"/>
    <x v="5"/>
    <x v="6"/>
    <x v="5"/>
    <x v="1"/>
    <x v="1"/>
    <x v="0"/>
    <x v="1"/>
    <x v="2"/>
    <x v="7"/>
    <x v="14"/>
    <x v="12"/>
    <x v="18"/>
    <x v="12"/>
    <x v="320"/>
    <x v="298"/>
    <x v="769"/>
    <x v="571"/>
    <x v="298"/>
    <x v="1"/>
    <x v="1"/>
    <x v="2"/>
  </r>
  <r>
    <x v="538"/>
    <x v="155"/>
    <x v="0"/>
    <x v="1"/>
    <x v="5"/>
    <x v="6"/>
    <x v="5"/>
    <x v="1"/>
    <x v="1"/>
    <x v="1"/>
    <x v="1"/>
    <x v="2"/>
    <x v="6"/>
    <x v="12"/>
    <x v="38"/>
    <x v="3"/>
    <x v="2"/>
    <x v="230"/>
    <x v="195"/>
    <x v="137"/>
    <x v="573"/>
    <x v="1117"/>
    <x v="1"/>
    <x v="1"/>
    <x v="2"/>
  </r>
  <r>
    <x v="539"/>
    <x v="135"/>
    <x v="0"/>
    <x v="1"/>
    <x v="5"/>
    <x v="6"/>
    <x v="5"/>
    <x v="1"/>
    <x v="1"/>
    <x v="0"/>
    <x v="1"/>
    <x v="2"/>
    <x v="6"/>
    <x v="12"/>
    <x v="13"/>
    <x v="3"/>
    <x v="2"/>
    <x v="37"/>
    <x v="36"/>
    <x v="214"/>
    <x v="86"/>
    <x v="872"/>
    <x v="1"/>
    <x v="1"/>
    <x v="2"/>
  </r>
  <r>
    <x v="540"/>
    <x v="142"/>
    <x v="0"/>
    <x v="1"/>
    <x v="5"/>
    <x v="6"/>
    <x v="5"/>
    <x v="3"/>
    <x v="3"/>
    <x v="1"/>
    <x v="3"/>
    <x v="6"/>
    <x v="1"/>
    <x v="2"/>
    <x v="6"/>
    <x v="25"/>
    <x v="16"/>
    <x v="789"/>
    <x v="711"/>
    <x v="933"/>
    <x v="1462"/>
    <x v="281"/>
    <x v="0"/>
    <x v="1"/>
    <x v="0"/>
  </r>
  <r>
    <x v="541"/>
    <x v="149"/>
    <x v="0"/>
    <x v="1"/>
    <x v="5"/>
    <x v="6"/>
    <x v="5"/>
    <x v="3"/>
    <x v="3"/>
    <x v="0"/>
    <x v="3"/>
    <x v="6"/>
    <x v="1"/>
    <x v="2"/>
    <x v="1"/>
    <x v="25"/>
    <x v="16"/>
    <x v="548"/>
    <x v="519"/>
    <x v="1050"/>
    <x v="936"/>
    <x v="162"/>
    <x v="1"/>
    <x v="1"/>
    <x v="0"/>
  </r>
  <r>
    <x v="542"/>
    <x v="156"/>
    <x v="0"/>
    <x v="1"/>
    <x v="5"/>
    <x v="6"/>
    <x v="5"/>
    <x v="3"/>
    <x v="3"/>
    <x v="1"/>
    <x v="3"/>
    <x v="6"/>
    <x v="2"/>
    <x v="4"/>
    <x v="8"/>
    <x v="22"/>
    <x v="14"/>
    <x v="620"/>
    <x v="572"/>
    <x v="605"/>
    <x v="1172"/>
    <x v="378"/>
    <x v="0"/>
    <x v="1"/>
    <x v="0"/>
  </r>
  <r>
    <x v="543"/>
    <x v="136"/>
    <x v="0"/>
    <x v="1"/>
    <x v="5"/>
    <x v="6"/>
    <x v="5"/>
    <x v="3"/>
    <x v="3"/>
    <x v="0"/>
    <x v="3"/>
    <x v="6"/>
    <x v="2"/>
    <x v="4"/>
    <x v="2"/>
    <x v="22"/>
    <x v="14"/>
    <x v="316"/>
    <x v="304"/>
    <x v="762"/>
    <x v="531"/>
    <x v="205"/>
    <x v="1"/>
    <x v="1"/>
    <x v="2"/>
  </r>
  <r>
    <x v="544"/>
    <x v="143"/>
    <x v="0"/>
    <x v="1"/>
    <x v="5"/>
    <x v="6"/>
    <x v="5"/>
    <x v="3"/>
    <x v="3"/>
    <x v="1"/>
    <x v="3"/>
    <x v="6"/>
    <x v="5"/>
    <x v="10"/>
    <x v="8"/>
    <x v="28"/>
    <x v="18"/>
    <x v="835"/>
    <x v="748"/>
    <x v="1105"/>
    <x v="1541"/>
    <x v="109"/>
    <x v="1"/>
    <x v="1"/>
    <x v="0"/>
  </r>
  <r>
    <x v="545"/>
    <x v="150"/>
    <x v="0"/>
    <x v="1"/>
    <x v="5"/>
    <x v="6"/>
    <x v="5"/>
    <x v="3"/>
    <x v="3"/>
    <x v="0"/>
    <x v="3"/>
    <x v="6"/>
    <x v="5"/>
    <x v="10"/>
    <x v="2"/>
    <x v="28"/>
    <x v="18"/>
    <x v="721"/>
    <x v="673"/>
    <x v="1187"/>
    <x v="1194"/>
    <x v="51"/>
    <x v="2"/>
    <x v="1"/>
    <x v="0"/>
  </r>
  <r>
    <x v="546"/>
    <x v="157"/>
    <x v="0"/>
    <x v="1"/>
    <x v="5"/>
    <x v="6"/>
    <x v="5"/>
    <x v="3"/>
    <x v="3"/>
    <x v="1"/>
    <x v="0"/>
    <x v="0"/>
    <x v="3"/>
    <x v="6"/>
    <x v="42"/>
    <x v="0"/>
    <x v="0"/>
    <x v="195"/>
    <x v="150"/>
    <x v="111"/>
    <x v="533"/>
    <x v="1244"/>
    <x v="1"/>
    <x v="1"/>
    <x v="2"/>
  </r>
  <r>
    <x v="547"/>
    <x v="137"/>
    <x v="0"/>
    <x v="1"/>
    <x v="5"/>
    <x v="6"/>
    <x v="5"/>
    <x v="3"/>
    <x v="3"/>
    <x v="0"/>
    <x v="0"/>
    <x v="0"/>
    <x v="3"/>
    <x v="6"/>
    <x v="15"/>
    <x v="0"/>
    <x v="0"/>
    <x v="27"/>
    <x v="24"/>
    <x v="194"/>
    <x v="77"/>
    <x v="1081"/>
    <x v="1"/>
    <x v="1"/>
    <x v="2"/>
  </r>
  <r>
    <x v="548"/>
    <x v="144"/>
    <x v="0"/>
    <x v="1"/>
    <x v="5"/>
    <x v="6"/>
    <x v="5"/>
    <x v="3"/>
    <x v="3"/>
    <x v="1"/>
    <x v="0"/>
    <x v="0"/>
    <x v="8"/>
    <x v="16"/>
    <x v="49"/>
    <x v="12"/>
    <x v="6"/>
    <x v="637"/>
    <x v="547"/>
    <x v="638"/>
    <x v="1308"/>
    <x v="1162"/>
    <x v="0"/>
    <x v="1"/>
    <x v="0"/>
  </r>
  <r>
    <x v="549"/>
    <x v="151"/>
    <x v="0"/>
    <x v="1"/>
    <x v="5"/>
    <x v="6"/>
    <x v="5"/>
    <x v="3"/>
    <x v="3"/>
    <x v="0"/>
    <x v="0"/>
    <x v="0"/>
    <x v="8"/>
    <x v="16"/>
    <x v="17"/>
    <x v="12"/>
    <x v="6"/>
    <x v="317"/>
    <x v="256"/>
    <x v="764"/>
    <x v="703"/>
    <x v="925"/>
    <x v="1"/>
    <x v="1"/>
    <x v="2"/>
  </r>
  <r>
    <x v="550"/>
    <x v="158"/>
    <x v="0"/>
    <x v="1"/>
    <x v="5"/>
    <x v="6"/>
    <x v="5"/>
    <x v="3"/>
    <x v="3"/>
    <x v="1"/>
    <x v="0"/>
    <x v="0"/>
    <x v="9"/>
    <x v="18"/>
    <x v="39"/>
    <x v="6"/>
    <x v="4"/>
    <x v="438"/>
    <x v="397"/>
    <x v="345"/>
    <x v="929"/>
    <x v="845"/>
    <x v="1"/>
    <x v="1"/>
    <x v="2"/>
  </r>
  <r>
    <x v="551"/>
    <x v="138"/>
    <x v="0"/>
    <x v="1"/>
    <x v="5"/>
    <x v="6"/>
    <x v="5"/>
    <x v="3"/>
    <x v="3"/>
    <x v="0"/>
    <x v="0"/>
    <x v="0"/>
    <x v="9"/>
    <x v="18"/>
    <x v="14"/>
    <x v="6"/>
    <x v="4"/>
    <x v="150"/>
    <x v="139"/>
    <x v="521"/>
    <x v="300"/>
    <x v="559"/>
    <x v="1"/>
    <x v="1"/>
    <x v="2"/>
  </r>
  <r>
    <x v="552"/>
    <x v="145"/>
    <x v="0"/>
    <x v="1"/>
    <x v="5"/>
    <x v="6"/>
    <x v="5"/>
    <x v="3"/>
    <x v="3"/>
    <x v="1"/>
    <x v="2"/>
    <x v="4"/>
    <x v="0"/>
    <x v="0"/>
    <x v="20"/>
    <x v="15"/>
    <x v="10"/>
    <x v="432"/>
    <x v="384"/>
    <x v="342"/>
    <x v="949"/>
    <x v="967"/>
    <x v="1"/>
    <x v="1"/>
    <x v="2"/>
  </r>
  <r>
    <x v="553"/>
    <x v="152"/>
    <x v="0"/>
    <x v="1"/>
    <x v="5"/>
    <x v="6"/>
    <x v="5"/>
    <x v="3"/>
    <x v="3"/>
    <x v="0"/>
    <x v="2"/>
    <x v="4"/>
    <x v="0"/>
    <x v="0"/>
    <x v="4"/>
    <x v="15"/>
    <x v="10"/>
    <x v="76"/>
    <x v="70"/>
    <x v="342"/>
    <x v="162"/>
    <x v="691"/>
    <x v="1"/>
    <x v="1"/>
    <x v="2"/>
  </r>
  <r>
    <x v="554"/>
    <x v="159"/>
    <x v="0"/>
    <x v="1"/>
    <x v="5"/>
    <x v="6"/>
    <x v="5"/>
    <x v="3"/>
    <x v="3"/>
    <x v="1"/>
    <x v="2"/>
    <x v="4"/>
    <x v="4"/>
    <x v="8"/>
    <x v="21"/>
    <x v="9"/>
    <x v="7"/>
    <x v="343"/>
    <x v="309"/>
    <x v="224"/>
    <x v="713"/>
    <x v="677"/>
    <x v="1"/>
    <x v="1"/>
    <x v="2"/>
  </r>
  <r>
    <x v="555"/>
    <x v="139"/>
    <x v="0"/>
    <x v="1"/>
    <x v="5"/>
    <x v="6"/>
    <x v="5"/>
    <x v="3"/>
    <x v="3"/>
    <x v="0"/>
    <x v="2"/>
    <x v="4"/>
    <x v="4"/>
    <x v="8"/>
    <x v="6"/>
    <x v="9"/>
    <x v="7"/>
    <x v="65"/>
    <x v="71"/>
    <x v="315"/>
    <x v="113"/>
    <x v="411"/>
    <x v="1"/>
    <x v="1"/>
    <x v="2"/>
  </r>
  <r>
    <x v="556"/>
    <x v="146"/>
    <x v="0"/>
    <x v="1"/>
    <x v="5"/>
    <x v="6"/>
    <x v="5"/>
    <x v="3"/>
    <x v="3"/>
    <x v="1"/>
    <x v="1"/>
    <x v="2"/>
    <x v="7"/>
    <x v="14"/>
    <x v="21"/>
    <x v="18"/>
    <x v="12"/>
    <x v="482"/>
    <x v="451"/>
    <x v="396"/>
    <x v="944"/>
    <x v="521"/>
    <x v="1"/>
    <x v="1"/>
    <x v="2"/>
  </r>
  <r>
    <x v="557"/>
    <x v="153"/>
    <x v="0"/>
    <x v="1"/>
    <x v="5"/>
    <x v="6"/>
    <x v="5"/>
    <x v="3"/>
    <x v="3"/>
    <x v="0"/>
    <x v="1"/>
    <x v="2"/>
    <x v="7"/>
    <x v="14"/>
    <x v="8"/>
    <x v="18"/>
    <x v="12"/>
    <x v="207"/>
    <x v="206"/>
    <x v="626"/>
    <x v="372"/>
    <x v="295"/>
    <x v="1"/>
    <x v="1"/>
    <x v="2"/>
  </r>
  <r>
    <x v="558"/>
    <x v="160"/>
    <x v="0"/>
    <x v="1"/>
    <x v="5"/>
    <x v="6"/>
    <x v="5"/>
    <x v="3"/>
    <x v="3"/>
    <x v="1"/>
    <x v="1"/>
    <x v="2"/>
    <x v="6"/>
    <x v="12"/>
    <x v="24"/>
    <x v="3"/>
    <x v="2"/>
    <x v="118"/>
    <x v="102"/>
    <x v="55"/>
    <x v="317"/>
    <x v="1115"/>
    <x v="1"/>
    <x v="1"/>
    <x v="2"/>
  </r>
  <r>
    <x v="559"/>
    <x v="140"/>
    <x v="0"/>
    <x v="1"/>
    <x v="5"/>
    <x v="6"/>
    <x v="5"/>
    <x v="3"/>
    <x v="3"/>
    <x v="0"/>
    <x v="1"/>
    <x v="2"/>
    <x v="6"/>
    <x v="12"/>
    <x v="8"/>
    <x v="3"/>
    <x v="2"/>
    <x v="10"/>
    <x v="11"/>
    <x v="118"/>
    <x v="25"/>
    <x v="876"/>
    <x v="1"/>
    <x v="1"/>
    <x v="2"/>
  </r>
  <r>
    <x v="560"/>
    <x v="147"/>
    <x v="0"/>
    <x v="1"/>
    <x v="5"/>
    <x v="6"/>
    <x v="5"/>
    <x v="2"/>
    <x v="2"/>
    <x v="1"/>
    <x v="3"/>
    <x v="6"/>
    <x v="1"/>
    <x v="2"/>
    <x v="4"/>
    <x v="25"/>
    <x v="16"/>
    <x v="739"/>
    <x v="671"/>
    <x v="809"/>
    <x v="1363"/>
    <x v="288"/>
    <x v="0"/>
    <x v="1"/>
    <x v="0"/>
  </r>
  <r>
    <x v="561"/>
    <x v="154"/>
    <x v="0"/>
    <x v="1"/>
    <x v="5"/>
    <x v="6"/>
    <x v="5"/>
    <x v="2"/>
    <x v="2"/>
    <x v="0"/>
    <x v="3"/>
    <x v="6"/>
    <x v="1"/>
    <x v="2"/>
    <x v="1"/>
    <x v="25"/>
    <x v="16"/>
    <x v="548"/>
    <x v="519"/>
    <x v="1050"/>
    <x v="936"/>
    <x v="162"/>
    <x v="1"/>
    <x v="1"/>
    <x v="0"/>
  </r>
  <r>
    <x v="562"/>
    <x v="161"/>
    <x v="0"/>
    <x v="1"/>
    <x v="5"/>
    <x v="6"/>
    <x v="5"/>
    <x v="2"/>
    <x v="2"/>
    <x v="1"/>
    <x v="3"/>
    <x v="6"/>
    <x v="2"/>
    <x v="4"/>
    <x v="5"/>
    <x v="22"/>
    <x v="14"/>
    <x v="500"/>
    <x v="476"/>
    <x v="426"/>
    <x v="942"/>
    <x v="382"/>
    <x v="0"/>
    <x v="1"/>
    <x v="0"/>
  </r>
  <r>
    <x v="563"/>
    <x v="141"/>
    <x v="0"/>
    <x v="1"/>
    <x v="5"/>
    <x v="6"/>
    <x v="5"/>
    <x v="2"/>
    <x v="2"/>
    <x v="0"/>
    <x v="3"/>
    <x v="6"/>
    <x v="2"/>
    <x v="4"/>
    <x v="1"/>
    <x v="22"/>
    <x v="14"/>
    <x v="220"/>
    <x v="229"/>
    <x v="648"/>
    <x v="352"/>
    <x v="209"/>
    <x v="1"/>
    <x v="1"/>
    <x v="2"/>
  </r>
  <r>
    <x v="564"/>
    <x v="148"/>
    <x v="0"/>
    <x v="1"/>
    <x v="5"/>
    <x v="6"/>
    <x v="5"/>
    <x v="2"/>
    <x v="2"/>
    <x v="1"/>
    <x v="3"/>
    <x v="6"/>
    <x v="5"/>
    <x v="10"/>
    <x v="6"/>
    <x v="28"/>
    <x v="18"/>
    <x v="818"/>
    <x v="738"/>
    <x v="1050"/>
    <x v="1501"/>
    <x v="111"/>
    <x v="1"/>
    <x v="1"/>
    <x v="0"/>
  </r>
  <r>
    <x v="565"/>
    <x v="155"/>
    <x v="0"/>
    <x v="1"/>
    <x v="5"/>
    <x v="6"/>
    <x v="5"/>
    <x v="2"/>
    <x v="2"/>
    <x v="0"/>
    <x v="3"/>
    <x v="6"/>
    <x v="5"/>
    <x v="10"/>
    <x v="1"/>
    <x v="28"/>
    <x v="18"/>
    <x v="644"/>
    <x v="623"/>
    <x v="1128"/>
    <x v="1017"/>
    <x v="52"/>
    <x v="2"/>
    <x v="1"/>
    <x v="0"/>
  </r>
  <r>
    <x v="566"/>
    <x v="135"/>
    <x v="0"/>
    <x v="1"/>
    <x v="5"/>
    <x v="6"/>
    <x v="5"/>
    <x v="2"/>
    <x v="2"/>
    <x v="1"/>
    <x v="0"/>
    <x v="0"/>
    <x v="3"/>
    <x v="6"/>
    <x v="30"/>
    <x v="0"/>
    <x v="0"/>
    <x v="114"/>
    <x v="87"/>
    <x v="52"/>
    <x v="334"/>
    <x v="1241"/>
    <x v="1"/>
    <x v="1"/>
    <x v="2"/>
  </r>
  <r>
    <x v="567"/>
    <x v="142"/>
    <x v="0"/>
    <x v="1"/>
    <x v="5"/>
    <x v="6"/>
    <x v="5"/>
    <x v="2"/>
    <x v="2"/>
    <x v="0"/>
    <x v="0"/>
    <x v="0"/>
    <x v="3"/>
    <x v="6"/>
    <x v="9"/>
    <x v="0"/>
    <x v="0"/>
    <x v="6"/>
    <x v="7"/>
    <x v="93"/>
    <x v="23"/>
    <x v="1084"/>
    <x v="1"/>
    <x v="1"/>
    <x v="2"/>
  </r>
  <r>
    <x v="568"/>
    <x v="149"/>
    <x v="0"/>
    <x v="1"/>
    <x v="5"/>
    <x v="6"/>
    <x v="5"/>
    <x v="2"/>
    <x v="2"/>
    <x v="1"/>
    <x v="0"/>
    <x v="0"/>
    <x v="8"/>
    <x v="16"/>
    <x v="32"/>
    <x v="12"/>
    <x v="6"/>
    <x v="510"/>
    <x v="426"/>
    <x v="435"/>
    <x v="1125"/>
    <x v="1175"/>
    <x v="0"/>
    <x v="1"/>
    <x v="0"/>
  </r>
  <r>
    <x v="569"/>
    <x v="156"/>
    <x v="0"/>
    <x v="1"/>
    <x v="5"/>
    <x v="6"/>
    <x v="5"/>
    <x v="2"/>
    <x v="2"/>
    <x v="0"/>
    <x v="0"/>
    <x v="0"/>
    <x v="8"/>
    <x v="16"/>
    <x v="9"/>
    <x v="12"/>
    <x v="6"/>
    <x v="152"/>
    <x v="123"/>
    <x v="524"/>
    <x v="362"/>
    <x v="924"/>
    <x v="1"/>
    <x v="1"/>
    <x v="2"/>
  </r>
  <r>
    <x v="570"/>
    <x v="136"/>
    <x v="0"/>
    <x v="1"/>
    <x v="5"/>
    <x v="6"/>
    <x v="5"/>
    <x v="2"/>
    <x v="2"/>
    <x v="1"/>
    <x v="0"/>
    <x v="0"/>
    <x v="9"/>
    <x v="18"/>
    <x v="29"/>
    <x v="6"/>
    <x v="4"/>
    <x v="350"/>
    <x v="308"/>
    <x v="233"/>
    <x v="762"/>
    <x v="836"/>
    <x v="1"/>
    <x v="1"/>
    <x v="2"/>
  </r>
  <r>
    <x v="571"/>
    <x v="143"/>
    <x v="0"/>
    <x v="1"/>
    <x v="5"/>
    <x v="6"/>
    <x v="5"/>
    <x v="2"/>
    <x v="2"/>
    <x v="0"/>
    <x v="0"/>
    <x v="0"/>
    <x v="9"/>
    <x v="18"/>
    <x v="9"/>
    <x v="6"/>
    <x v="4"/>
    <x v="73"/>
    <x v="74"/>
    <x v="340"/>
    <x v="141"/>
    <x v="555"/>
    <x v="1"/>
    <x v="1"/>
    <x v="2"/>
  </r>
  <r>
    <x v="572"/>
    <x v="150"/>
    <x v="0"/>
    <x v="1"/>
    <x v="5"/>
    <x v="6"/>
    <x v="5"/>
    <x v="2"/>
    <x v="2"/>
    <x v="1"/>
    <x v="2"/>
    <x v="4"/>
    <x v="0"/>
    <x v="0"/>
    <x v="14"/>
    <x v="15"/>
    <x v="10"/>
    <x v="337"/>
    <x v="287"/>
    <x v="213"/>
    <x v="751"/>
    <x v="970"/>
    <x v="1"/>
    <x v="1"/>
    <x v="2"/>
  </r>
  <r>
    <x v="573"/>
    <x v="157"/>
    <x v="0"/>
    <x v="1"/>
    <x v="5"/>
    <x v="6"/>
    <x v="5"/>
    <x v="2"/>
    <x v="2"/>
    <x v="0"/>
    <x v="2"/>
    <x v="4"/>
    <x v="0"/>
    <x v="0"/>
    <x v="4"/>
    <x v="15"/>
    <x v="10"/>
    <x v="76"/>
    <x v="70"/>
    <x v="342"/>
    <x v="162"/>
    <x v="691"/>
    <x v="1"/>
    <x v="1"/>
    <x v="2"/>
  </r>
  <r>
    <x v="574"/>
    <x v="137"/>
    <x v="0"/>
    <x v="1"/>
    <x v="5"/>
    <x v="6"/>
    <x v="5"/>
    <x v="2"/>
    <x v="2"/>
    <x v="1"/>
    <x v="2"/>
    <x v="4"/>
    <x v="4"/>
    <x v="8"/>
    <x v="15"/>
    <x v="9"/>
    <x v="7"/>
    <x v="239"/>
    <x v="227"/>
    <x v="143"/>
    <x v="511"/>
    <x v="682"/>
    <x v="1"/>
    <x v="1"/>
    <x v="2"/>
  </r>
  <r>
    <x v="575"/>
    <x v="144"/>
    <x v="0"/>
    <x v="1"/>
    <x v="5"/>
    <x v="6"/>
    <x v="5"/>
    <x v="2"/>
    <x v="2"/>
    <x v="0"/>
    <x v="2"/>
    <x v="4"/>
    <x v="4"/>
    <x v="8"/>
    <x v="4"/>
    <x v="9"/>
    <x v="7"/>
    <x v="34"/>
    <x v="41"/>
    <x v="209"/>
    <x v="54"/>
    <x v="411"/>
    <x v="1"/>
    <x v="1"/>
    <x v="2"/>
  </r>
  <r>
    <x v="576"/>
    <x v="151"/>
    <x v="0"/>
    <x v="1"/>
    <x v="5"/>
    <x v="6"/>
    <x v="5"/>
    <x v="2"/>
    <x v="2"/>
    <x v="1"/>
    <x v="1"/>
    <x v="2"/>
    <x v="7"/>
    <x v="14"/>
    <x v="20"/>
    <x v="18"/>
    <x v="12"/>
    <x v="468"/>
    <x v="436"/>
    <x v="380"/>
    <x v="914"/>
    <x v="523"/>
    <x v="1"/>
    <x v="1"/>
    <x v="2"/>
  </r>
  <r>
    <x v="577"/>
    <x v="158"/>
    <x v="0"/>
    <x v="1"/>
    <x v="5"/>
    <x v="6"/>
    <x v="5"/>
    <x v="2"/>
    <x v="2"/>
    <x v="0"/>
    <x v="1"/>
    <x v="2"/>
    <x v="7"/>
    <x v="14"/>
    <x v="6"/>
    <x v="18"/>
    <x v="12"/>
    <x v="150"/>
    <x v="157"/>
    <x v="521"/>
    <x v="246"/>
    <x v="302"/>
    <x v="1"/>
    <x v="1"/>
    <x v="2"/>
  </r>
  <r>
    <x v="578"/>
    <x v="138"/>
    <x v="0"/>
    <x v="1"/>
    <x v="5"/>
    <x v="6"/>
    <x v="5"/>
    <x v="2"/>
    <x v="2"/>
    <x v="1"/>
    <x v="1"/>
    <x v="2"/>
    <x v="6"/>
    <x v="12"/>
    <x v="16"/>
    <x v="3"/>
    <x v="2"/>
    <x v="54"/>
    <x v="51"/>
    <x v="14"/>
    <x v="155"/>
    <x v="1111"/>
    <x v="1"/>
    <x v="1"/>
    <x v="2"/>
  </r>
  <r>
    <x v="579"/>
    <x v="145"/>
    <x v="0"/>
    <x v="1"/>
    <x v="5"/>
    <x v="6"/>
    <x v="5"/>
    <x v="2"/>
    <x v="2"/>
    <x v="0"/>
    <x v="1"/>
    <x v="2"/>
    <x v="6"/>
    <x v="12"/>
    <x v="5"/>
    <x v="3"/>
    <x v="2"/>
    <x v="3"/>
    <x v="4"/>
    <x v="53"/>
    <x v="6"/>
    <x v="877"/>
    <x v="2"/>
    <x v="1"/>
    <x v="1"/>
  </r>
  <r>
    <x v="580"/>
    <x v="152"/>
    <x v="0"/>
    <x v="1"/>
    <x v="5"/>
    <x v="6"/>
    <x v="5"/>
    <x v="4"/>
    <x v="4"/>
    <x v="1"/>
    <x v="3"/>
    <x v="6"/>
    <x v="1"/>
    <x v="2"/>
    <x v="5"/>
    <x v="25"/>
    <x v="16"/>
    <x v="768"/>
    <x v="698"/>
    <x v="868"/>
    <x v="1421"/>
    <x v="289"/>
    <x v="0"/>
    <x v="1"/>
    <x v="0"/>
  </r>
  <r>
    <x v="581"/>
    <x v="159"/>
    <x v="0"/>
    <x v="1"/>
    <x v="5"/>
    <x v="6"/>
    <x v="5"/>
    <x v="4"/>
    <x v="4"/>
    <x v="0"/>
    <x v="3"/>
    <x v="6"/>
    <x v="1"/>
    <x v="2"/>
    <x v="1"/>
    <x v="25"/>
    <x v="16"/>
    <x v="548"/>
    <x v="519"/>
    <x v="1050"/>
    <x v="936"/>
    <x v="162"/>
    <x v="1"/>
    <x v="1"/>
    <x v="0"/>
  </r>
  <r>
    <x v="582"/>
    <x v="139"/>
    <x v="0"/>
    <x v="1"/>
    <x v="5"/>
    <x v="6"/>
    <x v="5"/>
    <x v="4"/>
    <x v="4"/>
    <x v="1"/>
    <x v="3"/>
    <x v="6"/>
    <x v="2"/>
    <x v="4"/>
    <x v="4"/>
    <x v="22"/>
    <x v="14"/>
    <x v="445"/>
    <x v="429"/>
    <x v="354"/>
    <x v="853"/>
    <x v="381"/>
    <x v="1"/>
    <x v="1"/>
    <x v="2"/>
  </r>
  <r>
    <x v="583"/>
    <x v="146"/>
    <x v="0"/>
    <x v="1"/>
    <x v="5"/>
    <x v="6"/>
    <x v="5"/>
    <x v="4"/>
    <x v="4"/>
    <x v="0"/>
    <x v="3"/>
    <x v="6"/>
    <x v="2"/>
    <x v="4"/>
    <x v="1"/>
    <x v="22"/>
    <x v="14"/>
    <x v="220"/>
    <x v="229"/>
    <x v="648"/>
    <x v="352"/>
    <x v="209"/>
    <x v="1"/>
    <x v="1"/>
    <x v="2"/>
  </r>
  <r>
    <x v="584"/>
    <x v="153"/>
    <x v="0"/>
    <x v="1"/>
    <x v="5"/>
    <x v="6"/>
    <x v="5"/>
    <x v="4"/>
    <x v="4"/>
    <x v="1"/>
    <x v="3"/>
    <x v="6"/>
    <x v="5"/>
    <x v="10"/>
    <x v="6"/>
    <x v="28"/>
    <x v="18"/>
    <x v="818"/>
    <x v="738"/>
    <x v="1050"/>
    <x v="1501"/>
    <x v="111"/>
    <x v="1"/>
    <x v="1"/>
    <x v="0"/>
  </r>
  <r>
    <x v="585"/>
    <x v="160"/>
    <x v="0"/>
    <x v="1"/>
    <x v="5"/>
    <x v="6"/>
    <x v="5"/>
    <x v="4"/>
    <x v="4"/>
    <x v="0"/>
    <x v="3"/>
    <x v="6"/>
    <x v="5"/>
    <x v="10"/>
    <x v="0"/>
    <x v="28"/>
    <x v="18"/>
    <x v="517"/>
    <x v="521"/>
    <x v="1024"/>
    <x v="758"/>
    <x v="48"/>
    <x v="2"/>
    <x v="1"/>
    <x v="0"/>
  </r>
  <r>
    <x v="586"/>
    <x v="140"/>
    <x v="0"/>
    <x v="1"/>
    <x v="5"/>
    <x v="6"/>
    <x v="5"/>
    <x v="4"/>
    <x v="4"/>
    <x v="1"/>
    <x v="0"/>
    <x v="0"/>
    <x v="3"/>
    <x v="6"/>
    <x v="33"/>
    <x v="0"/>
    <x v="0"/>
    <x v="136"/>
    <x v="103"/>
    <x v="65"/>
    <x v="396"/>
    <x v="1255"/>
    <x v="1"/>
    <x v="1"/>
    <x v="2"/>
  </r>
  <r>
    <x v="587"/>
    <x v="147"/>
    <x v="0"/>
    <x v="1"/>
    <x v="5"/>
    <x v="6"/>
    <x v="5"/>
    <x v="4"/>
    <x v="4"/>
    <x v="0"/>
    <x v="0"/>
    <x v="0"/>
    <x v="3"/>
    <x v="6"/>
    <x v="9"/>
    <x v="0"/>
    <x v="0"/>
    <x v="6"/>
    <x v="7"/>
    <x v="93"/>
    <x v="23"/>
    <x v="1084"/>
    <x v="1"/>
    <x v="1"/>
    <x v="2"/>
  </r>
  <r>
    <x v="588"/>
    <x v="154"/>
    <x v="0"/>
    <x v="1"/>
    <x v="5"/>
    <x v="6"/>
    <x v="5"/>
    <x v="4"/>
    <x v="4"/>
    <x v="1"/>
    <x v="0"/>
    <x v="0"/>
    <x v="8"/>
    <x v="16"/>
    <x v="29"/>
    <x v="12"/>
    <x v="6"/>
    <x v="479"/>
    <x v="403"/>
    <x v="392"/>
    <x v="1066"/>
    <x v="1174"/>
    <x v="1"/>
    <x v="1"/>
    <x v="2"/>
  </r>
  <r>
    <x v="589"/>
    <x v="161"/>
    <x v="0"/>
    <x v="1"/>
    <x v="5"/>
    <x v="6"/>
    <x v="5"/>
    <x v="4"/>
    <x v="4"/>
    <x v="0"/>
    <x v="0"/>
    <x v="0"/>
    <x v="8"/>
    <x v="16"/>
    <x v="12"/>
    <x v="12"/>
    <x v="6"/>
    <x v="215"/>
    <x v="177"/>
    <x v="640"/>
    <x v="498"/>
    <x v="923"/>
    <x v="1"/>
    <x v="1"/>
    <x v="2"/>
  </r>
  <r>
    <x v="590"/>
    <x v="141"/>
    <x v="0"/>
    <x v="1"/>
    <x v="5"/>
    <x v="6"/>
    <x v="5"/>
    <x v="4"/>
    <x v="4"/>
    <x v="1"/>
    <x v="0"/>
    <x v="0"/>
    <x v="9"/>
    <x v="18"/>
    <x v="30"/>
    <x v="6"/>
    <x v="4"/>
    <x v="358"/>
    <x v="316"/>
    <x v="239"/>
    <x v="782"/>
    <x v="848"/>
    <x v="1"/>
    <x v="1"/>
    <x v="2"/>
  </r>
  <r>
    <x v="591"/>
    <x v="148"/>
    <x v="0"/>
    <x v="1"/>
    <x v="5"/>
    <x v="6"/>
    <x v="5"/>
    <x v="4"/>
    <x v="4"/>
    <x v="0"/>
    <x v="0"/>
    <x v="0"/>
    <x v="9"/>
    <x v="18"/>
    <x v="9"/>
    <x v="6"/>
    <x v="4"/>
    <x v="73"/>
    <x v="74"/>
    <x v="340"/>
    <x v="141"/>
    <x v="555"/>
    <x v="1"/>
    <x v="1"/>
    <x v="2"/>
  </r>
  <r>
    <x v="592"/>
    <x v="155"/>
    <x v="0"/>
    <x v="1"/>
    <x v="5"/>
    <x v="6"/>
    <x v="5"/>
    <x v="4"/>
    <x v="4"/>
    <x v="1"/>
    <x v="2"/>
    <x v="4"/>
    <x v="0"/>
    <x v="0"/>
    <x v="13"/>
    <x v="15"/>
    <x v="10"/>
    <x v="316"/>
    <x v="271"/>
    <x v="201"/>
    <x v="715"/>
    <x v="968"/>
    <x v="1"/>
    <x v="1"/>
    <x v="2"/>
  </r>
  <r>
    <x v="593"/>
    <x v="135"/>
    <x v="0"/>
    <x v="1"/>
    <x v="5"/>
    <x v="6"/>
    <x v="5"/>
    <x v="4"/>
    <x v="4"/>
    <x v="0"/>
    <x v="2"/>
    <x v="4"/>
    <x v="0"/>
    <x v="0"/>
    <x v="4"/>
    <x v="15"/>
    <x v="10"/>
    <x v="76"/>
    <x v="70"/>
    <x v="342"/>
    <x v="162"/>
    <x v="691"/>
    <x v="1"/>
    <x v="1"/>
    <x v="2"/>
  </r>
  <r>
    <x v="594"/>
    <x v="142"/>
    <x v="0"/>
    <x v="1"/>
    <x v="5"/>
    <x v="6"/>
    <x v="5"/>
    <x v="4"/>
    <x v="4"/>
    <x v="1"/>
    <x v="2"/>
    <x v="4"/>
    <x v="4"/>
    <x v="8"/>
    <x v="12"/>
    <x v="9"/>
    <x v="7"/>
    <x v="183"/>
    <x v="179"/>
    <x v="101"/>
    <x v="399"/>
    <x v="685"/>
    <x v="1"/>
    <x v="1"/>
    <x v="2"/>
  </r>
  <r>
    <x v="595"/>
    <x v="149"/>
    <x v="0"/>
    <x v="1"/>
    <x v="5"/>
    <x v="6"/>
    <x v="5"/>
    <x v="4"/>
    <x v="4"/>
    <x v="0"/>
    <x v="2"/>
    <x v="4"/>
    <x v="4"/>
    <x v="8"/>
    <x v="4"/>
    <x v="9"/>
    <x v="7"/>
    <x v="34"/>
    <x v="41"/>
    <x v="209"/>
    <x v="54"/>
    <x v="411"/>
    <x v="1"/>
    <x v="1"/>
    <x v="2"/>
  </r>
  <r>
    <x v="596"/>
    <x v="156"/>
    <x v="0"/>
    <x v="1"/>
    <x v="5"/>
    <x v="6"/>
    <x v="5"/>
    <x v="4"/>
    <x v="4"/>
    <x v="1"/>
    <x v="1"/>
    <x v="2"/>
    <x v="7"/>
    <x v="14"/>
    <x v="14"/>
    <x v="18"/>
    <x v="12"/>
    <x v="358"/>
    <x v="339"/>
    <x v="239"/>
    <x v="719"/>
    <x v="518"/>
    <x v="1"/>
    <x v="1"/>
    <x v="2"/>
  </r>
  <r>
    <x v="597"/>
    <x v="136"/>
    <x v="0"/>
    <x v="1"/>
    <x v="5"/>
    <x v="6"/>
    <x v="5"/>
    <x v="4"/>
    <x v="4"/>
    <x v="0"/>
    <x v="1"/>
    <x v="2"/>
    <x v="7"/>
    <x v="14"/>
    <x v="7"/>
    <x v="18"/>
    <x v="12"/>
    <x v="176"/>
    <x v="183"/>
    <x v="583"/>
    <x v="313"/>
    <x v="299"/>
    <x v="1"/>
    <x v="1"/>
    <x v="2"/>
  </r>
  <r>
    <x v="598"/>
    <x v="143"/>
    <x v="0"/>
    <x v="1"/>
    <x v="5"/>
    <x v="6"/>
    <x v="5"/>
    <x v="4"/>
    <x v="4"/>
    <x v="1"/>
    <x v="1"/>
    <x v="2"/>
    <x v="6"/>
    <x v="12"/>
    <x v="20"/>
    <x v="3"/>
    <x v="2"/>
    <x v="86"/>
    <x v="76"/>
    <x v="33"/>
    <x v="230"/>
    <x v="1107"/>
    <x v="1"/>
    <x v="1"/>
    <x v="2"/>
  </r>
  <r>
    <x v="599"/>
    <x v="150"/>
    <x v="0"/>
    <x v="1"/>
    <x v="5"/>
    <x v="6"/>
    <x v="5"/>
    <x v="4"/>
    <x v="4"/>
    <x v="0"/>
    <x v="1"/>
    <x v="2"/>
    <x v="6"/>
    <x v="12"/>
    <x v="5"/>
    <x v="3"/>
    <x v="2"/>
    <x v="3"/>
    <x v="4"/>
    <x v="53"/>
    <x v="6"/>
    <x v="877"/>
    <x v="2"/>
    <x v="1"/>
    <x v="1"/>
  </r>
  <r>
    <x v="600"/>
    <x v="184"/>
    <x v="0"/>
    <x v="2"/>
    <x v="6"/>
    <x v="5"/>
    <x v="6"/>
    <x v="0"/>
    <x v="0"/>
    <x v="1"/>
    <x v="3"/>
    <x v="6"/>
    <x v="1"/>
    <x v="2"/>
    <x v="21"/>
    <x v="25"/>
    <x v="16"/>
    <x v="867"/>
    <x v="770"/>
    <x v="1223"/>
    <x v="1610"/>
    <x v="267"/>
    <x v="0"/>
    <x v="1"/>
    <x v="0"/>
  </r>
  <r>
    <x v="601"/>
    <x v="164"/>
    <x v="0"/>
    <x v="2"/>
    <x v="6"/>
    <x v="5"/>
    <x v="6"/>
    <x v="0"/>
    <x v="0"/>
    <x v="0"/>
    <x v="3"/>
    <x v="6"/>
    <x v="1"/>
    <x v="2"/>
    <x v="8"/>
    <x v="25"/>
    <x v="16"/>
    <x v="813"/>
    <x v="728"/>
    <x v="1287"/>
    <x v="1499"/>
    <x v="144"/>
    <x v="1"/>
    <x v="1"/>
    <x v="0"/>
  </r>
  <r>
    <x v="602"/>
    <x v="171"/>
    <x v="0"/>
    <x v="2"/>
    <x v="6"/>
    <x v="5"/>
    <x v="6"/>
    <x v="0"/>
    <x v="0"/>
    <x v="1"/>
    <x v="3"/>
    <x v="6"/>
    <x v="2"/>
    <x v="4"/>
    <x v="20"/>
    <x v="22"/>
    <x v="14"/>
    <x v="793"/>
    <x v="712"/>
    <x v="983"/>
    <x v="1480"/>
    <x v="361"/>
    <x v="0"/>
    <x v="1"/>
    <x v="0"/>
  </r>
  <r>
    <x v="603"/>
    <x v="178"/>
    <x v="0"/>
    <x v="2"/>
    <x v="6"/>
    <x v="5"/>
    <x v="6"/>
    <x v="0"/>
    <x v="0"/>
    <x v="0"/>
    <x v="3"/>
    <x v="6"/>
    <x v="2"/>
    <x v="4"/>
    <x v="7"/>
    <x v="22"/>
    <x v="14"/>
    <x v="583"/>
    <x v="548"/>
    <x v="1087"/>
    <x v="1055"/>
    <x v="195"/>
    <x v="1"/>
    <x v="1"/>
    <x v="0"/>
  </r>
  <r>
    <x v="604"/>
    <x v="185"/>
    <x v="0"/>
    <x v="2"/>
    <x v="6"/>
    <x v="5"/>
    <x v="6"/>
    <x v="0"/>
    <x v="0"/>
    <x v="1"/>
    <x v="3"/>
    <x v="6"/>
    <x v="5"/>
    <x v="10"/>
    <x v="17"/>
    <x v="28"/>
    <x v="18"/>
    <x v="874"/>
    <x v="779"/>
    <x v="1247"/>
    <x v="1605"/>
    <x v="96"/>
    <x v="1"/>
    <x v="1"/>
    <x v="0"/>
  </r>
  <r>
    <x v="605"/>
    <x v="165"/>
    <x v="0"/>
    <x v="2"/>
    <x v="6"/>
    <x v="5"/>
    <x v="6"/>
    <x v="0"/>
    <x v="0"/>
    <x v="0"/>
    <x v="3"/>
    <x v="6"/>
    <x v="5"/>
    <x v="10"/>
    <x v="8"/>
    <x v="28"/>
    <x v="18"/>
    <x v="835"/>
    <x v="748"/>
    <x v="1309"/>
    <x v="1521"/>
    <x v="44"/>
    <x v="2"/>
    <x v="1"/>
    <x v="0"/>
  </r>
  <r>
    <x v="606"/>
    <x v="172"/>
    <x v="0"/>
    <x v="2"/>
    <x v="6"/>
    <x v="5"/>
    <x v="6"/>
    <x v="0"/>
    <x v="0"/>
    <x v="1"/>
    <x v="0"/>
    <x v="0"/>
    <x v="3"/>
    <x v="6"/>
    <x v="111"/>
    <x v="0"/>
    <x v="0"/>
    <x v="536"/>
    <x v="435"/>
    <x v="513"/>
    <x v="1193"/>
    <x v="1237"/>
    <x v="0"/>
    <x v="1"/>
    <x v="0"/>
  </r>
  <r>
    <x v="607"/>
    <x v="179"/>
    <x v="0"/>
    <x v="2"/>
    <x v="6"/>
    <x v="5"/>
    <x v="6"/>
    <x v="0"/>
    <x v="0"/>
    <x v="0"/>
    <x v="0"/>
    <x v="0"/>
    <x v="3"/>
    <x v="6"/>
    <x v="38"/>
    <x v="0"/>
    <x v="0"/>
    <x v="169"/>
    <x v="129"/>
    <x v="584"/>
    <x v="436"/>
    <x v="1074"/>
    <x v="1"/>
    <x v="1"/>
    <x v="2"/>
  </r>
  <r>
    <x v="608"/>
    <x v="186"/>
    <x v="0"/>
    <x v="2"/>
    <x v="6"/>
    <x v="5"/>
    <x v="6"/>
    <x v="0"/>
    <x v="0"/>
    <x v="1"/>
    <x v="0"/>
    <x v="0"/>
    <x v="8"/>
    <x v="16"/>
    <x v="112"/>
    <x v="12"/>
    <x v="6"/>
    <x v="812"/>
    <x v="713"/>
    <x v="1042"/>
    <x v="1563"/>
    <x v="1144"/>
    <x v="0"/>
    <x v="1"/>
    <x v="0"/>
  </r>
  <r>
    <x v="609"/>
    <x v="166"/>
    <x v="0"/>
    <x v="2"/>
    <x v="6"/>
    <x v="5"/>
    <x v="6"/>
    <x v="0"/>
    <x v="0"/>
    <x v="0"/>
    <x v="0"/>
    <x v="0"/>
    <x v="8"/>
    <x v="16"/>
    <x v="47"/>
    <x v="12"/>
    <x v="6"/>
    <x v="626"/>
    <x v="535"/>
    <x v="1124"/>
    <x v="1262"/>
    <x v="913"/>
    <x v="0"/>
    <x v="1"/>
    <x v="0"/>
  </r>
  <r>
    <x v="610"/>
    <x v="173"/>
    <x v="0"/>
    <x v="2"/>
    <x v="6"/>
    <x v="5"/>
    <x v="6"/>
    <x v="0"/>
    <x v="0"/>
    <x v="1"/>
    <x v="0"/>
    <x v="0"/>
    <x v="9"/>
    <x v="18"/>
    <x v="96"/>
    <x v="6"/>
    <x v="4"/>
    <x v="720"/>
    <x v="638"/>
    <x v="804"/>
    <x v="1396"/>
    <x v="812"/>
    <x v="0"/>
    <x v="1"/>
    <x v="0"/>
  </r>
  <r>
    <x v="611"/>
    <x v="180"/>
    <x v="0"/>
    <x v="2"/>
    <x v="6"/>
    <x v="5"/>
    <x v="6"/>
    <x v="0"/>
    <x v="0"/>
    <x v="0"/>
    <x v="0"/>
    <x v="0"/>
    <x v="9"/>
    <x v="18"/>
    <x v="36"/>
    <x v="6"/>
    <x v="4"/>
    <x v="414"/>
    <x v="371"/>
    <x v="923"/>
    <x v="841"/>
    <x v="548"/>
    <x v="1"/>
    <x v="1"/>
    <x v="2"/>
  </r>
  <r>
    <x v="612"/>
    <x v="187"/>
    <x v="0"/>
    <x v="2"/>
    <x v="6"/>
    <x v="5"/>
    <x v="6"/>
    <x v="0"/>
    <x v="0"/>
    <x v="1"/>
    <x v="2"/>
    <x v="4"/>
    <x v="0"/>
    <x v="0"/>
    <x v="46"/>
    <x v="15"/>
    <x v="10"/>
    <x v="686"/>
    <x v="597"/>
    <x v="740"/>
    <x v="1364"/>
    <x v="960"/>
    <x v="0"/>
    <x v="1"/>
    <x v="0"/>
  </r>
  <r>
    <x v="613"/>
    <x v="167"/>
    <x v="0"/>
    <x v="2"/>
    <x v="6"/>
    <x v="5"/>
    <x v="6"/>
    <x v="0"/>
    <x v="0"/>
    <x v="0"/>
    <x v="2"/>
    <x v="4"/>
    <x v="0"/>
    <x v="0"/>
    <x v="16"/>
    <x v="15"/>
    <x v="10"/>
    <x v="369"/>
    <x v="321"/>
    <x v="863"/>
    <x v="777"/>
    <x v="689"/>
    <x v="1"/>
    <x v="1"/>
    <x v="2"/>
  </r>
  <r>
    <x v="614"/>
    <x v="174"/>
    <x v="0"/>
    <x v="2"/>
    <x v="6"/>
    <x v="5"/>
    <x v="6"/>
    <x v="0"/>
    <x v="0"/>
    <x v="1"/>
    <x v="2"/>
    <x v="4"/>
    <x v="4"/>
    <x v="8"/>
    <x v="41"/>
    <x v="9"/>
    <x v="7"/>
    <x v="553"/>
    <x v="500"/>
    <x v="536"/>
    <x v="1108"/>
    <x v="660"/>
    <x v="0"/>
    <x v="1"/>
    <x v="0"/>
  </r>
  <r>
    <x v="615"/>
    <x v="181"/>
    <x v="0"/>
    <x v="2"/>
    <x v="6"/>
    <x v="5"/>
    <x v="6"/>
    <x v="0"/>
    <x v="0"/>
    <x v="0"/>
    <x v="2"/>
    <x v="4"/>
    <x v="4"/>
    <x v="8"/>
    <x v="20"/>
    <x v="9"/>
    <x v="7"/>
    <x v="332"/>
    <x v="295"/>
    <x v="807"/>
    <x v="616"/>
    <x v="401"/>
    <x v="1"/>
    <x v="1"/>
    <x v="2"/>
  </r>
  <r>
    <x v="616"/>
    <x v="188"/>
    <x v="0"/>
    <x v="2"/>
    <x v="6"/>
    <x v="5"/>
    <x v="6"/>
    <x v="0"/>
    <x v="0"/>
    <x v="1"/>
    <x v="1"/>
    <x v="2"/>
    <x v="7"/>
    <x v="14"/>
    <x v="62"/>
    <x v="18"/>
    <x v="12"/>
    <x v="765"/>
    <x v="689"/>
    <x v="899"/>
    <x v="1445"/>
    <x v="498"/>
    <x v="0"/>
    <x v="1"/>
    <x v="0"/>
  </r>
  <r>
    <x v="617"/>
    <x v="168"/>
    <x v="0"/>
    <x v="2"/>
    <x v="6"/>
    <x v="5"/>
    <x v="6"/>
    <x v="0"/>
    <x v="0"/>
    <x v="0"/>
    <x v="1"/>
    <x v="2"/>
    <x v="7"/>
    <x v="14"/>
    <x v="25"/>
    <x v="18"/>
    <x v="12"/>
    <x v="540"/>
    <x v="497"/>
    <x v="1054"/>
    <x v="989"/>
    <x v="293"/>
    <x v="0"/>
    <x v="1"/>
    <x v="0"/>
  </r>
  <r>
    <x v="618"/>
    <x v="175"/>
    <x v="0"/>
    <x v="2"/>
    <x v="6"/>
    <x v="5"/>
    <x v="6"/>
    <x v="0"/>
    <x v="0"/>
    <x v="1"/>
    <x v="1"/>
    <x v="2"/>
    <x v="6"/>
    <x v="12"/>
    <x v="54"/>
    <x v="3"/>
    <x v="2"/>
    <x v="344"/>
    <x v="284"/>
    <x v="248"/>
    <x v="797"/>
    <x v="1097"/>
    <x v="1"/>
    <x v="1"/>
    <x v="2"/>
  </r>
  <r>
    <x v="619"/>
    <x v="182"/>
    <x v="0"/>
    <x v="2"/>
    <x v="6"/>
    <x v="5"/>
    <x v="6"/>
    <x v="0"/>
    <x v="0"/>
    <x v="0"/>
    <x v="1"/>
    <x v="2"/>
    <x v="6"/>
    <x v="12"/>
    <x v="25"/>
    <x v="3"/>
    <x v="2"/>
    <x v="123"/>
    <x v="108"/>
    <x v="494"/>
    <x v="290"/>
    <x v="857"/>
    <x v="1"/>
    <x v="1"/>
    <x v="2"/>
  </r>
  <r>
    <x v="620"/>
    <x v="162"/>
    <x v="0"/>
    <x v="2"/>
    <x v="6"/>
    <x v="5"/>
    <x v="6"/>
    <x v="1"/>
    <x v="1"/>
    <x v="1"/>
    <x v="3"/>
    <x v="6"/>
    <x v="1"/>
    <x v="2"/>
    <x v="11"/>
    <x v="25"/>
    <x v="16"/>
    <x v="832"/>
    <x v="742"/>
    <x v="1111"/>
    <x v="1560"/>
    <x v="269"/>
    <x v="0"/>
    <x v="1"/>
    <x v="0"/>
  </r>
  <r>
    <x v="621"/>
    <x v="169"/>
    <x v="0"/>
    <x v="2"/>
    <x v="6"/>
    <x v="5"/>
    <x v="6"/>
    <x v="1"/>
    <x v="1"/>
    <x v="0"/>
    <x v="3"/>
    <x v="6"/>
    <x v="1"/>
    <x v="2"/>
    <x v="3"/>
    <x v="25"/>
    <x v="16"/>
    <x v="697"/>
    <x v="645"/>
    <x v="1178"/>
    <x v="1238"/>
    <x v="144"/>
    <x v="1"/>
    <x v="1"/>
    <x v="0"/>
  </r>
  <r>
    <x v="622"/>
    <x v="176"/>
    <x v="0"/>
    <x v="2"/>
    <x v="6"/>
    <x v="5"/>
    <x v="6"/>
    <x v="1"/>
    <x v="1"/>
    <x v="1"/>
    <x v="3"/>
    <x v="6"/>
    <x v="2"/>
    <x v="4"/>
    <x v="14"/>
    <x v="22"/>
    <x v="14"/>
    <x v="739"/>
    <x v="668"/>
    <x v="839"/>
    <x v="1377"/>
    <x v="363"/>
    <x v="0"/>
    <x v="1"/>
    <x v="0"/>
  </r>
  <r>
    <x v="623"/>
    <x v="183"/>
    <x v="0"/>
    <x v="2"/>
    <x v="6"/>
    <x v="5"/>
    <x v="6"/>
    <x v="1"/>
    <x v="1"/>
    <x v="0"/>
    <x v="3"/>
    <x v="6"/>
    <x v="2"/>
    <x v="4"/>
    <x v="3"/>
    <x v="22"/>
    <x v="14"/>
    <x v="384"/>
    <x v="374"/>
    <x v="876"/>
    <x v="668"/>
    <x v="194"/>
    <x v="1"/>
    <x v="1"/>
    <x v="2"/>
  </r>
  <r>
    <x v="624"/>
    <x v="163"/>
    <x v="0"/>
    <x v="2"/>
    <x v="6"/>
    <x v="5"/>
    <x v="6"/>
    <x v="1"/>
    <x v="1"/>
    <x v="1"/>
    <x v="3"/>
    <x v="6"/>
    <x v="5"/>
    <x v="10"/>
    <x v="13"/>
    <x v="28"/>
    <x v="18"/>
    <x v="862"/>
    <x v="769"/>
    <x v="1207"/>
    <x v="1582"/>
    <x v="91"/>
    <x v="1"/>
    <x v="1"/>
    <x v="0"/>
  </r>
  <r>
    <x v="625"/>
    <x v="170"/>
    <x v="0"/>
    <x v="2"/>
    <x v="6"/>
    <x v="5"/>
    <x v="6"/>
    <x v="1"/>
    <x v="1"/>
    <x v="0"/>
    <x v="3"/>
    <x v="6"/>
    <x v="5"/>
    <x v="10"/>
    <x v="4"/>
    <x v="28"/>
    <x v="18"/>
    <x v="793"/>
    <x v="724"/>
    <x v="1263"/>
    <x v="1366"/>
    <x v="45"/>
    <x v="2"/>
    <x v="1"/>
    <x v="0"/>
  </r>
  <r>
    <x v="626"/>
    <x v="177"/>
    <x v="0"/>
    <x v="2"/>
    <x v="6"/>
    <x v="5"/>
    <x v="6"/>
    <x v="1"/>
    <x v="1"/>
    <x v="1"/>
    <x v="0"/>
    <x v="0"/>
    <x v="3"/>
    <x v="6"/>
    <x v="57"/>
    <x v="0"/>
    <x v="0"/>
    <x v="282"/>
    <x v="222"/>
    <x v="199"/>
    <x v="721"/>
    <x v="1226"/>
    <x v="1"/>
    <x v="1"/>
    <x v="2"/>
  </r>
  <r>
    <x v="627"/>
    <x v="184"/>
    <x v="0"/>
    <x v="2"/>
    <x v="6"/>
    <x v="5"/>
    <x v="6"/>
    <x v="1"/>
    <x v="1"/>
    <x v="0"/>
    <x v="0"/>
    <x v="0"/>
    <x v="3"/>
    <x v="6"/>
    <x v="21"/>
    <x v="0"/>
    <x v="0"/>
    <x v="57"/>
    <x v="47"/>
    <x v="311"/>
    <x v="163"/>
    <x v="1076"/>
    <x v="1"/>
    <x v="1"/>
    <x v="2"/>
  </r>
  <r>
    <x v="628"/>
    <x v="164"/>
    <x v="0"/>
    <x v="2"/>
    <x v="6"/>
    <x v="5"/>
    <x v="6"/>
    <x v="1"/>
    <x v="1"/>
    <x v="1"/>
    <x v="0"/>
    <x v="0"/>
    <x v="8"/>
    <x v="16"/>
    <x v="64"/>
    <x v="12"/>
    <x v="6"/>
    <x v="709"/>
    <x v="609"/>
    <x v="778"/>
    <x v="1417"/>
    <x v="1147"/>
    <x v="0"/>
    <x v="1"/>
    <x v="0"/>
  </r>
  <r>
    <x v="629"/>
    <x v="171"/>
    <x v="0"/>
    <x v="2"/>
    <x v="6"/>
    <x v="5"/>
    <x v="6"/>
    <x v="1"/>
    <x v="1"/>
    <x v="0"/>
    <x v="0"/>
    <x v="0"/>
    <x v="8"/>
    <x v="16"/>
    <x v="26"/>
    <x v="12"/>
    <x v="6"/>
    <x v="435"/>
    <x v="369"/>
    <x v="955"/>
    <x v="940"/>
    <x v="916"/>
    <x v="1"/>
    <x v="1"/>
    <x v="2"/>
  </r>
  <r>
    <x v="630"/>
    <x v="178"/>
    <x v="0"/>
    <x v="2"/>
    <x v="6"/>
    <x v="5"/>
    <x v="6"/>
    <x v="1"/>
    <x v="1"/>
    <x v="1"/>
    <x v="0"/>
    <x v="0"/>
    <x v="9"/>
    <x v="18"/>
    <x v="52"/>
    <x v="6"/>
    <x v="4"/>
    <x v="540"/>
    <x v="477"/>
    <x v="519"/>
    <x v="1113"/>
    <x v="808"/>
    <x v="0"/>
    <x v="1"/>
    <x v="0"/>
  </r>
  <r>
    <x v="631"/>
    <x v="185"/>
    <x v="0"/>
    <x v="2"/>
    <x v="6"/>
    <x v="5"/>
    <x v="6"/>
    <x v="1"/>
    <x v="1"/>
    <x v="0"/>
    <x v="0"/>
    <x v="0"/>
    <x v="9"/>
    <x v="18"/>
    <x v="23"/>
    <x v="6"/>
    <x v="4"/>
    <x v="277"/>
    <x v="250"/>
    <x v="738"/>
    <x v="564"/>
    <x v="546"/>
    <x v="1"/>
    <x v="1"/>
    <x v="2"/>
  </r>
  <r>
    <x v="632"/>
    <x v="165"/>
    <x v="0"/>
    <x v="2"/>
    <x v="6"/>
    <x v="5"/>
    <x v="6"/>
    <x v="1"/>
    <x v="1"/>
    <x v="1"/>
    <x v="2"/>
    <x v="4"/>
    <x v="0"/>
    <x v="0"/>
    <x v="22"/>
    <x v="15"/>
    <x v="10"/>
    <x v="470"/>
    <x v="411"/>
    <x v="421"/>
    <x v="1004"/>
    <x v="960"/>
    <x v="1"/>
    <x v="1"/>
    <x v="2"/>
  </r>
  <r>
    <x v="633"/>
    <x v="172"/>
    <x v="0"/>
    <x v="2"/>
    <x v="6"/>
    <x v="5"/>
    <x v="6"/>
    <x v="1"/>
    <x v="1"/>
    <x v="0"/>
    <x v="2"/>
    <x v="4"/>
    <x v="0"/>
    <x v="0"/>
    <x v="10"/>
    <x v="15"/>
    <x v="10"/>
    <x v="237"/>
    <x v="208"/>
    <x v="686"/>
    <x v="512"/>
    <x v="687"/>
    <x v="1"/>
    <x v="1"/>
    <x v="2"/>
  </r>
  <r>
    <x v="634"/>
    <x v="179"/>
    <x v="0"/>
    <x v="2"/>
    <x v="6"/>
    <x v="5"/>
    <x v="6"/>
    <x v="1"/>
    <x v="1"/>
    <x v="1"/>
    <x v="2"/>
    <x v="4"/>
    <x v="4"/>
    <x v="8"/>
    <x v="23"/>
    <x v="9"/>
    <x v="7"/>
    <x v="364"/>
    <x v="334"/>
    <x v="285"/>
    <x v="765"/>
    <x v="659"/>
    <x v="1"/>
    <x v="1"/>
    <x v="2"/>
  </r>
  <r>
    <x v="635"/>
    <x v="186"/>
    <x v="0"/>
    <x v="2"/>
    <x v="6"/>
    <x v="5"/>
    <x v="6"/>
    <x v="1"/>
    <x v="1"/>
    <x v="0"/>
    <x v="2"/>
    <x v="4"/>
    <x v="4"/>
    <x v="8"/>
    <x v="9"/>
    <x v="9"/>
    <x v="7"/>
    <x v="121"/>
    <x v="124"/>
    <x v="487"/>
    <x v="227"/>
    <x v="401"/>
    <x v="1"/>
    <x v="1"/>
    <x v="2"/>
  </r>
  <r>
    <x v="636"/>
    <x v="166"/>
    <x v="0"/>
    <x v="2"/>
    <x v="6"/>
    <x v="5"/>
    <x v="6"/>
    <x v="1"/>
    <x v="1"/>
    <x v="1"/>
    <x v="1"/>
    <x v="2"/>
    <x v="7"/>
    <x v="14"/>
    <x v="33"/>
    <x v="18"/>
    <x v="12"/>
    <x v="622"/>
    <x v="564"/>
    <x v="645"/>
    <x v="1205"/>
    <x v="496"/>
    <x v="0"/>
    <x v="1"/>
    <x v="0"/>
  </r>
  <r>
    <x v="637"/>
    <x v="173"/>
    <x v="0"/>
    <x v="2"/>
    <x v="6"/>
    <x v="5"/>
    <x v="6"/>
    <x v="1"/>
    <x v="1"/>
    <x v="0"/>
    <x v="1"/>
    <x v="2"/>
    <x v="7"/>
    <x v="14"/>
    <x v="10"/>
    <x v="18"/>
    <x v="12"/>
    <x v="262"/>
    <x v="259"/>
    <x v="717"/>
    <x v="476"/>
    <x v="294"/>
    <x v="1"/>
    <x v="1"/>
    <x v="2"/>
  </r>
  <r>
    <x v="638"/>
    <x v="180"/>
    <x v="0"/>
    <x v="2"/>
    <x v="6"/>
    <x v="5"/>
    <x v="6"/>
    <x v="1"/>
    <x v="1"/>
    <x v="1"/>
    <x v="1"/>
    <x v="2"/>
    <x v="6"/>
    <x v="12"/>
    <x v="28"/>
    <x v="3"/>
    <x v="2"/>
    <x v="153"/>
    <x v="128"/>
    <x v="95"/>
    <x v="400"/>
    <x v="1090"/>
    <x v="1"/>
    <x v="1"/>
    <x v="2"/>
  </r>
  <r>
    <x v="639"/>
    <x v="187"/>
    <x v="0"/>
    <x v="2"/>
    <x v="6"/>
    <x v="5"/>
    <x v="6"/>
    <x v="1"/>
    <x v="1"/>
    <x v="0"/>
    <x v="1"/>
    <x v="2"/>
    <x v="6"/>
    <x v="12"/>
    <x v="14"/>
    <x v="3"/>
    <x v="2"/>
    <x v="42"/>
    <x v="40"/>
    <x v="253"/>
    <x v="95"/>
    <x v="859"/>
    <x v="1"/>
    <x v="1"/>
    <x v="2"/>
  </r>
  <r>
    <x v="640"/>
    <x v="167"/>
    <x v="0"/>
    <x v="2"/>
    <x v="6"/>
    <x v="5"/>
    <x v="6"/>
    <x v="3"/>
    <x v="3"/>
    <x v="1"/>
    <x v="3"/>
    <x v="6"/>
    <x v="1"/>
    <x v="2"/>
    <x v="8"/>
    <x v="25"/>
    <x v="16"/>
    <x v="813"/>
    <x v="728"/>
    <x v="1045"/>
    <x v="1518"/>
    <x v="266"/>
    <x v="0"/>
    <x v="1"/>
    <x v="0"/>
  </r>
  <r>
    <x v="641"/>
    <x v="174"/>
    <x v="0"/>
    <x v="2"/>
    <x v="6"/>
    <x v="5"/>
    <x v="6"/>
    <x v="3"/>
    <x v="3"/>
    <x v="0"/>
    <x v="3"/>
    <x v="6"/>
    <x v="1"/>
    <x v="2"/>
    <x v="2"/>
    <x v="25"/>
    <x v="16"/>
    <x v="634"/>
    <x v="592"/>
    <x v="1131"/>
    <x v="1131"/>
    <x v="146"/>
    <x v="1"/>
    <x v="1"/>
    <x v="0"/>
  </r>
  <r>
    <x v="642"/>
    <x v="181"/>
    <x v="0"/>
    <x v="2"/>
    <x v="6"/>
    <x v="5"/>
    <x v="6"/>
    <x v="3"/>
    <x v="3"/>
    <x v="1"/>
    <x v="3"/>
    <x v="6"/>
    <x v="2"/>
    <x v="4"/>
    <x v="7"/>
    <x v="22"/>
    <x v="14"/>
    <x v="583"/>
    <x v="548"/>
    <x v="595"/>
    <x v="1105"/>
    <x v="360"/>
    <x v="0"/>
    <x v="1"/>
    <x v="0"/>
  </r>
  <r>
    <x v="643"/>
    <x v="188"/>
    <x v="0"/>
    <x v="2"/>
    <x v="6"/>
    <x v="5"/>
    <x v="6"/>
    <x v="3"/>
    <x v="3"/>
    <x v="0"/>
    <x v="3"/>
    <x v="6"/>
    <x v="2"/>
    <x v="4"/>
    <x v="1"/>
    <x v="22"/>
    <x v="14"/>
    <x v="220"/>
    <x v="229"/>
    <x v="658"/>
    <x v="350"/>
    <x v="192"/>
    <x v="1"/>
    <x v="1"/>
    <x v="2"/>
  </r>
  <r>
    <x v="644"/>
    <x v="168"/>
    <x v="0"/>
    <x v="2"/>
    <x v="6"/>
    <x v="5"/>
    <x v="6"/>
    <x v="3"/>
    <x v="3"/>
    <x v="1"/>
    <x v="3"/>
    <x v="6"/>
    <x v="5"/>
    <x v="10"/>
    <x v="7"/>
    <x v="28"/>
    <x v="18"/>
    <x v="829"/>
    <x v="744"/>
    <x v="1097"/>
    <x v="1526"/>
    <x v="95"/>
    <x v="1"/>
    <x v="1"/>
    <x v="0"/>
  </r>
  <r>
    <x v="645"/>
    <x v="175"/>
    <x v="0"/>
    <x v="2"/>
    <x v="6"/>
    <x v="5"/>
    <x v="6"/>
    <x v="3"/>
    <x v="3"/>
    <x v="0"/>
    <x v="3"/>
    <x v="6"/>
    <x v="5"/>
    <x v="10"/>
    <x v="2"/>
    <x v="28"/>
    <x v="18"/>
    <x v="721"/>
    <x v="673"/>
    <x v="1196"/>
    <x v="1188"/>
    <x v="43"/>
    <x v="2"/>
    <x v="1"/>
    <x v="0"/>
  </r>
  <r>
    <x v="646"/>
    <x v="182"/>
    <x v="0"/>
    <x v="2"/>
    <x v="6"/>
    <x v="5"/>
    <x v="6"/>
    <x v="3"/>
    <x v="3"/>
    <x v="1"/>
    <x v="0"/>
    <x v="0"/>
    <x v="3"/>
    <x v="6"/>
    <x v="51"/>
    <x v="0"/>
    <x v="0"/>
    <x v="252"/>
    <x v="194"/>
    <x v="173"/>
    <x v="642"/>
    <x v="1224"/>
    <x v="1"/>
    <x v="1"/>
    <x v="2"/>
  </r>
  <r>
    <x v="647"/>
    <x v="162"/>
    <x v="0"/>
    <x v="2"/>
    <x v="6"/>
    <x v="5"/>
    <x v="6"/>
    <x v="3"/>
    <x v="3"/>
    <x v="0"/>
    <x v="0"/>
    <x v="0"/>
    <x v="3"/>
    <x v="6"/>
    <x v="17"/>
    <x v="0"/>
    <x v="0"/>
    <x v="38"/>
    <x v="33"/>
    <x v="236"/>
    <x v="103"/>
    <x v="1078"/>
    <x v="1"/>
    <x v="1"/>
    <x v="2"/>
  </r>
  <r>
    <x v="648"/>
    <x v="169"/>
    <x v="0"/>
    <x v="2"/>
    <x v="6"/>
    <x v="5"/>
    <x v="6"/>
    <x v="3"/>
    <x v="3"/>
    <x v="1"/>
    <x v="0"/>
    <x v="0"/>
    <x v="8"/>
    <x v="16"/>
    <x v="42"/>
    <x v="12"/>
    <x v="6"/>
    <x v="594"/>
    <x v="504"/>
    <x v="607"/>
    <x v="1248"/>
    <x v="1155"/>
    <x v="0"/>
    <x v="1"/>
    <x v="0"/>
  </r>
  <r>
    <x v="649"/>
    <x v="176"/>
    <x v="0"/>
    <x v="2"/>
    <x v="6"/>
    <x v="5"/>
    <x v="6"/>
    <x v="3"/>
    <x v="3"/>
    <x v="0"/>
    <x v="0"/>
    <x v="0"/>
    <x v="8"/>
    <x v="16"/>
    <x v="16"/>
    <x v="12"/>
    <x v="6"/>
    <x v="293"/>
    <x v="244"/>
    <x v="760"/>
    <x v="657"/>
    <x v="910"/>
    <x v="1"/>
    <x v="1"/>
    <x v="2"/>
  </r>
  <r>
    <x v="650"/>
    <x v="183"/>
    <x v="0"/>
    <x v="2"/>
    <x v="6"/>
    <x v="5"/>
    <x v="6"/>
    <x v="3"/>
    <x v="3"/>
    <x v="1"/>
    <x v="0"/>
    <x v="0"/>
    <x v="9"/>
    <x v="18"/>
    <x v="52"/>
    <x v="6"/>
    <x v="4"/>
    <x v="540"/>
    <x v="477"/>
    <x v="519"/>
    <x v="1113"/>
    <x v="808"/>
    <x v="0"/>
    <x v="1"/>
    <x v="0"/>
  </r>
  <r>
    <x v="651"/>
    <x v="163"/>
    <x v="0"/>
    <x v="2"/>
    <x v="6"/>
    <x v="5"/>
    <x v="6"/>
    <x v="3"/>
    <x v="3"/>
    <x v="0"/>
    <x v="0"/>
    <x v="0"/>
    <x v="9"/>
    <x v="18"/>
    <x v="18"/>
    <x v="6"/>
    <x v="4"/>
    <x v="207"/>
    <x v="193"/>
    <x v="649"/>
    <x v="432"/>
    <x v="551"/>
    <x v="1"/>
    <x v="1"/>
    <x v="2"/>
  </r>
  <r>
    <x v="652"/>
    <x v="170"/>
    <x v="0"/>
    <x v="2"/>
    <x v="6"/>
    <x v="5"/>
    <x v="6"/>
    <x v="3"/>
    <x v="3"/>
    <x v="1"/>
    <x v="2"/>
    <x v="4"/>
    <x v="0"/>
    <x v="0"/>
    <x v="15"/>
    <x v="15"/>
    <x v="10"/>
    <x v="351"/>
    <x v="300"/>
    <x v="262"/>
    <x v="792"/>
    <x v="957"/>
    <x v="1"/>
    <x v="1"/>
    <x v="2"/>
  </r>
  <r>
    <x v="653"/>
    <x v="177"/>
    <x v="0"/>
    <x v="2"/>
    <x v="6"/>
    <x v="5"/>
    <x v="6"/>
    <x v="3"/>
    <x v="3"/>
    <x v="0"/>
    <x v="2"/>
    <x v="4"/>
    <x v="0"/>
    <x v="0"/>
    <x v="6"/>
    <x v="15"/>
    <x v="10"/>
    <x v="130"/>
    <x v="116"/>
    <x v="503"/>
    <x v="282"/>
    <x v="687"/>
    <x v="1"/>
    <x v="1"/>
    <x v="2"/>
  </r>
  <r>
    <x v="654"/>
    <x v="184"/>
    <x v="0"/>
    <x v="2"/>
    <x v="6"/>
    <x v="5"/>
    <x v="6"/>
    <x v="3"/>
    <x v="3"/>
    <x v="1"/>
    <x v="2"/>
    <x v="4"/>
    <x v="4"/>
    <x v="8"/>
    <x v="20"/>
    <x v="9"/>
    <x v="7"/>
    <x v="332"/>
    <x v="295"/>
    <x v="235"/>
    <x v="680"/>
    <x v="662"/>
    <x v="1"/>
    <x v="1"/>
    <x v="2"/>
  </r>
  <r>
    <x v="655"/>
    <x v="164"/>
    <x v="0"/>
    <x v="2"/>
    <x v="6"/>
    <x v="5"/>
    <x v="6"/>
    <x v="3"/>
    <x v="3"/>
    <x v="0"/>
    <x v="2"/>
    <x v="4"/>
    <x v="4"/>
    <x v="8"/>
    <x v="6"/>
    <x v="9"/>
    <x v="7"/>
    <x v="65"/>
    <x v="71"/>
    <x v="335"/>
    <x v="111"/>
    <x v="406"/>
    <x v="1"/>
    <x v="1"/>
    <x v="2"/>
  </r>
  <r>
    <x v="656"/>
    <x v="171"/>
    <x v="0"/>
    <x v="2"/>
    <x v="6"/>
    <x v="5"/>
    <x v="6"/>
    <x v="3"/>
    <x v="3"/>
    <x v="1"/>
    <x v="1"/>
    <x v="2"/>
    <x v="7"/>
    <x v="14"/>
    <x v="29"/>
    <x v="18"/>
    <x v="12"/>
    <x v="582"/>
    <x v="538"/>
    <x v="592"/>
    <x v="1146"/>
    <x v="506"/>
    <x v="0"/>
    <x v="1"/>
    <x v="0"/>
  </r>
  <r>
    <x v="657"/>
    <x v="178"/>
    <x v="0"/>
    <x v="2"/>
    <x v="6"/>
    <x v="5"/>
    <x v="6"/>
    <x v="3"/>
    <x v="3"/>
    <x v="0"/>
    <x v="1"/>
    <x v="2"/>
    <x v="7"/>
    <x v="14"/>
    <x v="9"/>
    <x v="18"/>
    <x v="12"/>
    <x v="235"/>
    <x v="232"/>
    <x v="681"/>
    <x v="426"/>
    <x v="294"/>
    <x v="1"/>
    <x v="1"/>
    <x v="2"/>
  </r>
  <r>
    <x v="658"/>
    <x v="185"/>
    <x v="0"/>
    <x v="2"/>
    <x v="6"/>
    <x v="5"/>
    <x v="6"/>
    <x v="3"/>
    <x v="3"/>
    <x v="1"/>
    <x v="1"/>
    <x v="2"/>
    <x v="6"/>
    <x v="12"/>
    <x v="25"/>
    <x v="3"/>
    <x v="2"/>
    <x v="123"/>
    <x v="108"/>
    <x v="71"/>
    <x v="329"/>
    <x v="1092"/>
    <x v="1"/>
    <x v="1"/>
    <x v="2"/>
  </r>
  <r>
    <x v="659"/>
    <x v="165"/>
    <x v="0"/>
    <x v="2"/>
    <x v="6"/>
    <x v="5"/>
    <x v="6"/>
    <x v="3"/>
    <x v="3"/>
    <x v="0"/>
    <x v="1"/>
    <x v="2"/>
    <x v="6"/>
    <x v="12"/>
    <x v="10"/>
    <x v="3"/>
    <x v="2"/>
    <x v="17"/>
    <x v="20"/>
    <x v="175"/>
    <x v="46"/>
    <x v="859"/>
    <x v="1"/>
    <x v="1"/>
    <x v="2"/>
  </r>
  <r>
    <x v="660"/>
    <x v="172"/>
    <x v="0"/>
    <x v="2"/>
    <x v="6"/>
    <x v="5"/>
    <x v="6"/>
    <x v="2"/>
    <x v="2"/>
    <x v="1"/>
    <x v="3"/>
    <x v="6"/>
    <x v="1"/>
    <x v="2"/>
    <x v="5"/>
    <x v="25"/>
    <x v="16"/>
    <x v="768"/>
    <x v="698"/>
    <x v="904"/>
    <x v="1419"/>
    <x v="260"/>
    <x v="0"/>
    <x v="1"/>
    <x v="0"/>
  </r>
  <r>
    <x v="661"/>
    <x v="179"/>
    <x v="0"/>
    <x v="2"/>
    <x v="6"/>
    <x v="5"/>
    <x v="6"/>
    <x v="2"/>
    <x v="2"/>
    <x v="0"/>
    <x v="3"/>
    <x v="6"/>
    <x v="1"/>
    <x v="2"/>
    <x v="1"/>
    <x v="25"/>
    <x v="16"/>
    <x v="548"/>
    <x v="519"/>
    <x v="1057"/>
    <x v="932"/>
    <x v="143"/>
    <x v="1"/>
    <x v="1"/>
    <x v="0"/>
  </r>
  <r>
    <x v="662"/>
    <x v="186"/>
    <x v="0"/>
    <x v="2"/>
    <x v="6"/>
    <x v="5"/>
    <x v="6"/>
    <x v="2"/>
    <x v="2"/>
    <x v="1"/>
    <x v="3"/>
    <x v="6"/>
    <x v="2"/>
    <x v="4"/>
    <x v="4"/>
    <x v="22"/>
    <x v="14"/>
    <x v="445"/>
    <x v="429"/>
    <x v="389"/>
    <x v="851"/>
    <x v="360"/>
    <x v="1"/>
    <x v="1"/>
    <x v="2"/>
  </r>
  <r>
    <x v="663"/>
    <x v="166"/>
    <x v="0"/>
    <x v="2"/>
    <x v="6"/>
    <x v="5"/>
    <x v="6"/>
    <x v="2"/>
    <x v="2"/>
    <x v="0"/>
    <x v="3"/>
    <x v="6"/>
    <x v="2"/>
    <x v="4"/>
    <x v="1"/>
    <x v="22"/>
    <x v="14"/>
    <x v="220"/>
    <x v="229"/>
    <x v="658"/>
    <x v="350"/>
    <x v="192"/>
    <x v="1"/>
    <x v="1"/>
    <x v="2"/>
  </r>
  <r>
    <x v="664"/>
    <x v="173"/>
    <x v="0"/>
    <x v="2"/>
    <x v="6"/>
    <x v="5"/>
    <x v="6"/>
    <x v="2"/>
    <x v="2"/>
    <x v="1"/>
    <x v="3"/>
    <x v="6"/>
    <x v="5"/>
    <x v="10"/>
    <x v="5"/>
    <x v="28"/>
    <x v="18"/>
    <x v="808"/>
    <x v="731"/>
    <x v="1028"/>
    <x v="1457"/>
    <x v="90"/>
    <x v="1"/>
    <x v="1"/>
    <x v="0"/>
  </r>
  <r>
    <x v="665"/>
    <x v="180"/>
    <x v="0"/>
    <x v="2"/>
    <x v="6"/>
    <x v="5"/>
    <x v="6"/>
    <x v="2"/>
    <x v="2"/>
    <x v="0"/>
    <x v="3"/>
    <x v="6"/>
    <x v="5"/>
    <x v="10"/>
    <x v="1"/>
    <x v="28"/>
    <x v="18"/>
    <x v="644"/>
    <x v="623"/>
    <x v="1140"/>
    <x v="1008"/>
    <x v="42"/>
    <x v="2"/>
    <x v="1"/>
    <x v="0"/>
  </r>
  <r>
    <x v="666"/>
    <x v="187"/>
    <x v="0"/>
    <x v="2"/>
    <x v="6"/>
    <x v="5"/>
    <x v="6"/>
    <x v="2"/>
    <x v="2"/>
    <x v="1"/>
    <x v="0"/>
    <x v="0"/>
    <x v="3"/>
    <x v="6"/>
    <x v="31"/>
    <x v="0"/>
    <x v="0"/>
    <x v="119"/>
    <x v="92"/>
    <x v="68"/>
    <x v="359"/>
    <x v="1238"/>
    <x v="1"/>
    <x v="1"/>
    <x v="2"/>
  </r>
  <r>
    <x v="667"/>
    <x v="167"/>
    <x v="0"/>
    <x v="2"/>
    <x v="6"/>
    <x v="5"/>
    <x v="6"/>
    <x v="2"/>
    <x v="2"/>
    <x v="0"/>
    <x v="0"/>
    <x v="0"/>
    <x v="3"/>
    <x v="6"/>
    <x v="11"/>
    <x v="0"/>
    <x v="0"/>
    <x v="12"/>
    <x v="10"/>
    <x v="134"/>
    <x v="41"/>
    <x v="1073"/>
    <x v="1"/>
    <x v="1"/>
    <x v="2"/>
  </r>
  <r>
    <x v="668"/>
    <x v="174"/>
    <x v="0"/>
    <x v="2"/>
    <x v="6"/>
    <x v="5"/>
    <x v="6"/>
    <x v="2"/>
    <x v="2"/>
    <x v="1"/>
    <x v="0"/>
    <x v="0"/>
    <x v="8"/>
    <x v="16"/>
    <x v="37"/>
    <x v="12"/>
    <x v="6"/>
    <x v="558"/>
    <x v="470"/>
    <x v="543"/>
    <x v="1199"/>
    <x v="1152"/>
    <x v="0"/>
    <x v="1"/>
    <x v="0"/>
  </r>
  <r>
    <x v="669"/>
    <x v="181"/>
    <x v="0"/>
    <x v="2"/>
    <x v="6"/>
    <x v="5"/>
    <x v="6"/>
    <x v="2"/>
    <x v="2"/>
    <x v="0"/>
    <x v="0"/>
    <x v="0"/>
    <x v="8"/>
    <x v="16"/>
    <x v="9"/>
    <x v="12"/>
    <x v="6"/>
    <x v="152"/>
    <x v="123"/>
    <x v="541"/>
    <x v="357"/>
    <x v="911"/>
    <x v="1"/>
    <x v="1"/>
    <x v="2"/>
  </r>
  <r>
    <x v="670"/>
    <x v="188"/>
    <x v="0"/>
    <x v="2"/>
    <x v="6"/>
    <x v="5"/>
    <x v="6"/>
    <x v="2"/>
    <x v="2"/>
    <x v="1"/>
    <x v="0"/>
    <x v="0"/>
    <x v="9"/>
    <x v="18"/>
    <x v="34"/>
    <x v="6"/>
    <x v="4"/>
    <x v="399"/>
    <x v="351"/>
    <x v="323"/>
    <x v="857"/>
    <x v="820"/>
    <x v="1"/>
    <x v="1"/>
    <x v="2"/>
  </r>
  <r>
    <x v="671"/>
    <x v="168"/>
    <x v="0"/>
    <x v="2"/>
    <x v="6"/>
    <x v="5"/>
    <x v="6"/>
    <x v="2"/>
    <x v="2"/>
    <x v="0"/>
    <x v="0"/>
    <x v="0"/>
    <x v="9"/>
    <x v="18"/>
    <x v="10"/>
    <x v="6"/>
    <x v="4"/>
    <x v="89"/>
    <x v="84"/>
    <x v="396"/>
    <x v="176"/>
    <x v="551"/>
    <x v="1"/>
    <x v="1"/>
    <x v="2"/>
  </r>
  <r>
    <x v="672"/>
    <x v="175"/>
    <x v="0"/>
    <x v="2"/>
    <x v="6"/>
    <x v="5"/>
    <x v="6"/>
    <x v="2"/>
    <x v="2"/>
    <x v="1"/>
    <x v="2"/>
    <x v="4"/>
    <x v="0"/>
    <x v="0"/>
    <x v="12"/>
    <x v="15"/>
    <x v="10"/>
    <x v="286"/>
    <x v="253"/>
    <x v="202"/>
    <x v="655"/>
    <x v="963"/>
    <x v="1"/>
    <x v="1"/>
    <x v="2"/>
  </r>
  <r>
    <x v="673"/>
    <x v="182"/>
    <x v="0"/>
    <x v="2"/>
    <x v="6"/>
    <x v="5"/>
    <x v="6"/>
    <x v="2"/>
    <x v="2"/>
    <x v="0"/>
    <x v="2"/>
    <x v="4"/>
    <x v="0"/>
    <x v="0"/>
    <x v="4"/>
    <x v="15"/>
    <x v="10"/>
    <x v="76"/>
    <x v="70"/>
    <x v="365"/>
    <x v="158"/>
    <x v="687"/>
    <x v="1"/>
    <x v="1"/>
    <x v="2"/>
  </r>
  <r>
    <x v="674"/>
    <x v="162"/>
    <x v="0"/>
    <x v="2"/>
    <x v="6"/>
    <x v="5"/>
    <x v="6"/>
    <x v="2"/>
    <x v="2"/>
    <x v="1"/>
    <x v="2"/>
    <x v="4"/>
    <x v="4"/>
    <x v="8"/>
    <x v="13"/>
    <x v="9"/>
    <x v="7"/>
    <x v="202"/>
    <x v="198"/>
    <x v="133"/>
    <x v="437"/>
    <x v="663"/>
    <x v="1"/>
    <x v="1"/>
    <x v="2"/>
  </r>
  <r>
    <x v="675"/>
    <x v="169"/>
    <x v="0"/>
    <x v="2"/>
    <x v="6"/>
    <x v="5"/>
    <x v="6"/>
    <x v="2"/>
    <x v="2"/>
    <x v="0"/>
    <x v="2"/>
    <x v="4"/>
    <x v="4"/>
    <x v="8"/>
    <x v="3"/>
    <x v="9"/>
    <x v="7"/>
    <x v="18"/>
    <x v="28"/>
    <x v="179"/>
    <x v="34"/>
    <x v="400"/>
    <x v="1"/>
    <x v="1"/>
    <x v="2"/>
  </r>
  <r>
    <x v="676"/>
    <x v="176"/>
    <x v="0"/>
    <x v="2"/>
    <x v="6"/>
    <x v="5"/>
    <x v="6"/>
    <x v="2"/>
    <x v="2"/>
    <x v="1"/>
    <x v="1"/>
    <x v="2"/>
    <x v="7"/>
    <x v="14"/>
    <x v="16"/>
    <x v="18"/>
    <x v="12"/>
    <x v="399"/>
    <x v="375"/>
    <x v="323"/>
    <x v="796"/>
    <x v="507"/>
    <x v="1"/>
    <x v="1"/>
    <x v="2"/>
  </r>
  <r>
    <x v="677"/>
    <x v="183"/>
    <x v="0"/>
    <x v="2"/>
    <x v="6"/>
    <x v="5"/>
    <x v="6"/>
    <x v="2"/>
    <x v="2"/>
    <x v="0"/>
    <x v="1"/>
    <x v="2"/>
    <x v="7"/>
    <x v="14"/>
    <x v="7"/>
    <x v="18"/>
    <x v="12"/>
    <x v="176"/>
    <x v="183"/>
    <x v="602"/>
    <x v="305"/>
    <x v="294"/>
    <x v="1"/>
    <x v="1"/>
    <x v="2"/>
  </r>
  <r>
    <x v="678"/>
    <x v="163"/>
    <x v="0"/>
    <x v="2"/>
    <x v="6"/>
    <x v="5"/>
    <x v="6"/>
    <x v="2"/>
    <x v="2"/>
    <x v="1"/>
    <x v="1"/>
    <x v="2"/>
    <x v="6"/>
    <x v="12"/>
    <x v="18"/>
    <x v="3"/>
    <x v="2"/>
    <x v="70"/>
    <x v="63"/>
    <x v="31"/>
    <x v="200"/>
    <x v="1090"/>
    <x v="1"/>
    <x v="1"/>
    <x v="2"/>
  </r>
  <r>
    <x v="679"/>
    <x v="170"/>
    <x v="0"/>
    <x v="2"/>
    <x v="6"/>
    <x v="5"/>
    <x v="6"/>
    <x v="2"/>
    <x v="2"/>
    <x v="0"/>
    <x v="1"/>
    <x v="2"/>
    <x v="6"/>
    <x v="12"/>
    <x v="6"/>
    <x v="3"/>
    <x v="2"/>
    <x v="5"/>
    <x v="6"/>
    <x v="81"/>
    <x v="11"/>
    <x v="859"/>
    <x v="2"/>
    <x v="1"/>
    <x v="1"/>
  </r>
  <r>
    <x v="680"/>
    <x v="177"/>
    <x v="0"/>
    <x v="2"/>
    <x v="6"/>
    <x v="5"/>
    <x v="6"/>
    <x v="4"/>
    <x v="4"/>
    <x v="1"/>
    <x v="3"/>
    <x v="6"/>
    <x v="1"/>
    <x v="2"/>
    <x v="6"/>
    <x v="25"/>
    <x v="16"/>
    <x v="789"/>
    <x v="711"/>
    <x v="967"/>
    <x v="1460"/>
    <x v="270"/>
    <x v="0"/>
    <x v="1"/>
    <x v="0"/>
  </r>
  <r>
    <x v="681"/>
    <x v="184"/>
    <x v="0"/>
    <x v="2"/>
    <x v="6"/>
    <x v="5"/>
    <x v="6"/>
    <x v="4"/>
    <x v="4"/>
    <x v="0"/>
    <x v="3"/>
    <x v="6"/>
    <x v="1"/>
    <x v="2"/>
    <x v="1"/>
    <x v="25"/>
    <x v="16"/>
    <x v="548"/>
    <x v="519"/>
    <x v="1057"/>
    <x v="932"/>
    <x v="143"/>
    <x v="1"/>
    <x v="1"/>
    <x v="0"/>
  </r>
  <r>
    <x v="682"/>
    <x v="164"/>
    <x v="0"/>
    <x v="2"/>
    <x v="6"/>
    <x v="5"/>
    <x v="6"/>
    <x v="4"/>
    <x v="4"/>
    <x v="1"/>
    <x v="3"/>
    <x v="6"/>
    <x v="2"/>
    <x v="4"/>
    <x v="6"/>
    <x v="22"/>
    <x v="14"/>
    <x v="548"/>
    <x v="514"/>
    <x v="531"/>
    <x v="1033"/>
    <x v="371"/>
    <x v="0"/>
    <x v="1"/>
    <x v="0"/>
  </r>
  <r>
    <x v="683"/>
    <x v="171"/>
    <x v="0"/>
    <x v="2"/>
    <x v="6"/>
    <x v="5"/>
    <x v="6"/>
    <x v="4"/>
    <x v="4"/>
    <x v="0"/>
    <x v="3"/>
    <x v="6"/>
    <x v="2"/>
    <x v="4"/>
    <x v="1"/>
    <x v="22"/>
    <x v="14"/>
    <x v="220"/>
    <x v="229"/>
    <x v="658"/>
    <x v="350"/>
    <x v="192"/>
    <x v="1"/>
    <x v="1"/>
    <x v="2"/>
  </r>
  <r>
    <x v="684"/>
    <x v="178"/>
    <x v="0"/>
    <x v="2"/>
    <x v="6"/>
    <x v="5"/>
    <x v="6"/>
    <x v="4"/>
    <x v="4"/>
    <x v="1"/>
    <x v="3"/>
    <x v="6"/>
    <x v="5"/>
    <x v="10"/>
    <x v="5"/>
    <x v="28"/>
    <x v="18"/>
    <x v="808"/>
    <x v="731"/>
    <x v="1028"/>
    <x v="1457"/>
    <x v="90"/>
    <x v="1"/>
    <x v="1"/>
    <x v="0"/>
  </r>
  <r>
    <x v="685"/>
    <x v="185"/>
    <x v="0"/>
    <x v="2"/>
    <x v="6"/>
    <x v="5"/>
    <x v="6"/>
    <x v="4"/>
    <x v="4"/>
    <x v="0"/>
    <x v="3"/>
    <x v="6"/>
    <x v="5"/>
    <x v="10"/>
    <x v="1"/>
    <x v="28"/>
    <x v="18"/>
    <x v="644"/>
    <x v="623"/>
    <x v="1140"/>
    <x v="1008"/>
    <x v="42"/>
    <x v="2"/>
    <x v="1"/>
    <x v="0"/>
  </r>
  <r>
    <x v="686"/>
    <x v="165"/>
    <x v="0"/>
    <x v="2"/>
    <x v="6"/>
    <x v="5"/>
    <x v="6"/>
    <x v="4"/>
    <x v="4"/>
    <x v="1"/>
    <x v="0"/>
    <x v="0"/>
    <x v="3"/>
    <x v="6"/>
    <x v="31"/>
    <x v="0"/>
    <x v="0"/>
    <x v="119"/>
    <x v="92"/>
    <x v="68"/>
    <x v="359"/>
    <x v="1238"/>
    <x v="1"/>
    <x v="1"/>
    <x v="2"/>
  </r>
  <r>
    <x v="687"/>
    <x v="172"/>
    <x v="0"/>
    <x v="2"/>
    <x v="6"/>
    <x v="5"/>
    <x v="6"/>
    <x v="4"/>
    <x v="4"/>
    <x v="0"/>
    <x v="0"/>
    <x v="0"/>
    <x v="3"/>
    <x v="6"/>
    <x v="11"/>
    <x v="0"/>
    <x v="0"/>
    <x v="12"/>
    <x v="10"/>
    <x v="134"/>
    <x v="41"/>
    <x v="1073"/>
    <x v="1"/>
    <x v="1"/>
    <x v="2"/>
  </r>
  <r>
    <x v="688"/>
    <x v="179"/>
    <x v="0"/>
    <x v="2"/>
    <x v="6"/>
    <x v="5"/>
    <x v="6"/>
    <x v="4"/>
    <x v="4"/>
    <x v="1"/>
    <x v="0"/>
    <x v="0"/>
    <x v="8"/>
    <x v="16"/>
    <x v="38"/>
    <x v="12"/>
    <x v="6"/>
    <x v="566"/>
    <x v="478"/>
    <x v="561"/>
    <x v="1214"/>
    <x v="1153"/>
    <x v="0"/>
    <x v="1"/>
    <x v="0"/>
  </r>
  <r>
    <x v="689"/>
    <x v="186"/>
    <x v="0"/>
    <x v="2"/>
    <x v="6"/>
    <x v="5"/>
    <x v="6"/>
    <x v="4"/>
    <x v="4"/>
    <x v="0"/>
    <x v="0"/>
    <x v="0"/>
    <x v="8"/>
    <x v="16"/>
    <x v="11"/>
    <x v="12"/>
    <x v="6"/>
    <x v="196"/>
    <x v="161"/>
    <x v="623"/>
    <x v="456"/>
    <x v="918"/>
    <x v="1"/>
    <x v="1"/>
    <x v="2"/>
  </r>
  <r>
    <x v="690"/>
    <x v="166"/>
    <x v="0"/>
    <x v="2"/>
    <x v="6"/>
    <x v="5"/>
    <x v="6"/>
    <x v="4"/>
    <x v="4"/>
    <x v="1"/>
    <x v="0"/>
    <x v="0"/>
    <x v="9"/>
    <x v="18"/>
    <x v="32"/>
    <x v="6"/>
    <x v="4"/>
    <x v="375"/>
    <x v="337"/>
    <x v="302"/>
    <x v="819"/>
    <x v="805"/>
    <x v="1"/>
    <x v="1"/>
    <x v="2"/>
  </r>
  <r>
    <x v="691"/>
    <x v="173"/>
    <x v="0"/>
    <x v="2"/>
    <x v="6"/>
    <x v="5"/>
    <x v="6"/>
    <x v="4"/>
    <x v="4"/>
    <x v="0"/>
    <x v="0"/>
    <x v="0"/>
    <x v="9"/>
    <x v="18"/>
    <x v="11"/>
    <x v="6"/>
    <x v="4"/>
    <x v="100"/>
    <x v="101"/>
    <x v="437"/>
    <x v="210"/>
    <x v="551"/>
    <x v="1"/>
    <x v="1"/>
    <x v="2"/>
  </r>
  <r>
    <x v="692"/>
    <x v="180"/>
    <x v="0"/>
    <x v="2"/>
    <x v="6"/>
    <x v="5"/>
    <x v="6"/>
    <x v="4"/>
    <x v="4"/>
    <x v="1"/>
    <x v="2"/>
    <x v="4"/>
    <x v="0"/>
    <x v="0"/>
    <x v="16"/>
    <x v="15"/>
    <x v="10"/>
    <x v="369"/>
    <x v="321"/>
    <x v="292"/>
    <x v="829"/>
    <x v="955"/>
    <x v="1"/>
    <x v="1"/>
    <x v="2"/>
  </r>
  <r>
    <x v="693"/>
    <x v="187"/>
    <x v="0"/>
    <x v="2"/>
    <x v="6"/>
    <x v="5"/>
    <x v="6"/>
    <x v="4"/>
    <x v="4"/>
    <x v="0"/>
    <x v="2"/>
    <x v="4"/>
    <x v="0"/>
    <x v="0"/>
    <x v="3"/>
    <x v="15"/>
    <x v="10"/>
    <x v="48"/>
    <x v="49"/>
    <x v="284"/>
    <x v="104"/>
    <x v="687"/>
    <x v="1"/>
    <x v="1"/>
    <x v="2"/>
  </r>
  <r>
    <x v="694"/>
    <x v="167"/>
    <x v="0"/>
    <x v="2"/>
    <x v="6"/>
    <x v="5"/>
    <x v="6"/>
    <x v="4"/>
    <x v="4"/>
    <x v="1"/>
    <x v="2"/>
    <x v="4"/>
    <x v="4"/>
    <x v="8"/>
    <x v="13"/>
    <x v="9"/>
    <x v="7"/>
    <x v="202"/>
    <x v="198"/>
    <x v="133"/>
    <x v="437"/>
    <x v="663"/>
    <x v="1"/>
    <x v="1"/>
    <x v="2"/>
  </r>
  <r>
    <x v="695"/>
    <x v="174"/>
    <x v="0"/>
    <x v="2"/>
    <x v="6"/>
    <x v="5"/>
    <x v="6"/>
    <x v="4"/>
    <x v="4"/>
    <x v="0"/>
    <x v="2"/>
    <x v="4"/>
    <x v="4"/>
    <x v="8"/>
    <x v="4"/>
    <x v="9"/>
    <x v="7"/>
    <x v="34"/>
    <x v="41"/>
    <x v="224"/>
    <x v="53"/>
    <x v="403"/>
    <x v="1"/>
    <x v="1"/>
    <x v="2"/>
  </r>
  <r>
    <x v="696"/>
    <x v="181"/>
    <x v="0"/>
    <x v="2"/>
    <x v="6"/>
    <x v="5"/>
    <x v="6"/>
    <x v="4"/>
    <x v="4"/>
    <x v="1"/>
    <x v="1"/>
    <x v="2"/>
    <x v="7"/>
    <x v="14"/>
    <x v="21"/>
    <x v="18"/>
    <x v="12"/>
    <x v="482"/>
    <x v="451"/>
    <x v="437"/>
    <x v="939"/>
    <x v="508"/>
    <x v="1"/>
    <x v="1"/>
    <x v="2"/>
  </r>
  <r>
    <x v="697"/>
    <x v="188"/>
    <x v="0"/>
    <x v="2"/>
    <x v="6"/>
    <x v="5"/>
    <x v="6"/>
    <x v="4"/>
    <x v="4"/>
    <x v="0"/>
    <x v="1"/>
    <x v="2"/>
    <x v="7"/>
    <x v="14"/>
    <x v="7"/>
    <x v="18"/>
    <x v="12"/>
    <x v="176"/>
    <x v="183"/>
    <x v="602"/>
    <x v="305"/>
    <x v="294"/>
    <x v="1"/>
    <x v="1"/>
    <x v="2"/>
  </r>
  <r>
    <x v="698"/>
    <x v="168"/>
    <x v="0"/>
    <x v="2"/>
    <x v="6"/>
    <x v="5"/>
    <x v="6"/>
    <x v="4"/>
    <x v="4"/>
    <x v="1"/>
    <x v="1"/>
    <x v="2"/>
    <x v="6"/>
    <x v="12"/>
    <x v="18"/>
    <x v="3"/>
    <x v="2"/>
    <x v="70"/>
    <x v="63"/>
    <x v="31"/>
    <x v="200"/>
    <x v="1090"/>
    <x v="1"/>
    <x v="1"/>
    <x v="2"/>
  </r>
  <r>
    <x v="699"/>
    <x v="175"/>
    <x v="0"/>
    <x v="2"/>
    <x v="6"/>
    <x v="5"/>
    <x v="6"/>
    <x v="4"/>
    <x v="4"/>
    <x v="0"/>
    <x v="1"/>
    <x v="2"/>
    <x v="6"/>
    <x v="12"/>
    <x v="7"/>
    <x v="3"/>
    <x v="2"/>
    <x v="7"/>
    <x v="8"/>
    <x v="107"/>
    <x v="18"/>
    <x v="857"/>
    <x v="1"/>
    <x v="1"/>
    <x v="2"/>
  </r>
  <r>
    <x v="700"/>
    <x v="209"/>
    <x v="0"/>
    <x v="2"/>
    <x v="7"/>
    <x v="1"/>
    <x v="7"/>
    <x v="0"/>
    <x v="0"/>
    <x v="1"/>
    <x v="3"/>
    <x v="6"/>
    <x v="1"/>
    <x v="2"/>
    <x v="16"/>
    <x v="25"/>
    <x v="16"/>
    <x v="852"/>
    <x v="756"/>
    <x v="1182"/>
    <x v="1586"/>
    <x v="268"/>
    <x v="0"/>
    <x v="1"/>
    <x v="0"/>
  </r>
  <r>
    <x v="701"/>
    <x v="189"/>
    <x v="0"/>
    <x v="2"/>
    <x v="7"/>
    <x v="1"/>
    <x v="7"/>
    <x v="0"/>
    <x v="0"/>
    <x v="0"/>
    <x v="3"/>
    <x v="6"/>
    <x v="1"/>
    <x v="2"/>
    <x v="8"/>
    <x v="25"/>
    <x v="16"/>
    <x v="813"/>
    <x v="728"/>
    <x v="1287"/>
    <x v="1499"/>
    <x v="144"/>
    <x v="1"/>
    <x v="1"/>
    <x v="0"/>
  </r>
  <r>
    <x v="702"/>
    <x v="196"/>
    <x v="0"/>
    <x v="2"/>
    <x v="7"/>
    <x v="1"/>
    <x v="7"/>
    <x v="0"/>
    <x v="0"/>
    <x v="1"/>
    <x v="3"/>
    <x v="6"/>
    <x v="2"/>
    <x v="4"/>
    <x v="16"/>
    <x v="22"/>
    <x v="14"/>
    <x v="757"/>
    <x v="690"/>
    <x v="882"/>
    <x v="1423"/>
    <x v="370"/>
    <x v="0"/>
    <x v="1"/>
    <x v="0"/>
  </r>
  <r>
    <x v="703"/>
    <x v="203"/>
    <x v="0"/>
    <x v="2"/>
    <x v="7"/>
    <x v="1"/>
    <x v="7"/>
    <x v="0"/>
    <x v="0"/>
    <x v="0"/>
    <x v="3"/>
    <x v="6"/>
    <x v="2"/>
    <x v="4"/>
    <x v="6"/>
    <x v="22"/>
    <x v="14"/>
    <x v="548"/>
    <x v="514"/>
    <x v="1057"/>
    <x v="970"/>
    <x v="193"/>
    <x v="1"/>
    <x v="1"/>
    <x v="0"/>
  </r>
  <r>
    <x v="704"/>
    <x v="210"/>
    <x v="0"/>
    <x v="2"/>
    <x v="7"/>
    <x v="1"/>
    <x v="7"/>
    <x v="0"/>
    <x v="0"/>
    <x v="1"/>
    <x v="3"/>
    <x v="6"/>
    <x v="5"/>
    <x v="10"/>
    <x v="15"/>
    <x v="28"/>
    <x v="18"/>
    <x v="868"/>
    <x v="774"/>
    <x v="1228"/>
    <x v="1593"/>
    <x v="93"/>
    <x v="1"/>
    <x v="1"/>
    <x v="0"/>
  </r>
  <r>
    <x v="705"/>
    <x v="190"/>
    <x v="0"/>
    <x v="2"/>
    <x v="7"/>
    <x v="1"/>
    <x v="7"/>
    <x v="0"/>
    <x v="0"/>
    <x v="0"/>
    <x v="3"/>
    <x v="6"/>
    <x v="5"/>
    <x v="10"/>
    <x v="5"/>
    <x v="28"/>
    <x v="18"/>
    <x v="808"/>
    <x v="731"/>
    <x v="1283"/>
    <x v="1426"/>
    <x v="46"/>
    <x v="2"/>
    <x v="1"/>
    <x v="0"/>
  </r>
  <r>
    <x v="706"/>
    <x v="197"/>
    <x v="0"/>
    <x v="2"/>
    <x v="7"/>
    <x v="1"/>
    <x v="7"/>
    <x v="0"/>
    <x v="0"/>
    <x v="1"/>
    <x v="0"/>
    <x v="0"/>
    <x v="3"/>
    <x v="6"/>
    <x v="97"/>
    <x v="0"/>
    <x v="0"/>
    <x v="467"/>
    <x v="377"/>
    <x v="419"/>
    <x v="1073"/>
    <x v="1227"/>
    <x v="1"/>
    <x v="1"/>
    <x v="2"/>
  </r>
  <r>
    <x v="707"/>
    <x v="204"/>
    <x v="0"/>
    <x v="2"/>
    <x v="7"/>
    <x v="1"/>
    <x v="7"/>
    <x v="0"/>
    <x v="0"/>
    <x v="0"/>
    <x v="0"/>
    <x v="0"/>
    <x v="3"/>
    <x v="6"/>
    <x v="36"/>
    <x v="0"/>
    <x v="0"/>
    <x v="157"/>
    <x v="117"/>
    <x v="555"/>
    <x v="408"/>
    <x v="1072"/>
    <x v="1"/>
    <x v="1"/>
    <x v="2"/>
  </r>
  <r>
    <x v="708"/>
    <x v="211"/>
    <x v="0"/>
    <x v="2"/>
    <x v="7"/>
    <x v="1"/>
    <x v="7"/>
    <x v="0"/>
    <x v="0"/>
    <x v="1"/>
    <x v="0"/>
    <x v="0"/>
    <x v="8"/>
    <x v="16"/>
    <x v="105"/>
    <x v="12"/>
    <x v="6"/>
    <x v="803"/>
    <x v="704"/>
    <x v="1010"/>
    <x v="1548"/>
    <x v="1151"/>
    <x v="0"/>
    <x v="1"/>
    <x v="0"/>
  </r>
  <r>
    <x v="709"/>
    <x v="191"/>
    <x v="0"/>
    <x v="2"/>
    <x v="7"/>
    <x v="1"/>
    <x v="7"/>
    <x v="0"/>
    <x v="0"/>
    <x v="0"/>
    <x v="0"/>
    <x v="0"/>
    <x v="8"/>
    <x v="16"/>
    <x v="40"/>
    <x v="12"/>
    <x v="6"/>
    <x v="580"/>
    <x v="491"/>
    <x v="1085"/>
    <x v="1200"/>
    <x v="914"/>
    <x v="0"/>
    <x v="1"/>
    <x v="0"/>
  </r>
  <r>
    <x v="710"/>
    <x v="198"/>
    <x v="0"/>
    <x v="2"/>
    <x v="7"/>
    <x v="1"/>
    <x v="7"/>
    <x v="0"/>
    <x v="0"/>
    <x v="1"/>
    <x v="0"/>
    <x v="0"/>
    <x v="9"/>
    <x v="18"/>
    <x v="83"/>
    <x v="6"/>
    <x v="4"/>
    <x v="682"/>
    <x v="602"/>
    <x v="732"/>
    <x v="1337"/>
    <x v="821"/>
    <x v="0"/>
    <x v="1"/>
    <x v="0"/>
  </r>
  <r>
    <x v="711"/>
    <x v="205"/>
    <x v="0"/>
    <x v="2"/>
    <x v="7"/>
    <x v="1"/>
    <x v="7"/>
    <x v="0"/>
    <x v="0"/>
    <x v="0"/>
    <x v="0"/>
    <x v="0"/>
    <x v="9"/>
    <x v="18"/>
    <x v="41"/>
    <x v="6"/>
    <x v="4"/>
    <x v="456"/>
    <x v="410"/>
    <x v="982"/>
    <x v="912"/>
    <x v="550"/>
    <x v="1"/>
    <x v="1"/>
    <x v="2"/>
  </r>
  <r>
    <x v="712"/>
    <x v="212"/>
    <x v="0"/>
    <x v="2"/>
    <x v="7"/>
    <x v="1"/>
    <x v="7"/>
    <x v="0"/>
    <x v="0"/>
    <x v="1"/>
    <x v="2"/>
    <x v="4"/>
    <x v="0"/>
    <x v="0"/>
    <x v="35"/>
    <x v="15"/>
    <x v="10"/>
    <x v="616"/>
    <x v="536"/>
    <x v="632"/>
    <x v="1249"/>
    <x v="954"/>
    <x v="0"/>
    <x v="1"/>
    <x v="0"/>
  </r>
  <r>
    <x v="713"/>
    <x v="192"/>
    <x v="0"/>
    <x v="2"/>
    <x v="7"/>
    <x v="1"/>
    <x v="7"/>
    <x v="0"/>
    <x v="0"/>
    <x v="0"/>
    <x v="2"/>
    <x v="4"/>
    <x v="0"/>
    <x v="0"/>
    <x v="17"/>
    <x v="15"/>
    <x v="10"/>
    <x v="388"/>
    <x v="338"/>
    <x v="880"/>
    <x v="811"/>
    <x v="688"/>
    <x v="1"/>
    <x v="1"/>
    <x v="2"/>
  </r>
  <r>
    <x v="714"/>
    <x v="199"/>
    <x v="0"/>
    <x v="2"/>
    <x v="7"/>
    <x v="1"/>
    <x v="7"/>
    <x v="0"/>
    <x v="0"/>
    <x v="1"/>
    <x v="2"/>
    <x v="4"/>
    <x v="4"/>
    <x v="8"/>
    <x v="35"/>
    <x v="9"/>
    <x v="7"/>
    <x v="499"/>
    <x v="456"/>
    <x v="460"/>
    <x v="1012"/>
    <x v="651"/>
    <x v="0"/>
    <x v="1"/>
    <x v="0"/>
  </r>
  <r>
    <x v="715"/>
    <x v="206"/>
    <x v="0"/>
    <x v="2"/>
    <x v="7"/>
    <x v="1"/>
    <x v="7"/>
    <x v="0"/>
    <x v="0"/>
    <x v="0"/>
    <x v="2"/>
    <x v="4"/>
    <x v="4"/>
    <x v="8"/>
    <x v="15"/>
    <x v="9"/>
    <x v="7"/>
    <x v="239"/>
    <x v="227"/>
    <x v="687"/>
    <x v="460"/>
    <x v="402"/>
    <x v="1"/>
    <x v="1"/>
    <x v="2"/>
  </r>
  <r>
    <x v="716"/>
    <x v="213"/>
    <x v="0"/>
    <x v="2"/>
    <x v="7"/>
    <x v="1"/>
    <x v="7"/>
    <x v="0"/>
    <x v="0"/>
    <x v="1"/>
    <x v="1"/>
    <x v="2"/>
    <x v="7"/>
    <x v="14"/>
    <x v="48"/>
    <x v="18"/>
    <x v="12"/>
    <x v="718"/>
    <x v="650"/>
    <x v="800"/>
    <x v="1359"/>
    <x v="501"/>
    <x v="0"/>
    <x v="1"/>
    <x v="0"/>
  </r>
  <r>
    <x v="717"/>
    <x v="193"/>
    <x v="0"/>
    <x v="2"/>
    <x v="7"/>
    <x v="1"/>
    <x v="7"/>
    <x v="0"/>
    <x v="0"/>
    <x v="0"/>
    <x v="1"/>
    <x v="2"/>
    <x v="7"/>
    <x v="14"/>
    <x v="17"/>
    <x v="18"/>
    <x v="12"/>
    <x v="414"/>
    <x v="396"/>
    <x v="923"/>
    <x v="770"/>
    <x v="291"/>
    <x v="1"/>
    <x v="1"/>
    <x v="2"/>
  </r>
  <r>
    <x v="718"/>
    <x v="200"/>
    <x v="0"/>
    <x v="2"/>
    <x v="7"/>
    <x v="1"/>
    <x v="7"/>
    <x v="0"/>
    <x v="0"/>
    <x v="1"/>
    <x v="1"/>
    <x v="2"/>
    <x v="6"/>
    <x v="12"/>
    <x v="59"/>
    <x v="3"/>
    <x v="2"/>
    <x v="367"/>
    <x v="303"/>
    <x v="289"/>
    <x v="849"/>
    <x v="1096"/>
    <x v="1"/>
    <x v="1"/>
    <x v="2"/>
  </r>
  <r>
    <x v="719"/>
    <x v="207"/>
    <x v="0"/>
    <x v="2"/>
    <x v="7"/>
    <x v="1"/>
    <x v="7"/>
    <x v="0"/>
    <x v="0"/>
    <x v="0"/>
    <x v="1"/>
    <x v="2"/>
    <x v="6"/>
    <x v="12"/>
    <x v="23"/>
    <x v="3"/>
    <x v="2"/>
    <x v="110"/>
    <x v="95"/>
    <x v="450"/>
    <x v="254"/>
    <x v="856"/>
    <x v="1"/>
    <x v="1"/>
    <x v="2"/>
  </r>
  <r>
    <x v="720"/>
    <x v="214"/>
    <x v="0"/>
    <x v="2"/>
    <x v="7"/>
    <x v="1"/>
    <x v="7"/>
    <x v="1"/>
    <x v="1"/>
    <x v="1"/>
    <x v="3"/>
    <x v="6"/>
    <x v="1"/>
    <x v="2"/>
    <x v="9"/>
    <x v="25"/>
    <x v="16"/>
    <x v="818"/>
    <x v="733"/>
    <x v="1067"/>
    <x v="1535"/>
    <x v="263"/>
    <x v="0"/>
    <x v="1"/>
    <x v="0"/>
  </r>
  <r>
    <x v="721"/>
    <x v="194"/>
    <x v="0"/>
    <x v="2"/>
    <x v="7"/>
    <x v="1"/>
    <x v="7"/>
    <x v="1"/>
    <x v="1"/>
    <x v="0"/>
    <x v="3"/>
    <x v="6"/>
    <x v="1"/>
    <x v="2"/>
    <x v="2"/>
    <x v="25"/>
    <x v="16"/>
    <x v="634"/>
    <x v="592"/>
    <x v="1131"/>
    <x v="1131"/>
    <x v="146"/>
    <x v="1"/>
    <x v="1"/>
    <x v="0"/>
  </r>
  <r>
    <x v="722"/>
    <x v="201"/>
    <x v="0"/>
    <x v="2"/>
    <x v="7"/>
    <x v="1"/>
    <x v="7"/>
    <x v="1"/>
    <x v="1"/>
    <x v="1"/>
    <x v="3"/>
    <x v="6"/>
    <x v="2"/>
    <x v="4"/>
    <x v="11"/>
    <x v="22"/>
    <x v="14"/>
    <x v="691"/>
    <x v="635"/>
    <x v="745"/>
    <x v="1285"/>
    <x v="364"/>
    <x v="0"/>
    <x v="1"/>
    <x v="0"/>
  </r>
  <r>
    <x v="723"/>
    <x v="208"/>
    <x v="0"/>
    <x v="2"/>
    <x v="7"/>
    <x v="1"/>
    <x v="7"/>
    <x v="1"/>
    <x v="1"/>
    <x v="0"/>
    <x v="3"/>
    <x v="6"/>
    <x v="2"/>
    <x v="4"/>
    <x v="2"/>
    <x v="22"/>
    <x v="14"/>
    <x v="316"/>
    <x v="304"/>
    <x v="791"/>
    <x v="529"/>
    <x v="196"/>
    <x v="1"/>
    <x v="1"/>
    <x v="2"/>
  </r>
  <r>
    <x v="724"/>
    <x v="215"/>
    <x v="0"/>
    <x v="2"/>
    <x v="7"/>
    <x v="1"/>
    <x v="7"/>
    <x v="1"/>
    <x v="1"/>
    <x v="1"/>
    <x v="3"/>
    <x v="6"/>
    <x v="5"/>
    <x v="10"/>
    <x v="11"/>
    <x v="28"/>
    <x v="18"/>
    <x v="851"/>
    <x v="762"/>
    <x v="1181"/>
    <x v="1571"/>
    <x v="102"/>
    <x v="1"/>
    <x v="1"/>
    <x v="0"/>
  </r>
  <r>
    <x v="725"/>
    <x v="195"/>
    <x v="0"/>
    <x v="2"/>
    <x v="7"/>
    <x v="1"/>
    <x v="7"/>
    <x v="1"/>
    <x v="1"/>
    <x v="0"/>
    <x v="3"/>
    <x v="6"/>
    <x v="5"/>
    <x v="10"/>
    <x v="2"/>
    <x v="28"/>
    <x v="18"/>
    <x v="721"/>
    <x v="673"/>
    <x v="1196"/>
    <x v="1188"/>
    <x v="43"/>
    <x v="2"/>
    <x v="1"/>
    <x v="0"/>
  </r>
  <r>
    <x v="726"/>
    <x v="202"/>
    <x v="0"/>
    <x v="2"/>
    <x v="7"/>
    <x v="1"/>
    <x v="7"/>
    <x v="1"/>
    <x v="1"/>
    <x v="1"/>
    <x v="0"/>
    <x v="0"/>
    <x v="3"/>
    <x v="6"/>
    <x v="62"/>
    <x v="0"/>
    <x v="0"/>
    <x v="313"/>
    <x v="242"/>
    <x v="219"/>
    <x v="775"/>
    <x v="1234"/>
    <x v="1"/>
    <x v="1"/>
    <x v="2"/>
  </r>
  <r>
    <x v="727"/>
    <x v="209"/>
    <x v="0"/>
    <x v="2"/>
    <x v="7"/>
    <x v="1"/>
    <x v="7"/>
    <x v="1"/>
    <x v="1"/>
    <x v="0"/>
    <x v="0"/>
    <x v="0"/>
    <x v="3"/>
    <x v="6"/>
    <x v="23"/>
    <x v="0"/>
    <x v="0"/>
    <x v="70"/>
    <x v="55"/>
    <x v="350"/>
    <x v="197"/>
    <x v="1071"/>
    <x v="1"/>
    <x v="1"/>
    <x v="2"/>
  </r>
  <r>
    <x v="728"/>
    <x v="189"/>
    <x v="0"/>
    <x v="2"/>
    <x v="7"/>
    <x v="1"/>
    <x v="7"/>
    <x v="1"/>
    <x v="1"/>
    <x v="1"/>
    <x v="0"/>
    <x v="0"/>
    <x v="8"/>
    <x v="16"/>
    <x v="63"/>
    <x v="12"/>
    <x v="6"/>
    <x v="703"/>
    <x v="604"/>
    <x v="771"/>
    <x v="1408"/>
    <x v="1146"/>
    <x v="0"/>
    <x v="1"/>
    <x v="0"/>
  </r>
  <r>
    <x v="729"/>
    <x v="196"/>
    <x v="0"/>
    <x v="2"/>
    <x v="7"/>
    <x v="1"/>
    <x v="7"/>
    <x v="1"/>
    <x v="1"/>
    <x v="0"/>
    <x v="0"/>
    <x v="0"/>
    <x v="8"/>
    <x v="16"/>
    <x v="23"/>
    <x v="12"/>
    <x v="6"/>
    <x v="403"/>
    <x v="333"/>
    <x v="905"/>
    <x v="876"/>
    <x v="909"/>
    <x v="1"/>
    <x v="1"/>
    <x v="2"/>
  </r>
  <r>
    <x v="730"/>
    <x v="203"/>
    <x v="0"/>
    <x v="2"/>
    <x v="7"/>
    <x v="1"/>
    <x v="7"/>
    <x v="1"/>
    <x v="1"/>
    <x v="1"/>
    <x v="0"/>
    <x v="0"/>
    <x v="9"/>
    <x v="18"/>
    <x v="56"/>
    <x v="6"/>
    <x v="4"/>
    <x v="562"/>
    <x v="498"/>
    <x v="557"/>
    <x v="1159"/>
    <x v="816"/>
    <x v="0"/>
    <x v="1"/>
    <x v="0"/>
  </r>
  <r>
    <x v="731"/>
    <x v="210"/>
    <x v="0"/>
    <x v="2"/>
    <x v="7"/>
    <x v="1"/>
    <x v="7"/>
    <x v="1"/>
    <x v="1"/>
    <x v="0"/>
    <x v="0"/>
    <x v="0"/>
    <x v="9"/>
    <x v="18"/>
    <x v="17"/>
    <x v="6"/>
    <x v="4"/>
    <x v="196"/>
    <x v="180"/>
    <x v="623"/>
    <x v="402"/>
    <x v="551"/>
    <x v="1"/>
    <x v="1"/>
    <x v="2"/>
  </r>
  <r>
    <x v="732"/>
    <x v="190"/>
    <x v="0"/>
    <x v="2"/>
    <x v="7"/>
    <x v="1"/>
    <x v="7"/>
    <x v="1"/>
    <x v="1"/>
    <x v="1"/>
    <x v="2"/>
    <x v="4"/>
    <x v="0"/>
    <x v="0"/>
    <x v="20"/>
    <x v="15"/>
    <x v="10"/>
    <x v="432"/>
    <x v="384"/>
    <x v="380"/>
    <x v="947"/>
    <x v="962"/>
    <x v="1"/>
    <x v="1"/>
    <x v="2"/>
  </r>
  <r>
    <x v="733"/>
    <x v="197"/>
    <x v="0"/>
    <x v="2"/>
    <x v="7"/>
    <x v="1"/>
    <x v="7"/>
    <x v="1"/>
    <x v="1"/>
    <x v="0"/>
    <x v="2"/>
    <x v="4"/>
    <x v="0"/>
    <x v="0"/>
    <x v="7"/>
    <x v="15"/>
    <x v="10"/>
    <x v="160"/>
    <x v="142"/>
    <x v="563"/>
    <x v="333"/>
    <x v="687"/>
    <x v="1"/>
    <x v="1"/>
    <x v="2"/>
  </r>
  <r>
    <x v="734"/>
    <x v="204"/>
    <x v="0"/>
    <x v="2"/>
    <x v="7"/>
    <x v="1"/>
    <x v="7"/>
    <x v="1"/>
    <x v="1"/>
    <x v="1"/>
    <x v="2"/>
    <x v="4"/>
    <x v="4"/>
    <x v="8"/>
    <x v="24"/>
    <x v="9"/>
    <x v="7"/>
    <x v="375"/>
    <x v="347"/>
    <x v="302"/>
    <x v="790"/>
    <x v="648"/>
    <x v="1"/>
    <x v="1"/>
    <x v="2"/>
  </r>
  <r>
    <x v="735"/>
    <x v="211"/>
    <x v="0"/>
    <x v="2"/>
    <x v="7"/>
    <x v="1"/>
    <x v="7"/>
    <x v="1"/>
    <x v="1"/>
    <x v="0"/>
    <x v="2"/>
    <x v="4"/>
    <x v="4"/>
    <x v="8"/>
    <x v="8"/>
    <x v="9"/>
    <x v="7"/>
    <x v="101"/>
    <x v="107"/>
    <x v="439"/>
    <x v="189"/>
    <x v="400"/>
    <x v="1"/>
    <x v="1"/>
    <x v="2"/>
  </r>
  <r>
    <x v="736"/>
    <x v="191"/>
    <x v="0"/>
    <x v="2"/>
    <x v="7"/>
    <x v="1"/>
    <x v="7"/>
    <x v="1"/>
    <x v="1"/>
    <x v="1"/>
    <x v="1"/>
    <x v="2"/>
    <x v="7"/>
    <x v="14"/>
    <x v="25"/>
    <x v="18"/>
    <x v="12"/>
    <x v="540"/>
    <x v="497"/>
    <x v="519"/>
    <x v="1058"/>
    <x v="495"/>
    <x v="0"/>
    <x v="1"/>
    <x v="0"/>
  </r>
  <r>
    <x v="737"/>
    <x v="198"/>
    <x v="0"/>
    <x v="2"/>
    <x v="7"/>
    <x v="1"/>
    <x v="7"/>
    <x v="1"/>
    <x v="1"/>
    <x v="0"/>
    <x v="1"/>
    <x v="2"/>
    <x v="7"/>
    <x v="14"/>
    <x v="9"/>
    <x v="18"/>
    <x v="12"/>
    <x v="235"/>
    <x v="232"/>
    <x v="681"/>
    <x v="426"/>
    <x v="294"/>
    <x v="1"/>
    <x v="1"/>
    <x v="2"/>
  </r>
  <r>
    <x v="738"/>
    <x v="205"/>
    <x v="0"/>
    <x v="2"/>
    <x v="7"/>
    <x v="1"/>
    <x v="7"/>
    <x v="1"/>
    <x v="1"/>
    <x v="1"/>
    <x v="1"/>
    <x v="2"/>
    <x v="6"/>
    <x v="12"/>
    <x v="31"/>
    <x v="3"/>
    <x v="2"/>
    <x v="175"/>
    <x v="148"/>
    <x v="113"/>
    <x v="450"/>
    <x v="1104"/>
    <x v="1"/>
    <x v="1"/>
    <x v="2"/>
  </r>
  <r>
    <x v="739"/>
    <x v="212"/>
    <x v="0"/>
    <x v="2"/>
    <x v="7"/>
    <x v="1"/>
    <x v="7"/>
    <x v="1"/>
    <x v="1"/>
    <x v="0"/>
    <x v="1"/>
    <x v="2"/>
    <x v="6"/>
    <x v="12"/>
    <x v="10"/>
    <x v="3"/>
    <x v="2"/>
    <x v="17"/>
    <x v="20"/>
    <x v="175"/>
    <x v="46"/>
    <x v="859"/>
    <x v="1"/>
    <x v="1"/>
    <x v="2"/>
  </r>
  <r>
    <x v="740"/>
    <x v="192"/>
    <x v="0"/>
    <x v="2"/>
    <x v="7"/>
    <x v="1"/>
    <x v="7"/>
    <x v="3"/>
    <x v="3"/>
    <x v="1"/>
    <x v="3"/>
    <x v="6"/>
    <x v="1"/>
    <x v="2"/>
    <x v="7"/>
    <x v="25"/>
    <x v="16"/>
    <x v="804"/>
    <x v="721"/>
    <x v="1013"/>
    <x v="1493"/>
    <x v="268"/>
    <x v="0"/>
    <x v="1"/>
    <x v="0"/>
  </r>
  <r>
    <x v="741"/>
    <x v="199"/>
    <x v="0"/>
    <x v="2"/>
    <x v="7"/>
    <x v="1"/>
    <x v="7"/>
    <x v="3"/>
    <x v="3"/>
    <x v="0"/>
    <x v="3"/>
    <x v="6"/>
    <x v="1"/>
    <x v="2"/>
    <x v="2"/>
    <x v="25"/>
    <x v="16"/>
    <x v="634"/>
    <x v="592"/>
    <x v="1131"/>
    <x v="1131"/>
    <x v="146"/>
    <x v="1"/>
    <x v="1"/>
    <x v="0"/>
  </r>
  <r>
    <x v="742"/>
    <x v="206"/>
    <x v="0"/>
    <x v="2"/>
    <x v="7"/>
    <x v="1"/>
    <x v="7"/>
    <x v="3"/>
    <x v="3"/>
    <x v="1"/>
    <x v="3"/>
    <x v="6"/>
    <x v="2"/>
    <x v="4"/>
    <x v="6"/>
    <x v="22"/>
    <x v="14"/>
    <x v="548"/>
    <x v="514"/>
    <x v="531"/>
    <x v="1033"/>
    <x v="371"/>
    <x v="0"/>
    <x v="1"/>
    <x v="0"/>
  </r>
  <r>
    <x v="743"/>
    <x v="213"/>
    <x v="0"/>
    <x v="2"/>
    <x v="7"/>
    <x v="1"/>
    <x v="7"/>
    <x v="3"/>
    <x v="3"/>
    <x v="0"/>
    <x v="3"/>
    <x v="6"/>
    <x v="2"/>
    <x v="4"/>
    <x v="1"/>
    <x v="22"/>
    <x v="14"/>
    <x v="220"/>
    <x v="229"/>
    <x v="658"/>
    <x v="350"/>
    <x v="192"/>
    <x v="1"/>
    <x v="1"/>
    <x v="2"/>
  </r>
  <r>
    <x v="744"/>
    <x v="193"/>
    <x v="0"/>
    <x v="2"/>
    <x v="7"/>
    <x v="1"/>
    <x v="7"/>
    <x v="3"/>
    <x v="3"/>
    <x v="1"/>
    <x v="3"/>
    <x v="6"/>
    <x v="5"/>
    <x v="10"/>
    <x v="8"/>
    <x v="28"/>
    <x v="18"/>
    <x v="835"/>
    <x v="748"/>
    <x v="1125"/>
    <x v="1540"/>
    <x v="97"/>
    <x v="1"/>
    <x v="1"/>
    <x v="0"/>
  </r>
  <r>
    <x v="745"/>
    <x v="200"/>
    <x v="0"/>
    <x v="2"/>
    <x v="7"/>
    <x v="1"/>
    <x v="7"/>
    <x v="3"/>
    <x v="3"/>
    <x v="0"/>
    <x v="3"/>
    <x v="6"/>
    <x v="5"/>
    <x v="10"/>
    <x v="1"/>
    <x v="28"/>
    <x v="18"/>
    <x v="644"/>
    <x v="623"/>
    <x v="1140"/>
    <x v="1008"/>
    <x v="42"/>
    <x v="2"/>
    <x v="1"/>
    <x v="0"/>
  </r>
  <r>
    <x v="746"/>
    <x v="207"/>
    <x v="0"/>
    <x v="2"/>
    <x v="7"/>
    <x v="1"/>
    <x v="7"/>
    <x v="3"/>
    <x v="3"/>
    <x v="1"/>
    <x v="0"/>
    <x v="0"/>
    <x v="3"/>
    <x v="6"/>
    <x v="38"/>
    <x v="0"/>
    <x v="0"/>
    <x v="169"/>
    <x v="129"/>
    <x v="108"/>
    <x v="475"/>
    <x v="1230"/>
    <x v="1"/>
    <x v="1"/>
    <x v="2"/>
  </r>
  <r>
    <x v="747"/>
    <x v="214"/>
    <x v="0"/>
    <x v="2"/>
    <x v="7"/>
    <x v="1"/>
    <x v="7"/>
    <x v="3"/>
    <x v="3"/>
    <x v="0"/>
    <x v="0"/>
    <x v="0"/>
    <x v="3"/>
    <x v="6"/>
    <x v="14"/>
    <x v="0"/>
    <x v="0"/>
    <x v="22"/>
    <x v="21"/>
    <x v="192"/>
    <x v="63"/>
    <x v="1070"/>
    <x v="1"/>
    <x v="1"/>
    <x v="2"/>
  </r>
  <r>
    <x v="748"/>
    <x v="194"/>
    <x v="0"/>
    <x v="2"/>
    <x v="7"/>
    <x v="1"/>
    <x v="7"/>
    <x v="3"/>
    <x v="3"/>
    <x v="1"/>
    <x v="0"/>
    <x v="0"/>
    <x v="8"/>
    <x v="16"/>
    <x v="31"/>
    <x v="12"/>
    <x v="6"/>
    <x v="498"/>
    <x v="419"/>
    <x v="458"/>
    <x v="1099"/>
    <x v="1147"/>
    <x v="0"/>
    <x v="1"/>
    <x v="0"/>
  </r>
  <r>
    <x v="749"/>
    <x v="201"/>
    <x v="0"/>
    <x v="2"/>
    <x v="7"/>
    <x v="1"/>
    <x v="7"/>
    <x v="3"/>
    <x v="3"/>
    <x v="0"/>
    <x v="0"/>
    <x v="0"/>
    <x v="8"/>
    <x v="16"/>
    <x v="15"/>
    <x v="12"/>
    <x v="6"/>
    <x v="274"/>
    <x v="226"/>
    <x v="735"/>
    <x v="619"/>
    <x v="917"/>
    <x v="1"/>
    <x v="1"/>
    <x v="2"/>
  </r>
  <r>
    <x v="750"/>
    <x v="208"/>
    <x v="0"/>
    <x v="2"/>
    <x v="7"/>
    <x v="1"/>
    <x v="7"/>
    <x v="3"/>
    <x v="3"/>
    <x v="1"/>
    <x v="0"/>
    <x v="0"/>
    <x v="9"/>
    <x v="18"/>
    <x v="44"/>
    <x v="6"/>
    <x v="4"/>
    <x v="482"/>
    <x v="424"/>
    <x v="437"/>
    <x v="1011"/>
    <x v="822"/>
    <x v="1"/>
    <x v="1"/>
    <x v="2"/>
  </r>
  <r>
    <x v="751"/>
    <x v="215"/>
    <x v="0"/>
    <x v="2"/>
    <x v="7"/>
    <x v="1"/>
    <x v="7"/>
    <x v="3"/>
    <x v="3"/>
    <x v="0"/>
    <x v="0"/>
    <x v="0"/>
    <x v="9"/>
    <x v="18"/>
    <x v="14"/>
    <x v="6"/>
    <x v="4"/>
    <x v="150"/>
    <x v="139"/>
    <x v="539"/>
    <x v="295"/>
    <x v="551"/>
    <x v="1"/>
    <x v="1"/>
    <x v="2"/>
  </r>
  <r>
    <x v="752"/>
    <x v="195"/>
    <x v="0"/>
    <x v="2"/>
    <x v="7"/>
    <x v="1"/>
    <x v="7"/>
    <x v="3"/>
    <x v="3"/>
    <x v="1"/>
    <x v="2"/>
    <x v="4"/>
    <x v="0"/>
    <x v="0"/>
    <x v="19"/>
    <x v="15"/>
    <x v="10"/>
    <x v="418"/>
    <x v="367"/>
    <x v="358"/>
    <x v="918"/>
    <x v="963"/>
    <x v="1"/>
    <x v="1"/>
    <x v="2"/>
  </r>
  <r>
    <x v="753"/>
    <x v="202"/>
    <x v="0"/>
    <x v="2"/>
    <x v="7"/>
    <x v="1"/>
    <x v="7"/>
    <x v="3"/>
    <x v="3"/>
    <x v="0"/>
    <x v="2"/>
    <x v="4"/>
    <x v="0"/>
    <x v="0"/>
    <x v="5"/>
    <x v="15"/>
    <x v="10"/>
    <x v="99"/>
    <x v="93"/>
    <x v="434"/>
    <x v="219"/>
    <x v="687"/>
    <x v="1"/>
    <x v="1"/>
    <x v="2"/>
  </r>
  <r>
    <x v="754"/>
    <x v="209"/>
    <x v="0"/>
    <x v="2"/>
    <x v="7"/>
    <x v="1"/>
    <x v="7"/>
    <x v="3"/>
    <x v="3"/>
    <x v="1"/>
    <x v="2"/>
    <x v="4"/>
    <x v="4"/>
    <x v="8"/>
    <x v="16"/>
    <x v="9"/>
    <x v="7"/>
    <x v="259"/>
    <x v="246"/>
    <x v="184"/>
    <x v="545"/>
    <x v="661"/>
    <x v="1"/>
    <x v="1"/>
    <x v="2"/>
  </r>
  <r>
    <x v="755"/>
    <x v="189"/>
    <x v="0"/>
    <x v="2"/>
    <x v="7"/>
    <x v="1"/>
    <x v="7"/>
    <x v="3"/>
    <x v="3"/>
    <x v="0"/>
    <x v="2"/>
    <x v="4"/>
    <x v="4"/>
    <x v="8"/>
    <x v="5"/>
    <x v="9"/>
    <x v="7"/>
    <x v="46"/>
    <x v="56"/>
    <x v="280"/>
    <x v="80"/>
    <x v="405"/>
    <x v="1"/>
    <x v="1"/>
    <x v="2"/>
  </r>
  <r>
    <x v="756"/>
    <x v="196"/>
    <x v="0"/>
    <x v="2"/>
    <x v="7"/>
    <x v="1"/>
    <x v="7"/>
    <x v="3"/>
    <x v="3"/>
    <x v="1"/>
    <x v="1"/>
    <x v="2"/>
    <x v="7"/>
    <x v="14"/>
    <x v="23"/>
    <x v="18"/>
    <x v="12"/>
    <x v="512"/>
    <x v="475"/>
    <x v="482"/>
    <x v="996"/>
    <x v="492"/>
    <x v="0"/>
    <x v="1"/>
    <x v="0"/>
  </r>
  <r>
    <x v="757"/>
    <x v="203"/>
    <x v="0"/>
    <x v="2"/>
    <x v="7"/>
    <x v="1"/>
    <x v="7"/>
    <x v="3"/>
    <x v="3"/>
    <x v="0"/>
    <x v="1"/>
    <x v="2"/>
    <x v="7"/>
    <x v="14"/>
    <x v="6"/>
    <x v="18"/>
    <x v="12"/>
    <x v="150"/>
    <x v="157"/>
    <x v="539"/>
    <x v="243"/>
    <x v="294"/>
    <x v="1"/>
    <x v="1"/>
    <x v="2"/>
  </r>
  <r>
    <x v="758"/>
    <x v="210"/>
    <x v="0"/>
    <x v="2"/>
    <x v="7"/>
    <x v="1"/>
    <x v="7"/>
    <x v="3"/>
    <x v="3"/>
    <x v="1"/>
    <x v="1"/>
    <x v="2"/>
    <x v="6"/>
    <x v="12"/>
    <x v="24"/>
    <x v="3"/>
    <x v="2"/>
    <x v="118"/>
    <x v="102"/>
    <x v="66"/>
    <x v="316"/>
    <x v="1103"/>
    <x v="1"/>
    <x v="1"/>
    <x v="2"/>
  </r>
  <r>
    <x v="759"/>
    <x v="190"/>
    <x v="0"/>
    <x v="2"/>
    <x v="7"/>
    <x v="1"/>
    <x v="7"/>
    <x v="3"/>
    <x v="3"/>
    <x v="0"/>
    <x v="1"/>
    <x v="2"/>
    <x v="6"/>
    <x v="12"/>
    <x v="6"/>
    <x v="3"/>
    <x v="2"/>
    <x v="5"/>
    <x v="6"/>
    <x v="81"/>
    <x v="11"/>
    <x v="859"/>
    <x v="2"/>
    <x v="1"/>
    <x v="1"/>
  </r>
  <r>
    <x v="760"/>
    <x v="197"/>
    <x v="0"/>
    <x v="2"/>
    <x v="7"/>
    <x v="1"/>
    <x v="7"/>
    <x v="2"/>
    <x v="2"/>
    <x v="1"/>
    <x v="3"/>
    <x v="6"/>
    <x v="1"/>
    <x v="2"/>
    <x v="5"/>
    <x v="25"/>
    <x v="16"/>
    <x v="768"/>
    <x v="698"/>
    <x v="904"/>
    <x v="1419"/>
    <x v="260"/>
    <x v="0"/>
    <x v="1"/>
    <x v="0"/>
  </r>
  <r>
    <x v="761"/>
    <x v="204"/>
    <x v="0"/>
    <x v="2"/>
    <x v="7"/>
    <x v="1"/>
    <x v="7"/>
    <x v="2"/>
    <x v="2"/>
    <x v="0"/>
    <x v="3"/>
    <x v="6"/>
    <x v="1"/>
    <x v="2"/>
    <x v="1"/>
    <x v="25"/>
    <x v="16"/>
    <x v="548"/>
    <x v="519"/>
    <x v="1057"/>
    <x v="932"/>
    <x v="143"/>
    <x v="1"/>
    <x v="1"/>
    <x v="0"/>
  </r>
  <r>
    <x v="762"/>
    <x v="211"/>
    <x v="0"/>
    <x v="2"/>
    <x v="7"/>
    <x v="1"/>
    <x v="7"/>
    <x v="2"/>
    <x v="2"/>
    <x v="1"/>
    <x v="3"/>
    <x v="6"/>
    <x v="2"/>
    <x v="4"/>
    <x v="5"/>
    <x v="22"/>
    <x v="14"/>
    <x v="500"/>
    <x v="476"/>
    <x v="461"/>
    <x v="937"/>
    <x v="369"/>
    <x v="0"/>
    <x v="1"/>
    <x v="0"/>
  </r>
  <r>
    <x v="763"/>
    <x v="191"/>
    <x v="0"/>
    <x v="2"/>
    <x v="7"/>
    <x v="1"/>
    <x v="7"/>
    <x v="2"/>
    <x v="2"/>
    <x v="0"/>
    <x v="3"/>
    <x v="6"/>
    <x v="2"/>
    <x v="4"/>
    <x v="1"/>
    <x v="22"/>
    <x v="14"/>
    <x v="220"/>
    <x v="229"/>
    <x v="658"/>
    <x v="350"/>
    <x v="192"/>
    <x v="1"/>
    <x v="1"/>
    <x v="2"/>
  </r>
  <r>
    <x v="764"/>
    <x v="198"/>
    <x v="0"/>
    <x v="2"/>
    <x v="7"/>
    <x v="1"/>
    <x v="7"/>
    <x v="2"/>
    <x v="2"/>
    <x v="1"/>
    <x v="3"/>
    <x v="6"/>
    <x v="5"/>
    <x v="10"/>
    <x v="5"/>
    <x v="28"/>
    <x v="18"/>
    <x v="808"/>
    <x v="731"/>
    <x v="1028"/>
    <x v="1457"/>
    <x v="90"/>
    <x v="1"/>
    <x v="1"/>
    <x v="0"/>
  </r>
  <r>
    <x v="765"/>
    <x v="205"/>
    <x v="0"/>
    <x v="2"/>
    <x v="7"/>
    <x v="1"/>
    <x v="7"/>
    <x v="2"/>
    <x v="2"/>
    <x v="0"/>
    <x v="3"/>
    <x v="6"/>
    <x v="5"/>
    <x v="10"/>
    <x v="0"/>
    <x v="28"/>
    <x v="18"/>
    <x v="517"/>
    <x v="521"/>
    <x v="1033"/>
    <x v="750"/>
    <x v="47"/>
    <x v="2"/>
    <x v="1"/>
    <x v="0"/>
  </r>
  <r>
    <x v="766"/>
    <x v="212"/>
    <x v="0"/>
    <x v="2"/>
    <x v="7"/>
    <x v="1"/>
    <x v="7"/>
    <x v="2"/>
    <x v="2"/>
    <x v="1"/>
    <x v="0"/>
    <x v="0"/>
    <x v="3"/>
    <x v="6"/>
    <x v="24"/>
    <x v="0"/>
    <x v="0"/>
    <x v="77"/>
    <x v="61"/>
    <x v="37"/>
    <x v="233"/>
    <x v="1239"/>
    <x v="1"/>
    <x v="1"/>
    <x v="2"/>
  </r>
  <r>
    <x v="767"/>
    <x v="192"/>
    <x v="0"/>
    <x v="2"/>
    <x v="7"/>
    <x v="1"/>
    <x v="7"/>
    <x v="2"/>
    <x v="2"/>
    <x v="0"/>
    <x v="0"/>
    <x v="0"/>
    <x v="3"/>
    <x v="6"/>
    <x v="12"/>
    <x v="0"/>
    <x v="0"/>
    <x v="15"/>
    <x v="13"/>
    <x v="151"/>
    <x v="45"/>
    <x v="1077"/>
    <x v="1"/>
    <x v="1"/>
    <x v="2"/>
  </r>
  <r>
    <x v="768"/>
    <x v="199"/>
    <x v="0"/>
    <x v="2"/>
    <x v="7"/>
    <x v="1"/>
    <x v="7"/>
    <x v="2"/>
    <x v="2"/>
    <x v="1"/>
    <x v="0"/>
    <x v="0"/>
    <x v="8"/>
    <x v="16"/>
    <x v="24"/>
    <x v="12"/>
    <x v="6"/>
    <x v="414"/>
    <x v="346"/>
    <x v="348"/>
    <x v="938"/>
    <x v="1137"/>
    <x v="1"/>
    <x v="1"/>
    <x v="2"/>
  </r>
  <r>
    <x v="769"/>
    <x v="206"/>
    <x v="0"/>
    <x v="2"/>
    <x v="7"/>
    <x v="1"/>
    <x v="7"/>
    <x v="2"/>
    <x v="2"/>
    <x v="0"/>
    <x v="0"/>
    <x v="0"/>
    <x v="8"/>
    <x v="16"/>
    <x v="10"/>
    <x v="12"/>
    <x v="6"/>
    <x v="173"/>
    <x v="143"/>
    <x v="593"/>
    <x v="416"/>
    <x v="916"/>
    <x v="1"/>
    <x v="1"/>
    <x v="2"/>
  </r>
  <r>
    <x v="770"/>
    <x v="213"/>
    <x v="0"/>
    <x v="2"/>
    <x v="7"/>
    <x v="1"/>
    <x v="7"/>
    <x v="2"/>
    <x v="2"/>
    <x v="1"/>
    <x v="0"/>
    <x v="0"/>
    <x v="9"/>
    <x v="18"/>
    <x v="31"/>
    <x v="6"/>
    <x v="4"/>
    <x v="368"/>
    <x v="327"/>
    <x v="290"/>
    <x v="800"/>
    <x v="806"/>
    <x v="1"/>
    <x v="1"/>
    <x v="2"/>
  </r>
  <r>
    <x v="771"/>
    <x v="193"/>
    <x v="0"/>
    <x v="2"/>
    <x v="7"/>
    <x v="1"/>
    <x v="7"/>
    <x v="2"/>
    <x v="2"/>
    <x v="0"/>
    <x v="0"/>
    <x v="0"/>
    <x v="9"/>
    <x v="18"/>
    <x v="9"/>
    <x v="6"/>
    <x v="4"/>
    <x v="73"/>
    <x v="74"/>
    <x v="360"/>
    <x v="138"/>
    <x v="551"/>
    <x v="1"/>
    <x v="1"/>
    <x v="2"/>
  </r>
  <r>
    <x v="772"/>
    <x v="200"/>
    <x v="0"/>
    <x v="2"/>
    <x v="7"/>
    <x v="1"/>
    <x v="7"/>
    <x v="2"/>
    <x v="2"/>
    <x v="1"/>
    <x v="2"/>
    <x v="4"/>
    <x v="0"/>
    <x v="0"/>
    <x v="10"/>
    <x v="15"/>
    <x v="10"/>
    <x v="237"/>
    <x v="208"/>
    <x v="162"/>
    <x v="559"/>
    <x v="950"/>
    <x v="1"/>
    <x v="1"/>
    <x v="2"/>
  </r>
  <r>
    <x v="773"/>
    <x v="207"/>
    <x v="0"/>
    <x v="2"/>
    <x v="7"/>
    <x v="1"/>
    <x v="7"/>
    <x v="2"/>
    <x v="2"/>
    <x v="0"/>
    <x v="2"/>
    <x v="4"/>
    <x v="0"/>
    <x v="0"/>
    <x v="4"/>
    <x v="15"/>
    <x v="10"/>
    <x v="76"/>
    <x v="70"/>
    <x v="365"/>
    <x v="158"/>
    <x v="687"/>
    <x v="1"/>
    <x v="1"/>
    <x v="2"/>
  </r>
  <r>
    <x v="774"/>
    <x v="214"/>
    <x v="0"/>
    <x v="2"/>
    <x v="7"/>
    <x v="1"/>
    <x v="7"/>
    <x v="2"/>
    <x v="2"/>
    <x v="1"/>
    <x v="2"/>
    <x v="4"/>
    <x v="4"/>
    <x v="8"/>
    <x v="10"/>
    <x v="9"/>
    <x v="7"/>
    <x v="144"/>
    <x v="144"/>
    <x v="87"/>
    <x v="310"/>
    <x v="664"/>
    <x v="1"/>
    <x v="1"/>
    <x v="2"/>
  </r>
  <r>
    <x v="775"/>
    <x v="194"/>
    <x v="0"/>
    <x v="2"/>
    <x v="7"/>
    <x v="1"/>
    <x v="7"/>
    <x v="2"/>
    <x v="2"/>
    <x v="0"/>
    <x v="2"/>
    <x v="4"/>
    <x v="4"/>
    <x v="8"/>
    <x v="3"/>
    <x v="9"/>
    <x v="7"/>
    <x v="18"/>
    <x v="28"/>
    <x v="179"/>
    <x v="34"/>
    <x v="400"/>
    <x v="1"/>
    <x v="1"/>
    <x v="2"/>
  </r>
  <r>
    <x v="776"/>
    <x v="201"/>
    <x v="0"/>
    <x v="2"/>
    <x v="7"/>
    <x v="1"/>
    <x v="7"/>
    <x v="2"/>
    <x v="2"/>
    <x v="1"/>
    <x v="1"/>
    <x v="2"/>
    <x v="7"/>
    <x v="14"/>
    <x v="15"/>
    <x v="18"/>
    <x v="12"/>
    <x v="375"/>
    <x v="356"/>
    <x v="302"/>
    <x v="755"/>
    <x v="491"/>
    <x v="1"/>
    <x v="1"/>
    <x v="2"/>
  </r>
  <r>
    <x v="777"/>
    <x v="208"/>
    <x v="0"/>
    <x v="2"/>
    <x v="7"/>
    <x v="1"/>
    <x v="7"/>
    <x v="2"/>
    <x v="2"/>
    <x v="0"/>
    <x v="1"/>
    <x v="2"/>
    <x v="7"/>
    <x v="14"/>
    <x v="5"/>
    <x v="18"/>
    <x v="12"/>
    <x v="118"/>
    <x v="126"/>
    <x v="473"/>
    <x v="196"/>
    <x v="294"/>
    <x v="1"/>
    <x v="1"/>
    <x v="2"/>
  </r>
  <r>
    <x v="778"/>
    <x v="215"/>
    <x v="0"/>
    <x v="2"/>
    <x v="7"/>
    <x v="1"/>
    <x v="7"/>
    <x v="2"/>
    <x v="2"/>
    <x v="1"/>
    <x v="1"/>
    <x v="2"/>
    <x v="6"/>
    <x v="12"/>
    <x v="13"/>
    <x v="3"/>
    <x v="2"/>
    <x v="37"/>
    <x v="36"/>
    <x v="6"/>
    <x v="99"/>
    <x v="1090"/>
    <x v="1"/>
    <x v="1"/>
    <x v="2"/>
  </r>
  <r>
    <x v="779"/>
    <x v="195"/>
    <x v="0"/>
    <x v="2"/>
    <x v="7"/>
    <x v="1"/>
    <x v="7"/>
    <x v="2"/>
    <x v="2"/>
    <x v="0"/>
    <x v="1"/>
    <x v="2"/>
    <x v="6"/>
    <x v="12"/>
    <x v="4"/>
    <x v="3"/>
    <x v="2"/>
    <x v="1"/>
    <x v="1"/>
    <x v="40"/>
    <x v="2"/>
    <x v="854"/>
    <x v="2"/>
    <x v="1"/>
    <x v="1"/>
  </r>
  <r>
    <x v="780"/>
    <x v="202"/>
    <x v="0"/>
    <x v="2"/>
    <x v="7"/>
    <x v="1"/>
    <x v="7"/>
    <x v="4"/>
    <x v="4"/>
    <x v="1"/>
    <x v="3"/>
    <x v="6"/>
    <x v="1"/>
    <x v="2"/>
    <x v="5"/>
    <x v="25"/>
    <x v="16"/>
    <x v="768"/>
    <x v="698"/>
    <x v="904"/>
    <x v="1419"/>
    <x v="260"/>
    <x v="0"/>
    <x v="1"/>
    <x v="0"/>
  </r>
  <r>
    <x v="781"/>
    <x v="209"/>
    <x v="0"/>
    <x v="2"/>
    <x v="7"/>
    <x v="1"/>
    <x v="7"/>
    <x v="4"/>
    <x v="4"/>
    <x v="0"/>
    <x v="3"/>
    <x v="6"/>
    <x v="1"/>
    <x v="2"/>
    <x v="1"/>
    <x v="25"/>
    <x v="16"/>
    <x v="548"/>
    <x v="519"/>
    <x v="1057"/>
    <x v="932"/>
    <x v="143"/>
    <x v="1"/>
    <x v="1"/>
    <x v="0"/>
  </r>
  <r>
    <x v="782"/>
    <x v="189"/>
    <x v="0"/>
    <x v="2"/>
    <x v="7"/>
    <x v="1"/>
    <x v="7"/>
    <x v="4"/>
    <x v="4"/>
    <x v="1"/>
    <x v="3"/>
    <x v="6"/>
    <x v="2"/>
    <x v="4"/>
    <x v="5"/>
    <x v="22"/>
    <x v="14"/>
    <x v="500"/>
    <x v="476"/>
    <x v="461"/>
    <x v="937"/>
    <x v="369"/>
    <x v="0"/>
    <x v="1"/>
    <x v="0"/>
  </r>
  <r>
    <x v="783"/>
    <x v="196"/>
    <x v="0"/>
    <x v="2"/>
    <x v="7"/>
    <x v="1"/>
    <x v="7"/>
    <x v="4"/>
    <x v="4"/>
    <x v="0"/>
    <x v="3"/>
    <x v="6"/>
    <x v="2"/>
    <x v="4"/>
    <x v="0"/>
    <x v="22"/>
    <x v="14"/>
    <x v="116"/>
    <x v="132"/>
    <x v="469"/>
    <x v="167"/>
    <x v="196"/>
    <x v="1"/>
    <x v="1"/>
    <x v="2"/>
  </r>
  <r>
    <x v="784"/>
    <x v="203"/>
    <x v="0"/>
    <x v="2"/>
    <x v="7"/>
    <x v="1"/>
    <x v="7"/>
    <x v="4"/>
    <x v="4"/>
    <x v="1"/>
    <x v="3"/>
    <x v="6"/>
    <x v="5"/>
    <x v="10"/>
    <x v="5"/>
    <x v="28"/>
    <x v="18"/>
    <x v="808"/>
    <x v="731"/>
    <x v="1028"/>
    <x v="1457"/>
    <x v="90"/>
    <x v="1"/>
    <x v="1"/>
    <x v="0"/>
  </r>
  <r>
    <x v="785"/>
    <x v="210"/>
    <x v="0"/>
    <x v="2"/>
    <x v="7"/>
    <x v="1"/>
    <x v="7"/>
    <x v="4"/>
    <x v="4"/>
    <x v="0"/>
    <x v="3"/>
    <x v="6"/>
    <x v="5"/>
    <x v="10"/>
    <x v="1"/>
    <x v="28"/>
    <x v="18"/>
    <x v="644"/>
    <x v="623"/>
    <x v="1140"/>
    <x v="1008"/>
    <x v="42"/>
    <x v="2"/>
    <x v="1"/>
    <x v="0"/>
  </r>
  <r>
    <x v="786"/>
    <x v="190"/>
    <x v="0"/>
    <x v="2"/>
    <x v="7"/>
    <x v="1"/>
    <x v="7"/>
    <x v="4"/>
    <x v="4"/>
    <x v="1"/>
    <x v="0"/>
    <x v="0"/>
    <x v="3"/>
    <x v="6"/>
    <x v="30"/>
    <x v="0"/>
    <x v="0"/>
    <x v="114"/>
    <x v="87"/>
    <x v="64"/>
    <x v="332"/>
    <x v="1222"/>
    <x v="1"/>
    <x v="1"/>
    <x v="2"/>
  </r>
  <r>
    <x v="787"/>
    <x v="197"/>
    <x v="0"/>
    <x v="2"/>
    <x v="7"/>
    <x v="1"/>
    <x v="7"/>
    <x v="4"/>
    <x v="4"/>
    <x v="0"/>
    <x v="0"/>
    <x v="0"/>
    <x v="3"/>
    <x v="6"/>
    <x v="8"/>
    <x v="0"/>
    <x v="0"/>
    <x v="5"/>
    <x v="5"/>
    <x v="81"/>
    <x v="15"/>
    <x v="1079"/>
    <x v="2"/>
    <x v="1"/>
    <x v="1"/>
  </r>
  <r>
    <x v="788"/>
    <x v="204"/>
    <x v="0"/>
    <x v="2"/>
    <x v="7"/>
    <x v="1"/>
    <x v="7"/>
    <x v="4"/>
    <x v="4"/>
    <x v="1"/>
    <x v="0"/>
    <x v="0"/>
    <x v="8"/>
    <x v="16"/>
    <x v="28"/>
    <x v="12"/>
    <x v="6"/>
    <x v="466"/>
    <x v="393"/>
    <x v="417"/>
    <x v="1044"/>
    <x v="1142"/>
    <x v="1"/>
    <x v="1"/>
    <x v="2"/>
  </r>
  <r>
    <x v="789"/>
    <x v="211"/>
    <x v="0"/>
    <x v="2"/>
    <x v="7"/>
    <x v="1"/>
    <x v="7"/>
    <x v="4"/>
    <x v="4"/>
    <x v="0"/>
    <x v="0"/>
    <x v="0"/>
    <x v="8"/>
    <x v="16"/>
    <x v="10"/>
    <x v="12"/>
    <x v="6"/>
    <x v="173"/>
    <x v="143"/>
    <x v="593"/>
    <x v="416"/>
    <x v="916"/>
    <x v="1"/>
    <x v="1"/>
    <x v="2"/>
  </r>
  <r>
    <x v="790"/>
    <x v="191"/>
    <x v="0"/>
    <x v="2"/>
    <x v="7"/>
    <x v="1"/>
    <x v="7"/>
    <x v="4"/>
    <x v="4"/>
    <x v="1"/>
    <x v="0"/>
    <x v="0"/>
    <x v="9"/>
    <x v="18"/>
    <x v="28"/>
    <x v="6"/>
    <x v="4"/>
    <x v="342"/>
    <x v="297"/>
    <x v="245"/>
    <x v="737"/>
    <x v="823"/>
    <x v="1"/>
    <x v="1"/>
    <x v="2"/>
  </r>
  <r>
    <x v="791"/>
    <x v="198"/>
    <x v="0"/>
    <x v="2"/>
    <x v="7"/>
    <x v="1"/>
    <x v="7"/>
    <x v="4"/>
    <x v="4"/>
    <x v="0"/>
    <x v="0"/>
    <x v="0"/>
    <x v="9"/>
    <x v="18"/>
    <x v="11"/>
    <x v="6"/>
    <x v="4"/>
    <x v="100"/>
    <x v="101"/>
    <x v="437"/>
    <x v="210"/>
    <x v="551"/>
    <x v="1"/>
    <x v="1"/>
    <x v="2"/>
  </r>
  <r>
    <x v="792"/>
    <x v="205"/>
    <x v="0"/>
    <x v="2"/>
    <x v="7"/>
    <x v="1"/>
    <x v="7"/>
    <x v="4"/>
    <x v="4"/>
    <x v="1"/>
    <x v="2"/>
    <x v="4"/>
    <x v="0"/>
    <x v="0"/>
    <x v="12"/>
    <x v="15"/>
    <x v="10"/>
    <x v="286"/>
    <x v="253"/>
    <x v="202"/>
    <x v="655"/>
    <x v="963"/>
    <x v="1"/>
    <x v="1"/>
    <x v="2"/>
  </r>
  <r>
    <x v="793"/>
    <x v="212"/>
    <x v="0"/>
    <x v="2"/>
    <x v="7"/>
    <x v="1"/>
    <x v="7"/>
    <x v="4"/>
    <x v="4"/>
    <x v="0"/>
    <x v="2"/>
    <x v="4"/>
    <x v="0"/>
    <x v="0"/>
    <x v="4"/>
    <x v="15"/>
    <x v="10"/>
    <x v="76"/>
    <x v="70"/>
    <x v="365"/>
    <x v="158"/>
    <x v="687"/>
    <x v="1"/>
    <x v="1"/>
    <x v="2"/>
  </r>
  <r>
    <x v="794"/>
    <x v="192"/>
    <x v="0"/>
    <x v="2"/>
    <x v="7"/>
    <x v="1"/>
    <x v="7"/>
    <x v="4"/>
    <x v="4"/>
    <x v="1"/>
    <x v="2"/>
    <x v="4"/>
    <x v="4"/>
    <x v="8"/>
    <x v="11"/>
    <x v="9"/>
    <x v="7"/>
    <x v="165"/>
    <x v="162"/>
    <x v="103"/>
    <x v="347"/>
    <x v="648"/>
    <x v="1"/>
    <x v="1"/>
    <x v="2"/>
  </r>
  <r>
    <x v="795"/>
    <x v="199"/>
    <x v="0"/>
    <x v="2"/>
    <x v="7"/>
    <x v="1"/>
    <x v="7"/>
    <x v="4"/>
    <x v="4"/>
    <x v="0"/>
    <x v="2"/>
    <x v="4"/>
    <x v="4"/>
    <x v="8"/>
    <x v="3"/>
    <x v="9"/>
    <x v="7"/>
    <x v="18"/>
    <x v="28"/>
    <x v="179"/>
    <x v="34"/>
    <x v="400"/>
    <x v="1"/>
    <x v="1"/>
    <x v="2"/>
  </r>
  <r>
    <x v="796"/>
    <x v="206"/>
    <x v="0"/>
    <x v="2"/>
    <x v="7"/>
    <x v="1"/>
    <x v="7"/>
    <x v="4"/>
    <x v="4"/>
    <x v="1"/>
    <x v="1"/>
    <x v="2"/>
    <x v="7"/>
    <x v="14"/>
    <x v="18"/>
    <x v="18"/>
    <x v="12"/>
    <x v="429"/>
    <x v="409"/>
    <x v="375"/>
    <x v="861"/>
    <x v="509"/>
    <x v="1"/>
    <x v="1"/>
    <x v="2"/>
  </r>
  <r>
    <x v="797"/>
    <x v="213"/>
    <x v="0"/>
    <x v="2"/>
    <x v="7"/>
    <x v="1"/>
    <x v="7"/>
    <x v="4"/>
    <x v="4"/>
    <x v="0"/>
    <x v="1"/>
    <x v="2"/>
    <x v="7"/>
    <x v="14"/>
    <x v="6"/>
    <x v="18"/>
    <x v="12"/>
    <x v="150"/>
    <x v="157"/>
    <x v="539"/>
    <x v="243"/>
    <x v="294"/>
    <x v="1"/>
    <x v="1"/>
    <x v="2"/>
  </r>
  <r>
    <x v="798"/>
    <x v="193"/>
    <x v="0"/>
    <x v="2"/>
    <x v="7"/>
    <x v="1"/>
    <x v="7"/>
    <x v="4"/>
    <x v="4"/>
    <x v="1"/>
    <x v="1"/>
    <x v="2"/>
    <x v="6"/>
    <x v="12"/>
    <x v="15"/>
    <x v="3"/>
    <x v="2"/>
    <x v="46"/>
    <x v="45"/>
    <x v="17"/>
    <x v="131"/>
    <x v="1098"/>
    <x v="1"/>
    <x v="1"/>
    <x v="2"/>
  </r>
  <r>
    <x v="799"/>
    <x v="200"/>
    <x v="0"/>
    <x v="2"/>
    <x v="7"/>
    <x v="1"/>
    <x v="7"/>
    <x v="4"/>
    <x v="4"/>
    <x v="0"/>
    <x v="1"/>
    <x v="2"/>
    <x v="6"/>
    <x v="12"/>
    <x v="6"/>
    <x v="3"/>
    <x v="2"/>
    <x v="5"/>
    <x v="6"/>
    <x v="81"/>
    <x v="11"/>
    <x v="859"/>
    <x v="2"/>
    <x v="1"/>
    <x v="1"/>
  </r>
  <r>
    <x v="800"/>
    <x v="234"/>
    <x v="0"/>
    <x v="2"/>
    <x v="8"/>
    <x v="11"/>
    <x v="8"/>
    <x v="0"/>
    <x v="0"/>
    <x v="1"/>
    <x v="3"/>
    <x v="6"/>
    <x v="1"/>
    <x v="2"/>
    <x v="16"/>
    <x v="25"/>
    <x v="16"/>
    <x v="852"/>
    <x v="756"/>
    <x v="1182"/>
    <x v="1586"/>
    <x v="268"/>
    <x v="0"/>
    <x v="1"/>
    <x v="0"/>
  </r>
  <r>
    <x v="801"/>
    <x v="241"/>
    <x v="0"/>
    <x v="2"/>
    <x v="8"/>
    <x v="11"/>
    <x v="8"/>
    <x v="0"/>
    <x v="0"/>
    <x v="0"/>
    <x v="3"/>
    <x v="6"/>
    <x v="1"/>
    <x v="2"/>
    <x v="5"/>
    <x v="25"/>
    <x v="16"/>
    <x v="768"/>
    <x v="698"/>
    <x v="1237"/>
    <x v="1384"/>
    <x v="145"/>
    <x v="1"/>
    <x v="1"/>
    <x v="0"/>
  </r>
  <r>
    <x v="802"/>
    <x v="221"/>
    <x v="0"/>
    <x v="2"/>
    <x v="8"/>
    <x v="11"/>
    <x v="8"/>
    <x v="0"/>
    <x v="0"/>
    <x v="1"/>
    <x v="3"/>
    <x v="6"/>
    <x v="2"/>
    <x v="4"/>
    <x v="19"/>
    <x v="22"/>
    <x v="14"/>
    <x v="787"/>
    <x v="708"/>
    <x v="957"/>
    <x v="1473"/>
    <x v="369"/>
    <x v="0"/>
    <x v="1"/>
    <x v="0"/>
  </r>
  <r>
    <x v="803"/>
    <x v="228"/>
    <x v="0"/>
    <x v="2"/>
    <x v="8"/>
    <x v="11"/>
    <x v="8"/>
    <x v="0"/>
    <x v="0"/>
    <x v="0"/>
    <x v="3"/>
    <x v="6"/>
    <x v="2"/>
    <x v="4"/>
    <x v="7"/>
    <x v="22"/>
    <x v="14"/>
    <x v="583"/>
    <x v="548"/>
    <x v="1087"/>
    <x v="1055"/>
    <x v="195"/>
    <x v="1"/>
    <x v="1"/>
    <x v="0"/>
  </r>
  <r>
    <x v="804"/>
    <x v="235"/>
    <x v="0"/>
    <x v="2"/>
    <x v="8"/>
    <x v="11"/>
    <x v="8"/>
    <x v="0"/>
    <x v="0"/>
    <x v="1"/>
    <x v="3"/>
    <x v="6"/>
    <x v="5"/>
    <x v="10"/>
    <x v="18"/>
    <x v="28"/>
    <x v="18"/>
    <x v="877"/>
    <x v="782"/>
    <x v="1254"/>
    <x v="1608"/>
    <x v="97"/>
    <x v="1"/>
    <x v="1"/>
    <x v="0"/>
  </r>
  <r>
    <x v="805"/>
    <x v="242"/>
    <x v="0"/>
    <x v="2"/>
    <x v="8"/>
    <x v="11"/>
    <x v="8"/>
    <x v="0"/>
    <x v="0"/>
    <x v="0"/>
    <x v="3"/>
    <x v="6"/>
    <x v="5"/>
    <x v="10"/>
    <x v="6"/>
    <x v="28"/>
    <x v="18"/>
    <x v="818"/>
    <x v="738"/>
    <x v="1295"/>
    <x v="1464"/>
    <x v="43"/>
    <x v="2"/>
    <x v="1"/>
    <x v="0"/>
  </r>
  <r>
    <x v="806"/>
    <x v="222"/>
    <x v="0"/>
    <x v="2"/>
    <x v="8"/>
    <x v="11"/>
    <x v="8"/>
    <x v="0"/>
    <x v="0"/>
    <x v="1"/>
    <x v="0"/>
    <x v="0"/>
    <x v="3"/>
    <x v="6"/>
    <x v="88"/>
    <x v="0"/>
    <x v="0"/>
    <x v="425"/>
    <x v="342"/>
    <x v="369"/>
    <x v="1003"/>
    <x v="1232"/>
    <x v="1"/>
    <x v="1"/>
    <x v="2"/>
  </r>
  <r>
    <x v="807"/>
    <x v="229"/>
    <x v="0"/>
    <x v="2"/>
    <x v="8"/>
    <x v="11"/>
    <x v="8"/>
    <x v="0"/>
    <x v="0"/>
    <x v="0"/>
    <x v="0"/>
    <x v="0"/>
    <x v="3"/>
    <x v="6"/>
    <x v="43"/>
    <x v="0"/>
    <x v="0"/>
    <x v="199"/>
    <x v="154"/>
    <x v="635"/>
    <x v="496"/>
    <x v="1075"/>
    <x v="1"/>
    <x v="1"/>
    <x v="2"/>
  </r>
  <r>
    <x v="808"/>
    <x v="236"/>
    <x v="0"/>
    <x v="2"/>
    <x v="8"/>
    <x v="11"/>
    <x v="8"/>
    <x v="0"/>
    <x v="0"/>
    <x v="1"/>
    <x v="0"/>
    <x v="0"/>
    <x v="8"/>
    <x v="16"/>
    <x v="93"/>
    <x v="12"/>
    <x v="6"/>
    <x v="783"/>
    <x v="683"/>
    <x v="947"/>
    <x v="1525"/>
    <x v="1145"/>
    <x v="0"/>
    <x v="1"/>
    <x v="0"/>
  </r>
  <r>
    <x v="809"/>
    <x v="216"/>
    <x v="0"/>
    <x v="2"/>
    <x v="8"/>
    <x v="11"/>
    <x v="8"/>
    <x v="0"/>
    <x v="0"/>
    <x v="0"/>
    <x v="0"/>
    <x v="0"/>
    <x v="8"/>
    <x v="16"/>
    <x v="33"/>
    <x v="12"/>
    <x v="6"/>
    <x v="520"/>
    <x v="438"/>
    <x v="1038"/>
    <x v="1088"/>
    <x v="915"/>
    <x v="0"/>
    <x v="1"/>
    <x v="0"/>
  </r>
  <r>
    <x v="810"/>
    <x v="223"/>
    <x v="0"/>
    <x v="2"/>
    <x v="8"/>
    <x v="11"/>
    <x v="8"/>
    <x v="0"/>
    <x v="0"/>
    <x v="1"/>
    <x v="0"/>
    <x v="0"/>
    <x v="9"/>
    <x v="18"/>
    <x v="92"/>
    <x v="6"/>
    <x v="4"/>
    <x v="707"/>
    <x v="624"/>
    <x v="776"/>
    <x v="1383"/>
    <x v="811"/>
    <x v="0"/>
    <x v="1"/>
    <x v="0"/>
  </r>
  <r>
    <x v="811"/>
    <x v="230"/>
    <x v="0"/>
    <x v="2"/>
    <x v="8"/>
    <x v="11"/>
    <x v="8"/>
    <x v="0"/>
    <x v="0"/>
    <x v="0"/>
    <x v="0"/>
    <x v="0"/>
    <x v="9"/>
    <x v="18"/>
    <x v="40"/>
    <x v="6"/>
    <x v="4"/>
    <x v="449"/>
    <x v="405"/>
    <x v="969"/>
    <x v="904"/>
    <x v="549"/>
    <x v="1"/>
    <x v="1"/>
    <x v="2"/>
  </r>
  <r>
    <x v="812"/>
    <x v="237"/>
    <x v="0"/>
    <x v="2"/>
    <x v="8"/>
    <x v="11"/>
    <x v="8"/>
    <x v="0"/>
    <x v="0"/>
    <x v="1"/>
    <x v="2"/>
    <x v="4"/>
    <x v="0"/>
    <x v="0"/>
    <x v="41"/>
    <x v="15"/>
    <x v="10"/>
    <x v="652"/>
    <x v="573"/>
    <x v="688"/>
    <x v="1311"/>
    <x v="956"/>
    <x v="0"/>
    <x v="1"/>
    <x v="0"/>
  </r>
  <r>
    <x v="813"/>
    <x v="217"/>
    <x v="0"/>
    <x v="2"/>
    <x v="8"/>
    <x v="11"/>
    <x v="8"/>
    <x v="0"/>
    <x v="0"/>
    <x v="0"/>
    <x v="2"/>
    <x v="4"/>
    <x v="0"/>
    <x v="0"/>
    <x v="14"/>
    <x v="15"/>
    <x v="10"/>
    <x v="337"/>
    <x v="287"/>
    <x v="817"/>
    <x v="699"/>
    <x v="690"/>
    <x v="1"/>
    <x v="1"/>
    <x v="2"/>
  </r>
  <r>
    <x v="814"/>
    <x v="224"/>
    <x v="0"/>
    <x v="2"/>
    <x v="8"/>
    <x v="11"/>
    <x v="8"/>
    <x v="0"/>
    <x v="0"/>
    <x v="1"/>
    <x v="2"/>
    <x v="4"/>
    <x v="4"/>
    <x v="8"/>
    <x v="48"/>
    <x v="9"/>
    <x v="7"/>
    <x v="599"/>
    <x v="542"/>
    <x v="613"/>
    <x v="1198"/>
    <x v="650"/>
    <x v="0"/>
    <x v="1"/>
    <x v="0"/>
  </r>
  <r>
    <x v="815"/>
    <x v="231"/>
    <x v="0"/>
    <x v="2"/>
    <x v="8"/>
    <x v="11"/>
    <x v="8"/>
    <x v="0"/>
    <x v="0"/>
    <x v="0"/>
    <x v="2"/>
    <x v="4"/>
    <x v="4"/>
    <x v="8"/>
    <x v="17"/>
    <x v="9"/>
    <x v="7"/>
    <x v="274"/>
    <x v="258"/>
    <x v="735"/>
    <x v="530"/>
    <x v="404"/>
    <x v="1"/>
    <x v="1"/>
    <x v="2"/>
  </r>
  <r>
    <x v="816"/>
    <x v="238"/>
    <x v="0"/>
    <x v="2"/>
    <x v="8"/>
    <x v="11"/>
    <x v="8"/>
    <x v="0"/>
    <x v="0"/>
    <x v="1"/>
    <x v="1"/>
    <x v="2"/>
    <x v="7"/>
    <x v="14"/>
    <x v="63"/>
    <x v="18"/>
    <x v="12"/>
    <x v="769"/>
    <x v="692"/>
    <x v="906"/>
    <x v="1449"/>
    <x v="505"/>
    <x v="0"/>
    <x v="1"/>
    <x v="0"/>
  </r>
  <r>
    <x v="817"/>
    <x v="218"/>
    <x v="0"/>
    <x v="2"/>
    <x v="8"/>
    <x v="11"/>
    <x v="8"/>
    <x v="0"/>
    <x v="0"/>
    <x v="0"/>
    <x v="1"/>
    <x v="2"/>
    <x v="7"/>
    <x v="14"/>
    <x v="19"/>
    <x v="18"/>
    <x v="12"/>
    <x v="449"/>
    <x v="421"/>
    <x v="969"/>
    <x v="834"/>
    <x v="292"/>
    <x v="1"/>
    <x v="1"/>
    <x v="2"/>
  </r>
  <r>
    <x v="818"/>
    <x v="225"/>
    <x v="0"/>
    <x v="2"/>
    <x v="8"/>
    <x v="11"/>
    <x v="8"/>
    <x v="0"/>
    <x v="0"/>
    <x v="1"/>
    <x v="1"/>
    <x v="2"/>
    <x v="6"/>
    <x v="12"/>
    <x v="47"/>
    <x v="3"/>
    <x v="2"/>
    <x v="296"/>
    <x v="247"/>
    <x v="206"/>
    <x v="708"/>
    <x v="1093"/>
    <x v="1"/>
    <x v="1"/>
    <x v="2"/>
  </r>
  <r>
    <x v="819"/>
    <x v="232"/>
    <x v="0"/>
    <x v="2"/>
    <x v="8"/>
    <x v="11"/>
    <x v="8"/>
    <x v="0"/>
    <x v="0"/>
    <x v="0"/>
    <x v="1"/>
    <x v="2"/>
    <x v="6"/>
    <x v="12"/>
    <x v="19"/>
    <x v="3"/>
    <x v="2"/>
    <x v="78"/>
    <x v="68"/>
    <x v="376"/>
    <x v="185"/>
    <x v="858"/>
    <x v="1"/>
    <x v="1"/>
    <x v="2"/>
  </r>
  <r>
    <x v="820"/>
    <x v="239"/>
    <x v="0"/>
    <x v="2"/>
    <x v="8"/>
    <x v="11"/>
    <x v="8"/>
    <x v="1"/>
    <x v="1"/>
    <x v="1"/>
    <x v="3"/>
    <x v="6"/>
    <x v="1"/>
    <x v="2"/>
    <x v="11"/>
    <x v="25"/>
    <x v="16"/>
    <x v="832"/>
    <x v="742"/>
    <x v="1111"/>
    <x v="1560"/>
    <x v="269"/>
    <x v="0"/>
    <x v="1"/>
    <x v="0"/>
  </r>
  <r>
    <x v="821"/>
    <x v="219"/>
    <x v="0"/>
    <x v="2"/>
    <x v="8"/>
    <x v="11"/>
    <x v="8"/>
    <x v="1"/>
    <x v="1"/>
    <x v="0"/>
    <x v="3"/>
    <x v="6"/>
    <x v="1"/>
    <x v="2"/>
    <x v="3"/>
    <x v="25"/>
    <x v="16"/>
    <x v="697"/>
    <x v="645"/>
    <x v="1178"/>
    <x v="1238"/>
    <x v="144"/>
    <x v="1"/>
    <x v="1"/>
    <x v="0"/>
  </r>
  <r>
    <x v="822"/>
    <x v="226"/>
    <x v="0"/>
    <x v="2"/>
    <x v="8"/>
    <x v="11"/>
    <x v="8"/>
    <x v="1"/>
    <x v="1"/>
    <x v="1"/>
    <x v="3"/>
    <x v="6"/>
    <x v="2"/>
    <x v="4"/>
    <x v="10"/>
    <x v="22"/>
    <x v="14"/>
    <x v="665"/>
    <x v="616"/>
    <x v="708"/>
    <x v="1252"/>
    <x v="360"/>
    <x v="0"/>
    <x v="1"/>
    <x v="0"/>
  </r>
  <r>
    <x v="823"/>
    <x v="233"/>
    <x v="0"/>
    <x v="2"/>
    <x v="8"/>
    <x v="11"/>
    <x v="8"/>
    <x v="1"/>
    <x v="1"/>
    <x v="0"/>
    <x v="3"/>
    <x v="6"/>
    <x v="2"/>
    <x v="4"/>
    <x v="3"/>
    <x v="22"/>
    <x v="14"/>
    <x v="384"/>
    <x v="374"/>
    <x v="876"/>
    <x v="668"/>
    <x v="194"/>
    <x v="1"/>
    <x v="1"/>
    <x v="2"/>
  </r>
  <r>
    <x v="824"/>
    <x v="240"/>
    <x v="0"/>
    <x v="2"/>
    <x v="8"/>
    <x v="11"/>
    <x v="8"/>
    <x v="1"/>
    <x v="1"/>
    <x v="1"/>
    <x v="3"/>
    <x v="6"/>
    <x v="5"/>
    <x v="10"/>
    <x v="9"/>
    <x v="28"/>
    <x v="18"/>
    <x v="842"/>
    <x v="752"/>
    <x v="1149"/>
    <x v="1555"/>
    <x v="99"/>
    <x v="1"/>
    <x v="1"/>
    <x v="0"/>
  </r>
  <r>
    <x v="825"/>
    <x v="220"/>
    <x v="0"/>
    <x v="2"/>
    <x v="8"/>
    <x v="11"/>
    <x v="8"/>
    <x v="1"/>
    <x v="1"/>
    <x v="0"/>
    <x v="3"/>
    <x v="6"/>
    <x v="5"/>
    <x v="10"/>
    <x v="4"/>
    <x v="28"/>
    <x v="18"/>
    <x v="793"/>
    <x v="724"/>
    <x v="1263"/>
    <x v="1366"/>
    <x v="45"/>
    <x v="2"/>
    <x v="1"/>
    <x v="0"/>
  </r>
  <r>
    <x v="826"/>
    <x v="227"/>
    <x v="0"/>
    <x v="2"/>
    <x v="8"/>
    <x v="11"/>
    <x v="8"/>
    <x v="1"/>
    <x v="1"/>
    <x v="1"/>
    <x v="0"/>
    <x v="0"/>
    <x v="3"/>
    <x v="6"/>
    <x v="48"/>
    <x v="0"/>
    <x v="0"/>
    <x v="230"/>
    <x v="178"/>
    <x v="155"/>
    <x v="602"/>
    <x v="1223"/>
    <x v="1"/>
    <x v="1"/>
    <x v="2"/>
  </r>
  <r>
    <x v="827"/>
    <x v="234"/>
    <x v="0"/>
    <x v="2"/>
    <x v="8"/>
    <x v="11"/>
    <x v="8"/>
    <x v="1"/>
    <x v="1"/>
    <x v="0"/>
    <x v="0"/>
    <x v="0"/>
    <x v="3"/>
    <x v="6"/>
    <x v="16"/>
    <x v="0"/>
    <x v="0"/>
    <x v="33"/>
    <x v="29"/>
    <x v="217"/>
    <x v="89"/>
    <x v="1075"/>
    <x v="1"/>
    <x v="1"/>
    <x v="2"/>
  </r>
  <r>
    <x v="828"/>
    <x v="241"/>
    <x v="0"/>
    <x v="2"/>
    <x v="8"/>
    <x v="11"/>
    <x v="8"/>
    <x v="1"/>
    <x v="1"/>
    <x v="1"/>
    <x v="0"/>
    <x v="0"/>
    <x v="8"/>
    <x v="16"/>
    <x v="53"/>
    <x v="12"/>
    <x v="6"/>
    <x v="656"/>
    <x v="563"/>
    <x v="696"/>
    <x v="1340"/>
    <x v="1139"/>
    <x v="0"/>
    <x v="1"/>
    <x v="0"/>
  </r>
  <r>
    <x v="829"/>
    <x v="221"/>
    <x v="0"/>
    <x v="2"/>
    <x v="8"/>
    <x v="11"/>
    <x v="8"/>
    <x v="1"/>
    <x v="1"/>
    <x v="0"/>
    <x v="0"/>
    <x v="0"/>
    <x v="8"/>
    <x v="16"/>
    <x v="24"/>
    <x v="12"/>
    <x v="6"/>
    <x v="414"/>
    <x v="346"/>
    <x v="923"/>
    <x v="901"/>
    <x v="912"/>
    <x v="1"/>
    <x v="1"/>
    <x v="2"/>
  </r>
  <r>
    <x v="830"/>
    <x v="228"/>
    <x v="0"/>
    <x v="2"/>
    <x v="8"/>
    <x v="11"/>
    <x v="8"/>
    <x v="1"/>
    <x v="1"/>
    <x v="1"/>
    <x v="0"/>
    <x v="0"/>
    <x v="9"/>
    <x v="18"/>
    <x v="62"/>
    <x v="6"/>
    <x v="4"/>
    <x v="591"/>
    <x v="524"/>
    <x v="606"/>
    <x v="1213"/>
    <x v="811"/>
    <x v="0"/>
    <x v="1"/>
    <x v="0"/>
  </r>
  <r>
    <x v="831"/>
    <x v="235"/>
    <x v="0"/>
    <x v="2"/>
    <x v="8"/>
    <x v="11"/>
    <x v="8"/>
    <x v="1"/>
    <x v="1"/>
    <x v="0"/>
    <x v="0"/>
    <x v="0"/>
    <x v="9"/>
    <x v="18"/>
    <x v="24"/>
    <x v="6"/>
    <x v="4"/>
    <x v="288"/>
    <x v="262"/>
    <x v="757"/>
    <x v="585"/>
    <x v="547"/>
    <x v="1"/>
    <x v="1"/>
    <x v="2"/>
  </r>
  <r>
    <x v="832"/>
    <x v="242"/>
    <x v="0"/>
    <x v="2"/>
    <x v="8"/>
    <x v="11"/>
    <x v="8"/>
    <x v="1"/>
    <x v="1"/>
    <x v="1"/>
    <x v="2"/>
    <x v="4"/>
    <x v="0"/>
    <x v="0"/>
    <x v="26"/>
    <x v="15"/>
    <x v="10"/>
    <x v="523"/>
    <x v="458"/>
    <x v="495"/>
    <x v="1107"/>
    <x v="953"/>
    <x v="0"/>
    <x v="1"/>
    <x v="0"/>
  </r>
  <r>
    <x v="833"/>
    <x v="222"/>
    <x v="0"/>
    <x v="2"/>
    <x v="8"/>
    <x v="11"/>
    <x v="8"/>
    <x v="1"/>
    <x v="1"/>
    <x v="0"/>
    <x v="2"/>
    <x v="4"/>
    <x v="0"/>
    <x v="0"/>
    <x v="8"/>
    <x v="15"/>
    <x v="10"/>
    <x v="185"/>
    <x v="166"/>
    <x v="612"/>
    <x v="409"/>
    <x v="687"/>
    <x v="1"/>
    <x v="1"/>
    <x v="2"/>
  </r>
  <r>
    <x v="834"/>
    <x v="229"/>
    <x v="0"/>
    <x v="2"/>
    <x v="8"/>
    <x v="11"/>
    <x v="8"/>
    <x v="1"/>
    <x v="1"/>
    <x v="1"/>
    <x v="2"/>
    <x v="4"/>
    <x v="4"/>
    <x v="8"/>
    <x v="21"/>
    <x v="9"/>
    <x v="7"/>
    <x v="343"/>
    <x v="309"/>
    <x v="246"/>
    <x v="709"/>
    <x v="649"/>
    <x v="1"/>
    <x v="1"/>
    <x v="2"/>
  </r>
  <r>
    <x v="835"/>
    <x v="236"/>
    <x v="0"/>
    <x v="2"/>
    <x v="8"/>
    <x v="11"/>
    <x v="8"/>
    <x v="1"/>
    <x v="1"/>
    <x v="0"/>
    <x v="2"/>
    <x v="4"/>
    <x v="4"/>
    <x v="8"/>
    <x v="10"/>
    <x v="9"/>
    <x v="7"/>
    <x v="144"/>
    <x v="144"/>
    <x v="534"/>
    <x v="264"/>
    <x v="403"/>
    <x v="1"/>
    <x v="1"/>
    <x v="2"/>
  </r>
  <r>
    <x v="836"/>
    <x v="216"/>
    <x v="0"/>
    <x v="2"/>
    <x v="8"/>
    <x v="11"/>
    <x v="8"/>
    <x v="1"/>
    <x v="1"/>
    <x v="1"/>
    <x v="1"/>
    <x v="2"/>
    <x v="7"/>
    <x v="14"/>
    <x v="33"/>
    <x v="18"/>
    <x v="12"/>
    <x v="622"/>
    <x v="564"/>
    <x v="645"/>
    <x v="1205"/>
    <x v="496"/>
    <x v="0"/>
    <x v="1"/>
    <x v="0"/>
  </r>
  <r>
    <x v="837"/>
    <x v="223"/>
    <x v="0"/>
    <x v="2"/>
    <x v="8"/>
    <x v="11"/>
    <x v="8"/>
    <x v="1"/>
    <x v="1"/>
    <x v="0"/>
    <x v="1"/>
    <x v="2"/>
    <x v="7"/>
    <x v="14"/>
    <x v="11"/>
    <x v="18"/>
    <x v="12"/>
    <x v="288"/>
    <x v="279"/>
    <x v="757"/>
    <x v="527"/>
    <x v="290"/>
    <x v="1"/>
    <x v="1"/>
    <x v="2"/>
  </r>
  <r>
    <x v="838"/>
    <x v="230"/>
    <x v="0"/>
    <x v="2"/>
    <x v="8"/>
    <x v="11"/>
    <x v="8"/>
    <x v="1"/>
    <x v="1"/>
    <x v="1"/>
    <x v="1"/>
    <x v="2"/>
    <x v="6"/>
    <x v="12"/>
    <x v="27"/>
    <x v="3"/>
    <x v="2"/>
    <x v="143"/>
    <x v="120"/>
    <x v="85"/>
    <x v="383"/>
    <x v="1100"/>
    <x v="1"/>
    <x v="1"/>
    <x v="2"/>
  </r>
  <r>
    <x v="839"/>
    <x v="237"/>
    <x v="0"/>
    <x v="2"/>
    <x v="8"/>
    <x v="11"/>
    <x v="8"/>
    <x v="1"/>
    <x v="1"/>
    <x v="0"/>
    <x v="1"/>
    <x v="2"/>
    <x v="6"/>
    <x v="12"/>
    <x v="10"/>
    <x v="3"/>
    <x v="2"/>
    <x v="17"/>
    <x v="20"/>
    <x v="175"/>
    <x v="46"/>
    <x v="859"/>
    <x v="1"/>
    <x v="1"/>
    <x v="2"/>
  </r>
  <r>
    <x v="840"/>
    <x v="217"/>
    <x v="0"/>
    <x v="2"/>
    <x v="8"/>
    <x v="11"/>
    <x v="8"/>
    <x v="3"/>
    <x v="3"/>
    <x v="1"/>
    <x v="3"/>
    <x v="6"/>
    <x v="1"/>
    <x v="2"/>
    <x v="8"/>
    <x v="25"/>
    <x v="16"/>
    <x v="813"/>
    <x v="728"/>
    <x v="1045"/>
    <x v="1518"/>
    <x v="266"/>
    <x v="0"/>
    <x v="1"/>
    <x v="0"/>
  </r>
  <r>
    <x v="841"/>
    <x v="224"/>
    <x v="0"/>
    <x v="2"/>
    <x v="8"/>
    <x v="11"/>
    <x v="8"/>
    <x v="3"/>
    <x v="3"/>
    <x v="0"/>
    <x v="3"/>
    <x v="6"/>
    <x v="1"/>
    <x v="2"/>
    <x v="1"/>
    <x v="25"/>
    <x v="16"/>
    <x v="548"/>
    <x v="519"/>
    <x v="1057"/>
    <x v="932"/>
    <x v="143"/>
    <x v="1"/>
    <x v="1"/>
    <x v="0"/>
  </r>
  <r>
    <x v="842"/>
    <x v="231"/>
    <x v="0"/>
    <x v="2"/>
    <x v="8"/>
    <x v="11"/>
    <x v="8"/>
    <x v="3"/>
    <x v="3"/>
    <x v="1"/>
    <x v="3"/>
    <x v="6"/>
    <x v="2"/>
    <x v="4"/>
    <x v="8"/>
    <x v="22"/>
    <x v="14"/>
    <x v="620"/>
    <x v="572"/>
    <x v="639"/>
    <x v="1170"/>
    <x v="366"/>
    <x v="0"/>
    <x v="1"/>
    <x v="0"/>
  </r>
  <r>
    <x v="843"/>
    <x v="238"/>
    <x v="0"/>
    <x v="2"/>
    <x v="8"/>
    <x v="11"/>
    <x v="8"/>
    <x v="3"/>
    <x v="3"/>
    <x v="0"/>
    <x v="3"/>
    <x v="6"/>
    <x v="2"/>
    <x v="4"/>
    <x v="1"/>
    <x v="22"/>
    <x v="14"/>
    <x v="220"/>
    <x v="229"/>
    <x v="658"/>
    <x v="350"/>
    <x v="192"/>
    <x v="1"/>
    <x v="1"/>
    <x v="2"/>
  </r>
  <r>
    <x v="844"/>
    <x v="218"/>
    <x v="0"/>
    <x v="2"/>
    <x v="8"/>
    <x v="11"/>
    <x v="8"/>
    <x v="3"/>
    <x v="3"/>
    <x v="1"/>
    <x v="3"/>
    <x v="6"/>
    <x v="5"/>
    <x v="10"/>
    <x v="6"/>
    <x v="28"/>
    <x v="18"/>
    <x v="818"/>
    <x v="738"/>
    <x v="1067"/>
    <x v="1500"/>
    <x v="92"/>
    <x v="1"/>
    <x v="1"/>
    <x v="0"/>
  </r>
  <r>
    <x v="845"/>
    <x v="225"/>
    <x v="0"/>
    <x v="2"/>
    <x v="8"/>
    <x v="11"/>
    <x v="8"/>
    <x v="3"/>
    <x v="3"/>
    <x v="0"/>
    <x v="3"/>
    <x v="6"/>
    <x v="5"/>
    <x v="10"/>
    <x v="1"/>
    <x v="28"/>
    <x v="18"/>
    <x v="644"/>
    <x v="623"/>
    <x v="1140"/>
    <x v="1008"/>
    <x v="42"/>
    <x v="2"/>
    <x v="1"/>
    <x v="0"/>
  </r>
  <r>
    <x v="846"/>
    <x v="232"/>
    <x v="0"/>
    <x v="2"/>
    <x v="8"/>
    <x v="11"/>
    <x v="8"/>
    <x v="3"/>
    <x v="3"/>
    <x v="1"/>
    <x v="0"/>
    <x v="0"/>
    <x v="3"/>
    <x v="6"/>
    <x v="38"/>
    <x v="0"/>
    <x v="0"/>
    <x v="169"/>
    <x v="129"/>
    <x v="108"/>
    <x v="475"/>
    <x v="1230"/>
    <x v="1"/>
    <x v="1"/>
    <x v="2"/>
  </r>
  <r>
    <x v="847"/>
    <x v="239"/>
    <x v="0"/>
    <x v="2"/>
    <x v="8"/>
    <x v="11"/>
    <x v="8"/>
    <x v="3"/>
    <x v="3"/>
    <x v="0"/>
    <x v="0"/>
    <x v="0"/>
    <x v="3"/>
    <x v="6"/>
    <x v="14"/>
    <x v="0"/>
    <x v="0"/>
    <x v="22"/>
    <x v="21"/>
    <x v="192"/>
    <x v="63"/>
    <x v="1070"/>
    <x v="1"/>
    <x v="1"/>
    <x v="2"/>
  </r>
  <r>
    <x v="848"/>
    <x v="219"/>
    <x v="0"/>
    <x v="2"/>
    <x v="8"/>
    <x v="11"/>
    <x v="8"/>
    <x v="3"/>
    <x v="3"/>
    <x v="1"/>
    <x v="0"/>
    <x v="0"/>
    <x v="8"/>
    <x v="16"/>
    <x v="45"/>
    <x v="12"/>
    <x v="6"/>
    <x v="618"/>
    <x v="522"/>
    <x v="636"/>
    <x v="1272"/>
    <x v="1157"/>
    <x v="0"/>
    <x v="1"/>
    <x v="0"/>
  </r>
  <r>
    <x v="849"/>
    <x v="226"/>
    <x v="0"/>
    <x v="2"/>
    <x v="8"/>
    <x v="11"/>
    <x v="8"/>
    <x v="3"/>
    <x v="3"/>
    <x v="0"/>
    <x v="0"/>
    <x v="0"/>
    <x v="8"/>
    <x v="16"/>
    <x v="16"/>
    <x v="12"/>
    <x v="6"/>
    <x v="293"/>
    <x v="244"/>
    <x v="760"/>
    <x v="657"/>
    <x v="910"/>
    <x v="1"/>
    <x v="1"/>
    <x v="2"/>
  </r>
  <r>
    <x v="850"/>
    <x v="233"/>
    <x v="0"/>
    <x v="2"/>
    <x v="8"/>
    <x v="11"/>
    <x v="8"/>
    <x v="3"/>
    <x v="3"/>
    <x v="1"/>
    <x v="0"/>
    <x v="0"/>
    <x v="9"/>
    <x v="18"/>
    <x v="44"/>
    <x v="6"/>
    <x v="4"/>
    <x v="482"/>
    <x v="424"/>
    <x v="437"/>
    <x v="1011"/>
    <x v="822"/>
    <x v="1"/>
    <x v="1"/>
    <x v="2"/>
  </r>
  <r>
    <x v="851"/>
    <x v="240"/>
    <x v="0"/>
    <x v="2"/>
    <x v="8"/>
    <x v="11"/>
    <x v="8"/>
    <x v="3"/>
    <x v="3"/>
    <x v="0"/>
    <x v="0"/>
    <x v="0"/>
    <x v="9"/>
    <x v="18"/>
    <x v="16"/>
    <x v="6"/>
    <x v="4"/>
    <x v="176"/>
    <x v="168"/>
    <x v="602"/>
    <x v="370"/>
    <x v="551"/>
    <x v="1"/>
    <x v="1"/>
    <x v="2"/>
  </r>
  <r>
    <x v="852"/>
    <x v="220"/>
    <x v="0"/>
    <x v="2"/>
    <x v="8"/>
    <x v="11"/>
    <x v="8"/>
    <x v="3"/>
    <x v="3"/>
    <x v="1"/>
    <x v="2"/>
    <x v="4"/>
    <x v="0"/>
    <x v="0"/>
    <x v="18"/>
    <x v="15"/>
    <x v="10"/>
    <x v="407"/>
    <x v="350"/>
    <x v="334"/>
    <x v="894"/>
    <x v="951"/>
    <x v="1"/>
    <x v="1"/>
    <x v="2"/>
  </r>
  <r>
    <x v="853"/>
    <x v="227"/>
    <x v="0"/>
    <x v="2"/>
    <x v="8"/>
    <x v="11"/>
    <x v="8"/>
    <x v="3"/>
    <x v="3"/>
    <x v="0"/>
    <x v="2"/>
    <x v="4"/>
    <x v="0"/>
    <x v="0"/>
    <x v="6"/>
    <x v="15"/>
    <x v="10"/>
    <x v="130"/>
    <x v="116"/>
    <x v="503"/>
    <x v="282"/>
    <x v="687"/>
    <x v="1"/>
    <x v="1"/>
    <x v="2"/>
  </r>
  <r>
    <x v="854"/>
    <x v="234"/>
    <x v="0"/>
    <x v="2"/>
    <x v="8"/>
    <x v="11"/>
    <x v="8"/>
    <x v="3"/>
    <x v="3"/>
    <x v="1"/>
    <x v="2"/>
    <x v="4"/>
    <x v="4"/>
    <x v="8"/>
    <x v="17"/>
    <x v="9"/>
    <x v="7"/>
    <x v="274"/>
    <x v="258"/>
    <x v="195"/>
    <x v="576"/>
    <x v="647"/>
    <x v="1"/>
    <x v="1"/>
    <x v="2"/>
  </r>
  <r>
    <x v="855"/>
    <x v="241"/>
    <x v="0"/>
    <x v="2"/>
    <x v="8"/>
    <x v="11"/>
    <x v="8"/>
    <x v="3"/>
    <x v="3"/>
    <x v="0"/>
    <x v="2"/>
    <x v="4"/>
    <x v="4"/>
    <x v="8"/>
    <x v="6"/>
    <x v="9"/>
    <x v="7"/>
    <x v="65"/>
    <x v="71"/>
    <x v="335"/>
    <x v="111"/>
    <x v="406"/>
    <x v="1"/>
    <x v="1"/>
    <x v="2"/>
  </r>
  <r>
    <x v="856"/>
    <x v="221"/>
    <x v="0"/>
    <x v="2"/>
    <x v="8"/>
    <x v="11"/>
    <x v="8"/>
    <x v="3"/>
    <x v="3"/>
    <x v="1"/>
    <x v="1"/>
    <x v="2"/>
    <x v="7"/>
    <x v="14"/>
    <x v="19"/>
    <x v="18"/>
    <x v="12"/>
    <x v="449"/>
    <x v="421"/>
    <x v="394"/>
    <x v="889"/>
    <x v="502"/>
    <x v="1"/>
    <x v="1"/>
    <x v="2"/>
  </r>
  <r>
    <x v="857"/>
    <x v="228"/>
    <x v="0"/>
    <x v="2"/>
    <x v="8"/>
    <x v="11"/>
    <x v="8"/>
    <x v="3"/>
    <x v="3"/>
    <x v="0"/>
    <x v="1"/>
    <x v="2"/>
    <x v="7"/>
    <x v="14"/>
    <x v="8"/>
    <x v="18"/>
    <x v="12"/>
    <x v="207"/>
    <x v="206"/>
    <x v="649"/>
    <x v="369"/>
    <x v="294"/>
    <x v="1"/>
    <x v="1"/>
    <x v="2"/>
  </r>
  <r>
    <x v="858"/>
    <x v="235"/>
    <x v="0"/>
    <x v="2"/>
    <x v="8"/>
    <x v="11"/>
    <x v="8"/>
    <x v="3"/>
    <x v="3"/>
    <x v="1"/>
    <x v="1"/>
    <x v="2"/>
    <x v="6"/>
    <x v="12"/>
    <x v="26"/>
    <x v="3"/>
    <x v="2"/>
    <x v="136"/>
    <x v="115"/>
    <x v="80"/>
    <x v="353"/>
    <x v="1089"/>
    <x v="1"/>
    <x v="1"/>
    <x v="2"/>
  </r>
  <r>
    <x v="859"/>
    <x v="242"/>
    <x v="0"/>
    <x v="2"/>
    <x v="8"/>
    <x v="11"/>
    <x v="8"/>
    <x v="3"/>
    <x v="3"/>
    <x v="0"/>
    <x v="1"/>
    <x v="2"/>
    <x v="6"/>
    <x v="12"/>
    <x v="9"/>
    <x v="3"/>
    <x v="2"/>
    <x v="13"/>
    <x v="16"/>
    <x v="147"/>
    <x v="38"/>
    <x v="855"/>
    <x v="1"/>
    <x v="1"/>
    <x v="2"/>
  </r>
  <r>
    <x v="860"/>
    <x v="222"/>
    <x v="0"/>
    <x v="2"/>
    <x v="8"/>
    <x v="11"/>
    <x v="8"/>
    <x v="2"/>
    <x v="2"/>
    <x v="1"/>
    <x v="3"/>
    <x v="6"/>
    <x v="1"/>
    <x v="2"/>
    <x v="4"/>
    <x v="25"/>
    <x v="16"/>
    <x v="739"/>
    <x v="671"/>
    <x v="839"/>
    <x v="1361"/>
    <x v="261"/>
    <x v="0"/>
    <x v="1"/>
    <x v="0"/>
  </r>
  <r>
    <x v="861"/>
    <x v="229"/>
    <x v="0"/>
    <x v="2"/>
    <x v="8"/>
    <x v="11"/>
    <x v="8"/>
    <x v="2"/>
    <x v="2"/>
    <x v="0"/>
    <x v="3"/>
    <x v="6"/>
    <x v="1"/>
    <x v="2"/>
    <x v="0"/>
    <x v="25"/>
    <x v="16"/>
    <x v="407"/>
    <x v="404"/>
    <x v="912"/>
    <x v="684"/>
    <x v="146"/>
    <x v="1"/>
    <x v="1"/>
    <x v="2"/>
  </r>
  <r>
    <x v="862"/>
    <x v="236"/>
    <x v="0"/>
    <x v="2"/>
    <x v="8"/>
    <x v="11"/>
    <x v="8"/>
    <x v="2"/>
    <x v="2"/>
    <x v="1"/>
    <x v="3"/>
    <x v="6"/>
    <x v="2"/>
    <x v="4"/>
    <x v="5"/>
    <x v="22"/>
    <x v="14"/>
    <x v="500"/>
    <x v="476"/>
    <x v="461"/>
    <x v="937"/>
    <x v="369"/>
    <x v="0"/>
    <x v="1"/>
    <x v="0"/>
  </r>
  <r>
    <x v="863"/>
    <x v="216"/>
    <x v="0"/>
    <x v="2"/>
    <x v="8"/>
    <x v="11"/>
    <x v="8"/>
    <x v="2"/>
    <x v="2"/>
    <x v="0"/>
    <x v="3"/>
    <x v="6"/>
    <x v="2"/>
    <x v="4"/>
    <x v="1"/>
    <x v="22"/>
    <x v="14"/>
    <x v="220"/>
    <x v="229"/>
    <x v="658"/>
    <x v="350"/>
    <x v="192"/>
    <x v="1"/>
    <x v="1"/>
    <x v="2"/>
  </r>
  <r>
    <x v="864"/>
    <x v="223"/>
    <x v="0"/>
    <x v="2"/>
    <x v="8"/>
    <x v="11"/>
    <x v="8"/>
    <x v="2"/>
    <x v="2"/>
    <x v="1"/>
    <x v="3"/>
    <x v="6"/>
    <x v="5"/>
    <x v="10"/>
    <x v="6"/>
    <x v="28"/>
    <x v="18"/>
    <x v="818"/>
    <x v="738"/>
    <x v="1067"/>
    <x v="1500"/>
    <x v="92"/>
    <x v="1"/>
    <x v="1"/>
    <x v="0"/>
  </r>
  <r>
    <x v="865"/>
    <x v="230"/>
    <x v="0"/>
    <x v="2"/>
    <x v="8"/>
    <x v="11"/>
    <x v="8"/>
    <x v="2"/>
    <x v="2"/>
    <x v="0"/>
    <x v="3"/>
    <x v="6"/>
    <x v="5"/>
    <x v="10"/>
    <x v="0"/>
    <x v="28"/>
    <x v="18"/>
    <x v="517"/>
    <x v="521"/>
    <x v="1033"/>
    <x v="750"/>
    <x v="47"/>
    <x v="2"/>
    <x v="1"/>
    <x v="0"/>
  </r>
  <r>
    <x v="866"/>
    <x v="237"/>
    <x v="0"/>
    <x v="2"/>
    <x v="8"/>
    <x v="11"/>
    <x v="8"/>
    <x v="2"/>
    <x v="2"/>
    <x v="1"/>
    <x v="0"/>
    <x v="0"/>
    <x v="3"/>
    <x v="6"/>
    <x v="25"/>
    <x v="0"/>
    <x v="0"/>
    <x v="83"/>
    <x v="65"/>
    <x v="42"/>
    <x v="248"/>
    <x v="1238"/>
    <x v="1"/>
    <x v="1"/>
    <x v="2"/>
  </r>
  <r>
    <x v="867"/>
    <x v="217"/>
    <x v="0"/>
    <x v="2"/>
    <x v="8"/>
    <x v="11"/>
    <x v="8"/>
    <x v="2"/>
    <x v="2"/>
    <x v="0"/>
    <x v="0"/>
    <x v="0"/>
    <x v="3"/>
    <x v="6"/>
    <x v="12"/>
    <x v="0"/>
    <x v="0"/>
    <x v="15"/>
    <x v="13"/>
    <x v="151"/>
    <x v="45"/>
    <x v="1077"/>
    <x v="1"/>
    <x v="1"/>
    <x v="2"/>
  </r>
  <r>
    <x v="868"/>
    <x v="224"/>
    <x v="0"/>
    <x v="2"/>
    <x v="8"/>
    <x v="11"/>
    <x v="8"/>
    <x v="2"/>
    <x v="2"/>
    <x v="1"/>
    <x v="0"/>
    <x v="0"/>
    <x v="8"/>
    <x v="16"/>
    <x v="24"/>
    <x v="12"/>
    <x v="6"/>
    <x v="414"/>
    <x v="346"/>
    <x v="348"/>
    <x v="938"/>
    <x v="1137"/>
    <x v="1"/>
    <x v="1"/>
    <x v="2"/>
  </r>
  <r>
    <x v="869"/>
    <x v="231"/>
    <x v="0"/>
    <x v="2"/>
    <x v="8"/>
    <x v="11"/>
    <x v="8"/>
    <x v="2"/>
    <x v="2"/>
    <x v="0"/>
    <x v="0"/>
    <x v="0"/>
    <x v="8"/>
    <x v="16"/>
    <x v="8"/>
    <x v="12"/>
    <x v="6"/>
    <x v="126"/>
    <x v="106"/>
    <x v="496"/>
    <x v="302"/>
    <x v="908"/>
    <x v="1"/>
    <x v="1"/>
    <x v="2"/>
  </r>
  <r>
    <x v="870"/>
    <x v="238"/>
    <x v="0"/>
    <x v="2"/>
    <x v="8"/>
    <x v="11"/>
    <x v="8"/>
    <x v="2"/>
    <x v="2"/>
    <x v="1"/>
    <x v="0"/>
    <x v="0"/>
    <x v="9"/>
    <x v="18"/>
    <x v="30"/>
    <x v="6"/>
    <x v="4"/>
    <x v="358"/>
    <x v="316"/>
    <x v="275"/>
    <x v="779"/>
    <x v="811"/>
    <x v="1"/>
    <x v="1"/>
    <x v="2"/>
  </r>
  <r>
    <x v="871"/>
    <x v="218"/>
    <x v="0"/>
    <x v="2"/>
    <x v="8"/>
    <x v="11"/>
    <x v="8"/>
    <x v="2"/>
    <x v="2"/>
    <x v="0"/>
    <x v="0"/>
    <x v="0"/>
    <x v="9"/>
    <x v="18"/>
    <x v="8"/>
    <x v="6"/>
    <x v="4"/>
    <x v="59"/>
    <x v="62"/>
    <x v="314"/>
    <x v="114"/>
    <x v="551"/>
    <x v="1"/>
    <x v="1"/>
    <x v="2"/>
  </r>
  <r>
    <x v="872"/>
    <x v="225"/>
    <x v="0"/>
    <x v="2"/>
    <x v="8"/>
    <x v="11"/>
    <x v="8"/>
    <x v="2"/>
    <x v="2"/>
    <x v="1"/>
    <x v="2"/>
    <x v="4"/>
    <x v="0"/>
    <x v="0"/>
    <x v="11"/>
    <x v="15"/>
    <x v="10"/>
    <x v="262"/>
    <x v="230"/>
    <x v="186"/>
    <x v="601"/>
    <x v="964"/>
    <x v="1"/>
    <x v="1"/>
    <x v="2"/>
  </r>
  <r>
    <x v="873"/>
    <x v="232"/>
    <x v="0"/>
    <x v="2"/>
    <x v="8"/>
    <x v="11"/>
    <x v="8"/>
    <x v="2"/>
    <x v="2"/>
    <x v="0"/>
    <x v="2"/>
    <x v="4"/>
    <x v="0"/>
    <x v="0"/>
    <x v="4"/>
    <x v="15"/>
    <x v="10"/>
    <x v="76"/>
    <x v="70"/>
    <x v="365"/>
    <x v="158"/>
    <x v="687"/>
    <x v="1"/>
    <x v="1"/>
    <x v="2"/>
  </r>
  <r>
    <x v="874"/>
    <x v="239"/>
    <x v="0"/>
    <x v="2"/>
    <x v="8"/>
    <x v="11"/>
    <x v="8"/>
    <x v="2"/>
    <x v="2"/>
    <x v="1"/>
    <x v="2"/>
    <x v="4"/>
    <x v="4"/>
    <x v="8"/>
    <x v="10"/>
    <x v="9"/>
    <x v="7"/>
    <x v="144"/>
    <x v="144"/>
    <x v="87"/>
    <x v="310"/>
    <x v="664"/>
    <x v="1"/>
    <x v="1"/>
    <x v="2"/>
  </r>
  <r>
    <x v="875"/>
    <x v="219"/>
    <x v="0"/>
    <x v="2"/>
    <x v="8"/>
    <x v="11"/>
    <x v="8"/>
    <x v="2"/>
    <x v="2"/>
    <x v="0"/>
    <x v="2"/>
    <x v="4"/>
    <x v="4"/>
    <x v="8"/>
    <x v="3"/>
    <x v="9"/>
    <x v="7"/>
    <x v="18"/>
    <x v="28"/>
    <x v="179"/>
    <x v="34"/>
    <x v="400"/>
    <x v="1"/>
    <x v="1"/>
    <x v="2"/>
  </r>
  <r>
    <x v="876"/>
    <x v="226"/>
    <x v="0"/>
    <x v="2"/>
    <x v="8"/>
    <x v="11"/>
    <x v="8"/>
    <x v="2"/>
    <x v="2"/>
    <x v="1"/>
    <x v="1"/>
    <x v="2"/>
    <x v="7"/>
    <x v="14"/>
    <x v="18"/>
    <x v="18"/>
    <x v="12"/>
    <x v="429"/>
    <x v="409"/>
    <x v="375"/>
    <x v="861"/>
    <x v="509"/>
    <x v="1"/>
    <x v="1"/>
    <x v="2"/>
  </r>
  <r>
    <x v="877"/>
    <x v="233"/>
    <x v="0"/>
    <x v="2"/>
    <x v="8"/>
    <x v="11"/>
    <x v="8"/>
    <x v="2"/>
    <x v="2"/>
    <x v="0"/>
    <x v="1"/>
    <x v="2"/>
    <x v="7"/>
    <x v="14"/>
    <x v="6"/>
    <x v="18"/>
    <x v="12"/>
    <x v="150"/>
    <x v="157"/>
    <x v="539"/>
    <x v="243"/>
    <x v="294"/>
    <x v="1"/>
    <x v="1"/>
    <x v="2"/>
  </r>
  <r>
    <x v="878"/>
    <x v="240"/>
    <x v="0"/>
    <x v="2"/>
    <x v="8"/>
    <x v="11"/>
    <x v="8"/>
    <x v="2"/>
    <x v="2"/>
    <x v="1"/>
    <x v="1"/>
    <x v="2"/>
    <x v="6"/>
    <x v="12"/>
    <x v="16"/>
    <x v="3"/>
    <x v="2"/>
    <x v="54"/>
    <x v="51"/>
    <x v="24"/>
    <x v="154"/>
    <x v="1088"/>
    <x v="1"/>
    <x v="1"/>
    <x v="2"/>
  </r>
  <r>
    <x v="879"/>
    <x v="220"/>
    <x v="0"/>
    <x v="2"/>
    <x v="8"/>
    <x v="11"/>
    <x v="8"/>
    <x v="2"/>
    <x v="2"/>
    <x v="0"/>
    <x v="1"/>
    <x v="2"/>
    <x v="6"/>
    <x v="12"/>
    <x v="4"/>
    <x v="3"/>
    <x v="2"/>
    <x v="1"/>
    <x v="1"/>
    <x v="40"/>
    <x v="2"/>
    <x v="854"/>
    <x v="2"/>
    <x v="1"/>
    <x v="1"/>
  </r>
  <r>
    <x v="880"/>
    <x v="227"/>
    <x v="0"/>
    <x v="2"/>
    <x v="8"/>
    <x v="11"/>
    <x v="8"/>
    <x v="4"/>
    <x v="4"/>
    <x v="1"/>
    <x v="3"/>
    <x v="6"/>
    <x v="1"/>
    <x v="2"/>
    <x v="4"/>
    <x v="25"/>
    <x v="16"/>
    <x v="739"/>
    <x v="671"/>
    <x v="839"/>
    <x v="1361"/>
    <x v="261"/>
    <x v="0"/>
    <x v="1"/>
    <x v="0"/>
  </r>
  <r>
    <x v="881"/>
    <x v="234"/>
    <x v="0"/>
    <x v="2"/>
    <x v="8"/>
    <x v="11"/>
    <x v="8"/>
    <x v="4"/>
    <x v="4"/>
    <x v="0"/>
    <x v="3"/>
    <x v="6"/>
    <x v="1"/>
    <x v="2"/>
    <x v="1"/>
    <x v="25"/>
    <x v="16"/>
    <x v="548"/>
    <x v="519"/>
    <x v="1057"/>
    <x v="932"/>
    <x v="143"/>
    <x v="1"/>
    <x v="1"/>
    <x v="0"/>
  </r>
  <r>
    <x v="882"/>
    <x v="241"/>
    <x v="0"/>
    <x v="2"/>
    <x v="8"/>
    <x v="11"/>
    <x v="8"/>
    <x v="4"/>
    <x v="4"/>
    <x v="1"/>
    <x v="3"/>
    <x v="6"/>
    <x v="2"/>
    <x v="4"/>
    <x v="5"/>
    <x v="22"/>
    <x v="14"/>
    <x v="500"/>
    <x v="476"/>
    <x v="461"/>
    <x v="937"/>
    <x v="369"/>
    <x v="0"/>
    <x v="1"/>
    <x v="0"/>
  </r>
  <r>
    <x v="883"/>
    <x v="221"/>
    <x v="0"/>
    <x v="2"/>
    <x v="8"/>
    <x v="11"/>
    <x v="8"/>
    <x v="4"/>
    <x v="4"/>
    <x v="0"/>
    <x v="3"/>
    <x v="6"/>
    <x v="2"/>
    <x v="4"/>
    <x v="1"/>
    <x v="22"/>
    <x v="14"/>
    <x v="220"/>
    <x v="229"/>
    <x v="658"/>
    <x v="350"/>
    <x v="192"/>
    <x v="1"/>
    <x v="1"/>
    <x v="2"/>
  </r>
  <r>
    <x v="884"/>
    <x v="228"/>
    <x v="0"/>
    <x v="2"/>
    <x v="8"/>
    <x v="11"/>
    <x v="8"/>
    <x v="4"/>
    <x v="4"/>
    <x v="1"/>
    <x v="3"/>
    <x v="6"/>
    <x v="5"/>
    <x v="10"/>
    <x v="4"/>
    <x v="28"/>
    <x v="18"/>
    <x v="793"/>
    <x v="724"/>
    <x v="983"/>
    <x v="1405"/>
    <x v="89"/>
    <x v="1"/>
    <x v="1"/>
    <x v="0"/>
  </r>
  <r>
    <x v="885"/>
    <x v="235"/>
    <x v="0"/>
    <x v="2"/>
    <x v="8"/>
    <x v="11"/>
    <x v="8"/>
    <x v="4"/>
    <x v="4"/>
    <x v="0"/>
    <x v="3"/>
    <x v="6"/>
    <x v="5"/>
    <x v="10"/>
    <x v="0"/>
    <x v="28"/>
    <x v="18"/>
    <x v="517"/>
    <x v="521"/>
    <x v="1033"/>
    <x v="750"/>
    <x v="47"/>
    <x v="2"/>
    <x v="1"/>
    <x v="0"/>
  </r>
  <r>
    <x v="886"/>
    <x v="242"/>
    <x v="0"/>
    <x v="2"/>
    <x v="8"/>
    <x v="11"/>
    <x v="8"/>
    <x v="4"/>
    <x v="4"/>
    <x v="1"/>
    <x v="0"/>
    <x v="0"/>
    <x v="3"/>
    <x v="6"/>
    <x v="24"/>
    <x v="0"/>
    <x v="0"/>
    <x v="77"/>
    <x v="61"/>
    <x v="37"/>
    <x v="233"/>
    <x v="1239"/>
    <x v="1"/>
    <x v="1"/>
    <x v="2"/>
  </r>
  <r>
    <x v="887"/>
    <x v="222"/>
    <x v="0"/>
    <x v="2"/>
    <x v="8"/>
    <x v="11"/>
    <x v="8"/>
    <x v="4"/>
    <x v="4"/>
    <x v="0"/>
    <x v="0"/>
    <x v="0"/>
    <x v="3"/>
    <x v="6"/>
    <x v="10"/>
    <x v="0"/>
    <x v="0"/>
    <x v="8"/>
    <x v="9"/>
    <x v="119"/>
    <x v="29"/>
    <x v="1070"/>
    <x v="1"/>
    <x v="1"/>
    <x v="2"/>
  </r>
  <r>
    <x v="888"/>
    <x v="229"/>
    <x v="0"/>
    <x v="2"/>
    <x v="8"/>
    <x v="11"/>
    <x v="8"/>
    <x v="4"/>
    <x v="4"/>
    <x v="1"/>
    <x v="0"/>
    <x v="0"/>
    <x v="8"/>
    <x v="16"/>
    <x v="28"/>
    <x v="12"/>
    <x v="6"/>
    <x v="466"/>
    <x v="393"/>
    <x v="417"/>
    <x v="1044"/>
    <x v="1142"/>
    <x v="1"/>
    <x v="1"/>
    <x v="2"/>
  </r>
  <r>
    <x v="889"/>
    <x v="236"/>
    <x v="0"/>
    <x v="2"/>
    <x v="8"/>
    <x v="11"/>
    <x v="8"/>
    <x v="4"/>
    <x v="4"/>
    <x v="0"/>
    <x v="0"/>
    <x v="0"/>
    <x v="8"/>
    <x v="16"/>
    <x v="10"/>
    <x v="12"/>
    <x v="6"/>
    <x v="173"/>
    <x v="143"/>
    <x v="593"/>
    <x v="416"/>
    <x v="916"/>
    <x v="1"/>
    <x v="1"/>
    <x v="2"/>
  </r>
  <r>
    <x v="890"/>
    <x v="216"/>
    <x v="0"/>
    <x v="2"/>
    <x v="8"/>
    <x v="11"/>
    <x v="8"/>
    <x v="4"/>
    <x v="4"/>
    <x v="1"/>
    <x v="0"/>
    <x v="0"/>
    <x v="9"/>
    <x v="18"/>
    <x v="28"/>
    <x v="6"/>
    <x v="4"/>
    <x v="342"/>
    <x v="297"/>
    <x v="245"/>
    <x v="737"/>
    <x v="823"/>
    <x v="1"/>
    <x v="1"/>
    <x v="2"/>
  </r>
  <r>
    <x v="891"/>
    <x v="223"/>
    <x v="0"/>
    <x v="2"/>
    <x v="8"/>
    <x v="11"/>
    <x v="8"/>
    <x v="4"/>
    <x v="4"/>
    <x v="0"/>
    <x v="0"/>
    <x v="0"/>
    <x v="9"/>
    <x v="18"/>
    <x v="12"/>
    <x v="6"/>
    <x v="4"/>
    <x v="118"/>
    <x v="112"/>
    <x v="473"/>
    <x v="234"/>
    <x v="551"/>
    <x v="1"/>
    <x v="1"/>
    <x v="2"/>
  </r>
  <r>
    <x v="892"/>
    <x v="230"/>
    <x v="0"/>
    <x v="2"/>
    <x v="8"/>
    <x v="11"/>
    <x v="8"/>
    <x v="4"/>
    <x v="4"/>
    <x v="1"/>
    <x v="2"/>
    <x v="4"/>
    <x v="0"/>
    <x v="0"/>
    <x v="15"/>
    <x v="15"/>
    <x v="10"/>
    <x v="351"/>
    <x v="300"/>
    <x v="262"/>
    <x v="792"/>
    <x v="957"/>
    <x v="1"/>
    <x v="1"/>
    <x v="2"/>
  </r>
  <r>
    <x v="893"/>
    <x v="237"/>
    <x v="0"/>
    <x v="2"/>
    <x v="8"/>
    <x v="11"/>
    <x v="8"/>
    <x v="4"/>
    <x v="4"/>
    <x v="0"/>
    <x v="2"/>
    <x v="4"/>
    <x v="0"/>
    <x v="0"/>
    <x v="3"/>
    <x v="15"/>
    <x v="10"/>
    <x v="48"/>
    <x v="49"/>
    <x v="284"/>
    <x v="104"/>
    <x v="687"/>
    <x v="1"/>
    <x v="1"/>
    <x v="2"/>
  </r>
  <r>
    <x v="894"/>
    <x v="217"/>
    <x v="0"/>
    <x v="2"/>
    <x v="8"/>
    <x v="11"/>
    <x v="8"/>
    <x v="4"/>
    <x v="4"/>
    <x v="1"/>
    <x v="2"/>
    <x v="4"/>
    <x v="4"/>
    <x v="8"/>
    <x v="10"/>
    <x v="9"/>
    <x v="7"/>
    <x v="144"/>
    <x v="144"/>
    <x v="87"/>
    <x v="310"/>
    <x v="664"/>
    <x v="1"/>
    <x v="1"/>
    <x v="2"/>
  </r>
  <r>
    <x v="895"/>
    <x v="224"/>
    <x v="0"/>
    <x v="2"/>
    <x v="8"/>
    <x v="11"/>
    <x v="8"/>
    <x v="4"/>
    <x v="4"/>
    <x v="0"/>
    <x v="2"/>
    <x v="4"/>
    <x v="4"/>
    <x v="8"/>
    <x v="4"/>
    <x v="9"/>
    <x v="7"/>
    <x v="34"/>
    <x v="41"/>
    <x v="224"/>
    <x v="53"/>
    <x v="403"/>
    <x v="1"/>
    <x v="1"/>
    <x v="2"/>
  </r>
  <r>
    <x v="896"/>
    <x v="231"/>
    <x v="0"/>
    <x v="2"/>
    <x v="8"/>
    <x v="11"/>
    <x v="8"/>
    <x v="4"/>
    <x v="4"/>
    <x v="1"/>
    <x v="1"/>
    <x v="2"/>
    <x v="7"/>
    <x v="14"/>
    <x v="13"/>
    <x v="18"/>
    <x v="12"/>
    <x v="342"/>
    <x v="319"/>
    <x v="245"/>
    <x v="671"/>
    <x v="509"/>
    <x v="1"/>
    <x v="1"/>
    <x v="2"/>
  </r>
  <r>
    <x v="897"/>
    <x v="238"/>
    <x v="0"/>
    <x v="2"/>
    <x v="8"/>
    <x v="11"/>
    <x v="8"/>
    <x v="4"/>
    <x v="4"/>
    <x v="0"/>
    <x v="1"/>
    <x v="2"/>
    <x v="7"/>
    <x v="14"/>
    <x v="4"/>
    <x v="18"/>
    <x v="12"/>
    <x v="89"/>
    <x v="96"/>
    <x v="396"/>
    <x v="133"/>
    <x v="294"/>
    <x v="1"/>
    <x v="1"/>
    <x v="2"/>
  </r>
  <r>
    <x v="898"/>
    <x v="218"/>
    <x v="0"/>
    <x v="2"/>
    <x v="8"/>
    <x v="11"/>
    <x v="8"/>
    <x v="4"/>
    <x v="4"/>
    <x v="1"/>
    <x v="1"/>
    <x v="2"/>
    <x v="6"/>
    <x v="12"/>
    <x v="16"/>
    <x v="3"/>
    <x v="2"/>
    <x v="54"/>
    <x v="51"/>
    <x v="24"/>
    <x v="154"/>
    <x v="1088"/>
    <x v="1"/>
    <x v="1"/>
    <x v="2"/>
  </r>
  <r>
    <x v="899"/>
    <x v="225"/>
    <x v="0"/>
    <x v="2"/>
    <x v="8"/>
    <x v="11"/>
    <x v="8"/>
    <x v="4"/>
    <x v="4"/>
    <x v="0"/>
    <x v="1"/>
    <x v="2"/>
    <x v="6"/>
    <x v="12"/>
    <x v="6"/>
    <x v="3"/>
    <x v="2"/>
    <x v="5"/>
    <x v="6"/>
    <x v="81"/>
    <x v="11"/>
    <x v="859"/>
    <x v="2"/>
    <x v="1"/>
    <x v="1"/>
  </r>
  <r>
    <x v="900"/>
    <x v="259"/>
    <x v="0"/>
    <x v="3"/>
    <x v="9"/>
    <x v="10"/>
    <x v="9"/>
    <x v="0"/>
    <x v="0"/>
    <x v="1"/>
    <x v="3"/>
    <x v="6"/>
    <x v="1"/>
    <x v="2"/>
    <x v="21"/>
    <x v="25"/>
    <x v="16"/>
    <x v="867"/>
    <x v="770"/>
    <x v="1223"/>
    <x v="1610"/>
    <x v="267"/>
    <x v="0"/>
    <x v="1"/>
    <x v="0"/>
  </r>
  <r>
    <x v="901"/>
    <x v="266"/>
    <x v="0"/>
    <x v="3"/>
    <x v="9"/>
    <x v="10"/>
    <x v="9"/>
    <x v="0"/>
    <x v="0"/>
    <x v="0"/>
    <x v="3"/>
    <x v="6"/>
    <x v="1"/>
    <x v="2"/>
    <x v="7"/>
    <x v="25"/>
    <x v="16"/>
    <x v="804"/>
    <x v="721"/>
    <x v="1279"/>
    <x v="1466"/>
    <x v="129"/>
    <x v="1"/>
    <x v="1"/>
    <x v="0"/>
  </r>
  <r>
    <x v="902"/>
    <x v="246"/>
    <x v="0"/>
    <x v="3"/>
    <x v="9"/>
    <x v="10"/>
    <x v="9"/>
    <x v="0"/>
    <x v="0"/>
    <x v="1"/>
    <x v="3"/>
    <x v="6"/>
    <x v="2"/>
    <x v="4"/>
    <x v="17"/>
    <x v="22"/>
    <x v="14"/>
    <x v="771"/>
    <x v="697"/>
    <x v="914"/>
    <x v="1439"/>
    <x v="362"/>
    <x v="0"/>
    <x v="1"/>
    <x v="0"/>
  </r>
  <r>
    <x v="903"/>
    <x v="253"/>
    <x v="0"/>
    <x v="3"/>
    <x v="9"/>
    <x v="10"/>
    <x v="9"/>
    <x v="0"/>
    <x v="0"/>
    <x v="0"/>
    <x v="3"/>
    <x v="6"/>
    <x v="2"/>
    <x v="4"/>
    <x v="6"/>
    <x v="22"/>
    <x v="14"/>
    <x v="548"/>
    <x v="514"/>
    <x v="1070"/>
    <x v="964"/>
    <x v="190"/>
    <x v="1"/>
    <x v="1"/>
    <x v="0"/>
  </r>
  <r>
    <x v="904"/>
    <x v="260"/>
    <x v="0"/>
    <x v="3"/>
    <x v="9"/>
    <x v="10"/>
    <x v="9"/>
    <x v="0"/>
    <x v="0"/>
    <x v="1"/>
    <x v="3"/>
    <x v="6"/>
    <x v="5"/>
    <x v="10"/>
    <x v="19"/>
    <x v="28"/>
    <x v="18"/>
    <x v="880"/>
    <x v="784"/>
    <x v="1261"/>
    <x v="1612"/>
    <x v="98"/>
    <x v="1"/>
    <x v="1"/>
    <x v="0"/>
  </r>
  <r>
    <x v="905"/>
    <x v="267"/>
    <x v="0"/>
    <x v="3"/>
    <x v="9"/>
    <x v="10"/>
    <x v="9"/>
    <x v="0"/>
    <x v="0"/>
    <x v="0"/>
    <x v="3"/>
    <x v="6"/>
    <x v="5"/>
    <x v="10"/>
    <x v="7"/>
    <x v="28"/>
    <x v="18"/>
    <x v="829"/>
    <x v="744"/>
    <x v="1304"/>
    <x v="1495"/>
    <x v="27"/>
    <x v="2"/>
    <x v="1"/>
    <x v="0"/>
  </r>
  <r>
    <x v="906"/>
    <x v="247"/>
    <x v="0"/>
    <x v="3"/>
    <x v="9"/>
    <x v="10"/>
    <x v="9"/>
    <x v="0"/>
    <x v="0"/>
    <x v="1"/>
    <x v="0"/>
    <x v="0"/>
    <x v="3"/>
    <x v="6"/>
    <x v="100"/>
    <x v="0"/>
    <x v="0"/>
    <x v="478"/>
    <x v="387"/>
    <x v="429"/>
    <x v="1091"/>
    <x v="1228"/>
    <x v="1"/>
    <x v="1"/>
    <x v="2"/>
  </r>
  <r>
    <x v="907"/>
    <x v="254"/>
    <x v="0"/>
    <x v="3"/>
    <x v="9"/>
    <x v="10"/>
    <x v="9"/>
    <x v="0"/>
    <x v="0"/>
    <x v="0"/>
    <x v="0"/>
    <x v="0"/>
    <x v="3"/>
    <x v="6"/>
    <x v="36"/>
    <x v="0"/>
    <x v="0"/>
    <x v="157"/>
    <x v="117"/>
    <x v="581"/>
    <x v="403"/>
    <x v="1024"/>
    <x v="1"/>
    <x v="1"/>
    <x v="2"/>
  </r>
  <r>
    <x v="908"/>
    <x v="261"/>
    <x v="0"/>
    <x v="3"/>
    <x v="9"/>
    <x v="10"/>
    <x v="9"/>
    <x v="0"/>
    <x v="0"/>
    <x v="1"/>
    <x v="0"/>
    <x v="0"/>
    <x v="8"/>
    <x v="16"/>
    <x v="103"/>
    <x v="12"/>
    <x v="6"/>
    <x v="800"/>
    <x v="699"/>
    <x v="1002"/>
    <x v="1544"/>
    <x v="1150"/>
    <x v="0"/>
    <x v="1"/>
    <x v="0"/>
  </r>
  <r>
    <x v="909"/>
    <x v="268"/>
    <x v="0"/>
    <x v="3"/>
    <x v="9"/>
    <x v="10"/>
    <x v="9"/>
    <x v="0"/>
    <x v="0"/>
    <x v="0"/>
    <x v="0"/>
    <x v="0"/>
    <x v="8"/>
    <x v="16"/>
    <x v="41"/>
    <x v="12"/>
    <x v="6"/>
    <x v="585"/>
    <x v="499"/>
    <x v="1100"/>
    <x v="1209"/>
    <x v="890"/>
    <x v="0"/>
    <x v="1"/>
    <x v="0"/>
  </r>
  <r>
    <x v="910"/>
    <x v="248"/>
    <x v="0"/>
    <x v="3"/>
    <x v="9"/>
    <x v="10"/>
    <x v="9"/>
    <x v="0"/>
    <x v="0"/>
    <x v="1"/>
    <x v="0"/>
    <x v="0"/>
    <x v="9"/>
    <x v="18"/>
    <x v="107"/>
    <x v="6"/>
    <x v="4"/>
    <x v="746"/>
    <x v="658"/>
    <x v="850"/>
    <x v="1442"/>
    <x v="817"/>
    <x v="0"/>
    <x v="1"/>
    <x v="0"/>
  </r>
  <r>
    <x v="911"/>
    <x v="255"/>
    <x v="0"/>
    <x v="3"/>
    <x v="9"/>
    <x v="10"/>
    <x v="9"/>
    <x v="0"/>
    <x v="0"/>
    <x v="0"/>
    <x v="0"/>
    <x v="0"/>
    <x v="9"/>
    <x v="18"/>
    <x v="36"/>
    <x v="6"/>
    <x v="4"/>
    <x v="414"/>
    <x v="371"/>
    <x v="943"/>
    <x v="836"/>
    <x v="530"/>
    <x v="1"/>
    <x v="1"/>
    <x v="2"/>
  </r>
  <r>
    <x v="912"/>
    <x v="262"/>
    <x v="0"/>
    <x v="3"/>
    <x v="9"/>
    <x v="10"/>
    <x v="9"/>
    <x v="0"/>
    <x v="0"/>
    <x v="1"/>
    <x v="2"/>
    <x v="4"/>
    <x v="0"/>
    <x v="0"/>
    <x v="41"/>
    <x v="15"/>
    <x v="10"/>
    <x v="652"/>
    <x v="573"/>
    <x v="688"/>
    <x v="1311"/>
    <x v="956"/>
    <x v="0"/>
    <x v="1"/>
    <x v="0"/>
  </r>
  <r>
    <x v="913"/>
    <x v="269"/>
    <x v="0"/>
    <x v="3"/>
    <x v="9"/>
    <x v="10"/>
    <x v="9"/>
    <x v="0"/>
    <x v="0"/>
    <x v="0"/>
    <x v="2"/>
    <x v="4"/>
    <x v="0"/>
    <x v="0"/>
    <x v="15"/>
    <x v="15"/>
    <x v="10"/>
    <x v="351"/>
    <x v="300"/>
    <x v="856"/>
    <x v="736"/>
    <x v="667"/>
    <x v="1"/>
    <x v="1"/>
    <x v="2"/>
  </r>
  <r>
    <x v="914"/>
    <x v="249"/>
    <x v="0"/>
    <x v="3"/>
    <x v="9"/>
    <x v="10"/>
    <x v="9"/>
    <x v="0"/>
    <x v="0"/>
    <x v="1"/>
    <x v="2"/>
    <x v="4"/>
    <x v="4"/>
    <x v="8"/>
    <x v="41"/>
    <x v="9"/>
    <x v="7"/>
    <x v="553"/>
    <x v="500"/>
    <x v="536"/>
    <x v="1108"/>
    <x v="660"/>
    <x v="0"/>
    <x v="1"/>
    <x v="0"/>
  </r>
  <r>
    <x v="915"/>
    <x v="256"/>
    <x v="0"/>
    <x v="3"/>
    <x v="9"/>
    <x v="10"/>
    <x v="9"/>
    <x v="0"/>
    <x v="0"/>
    <x v="0"/>
    <x v="2"/>
    <x v="4"/>
    <x v="4"/>
    <x v="8"/>
    <x v="15"/>
    <x v="9"/>
    <x v="7"/>
    <x v="239"/>
    <x v="227"/>
    <x v="705"/>
    <x v="457"/>
    <x v="388"/>
    <x v="1"/>
    <x v="1"/>
    <x v="2"/>
  </r>
  <r>
    <x v="916"/>
    <x v="263"/>
    <x v="0"/>
    <x v="3"/>
    <x v="9"/>
    <x v="10"/>
    <x v="9"/>
    <x v="0"/>
    <x v="0"/>
    <x v="1"/>
    <x v="1"/>
    <x v="2"/>
    <x v="7"/>
    <x v="14"/>
    <x v="65"/>
    <x v="18"/>
    <x v="12"/>
    <x v="774"/>
    <x v="695"/>
    <x v="921"/>
    <x v="1459"/>
    <x v="497"/>
    <x v="0"/>
    <x v="1"/>
    <x v="0"/>
  </r>
  <r>
    <x v="917"/>
    <x v="243"/>
    <x v="0"/>
    <x v="3"/>
    <x v="9"/>
    <x v="10"/>
    <x v="9"/>
    <x v="0"/>
    <x v="0"/>
    <x v="0"/>
    <x v="1"/>
    <x v="2"/>
    <x v="7"/>
    <x v="14"/>
    <x v="23"/>
    <x v="18"/>
    <x v="12"/>
    <x v="512"/>
    <x v="475"/>
    <x v="1045"/>
    <x v="931"/>
    <x v="277"/>
    <x v="0"/>
    <x v="1"/>
    <x v="0"/>
  </r>
  <r>
    <x v="918"/>
    <x v="250"/>
    <x v="0"/>
    <x v="3"/>
    <x v="9"/>
    <x v="10"/>
    <x v="9"/>
    <x v="0"/>
    <x v="0"/>
    <x v="1"/>
    <x v="1"/>
    <x v="2"/>
    <x v="6"/>
    <x v="12"/>
    <x v="64"/>
    <x v="3"/>
    <x v="2"/>
    <x v="392"/>
    <x v="329"/>
    <x v="318"/>
    <x v="897"/>
    <x v="1095"/>
    <x v="1"/>
    <x v="1"/>
    <x v="2"/>
  </r>
  <r>
    <x v="919"/>
    <x v="257"/>
    <x v="0"/>
    <x v="3"/>
    <x v="9"/>
    <x v="10"/>
    <x v="9"/>
    <x v="0"/>
    <x v="0"/>
    <x v="0"/>
    <x v="1"/>
    <x v="2"/>
    <x v="6"/>
    <x v="12"/>
    <x v="23"/>
    <x v="3"/>
    <x v="2"/>
    <x v="110"/>
    <x v="95"/>
    <x v="476"/>
    <x v="252"/>
    <x v="830"/>
    <x v="1"/>
    <x v="1"/>
    <x v="2"/>
  </r>
  <r>
    <x v="920"/>
    <x v="264"/>
    <x v="0"/>
    <x v="3"/>
    <x v="9"/>
    <x v="10"/>
    <x v="9"/>
    <x v="1"/>
    <x v="1"/>
    <x v="1"/>
    <x v="3"/>
    <x v="6"/>
    <x v="1"/>
    <x v="2"/>
    <x v="9"/>
    <x v="25"/>
    <x v="16"/>
    <x v="818"/>
    <x v="733"/>
    <x v="1067"/>
    <x v="1535"/>
    <x v="263"/>
    <x v="0"/>
    <x v="1"/>
    <x v="0"/>
  </r>
  <r>
    <x v="921"/>
    <x v="244"/>
    <x v="0"/>
    <x v="3"/>
    <x v="9"/>
    <x v="10"/>
    <x v="9"/>
    <x v="1"/>
    <x v="1"/>
    <x v="0"/>
    <x v="3"/>
    <x v="6"/>
    <x v="1"/>
    <x v="2"/>
    <x v="3"/>
    <x v="25"/>
    <x v="16"/>
    <x v="697"/>
    <x v="645"/>
    <x v="1186"/>
    <x v="1234"/>
    <x v="128"/>
    <x v="1"/>
    <x v="1"/>
    <x v="0"/>
  </r>
  <r>
    <x v="922"/>
    <x v="251"/>
    <x v="0"/>
    <x v="3"/>
    <x v="9"/>
    <x v="10"/>
    <x v="9"/>
    <x v="1"/>
    <x v="1"/>
    <x v="1"/>
    <x v="3"/>
    <x v="6"/>
    <x v="2"/>
    <x v="4"/>
    <x v="12"/>
    <x v="22"/>
    <x v="14"/>
    <x v="710"/>
    <x v="652"/>
    <x v="779"/>
    <x v="1313"/>
    <x v="369"/>
    <x v="0"/>
    <x v="1"/>
    <x v="0"/>
  </r>
  <r>
    <x v="923"/>
    <x v="258"/>
    <x v="0"/>
    <x v="3"/>
    <x v="9"/>
    <x v="10"/>
    <x v="9"/>
    <x v="1"/>
    <x v="1"/>
    <x v="0"/>
    <x v="3"/>
    <x v="6"/>
    <x v="2"/>
    <x v="4"/>
    <x v="3"/>
    <x v="22"/>
    <x v="14"/>
    <x v="384"/>
    <x v="374"/>
    <x v="897"/>
    <x v="664"/>
    <x v="188"/>
    <x v="1"/>
    <x v="1"/>
    <x v="2"/>
  </r>
  <r>
    <x v="924"/>
    <x v="265"/>
    <x v="0"/>
    <x v="3"/>
    <x v="9"/>
    <x v="10"/>
    <x v="9"/>
    <x v="1"/>
    <x v="1"/>
    <x v="1"/>
    <x v="3"/>
    <x v="6"/>
    <x v="5"/>
    <x v="10"/>
    <x v="10"/>
    <x v="28"/>
    <x v="18"/>
    <x v="847"/>
    <x v="757"/>
    <x v="1166"/>
    <x v="1565"/>
    <x v="101"/>
    <x v="1"/>
    <x v="1"/>
    <x v="0"/>
  </r>
  <r>
    <x v="925"/>
    <x v="245"/>
    <x v="0"/>
    <x v="3"/>
    <x v="9"/>
    <x v="10"/>
    <x v="9"/>
    <x v="1"/>
    <x v="1"/>
    <x v="0"/>
    <x v="3"/>
    <x v="6"/>
    <x v="5"/>
    <x v="10"/>
    <x v="3"/>
    <x v="28"/>
    <x v="18"/>
    <x v="760"/>
    <x v="707"/>
    <x v="1242"/>
    <x v="1278"/>
    <x v="25"/>
    <x v="2"/>
    <x v="1"/>
    <x v="0"/>
  </r>
  <r>
    <x v="926"/>
    <x v="252"/>
    <x v="0"/>
    <x v="3"/>
    <x v="9"/>
    <x v="10"/>
    <x v="9"/>
    <x v="1"/>
    <x v="1"/>
    <x v="1"/>
    <x v="0"/>
    <x v="0"/>
    <x v="3"/>
    <x v="6"/>
    <x v="49"/>
    <x v="0"/>
    <x v="0"/>
    <x v="234"/>
    <x v="184"/>
    <x v="158"/>
    <x v="623"/>
    <x v="1238"/>
    <x v="1"/>
    <x v="1"/>
    <x v="2"/>
  </r>
  <r>
    <x v="927"/>
    <x v="259"/>
    <x v="0"/>
    <x v="3"/>
    <x v="9"/>
    <x v="10"/>
    <x v="9"/>
    <x v="1"/>
    <x v="1"/>
    <x v="0"/>
    <x v="0"/>
    <x v="0"/>
    <x v="3"/>
    <x v="6"/>
    <x v="21"/>
    <x v="0"/>
    <x v="0"/>
    <x v="57"/>
    <x v="47"/>
    <x v="331"/>
    <x v="159"/>
    <x v="1030"/>
    <x v="1"/>
    <x v="1"/>
    <x v="2"/>
  </r>
  <r>
    <x v="928"/>
    <x v="266"/>
    <x v="0"/>
    <x v="3"/>
    <x v="9"/>
    <x v="10"/>
    <x v="9"/>
    <x v="1"/>
    <x v="1"/>
    <x v="1"/>
    <x v="0"/>
    <x v="0"/>
    <x v="8"/>
    <x v="16"/>
    <x v="54"/>
    <x v="12"/>
    <x v="6"/>
    <x v="662"/>
    <x v="569"/>
    <x v="704"/>
    <x v="1350"/>
    <x v="1140"/>
    <x v="0"/>
    <x v="1"/>
    <x v="0"/>
  </r>
  <r>
    <x v="929"/>
    <x v="246"/>
    <x v="0"/>
    <x v="3"/>
    <x v="9"/>
    <x v="10"/>
    <x v="9"/>
    <x v="1"/>
    <x v="1"/>
    <x v="0"/>
    <x v="0"/>
    <x v="0"/>
    <x v="8"/>
    <x v="16"/>
    <x v="25"/>
    <x v="12"/>
    <x v="6"/>
    <x v="424"/>
    <x v="357"/>
    <x v="959"/>
    <x v="915"/>
    <x v="889"/>
    <x v="1"/>
    <x v="1"/>
    <x v="2"/>
  </r>
  <r>
    <x v="930"/>
    <x v="253"/>
    <x v="0"/>
    <x v="3"/>
    <x v="9"/>
    <x v="10"/>
    <x v="9"/>
    <x v="1"/>
    <x v="1"/>
    <x v="1"/>
    <x v="0"/>
    <x v="0"/>
    <x v="9"/>
    <x v="18"/>
    <x v="63"/>
    <x v="6"/>
    <x v="4"/>
    <x v="597"/>
    <x v="531"/>
    <x v="610"/>
    <x v="1218"/>
    <x v="807"/>
    <x v="0"/>
    <x v="1"/>
    <x v="0"/>
  </r>
  <r>
    <x v="931"/>
    <x v="260"/>
    <x v="0"/>
    <x v="3"/>
    <x v="9"/>
    <x v="10"/>
    <x v="9"/>
    <x v="1"/>
    <x v="1"/>
    <x v="0"/>
    <x v="0"/>
    <x v="0"/>
    <x v="9"/>
    <x v="18"/>
    <x v="19"/>
    <x v="6"/>
    <x v="4"/>
    <x v="224"/>
    <x v="203"/>
    <x v="680"/>
    <x v="454"/>
    <x v="531"/>
    <x v="1"/>
    <x v="1"/>
    <x v="2"/>
  </r>
  <r>
    <x v="932"/>
    <x v="267"/>
    <x v="0"/>
    <x v="3"/>
    <x v="9"/>
    <x v="10"/>
    <x v="9"/>
    <x v="1"/>
    <x v="1"/>
    <x v="1"/>
    <x v="2"/>
    <x v="4"/>
    <x v="0"/>
    <x v="0"/>
    <x v="25"/>
    <x v="15"/>
    <x v="10"/>
    <x v="511"/>
    <x v="446"/>
    <x v="479"/>
    <x v="1083"/>
    <x v="955"/>
    <x v="0"/>
    <x v="1"/>
    <x v="0"/>
  </r>
  <r>
    <x v="933"/>
    <x v="247"/>
    <x v="0"/>
    <x v="3"/>
    <x v="9"/>
    <x v="10"/>
    <x v="9"/>
    <x v="1"/>
    <x v="1"/>
    <x v="0"/>
    <x v="2"/>
    <x v="4"/>
    <x v="0"/>
    <x v="0"/>
    <x v="10"/>
    <x v="15"/>
    <x v="10"/>
    <x v="237"/>
    <x v="208"/>
    <x v="703"/>
    <x v="507"/>
    <x v="665"/>
    <x v="1"/>
    <x v="1"/>
    <x v="2"/>
  </r>
  <r>
    <x v="934"/>
    <x v="254"/>
    <x v="0"/>
    <x v="3"/>
    <x v="9"/>
    <x v="10"/>
    <x v="9"/>
    <x v="1"/>
    <x v="1"/>
    <x v="1"/>
    <x v="2"/>
    <x v="4"/>
    <x v="4"/>
    <x v="8"/>
    <x v="24"/>
    <x v="9"/>
    <x v="7"/>
    <x v="375"/>
    <x v="347"/>
    <x v="302"/>
    <x v="790"/>
    <x v="648"/>
    <x v="1"/>
    <x v="1"/>
    <x v="2"/>
  </r>
  <r>
    <x v="935"/>
    <x v="261"/>
    <x v="0"/>
    <x v="3"/>
    <x v="9"/>
    <x v="10"/>
    <x v="9"/>
    <x v="1"/>
    <x v="1"/>
    <x v="0"/>
    <x v="2"/>
    <x v="4"/>
    <x v="4"/>
    <x v="8"/>
    <x v="8"/>
    <x v="9"/>
    <x v="7"/>
    <x v="101"/>
    <x v="107"/>
    <x v="459"/>
    <x v="186"/>
    <x v="390"/>
    <x v="1"/>
    <x v="1"/>
    <x v="2"/>
  </r>
  <r>
    <x v="936"/>
    <x v="268"/>
    <x v="0"/>
    <x v="3"/>
    <x v="9"/>
    <x v="10"/>
    <x v="9"/>
    <x v="1"/>
    <x v="1"/>
    <x v="1"/>
    <x v="1"/>
    <x v="2"/>
    <x v="7"/>
    <x v="14"/>
    <x v="35"/>
    <x v="18"/>
    <x v="12"/>
    <x v="635"/>
    <x v="579"/>
    <x v="662"/>
    <x v="1225"/>
    <x v="500"/>
    <x v="0"/>
    <x v="1"/>
    <x v="0"/>
  </r>
  <r>
    <x v="937"/>
    <x v="248"/>
    <x v="0"/>
    <x v="3"/>
    <x v="9"/>
    <x v="10"/>
    <x v="9"/>
    <x v="1"/>
    <x v="1"/>
    <x v="0"/>
    <x v="1"/>
    <x v="2"/>
    <x v="7"/>
    <x v="14"/>
    <x v="13"/>
    <x v="18"/>
    <x v="12"/>
    <x v="342"/>
    <x v="319"/>
    <x v="839"/>
    <x v="595"/>
    <x v="275"/>
    <x v="1"/>
    <x v="1"/>
    <x v="2"/>
  </r>
  <r>
    <x v="938"/>
    <x v="255"/>
    <x v="0"/>
    <x v="3"/>
    <x v="9"/>
    <x v="10"/>
    <x v="9"/>
    <x v="1"/>
    <x v="1"/>
    <x v="1"/>
    <x v="1"/>
    <x v="2"/>
    <x v="6"/>
    <x v="12"/>
    <x v="31"/>
    <x v="3"/>
    <x v="2"/>
    <x v="175"/>
    <x v="148"/>
    <x v="113"/>
    <x v="450"/>
    <x v="1104"/>
    <x v="1"/>
    <x v="1"/>
    <x v="2"/>
  </r>
  <r>
    <x v="939"/>
    <x v="262"/>
    <x v="0"/>
    <x v="3"/>
    <x v="9"/>
    <x v="10"/>
    <x v="9"/>
    <x v="1"/>
    <x v="1"/>
    <x v="0"/>
    <x v="1"/>
    <x v="2"/>
    <x v="6"/>
    <x v="12"/>
    <x v="11"/>
    <x v="3"/>
    <x v="2"/>
    <x v="24"/>
    <x v="25"/>
    <x v="202"/>
    <x v="59"/>
    <x v="833"/>
    <x v="1"/>
    <x v="1"/>
    <x v="2"/>
  </r>
  <r>
    <x v="940"/>
    <x v="269"/>
    <x v="0"/>
    <x v="3"/>
    <x v="9"/>
    <x v="10"/>
    <x v="9"/>
    <x v="3"/>
    <x v="3"/>
    <x v="1"/>
    <x v="3"/>
    <x v="6"/>
    <x v="1"/>
    <x v="2"/>
    <x v="7"/>
    <x v="25"/>
    <x v="16"/>
    <x v="804"/>
    <x v="721"/>
    <x v="1013"/>
    <x v="1493"/>
    <x v="268"/>
    <x v="0"/>
    <x v="1"/>
    <x v="0"/>
  </r>
  <r>
    <x v="941"/>
    <x v="249"/>
    <x v="0"/>
    <x v="3"/>
    <x v="9"/>
    <x v="10"/>
    <x v="9"/>
    <x v="3"/>
    <x v="3"/>
    <x v="0"/>
    <x v="3"/>
    <x v="6"/>
    <x v="1"/>
    <x v="2"/>
    <x v="1"/>
    <x v="25"/>
    <x v="16"/>
    <x v="548"/>
    <x v="519"/>
    <x v="1070"/>
    <x v="928"/>
    <x v="132"/>
    <x v="1"/>
    <x v="1"/>
    <x v="0"/>
  </r>
  <r>
    <x v="942"/>
    <x v="256"/>
    <x v="0"/>
    <x v="3"/>
    <x v="9"/>
    <x v="10"/>
    <x v="9"/>
    <x v="3"/>
    <x v="3"/>
    <x v="1"/>
    <x v="3"/>
    <x v="6"/>
    <x v="2"/>
    <x v="4"/>
    <x v="6"/>
    <x v="22"/>
    <x v="14"/>
    <x v="548"/>
    <x v="514"/>
    <x v="531"/>
    <x v="1033"/>
    <x v="371"/>
    <x v="0"/>
    <x v="1"/>
    <x v="0"/>
  </r>
  <r>
    <x v="943"/>
    <x v="263"/>
    <x v="0"/>
    <x v="3"/>
    <x v="9"/>
    <x v="10"/>
    <x v="9"/>
    <x v="3"/>
    <x v="3"/>
    <x v="0"/>
    <x v="3"/>
    <x v="6"/>
    <x v="2"/>
    <x v="4"/>
    <x v="1"/>
    <x v="22"/>
    <x v="14"/>
    <x v="220"/>
    <x v="229"/>
    <x v="677"/>
    <x v="345"/>
    <x v="191"/>
    <x v="1"/>
    <x v="1"/>
    <x v="2"/>
  </r>
  <r>
    <x v="944"/>
    <x v="243"/>
    <x v="0"/>
    <x v="3"/>
    <x v="9"/>
    <x v="10"/>
    <x v="9"/>
    <x v="3"/>
    <x v="3"/>
    <x v="1"/>
    <x v="3"/>
    <x v="6"/>
    <x v="5"/>
    <x v="10"/>
    <x v="7"/>
    <x v="28"/>
    <x v="18"/>
    <x v="829"/>
    <x v="744"/>
    <x v="1097"/>
    <x v="1526"/>
    <x v="95"/>
    <x v="1"/>
    <x v="1"/>
    <x v="0"/>
  </r>
  <r>
    <x v="945"/>
    <x v="250"/>
    <x v="0"/>
    <x v="3"/>
    <x v="9"/>
    <x v="10"/>
    <x v="9"/>
    <x v="3"/>
    <x v="3"/>
    <x v="0"/>
    <x v="3"/>
    <x v="6"/>
    <x v="5"/>
    <x v="10"/>
    <x v="1"/>
    <x v="28"/>
    <x v="18"/>
    <x v="644"/>
    <x v="623"/>
    <x v="1150"/>
    <x v="1000"/>
    <x v="23"/>
    <x v="2"/>
    <x v="1"/>
    <x v="0"/>
  </r>
  <r>
    <x v="946"/>
    <x v="257"/>
    <x v="0"/>
    <x v="3"/>
    <x v="9"/>
    <x v="10"/>
    <x v="9"/>
    <x v="3"/>
    <x v="3"/>
    <x v="1"/>
    <x v="0"/>
    <x v="0"/>
    <x v="3"/>
    <x v="6"/>
    <x v="41"/>
    <x v="0"/>
    <x v="0"/>
    <x v="186"/>
    <x v="145"/>
    <x v="121"/>
    <x v="521"/>
    <x v="1231"/>
    <x v="1"/>
    <x v="1"/>
    <x v="2"/>
  </r>
  <r>
    <x v="947"/>
    <x v="264"/>
    <x v="0"/>
    <x v="3"/>
    <x v="9"/>
    <x v="10"/>
    <x v="9"/>
    <x v="3"/>
    <x v="3"/>
    <x v="0"/>
    <x v="0"/>
    <x v="0"/>
    <x v="3"/>
    <x v="6"/>
    <x v="17"/>
    <x v="0"/>
    <x v="0"/>
    <x v="38"/>
    <x v="33"/>
    <x v="249"/>
    <x v="101"/>
    <x v="1021"/>
    <x v="1"/>
    <x v="1"/>
    <x v="2"/>
  </r>
  <r>
    <x v="948"/>
    <x v="244"/>
    <x v="0"/>
    <x v="3"/>
    <x v="9"/>
    <x v="10"/>
    <x v="9"/>
    <x v="3"/>
    <x v="3"/>
    <x v="1"/>
    <x v="0"/>
    <x v="0"/>
    <x v="8"/>
    <x v="16"/>
    <x v="45"/>
    <x v="12"/>
    <x v="6"/>
    <x v="618"/>
    <x v="522"/>
    <x v="636"/>
    <x v="1272"/>
    <x v="1157"/>
    <x v="0"/>
    <x v="1"/>
    <x v="0"/>
  </r>
  <r>
    <x v="949"/>
    <x v="251"/>
    <x v="0"/>
    <x v="3"/>
    <x v="9"/>
    <x v="10"/>
    <x v="9"/>
    <x v="3"/>
    <x v="3"/>
    <x v="0"/>
    <x v="0"/>
    <x v="0"/>
    <x v="8"/>
    <x v="16"/>
    <x v="17"/>
    <x v="12"/>
    <x v="6"/>
    <x v="317"/>
    <x v="256"/>
    <x v="811"/>
    <x v="698"/>
    <x v="887"/>
    <x v="1"/>
    <x v="1"/>
    <x v="2"/>
  </r>
  <r>
    <x v="950"/>
    <x v="258"/>
    <x v="0"/>
    <x v="3"/>
    <x v="9"/>
    <x v="10"/>
    <x v="9"/>
    <x v="3"/>
    <x v="3"/>
    <x v="1"/>
    <x v="0"/>
    <x v="0"/>
    <x v="9"/>
    <x v="18"/>
    <x v="46"/>
    <x v="6"/>
    <x v="4"/>
    <x v="495"/>
    <x v="443"/>
    <x v="455"/>
    <x v="1043"/>
    <x v="811"/>
    <x v="0"/>
    <x v="1"/>
    <x v="0"/>
  </r>
  <r>
    <x v="951"/>
    <x v="265"/>
    <x v="0"/>
    <x v="3"/>
    <x v="9"/>
    <x v="10"/>
    <x v="9"/>
    <x v="3"/>
    <x v="3"/>
    <x v="0"/>
    <x v="0"/>
    <x v="0"/>
    <x v="9"/>
    <x v="18"/>
    <x v="15"/>
    <x v="6"/>
    <x v="4"/>
    <x v="165"/>
    <x v="153"/>
    <x v="597"/>
    <x v="324"/>
    <x v="529"/>
    <x v="1"/>
    <x v="1"/>
    <x v="2"/>
  </r>
  <r>
    <x v="952"/>
    <x v="245"/>
    <x v="0"/>
    <x v="3"/>
    <x v="9"/>
    <x v="10"/>
    <x v="9"/>
    <x v="3"/>
    <x v="3"/>
    <x v="1"/>
    <x v="2"/>
    <x v="4"/>
    <x v="0"/>
    <x v="0"/>
    <x v="16"/>
    <x v="15"/>
    <x v="10"/>
    <x v="369"/>
    <x v="321"/>
    <x v="292"/>
    <x v="829"/>
    <x v="955"/>
    <x v="1"/>
    <x v="1"/>
    <x v="2"/>
  </r>
  <r>
    <x v="953"/>
    <x v="252"/>
    <x v="0"/>
    <x v="3"/>
    <x v="9"/>
    <x v="10"/>
    <x v="9"/>
    <x v="3"/>
    <x v="3"/>
    <x v="0"/>
    <x v="2"/>
    <x v="4"/>
    <x v="0"/>
    <x v="0"/>
    <x v="5"/>
    <x v="15"/>
    <x v="10"/>
    <x v="99"/>
    <x v="93"/>
    <x v="451"/>
    <x v="218"/>
    <x v="669"/>
    <x v="1"/>
    <x v="1"/>
    <x v="2"/>
  </r>
  <r>
    <x v="954"/>
    <x v="259"/>
    <x v="0"/>
    <x v="3"/>
    <x v="9"/>
    <x v="10"/>
    <x v="9"/>
    <x v="3"/>
    <x v="3"/>
    <x v="1"/>
    <x v="2"/>
    <x v="4"/>
    <x v="4"/>
    <x v="8"/>
    <x v="21"/>
    <x v="9"/>
    <x v="7"/>
    <x v="343"/>
    <x v="309"/>
    <x v="246"/>
    <x v="709"/>
    <x v="649"/>
    <x v="1"/>
    <x v="1"/>
    <x v="2"/>
  </r>
  <r>
    <x v="955"/>
    <x v="266"/>
    <x v="0"/>
    <x v="3"/>
    <x v="9"/>
    <x v="10"/>
    <x v="9"/>
    <x v="3"/>
    <x v="3"/>
    <x v="0"/>
    <x v="2"/>
    <x v="4"/>
    <x v="4"/>
    <x v="8"/>
    <x v="6"/>
    <x v="9"/>
    <x v="7"/>
    <x v="65"/>
    <x v="71"/>
    <x v="357"/>
    <x v="109"/>
    <x v="384"/>
    <x v="1"/>
    <x v="1"/>
    <x v="2"/>
  </r>
  <r>
    <x v="956"/>
    <x v="246"/>
    <x v="0"/>
    <x v="3"/>
    <x v="9"/>
    <x v="10"/>
    <x v="9"/>
    <x v="3"/>
    <x v="3"/>
    <x v="1"/>
    <x v="1"/>
    <x v="2"/>
    <x v="7"/>
    <x v="14"/>
    <x v="24"/>
    <x v="18"/>
    <x v="12"/>
    <x v="525"/>
    <x v="488"/>
    <x v="499"/>
    <x v="1028"/>
    <x v="505"/>
    <x v="0"/>
    <x v="1"/>
    <x v="0"/>
  </r>
  <r>
    <x v="957"/>
    <x v="253"/>
    <x v="0"/>
    <x v="3"/>
    <x v="9"/>
    <x v="10"/>
    <x v="9"/>
    <x v="3"/>
    <x v="3"/>
    <x v="0"/>
    <x v="1"/>
    <x v="2"/>
    <x v="7"/>
    <x v="14"/>
    <x v="7"/>
    <x v="18"/>
    <x v="12"/>
    <x v="176"/>
    <x v="183"/>
    <x v="618"/>
    <x v="298"/>
    <x v="272"/>
    <x v="1"/>
    <x v="1"/>
    <x v="2"/>
  </r>
  <r>
    <x v="958"/>
    <x v="260"/>
    <x v="0"/>
    <x v="3"/>
    <x v="9"/>
    <x v="10"/>
    <x v="9"/>
    <x v="3"/>
    <x v="3"/>
    <x v="1"/>
    <x v="1"/>
    <x v="2"/>
    <x v="6"/>
    <x v="12"/>
    <x v="22"/>
    <x v="3"/>
    <x v="2"/>
    <x v="99"/>
    <x v="85"/>
    <x v="55"/>
    <x v="275"/>
    <x v="1101"/>
    <x v="1"/>
    <x v="1"/>
    <x v="2"/>
  </r>
  <r>
    <x v="959"/>
    <x v="267"/>
    <x v="0"/>
    <x v="3"/>
    <x v="9"/>
    <x v="10"/>
    <x v="9"/>
    <x v="3"/>
    <x v="3"/>
    <x v="0"/>
    <x v="1"/>
    <x v="2"/>
    <x v="6"/>
    <x v="12"/>
    <x v="7"/>
    <x v="3"/>
    <x v="2"/>
    <x v="7"/>
    <x v="8"/>
    <x v="115"/>
    <x v="17"/>
    <x v="824"/>
    <x v="1"/>
    <x v="1"/>
    <x v="2"/>
  </r>
  <r>
    <x v="960"/>
    <x v="247"/>
    <x v="0"/>
    <x v="3"/>
    <x v="9"/>
    <x v="10"/>
    <x v="9"/>
    <x v="2"/>
    <x v="2"/>
    <x v="1"/>
    <x v="3"/>
    <x v="6"/>
    <x v="1"/>
    <x v="2"/>
    <x v="5"/>
    <x v="25"/>
    <x v="16"/>
    <x v="768"/>
    <x v="698"/>
    <x v="904"/>
    <x v="1419"/>
    <x v="260"/>
    <x v="0"/>
    <x v="1"/>
    <x v="0"/>
  </r>
  <r>
    <x v="961"/>
    <x v="254"/>
    <x v="0"/>
    <x v="3"/>
    <x v="9"/>
    <x v="10"/>
    <x v="9"/>
    <x v="2"/>
    <x v="2"/>
    <x v="0"/>
    <x v="3"/>
    <x v="6"/>
    <x v="1"/>
    <x v="2"/>
    <x v="0"/>
    <x v="25"/>
    <x v="16"/>
    <x v="407"/>
    <x v="404"/>
    <x v="933"/>
    <x v="679"/>
    <x v="125"/>
    <x v="1"/>
    <x v="1"/>
    <x v="2"/>
  </r>
  <r>
    <x v="962"/>
    <x v="261"/>
    <x v="0"/>
    <x v="3"/>
    <x v="9"/>
    <x v="10"/>
    <x v="9"/>
    <x v="2"/>
    <x v="2"/>
    <x v="1"/>
    <x v="3"/>
    <x v="6"/>
    <x v="2"/>
    <x v="4"/>
    <x v="4"/>
    <x v="22"/>
    <x v="14"/>
    <x v="445"/>
    <x v="429"/>
    <x v="389"/>
    <x v="851"/>
    <x v="360"/>
    <x v="1"/>
    <x v="1"/>
    <x v="2"/>
  </r>
  <r>
    <x v="963"/>
    <x v="268"/>
    <x v="0"/>
    <x v="3"/>
    <x v="9"/>
    <x v="10"/>
    <x v="9"/>
    <x v="2"/>
    <x v="2"/>
    <x v="0"/>
    <x v="3"/>
    <x v="6"/>
    <x v="2"/>
    <x v="4"/>
    <x v="1"/>
    <x v="22"/>
    <x v="14"/>
    <x v="220"/>
    <x v="229"/>
    <x v="677"/>
    <x v="345"/>
    <x v="191"/>
    <x v="1"/>
    <x v="1"/>
    <x v="2"/>
  </r>
  <r>
    <x v="964"/>
    <x v="248"/>
    <x v="0"/>
    <x v="3"/>
    <x v="9"/>
    <x v="10"/>
    <x v="9"/>
    <x v="2"/>
    <x v="2"/>
    <x v="1"/>
    <x v="3"/>
    <x v="6"/>
    <x v="5"/>
    <x v="10"/>
    <x v="6"/>
    <x v="28"/>
    <x v="18"/>
    <x v="818"/>
    <x v="738"/>
    <x v="1067"/>
    <x v="1500"/>
    <x v="92"/>
    <x v="1"/>
    <x v="1"/>
    <x v="0"/>
  </r>
  <r>
    <x v="965"/>
    <x v="255"/>
    <x v="0"/>
    <x v="3"/>
    <x v="9"/>
    <x v="10"/>
    <x v="9"/>
    <x v="2"/>
    <x v="2"/>
    <x v="0"/>
    <x v="3"/>
    <x v="6"/>
    <x v="5"/>
    <x v="10"/>
    <x v="1"/>
    <x v="28"/>
    <x v="18"/>
    <x v="644"/>
    <x v="623"/>
    <x v="1150"/>
    <x v="1000"/>
    <x v="23"/>
    <x v="2"/>
    <x v="1"/>
    <x v="0"/>
  </r>
  <r>
    <x v="966"/>
    <x v="262"/>
    <x v="0"/>
    <x v="3"/>
    <x v="9"/>
    <x v="10"/>
    <x v="9"/>
    <x v="2"/>
    <x v="2"/>
    <x v="1"/>
    <x v="0"/>
    <x v="0"/>
    <x v="3"/>
    <x v="6"/>
    <x v="30"/>
    <x v="0"/>
    <x v="0"/>
    <x v="114"/>
    <x v="87"/>
    <x v="64"/>
    <x v="332"/>
    <x v="1222"/>
    <x v="1"/>
    <x v="1"/>
    <x v="2"/>
  </r>
  <r>
    <x v="967"/>
    <x v="269"/>
    <x v="0"/>
    <x v="3"/>
    <x v="9"/>
    <x v="10"/>
    <x v="9"/>
    <x v="2"/>
    <x v="2"/>
    <x v="0"/>
    <x v="0"/>
    <x v="0"/>
    <x v="3"/>
    <x v="6"/>
    <x v="9"/>
    <x v="0"/>
    <x v="0"/>
    <x v="6"/>
    <x v="7"/>
    <x v="111"/>
    <x v="21"/>
    <x v="1023"/>
    <x v="1"/>
    <x v="1"/>
    <x v="2"/>
  </r>
  <r>
    <x v="968"/>
    <x v="249"/>
    <x v="0"/>
    <x v="3"/>
    <x v="9"/>
    <x v="10"/>
    <x v="9"/>
    <x v="2"/>
    <x v="2"/>
    <x v="1"/>
    <x v="0"/>
    <x v="0"/>
    <x v="8"/>
    <x v="16"/>
    <x v="32"/>
    <x v="12"/>
    <x v="6"/>
    <x v="510"/>
    <x v="426"/>
    <x v="475"/>
    <x v="1121"/>
    <x v="1148"/>
    <x v="0"/>
    <x v="1"/>
    <x v="0"/>
  </r>
  <r>
    <x v="969"/>
    <x v="256"/>
    <x v="0"/>
    <x v="3"/>
    <x v="9"/>
    <x v="10"/>
    <x v="9"/>
    <x v="2"/>
    <x v="2"/>
    <x v="0"/>
    <x v="0"/>
    <x v="0"/>
    <x v="8"/>
    <x v="16"/>
    <x v="11"/>
    <x v="12"/>
    <x v="6"/>
    <x v="196"/>
    <x v="161"/>
    <x v="646"/>
    <x v="452"/>
    <x v="898"/>
    <x v="1"/>
    <x v="1"/>
    <x v="2"/>
  </r>
  <r>
    <x v="970"/>
    <x v="263"/>
    <x v="0"/>
    <x v="3"/>
    <x v="9"/>
    <x v="10"/>
    <x v="9"/>
    <x v="2"/>
    <x v="2"/>
    <x v="1"/>
    <x v="0"/>
    <x v="0"/>
    <x v="9"/>
    <x v="18"/>
    <x v="32"/>
    <x v="6"/>
    <x v="4"/>
    <x v="375"/>
    <x v="337"/>
    <x v="302"/>
    <x v="819"/>
    <x v="805"/>
    <x v="1"/>
    <x v="1"/>
    <x v="2"/>
  </r>
  <r>
    <x v="971"/>
    <x v="243"/>
    <x v="0"/>
    <x v="3"/>
    <x v="9"/>
    <x v="10"/>
    <x v="9"/>
    <x v="2"/>
    <x v="2"/>
    <x v="0"/>
    <x v="0"/>
    <x v="0"/>
    <x v="9"/>
    <x v="18"/>
    <x v="11"/>
    <x v="6"/>
    <x v="4"/>
    <x v="100"/>
    <x v="101"/>
    <x v="455"/>
    <x v="208"/>
    <x v="527"/>
    <x v="1"/>
    <x v="1"/>
    <x v="2"/>
  </r>
  <r>
    <x v="972"/>
    <x v="250"/>
    <x v="0"/>
    <x v="3"/>
    <x v="9"/>
    <x v="10"/>
    <x v="9"/>
    <x v="2"/>
    <x v="2"/>
    <x v="1"/>
    <x v="2"/>
    <x v="4"/>
    <x v="0"/>
    <x v="0"/>
    <x v="11"/>
    <x v="15"/>
    <x v="10"/>
    <x v="262"/>
    <x v="230"/>
    <x v="186"/>
    <x v="601"/>
    <x v="964"/>
    <x v="1"/>
    <x v="1"/>
    <x v="2"/>
  </r>
  <r>
    <x v="973"/>
    <x v="257"/>
    <x v="0"/>
    <x v="3"/>
    <x v="9"/>
    <x v="10"/>
    <x v="9"/>
    <x v="2"/>
    <x v="2"/>
    <x v="0"/>
    <x v="2"/>
    <x v="4"/>
    <x v="0"/>
    <x v="0"/>
    <x v="4"/>
    <x v="15"/>
    <x v="10"/>
    <x v="76"/>
    <x v="70"/>
    <x v="382"/>
    <x v="157"/>
    <x v="665"/>
    <x v="1"/>
    <x v="1"/>
    <x v="2"/>
  </r>
  <r>
    <x v="974"/>
    <x v="264"/>
    <x v="0"/>
    <x v="3"/>
    <x v="9"/>
    <x v="10"/>
    <x v="9"/>
    <x v="2"/>
    <x v="2"/>
    <x v="1"/>
    <x v="2"/>
    <x v="4"/>
    <x v="4"/>
    <x v="8"/>
    <x v="12"/>
    <x v="9"/>
    <x v="7"/>
    <x v="183"/>
    <x v="179"/>
    <x v="120"/>
    <x v="397"/>
    <x v="658"/>
    <x v="1"/>
    <x v="1"/>
    <x v="2"/>
  </r>
  <r>
    <x v="975"/>
    <x v="244"/>
    <x v="0"/>
    <x v="3"/>
    <x v="9"/>
    <x v="10"/>
    <x v="9"/>
    <x v="2"/>
    <x v="2"/>
    <x v="0"/>
    <x v="2"/>
    <x v="4"/>
    <x v="4"/>
    <x v="8"/>
    <x v="3"/>
    <x v="9"/>
    <x v="7"/>
    <x v="18"/>
    <x v="28"/>
    <x v="189"/>
    <x v="33"/>
    <x v="390"/>
    <x v="1"/>
    <x v="1"/>
    <x v="2"/>
  </r>
  <r>
    <x v="976"/>
    <x v="251"/>
    <x v="0"/>
    <x v="3"/>
    <x v="9"/>
    <x v="10"/>
    <x v="9"/>
    <x v="2"/>
    <x v="2"/>
    <x v="1"/>
    <x v="1"/>
    <x v="2"/>
    <x v="7"/>
    <x v="14"/>
    <x v="20"/>
    <x v="18"/>
    <x v="12"/>
    <x v="468"/>
    <x v="436"/>
    <x v="420"/>
    <x v="913"/>
    <x v="493"/>
    <x v="1"/>
    <x v="1"/>
    <x v="2"/>
  </r>
  <r>
    <x v="977"/>
    <x v="258"/>
    <x v="0"/>
    <x v="3"/>
    <x v="9"/>
    <x v="10"/>
    <x v="9"/>
    <x v="2"/>
    <x v="2"/>
    <x v="0"/>
    <x v="1"/>
    <x v="2"/>
    <x v="7"/>
    <x v="14"/>
    <x v="5"/>
    <x v="18"/>
    <x v="12"/>
    <x v="118"/>
    <x v="126"/>
    <x v="495"/>
    <x v="192"/>
    <x v="271"/>
    <x v="1"/>
    <x v="1"/>
    <x v="2"/>
  </r>
  <r>
    <x v="978"/>
    <x v="265"/>
    <x v="0"/>
    <x v="3"/>
    <x v="9"/>
    <x v="10"/>
    <x v="9"/>
    <x v="2"/>
    <x v="2"/>
    <x v="1"/>
    <x v="1"/>
    <x v="2"/>
    <x v="6"/>
    <x v="12"/>
    <x v="19"/>
    <x v="3"/>
    <x v="2"/>
    <x v="78"/>
    <x v="68"/>
    <x v="38"/>
    <x v="216"/>
    <x v="1105"/>
    <x v="1"/>
    <x v="1"/>
    <x v="2"/>
  </r>
  <r>
    <x v="979"/>
    <x v="245"/>
    <x v="0"/>
    <x v="3"/>
    <x v="9"/>
    <x v="10"/>
    <x v="9"/>
    <x v="2"/>
    <x v="2"/>
    <x v="0"/>
    <x v="1"/>
    <x v="2"/>
    <x v="6"/>
    <x v="12"/>
    <x v="6"/>
    <x v="3"/>
    <x v="2"/>
    <x v="5"/>
    <x v="6"/>
    <x v="90"/>
    <x v="10"/>
    <x v="832"/>
    <x v="2"/>
    <x v="1"/>
    <x v="1"/>
  </r>
  <r>
    <x v="980"/>
    <x v="252"/>
    <x v="0"/>
    <x v="3"/>
    <x v="9"/>
    <x v="10"/>
    <x v="9"/>
    <x v="4"/>
    <x v="4"/>
    <x v="1"/>
    <x v="3"/>
    <x v="6"/>
    <x v="1"/>
    <x v="2"/>
    <x v="6"/>
    <x v="25"/>
    <x v="16"/>
    <x v="789"/>
    <x v="711"/>
    <x v="967"/>
    <x v="1460"/>
    <x v="270"/>
    <x v="0"/>
    <x v="1"/>
    <x v="0"/>
  </r>
  <r>
    <x v="981"/>
    <x v="259"/>
    <x v="0"/>
    <x v="3"/>
    <x v="9"/>
    <x v="10"/>
    <x v="9"/>
    <x v="4"/>
    <x v="4"/>
    <x v="0"/>
    <x v="3"/>
    <x v="6"/>
    <x v="1"/>
    <x v="2"/>
    <x v="1"/>
    <x v="25"/>
    <x v="16"/>
    <x v="548"/>
    <x v="519"/>
    <x v="1070"/>
    <x v="928"/>
    <x v="132"/>
    <x v="1"/>
    <x v="1"/>
    <x v="0"/>
  </r>
  <r>
    <x v="982"/>
    <x v="266"/>
    <x v="0"/>
    <x v="3"/>
    <x v="9"/>
    <x v="10"/>
    <x v="9"/>
    <x v="4"/>
    <x v="4"/>
    <x v="1"/>
    <x v="3"/>
    <x v="6"/>
    <x v="2"/>
    <x v="4"/>
    <x v="5"/>
    <x v="22"/>
    <x v="14"/>
    <x v="500"/>
    <x v="476"/>
    <x v="461"/>
    <x v="937"/>
    <x v="369"/>
    <x v="0"/>
    <x v="1"/>
    <x v="0"/>
  </r>
  <r>
    <x v="983"/>
    <x v="246"/>
    <x v="0"/>
    <x v="3"/>
    <x v="9"/>
    <x v="10"/>
    <x v="9"/>
    <x v="4"/>
    <x v="4"/>
    <x v="0"/>
    <x v="3"/>
    <x v="6"/>
    <x v="2"/>
    <x v="4"/>
    <x v="1"/>
    <x v="22"/>
    <x v="14"/>
    <x v="220"/>
    <x v="229"/>
    <x v="677"/>
    <x v="345"/>
    <x v="191"/>
    <x v="1"/>
    <x v="1"/>
    <x v="2"/>
  </r>
  <r>
    <x v="984"/>
    <x v="253"/>
    <x v="0"/>
    <x v="3"/>
    <x v="9"/>
    <x v="10"/>
    <x v="9"/>
    <x v="4"/>
    <x v="4"/>
    <x v="1"/>
    <x v="3"/>
    <x v="6"/>
    <x v="5"/>
    <x v="10"/>
    <x v="5"/>
    <x v="28"/>
    <x v="18"/>
    <x v="808"/>
    <x v="731"/>
    <x v="1028"/>
    <x v="1457"/>
    <x v="90"/>
    <x v="1"/>
    <x v="1"/>
    <x v="0"/>
  </r>
  <r>
    <x v="985"/>
    <x v="260"/>
    <x v="0"/>
    <x v="3"/>
    <x v="9"/>
    <x v="10"/>
    <x v="9"/>
    <x v="4"/>
    <x v="4"/>
    <x v="0"/>
    <x v="3"/>
    <x v="6"/>
    <x v="5"/>
    <x v="10"/>
    <x v="1"/>
    <x v="28"/>
    <x v="18"/>
    <x v="644"/>
    <x v="623"/>
    <x v="1150"/>
    <x v="1000"/>
    <x v="23"/>
    <x v="2"/>
    <x v="1"/>
    <x v="0"/>
  </r>
  <r>
    <x v="986"/>
    <x v="267"/>
    <x v="0"/>
    <x v="3"/>
    <x v="9"/>
    <x v="10"/>
    <x v="9"/>
    <x v="4"/>
    <x v="4"/>
    <x v="1"/>
    <x v="0"/>
    <x v="0"/>
    <x v="3"/>
    <x v="6"/>
    <x v="26"/>
    <x v="0"/>
    <x v="0"/>
    <x v="92"/>
    <x v="69"/>
    <x v="46"/>
    <x v="273"/>
    <x v="1225"/>
    <x v="1"/>
    <x v="1"/>
    <x v="2"/>
  </r>
  <r>
    <x v="987"/>
    <x v="247"/>
    <x v="0"/>
    <x v="3"/>
    <x v="9"/>
    <x v="10"/>
    <x v="9"/>
    <x v="4"/>
    <x v="4"/>
    <x v="0"/>
    <x v="0"/>
    <x v="0"/>
    <x v="3"/>
    <x v="6"/>
    <x v="10"/>
    <x v="0"/>
    <x v="0"/>
    <x v="8"/>
    <x v="9"/>
    <x v="128"/>
    <x v="28"/>
    <x v="1020"/>
    <x v="1"/>
    <x v="1"/>
    <x v="2"/>
  </r>
  <r>
    <x v="988"/>
    <x v="254"/>
    <x v="0"/>
    <x v="3"/>
    <x v="9"/>
    <x v="10"/>
    <x v="9"/>
    <x v="4"/>
    <x v="4"/>
    <x v="1"/>
    <x v="0"/>
    <x v="0"/>
    <x v="8"/>
    <x v="16"/>
    <x v="32"/>
    <x v="12"/>
    <x v="6"/>
    <x v="510"/>
    <x v="426"/>
    <x v="475"/>
    <x v="1121"/>
    <x v="1148"/>
    <x v="0"/>
    <x v="1"/>
    <x v="0"/>
  </r>
  <r>
    <x v="989"/>
    <x v="261"/>
    <x v="0"/>
    <x v="3"/>
    <x v="9"/>
    <x v="10"/>
    <x v="9"/>
    <x v="4"/>
    <x v="4"/>
    <x v="0"/>
    <x v="0"/>
    <x v="0"/>
    <x v="8"/>
    <x v="16"/>
    <x v="11"/>
    <x v="12"/>
    <x v="6"/>
    <x v="196"/>
    <x v="161"/>
    <x v="646"/>
    <x v="452"/>
    <x v="898"/>
    <x v="1"/>
    <x v="1"/>
    <x v="2"/>
  </r>
  <r>
    <x v="990"/>
    <x v="268"/>
    <x v="0"/>
    <x v="3"/>
    <x v="9"/>
    <x v="10"/>
    <x v="9"/>
    <x v="4"/>
    <x v="4"/>
    <x v="1"/>
    <x v="0"/>
    <x v="0"/>
    <x v="9"/>
    <x v="18"/>
    <x v="30"/>
    <x v="6"/>
    <x v="4"/>
    <x v="358"/>
    <x v="316"/>
    <x v="275"/>
    <x v="779"/>
    <x v="811"/>
    <x v="1"/>
    <x v="1"/>
    <x v="2"/>
  </r>
  <r>
    <x v="991"/>
    <x v="248"/>
    <x v="0"/>
    <x v="3"/>
    <x v="9"/>
    <x v="10"/>
    <x v="9"/>
    <x v="4"/>
    <x v="4"/>
    <x v="0"/>
    <x v="0"/>
    <x v="0"/>
    <x v="9"/>
    <x v="18"/>
    <x v="12"/>
    <x v="6"/>
    <x v="4"/>
    <x v="118"/>
    <x v="112"/>
    <x v="495"/>
    <x v="231"/>
    <x v="525"/>
    <x v="1"/>
    <x v="1"/>
    <x v="2"/>
  </r>
  <r>
    <x v="992"/>
    <x v="255"/>
    <x v="0"/>
    <x v="3"/>
    <x v="9"/>
    <x v="10"/>
    <x v="9"/>
    <x v="4"/>
    <x v="4"/>
    <x v="1"/>
    <x v="2"/>
    <x v="4"/>
    <x v="0"/>
    <x v="0"/>
    <x v="10"/>
    <x v="15"/>
    <x v="10"/>
    <x v="237"/>
    <x v="208"/>
    <x v="162"/>
    <x v="559"/>
    <x v="950"/>
    <x v="1"/>
    <x v="1"/>
    <x v="2"/>
  </r>
  <r>
    <x v="993"/>
    <x v="262"/>
    <x v="0"/>
    <x v="3"/>
    <x v="9"/>
    <x v="10"/>
    <x v="9"/>
    <x v="4"/>
    <x v="4"/>
    <x v="0"/>
    <x v="2"/>
    <x v="4"/>
    <x v="0"/>
    <x v="0"/>
    <x v="5"/>
    <x v="15"/>
    <x v="10"/>
    <x v="99"/>
    <x v="93"/>
    <x v="451"/>
    <x v="218"/>
    <x v="669"/>
    <x v="1"/>
    <x v="1"/>
    <x v="2"/>
  </r>
  <r>
    <x v="994"/>
    <x v="269"/>
    <x v="0"/>
    <x v="3"/>
    <x v="9"/>
    <x v="10"/>
    <x v="9"/>
    <x v="4"/>
    <x v="4"/>
    <x v="1"/>
    <x v="2"/>
    <x v="4"/>
    <x v="4"/>
    <x v="8"/>
    <x v="15"/>
    <x v="9"/>
    <x v="7"/>
    <x v="239"/>
    <x v="227"/>
    <x v="163"/>
    <x v="509"/>
    <x v="654"/>
    <x v="1"/>
    <x v="1"/>
    <x v="2"/>
  </r>
  <r>
    <x v="995"/>
    <x v="249"/>
    <x v="0"/>
    <x v="3"/>
    <x v="9"/>
    <x v="10"/>
    <x v="9"/>
    <x v="4"/>
    <x v="4"/>
    <x v="0"/>
    <x v="2"/>
    <x v="4"/>
    <x v="4"/>
    <x v="8"/>
    <x v="5"/>
    <x v="9"/>
    <x v="7"/>
    <x v="46"/>
    <x v="56"/>
    <x v="298"/>
    <x v="79"/>
    <x v="385"/>
    <x v="1"/>
    <x v="1"/>
    <x v="2"/>
  </r>
  <r>
    <x v="996"/>
    <x v="256"/>
    <x v="0"/>
    <x v="3"/>
    <x v="9"/>
    <x v="10"/>
    <x v="9"/>
    <x v="4"/>
    <x v="4"/>
    <x v="1"/>
    <x v="1"/>
    <x v="2"/>
    <x v="7"/>
    <x v="14"/>
    <x v="19"/>
    <x v="18"/>
    <x v="12"/>
    <x v="449"/>
    <x v="421"/>
    <x v="394"/>
    <x v="889"/>
    <x v="502"/>
    <x v="1"/>
    <x v="1"/>
    <x v="2"/>
  </r>
  <r>
    <x v="997"/>
    <x v="263"/>
    <x v="0"/>
    <x v="3"/>
    <x v="9"/>
    <x v="10"/>
    <x v="9"/>
    <x v="4"/>
    <x v="4"/>
    <x v="0"/>
    <x v="1"/>
    <x v="2"/>
    <x v="7"/>
    <x v="14"/>
    <x v="6"/>
    <x v="18"/>
    <x v="12"/>
    <x v="150"/>
    <x v="157"/>
    <x v="570"/>
    <x v="241"/>
    <x v="280"/>
    <x v="1"/>
    <x v="1"/>
    <x v="2"/>
  </r>
  <r>
    <x v="998"/>
    <x v="243"/>
    <x v="0"/>
    <x v="3"/>
    <x v="9"/>
    <x v="10"/>
    <x v="9"/>
    <x v="4"/>
    <x v="4"/>
    <x v="1"/>
    <x v="1"/>
    <x v="2"/>
    <x v="6"/>
    <x v="12"/>
    <x v="18"/>
    <x v="3"/>
    <x v="2"/>
    <x v="70"/>
    <x v="63"/>
    <x v="31"/>
    <x v="200"/>
    <x v="1090"/>
    <x v="1"/>
    <x v="1"/>
    <x v="2"/>
  </r>
  <r>
    <x v="999"/>
    <x v="250"/>
    <x v="0"/>
    <x v="3"/>
    <x v="9"/>
    <x v="10"/>
    <x v="9"/>
    <x v="4"/>
    <x v="4"/>
    <x v="0"/>
    <x v="1"/>
    <x v="2"/>
    <x v="6"/>
    <x v="12"/>
    <x v="6"/>
    <x v="3"/>
    <x v="2"/>
    <x v="5"/>
    <x v="6"/>
    <x v="90"/>
    <x v="10"/>
    <x v="832"/>
    <x v="2"/>
    <x v="1"/>
    <x v="1"/>
  </r>
  <r>
    <x v="1000"/>
    <x v="284"/>
    <x v="0"/>
    <x v="3"/>
    <x v="10"/>
    <x v="9"/>
    <x v="10"/>
    <x v="0"/>
    <x v="0"/>
    <x v="1"/>
    <x v="3"/>
    <x v="6"/>
    <x v="1"/>
    <x v="2"/>
    <x v="24"/>
    <x v="25"/>
    <x v="16"/>
    <x v="873"/>
    <x v="775"/>
    <x v="1246"/>
    <x v="1615"/>
    <x v="264"/>
    <x v="0"/>
    <x v="1"/>
    <x v="0"/>
  </r>
  <r>
    <x v="1001"/>
    <x v="291"/>
    <x v="0"/>
    <x v="3"/>
    <x v="10"/>
    <x v="9"/>
    <x v="10"/>
    <x v="0"/>
    <x v="0"/>
    <x v="0"/>
    <x v="3"/>
    <x v="6"/>
    <x v="1"/>
    <x v="2"/>
    <x v="8"/>
    <x v="25"/>
    <x v="16"/>
    <x v="813"/>
    <x v="728"/>
    <x v="1293"/>
    <x v="1494"/>
    <x v="128"/>
    <x v="1"/>
    <x v="1"/>
    <x v="0"/>
  </r>
  <r>
    <x v="1002"/>
    <x v="271"/>
    <x v="0"/>
    <x v="3"/>
    <x v="10"/>
    <x v="9"/>
    <x v="10"/>
    <x v="0"/>
    <x v="0"/>
    <x v="1"/>
    <x v="3"/>
    <x v="6"/>
    <x v="2"/>
    <x v="4"/>
    <x v="29"/>
    <x v="22"/>
    <x v="14"/>
    <x v="822"/>
    <x v="735"/>
    <x v="1081"/>
    <x v="1552"/>
    <x v="368"/>
    <x v="0"/>
    <x v="1"/>
    <x v="0"/>
  </r>
  <r>
    <x v="1003"/>
    <x v="278"/>
    <x v="0"/>
    <x v="3"/>
    <x v="10"/>
    <x v="9"/>
    <x v="10"/>
    <x v="0"/>
    <x v="0"/>
    <x v="0"/>
    <x v="3"/>
    <x v="6"/>
    <x v="2"/>
    <x v="4"/>
    <x v="7"/>
    <x v="22"/>
    <x v="14"/>
    <x v="583"/>
    <x v="548"/>
    <x v="1099"/>
    <x v="1052"/>
    <x v="189"/>
    <x v="1"/>
    <x v="1"/>
    <x v="0"/>
  </r>
  <r>
    <x v="1004"/>
    <x v="285"/>
    <x v="0"/>
    <x v="3"/>
    <x v="10"/>
    <x v="9"/>
    <x v="10"/>
    <x v="0"/>
    <x v="0"/>
    <x v="1"/>
    <x v="3"/>
    <x v="6"/>
    <x v="5"/>
    <x v="10"/>
    <x v="21"/>
    <x v="28"/>
    <x v="18"/>
    <x v="884"/>
    <x v="789"/>
    <x v="1273"/>
    <x v="1616"/>
    <x v="100"/>
    <x v="1"/>
    <x v="1"/>
    <x v="0"/>
  </r>
  <r>
    <x v="1005"/>
    <x v="292"/>
    <x v="0"/>
    <x v="3"/>
    <x v="10"/>
    <x v="9"/>
    <x v="10"/>
    <x v="0"/>
    <x v="0"/>
    <x v="0"/>
    <x v="3"/>
    <x v="6"/>
    <x v="5"/>
    <x v="10"/>
    <x v="9"/>
    <x v="28"/>
    <x v="18"/>
    <x v="842"/>
    <x v="752"/>
    <x v="1314"/>
    <x v="1536"/>
    <x v="24"/>
    <x v="2"/>
    <x v="1"/>
    <x v="0"/>
  </r>
  <r>
    <x v="1006"/>
    <x v="272"/>
    <x v="0"/>
    <x v="3"/>
    <x v="10"/>
    <x v="9"/>
    <x v="10"/>
    <x v="0"/>
    <x v="0"/>
    <x v="1"/>
    <x v="0"/>
    <x v="0"/>
    <x v="3"/>
    <x v="6"/>
    <x v="98"/>
    <x v="0"/>
    <x v="0"/>
    <x v="471"/>
    <x v="381"/>
    <x v="422"/>
    <x v="1080"/>
    <x v="1236"/>
    <x v="1"/>
    <x v="1"/>
    <x v="2"/>
  </r>
  <r>
    <x v="1007"/>
    <x v="279"/>
    <x v="0"/>
    <x v="3"/>
    <x v="10"/>
    <x v="9"/>
    <x v="10"/>
    <x v="0"/>
    <x v="0"/>
    <x v="0"/>
    <x v="0"/>
    <x v="0"/>
    <x v="3"/>
    <x v="6"/>
    <x v="42"/>
    <x v="0"/>
    <x v="0"/>
    <x v="195"/>
    <x v="150"/>
    <x v="644"/>
    <x v="484"/>
    <x v="1027"/>
    <x v="1"/>
    <x v="1"/>
    <x v="2"/>
  </r>
  <r>
    <x v="1008"/>
    <x v="286"/>
    <x v="0"/>
    <x v="3"/>
    <x v="10"/>
    <x v="9"/>
    <x v="10"/>
    <x v="0"/>
    <x v="0"/>
    <x v="1"/>
    <x v="0"/>
    <x v="0"/>
    <x v="8"/>
    <x v="16"/>
    <x v="105"/>
    <x v="12"/>
    <x v="6"/>
    <x v="803"/>
    <x v="704"/>
    <x v="1010"/>
    <x v="1548"/>
    <x v="1151"/>
    <x v="0"/>
    <x v="1"/>
    <x v="0"/>
  </r>
  <r>
    <x v="1009"/>
    <x v="293"/>
    <x v="0"/>
    <x v="3"/>
    <x v="10"/>
    <x v="9"/>
    <x v="10"/>
    <x v="0"/>
    <x v="0"/>
    <x v="0"/>
    <x v="0"/>
    <x v="0"/>
    <x v="8"/>
    <x v="16"/>
    <x v="44"/>
    <x v="12"/>
    <x v="6"/>
    <x v="609"/>
    <x v="517"/>
    <x v="1120"/>
    <x v="1233"/>
    <x v="895"/>
    <x v="0"/>
    <x v="1"/>
    <x v="0"/>
  </r>
  <r>
    <x v="1010"/>
    <x v="273"/>
    <x v="0"/>
    <x v="3"/>
    <x v="10"/>
    <x v="9"/>
    <x v="10"/>
    <x v="0"/>
    <x v="0"/>
    <x v="1"/>
    <x v="0"/>
    <x v="0"/>
    <x v="9"/>
    <x v="18"/>
    <x v="113"/>
    <x v="6"/>
    <x v="4"/>
    <x v="762"/>
    <x v="675"/>
    <x v="890"/>
    <x v="1476"/>
    <x v="814"/>
    <x v="0"/>
    <x v="1"/>
    <x v="0"/>
  </r>
  <r>
    <x v="1011"/>
    <x v="280"/>
    <x v="0"/>
    <x v="3"/>
    <x v="10"/>
    <x v="9"/>
    <x v="10"/>
    <x v="0"/>
    <x v="0"/>
    <x v="0"/>
    <x v="0"/>
    <x v="0"/>
    <x v="9"/>
    <x v="18"/>
    <x v="46"/>
    <x v="6"/>
    <x v="4"/>
    <x v="495"/>
    <x v="443"/>
    <x v="1027"/>
    <x v="982"/>
    <x v="533"/>
    <x v="0"/>
    <x v="1"/>
    <x v="0"/>
  </r>
  <r>
    <x v="1012"/>
    <x v="287"/>
    <x v="0"/>
    <x v="3"/>
    <x v="10"/>
    <x v="9"/>
    <x v="10"/>
    <x v="0"/>
    <x v="0"/>
    <x v="1"/>
    <x v="2"/>
    <x v="4"/>
    <x v="0"/>
    <x v="0"/>
    <x v="55"/>
    <x v="15"/>
    <x v="10"/>
    <x v="729"/>
    <x v="640"/>
    <x v="819"/>
    <x v="1435"/>
    <x v="959"/>
    <x v="0"/>
    <x v="1"/>
    <x v="0"/>
  </r>
  <r>
    <x v="1013"/>
    <x v="294"/>
    <x v="0"/>
    <x v="3"/>
    <x v="10"/>
    <x v="9"/>
    <x v="10"/>
    <x v="0"/>
    <x v="0"/>
    <x v="0"/>
    <x v="2"/>
    <x v="4"/>
    <x v="0"/>
    <x v="0"/>
    <x v="21"/>
    <x v="15"/>
    <x v="10"/>
    <x v="453"/>
    <x v="399"/>
    <x v="996"/>
    <x v="919"/>
    <x v="666"/>
    <x v="1"/>
    <x v="1"/>
    <x v="2"/>
  </r>
  <r>
    <x v="1014"/>
    <x v="274"/>
    <x v="0"/>
    <x v="3"/>
    <x v="10"/>
    <x v="9"/>
    <x v="10"/>
    <x v="0"/>
    <x v="0"/>
    <x v="1"/>
    <x v="2"/>
    <x v="4"/>
    <x v="4"/>
    <x v="8"/>
    <x v="63"/>
    <x v="9"/>
    <x v="7"/>
    <x v="672"/>
    <x v="605"/>
    <x v="718"/>
    <x v="1299"/>
    <x v="656"/>
    <x v="0"/>
    <x v="1"/>
    <x v="0"/>
  </r>
  <r>
    <x v="1015"/>
    <x v="281"/>
    <x v="0"/>
    <x v="3"/>
    <x v="10"/>
    <x v="9"/>
    <x v="10"/>
    <x v="0"/>
    <x v="0"/>
    <x v="0"/>
    <x v="2"/>
    <x v="4"/>
    <x v="4"/>
    <x v="8"/>
    <x v="19"/>
    <x v="9"/>
    <x v="7"/>
    <x v="312"/>
    <x v="286"/>
    <x v="805"/>
    <x v="584"/>
    <x v="385"/>
    <x v="1"/>
    <x v="1"/>
    <x v="2"/>
  </r>
  <r>
    <x v="1016"/>
    <x v="288"/>
    <x v="0"/>
    <x v="3"/>
    <x v="10"/>
    <x v="9"/>
    <x v="10"/>
    <x v="0"/>
    <x v="0"/>
    <x v="1"/>
    <x v="1"/>
    <x v="2"/>
    <x v="7"/>
    <x v="14"/>
    <x v="66"/>
    <x v="18"/>
    <x v="12"/>
    <x v="778"/>
    <x v="696"/>
    <x v="931"/>
    <x v="1465"/>
    <x v="503"/>
    <x v="0"/>
    <x v="1"/>
    <x v="0"/>
  </r>
  <r>
    <x v="1017"/>
    <x v="295"/>
    <x v="0"/>
    <x v="3"/>
    <x v="10"/>
    <x v="9"/>
    <x v="10"/>
    <x v="0"/>
    <x v="0"/>
    <x v="0"/>
    <x v="1"/>
    <x v="2"/>
    <x v="7"/>
    <x v="14"/>
    <x v="31"/>
    <x v="18"/>
    <x v="12"/>
    <x v="605"/>
    <x v="555"/>
    <x v="1114"/>
    <x v="1120"/>
    <x v="279"/>
    <x v="0"/>
    <x v="1"/>
    <x v="0"/>
  </r>
  <r>
    <x v="1018"/>
    <x v="275"/>
    <x v="0"/>
    <x v="3"/>
    <x v="10"/>
    <x v="9"/>
    <x v="10"/>
    <x v="0"/>
    <x v="0"/>
    <x v="1"/>
    <x v="1"/>
    <x v="2"/>
    <x v="6"/>
    <x v="12"/>
    <x v="76"/>
    <x v="3"/>
    <x v="2"/>
    <x v="460"/>
    <x v="390"/>
    <x v="407"/>
    <x v="1022"/>
    <x v="1099"/>
    <x v="1"/>
    <x v="1"/>
    <x v="2"/>
  </r>
  <r>
    <x v="1019"/>
    <x v="282"/>
    <x v="0"/>
    <x v="3"/>
    <x v="10"/>
    <x v="9"/>
    <x v="10"/>
    <x v="0"/>
    <x v="0"/>
    <x v="0"/>
    <x v="1"/>
    <x v="2"/>
    <x v="6"/>
    <x v="12"/>
    <x v="29"/>
    <x v="3"/>
    <x v="2"/>
    <x v="161"/>
    <x v="136"/>
    <x v="589"/>
    <x v="375"/>
    <x v="828"/>
    <x v="1"/>
    <x v="1"/>
    <x v="2"/>
  </r>
  <r>
    <x v="1020"/>
    <x v="289"/>
    <x v="0"/>
    <x v="3"/>
    <x v="10"/>
    <x v="9"/>
    <x v="10"/>
    <x v="1"/>
    <x v="1"/>
    <x v="1"/>
    <x v="3"/>
    <x v="6"/>
    <x v="1"/>
    <x v="2"/>
    <x v="15"/>
    <x v="25"/>
    <x v="16"/>
    <x v="848"/>
    <x v="753"/>
    <x v="1170"/>
    <x v="1580"/>
    <x v="262"/>
    <x v="0"/>
    <x v="1"/>
    <x v="0"/>
  </r>
  <r>
    <x v="1021"/>
    <x v="296"/>
    <x v="0"/>
    <x v="3"/>
    <x v="10"/>
    <x v="9"/>
    <x v="10"/>
    <x v="1"/>
    <x v="1"/>
    <x v="0"/>
    <x v="3"/>
    <x v="6"/>
    <x v="1"/>
    <x v="2"/>
    <x v="5"/>
    <x v="25"/>
    <x v="16"/>
    <x v="768"/>
    <x v="698"/>
    <x v="1245"/>
    <x v="1381"/>
    <x v="126"/>
    <x v="1"/>
    <x v="1"/>
    <x v="0"/>
  </r>
  <r>
    <x v="1022"/>
    <x v="276"/>
    <x v="0"/>
    <x v="3"/>
    <x v="10"/>
    <x v="9"/>
    <x v="10"/>
    <x v="1"/>
    <x v="1"/>
    <x v="1"/>
    <x v="3"/>
    <x v="6"/>
    <x v="2"/>
    <x v="4"/>
    <x v="12"/>
    <x v="22"/>
    <x v="14"/>
    <x v="710"/>
    <x v="652"/>
    <x v="779"/>
    <x v="1313"/>
    <x v="369"/>
    <x v="0"/>
    <x v="1"/>
    <x v="0"/>
  </r>
  <r>
    <x v="1023"/>
    <x v="283"/>
    <x v="0"/>
    <x v="3"/>
    <x v="10"/>
    <x v="9"/>
    <x v="10"/>
    <x v="1"/>
    <x v="1"/>
    <x v="0"/>
    <x v="3"/>
    <x v="6"/>
    <x v="2"/>
    <x v="4"/>
    <x v="4"/>
    <x v="22"/>
    <x v="14"/>
    <x v="445"/>
    <x v="429"/>
    <x v="985"/>
    <x v="786"/>
    <x v="187"/>
    <x v="1"/>
    <x v="1"/>
    <x v="2"/>
  </r>
  <r>
    <x v="1024"/>
    <x v="290"/>
    <x v="0"/>
    <x v="3"/>
    <x v="10"/>
    <x v="9"/>
    <x v="10"/>
    <x v="1"/>
    <x v="1"/>
    <x v="1"/>
    <x v="3"/>
    <x v="6"/>
    <x v="5"/>
    <x v="10"/>
    <x v="11"/>
    <x v="28"/>
    <x v="18"/>
    <x v="851"/>
    <x v="762"/>
    <x v="1181"/>
    <x v="1571"/>
    <x v="102"/>
    <x v="1"/>
    <x v="1"/>
    <x v="0"/>
  </r>
  <r>
    <x v="1025"/>
    <x v="270"/>
    <x v="0"/>
    <x v="3"/>
    <x v="10"/>
    <x v="9"/>
    <x v="10"/>
    <x v="1"/>
    <x v="1"/>
    <x v="0"/>
    <x v="3"/>
    <x v="6"/>
    <x v="5"/>
    <x v="10"/>
    <x v="3"/>
    <x v="28"/>
    <x v="18"/>
    <x v="760"/>
    <x v="707"/>
    <x v="1242"/>
    <x v="1278"/>
    <x v="25"/>
    <x v="2"/>
    <x v="1"/>
    <x v="0"/>
  </r>
  <r>
    <x v="1026"/>
    <x v="277"/>
    <x v="0"/>
    <x v="3"/>
    <x v="10"/>
    <x v="9"/>
    <x v="10"/>
    <x v="1"/>
    <x v="1"/>
    <x v="1"/>
    <x v="0"/>
    <x v="0"/>
    <x v="3"/>
    <x v="6"/>
    <x v="72"/>
    <x v="0"/>
    <x v="0"/>
    <x v="357"/>
    <x v="282"/>
    <x v="272"/>
    <x v="868"/>
    <x v="1229"/>
    <x v="1"/>
    <x v="1"/>
    <x v="2"/>
  </r>
  <r>
    <x v="1027"/>
    <x v="284"/>
    <x v="0"/>
    <x v="3"/>
    <x v="10"/>
    <x v="9"/>
    <x v="10"/>
    <x v="1"/>
    <x v="1"/>
    <x v="0"/>
    <x v="0"/>
    <x v="0"/>
    <x v="3"/>
    <x v="6"/>
    <x v="25"/>
    <x v="0"/>
    <x v="0"/>
    <x v="83"/>
    <x v="65"/>
    <x v="403"/>
    <x v="224"/>
    <x v="1028"/>
    <x v="1"/>
    <x v="1"/>
    <x v="2"/>
  </r>
  <r>
    <x v="1028"/>
    <x v="291"/>
    <x v="0"/>
    <x v="3"/>
    <x v="10"/>
    <x v="9"/>
    <x v="10"/>
    <x v="1"/>
    <x v="1"/>
    <x v="1"/>
    <x v="0"/>
    <x v="0"/>
    <x v="8"/>
    <x v="16"/>
    <x v="71"/>
    <x v="12"/>
    <x v="6"/>
    <x v="733"/>
    <x v="631"/>
    <x v="828"/>
    <x v="1448"/>
    <x v="1149"/>
    <x v="0"/>
    <x v="1"/>
    <x v="0"/>
  </r>
  <r>
    <x v="1029"/>
    <x v="271"/>
    <x v="0"/>
    <x v="3"/>
    <x v="10"/>
    <x v="9"/>
    <x v="10"/>
    <x v="1"/>
    <x v="1"/>
    <x v="0"/>
    <x v="0"/>
    <x v="0"/>
    <x v="8"/>
    <x v="16"/>
    <x v="29"/>
    <x v="12"/>
    <x v="6"/>
    <x v="479"/>
    <x v="403"/>
    <x v="1014"/>
    <x v="1006"/>
    <x v="894"/>
    <x v="1"/>
    <x v="1"/>
    <x v="2"/>
  </r>
  <r>
    <x v="1030"/>
    <x v="278"/>
    <x v="0"/>
    <x v="3"/>
    <x v="10"/>
    <x v="9"/>
    <x v="10"/>
    <x v="1"/>
    <x v="1"/>
    <x v="1"/>
    <x v="0"/>
    <x v="0"/>
    <x v="9"/>
    <x v="18"/>
    <x v="77"/>
    <x v="6"/>
    <x v="4"/>
    <x v="658"/>
    <x v="584"/>
    <x v="699"/>
    <x v="1300"/>
    <x v="808"/>
    <x v="0"/>
    <x v="1"/>
    <x v="0"/>
  </r>
  <r>
    <x v="1031"/>
    <x v="285"/>
    <x v="0"/>
    <x v="3"/>
    <x v="10"/>
    <x v="9"/>
    <x v="10"/>
    <x v="1"/>
    <x v="1"/>
    <x v="0"/>
    <x v="0"/>
    <x v="0"/>
    <x v="9"/>
    <x v="18"/>
    <x v="22"/>
    <x v="6"/>
    <x v="4"/>
    <x v="262"/>
    <x v="239"/>
    <x v="740"/>
    <x v="537"/>
    <x v="533"/>
    <x v="1"/>
    <x v="1"/>
    <x v="2"/>
  </r>
  <r>
    <x v="1032"/>
    <x v="292"/>
    <x v="0"/>
    <x v="3"/>
    <x v="10"/>
    <x v="9"/>
    <x v="10"/>
    <x v="1"/>
    <x v="1"/>
    <x v="1"/>
    <x v="2"/>
    <x v="4"/>
    <x v="0"/>
    <x v="0"/>
    <x v="30"/>
    <x v="15"/>
    <x v="10"/>
    <x v="570"/>
    <x v="494"/>
    <x v="570"/>
    <x v="1186"/>
    <x v="960"/>
    <x v="0"/>
    <x v="1"/>
    <x v="0"/>
  </r>
  <r>
    <x v="1033"/>
    <x v="272"/>
    <x v="0"/>
    <x v="3"/>
    <x v="10"/>
    <x v="9"/>
    <x v="10"/>
    <x v="1"/>
    <x v="1"/>
    <x v="0"/>
    <x v="2"/>
    <x v="4"/>
    <x v="0"/>
    <x v="0"/>
    <x v="11"/>
    <x v="15"/>
    <x v="10"/>
    <x v="262"/>
    <x v="230"/>
    <x v="740"/>
    <x v="557"/>
    <x v="668"/>
    <x v="1"/>
    <x v="1"/>
    <x v="2"/>
  </r>
  <r>
    <x v="1034"/>
    <x v="279"/>
    <x v="0"/>
    <x v="3"/>
    <x v="10"/>
    <x v="9"/>
    <x v="10"/>
    <x v="1"/>
    <x v="1"/>
    <x v="1"/>
    <x v="2"/>
    <x v="4"/>
    <x v="4"/>
    <x v="8"/>
    <x v="28"/>
    <x v="9"/>
    <x v="7"/>
    <x v="422"/>
    <x v="394"/>
    <x v="366"/>
    <x v="878"/>
    <x v="650"/>
    <x v="1"/>
    <x v="1"/>
    <x v="2"/>
  </r>
  <r>
    <x v="1035"/>
    <x v="286"/>
    <x v="0"/>
    <x v="3"/>
    <x v="10"/>
    <x v="9"/>
    <x v="10"/>
    <x v="1"/>
    <x v="1"/>
    <x v="0"/>
    <x v="2"/>
    <x v="4"/>
    <x v="4"/>
    <x v="8"/>
    <x v="12"/>
    <x v="9"/>
    <x v="7"/>
    <x v="183"/>
    <x v="179"/>
    <x v="625"/>
    <x v="335"/>
    <x v="385"/>
    <x v="1"/>
    <x v="1"/>
    <x v="2"/>
  </r>
  <r>
    <x v="1036"/>
    <x v="293"/>
    <x v="0"/>
    <x v="3"/>
    <x v="10"/>
    <x v="9"/>
    <x v="10"/>
    <x v="1"/>
    <x v="1"/>
    <x v="1"/>
    <x v="1"/>
    <x v="2"/>
    <x v="7"/>
    <x v="14"/>
    <x v="43"/>
    <x v="18"/>
    <x v="12"/>
    <x v="691"/>
    <x v="625"/>
    <x v="745"/>
    <x v="1304"/>
    <x v="499"/>
    <x v="0"/>
    <x v="1"/>
    <x v="0"/>
  </r>
  <r>
    <x v="1037"/>
    <x v="273"/>
    <x v="0"/>
    <x v="3"/>
    <x v="10"/>
    <x v="9"/>
    <x v="10"/>
    <x v="1"/>
    <x v="1"/>
    <x v="0"/>
    <x v="1"/>
    <x v="2"/>
    <x v="7"/>
    <x v="14"/>
    <x v="16"/>
    <x v="18"/>
    <x v="12"/>
    <x v="399"/>
    <x v="375"/>
    <x v="920"/>
    <x v="725"/>
    <x v="280"/>
    <x v="1"/>
    <x v="1"/>
    <x v="2"/>
  </r>
  <r>
    <x v="1038"/>
    <x v="280"/>
    <x v="0"/>
    <x v="3"/>
    <x v="10"/>
    <x v="9"/>
    <x v="10"/>
    <x v="1"/>
    <x v="1"/>
    <x v="1"/>
    <x v="1"/>
    <x v="2"/>
    <x v="6"/>
    <x v="12"/>
    <x v="41"/>
    <x v="3"/>
    <x v="2"/>
    <x v="255"/>
    <x v="211"/>
    <x v="180"/>
    <x v="611"/>
    <x v="1102"/>
    <x v="1"/>
    <x v="1"/>
    <x v="2"/>
  </r>
  <r>
    <x v="1039"/>
    <x v="287"/>
    <x v="0"/>
    <x v="3"/>
    <x v="10"/>
    <x v="9"/>
    <x v="10"/>
    <x v="1"/>
    <x v="1"/>
    <x v="0"/>
    <x v="1"/>
    <x v="2"/>
    <x v="6"/>
    <x v="12"/>
    <x v="15"/>
    <x v="3"/>
    <x v="2"/>
    <x v="46"/>
    <x v="45"/>
    <x v="298"/>
    <x v="112"/>
    <x v="827"/>
    <x v="1"/>
    <x v="1"/>
    <x v="2"/>
  </r>
  <r>
    <x v="1040"/>
    <x v="294"/>
    <x v="0"/>
    <x v="3"/>
    <x v="10"/>
    <x v="9"/>
    <x v="10"/>
    <x v="3"/>
    <x v="3"/>
    <x v="1"/>
    <x v="3"/>
    <x v="6"/>
    <x v="1"/>
    <x v="2"/>
    <x v="11"/>
    <x v="25"/>
    <x v="16"/>
    <x v="832"/>
    <x v="742"/>
    <x v="1111"/>
    <x v="1560"/>
    <x v="269"/>
    <x v="0"/>
    <x v="1"/>
    <x v="0"/>
  </r>
  <r>
    <x v="1041"/>
    <x v="274"/>
    <x v="0"/>
    <x v="3"/>
    <x v="10"/>
    <x v="9"/>
    <x v="10"/>
    <x v="3"/>
    <x v="3"/>
    <x v="0"/>
    <x v="3"/>
    <x v="6"/>
    <x v="1"/>
    <x v="2"/>
    <x v="2"/>
    <x v="25"/>
    <x v="16"/>
    <x v="634"/>
    <x v="592"/>
    <x v="1142"/>
    <x v="1126"/>
    <x v="131"/>
    <x v="1"/>
    <x v="1"/>
    <x v="0"/>
  </r>
  <r>
    <x v="1042"/>
    <x v="281"/>
    <x v="0"/>
    <x v="3"/>
    <x v="10"/>
    <x v="9"/>
    <x v="10"/>
    <x v="3"/>
    <x v="3"/>
    <x v="1"/>
    <x v="3"/>
    <x v="6"/>
    <x v="2"/>
    <x v="4"/>
    <x v="10"/>
    <x v="22"/>
    <x v="14"/>
    <x v="665"/>
    <x v="616"/>
    <x v="708"/>
    <x v="1252"/>
    <x v="360"/>
    <x v="0"/>
    <x v="1"/>
    <x v="0"/>
  </r>
  <r>
    <x v="1043"/>
    <x v="288"/>
    <x v="0"/>
    <x v="3"/>
    <x v="10"/>
    <x v="9"/>
    <x v="10"/>
    <x v="3"/>
    <x v="3"/>
    <x v="0"/>
    <x v="3"/>
    <x v="6"/>
    <x v="2"/>
    <x v="4"/>
    <x v="2"/>
    <x v="22"/>
    <x v="14"/>
    <x v="316"/>
    <x v="304"/>
    <x v="809"/>
    <x v="525"/>
    <x v="190"/>
    <x v="1"/>
    <x v="1"/>
    <x v="2"/>
  </r>
  <r>
    <x v="1044"/>
    <x v="295"/>
    <x v="0"/>
    <x v="3"/>
    <x v="10"/>
    <x v="9"/>
    <x v="10"/>
    <x v="3"/>
    <x v="3"/>
    <x v="1"/>
    <x v="3"/>
    <x v="6"/>
    <x v="5"/>
    <x v="10"/>
    <x v="11"/>
    <x v="28"/>
    <x v="18"/>
    <x v="851"/>
    <x v="762"/>
    <x v="1181"/>
    <x v="1571"/>
    <x v="102"/>
    <x v="1"/>
    <x v="1"/>
    <x v="0"/>
  </r>
  <r>
    <x v="1045"/>
    <x v="275"/>
    <x v="0"/>
    <x v="3"/>
    <x v="10"/>
    <x v="9"/>
    <x v="10"/>
    <x v="3"/>
    <x v="3"/>
    <x v="0"/>
    <x v="3"/>
    <x v="6"/>
    <x v="5"/>
    <x v="10"/>
    <x v="2"/>
    <x v="28"/>
    <x v="18"/>
    <x v="721"/>
    <x v="673"/>
    <x v="1203"/>
    <x v="1183"/>
    <x v="28"/>
    <x v="2"/>
    <x v="1"/>
    <x v="0"/>
  </r>
  <r>
    <x v="1046"/>
    <x v="282"/>
    <x v="0"/>
    <x v="3"/>
    <x v="10"/>
    <x v="9"/>
    <x v="10"/>
    <x v="3"/>
    <x v="3"/>
    <x v="1"/>
    <x v="0"/>
    <x v="0"/>
    <x v="3"/>
    <x v="6"/>
    <x v="47"/>
    <x v="0"/>
    <x v="0"/>
    <x v="225"/>
    <x v="174"/>
    <x v="148"/>
    <x v="587"/>
    <x v="1233"/>
    <x v="1"/>
    <x v="1"/>
    <x v="2"/>
  </r>
  <r>
    <x v="1047"/>
    <x v="289"/>
    <x v="0"/>
    <x v="3"/>
    <x v="10"/>
    <x v="9"/>
    <x v="10"/>
    <x v="3"/>
    <x v="3"/>
    <x v="0"/>
    <x v="0"/>
    <x v="0"/>
    <x v="3"/>
    <x v="6"/>
    <x v="17"/>
    <x v="0"/>
    <x v="0"/>
    <x v="38"/>
    <x v="33"/>
    <x v="249"/>
    <x v="101"/>
    <x v="1021"/>
    <x v="1"/>
    <x v="1"/>
    <x v="2"/>
  </r>
  <r>
    <x v="1048"/>
    <x v="296"/>
    <x v="0"/>
    <x v="3"/>
    <x v="10"/>
    <x v="9"/>
    <x v="10"/>
    <x v="3"/>
    <x v="3"/>
    <x v="1"/>
    <x v="0"/>
    <x v="0"/>
    <x v="8"/>
    <x v="16"/>
    <x v="43"/>
    <x v="12"/>
    <x v="6"/>
    <x v="602"/>
    <x v="511"/>
    <x v="614"/>
    <x v="1256"/>
    <x v="1156"/>
    <x v="0"/>
    <x v="1"/>
    <x v="0"/>
  </r>
  <r>
    <x v="1049"/>
    <x v="276"/>
    <x v="0"/>
    <x v="3"/>
    <x v="10"/>
    <x v="9"/>
    <x v="10"/>
    <x v="3"/>
    <x v="3"/>
    <x v="0"/>
    <x v="0"/>
    <x v="0"/>
    <x v="8"/>
    <x v="16"/>
    <x v="20"/>
    <x v="12"/>
    <x v="6"/>
    <x v="361"/>
    <x v="294"/>
    <x v="867"/>
    <x v="795"/>
    <x v="897"/>
    <x v="1"/>
    <x v="1"/>
    <x v="2"/>
  </r>
  <r>
    <x v="1050"/>
    <x v="283"/>
    <x v="0"/>
    <x v="3"/>
    <x v="10"/>
    <x v="9"/>
    <x v="10"/>
    <x v="3"/>
    <x v="3"/>
    <x v="1"/>
    <x v="0"/>
    <x v="0"/>
    <x v="9"/>
    <x v="18"/>
    <x v="57"/>
    <x v="6"/>
    <x v="4"/>
    <x v="569"/>
    <x v="502"/>
    <x v="568"/>
    <x v="1168"/>
    <x v="810"/>
    <x v="0"/>
    <x v="1"/>
    <x v="0"/>
  </r>
  <r>
    <x v="1051"/>
    <x v="290"/>
    <x v="0"/>
    <x v="3"/>
    <x v="10"/>
    <x v="9"/>
    <x v="10"/>
    <x v="3"/>
    <x v="3"/>
    <x v="0"/>
    <x v="0"/>
    <x v="0"/>
    <x v="9"/>
    <x v="18"/>
    <x v="17"/>
    <x v="6"/>
    <x v="4"/>
    <x v="196"/>
    <x v="180"/>
    <x v="646"/>
    <x v="398"/>
    <x v="535"/>
    <x v="1"/>
    <x v="1"/>
    <x v="2"/>
  </r>
  <r>
    <x v="1052"/>
    <x v="270"/>
    <x v="0"/>
    <x v="3"/>
    <x v="10"/>
    <x v="9"/>
    <x v="10"/>
    <x v="3"/>
    <x v="3"/>
    <x v="1"/>
    <x v="2"/>
    <x v="4"/>
    <x v="0"/>
    <x v="0"/>
    <x v="23"/>
    <x v="15"/>
    <x v="10"/>
    <x v="483"/>
    <x v="420"/>
    <x v="438"/>
    <x v="1038"/>
    <x v="958"/>
    <x v="1"/>
    <x v="1"/>
    <x v="2"/>
  </r>
  <r>
    <x v="1053"/>
    <x v="277"/>
    <x v="0"/>
    <x v="3"/>
    <x v="10"/>
    <x v="9"/>
    <x v="10"/>
    <x v="3"/>
    <x v="3"/>
    <x v="0"/>
    <x v="2"/>
    <x v="4"/>
    <x v="0"/>
    <x v="0"/>
    <x v="6"/>
    <x v="15"/>
    <x v="10"/>
    <x v="130"/>
    <x v="116"/>
    <x v="525"/>
    <x v="281"/>
    <x v="665"/>
    <x v="1"/>
    <x v="1"/>
    <x v="2"/>
  </r>
  <r>
    <x v="1054"/>
    <x v="284"/>
    <x v="0"/>
    <x v="3"/>
    <x v="10"/>
    <x v="9"/>
    <x v="10"/>
    <x v="3"/>
    <x v="3"/>
    <x v="1"/>
    <x v="2"/>
    <x v="4"/>
    <x v="4"/>
    <x v="8"/>
    <x v="25"/>
    <x v="9"/>
    <x v="7"/>
    <x v="389"/>
    <x v="358"/>
    <x v="313"/>
    <x v="810"/>
    <x v="652"/>
    <x v="1"/>
    <x v="1"/>
    <x v="2"/>
  </r>
  <r>
    <x v="1055"/>
    <x v="291"/>
    <x v="0"/>
    <x v="3"/>
    <x v="10"/>
    <x v="9"/>
    <x v="10"/>
    <x v="3"/>
    <x v="3"/>
    <x v="0"/>
    <x v="2"/>
    <x v="4"/>
    <x v="4"/>
    <x v="8"/>
    <x v="7"/>
    <x v="9"/>
    <x v="7"/>
    <x v="84"/>
    <x v="89"/>
    <x v="409"/>
    <x v="144"/>
    <x v="383"/>
    <x v="1"/>
    <x v="1"/>
    <x v="2"/>
  </r>
  <r>
    <x v="1056"/>
    <x v="271"/>
    <x v="0"/>
    <x v="3"/>
    <x v="10"/>
    <x v="9"/>
    <x v="10"/>
    <x v="3"/>
    <x v="3"/>
    <x v="1"/>
    <x v="1"/>
    <x v="2"/>
    <x v="7"/>
    <x v="14"/>
    <x v="32"/>
    <x v="18"/>
    <x v="12"/>
    <x v="613"/>
    <x v="561"/>
    <x v="628"/>
    <x v="1192"/>
    <x v="503"/>
    <x v="0"/>
    <x v="1"/>
    <x v="0"/>
  </r>
  <r>
    <x v="1057"/>
    <x v="278"/>
    <x v="0"/>
    <x v="3"/>
    <x v="10"/>
    <x v="9"/>
    <x v="10"/>
    <x v="3"/>
    <x v="3"/>
    <x v="0"/>
    <x v="1"/>
    <x v="2"/>
    <x v="7"/>
    <x v="14"/>
    <x v="11"/>
    <x v="18"/>
    <x v="12"/>
    <x v="288"/>
    <x v="279"/>
    <x v="776"/>
    <x v="522"/>
    <x v="274"/>
    <x v="1"/>
    <x v="1"/>
    <x v="2"/>
  </r>
  <r>
    <x v="1058"/>
    <x v="285"/>
    <x v="0"/>
    <x v="3"/>
    <x v="10"/>
    <x v="9"/>
    <x v="10"/>
    <x v="3"/>
    <x v="3"/>
    <x v="1"/>
    <x v="1"/>
    <x v="2"/>
    <x v="6"/>
    <x v="12"/>
    <x v="26"/>
    <x v="3"/>
    <x v="2"/>
    <x v="136"/>
    <x v="115"/>
    <x v="80"/>
    <x v="353"/>
    <x v="1089"/>
    <x v="1"/>
    <x v="1"/>
    <x v="2"/>
  </r>
  <r>
    <x v="1059"/>
    <x v="292"/>
    <x v="0"/>
    <x v="3"/>
    <x v="10"/>
    <x v="9"/>
    <x v="10"/>
    <x v="3"/>
    <x v="3"/>
    <x v="0"/>
    <x v="1"/>
    <x v="2"/>
    <x v="6"/>
    <x v="12"/>
    <x v="9"/>
    <x v="3"/>
    <x v="2"/>
    <x v="13"/>
    <x v="16"/>
    <x v="157"/>
    <x v="37"/>
    <x v="831"/>
    <x v="1"/>
    <x v="1"/>
    <x v="2"/>
  </r>
  <r>
    <x v="1060"/>
    <x v="272"/>
    <x v="0"/>
    <x v="3"/>
    <x v="10"/>
    <x v="9"/>
    <x v="10"/>
    <x v="2"/>
    <x v="2"/>
    <x v="1"/>
    <x v="3"/>
    <x v="6"/>
    <x v="1"/>
    <x v="2"/>
    <x v="6"/>
    <x v="25"/>
    <x v="16"/>
    <x v="789"/>
    <x v="711"/>
    <x v="967"/>
    <x v="1460"/>
    <x v="270"/>
    <x v="0"/>
    <x v="1"/>
    <x v="0"/>
  </r>
  <r>
    <x v="1061"/>
    <x v="279"/>
    <x v="0"/>
    <x v="3"/>
    <x v="10"/>
    <x v="9"/>
    <x v="10"/>
    <x v="2"/>
    <x v="2"/>
    <x v="0"/>
    <x v="3"/>
    <x v="6"/>
    <x v="1"/>
    <x v="2"/>
    <x v="2"/>
    <x v="25"/>
    <x v="16"/>
    <x v="634"/>
    <x v="592"/>
    <x v="1142"/>
    <x v="1126"/>
    <x v="131"/>
    <x v="1"/>
    <x v="1"/>
    <x v="0"/>
  </r>
  <r>
    <x v="1062"/>
    <x v="286"/>
    <x v="0"/>
    <x v="3"/>
    <x v="10"/>
    <x v="9"/>
    <x v="10"/>
    <x v="2"/>
    <x v="2"/>
    <x v="1"/>
    <x v="3"/>
    <x v="6"/>
    <x v="2"/>
    <x v="4"/>
    <x v="6"/>
    <x v="22"/>
    <x v="14"/>
    <x v="548"/>
    <x v="514"/>
    <x v="531"/>
    <x v="1033"/>
    <x v="371"/>
    <x v="0"/>
    <x v="1"/>
    <x v="0"/>
  </r>
  <r>
    <x v="1063"/>
    <x v="293"/>
    <x v="0"/>
    <x v="3"/>
    <x v="10"/>
    <x v="9"/>
    <x v="10"/>
    <x v="2"/>
    <x v="2"/>
    <x v="0"/>
    <x v="3"/>
    <x v="6"/>
    <x v="2"/>
    <x v="4"/>
    <x v="1"/>
    <x v="22"/>
    <x v="14"/>
    <x v="220"/>
    <x v="229"/>
    <x v="677"/>
    <x v="345"/>
    <x v="191"/>
    <x v="1"/>
    <x v="1"/>
    <x v="2"/>
  </r>
  <r>
    <x v="1064"/>
    <x v="273"/>
    <x v="0"/>
    <x v="3"/>
    <x v="10"/>
    <x v="9"/>
    <x v="10"/>
    <x v="2"/>
    <x v="2"/>
    <x v="1"/>
    <x v="3"/>
    <x v="6"/>
    <x v="5"/>
    <x v="10"/>
    <x v="5"/>
    <x v="28"/>
    <x v="18"/>
    <x v="808"/>
    <x v="731"/>
    <x v="1028"/>
    <x v="1457"/>
    <x v="90"/>
    <x v="1"/>
    <x v="1"/>
    <x v="0"/>
  </r>
  <r>
    <x v="1065"/>
    <x v="280"/>
    <x v="0"/>
    <x v="3"/>
    <x v="10"/>
    <x v="9"/>
    <x v="10"/>
    <x v="2"/>
    <x v="2"/>
    <x v="0"/>
    <x v="3"/>
    <x v="6"/>
    <x v="5"/>
    <x v="10"/>
    <x v="1"/>
    <x v="28"/>
    <x v="18"/>
    <x v="644"/>
    <x v="623"/>
    <x v="1150"/>
    <x v="1000"/>
    <x v="23"/>
    <x v="2"/>
    <x v="1"/>
    <x v="0"/>
  </r>
  <r>
    <x v="1066"/>
    <x v="287"/>
    <x v="0"/>
    <x v="3"/>
    <x v="10"/>
    <x v="9"/>
    <x v="10"/>
    <x v="2"/>
    <x v="2"/>
    <x v="1"/>
    <x v="0"/>
    <x v="0"/>
    <x v="3"/>
    <x v="6"/>
    <x v="41"/>
    <x v="0"/>
    <x v="0"/>
    <x v="186"/>
    <x v="145"/>
    <x v="121"/>
    <x v="521"/>
    <x v="1231"/>
    <x v="1"/>
    <x v="1"/>
    <x v="2"/>
  </r>
  <r>
    <x v="1067"/>
    <x v="294"/>
    <x v="0"/>
    <x v="3"/>
    <x v="10"/>
    <x v="9"/>
    <x v="10"/>
    <x v="2"/>
    <x v="2"/>
    <x v="0"/>
    <x v="0"/>
    <x v="0"/>
    <x v="3"/>
    <x v="6"/>
    <x v="13"/>
    <x v="0"/>
    <x v="0"/>
    <x v="17"/>
    <x v="17"/>
    <x v="185"/>
    <x v="55"/>
    <x v="1022"/>
    <x v="1"/>
    <x v="1"/>
    <x v="2"/>
  </r>
  <r>
    <x v="1068"/>
    <x v="274"/>
    <x v="0"/>
    <x v="3"/>
    <x v="10"/>
    <x v="9"/>
    <x v="10"/>
    <x v="2"/>
    <x v="2"/>
    <x v="1"/>
    <x v="0"/>
    <x v="0"/>
    <x v="8"/>
    <x v="16"/>
    <x v="39"/>
    <x v="12"/>
    <x v="6"/>
    <x v="575"/>
    <x v="484"/>
    <x v="578"/>
    <x v="1221"/>
    <x v="1154"/>
    <x v="0"/>
    <x v="1"/>
    <x v="0"/>
  </r>
  <r>
    <x v="1069"/>
    <x v="281"/>
    <x v="0"/>
    <x v="3"/>
    <x v="10"/>
    <x v="9"/>
    <x v="10"/>
    <x v="2"/>
    <x v="2"/>
    <x v="0"/>
    <x v="0"/>
    <x v="0"/>
    <x v="8"/>
    <x v="16"/>
    <x v="14"/>
    <x v="12"/>
    <x v="6"/>
    <x v="258"/>
    <x v="212"/>
    <x v="725"/>
    <x v="577"/>
    <x v="893"/>
    <x v="1"/>
    <x v="1"/>
    <x v="2"/>
  </r>
  <r>
    <x v="1070"/>
    <x v="288"/>
    <x v="0"/>
    <x v="3"/>
    <x v="10"/>
    <x v="9"/>
    <x v="10"/>
    <x v="2"/>
    <x v="2"/>
    <x v="1"/>
    <x v="0"/>
    <x v="0"/>
    <x v="9"/>
    <x v="18"/>
    <x v="41"/>
    <x v="6"/>
    <x v="4"/>
    <x v="456"/>
    <x v="410"/>
    <x v="404"/>
    <x v="963"/>
    <x v="809"/>
    <x v="1"/>
    <x v="1"/>
    <x v="2"/>
  </r>
  <r>
    <x v="1071"/>
    <x v="295"/>
    <x v="0"/>
    <x v="3"/>
    <x v="10"/>
    <x v="9"/>
    <x v="10"/>
    <x v="2"/>
    <x v="2"/>
    <x v="0"/>
    <x v="0"/>
    <x v="0"/>
    <x v="9"/>
    <x v="18"/>
    <x v="16"/>
    <x v="6"/>
    <x v="4"/>
    <x v="176"/>
    <x v="168"/>
    <x v="618"/>
    <x v="367"/>
    <x v="526"/>
    <x v="1"/>
    <x v="1"/>
    <x v="2"/>
  </r>
  <r>
    <x v="1072"/>
    <x v="275"/>
    <x v="0"/>
    <x v="3"/>
    <x v="10"/>
    <x v="9"/>
    <x v="10"/>
    <x v="2"/>
    <x v="2"/>
    <x v="1"/>
    <x v="2"/>
    <x v="4"/>
    <x v="0"/>
    <x v="0"/>
    <x v="18"/>
    <x v="15"/>
    <x v="10"/>
    <x v="407"/>
    <x v="350"/>
    <x v="334"/>
    <x v="894"/>
    <x v="951"/>
    <x v="1"/>
    <x v="1"/>
    <x v="2"/>
  </r>
  <r>
    <x v="1073"/>
    <x v="282"/>
    <x v="0"/>
    <x v="3"/>
    <x v="10"/>
    <x v="9"/>
    <x v="10"/>
    <x v="2"/>
    <x v="2"/>
    <x v="0"/>
    <x v="2"/>
    <x v="4"/>
    <x v="0"/>
    <x v="0"/>
    <x v="5"/>
    <x v="15"/>
    <x v="10"/>
    <x v="99"/>
    <x v="93"/>
    <x v="451"/>
    <x v="218"/>
    <x v="669"/>
    <x v="1"/>
    <x v="1"/>
    <x v="2"/>
  </r>
  <r>
    <x v="1074"/>
    <x v="289"/>
    <x v="0"/>
    <x v="3"/>
    <x v="10"/>
    <x v="9"/>
    <x v="10"/>
    <x v="2"/>
    <x v="2"/>
    <x v="1"/>
    <x v="2"/>
    <x v="4"/>
    <x v="4"/>
    <x v="8"/>
    <x v="15"/>
    <x v="9"/>
    <x v="7"/>
    <x v="239"/>
    <x v="227"/>
    <x v="163"/>
    <x v="509"/>
    <x v="654"/>
    <x v="1"/>
    <x v="1"/>
    <x v="2"/>
  </r>
  <r>
    <x v="1075"/>
    <x v="296"/>
    <x v="0"/>
    <x v="3"/>
    <x v="10"/>
    <x v="9"/>
    <x v="10"/>
    <x v="2"/>
    <x v="2"/>
    <x v="0"/>
    <x v="2"/>
    <x v="4"/>
    <x v="4"/>
    <x v="8"/>
    <x v="6"/>
    <x v="9"/>
    <x v="7"/>
    <x v="65"/>
    <x v="71"/>
    <x v="357"/>
    <x v="109"/>
    <x v="384"/>
    <x v="1"/>
    <x v="1"/>
    <x v="2"/>
  </r>
  <r>
    <x v="1076"/>
    <x v="276"/>
    <x v="0"/>
    <x v="3"/>
    <x v="10"/>
    <x v="9"/>
    <x v="10"/>
    <x v="2"/>
    <x v="2"/>
    <x v="1"/>
    <x v="1"/>
    <x v="2"/>
    <x v="7"/>
    <x v="14"/>
    <x v="20"/>
    <x v="18"/>
    <x v="12"/>
    <x v="468"/>
    <x v="436"/>
    <x v="420"/>
    <x v="913"/>
    <x v="493"/>
    <x v="1"/>
    <x v="1"/>
    <x v="2"/>
  </r>
  <r>
    <x v="1077"/>
    <x v="283"/>
    <x v="0"/>
    <x v="3"/>
    <x v="10"/>
    <x v="9"/>
    <x v="10"/>
    <x v="2"/>
    <x v="2"/>
    <x v="0"/>
    <x v="1"/>
    <x v="2"/>
    <x v="7"/>
    <x v="14"/>
    <x v="6"/>
    <x v="18"/>
    <x v="12"/>
    <x v="150"/>
    <x v="157"/>
    <x v="570"/>
    <x v="241"/>
    <x v="280"/>
    <x v="1"/>
    <x v="1"/>
    <x v="2"/>
  </r>
  <r>
    <x v="1078"/>
    <x v="290"/>
    <x v="0"/>
    <x v="3"/>
    <x v="10"/>
    <x v="9"/>
    <x v="10"/>
    <x v="2"/>
    <x v="2"/>
    <x v="1"/>
    <x v="1"/>
    <x v="2"/>
    <x v="6"/>
    <x v="12"/>
    <x v="18"/>
    <x v="3"/>
    <x v="2"/>
    <x v="70"/>
    <x v="63"/>
    <x v="31"/>
    <x v="200"/>
    <x v="1090"/>
    <x v="1"/>
    <x v="1"/>
    <x v="2"/>
  </r>
  <r>
    <x v="1079"/>
    <x v="270"/>
    <x v="0"/>
    <x v="3"/>
    <x v="10"/>
    <x v="9"/>
    <x v="10"/>
    <x v="2"/>
    <x v="2"/>
    <x v="0"/>
    <x v="1"/>
    <x v="2"/>
    <x v="6"/>
    <x v="12"/>
    <x v="6"/>
    <x v="3"/>
    <x v="2"/>
    <x v="5"/>
    <x v="6"/>
    <x v="90"/>
    <x v="10"/>
    <x v="832"/>
    <x v="2"/>
    <x v="1"/>
    <x v="1"/>
  </r>
  <r>
    <x v="1080"/>
    <x v="277"/>
    <x v="0"/>
    <x v="3"/>
    <x v="10"/>
    <x v="9"/>
    <x v="10"/>
    <x v="4"/>
    <x v="4"/>
    <x v="1"/>
    <x v="3"/>
    <x v="6"/>
    <x v="1"/>
    <x v="2"/>
    <x v="7"/>
    <x v="25"/>
    <x v="16"/>
    <x v="804"/>
    <x v="721"/>
    <x v="1013"/>
    <x v="1493"/>
    <x v="268"/>
    <x v="0"/>
    <x v="1"/>
    <x v="0"/>
  </r>
  <r>
    <x v="1081"/>
    <x v="284"/>
    <x v="0"/>
    <x v="3"/>
    <x v="10"/>
    <x v="9"/>
    <x v="10"/>
    <x v="4"/>
    <x v="4"/>
    <x v="0"/>
    <x v="3"/>
    <x v="6"/>
    <x v="1"/>
    <x v="2"/>
    <x v="1"/>
    <x v="25"/>
    <x v="16"/>
    <x v="548"/>
    <x v="519"/>
    <x v="1070"/>
    <x v="928"/>
    <x v="132"/>
    <x v="1"/>
    <x v="1"/>
    <x v="0"/>
  </r>
  <r>
    <x v="1082"/>
    <x v="291"/>
    <x v="0"/>
    <x v="3"/>
    <x v="10"/>
    <x v="9"/>
    <x v="10"/>
    <x v="4"/>
    <x v="4"/>
    <x v="1"/>
    <x v="3"/>
    <x v="6"/>
    <x v="2"/>
    <x v="4"/>
    <x v="6"/>
    <x v="22"/>
    <x v="14"/>
    <x v="548"/>
    <x v="514"/>
    <x v="531"/>
    <x v="1033"/>
    <x v="371"/>
    <x v="0"/>
    <x v="1"/>
    <x v="0"/>
  </r>
  <r>
    <x v="1083"/>
    <x v="271"/>
    <x v="0"/>
    <x v="3"/>
    <x v="10"/>
    <x v="9"/>
    <x v="10"/>
    <x v="4"/>
    <x v="4"/>
    <x v="0"/>
    <x v="3"/>
    <x v="6"/>
    <x v="2"/>
    <x v="4"/>
    <x v="1"/>
    <x v="22"/>
    <x v="14"/>
    <x v="220"/>
    <x v="229"/>
    <x v="677"/>
    <x v="345"/>
    <x v="191"/>
    <x v="1"/>
    <x v="1"/>
    <x v="2"/>
  </r>
  <r>
    <x v="1084"/>
    <x v="278"/>
    <x v="0"/>
    <x v="3"/>
    <x v="10"/>
    <x v="9"/>
    <x v="10"/>
    <x v="4"/>
    <x v="4"/>
    <x v="1"/>
    <x v="3"/>
    <x v="6"/>
    <x v="5"/>
    <x v="10"/>
    <x v="5"/>
    <x v="28"/>
    <x v="18"/>
    <x v="808"/>
    <x v="731"/>
    <x v="1028"/>
    <x v="1457"/>
    <x v="90"/>
    <x v="1"/>
    <x v="1"/>
    <x v="0"/>
  </r>
  <r>
    <x v="1085"/>
    <x v="285"/>
    <x v="0"/>
    <x v="3"/>
    <x v="10"/>
    <x v="9"/>
    <x v="10"/>
    <x v="4"/>
    <x v="4"/>
    <x v="0"/>
    <x v="3"/>
    <x v="6"/>
    <x v="5"/>
    <x v="10"/>
    <x v="1"/>
    <x v="28"/>
    <x v="18"/>
    <x v="644"/>
    <x v="623"/>
    <x v="1150"/>
    <x v="1000"/>
    <x v="23"/>
    <x v="2"/>
    <x v="1"/>
    <x v="0"/>
  </r>
  <r>
    <x v="1086"/>
    <x v="292"/>
    <x v="0"/>
    <x v="3"/>
    <x v="10"/>
    <x v="9"/>
    <x v="10"/>
    <x v="4"/>
    <x v="4"/>
    <x v="1"/>
    <x v="0"/>
    <x v="0"/>
    <x v="3"/>
    <x v="6"/>
    <x v="40"/>
    <x v="0"/>
    <x v="0"/>
    <x v="178"/>
    <x v="138"/>
    <x v="116"/>
    <x v="495"/>
    <x v="1238"/>
    <x v="1"/>
    <x v="1"/>
    <x v="2"/>
  </r>
  <r>
    <x v="1087"/>
    <x v="272"/>
    <x v="0"/>
    <x v="3"/>
    <x v="10"/>
    <x v="9"/>
    <x v="10"/>
    <x v="4"/>
    <x v="4"/>
    <x v="0"/>
    <x v="0"/>
    <x v="0"/>
    <x v="3"/>
    <x v="6"/>
    <x v="14"/>
    <x v="0"/>
    <x v="0"/>
    <x v="22"/>
    <x v="21"/>
    <x v="200"/>
    <x v="62"/>
    <x v="1031"/>
    <x v="1"/>
    <x v="1"/>
    <x v="2"/>
  </r>
  <r>
    <x v="1088"/>
    <x v="279"/>
    <x v="0"/>
    <x v="3"/>
    <x v="10"/>
    <x v="9"/>
    <x v="10"/>
    <x v="4"/>
    <x v="4"/>
    <x v="1"/>
    <x v="0"/>
    <x v="0"/>
    <x v="8"/>
    <x v="16"/>
    <x v="38"/>
    <x v="12"/>
    <x v="6"/>
    <x v="566"/>
    <x v="478"/>
    <x v="561"/>
    <x v="1214"/>
    <x v="1153"/>
    <x v="0"/>
    <x v="1"/>
    <x v="0"/>
  </r>
  <r>
    <x v="1089"/>
    <x v="286"/>
    <x v="0"/>
    <x v="3"/>
    <x v="10"/>
    <x v="9"/>
    <x v="10"/>
    <x v="4"/>
    <x v="4"/>
    <x v="0"/>
    <x v="0"/>
    <x v="0"/>
    <x v="8"/>
    <x v="16"/>
    <x v="11"/>
    <x v="12"/>
    <x v="6"/>
    <x v="196"/>
    <x v="161"/>
    <x v="646"/>
    <x v="452"/>
    <x v="898"/>
    <x v="1"/>
    <x v="1"/>
    <x v="2"/>
  </r>
  <r>
    <x v="1090"/>
    <x v="293"/>
    <x v="0"/>
    <x v="3"/>
    <x v="10"/>
    <x v="9"/>
    <x v="10"/>
    <x v="4"/>
    <x v="4"/>
    <x v="1"/>
    <x v="0"/>
    <x v="0"/>
    <x v="9"/>
    <x v="18"/>
    <x v="31"/>
    <x v="6"/>
    <x v="4"/>
    <x v="368"/>
    <x v="327"/>
    <x v="290"/>
    <x v="800"/>
    <x v="806"/>
    <x v="1"/>
    <x v="1"/>
    <x v="2"/>
  </r>
  <r>
    <x v="1091"/>
    <x v="273"/>
    <x v="0"/>
    <x v="3"/>
    <x v="10"/>
    <x v="9"/>
    <x v="10"/>
    <x v="4"/>
    <x v="4"/>
    <x v="0"/>
    <x v="0"/>
    <x v="0"/>
    <x v="9"/>
    <x v="18"/>
    <x v="12"/>
    <x v="6"/>
    <x v="4"/>
    <x v="118"/>
    <x v="112"/>
    <x v="495"/>
    <x v="231"/>
    <x v="525"/>
    <x v="1"/>
    <x v="1"/>
    <x v="2"/>
  </r>
  <r>
    <x v="1092"/>
    <x v="280"/>
    <x v="0"/>
    <x v="3"/>
    <x v="10"/>
    <x v="9"/>
    <x v="10"/>
    <x v="4"/>
    <x v="4"/>
    <x v="1"/>
    <x v="2"/>
    <x v="4"/>
    <x v="0"/>
    <x v="0"/>
    <x v="13"/>
    <x v="15"/>
    <x v="10"/>
    <x v="316"/>
    <x v="271"/>
    <x v="223"/>
    <x v="712"/>
    <x v="961"/>
    <x v="1"/>
    <x v="1"/>
    <x v="2"/>
  </r>
  <r>
    <x v="1093"/>
    <x v="287"/>
    <x v="0"/>
    <x v="3"/>
    <x v="10"/>
    <x v="9"/>
    <x v="10"/>
    <x v="4"/>
    <x v="4"/>
    <x v="0"/>
    <x v="2"/>
    <x v="4"/>
    <x v="0"/>
    <x v="0"/>
    <x v="6"/>
    <x v="15"/>
    <x v="10"/>
    <x v="130"/>
    <x v="116"/>
    <x v="525"/>
    <x v="281"/>
    <x v="665"/>
    <x v="1"/>
    <x v="1"/>
    <x v="2"/>
  </r>
  <r>
    <x v="1094"/>
    <x v="294"/>
    <x v="0"/>
    <x v="3"/>
    <x v="10"/>
    <x v="9"/>
    <x v="10"/>
    <x v="4"/>
    <x v="4"/>
    <x v="1"/>
    <x v="2"/>
    <x v="4"/>
    <x v="4"/>
    <x v="8"/>
    <x v="13"/>
    <x v="9"/>
    <x v="7"/>
    <x v="202"/>
    <x v="198"/>
    <x v="133"/>
    <x v="437"/>
    <x v="663"/>
    <x v="1"/>
    <x v="1"/>
    <x v="2"/>
  </r>
  <r>
    <x v="1095"/>
    <x v="274"/>
    <x v="0"/>
    <x v="3"/>
    <x v="10"/>
    <x v="9"/>
    <x v="10"/>
    <x v="4"/>
    <x v="4"/>
    <x v="0"/>
    <x v="2"/>
    <x v="4"/>
    <x v="4"/>
    <x v="8"/>
    <x v="5"/>
    <x v="9"/>
    <x v="7"/>
    <x v="46"/>
    <x v="56"/>
    <x v="298"/>
    <x v="79"/>
    <x v="385"/>
    <x v="1"/>
    <x v="1"/>
    <x v="2"/>
  </r>
  <r>
    <x v="1096"/>
    <x v="281"/>
    <x v="0"/>
    <x v="3"/>
    <x v="10"/>
    <x v="9"/>
    <x v="10"/>
    <x v="4"/>
    <x v="4"/>
    <x v="1"/>
    <x v="1"/>
    <x v="2"/>
    <x v="7"/>
    <x v="14"/>
    <x v="20"/>
    <x v="18"/>
    <x v="12"/>
    <x v="468"/>
    <x v="436"/>
    <x v="420"/>
    <x v="913"/>
    <x v="493"/>
    <x v="1"/>
    <x v="1"/>
    <x v="2"/>
  </r>
  <r>
    <x v="1097"/>
    <x v="288"/>
    <x v="0"/>
    <x v="3"/>
    <x v="10"/>
    <x v="9"/>
    <x v="10"/>
    <x v="4"/>
    <x v="4"/>
    <x v="0"/>
    <x v="1"/>
    <x v="2"/>
    <x v="7"/>
    <x v="14"/>
    <x v="8"/>
    <x v="18"/>
    <x v="12"/>
    <x v="207"/>
    <x v="206"/>
    <x v="661"/>
    <x v="365"/>
    <x v="280"/>
    <x v="1"/>
    <x v="1"/>
    <x v="2"/>
  </r>
  <r>
    <x v="1098"/>
    <x v="295"/>
    <x v="0"/>
    <x v="3"/>
    <x v="10"/>
    <x v="9"/>
    <x v="10"/>
    <x v="4"/>
    <x v="4"/>
    <x v="1"/>
    <x v="1"/>
    <x v="2"/>
    <x v="6"/>
    <x v="12"/>
    <x v="22"/>
    <x v="3"/>
    <x v="2"/>
    <x v="99"/>
    <x v="85"/>
    <x v="55"/>
    <x v="275"/>
    <x v="1101"/>
    <x v="1"/>
    <x v="1"/>
    <x v="2"/>
  </r>
  <r>
    <x v="1099"/>
    <x v="275"/>
    <x v="0"/>
    <x v="3"/>
    <x v="10"/>
    <x v="9"/>
    <x v="10"/>
    <x v="4"/>
    <x v="4"/>
    <x v="0"/>
    <x v="1"/>
    <x v="2"/>
    <x v="6"/>
    <x v="12"/>
    <x v="6"/>
    <x v="3"/>
    <x v="2"/>
    <x v="5"/>
    <x v="6"/>
    <x v="90"/>
    <x v="10"/>
    <x v="832"/>
    <x v="2"/>
    <x v="1"/>
    <x v="1"/>
  </r>
  <r>
    <x v="1100"/>
    <x v="309"/>
    <x v="0"/>
    <x v="3"/>
    <x v="11"/>
    <x v="2"/>
    <x v="11"/>
    <x v="0"/>
    <x v="0"/>
    <x v="1"/>
    <x v="3"/>
    <x v="6"/>
    <x v="1"/>
    <x v="2"/>
    <x v="34"/>
    <x v="25"/>
    <x v="16"/>
    <x v="889"/>
    <x v="790"/>
    <x v="1291"/>
    <x v="1621"/>
    <x v="265"/>
    <x v="0"/>
    <x v="1"/>
    <x v="0"/>
  </r>
  <r>
    <x v="1101"/>
    <x v="316"/>
    <x v="0"/>
    <x v="3"/>
    <x v="11"/>
    <x v="2"/>
    <x v="11"/>
    <x v="0"/>
    <x v="0"/>
    <x v="0"/>
    <x v="3"/>
    <x v="6"/>
    <x v="1"/>
    <x v="2"/>
    <x v="11"/>
    <x v="25"/>
    <x v="16"/>
    <x v="832"/>
    <x v="742"/>
    <x v="1307"/>
    <x v="1546"/>
    <x v="130"/>
    <x v="1"/>
    <x v="1"/>
    <x v="0"/>
  </r>
  <r>
    <x v="1102"/>
    <x v="323"/>
    <x v="0"/>
    <x v="3"/>
    <x v="11"/>
    <x v="2"/>
    <x v="11"/>
    <x v="0"/>
    <x v="0"/>
    <x v="1"/>
    <x v="3"/>
    <x v="6"/>
    <x v="2"/>
    <x v="4"/>
    <x v="31"/>
    <x v="22"/>
    <x v="14"/>
    <x v="829"/>
    <x v="739"/>
    <x v="1097"/>
    <x v="1559"/>
    <x v="365"/>
    <x v="0"/>
    <x v="1"/>
    <x v="0"/>
  </r>
  <r>
    <x v="1103"/>
    <x v="303"/>
    <x v="0"/>
    <x v="3"/>
    <x v="11"/>
    <x v="2"/>
    <x v="11"/>
    <x v="0"/>
    <x v="0"/>
    <x v="0"/>
    <x v="3"/>
    <x v="6"/>
    <x v="2"/>
    <x v="4"/>
    <x v="10"/>
    <x v="22"/>
    <x v="14"/>
    <x v="665"/>
    <x v="616"/>
    <x v="1167"/>
    <x v="1216"/>
    <x v="187"/>
    <x v="1"/>
    <x v="1"/>
    <x v="0"/>
  </r>
  <r>
    <x v="1104"/>
    <x v="310"/>
    <x v="0"/>
    <x v="3"/>
    <x v="11"/>
    <x v="2"/>
    <x v="11"/>
    <x v="0"/>
    <x v="0"/>
    <x v="1"/>
    <x v="3"/>
    <x v="6"/>
    <x v="5"/>
    <x v="10"/>
    <x v="24"/>
    <x v="28"/>
    <x v="18"/>
    <x v="888"/>
    <x v="793"/>
    <x v="1289"/>
    <x v="1619"/>
    <x v="94"/>
    <x v="1"/>
    <x v="1"/>
    <x v="0"/>
  </r>
  <r>
    <x v="1105"/>
    <x v="317"/>
    <x v="0"/>
    <x v="3"/>
    <x v="11"/>
    <x v="2"/>
    <x v="11"/>
    <x v="0"/>
    <x v="0"/>
    <x v="0"/>
    <x v="3"/>
    <x v="6"/>
    <x v="5"/>
    <x v="10"/>
    <x v="10"/>
    <x v="28"/>
    <x v="18"/>
    <x v="847"/>
    <x v="757"/>
    <x v="1317"/>
    <x v="1550"/>
    <x v="26"/>
    <x v="2"/>
    <x v="1"/>
    <x v="0"/>
  </r>
  <r>
    <x v="1106"/>
    <x v="297"/>
    <x v="0"/>
    <x v="3"/>
    <x v="11"/>
    <x v="2"/>
    <x v="11"/>
    <x v="0"/>
    <x v="0"/>
    <x v="1"/>
    <x v="0"/>
    <x v="0"/>
    <x v="3"/>
    <x v="6"/>
    <x v="117"/>
    <x v="0"/>
    <x v="0"/>
    <x v="614"/>
    <x v="507"/>
    <x v="629"/>
    <x v="1292"/>
    <x v="1235"/>
    <x v="0"/>
    <x v="1"/>
    <x v="0"/>
  </r>
  <r>
    <x v="1107"/>
    <x v="304"/>
    <x v="0"/>
    <x v="3"/>
    <x v="11"/>
    <x v="2"/>
    <x v="11"/>
    <x v="0"/>
    <x v="0"/>
    <x v="0"/>
    <x v="0"/>
    <x v="0"/>
    <x v="3"/>
    <x v="6"/>
    <x v="56"/>
    <x v="0"/>
    <x v="0"/>
    <x v="276"/>
    <x v="217"/>
    <x v="758"/>
    <x v="660"/>
    <x v="1025"/>
    <x v="1"/>
    <x v="1"/>
    <x v="2"/>
  </r>
  <r>
    <x v="1108"/>
    <x v="311"/>
    <x v="0"/>
    <x v="3"/>
    <x v="11"/>
    <x v="2"/>
    <x v="11"/>
    <x v="0"/>
    <x v="0"/>
    <x v="1"/>
    <x v="0"/>
    <x v="0"/>
    <x v="8"/>
    <x v="16"/>
    <x v="116"/>
    <x v="12"/>
    <x v="6"/>
    <x v="826"/>
    <x v="727"/>
    <x v="1091"/>
    <x v="1578"/>
    <x v="1143"/>
    <x v="0"/>
    <x v="1"/>
    <x v="0"/>
  </r>
  <r>
    <x v="1109"/>
    <x v="318"/>
    <x v="0"/>
    <x v="3"/>
    <x v="11"/>
    <x v="2"/>
    <x v="11"/>
    <x v="0"/>
    <x v="0"/>
    <x v="0"/>
    <x v="0"/>
    <x v="0"/>
    <x v="8"/>
    <x v="16"/>
    <x v="47"/>
    <x v="12"/>
    <x v="6"/>
    <x v="626"/>
    <x v="535"/>
    <x v="1135"/>
    <x v="1261"/>
    <x v="892"/>
    <x v="0"/>
    <x v="1"/>
    <x v="0"/>
  </r>
  <r>
    <x v="1110"/>
    <x v="298"/>
    <x v="0"/>
    <x v="3"/>
    <x v="11"/>
    <x v="2"/>
    <x v="11"/>
    <x v="0"/>
    <x v="0"/>
    <x v="1"/>
    <x v="0"/>
    <x v="0"/>
    <x v="9"/>
    <x v="18"/>
    <x v="114"/>
    <x v="6"/>
    <x v="4"/>
    <x v="772"/>
    <x v="684"/>
    <x v="916"/>
    <x v="1482"/>
    <x v="815"/>
    <x v="0"/>
    <x v="1"/>
    <x v="0"/>
  </r>
  <r>
    <x v="1111"/>
    <x v="305"/>
    <x v="0"/>
    <x v="3"/>
    <x v="11"/>
    <x v="2"/>
    <x v="11"/>
    <x v="0"/>
    <x v="0"/>
    <x v="0"/>
    <x v="0"/>
    <x v="0"/>
    <x v="9"/>
    <x v="18"/>
    <x v="60"/>
    <x v="6"/>
    <x v="4"/>
    <x v="582"/>
    <x v="516"/>
    <x v="1098"/>
    <x v="1150"/>
    <x v="532"/>
    <x v="0"/>
    <x v="1"/>
    <x v="0"/>
  </r>
  <r>
    <x v="1112"/>
    <x v="312"/>
    <x v="0"/>
    <x v="3"/>
    <x v="11"/>
    <x v="2"/>
    <x v="11"/>
    <x v="0"/>
    <x v="0"/>
    <x v="1"/>
    <x v="2"/>
    <x v="4"/>
    <x v="0"/>
    <x v="0"/>
    <x v="66"/>
    <x v="15"/>
    <x v="10"/>
    <x v="759"/>
    <x v="667"/>
    <x v="886"/>
    <x v="1478"/>
    <x v="957"/>
    <x v="0"/>
    <x v="1"/>
    <x v="0"/>
  </r>
  <r>
    <x v="1113"/>
    <x v="319"/>
    <x v="0"/>
    <x v="3"/>
    <x v="11"/>
    <x v="2"/>
    <x v="11"/>
    <x v="0"/>
    <x v="0"/>
    <x v="0"/>
    <x v="2"/>
    <x v="4"/>
    <x v="0"/>
    <x v="0"/>
    <x v="20"/>
    <x v="15"/>
    <x v="10"/>
    <x v="432"/>
    <x v="384"/>
    <x v="974"/>
    <x v="902"/>
    <x v="665"/>
    <x v="1"/>
    <x v="1"/>
    <x v="2"/>
  </r>
  <r>
    <x v="1114"/>
    <x v="299"/>
    <x v="0"/>
    <x v="3"/>
    <x v="11"/>
    <x v="2"/>
    <x v="11"/>
    <x v="0"/>
    <x v="0"/>
    <x v="1"/>
    <x v="2"/>
    <x v="4"/>
    <x v="4"/>
    <x v="8"/>
    <x v="59"/>
    <x v="9"/>
    <x v="7"/>
    <x v="653"/>
    <x v="589"/>
    <x v="693"/>
    <x v="1277"/>
    <x v="653"/>
    <x v="0"/>
    <x v="1"/>
    <x v="0"/>
  </r>
  <r>
    <x v="1115"/>
    <x v="306"/>
    <x v="0"/>
    <x v="3"/>
    <x v="11"/>
    <x v="2"/>
    <x v="11"/>
    <x v="0"/>
    <x v="0"/>
    <x v="0"/>
    <x v="2"/>
    <x v="4"/>
    <x v="4"/>
    <x v="8"/>
    <x v="25"/>
    <x v="9"/>
    <x v="7"/>
    <x v="389"/>
    <x v="358"/>
    <x v="910"/>
    <x v="753"/>
    <x v="386"/>
    <x v="1"/>
    <x v="1"/>
    <x v="2"/>
  </r>
  <r>
    <x v="1116"/>
    <x v="313"/>
    <x v="0"/>
    <x v="3"/>
    <x v="11"/>
    <x v="2"/>
    <x v="11"/>
    <x v="0"/>
    <x v="0"/>
    <x v="1"/>
    <x v="1"/>
    <x v="2"/>
    <x v="7"/>
    <x v="14"/>
    <x v="77"/>
    <x v="18"/>
    <x v="12"/>
    <x v="801"/>
    <x v="716"/>
    <x v="1005"/>
    <x v="1509"/>
    <x v="504"/>
    <x v="0"/>
    <x v="1"/>
    <x v="0"/>
  </r>
  <r>
    <x v="1117"/>
    <x v="320"/>
    <x v="0"/>
    <x v="3"/>
    <x v="11"/>
    <x v="2"/>
    <x v="11"/>
    <x v="0"/>
    <x v="0"/>
    <x v="0"/>
    <x v="1"/>
    <x v="2"/>
    <x v="7"/>
    <x v="14"/>
    <x v="29"/>
    <x v="18"/>
    <x v="12"/>
    <x v="582"/>
    <x v="538"/>
    <x v="1098"/>
    <x v="1079"/>
    <x v="278"/>
    <x v="0"/>
    <x v="1"/>
    <x v="0"/>
  </r>
  <r>
    <x v="1118"/>
    <x v="300"/>
    <x v="0"/>
    <x v="3"/>
    <x v="11"/>
    <x v="2"/>
    <x v="11"/>
    <x v="0"/>
    <x v="0"/>
    <x v="1"/>
    <x v="1"/>
    <x v="2"/>
    <x v="6"/>
    <x v="12"/>
    <x v="69"/>
    <x v="3"/>
    <x v="2"/>
    <x v="415"/>
    <x v="349"/>
    <x v="352"/>
    <x v="934"/>
    <x v="1094"/>
    <x v="1"/>
    <x v="1"/>
    <x v="2"/>
  </r>
  <r>
    <x v="1119"/>
    <x v="307"/>
    <x v="0"/>
    <x v="3"/>
    <x v="11"/>
    <x v="2"/>
    <x v="11"/>
    <x v="0"/>
    <x v="0"/>
    <x v="0"/>
    <x v="1"/>
    <x v="2"/>
    <x v="6"/>
    <x v="12"/>
    <x v="27"/>
    <x v="3"/>
    <x v="2"/>
    <x v="143"/>
    <x v="120"/>
    <x v="552"/>
    <x v="325"/>
    <x v="825"/>
    <x v="1"/>
    <x v="1"/>
    <x v="2"/>
  </r>
  <r>
    <x v="1120"/>
    <x v="314"/>
    <x v="0"/>
    <x v="3"/>
    <x v="11"/>
    <x v="2"/>
    <x v="11"/>
    <x v="1"/>
    <x v="1"/>
    <x v="1"/>
    <x v="3"/>
    <x v="6"/>
    <x v="1"/>
    <x v="2"/>
    <x v="15"/>
    <x v="25"/>
    <x v="16"/>
    <x v="848"/>
    <x v="753"/>
    <x v="1170"/>
    <x v="1580"/>
    <x v="262"/>
    <x v="0"/>
    <x v="1"/>
    <x v="0"/>
  </r>
  <r>
    <x v="1121"/>
    <x v="321"/>
    <x v="0"/>
    <x v="3"/>
    <x v="11"/>
    <x v="2"/>
    <x v="11"/>
    <x v="1"/>
    <x v="1"/>
    <x v="0"/>
    <x v="3"/>
    <x v="6"/>
    <x v="1"/>
    <x v="2"/>
    <x v="4"/>
    <x v="25"/>
    <x v="16"/>
    <x v="739"/>
    <x v="671"/>
    <x v="1216"/>
    <x v="1309"/>
    <x v="127"/>
    <x v="1"/>
    <x v="1"/>
    <x v="0"/>
  </r>
  <r>
    <x v="1122"/>
    <x v="301"/>
    <x v="0"/>
    <x v="3"/>
    <x v="11"/>
    <x v="2"/>
    <x v="11"/>
    <x v="1"/>
    <x v="1"/>
    <x v="1"/>
    <x v="3"/>
    <x v="6"/>
    <x v="2"/>
    <x v="4"/>
    <x v="15"/>
    <x v="22"/>
    <x v="14"/>
    <x v="751"/>
    <x v="682"/>
    <x v="864"/>
    <x v="1395"/>
    <x v="367"/>
    <x v="0"/>
    <x v="1"/>
    <x v="0"/>
  </r>
  <r>
    <x v="1123"/>
    <x v="308"/>
    <x v="0"/>
    <x v="3"/>
    <x v="11"/>
    <x v="2"/>
    <x v="11"/>
    <x v="1"/>
    <x v="1"/>
    <x v="0"/>
    <x v="3"/>
    <x v="6"/>
    <x v="2"/>
    <x v="4"/>
    <x v="6"/>
    <x v="22"/>
    <x v="14"/>
    <x v="548"/>
    <x v="514"/>
    <x v="1070"/>
    <x v="964"/>
    <x v="190"/>
    <x v="1"/>
    <x v="1"/>
    <x v="0"/>
  </r>
  <r>
    <x v="1124"/>
    <x v="315"/>
    <x v="0"/>
    <x v="3"/>
    <x v="11"/>
    <x v="2"/>
    <x v="11"/>
    <x v="1"/>
    <x v="1"/>
    <x v="1"/>
    <x v="3"/>
    <x v="6"/>
    <x v="5"/>
    <x v="10"/>
    <x v="17"/>
    <x v="28"/>
    <x v="18"/>
    <x v="874"/>
    <x v="779"/>
    <x v="1247"/>
    <x v="1605"/>
    <x v="96"/>
    <x v="1"/>
    <x v="1"/>
    <x v="0"/>
  </r>
  <r>
    <x v="1125"/>
    <x v="322"/>
    <x v="0"/>
    <x v="3"/>
    <x v="11"/>
    <x v="2"/>
    <x v="11"/>
    <x v="1"/>
    <x v="1"/>
    <x v="0"/>
    <x v="3"/>
    <x v="6"/>
    <x v="5"/>
    <x v="10"/>
    <x v="4"/>
    <x v="28"/>
    <x v="18"/>
    <x v="793"/>
    <x v="724"/>
    <x v="1265"/>
    <x v="1362"/>
    <x v="23"/>
    <x v="2"/>
    <x v="1"/>
    <x v="0"/>
  </r>
  <r>
    <x v="1126"/>
    <x v="302"/>
    <x v="0"/>
    <x v="3"/>
    <x v="11"/>
    <x v="2"/>
    <x v="11"/>
    <x v="1"/>
    <x v="1"/>
    <x v="1"/>
    <x v="0"/>
    <x v="0"/>
    <x v="3"/>
    <x v="6"/>
    <x v="88"/>
    <x v="0"/>
    <x v="0"/>
    <x v="425"/>
    <x v="342"/>
    <x v="369"/>
    <x v="1003"/>
    <x v="1232"/>
    <x v="1"/>
    <x v="1"/>
    <x v="2"/>
  </r>
  <r>
    <x v="1127"/>
    <x v="309"/>
    <x v="0"/>
    <x v="3"/>
    <x v="11"/>
    <x v="2"/>
    <x v="11"/>
    <x v="1"/>
    <x v="1"/>
    <x v="0"/>
    <x v="0"/>
    <x v="0"/>
    <x v="3"/>
    <x v="6"/>
    <x v="32"/>
    <x v="0"/>
    <x v="0"/>
    <x v="127"/>
    <x v="98"/>
    <x v="520"/>
    <x v="328"/>
    <x v="1026"/>
    <x v="1"/>
    <x v="1"/>
    <x v="2"/>
  </r>
  <r>
    <x v="1128"/>
    <x v="316"/>
    <x v="0"/>
    <x v="3"/>
    <x v="11"/>
    <x v="2"/>
    <x v="11"/>
    <x v="1"/>
    <x v="1"/>
    <x v="1"/>
    <x v="0"/>
    <x v="0"/>
    <x v="8"/>
    <x v="16"/>
    <x v="81"/>
    <x v="12"/>
    <x v="6"/>
    <x v="756"/>
    <x v="659"/>
    <x v="881"/>
    <x v="1490"/>
    <x v="1141"/>
    <x v="0"/>
    <x v="1"/>
    <x v="0"/>
  </r>
  <r>
    <x v="1129"/>
    <x v="323"/>
    <x v="0"/>
    <x v="3"/>
    <x v="11"/>
    <x v="2"/>
    <x v="11"/>
    <x v="1"/>
    <x v="1"/>
    <x v="0"/>
    <x v="0"/>
    <x v="0"/>
    <x v="8"/>
    <x v="16"/>
    <x v="26"/>
    <x v="12"/>
    <x v="6"/>
    <x v="435"/>
    <x v="369"/>
    <x v="978"/>
    <x v="935"/>
    <x v="888"/>
    <x v="1"/>
    <x v="1"/>
    <x v="2"/>
  </r>
  <r>
    <x v="1130"/>
    <x v="303"/>
    <x v="0"/>
    <x v="3"/>
    <x v="11"/>
    <x v="2"/>
    <x v="11"/>
    <x v="1"/>
    <x v="1"/>
    <x v="1"/>
    <x v="0"/>
    <x v="0"/>
    <x v="9"/>
    <x v="18"/>
    <x v="90"/>
    <x v="6"/>
    <x v="4"/>
    <x v="699"/>
    <x v="620"/>
    <x v="765"/>
    <x v="1373"/>
    <x v="818"/>
    <x v="0"/>
    <x v="1"/>
    <x v="0"/>
  </r>
  <r>
    <x v="1131"/>
    <x v="310"/>
    <x v="0"/>
    <x v="3"/>
    <x v="11"/>
    <x v="2"/>
    <x v="11"/>
    <x v="1"/>
    <x v="1"/>
    <x v="0"/>
    <x v="0"/>
    <x v="0"/>
    <x v="9"/>
    <x v="18"/>
    <x v="28"/>
    <x v="6"/>
    <x v="4"/>
    <x v="342"/>
    <x v="297"/>
    <x v="839"/>
    <x v="685"/>
    <x v="528"/>
    <x v="1"/>
    <x v="1"/>
    <x v="2"/>
  </r>
  <r>
    <x v="1132"/>
    <x v="317"/>
    <x v="0"/>
    <x v="3"/>
    <x v="11"/>
    <x v="2"/>
    <x v="11"/>
    <x v="1"/>
    <x v="1"/>
    <x v="1"/>
    <x v="2"/>
    <x v="4"/>
    <x v="0"/>
    <x v="0"/>
    <x v="30"/>
    <x v="15"/>
    <x v="10"/>
    <x v="570"/>
    <x v="494"/>
    <x v="570"/>
    <x v="1186"/>
    <x v="960"/>
    <x v="0"/>
    <x v="1"/>
    <x v="0"/>
  </r>
  <r>
    <x v="1133"/>
    <x v="297"/>
    <x v="0"/>
    <x v="3"/>
    <x v="11"/>
    <x v="2"/>
    <x v="11"/>
    <x v="1"/>
    <x v="1"/>
    <x v="0"/>
    <x v="2"/>
    <x v="4"/>
    <x v="0"/>
    <x v="0"/>
    <x v="10"/>
    <x v="15"/>
    <x v="10"/>
    <x v="237"/>
    <x v="208"/>
    <x v="703"/>
    <x v="507"/>
    <x v="665"/>
    <x v="1"/>
    <x v="1"/>
    <x v="2"/>
  </r>
  <r>
    <x v="1134"/>
    <x v="304"/>
    <x v="0"/>
    <x v="3"/>
    <x v="11"/>
    <x v="2"/>
    <x v="11"/>
    <x v="1"/>
    <x v="1"/>
    <x v="1"/>
    <x v="2"/>
    <x v="4"/>
    <x v="4"/>
    <x v="8"/>
    <x v="39"/>
    <x v="9"/>
    <x v="7"/>
    <x v="538"/>
    <x v="485"/>
    <x v="516"/>
    <x v="1078"/>
    <x v="655"/>
    <x v="0"/>
    <x v="1"/>
    <x v="0"/>
  </r>
  <r>
    <x v="1135"/>
    <x v="311"/>
    <x v="0"/>
    <x v="3"/>
    <x v="11"/>
    <x v="2"/>
    <x v="11"/>
    <x v="1"/>
    <x v="1"/>
    <x v="0"/>
    <x v="2"/>
    <x v="4"/>
    <x v="4"/>
    <x v="8"/>
    <x v="11"/>
    <x v="9"/>
    <x v="7"/>
    <x v="165"/>
    <x v="162"/>
    <x v="597"/>
    <x v="297"/>
    <x v="387"/>
    <x v="1"/>
    <x v="1"/>
    <x v="2"/>
  </r>
  <r>
    <x v="1136"/>
    <x v="318"/>
    <x v="0"/>
    <x v="3"/>
    <x v="11"/>
    <x v="2"/>
    <x v="11"/>
    <x v="1"/>
    <x v="1"/>
    <x v="1"/>
    <x v="1"/>
    <x v="2"/>
    <x v="7"/>
    <x v="14"/>
    <x v="40"/>
    <x v="18"/>
    <x v="12"/>
    <x v="667"/>
    <x v="611"/>
    <x v="713"/>
    <x v="1279"/>
    <x v="502"/>
    <x v="0"/>
    <x v="1"/>
    <x v="0"/>
  </r>
  <r>
    <x v="1137"/>
    <x v="298"/>
    <x v="0"/>
    <x v="3"/>
    <x v="11"/>
    <x v="2"/>
    <x v="11"/>
    <x v="1"/>
    <x v="1"/>
    <x v="0"/>
    <x v="1"/>
    <x v="2"/>
    <x v="7"/>
    <x v="14"/>
    <x v="15"/>
    <x v="18"/>
    <x v="12"/>
    <x v="375"/>
    <x v="356"/>
    <x v="886"/>
    <x v="694"/>
    <x v="276"/>
    <x v="1"/>
    <x v="1"/>
    <x v="2"/>
  </r>
  <r>
    <x v="1138"/>
    <x v="305"/>
    <x v="0"/>
    <x v="3"/>
    <x v="11"/>
    <x v="2"/>
    <x v="11"/>
    <x v="1"/>
    <x v="1"/>
    <x v="1"/>
    <x v="1"/>
    <x v="2"/>
    <x v="6"/>
    <x v="12"/>
    <x v="40"/>
    <x v="3"/>
    <x v="2"/>
    <x v="248"/>
    <x v="204"/>
    <x v="169"/>
    <x v="588"/>
    <x v="1091"/>
    <x v="1"/>
    <x v="1"/>
    <x v="2"/>
  </r>
  <r>
    <x v="1139"/>
    <x v="312"/>
    <x v="0"/>
    <x v="3"/>
    <x v="11"/>
    <x v="2"/>
    <x v="11"/>
    <x v="1"/>
    <x v="1"/>
    <x v="0"/>
    <x v="1"/>
    <x v="2"/>
    <x v="6"/>
    <x v="12"/>
    <x v="18"/>
    <x v="3"/>
    <x v="2"/>
    <x v="70"/>
    <x v="63"/>
    <x v="372"/>
    <x v="166"/>
    <x v="826"/>
    <x v="1"/>
    <x v="1"/>
    <x v="2"/>
  </r>
  <r>
    <x v="1140"/>
    <x v="319"/>
    <x v="0"/>
    <x v="3"/>
    <x v="11"/>
    <x v="2"/>
    <x v="11"/>
    <x v="3"/>
    <x v="3"/>
    <x v="1"/>
    <x v="3"/>
    <x v="6"/>
    <x v="1"/>
    <x v="2"/>
    <x v="10"/>
    <x v="25"/>
    <x v="16"/>
    <x v="825"/>
    <x v="737"/>
    <x v="1089"/>
    <x v="1549"/>
    <x v="261"/>
    <x v="0"/>
    <x v="1"/>
    <x v="0"/>
  </r>
  <r>
    <x v="1141"/>
    <x v="299"/>
    <x v="0"/>
    <x v="3"/>
    <x v="11"/>
    <x v="2"/>
    <x v="11"/>
    <x v="3"/>
    <x v="3"/>
    <x v="0"/>
    <x v="3"/>
    <x v="6"/>
    <x v="1"/>
    <x v="2"/>
    <x v="4"/>
    <x v="25"/>
    <x v="16"/>
    <x v="739"/>
    <x v="671"/>
    <x v="1216"/>
    <x v="1309"/>
    <x v="127"/>
    <x v="1"/>
    <x v="1"/>
    <x v="0"/>
  </r>
  <r>
    <x v="1142"/>
    <x v="306"/>
    <x v="0"/>
    <x v="3"/>
    <x v="11"/>
    <x v="2"/>
    <x v="11"/>
    <x v="3"/>
    <x v="3"/>
    <x v="1"/>
    <x v="3"/>
    <x v="6"/>
    <x v="2"/>
    <x v="4"/>
    <x v="13"/>
    <x v="22"/>
    <x v="14"/>
    <x v="724"/>
    <x v="660"/>
    <x v="814"/>
    <x v="1346"/>
    <x v="360"/>
    <x v="0"/>
    <x v="1"/>
    <x v="0"/>
  </r>
  <r>
    <x v="1143"/>
    <x v="313"/>
    <x v="0"/>
    <x v="3"/>
    <x v="11"/>
    <x v="2"/>
    <x v="11"/>
    <x v="3"/>
    <x v="3"/>
    <x v="0"/>
    <x v="3"/>
    <x v="6"/>
    <x v="2"/>
    <x v="4"/>
    <x v="3"/>
    <x v="22"/>
    <x v="14"/>
    <x v="384"/>
    <x v="374"/>
    <x v="897"/>
    <x v="664"/>
    <x v="188"/>
    <x v="1"/>
    <x v="1"/>
    <x v="2"/>
  </r>
  <r>
    <x v="1144"/>
    <x v="320"/>
    <x v="0"/>
    <x v="3"/>
    <x v="11"/>
    <x v="2"/>
    <x v="11"/>
    <x v="3"/>
    <x v="3"/>
    <x v="1"/>
    <x v="3"/>
    <x v="6"/>
    <x v="5"/>
    <x v="10"/>
    <x v="11"/>
    <x v="28"/>
    <x v="18"/>
    <x v="851"/>
    <x v="762"/>
    <x v="1181"/>
    <x v="1571"/>
    <x v="102"/>
    <x v="1"/>
    <x v="1"/>
    <x v="0"/>
  </r>
  <r>
    <x v="1145"/>
    <x v="300"/>
    <x v="0"/>
    <x v="3"/>
    <x v="11"/>
    <x v="2"/>
    <x v="11"/>
    <x v="3"/>
    <x v="3"/>
    <x v="0"/>
    <x v="3"/>
    <x v="6"/>
    <x v="5"/>
    <x v="10"/>
    <x v="3"/>
    <x v="28"/>
    <x v="18"/>
    <x v="760"/>
    <x v="707"/>
    <x v="1242"/>
    <x v="1278"/>
    <x v="25"/>
    <x v="2"/>
    <x v="1"/>
    <x v="0"/>
  </r>
  <r>
    <x v="1146"/>
    <x v="307"/>
    <x v="0"/>
    <x v="3"/>
    <x v="11"/>
    <x v="2"/>
    <x v="11"/>
    <x v="3"/>
    <x v="3"/>
    <x v="1"/>
    <x v="0"/>
    <x v="0"/>
    <x v="3"/>
    <x v="6"/>
    <x v="67"/>
    <x v="0"/>
    <x v="0"/>
    <x v="339"/>
    <x v="263"/>
    <x v="241"/>
    <x v="825"/>
    <x v="1238"/>
    <x v="1"/>
    <x v="1"/>
    <x v="2"/>
  </r>
  <r>
    <x v="1147"/>
    <x v="314"/>
    <x v="0"/>
    <x v="3"/>
    <x v="11"/>
    <x v="2"/>
    <x v="11"/>
    <x v="3"/>
    <x v="3"/>
    <x v="0"/>
    <x v="0"/>
    <x v="0"/>
    <x v="3"/>
    <x v="6"/>
    <x v="18"/>
    <x v="0"/>
    <x v="0"/>
    <x v="42"/>
    <x v="37"/>
    <x v="270"/>
    <x v="115"/>
    <x v="1029"/>
    <x v="1"/>
    <x v="1"/>
    <x v="2"/>
  </r>
  <r>
    <x v="1148"/>
    <x v="321"/>
    <x v="0"/>
    <x v="3"/>
    <x v="11"/>
    <x v="2"/>
    <x v="11"/>
    <x v="3"/>
    <x v="3"/>
    <x v="1"/>
    <x v="0"/>
    <x v="0"/>
    <x v="8"/>
    <x v="16"/>
    <x v="51"/>
    <x v="12"/>
    <x v="6"/>
    <x v="646"/>
    <x v="557"/>
    <x v="679"/>
    <x v="1323"/>
    <x v="1138"/>
    <x v="0"/>
    <x v="1"/>
    <x v="0"/>
  </r>
  <r>
    <x v="1149"/>
    <x v="301"/>
    <x v="0"/>
    <x v="3"/>
    <x v="11"/>
    <x v="2"/>
    <x v="11"/>
    <x v="3"/>
    <x v="3"/>
    <x v="0"/>
    <x v="0"/>
    <x v="0"/>
    <x v="8"/>
    <x v="16"/>
    <x v="23"/>
    <x v="12"/>
    <x v="6"/>
    <x v="403"/>
    <x v="333"/>
    <x v="925"/>
    <x v="874"/>
    <x v="891"/>
    <x v="1"/>
    <x v="1"/>
    <x v="2"/>
  </r>
  <r>
    <x v="1150"/>
    <x v="308"/>
    <x v="0"/>
    <x v="3"/>
    <x v="11"/>
    <x v="2"/>
    <x v="11"/>
    <x v="3"/>
    <x v="3"/>
    <x v="1"/>
    <x v="0"/>
    <x v="0"/>
    <x v="9"/>
    <x v="18"/>
    <x v="55"/>
    <x v="6"/>
    <x v="4"/>
    <x v="558"/>
    <x v="492"/>
    <x v="543"/>
    <x v="1151"/>
    <x v="819"/>
    <x v="0"/>
    <x v="1"/>
    <x v="0"/>
  </r>
  <r>
    <x v="1151"/>
    <x v="315"/>
    <x v="0"/>
    <x v="3"/>
    <x v="11"/>
    <x v="2"/>
    <x v="11"/>
    <x v="3"/>
    <x v="3"/>
    <x v="0"/>
    <x v="0"/>
    <x v="0"/>
    <x v="9"/>
    <x v="18"/>
    <x v="21"/>
    <x v="6"/>
    <x v="4"/>
    <x v="254"/>
    <x v="225"/>
    <x v="717"/>
    <x v="506"/>
    <x v="534"/>
    <x v="1"/>
    <x v="1"/>
    <x v="2"/>
  </r>
  <r>
    <x v="1152"/>
    <x v="322"/>
    <x v="0"/>
    <x v="3"/>
    <x v="11"/>
    <x v="2"/>
    <x v="11"/>
    <x v="3"/>
    <x v="3"/>
    <x v="1"/>
    <x v="2"/>
    <x v="4"/>
    <x v="0"/>
    <x v="0"/>
    <x v="27"/>
    <x v="15"/>
    <x v="10"/>
    <x v="537"/>
    <x v="468"/>
    <x v="515"/>
    <x v="1141"/>
    <x v="952"/>
    <x v="0"/>
    <x v="1"/>
    <x v="0"/>
  </r>
  <r>
    <x v="1153"/>
    <x v="302"/>
    <x v="0"/>
    <x v="3"/>
    <x v="11"/>
    <x v="2"/>
    <x v="11"/>
    <x v="3"/>
    <x v="3"/>
    <x v="0"/>
    <x v="2"/>
    <x v="4"/>
    <x v="0"/>
    <x v="0"/>
    <x v="8"/>
    <x v="15"/>
    <x v="10"/>
    <x v="185"/>
    <x v="166"/>
    <x v="631"/>
    <x v="407"/>
    <x v="665"/>
    <x v="1"/>
    <x v="1"/>
    <x v="2"/>
  </r>
  <r>
    <x v="1154"/>
    <x v="309"/>
    <x v="0"/>
    <x v="3"/>
    <x v="11"/>
    <x v="2"/>
    <x v="11"/>
    <x v="3"/>
    <x v="3"/>
    <x v="1"/>
    <x v="2"/>
    <x v="4"/>
    <x v="4"/>
    <x v="8"/>
    <x v="25"/>
    <x v="9"/>
    <x v="7"/>
    <x v="389"/>
    <x v="358"/>
    <x v="313"/>
    <x v="810"/>
    <x v="652"/>
    <x v="1"/>
    <x v="1"/>
    <x v="2"/>
  </r>
  <r>
    <x v="1155"/>
    <x v="316"/>
    <x v="0"/>
    <x v="3"/>
    <x v="11"/>
    <x v="2"/>
    <x v="11"/>
    <x v="3"/>
    <x v="3"/>
    <x v="0"/>
    <x v="2"/>
    <x v="4"/>
    <x v="4"/>
    <x v="8"/>
    <x v="9"/>
    <x v="9"/>
    <x v="7"/>
    <x v="121"/>
    <x v="124"/>
    <x v="512"/>
    <x v="225"/>
    <x v="389"/>
    <x v="1"/>
    <x v="1"/>
    <x v="2"/>
  </r>
  <r>
    <x v="1156"/>
    <x v="323"/>
    <x v="0"/>
    <x v="3"/>
    <x v="11"/>
    <x v="2"/>
    <x v="11"/>
    <x v="3"/>
    <x v="3"/>
    <x v="1"/>
    <x v="1"/>
    <x v="2"/>
    <x v="7"/>
    <x v="14"/>
    <x v="33"/>
    <x v="18"/>
    <x v="12"/>
    <x v="622"/>
    <x v="564"/>
    <x v="645"/>
    <x v="1205"/>
    <x v="496"/>
    <x v="0"/>
    <x v="1"/>
    <x v="0"/>
  </r>
  <r>
    <x v="1157"/>
    <x v="303"/>
    <x v="0"/>
    <x v="3"/>
    <x v="11"/>
    <x v="2"/>
    <x v="11"/>
    <x v="3"/>
    <x v="3"/>
    <x v="0"/>
    <x v="1"/>
    <x v="2"/>
    <x v="7"/>
    <x v="14"/>
    <x v="9"/>
    <x v="18"/>
    <x v="12"/>
    <x v="235"/>
    <x v="232"/>
    <x v="701"/>
    <x v="424"/>
    <x v="273"/>
    <x v="1"/>
    <x v="1"/>
    <x v="2"/>
  </r>
  <r>
    <x v="1158"/>
    <x v="310"/>
    <x v="0"/>
    <x v="3"/>
    <x v="11"/>
    <x v="2"/>
    <x v="11"/>
    <x v="3"/>
    <x v="3"/>
    <x v="1"/>
    <x v="1"/>
    <x v="2"/>
    <x v="6"/>
    <x v="12"/>
    <x v="32"/>
    <x v="3"/>
    <x v="2"/>
    <x v="183"/>
    <x v="156"/>
    <x v="120"/>
    <x v="472"/>
    <x v="1098"/>
    <x v="1"/>
    <x v="1"/>
    <x v="2"/>
  </r>
  <r>
    <x v="1159"/>
    <x v="317"/>
    <x v="0"/>
    <x v="3"/>
    <x v="11"/>
    <x v="2"/>
    <x v="11"/>
    <x v="3"/>
    <x v="3"/>
    <x v="0"/>
    <x v="1"/>
    <x v="2"/>
    <x v="6"/>
    <x v="12"/>
    <x v="12"/>
    <x v="3"/>
    <x v="2"/>
    <x v="30"/>
    <x v="31"/>
    <x v="225"/>
    <x v="70"/>
    <x v="829"/>
    <x v="1"/>
    <x v="1"/>
    <x v="2"/>
  </r>
  <r>
    <x v="1160"/>
    <x v="297"/>
    <x v="0"/>
    <x v="3"/>
    <x v="11"/>
    <x v="2"/>
    <x v="11"/>
    <x v="2"/>
    <x v="2"/>
    <x v="1"/>
    <x v="3"/>
    <x v="6"/>
    <x v="1"/>
    <x v="2"/>
    <x v="8"/>
    <x v="25"/>
    <x v="16"/>
    <x v="813"/>
    <x v="728"/>
    <x v="1045"/>
    <x v="1518"/>
    <x v="266"/>
    <x v="0"/>
    <x v="1"/>
    <x v="0"/>
  </r>
  <r>
    <x v="1161"/>
    <x v="304"/>
    <x v="0"/>
    <x v="3"/>
    <x v="11"/>
    <x v="2"/>
    <x v="11"/>
    <x v="2"/>
    <x v="2"/>
    <x v="0"/>
    <x v="3"/>
    <x v="6"/>
    <x v="1"/>
    <x v="2"/>
    <x v="1"/>
    <x v="25"/>
    <x v="16"/>
    <x v="548"/>
    <x v="519"/>
    <x v="1070"/>
    <x v="928"/>
    <x v="132"/>
    <x v="1"/>
    <x v="1"/>
    <x v="0"/>
  </r>
  <r>
    <x v="1162"/>
    <x v="311"/>
    <x v="0"/>
    <x v="3"/>
    <x v="11"/>
    <x v="2"/>
    <x v="11"/>
    <x v="2"/>
    <x v="2"/>
    <x v="1"/>
    <x v="3"/>
    <x v="6"/>
    <x v="2"/>
    <x v="4"/>
    <x v="7"/>
    <x v="22"/>
    <x v="14"/>
    <x v="583"/>
    <x v="548"/>
    <x v="595"/>
    <x v="1105"/>
    <x v="360"/>
    <x v="0"/>
    <x v="1"/>
    <x v="0"/>
  </r>
  <r>
    <x v="1163"/>
    <x v="318"/>
    <x v="0"/>
    <x v="3"/>
    <x v="11"/>
    <x v="2"/>
    <x v="11"/>
    <x v="2"/>
    <x v="2"/>
    <x v="0"/>
    <x v="3"/>
    <x v="6"/>
    <x v="2"/>
    <x v="4"/>
    <x v="2"/>
    <x v="22"/>
    <x v="14"/>
    <x v="316"/>
    <x v="304"/>
    <x v="809"/>
    <x v="525"/>
    <x v="190"/>
    <x v="1"/>
    <x v="1"/>
    <x v="2"/>
  </r>
  <r>
    <x v="1164"/>
    <x v="298"/>
    <x v="0"/>
    <x v="3"/>
    <x v="11"/>
    <x v="2"/>
    <x v="11"/>
    <x v="2"/>
    <x v="2"/>
    <x v="1"/>
    <x v="3"/>
    <x v="6"/>
    <x v="5"/>
    <x v="10"/>
    <x v="9"/>
    <x v="28"/>
    <x v="18"/>
    <x v="842"/>
    <x v="752"/>
    <x v="1149"/>
    <x v="1555"/>
    <x v="99"/>
    <x v="1"/>
    <x v="1"/>
    <x v="0"/>
  </r>
  <r>
    <x v="1165"/>
    <x v="305"/>
    <x v="0"/>
    <x v="3"/>
    <x v="11"/>
    <x v="2"/>
    <x v="11"/>
    <x v="2"/>
    <x v="2"/>
    <x v="0"/>
    <x v="3"/>
    <x v="6"/>
    <x v="5"/>
    <x v="10"/>
    <x v="1"/>
    <x v="28"/>
    <x v="18"/>
    <x v="644"/>
    <x v="623"/>
    <x v="1150"/>
    <x v="1000"/>
    <x v="23"/>
    <x v="2"/>
    <x v="1"/>
    <x v="0"/>
  </r>
  <r>
    <x v="1166"/>
    <x v="312"/>
    <x v="0"/>
    <x v="3"/>
    <x v="11"/>
    <x v="2"/>
    <x v="11"/>
    <x v="2"/>
    <x v="2"/>
    <x v="1"/>
    <x v="0"/>
    <x v="0"/>
    <x v="3"/>
    <x v="6"/>
    <x v="47"/>
    <x v="0"/>
    <x v="0"/>
    <x v="225"/>
    <x v="174"/>
    <x v="148"/>
    <x v="587"/>
    <x v="1233"/>
    <x v="1"/>
    <x v="1"/>
    <x v="2"/>
  </r>
  <r>
    <x v="1167"/>
    <x v="319"/>
    <x v="0"/>
    <x v="3"/>
    <x v="11"/>
    <x v="2"/>
    <x v="11"/>
    <x v="2"/>
    <x v="2"/>
    <x v="0"/>
    <x v="0"/>
    <x v="0"/>
    <x v="3"/>
    <x v="6"/>
    <x v="15"/>
    <x v="0"/>
    <x v="0"/>
    <x v="27"/>
    <x v="24"/>
    <x v="212"/>
    <x v="76"/>
    <x v="1026"/>
    <x v="1"/>
    <x v="1"/>
    <x v="2"/>
  </r>
  <r>
    <x v="1168"/>
    <x v="299"/>
    <x v="0"/>
    <x v="3"/>
    <x v="11"/>
    <x v="2"/>
    <x v="11"/>
    <x v="2"/>
    <x v="2"/>
    <x v="1"/>
    <x v="0"/>
    <x v="0"/>
    <x v="8"/>
    <x v="16"/>
    <x v="50"/>
    <x v="12"/>
    <x v="6"/>
    <x v="643"/>
    <x v="553"/>
    <x v="674"/>
    <x v="1314"/>
    <x v="1137"/>
    <x v="0"/>
    <x v="1"/>
    <x v="0"/>
  </r>
  <r>
    <x v="1169"/>
    <x v="306"/>
    <x v="0"/>
    <x v="3"/>
    <x v="11"/>
    <x v="2"/>
    <x v="11"/>
    <x v="2"/>
    <x v="2"/>
    <x v="0"/>
    <x v="0"/>
    <x v="0"/>
    <x v="8"/>
    <x v="16"/>
    <x v="17"/>
    <x v="12"/>
    <x v="6"/>
    <x v="317"/>
    <x v="256"/>
    <x v="811"/>
    <x v="698"/>
    <x v="887"/>
    <x v="1"/>
    <x v="1"/>
    <x v="2"/>
  </r>
  <r>
    <x v="1170"/>
    <x v="313"/>
    <x v="0"/>
    <x v="3"/>
    <x v="11"/>
    <x v="2"/>
    <x v="11"/>
    <x v="2"/>
    <x v="2"/>
    <x v="1"/>
    <x v="0"/>
    <x v="0"/>
    <x v="9"/>
    <x v="18"/>
    <x v="38"/>
    <x v="6"/>
    <x v="4"/>
    <x v="429"/>
    <x v="388"/>
    <x v="375"/>
    <x v="916"/>
    <x v="823"/>
    <x v="1"/>
    <x v="1"/>
    <x v="2"/>
  </r>
  <r>
    <x v="1171"/>
    <x v="320"/>
    <x v="0"/>
    <x v="3"/>
    <x v="11"/>
    <x v="2"/>
    <x v="11"/>
    <x v="2"/>
    <x v="2"/>
    <x v="0"/>
    <x v="0"/>
    <x v="0"/>
    <x v="9"/>
    <x v="18"/>
    <x v="13"/>
    <x v="6"/>
    <x v="4"/>
    <x v="134"/>
    <x v="125"/>
    <x v="531"/>
    <x v="265"/>
    <x v="536"/>
    <x v="1"/>
    <x v="1"/>
    <x v="2"/>
  </r>
  <r>
    <x v="1172"/>
    <x v="300"/>
    <x v="0"/>
    <x v="3"/>
    <x v="11"/>
    <x v="2"/>
    <x v="11"/>
    <x v="2"/>
    <x v="2"/>
    <x v="1"/>
    <x v="2"/>
    <x v="4"/>
    <x v="0"/>
    <x v="0"/>
    <x v="16"/>
    <x v="15"/>
    <x v="10"/>
    <x v="369"/>
    <x v="321"/>
    <x v="292"/>
    <x v="829"/>
    <x v="955"/>
    <x v="1"/>
    <x v="1"/>
    <x v="2"/>
  </r>
  <r>
    <x v="1173"/>
    <x v="307"/>
    <x v="0"/>
    <x v="3"/>
    <x v="11"/>
    <x v="2"/>
    <x v="11"/>
    <x v="2"/>
    <x v="2"/>
    <x v="0"/>
    <x v="2"/>
    <x v="4"/>
    <x v="0"/>
    <x v="0"/>
    <x v="6"/>
    <x v="15"/>
    <x v="10"/>
    <x v="130"/>
    <x v="116"/>
    <x v="525"/>
    <x v="281"/>
    <x v="665"/>
    <x v="1"/>
    <x v="1"/>
    <x v="2"/>
  </r>
  <r>
    <x v="1174"/>
    <x v="314"/>
    <x v="0"/>
    <x v="3"/>
    <x v="11"/>
    <x v="2"/>
    <x v="11"/>
    <x v="2"/>
    <x v="2"/>
    <x v="1"/>
    <x v="2"/>
    <x v="4"/>
    <x v="4"/>
    <x v="8"/>
    <x v="19"/>
    <x v="9"/>
    <x v="7"/>
    <x v="312"/>
    <x v="286"/>
    <x v="218"/>
    <x v="637"/>
    <x v="658"/>
    <x v="1"/>
    <x v="1"/>
    <x v="2"/>
  </r>
  <r>
    <x v="1175"/>
    <x v="321"/>
    <x v="0"/>
    <x v="3"/>
    <x v="11"/>
    <x v="2"/>
    <x v="11"/>
    <x v="2"/>
    <x v="2"/>
    <x v="0"/>
    <x v="2"/>
    <x v="4"/>
    <x v="4"/>
    <x v="8"/>
    <x v="7"/>
    <x v="9"/>
    <x v="7"/>
    <x v="84"/>
    <x v="89"/>
    <x v="409"/>
    <x v="144"/>
    <x v="383"/>
    <x v="1"/>
    <x v="1"/>
    <x v="2"/>
  </r>
  <r>
    <x v="1176"/>
    <x v="301"/>
    <x v="0"/>
    <x v="3"/>
    <x v="11"/>
    <x v="2"/>
    <x v="11"/>
    <x v="2"/>
    <x v="2"/>
    <x v="1"/>
    <x v="1"/>
    <x v="2"/>
    <x v="7"/>
    <x v="14"/>
    <x v="28"/>
    <x v="18"/>
    <x v="12"/>
    <x v="576"/>
    <x v="527"/>
    <x v="579"/>
    <x v="1119"/>
    <x v="494"/>
    <x v="0"/>
    <x v="1"/>
    <x v="0"/>
  </r>
  <r>
    <x v="1177"/>
    <x v="308"/>
    <x v="0"/>
    <x v="3"/>
    <x v="11"/>
    <x v="2"/>
    <x v="11"/>
    <x v="2"/>
    <x v="2"/>
    <x v="0"/>
    <x v="1"/>
    <x v="2"/>
    <x v="7"/>
    <x v="14"/>
    <x v="10"/>
    <x v="18"/>
    <x v="12"/>
    <x v="262"/>
    <x v="259"/>
    <x v="740"/>
    <x v="471"/>
    <x v="280"/>
    <x v="1"/>
    <x v="1"/>
    <x v="2"/>
  </r>
  <r>
    <x v="1178"/>
    <x v="315"/>
    <x v="0"/>
    <x v="3"/>
    <x v="11"/>
    <x v="2"/>
    <x v="11"/>
    <x v="2"/>
    <x v="2"/>
    <x v="1"/>
    <x v="1"/>
    <x v="2"/>
    <x v="6"/>
    <x v="12"/>
    <x v="23"/>
    <x v="3"/>
    <x v="2"/>
    <x v="110"/>
    <x v="95"/>
    <x v="61"/>
    <x v="289"/>
    <x v="1090"/>
    <x v="1"/>
    <x v="1"/>
    <x v="2"/>
  </r>
  <r>
    <x v="1179"/>
    <x v="322"/>
    <x v="0"/>
    <x v="3"/>
    <x v="11"/>
    <x v="2"/>
    <x v="11"/>
    <x v="2"/>
    <x v="2"/>
    <x v="0"/>
    <x v="1"/>
    <x v="2"/>
    <x v="6"/>
    <x v="12"/>
    <x v="7"/>
    <x v="3"/>
    <x v="2"/>
    <x v="7"/>
    <x v="8"/>
    <x v="115"/>
    <x v="17"/>
    <x v="824"/>
    <x v="1"/>
    <x v="1"/>
    <x v="2"/>
  </r>
  <r>
    <x v="1180"/>
    <x v="302"/>
    <x v="0"/>
    <x v="3"/>
    <x v="11"/>
    <x v="2"/>
    <x v="11"/>
    <x v="4"/>
    <x v="4"/>
    <x v="1"/>
    <x v="3"/>
    <x v="6"/>
    <x v="1"/>
    <x v="2"/>
    <x v="9"/>
    <x v="25"/>
    <x v="16"/>
    <x v="818"/>
    <x v="733"/>
    <x v="1067"/>
    <x v="1535"/>
    <x v="263"/>
    <x v="0"/>
    <x v="1"/>
    <x v="0"/>
  </r>
  <r>
    <x v="1181"/>
    <x v="309"/>
    <x v="0"/>
    <x v="3"/>
    <x v="11"/>
    <x v="2"/>
    <x v="11"/>
    <x v="4"/>
    <x v="4"/>
    <x v="0"/>
    <x v="3"/>
    <x v="6"/>
    <x v="1"/>
    <x v="2"/>
    <x v="2"/>
    <x v="25"/>
    <x v="16"/>
    <x v="634"/>
    <x v="592"/>
    <x v="1142"/>
    <x v="1126"/>
    <x v="131"/>
    <x v="1"/>
    <x v="1"/>
    <x v="0"/>
  </r>
  <r>
    <x v="1182"/>
    <x v="316"/>
    <x v="0"/>
    <x v="3"/>
    <x v="11"/>
    <x v="2"/>
    <x v="11"/>
    <x v="4"/>
    <x v="4"/>
    <x v="1"/>
    <x v="3"/>
    <x v="6"/>
    <x v="2"/>
    <x v="4"/>
    <x v="7"/>
    <x v="22"/>
    <x v="14"/>
    <x v="583"/>
    <x v="548"/>
    <x v="595"/>
    <x v="1105"/>
    <x v="360"/>
    <x v="0"/>
    <x v="1"/>
    <x v="0"/>
  </r>
  <r>
    <x v="1183"/>
    <x v="323"/>
    <x v="0"/>
    <x v="3"/>
    <x v="11"/>
    <x v="2"/>
    <x v="11"/>
    <x v="4"/>
    <x v="4"/>
    <x v="0"/>
    <x v="3"/>
    <x v="6"/>
    <x v="2"/>
    <x v="4"/>
    <x v="1"/>
    <x v="22"/>
    <x v="14"/>
    <x v="220"/>
    <x v="229"/>
    <x v="677"/>
    <x v="345"/>
    <x v="191"/>
    <x v="1"/>
    <x v="1"/>
    <x v="2"/>
  </r>
  <r>
    <x v="1184"/>
    <x v="303"/>
    <x v="0"/>
    <x v="3"/>
    <x v="11"/>
    <x v="2"/>
    <x v="11"/>
    <x v="4"/>
    <x v="4"/>
    <x v="1"/>
    <x v="3"/>
    <x v="6"/>
    <x v="5"/>
    <x v="10"/>
    <x v="7"/>
    <x v="28"/>
    <x v="18"/>
    <x v="829"/>
    <x v="744"/>
    <x v="1097"/>
    <x v="1526"/>
    <x v="95"/>
    <x v="1"/>
    <x v="1"/>
    <x v="0"/>
  </r>
  <r>
    <x v="1185"/>
    <x v="310"/>
    <x v="0"/>
    <x v="3"/>
    <x v="11"/>
    <x v="2"/>
    <x v="11"/>
    <x v="4"/>
    <x v="4"/>
    <x v="0"/>
    <x v="3"/>
    <x v="6"/>
    <x v="5"/>
    <x v="10"/>
    <x v="2"/>
    <x v="28"/>
    <x v="18"/>
    <x v="721"/>
    <x v="673"/>
    <x v="1203"/>
    <x v="1183"/>
    <x v="28"/>
    <x v="2"/>
    <x v="1"/>
    <x v="0"/>
  </r>
  <r>
    <x v="1186"/>
    <x v="317"/>
    <x v="0"/>
    <x v="3"/>
    <x v="11"/>
    <x v="2"/>
    <x v="11"/>
    <x v="4"/>
    <x v="4"/>
    <x v="1"/>
    <x v="0"/>
    <x v="0"/>
    <x v="3"/>
    <x v="6"/>
    <x v="40"/>
    <x v="0"/>
    <x v="0"/>
    <x v="178"/>
    <x v="138"/>
    <x v="116"/>
    <x v="495"/>
    <x v="1238"/>
    <x v="1"/>
    <x v="1"/>
    <x v="2"/>
  </r>
  <r>
    <x v="1187"/>
    <x v="297"/>
    <x v="0"/>
    <x v="3"/>
    <x v="11"/>
    <x v="2"/>
    <x v="11"/>
    <x v="4"/>
    <x v="4"/>
    <x v="0"/>
    <x v="0"/>
    <x v="0"/>
    <x v="3"/>
    <x v="6"/>
    <x v="17"/>
    <x v="0"/>
    <x v="0"/>
    <x v="38"/>
    <x v="33"/>
    <x v="249"/>
    <x v="101"/>
    <x v="1021"/>
    <x v="1"/>
    <x v="1"/>
    <x v="2"/>
  </r>
  <r>
    <x v="1188"/>
    <x v="304"/>
    <x v="0"/>
    <x v="3"/>
    <x v="11"/>
    <x v="2"/>
    <x v="11"/>
    <x v="4"/>
    <x v="4"/>
    <x v="1"/>
    <x v="0"/>
    <x v="0"/>
    <x v="8"/>
    <x v="16"/>
    <x v="50"/>
    <x v="12"/>
    <x v="6"/>
    <x v="643"/>
    <x v="553"/>
    <x v="674"/>
    <x v="1314"/>
    <x v="1137"/>
    <x v="0"/>
    <x v="1"/>
    <x v="0"/>
  </r>
  <r>
    <x v="1189"/>
    <x v="311"/>
    <x v="0"/>
    <x v="3"/>
    <x v="11"/>
    <x v="2"/>
    <x v="11"/>
    <x v="4"/>
    <x v="4"/>
    <x v="0"/>
    <x v="0"/>
    <x v="0"/>
    <x v="8"/>
    <x v="16"/>
    <x v="13"/>
    <x v="12"/>
    <x v="6"/>
    <x v="233"/>
    <x v="197"/>
    <x v="698"/>
    <x v="541"/>
    <x v="896"/>
    <x v="1"/>
    <x v="1"/>
    <x v="2"/>
  </r>
  <r>
    <x v="1190"/>
    <x v="318"/>
    <x v="0"/>
    <x v="3"/>
    <x v="11"/>
    <x v="2"/>
    <x v="11"/>
    <x v="4"/>
    <x v="4"/>
    <x v="1"/>
    <x v="0"/>
    <x v="0"/>
    <x v="9"/>
    <x v="18"/>
    <x v="51"/>
    <x v="6"/>
    <x v="4"/>
    <x v="535"/>
    <x v="472"/>
    <x v="511"/>
    <x v="1102"/>
    <x v="813"/>
    <x v="0"/>
    <x v="1"/>
    <x v="0"/>
  </r>
  <r>
    <x v="1191"/>
    <x v="298"/>
    <x v="0"/>
    <x v="3"/>
    <x v="11"/>
    <x v="2"/>
    <x v="11"/>
    <x v="4"/>
    <x v="4"/>
    <x v="0"/>
    <x v="0"/>
    <x v="0"/>
    <x v="9"/>
    <x v="18"/>
    <x v="18"/>
    <x v="6"/>
    <x v="4"/>
    <x v="207"/>
    <x v="193"/>
    <x v="661"/>
    <x v="431"/>
    <x v="533"/>
    <x v="1"/>
    <x v="1"/>
    <x v="2"/>
  </r>
  <r>
    <x v="1192"/>
    <x v="305"/>
    <x v="0"/>
    <x v="3"/>
    <x v="11"/>
    <x v="2"/>
    <x v="11"/>
    <x v="4"/>
    <x v="4"/>
    <x v="1"/>
    <x v="2"/>
    <x v="4"/>
    <x v="0"/>
    <x v="0"/>
    <x v="19"/>
    <x v="15"/>
    <x v="10"/>
    <x v="418"/>
    <x v="367"/>
    <x v="358"/>
    <x v="918"/>
    <x v="963"/>
    <x v="1"/>
    <x v="1"/>
    <x v="2"/>
  </r>
  <r>
    <x v="1193"/>
    <x v="312"/>
    <x v="0"/>
    <x v="3"/>
    <x v="11"/>
    <x v="2"/>
    <x v="11"/>
    <x v="4"/>
    <x v="4"/>
    <x v="0"/>
    <x v="2"/>
    <x v="4"/>
    <x v="0"/>
    <x v="0"/>
    <x v="6"/>
    <x v="15"/>
    <x v="10"/>
    <x v="130"/>
    <x v="116"/>
    <x v="525"/>
    <x v="281"/>
    <x v="665"/>
    <x v="1"/>
    <x v="1"/>
    <x v="2"/>
  </r>
  <r>
    <x v="1194"/>
    <x v="319"/>
    <x v="0"/>
    <x v="3"/>
    <x v="11"/>
    <x v="2"/>
    <x v="11"/>
    <x v="4"/>
    <x v="4"/>
    <x v="1"/>
    <x v="2"/>
    <x v="4"/>
    <x v="4"/>
    <x v="8"/>
    <x v="22"/>
    <x v="9"/>
    <x v="7"/>
    <x v="351"/>
    <x v="323"/>
    <x v="262"/>
    <x v="735"/>
    <x v="657"/>
    <x v="1"/>
    <x v="1"/>
    <x v="2"/>
  </r>
  <r>
    <x v="1195"/>
    <x v="299"/>
    <x v="0"/>
    <x v="3"/>
    <x v="11"/>
    <x v="2"/>
    <x v="11"/>
    <x v="4"/>
    <x v="4"/>
    <x v="0"/>
    <x v="2"/>
    <x v="4"/>
    <x v="4"/>
    <x v="8"/>
    <x v="7"/>
    <x v="9"/>
    <x v="7"/>
    <x v="84"/>
    <x v="89"/>
    <x v="409"/>
    <x v="144"/>
    <x v="383"/>
    <x v="1"/>
    <x v="1"/>
    <x v="2"/>
  </r>
  <r>
    <x v="1196"/>
    <x v="306"/>
    <x v="0"/>
    <x v="3"/>
    <x v="11"/>
    <x v="2"/>
    <x v="11"/>
    <x v="4"/>
    <x v="4"/>
    <x v="1"/>
    <x v="1"/>
    <x v="2"/>
    <x v="7"/>
    <x v="14"/>
    <x v="22"/>
    <x v="18"/>
    <x v="12"/>
    <x v="495"/>
    <x v="465"/>
    <x v="455"/>
    <x v="973"/>
    <x v="498"/>
    <x v="0"/>
    <x v="1"/>
    <x v="0"/>
  </r>
  <r>
    <x v="1197"/>
    <x v="313"/>
    <x v="0"/>
    <x v="3"/>
    <x v="11"/>
    <x v="2"/>
    <x v="11"/>
    <x v="4"/>
    <x v="4"/>
    <x v="0"/>
    <x v="1"/>
    <x v="2"/>
    <x v="7"/>
    <x v="14"/>
    <x v="9"/>
    <x v="18"/>
    <x v="12"/>
    <x v="235"/>
    <x v="232"/>
    <x v="701"/>
    <x v="424"/>
    <x v="273"/>
    <x v="1"/>
    <x v="1"/>
    <x v="2"/>
  </r>
  <r>
    <x v="1198"/>
    <x v="320"/>
    <x v="0"/>
    <x v="3"/>
    <x v="11"/>
    <x v="2"/>
    <x v="11"/>
    <x v="4"/>
    <x v="4"/>
    <x v="1"/>
    <x v="1"/>
    <x v="2"/>
    <x v="6"/>
    <x v="12"/>
    <x v="22"/>
    <x v="3"/>
    <x v="2"/>
    <x v="99"/>
    <x v="85"/>
    <x v="55"/>
    <x v="275"/>
    <x v="1101"/>
    <x v="1"/>
    <x v="1"/>
    <x v="2"/>
  </r>
  <r>
    <x v="1199"/>
    <x v="300"/>
    <x v="0"/>
    <x v="3"/>
    <x v="11"/>
    <x v="2"/>
    <x v="11"/>
    <x v="4"/>
    <x v="4"/>
    <x v="0"/>
    <x v="1"/>
    <x v="2"/>
    <x v="6"/>
    <x v="12"/>
    <x v="7"/>
    <x v="3"/>
    <x v="2"/>
    <x v="7"/>
    <x v="8"/>
    <x v="115"/>
    <x v="17"/>
    <x v="824"/>
    <x v="1"/>
    <x v="1"/>
    <x v="2"/>
  </r>
  <r>
    <x v="1200"/>
    <x v="334"/>
    <x v="1"/>
    <x v="0"/>
    <x v="0"/>
    <x v="3"/>
    <x v="12"/>
    <x v="0"/>
    <x v="0"/>
    <x v="1"/>
    <x v="3"/>
    <x v="7"/>
    <x v="1"/>
    <x v="3"/>
    <x v="17"/>
    <x v="24"/>
    <x v="17"/>
    <x v="854"/>
    <x v="761"/>
    <x v="1189"/>
    <x v="1581"/>
    <x v="165"/>
    <x v="1"/>
    <x v="1"/>
    <x v="0"/>
  </r>
  <r>
    <x v="1201"/>
    <x v="341"/>
    <x v="1"/>
    <x v="0"/>
    <x v="0"/>
    <x v="3"/>
    <x v="12"/>
    <x v="0"/>
    <x v="0"/>
    <x v="0"/>
    <x v="3"/>
    <x v="7"/>
    <x v="1"/>
    <x v="3"/>
    <x v="8"/>
    <x v="24"/>
    <x v="17"/>
    <x v="809"/>
    <x v="729"/>
    <x v="1312"/>
    <x v="1440"/>
    <x v="66"/>
    <x v="2"/>
    <x v="0"/>
    <x v="0"/>
  </r>
  <r>
    <x v="1202"/>
    <x v="348"/>
    <x v="1"/>
    <x v="0"/>
    <x v="0"/>
    <x v="3"/>
    <x v="12"/>
    <x v="0"/>
    <x v="0"/>
    <x v="1"/>
    <x v="3"/>
    <x v="7"/>
    <x v="2"/>
    <x v="5"/>
    <x v="17"/>
    <x v="21"/>
    <x v="15"/>
    <x v="767"/>
    <x v="701"/>
    <x v="903"/>
    <x v="1400"/>
    <x v="213"/>
    <x v="1"/>
    <x v="1"/>
    <x v="0"/>
  </r>
  <r>
    <x v="1203"/>
    <x v="328"/>
    <x v="1"/>
    <x v="0"/>
    <x v="0"/>
    <x v="3"/>
    <x v="12"/>
    <x v="0"/>
    <x v="0"/>
    <x v="0"/>
    <x v="3"/>
    <x v="7"/>
    <x v="2"/>
    <x v="5"/>
    <x v="8"/>
    <x v="21"/>
    <x v="15"/>
    <x v="612"/>
    <x v="577"/>
    <x v="1193"/>
    <x v="993"/>
    <x v="78"/>
    <x v="1"/>
    <x v="0"/>
    <x v="0"/>
  </r>
  <r>
    <x v="1204"/>
    <x v="335"/>
    <x v="1"/>
    <x v="0"/>
    <x v="0"/>
    <x v="3"/>
    <x v="12"/>
    <x v="0"/>
    <x v="0"/>
    <x v="1"/>
    <x v="3"/>
    <x v="7"/>
    <x v="5"/>
    <x v="11"/>
    <x v="13"/>
    <x v="27"/>
    <x v="19"/>
    <x v="860"/>
    <x v="771"/>
    <x v="1202"/>
    <x v="1572"/>
    <x v="37"/>
    <x v="2"/>
    <x v="1"/>
    <x v="0"/>
  </r>
  <r>
    <x v="1205"/>
    <x v="342"/>
    <x v="1"/>
    <x v="0"/>
    <x v="0"/>
    <x v="3"/>
    <x v="12"/>
    <x v="0"/>
    <x v="0"/>
    <x v="0"/>
    <x v="3"/>
    <x v="7"/>
    <x v="5"/>
    <x v="11"/>
    <x v="10"/>
    <x v="27"/>
    <x v="19"/>
    <x v="846"/>
    <x v="759"/>
    <x v="1331"/>
    <x v="1506"/>
    <x v="7"/>
    <x v="2"/>
    <x v="0"/>
    <x v="0"/>
  </r>
  <r>
    <x v="1206"/>
    <x v="349"/>
    <x v="1"/>
    <x v="0"/>
    <x v="0"/>
    <x v="3"/>
    <x v="12"/>
    <x v="0"/>
    <x v="0"/>
    <x v="1"/>
    <x v="0"/>
    <x v="1"/>
    <x v="3"/>
    <x v="7"/>
    <x v="89"/>
    <x v="1"/>
    <x v="1"/>
    <x v="433"/>
    <x v="355"/>
    <x v="380"/>
    <x v="1014"/>
    <x v="1196"/>
    <x v="1"/>
    <x v="1"/>
    <x v="2"/>
  </r>
  <r>
    <x v="1207"/>
    <x v="329"/>
    <x v="1"/>
    <x v="0"/>
    <x v="0"/>
    <x v="3"/>
    <x v="12"/>
    <x v="0"/>
    <x v="0"/>
    <x v="0"/>
    <x v="0"/>
    <x v="1"/>
    <x v="3"/>
    <x v="7"/>
    <x v="45"/>
    <x v="1"/>
    <x v="1"/>
    <x v="217"/>
    <x v="171"/>
    <x v="830"/>
    <x v="491"/>
    <x v="867"/>
    <x v="1"/>
    <x v="0"/>
    <x v="2"/>
  </r>
  <r>
    <x v="1208"/>
    <x v="336"/>
    <x v="1"/>
    <x v="0"/>
    <x v="0"/>
    <x v="3"/>
    <x v="12"/>
    <x v="0"/>
    <x v="0"/>
    <x v="1"/>
    <x v="0"/>
    <x v="1"/>
    <x v="8"/>
    <x v="17"/>
    <x v="64"/>
    <x v="13"/>
    <x v="8"/>
    <x v="713"/>
    <x v="615"/>
    <x v="789"/>
    <x v="1416"/>
    <x v="1048"/>
    <x v="0"/>
    <x v="1"/>
    <x v="0"/>
  </r>
  <r>
    <x v="1209"/>
    <x v="343"/>
    <x v="1"/>
    <x v="0"/>
    <x v="0"/>
    <x v="3"/>
    <x v="12"/>
    <x v="0"/>
    <x v="0"/>
    <x v="0"/>
    <x v="0"/>
    <x v="1"/>
    <x v="8"/>
    <x v="17"/>
    <x v="53"/>
    <x v="13"/>
    <x v="8"/>
    <x v="660"/>
    <x v="571"/>
    <x v="1224"/>
    <x v="1287"/>
    <x v="641"/>
    <x v="0"/>
    <x v="0"/>
    <x v="0"/>
  </r>
  <r>
    <x v="1210"/>
    <x v="350"/>
    <x v="1"/>
    <x v="0"/>
    <x v="0"/>
    <x v="3"/>
    <x v="12"/>
    <x v="0"/>
    <x v="0"/>
    <x v="1"/>
    <x v="0"/>
    <x v="1"/>
    <x v="9"/>
    <x v="19"/>
    <x v="71"/>
    <x v="7"/>
    <x v="5"/>
    <x v="636"/>
    <x v="566"/>
    <x v="663"/>
    <x v="1260"/>
    <x v="728"/>
    <x v="0"/>
    <x v="1"/>
    <x v="0"/>
  </r>
  <r>
    <x v="1211"/>
    <x v="330"/>
    <x v="1"/>
    <x v="0"/>
    <x v="0"/>
    <x v="3"/>
    <x v="12"/>
    <x v="0"/>
    <x v="0"/>
    <x v="0"/>
    <x v="0"/>
    <x v="1"/>
    <x v="9"/>
    <x v="19"/>
    <x v="52"/>
    <x v="7"/>
    <x v="5"/>
    <x v="544"/>
    <x v="486"/>
    <x v="1156"/>
    <x v="1021"/>
    <x v="345"/>
    <x v="0"/>
    <x v="0"/>
    <x v="0"/>
  </r>
  <r>
    <x v="1212"/>
    <x v="337"/>
    <x v="1"/>
    <x v="0"/>
    <x v="0"/>
    <x v="3"/>
    <x v="12"/>
    <x v="0"/>
    <x v="0"/>
    <x v="1"/>
    <x v="2"/>
    <x v="5"/>
    <x v="0"/>
    <x v="1"/>
    <x v="34"/>
    <x v="16"/>
    <x v="11"/>
    <x v="611"/>
    <x v="539"/>
    <x v="624"/>
    <x v="1235"/>
    <x v="899"/>
    <x v="0"/>
    <x v="1"/>
    <x v="0"/>
  </r>
  <r>
    <x v="1213"/>
    <x v="344"/>
    <x v="1"/>
    <x v="0"/>
    <x v="0"/>
    <x v="3"/>
    <x v="12"/>
    <x v="0"/>
    <x v="0"/>
    <x v="0"/>
    <x v="2"/>
    <x v="5"/>
    <x v="0"/>
    <x v="1"/>
    <x v="25"/>
    <x v="16"/>
    <x v="11"/>
    <x v="516"/>
    <x v="453"/>
    <x v="1134"/>
    <x v="991"/>
    <x v="442"/>
    <x v="0"/>
    <x v="0"/>
    <x v="0"/>
  </r>
  <r>
    <x v="1214"/>
    <x v="324"/>
    <x v="1"/>
    <x v="0"/>
    <x v="0"/>
    <x v="3"/>
    <x v="12"/>
    <x v="0"/>
    <x v="0"/>
    <x v="1"/>
    <x v="2"/>
    <x v="5"/>
    <x v="4"/>
    <x v="9"/>
    <x v="31"/>
    <x v="10"/>
    <x v="9"/>
    <x v="465"/>
    <x v="427"/>
    <x v="416"/>
    <x v="924"/>
    <x v="581"/>
    <x v="1"/>
    <x v="1"/>
    <x v="2"/>
  </r>
  <r>
    <x v="1215"/>
    <x v="331"/>
    <x v="1"/>
    <x v="0"/>
    <x v="0"/>
    <x v="3"/>
    <x v="12"/>
    <x v="0"/>
    <x v="0"/>
    <x v="0"/>
    <x v="2"/>
    <x v="5"/>
    <x v="4"/>
    <x v="9"/>
    <x v="24"/>
    <x v="10"/>
    <x v="9"/>
    <x v="382"/>
    <x v="354"/>
    <x v="1037"/>
    <x v="687"/>
    <x v="236"/>
    <x v="1"/>
    <x v="0"/>
    <x v="2"/>
  </r>
  <r>
    <x v="1216"/>
    <x v="338"/>
    <x v="1"/>
    <x v="0"/>
    <x v="0"/>
    <x v="3"/>
    <x v="12"/>
    <x v="0"/>
    <x v="0"/>
    <x v="1"/>
    <x v="1"/>
    <x v="3"/>
    <x v="7"/>
    <x v="15"/>
    <x v="43"/>
    <x v="19"/>
    <x v="13"/>
    <x v="695"/>
    <x v="634"/>
    <x v="753"/>
    <x v="1298"/>
    <x v="430"/>
    <x v="0"/>
    <x v="1"/>
    <x v="0"/>
  </r>
  <r>
    <x v="1217"/>
    <x v="345"/>
    <x v="1"/>
    <x v="0"/>
    <x v="0"/>
    <x v="3"/>
    <x v="12"/>
    <x v="0"/>
    <x v="0"/>
    <x v="0"/>
    <x v="1"/>
    <x v="3"/>
    <x v="7"/>
    <x v="15"/>
    <x v="34"/>
    <x v="19"/>
    <x v="13"/>
    <x v="630"/>
    <x v="582"/>
    <x v="1208"/>
    <x v="1132"/>
    <x v="177"/>
    <x v="1"/>
    <x v="0"/>
    <x v="0"/>
  </r>
  <r>
    <x v="1218"/>
    <x v="325"/>
    <x v="1"/>
    <x v="0"/>
    <x v="0"/>
    <x v="3"/>
    <x v="12"/>
    <x v="0"/>
    <x v="0"/>
    <x v="1"/>
    <x v="1"/>
    <x v="3"/>
    <x v="6"/>
    <x v="13"/>
    <x v="47"/>
    <x v="4"/>
    <x v="3"/>
    <x v="305"/>
    <x v="255"/>
    <x v="210"/>
    <x v="705"/>
    <x v="1017"/>
    <x v="1"/>
    <x v="1"/>
    <x v="2"/>
  </r>
  <r>
    <x v="1219"/>
    <x v="332"/>
    <x v="1"/>
    <x v="0"/>
    <x v="0"/>
    <x v="3"/>
    <x v="12"/>
    <x v="0"/>
    <x v="0"/>
    <x v="0"/>
    <x v="1"/>
    <x v="3"/>
    <x v="6"/>
    <x v="13"/>
    <x v="31"/>
    <x v="4"/>
    <x v="3"/>
    <x v="177"/>
    <x v="155"/>
    <x v="766"/>
    <x v="382"/>
    <x v="608"/>
    <x v="1"/>
    <x v="0"/>
    <x v="2"/>
  </r>
  <r>
    <x v="1220"/>
    <x v="339"/>
    <x v="1"/>
    <x v="0"/>
    <x v="0"/>
    <x v="3"/>
    <x v="12"/>
    <x v="1"/>
    <x v="1"/>
    <x v="1"/>
    <x v="3"/>
    <x v="7"/>
    <x v="1"/>
    <x v="3"/>
    <x v="8"/>
    <x v="24"/>
    <x v="17"/>
    <x v="809"/>
    <x v="729"/>
    <x v="1039"/>
    <x v="1492"/>
    <x v="164"/>
    <x v="1"/>
    <x v="1"/>
    <x v="0"/>
  </r>
  <r>
    <x v="1221"/>
    <x v="346"/>
    <x v="1"/>
    <x v="0"/>
    <x v="0"/>
    <x v="3"/>
    <x v="12"/>
    <x v="1"/>
    <x v="1"/>
    <x v="0"/>
    <x v="3"/>
    <x v="7"/>
    <x v="1"/>
    <x v="3"/>
    <x v="4"/>
    <x v="24"/>
    <x v="17"/>
    <x v="735"/>
    <x v="679"/>
    <x v="1269"/>
    <x v="1230"/>
    <x v="68"/>
    <x v="2"/>
    <x v="0"/>
    <x v="0"/>
  </r>
  <r>
    <x v="1222"/>
    <x v="326"/>
    <x v="1"/>
    <x v="0"/>
    <x v="0"/>
    <x v="3"/>
    <x v="12"/>
    <x v="1"/>
    <x v="1"/>
    <x v="1"/>
    <x v="3"/>
    <x v="7"/>
    <x v="2"/>
    <x v="5"/>
    <x v="7"/>
    <x v="21"/>
    <x v="15"/>
    <x v="579"/>
    <x v="556"/>
    <x v="585"/>
    <x v="1050"/>
    <x v="212"/>
    <x v="1"/>
    <x v="1"/>
    <x v="0"/>
  </r>
  <r>
    <x v="1223"/>
    <x v="333"/>
    <x v="1"/>
    <x v="0"/>
    <x v="0"/>
    <x v="3"/>
    <x v="12"/>
    <x v="1"/>
    <x v="1"/>
    <x v="0"/>
    <x v="3"/>
    <x v="7"/>
    <x v="2"/>
    <x v="5"/>
    <x v="4"/>
    <x v="21"/>
    <x v="15"/>
    <x v="434"/>
    <x v="442"/>
    <x v="1079"/>
    <x v="667"/>
    <x v="74"/>
    <x v="1"/>
    <x v="0"/>
    <x v="2"/>
  </r>
  <r>
    <x v="1224"/>
    <x v="340"/>
    <x v="1"/>
    <x v="0"/>
    <x v="0"/>
    <x v="3"/>
    <x v="12"/>
    <x v="1"/>
    <x v="1"/>
    <x v="1"/>
    <x v="3"/>
    <x v="7"/>
    <x v="5"/>
    <x v="11"/>
    <x v="9"/>
    <x v="27"/>
    <x v="19"/>
    <x v="841"/>
    <x v="754"/>
    <x v="1144"/>
    <x v="1532"/>
    <x v="39"/>
    <x v="2"/>
    <x v="1"/>
    <x v="0"/>
  </r>
  <r>
    <x v="1225"/>
    <x v="347"/>
    <x v="1"/>
    <x v="0"/>
    <x v="0"/>
    <x v="3"/>
    <x v="12"/>
    <x v="1"/>
    <x v="1"/>
    <x v="0"/>
    <x v="3"/>
    <x v="7"/>
    <x v="5"/>
    <x v="11"/>
    <x v="6"/>
    <x v="27"/>
    <x v="19"/>
    <x v="817"/>
    <x v="741"/>
    <x v="1315"/>
    <x v="1375"/>
    <x v="6"/>
    <x v="2"/>
    <x v="0"/>
    <x v="0"/>
  </r>
  <r>
    <x v="1226"/>
    <x v="327"/>
    <x v="1"/>
    <x v="0"/>
    <x v="0"/>
    <x v="3"/>
    <x v="12"/>
    <x v="1"/>
    <x v="1"/>
    <x v="1"/>
    <x v="0"/>
    <x v="1"/>
    <x v="3"/>
    <x v="7"/>
    <x v="36"/>
    <x v="1"/>
    <x v="1"/>
    <x v="159"/>
    <x v="122"/>
    <x v="98"/>
    <x v="442"/>
    <x v="1199"/>
    <x v="1"/>
    <x v="1"/>
    <x v="2"/>
  </r>
  <r>
    <x v="1227"/>
    <x v="334"/>
    <x v="1"/>
    <x v="0"/>
    <x v="0"/>
    <x v="3"/>
    <x v="12"/>
    <x v="1"/>
    <x v="1"/>
    <x v="0"/>
    <x v="0"/>
    <x v="1"/>
    <x v="3"/>
    <x v="7"/>
    <x v="31"/>
    <x v="1"/>
    <x v="1"/>
    <x v="122"/>
    <x v="97"/>
    <x v="671"/>
    <x v="288"/>
    <x v="863"/>
    <x v="1"/>
    <x v="0"/>
    <x v="2"/>
  </r>
  <r>
    <x v="1228"/>
    <x v="341"/>
    <x v="1"/>
    <x v="0"/>
    <x v="0"/>
    <x v="3"/>
    <x v="12"/>
    <x v="1"/>
    <x v="1"/>
    <x v="1"/>
    <x v="0"/>
    <x v="1"/>
    <x v="8"/>
    <x v="17"/>
    <x v="37"/>
    <x v="13"/>
    <x v="8"/>
    <x v="561"/>
    <x v="479"/>
    <x v="554"/>
    <x v="1196"/>
    <x v="1046"/>
    <x v="0"/>
    <x v="1"/>
    <x v="0"/>
  </r>
  <r>
    <x v="1229"/>
    <x v="348"/>
    <x v="1"/>
    <x v="0"/>
    <x v="0"/>
    <x v="3"/>
    <x v="12"/>
    <x v="1"/>
    <x v="1"/>
    <x v="0"/>
    <x v="0"/>
    <x v="1"/>
    <x v="8"/>
    <x v="17"/>
    <x v="33"/>
    <x v="13"/>
    <x v="8"/>
    <x v="524"/>
    <x v="449"/>
    <x v="1141"/>
    <x v="1061"/>
    <x v="640"/>
    <x v="0"/>
    <x v="0"/>
    <x v="0"/>
  </r>
  <r>
    <x v="1230"/>
    <x v="328"/>
    <x v="1"/>
    <x v="0"/>
    <x v="0"/>
    <x v="3"/>
    <x v="12"/>
    <x v="1"/>
    <x v="1"/>
    <x v="1"/>
    <x v="0"/>
    <x v="1"/>
    <x v="9"/>
    <x v="19"/>
    <x v="41"/>
    <x v="7"/>
    <x v="5"/>
    <x v="463"/>
    <x v="416"/>
    <x v="411"/>
    <x v="956"/>
    <x v="731"/>
    <x v="1"/>
    <x v="1"/>
    <x v="2"/>
  </r>
  <r>
    <x v="1231"/>
    <x v="335"/>
    <x v="1"/>
    <x v="0"/>
    <x v="0"/>
    <x v="3"/>
    <x v="12"/>
    <x v="1"/>
    <x v="1"/>
    <x v="0"/>
    <x v="0"/>
    <x v="1"/>
    <x v="9"/>
    <x v="19"/>
    <x v="29"/>
    <x v="7"/>
    <x v="5"/>
    <x v="352"/>
    <x v="315"/>
    <x v="1009"/>
    <x v="656"/>
    <x v="349"/>
    <x v="1"/>
    <x v="0"/>
    <x v="2"/>
  </r>
  <r>
    <x v="1232"/>
    <x v="342"/>
    <x v="1"/>
    <x v="0"/>
    <x v="0"/>
    <x v="3"/>
    <x v="12"/>
    <x v="1"/>
    <x v="1"/>
    <x v="1"/>
    <x v="2"/>
    <x v="5"/>
    <x v="0"/>
    <x v="1"/>
    <x v="20"/>
    <x v="16"/>
    <x v="11"/>
    <x v="441"/>
    <x v="395"/>
    <x v="386"/>
    <x v="945"/>
    <x v="899"/>
    <x v="1"/>
    <x v="1"/>
    <x v="2"/>
  </r>
  <r>
    <x v="1233"/>
    <x v="349"/>
    <x v="1"/>
    <x v="0"/>
    <x v="0"/>
    <x v="3"/>
    <x v="12"/>
    <x v="1"/>
    <x v="1"/>
    <x v="0"/>
    <x v="2"/>
    <x v="5"/>
    <x v="0"/>
    <x v="1"/>
    <x v="14"/>
    <x v="16"/>
    <x v="11"/>
    <x v="341"/>
    <x v="292"/>
    <x v="995"/>
    <x v="647"/>
    <x v="445"/>
    <x v="1"/>
    <x v="0"/>
    <x v="2"/>
  </r>
  <r>
    <x v="1234"/>
    <x v="329"/>
    <x v="1"/>
    <x v="0"/>
    <x v="0"/>
    <x v="3"/>
    <x v="12"/>
    <x v="1"/>
    <x v="1"/>
    <x v="1"/>
    <x v="2"/>
    <x v="5"/>
    <x v="4"/>
    <x v="9"/>
    <x v="18"/>
    <x v="10"/>
    <x v="9"/>
    <x v="300"/>
    <x v="280"/>
    <x v="208"/>
    <x v="594"/>
    <x v="579"/>
    <x v="1"/>
    <x v="1"/>
    <x v="2"/>
  </r>
  <r>
    <x v="1235"/>
    <x v="336"/>
    <x v="1"/>
    <x v="0"/>
    <x v="0"/>
    <x v="3"/>
    <x v="12"/>
    <x v="1"/>
    <x v="1"/>
    <x v="0"/>
    <x v="2"/>
    <x v="5"/>
    <x v="4"/>
    <x v="9"/>
    <x v="12"/>
    <x v="10"/>
    <x v="9"/>
    <x v="188"/>
    <x v="186"/>
    <x v="783"/>
    <x v="306"/>
    <x v="234"/>
    <x v="1"/>
    <x v="0"/>
    <x v="2"/>
  </r>
  <r>
    <x v="1236"/>
    <x v="343"/>
    <x v="1"/>
    <x v="0"/>
    <x v="0"/>
    <x v="3"/>
    <x v="12"/>
    <x v="1"/>
    <x v="1"/>
    <x v="1"/>
    <x v="1"/>
    <x v="3"/>
    <x v="7"/>
    <x v="15"/>
    <x v="22"/>
    <x v="19"/>
    <x v="13"/>
    <x v="503"/>
    <x v="474"/>
    <x v="466"/>
    <x v="962"/>
    <x v="429"/>
    <x v="0"/>
    <x v="1"/>
    <x v="0"/>
  </r>
  <r>
    <x v="1237"/>
    <x v="350"/>
    <x v="1"/>
    <x v="0"/>
    <x v="0"/>
    <x v="3"/>
    <x v="12"/>
    <x v="1"/>
    <x v="1"/>
    <x v="0"/>
    <x v="1"/>
    <x v="3"/>
    <x v="7"/>
    <x v="15"/>
    <x v="14"/>
    <x v="19"/>
    <x v="13"/>
    <x v="362"/>
    <x v="348"/>
    <x v="1017"/>
    <x v="589"/>
    <x v="174"/>
    <x v="1"/>
    <x v="0"/>
    <x v="2"/>
  </r>
  <r>
    <x v="1238"/>
    <x v="330"/>
    <x v="1"/>
    <x v="0"/>
    <x v="0"/>
    <x v="3"/>
    <x v="12"/>
    <x v="1"/>
    <x v="1"/>
    <x v="1"/>
    <x v="1"/>
    <x v="3"/>
    <x v="6"/>
    <x v="13"/>
    <x v="23"/>
    <x v="4"/>
    <x v="3"/>
    <x v="112"/>
    <x v="100"/>
    <x v="63"/>
    <x v="287"/>
    <x v="1018"/>
    <x v="1"/>
    <x v="1"/>
    <x v="2"/>
  </r>
  <r>
    <x v="1239"/>
    <x v="337"/>
    <x v="1"/>
    <x v="0"/>
    <x v="0"/>
    <x v="3"/>
    <x v="12"/>
    <x v="1"/>
    <x v="1"/>
    <x v="0"/>
    <x v="1"/>
    <x v="3"/>
    <x v="6"/>
    <x v="13"/>
    <x v="17"/>
    <x v="4"/>
    <x v="3"/>
    <x v="64"/>
    <x v="60"/>
    <x v="523"/>
    <x v="127"/>
    <x v="606"/>
    <x v="1"/>
    <x v="0"/>
    <x v="2"/>
  </r>
  <r>
    <x v="1240"/>
    <x v="344"/>
    <x v="1"/>
    <x v="0"/>
    <x v="0"/>
    <x v="3"/>
    <x v="12"/>
    <x v="3"/>
    <x v="3"/>
    <x v="1"/>
    <x v="3"/>
    <x v="7"/>
    <x v="1"/>
    <x v="3"/>
    <x v="5"/>
    <x v="24"/>
    <x v="17"/>
    <x v="761"/>
    <x v="702"/>
    <x v="888"/>
    <x v="1379"/>
    <x v="166"/>
    <x v="1"/>
    <x v="1"/>
    <x v="0"/>
  </r>
  <r>
    <x v="1241"/>
    <x v="324"/>
    <x v="1"/>
    <x v="0"/>
    <x v="0"/>
    <x v="3"/>
    <x v="12"/>
    <x v="3"/>
    <x v="3"/>
    <x v="0"/>
    <x v="3"/>
    <x v="7"/>
    <x v="1"/>
    <x v="3"/>
    <x v="3"/>
    <x v="24"/>
    <x v="17"/>
    <x v="693"/>
    <x v="653"/>
    <x v="1244"/>
    <x v="1149"/>
    <x v="66"/>
    <x v="2"/>
    <x v="0"/>
    <x v="0"/>
  </r>
  <r>
    <x v="1242"/>
    <x v="331"/>
    <x v="1"/>
    <x v="0"/>
    <x v="0"/>
    <x v="3"/>
    <x v="12"/>
    <x v="3"/>
    <x v="3"/>
    <x v="1"/>
    <x v="3"/>
    <x v="7"/>
    <x v="2"/>
    <x v="5"/>
    <x v="5"/>
    <x v="21"/>
    <x v="15"/>
    <x v="492"/>
    <x v="482"/>
    <x v="449"/>
    <x v="884"/>
    <x v="211"/>
    <x v="1"/>
    <x v="1"/>
    <x v="0"/>
  </r>
  <r>
    <x v="1243"/>
    <x v="338"/>
    <x v="1"/>
    <x v="0"/>
    <x v="0"/>
    <x v="3"/>
    <x v="12"/>
    <x v="3"/>
    <x v="3"/>
    <x v="0"/>
    <x v="3"/>
    <x v="7"/>
    <x v="2"/>
    <x v="5"/>
    <x v="3"/>
    <x v="21"/>
    <x v="15"/>
    <x v="374"/>
    <x v="385"/>
    <x v="1029"/>
    <x v="547"/>
    <x v="78"/>
    <x v="1"/>
    <x v="0"/>
    <x v="2"/>
  </r>
  <r>
    <x v="1244"/>
    <x v="345"/>
    <x v="1"/>
    <x v="0"/>
    <x v="0"/>
    <x v="3"/>
    <x v="12"/>
    <x v="3"/>
    <x v="3"/>
    <x v="1"/>
    <x v="3"/>
    <x v="7"/>
    <x v="5"/>
    <x v="11"/>
    <x v="6"/>
    <x v="27"/>
    <x v="19"/>
    <x v="817"/>
    <x v="741"/>
    <x v="1063"/>
    <x v="1455"/>
    <x v="40"/>
    <x v="2"/>
    <x v="1"/>
    <x v="0"/>
  </r>
  <r>
    <x v="1245"/>
    <x v="325"/>
    <x v="1"/>
    <x v="0"/>
    <x v="0"/>
    <x v="3"/>
    <x v="12"/>
    <x v="3"/>
    <x v="3"/>
    <x v="0"/>
    <x v="3"/>
    <x v="7"/>
    <x v="5"/>
    <x v="11"/>
    <x v="4"/>
    <x v="27"/>
    <x v="19"/>
    <x v="791"/>
    <x v="726"/>
    <x v="1300"/>
    <x v="1250"/>
    <x v="7"/>
    <x v="2"/>
    <x v="0"/>
    <x v="0"/>
  </r>
  <r>
    <x v="1246"/>
    <x v="332"/>
    <x v="1"/>
    <x v="0"/>
    <x v="0"/>
    <x v="3"/>
    <x v="12"/>
    <x v="3"/>
    <x v="3"/>
    <x v="1"/>
    <x v="0"/>
    <x v="1"/>
    <x v="3"/>
    <x v="7"/>
    <x v="28"/>
    <x v="1"/>
    <x v="1"/>
    <x v="102"/>
    <x v="82"/>
    <x v="56"/>
    <x v="303"/>
    <x v="1194"/>
    <x v="1"/>
    <x v="1"/>
    <x v="2"/>
  </r>
  <r>
    <x v="1247"/>
    <x v="339"/>
    <x v="1"/>
    <x v="0"/>
    <x v="0"/>
    <x v="3"/>
    <x v="12"/>
    <x v="3"/>
    <x v="3"/>
    <x v="0"/>
    <x v="0"/>
    <x v="1"/>
    <x v="3"/>
    <x v="7"/>
    <x v="25"/>
    <x v="1"/>
    <x v="1"/>
    <x v="85"/>
    <x v="67"/>
    <x v="590"/>
    <x v="207"/>
    <x v="862"/>
    <x v="1"/>
    <x v="0"/>
    <x v="2"/>
  </r>
  <r>
    <x v="1248"/>
    <x v="346"/>
    <x v="1"/>
    <x v="0"/>
    <x v="0"/>
    <x v="3"/>
    <x v="12"/>
    <x v="3"/>
    <x v="3"/>
    <x v="1"/>
    <x v="0"/>
    <x v="1"/>
    <x v="8"/>
    <x v="17"/>
    <x v="37"/>
    <x v="13"/>
    <x v="8"/>
    <x v="561"/>
    <x v="479"/>
    <x v="554"/>
    <x v="1196"/>
    <x v="1046"/>
    <x v="0"/>
    <x v="1"/>
    <x v="0"/>
  </r>
  <r>
    <x v="1249"/>
    <x v="326"/>
    <x v="1"/>
    <x v="0"/>
    <x v="0"/>
    <x v="3"/>
    <x v="12"/>
    <x v="3"/>
    <x v="3"/>
    <x v="0"/>
    <x v="0"/>
    <x v="1"/>
    <x v="8"/>
    <x v="17"/>
    <x v="20"/>
    <x v="13"/>
    <x v="8"/>
    <x v="363"/>
    <x v="301"/>
    <x v="1022"/>
    <x v="760"/>
    <x v="638"/>
    <x v="1"/>
    <x v="0"/>
    <x v="2"/>
  </r>
  <r>
    <x v="1250"/>
    <x v="333"/>
    <x v="1"/>
    <x v="0"/>
    <x v="0"/>
    <x v="3"/>
    <x v="12"/>
    <x v="3"/>
    <x v="3"/>
    <x v="1"/>
    <x v="0"/>
    <x v="1"/>
    <x v="9"/>
    <x v="19"/>
    <x v="29"/>
    <x v="7"/>
    <x v="5"/>
    <x v="352"/>
    <x v="315"/>
    <x v="265"/>
    <x v="754"/>
    <x v="723"/>
    <x v="1"/>
    <x v="1"/>
    <x v="2"/>
  </r>
  <r>
    <x v="1251"/>
    <x v="340"/>
    <x v="1"/>
    <x v="0"/>
    <x v="0"/>
    <x v="3"/>
    <x v="12"/>
    <x v="3"/>
    <x v="3"/>
    <x v="0"/>
    <x v="0"/>
    <x v="1"/>
    <x v="9"/>
    <x v="19"/>
    <x v="19"/>
    <x v="7"/>
    <x v="5"/>
    <x v="227"/>
    <x v="210"/>
    <x v="841"/>
    <x v="425"/>
    <x v="346"/>
    <x v="1"/>
    <x v="0"/>
    <x v="2"/>
  </r>
  <r>
    <x v="1252"/>
    <x v="347"/>
    <x v="1"/>
    <x v="0"/>
    <x v="0"/>
    <x v="3"/>
    <x v="12"/>
    <x v="3"/>
    <x v="3"/>
    <x v="1"/>
    <x v="2"/>
    <x v="5"/>
    <x v="0"/>
    <x v="1"/>
    <x v="15"/>
    <x v="16"/>
    <x v="11"/>
    <x v="356"/>
    <x v="310"/>
    <x v="271"/>
    <x v="787"/>
    <x v="899"/>
    <x v="1"/>
    <x v="1"/>
    <x v="2"/>
  </r>
  <r>
    <x v="1253"/>
    <x v="327"/>
    <x v="1"/>
    <x v="0"/>
    <x v="0"/>
    <x v="3"/>
    <x v="12"/>
    <x v="3"/>
    <x v="3"/>
    <x v="0"/>
    <x v="2"/>
    <x v="5"/>
    <x v="0"/>
    <x v="1"/>
    <x v="9"/>
    <x v="16"/>
    <x v="11"/>
    <x v="218"/>
    <x v="199"/>
    <x v="831"/>
    <x v="428"/>
    <x v="447"/>
    <x v="1"/>
    <x v="0"/>
    <x v="2"/>
  </r>
  <r>
    <x v="1254"/>
    <x v="334"/>
    <x v="1"/>
    <x v="0"/>
    <x v="0"/>
    <x v="3"/>
    <x v="12"/>
    <x v="3"/>
    <x v="3"/>
    <x v="1"/>
    <x v="2"/>
    <x v="5"/>
    <x v="4"/>
    <x v="9"/>
    <x v="14"/>
    <x v="10"/>
    <x v="9"/>
    <x v="226"/>
    <x v="221"/>
    <x v="150"/>
    <x v="470"/>
    <x v="577"/>
    <x v="1"/>
    <x v="1"/>
    <x v="2"/>
  </r>
  <r>
    <x v="1255"/>
    <x v="341"/>
    <x v="1"/>
    <x v="0"/>
    <x v="0"/>
    <x v="3"/>
    <x v="12"/>
    <x v="3"/>
    <x v="3"/>
    <x v="0"/>
    <x v="2"/>
    <x v="5"/>
    <x v="4"/>
    <x v="9"/>
    <x v="9"/>
    <x v="10"/>
    <x v="9"/>
    <x v="125"/>
    <x v="131"/>
    <x v="675"/>
    <x v="203"/>
    <x v="233"/>
    <x v="1"/>
    <x v="0"/>
    <x v="2"/>
  </r>
  <r>
    <x v="1256"/>
    <x v="348"/>
    <x v="1"/>
    <x v="0"/>
    <x v="0"/>
    <x v="3"/>
    <x v="12"/>
    <x v="3"/>
    <x v="3"/>
    <x v="1"/>
    <x v="1"/>
    <x v="3"/>
    <x v="7"/>
    <x v="15"/>
    <x v="19"/>
    <x v="19"/>
    <x v="13"/>
    <x v="455"/>
    <x v="432"/>
    <x v="399"/>
    <x v="885"/>
    <x v="431"/>
    <x v="1"/>
    <x v="1"/>
    <x v="2"/>
  </r>
  <r>
    <x v="1257"/>
    <x v="328"/>
    <x v="1"/>
    <x v="0"/>
    <x v="0"/>
    <x v="3"/>
    <x v="12"/>
    <x v="3"/>
    <x v="3"/>
    <x v="0"/>
    <x v="1"/>
    <x v="3"/>
    <x v="7"/>
    <x v="15"/>
    <x v="13"/>
    <x v="19"/>
    <x v="13"/>
    <x v="347"/>
    <x v="328"/>
    <x v="999"/>
    <x v="560"/>
    <x v="181"/>
    <x v="1"/>
    <x v="0"/>
    <x v="2"/>
  </r>
  <r>
    <x v="1258"/>
    <x v="335"/>
    <x v="1"/>
    <x v="0"/>
    <x v="0"/>
    <x v="3"/>
    <x v="12"/>
    <x v="3"/>
    <x v="3"/>
    <x v="1"/>
    <x v="1"/>
    <x v="3"/>
    <x v="6"/>
    <x v="13"/>
    <x v="20"/>
    <x v="4"/>
    <x v="3"/>
    <x v="90"/>
    <x v="80"/>
    <x v="45"/>
    <x v="229"/>
    <x v="1011"/>
    <x v="1"/>
    <x v="1"/>
    <x v="2"/>
  </r>
  <r>
    <x v="1259"/>
    <x v="342"/>
    <x v="1"/>
    <x v="0"/>
    <x v="0"/>
    <x v="3"/>
    <x v="12"/>
    <x v="3"/>
    <x v="3"/>
    <x v="0"/>
    <x v="1"/>
    <x v="3"/>
    <x v="6"/>
    <x v="13"/>
    <x v="13"/>
    <x v="4"/>
    <x v="3"/>
    <x v="39"/>
    <x v="38"/>
    <x v="402"/>
    <x v="74"/>
    <x v="604"/>
    <x v="1"/>
    <x v="0"/>
    <x v="2"/>
  </r>
  <r>
    <x v="1260"/>
    <x v="349"/>
    <x v="1"/>
    <x v="0"/>
    <x v="0"/>
    <x v="3"/>
    <x v="12"/>
    <x v="2"/>
    <x v="2"/>
    <x v="1"/>
    <x v="3"/>
    <x v="7"/>
    <x v="1"/>
    <x v="3"/>
    <x v="4"/>
    <x v="24"/>
    <x v="17"/>
    <x v="735"/>
    <x v="679"/>
    <x v="833"/>
    <x v="1307"/>
    <x v="168"/>
    <x v="1"/>
    <x v="1"/>
    <x v="0"/>
  </r>
  <r>
    <x v="1261"/>
    <x v="329"/>
    <x v="1"/>
    <x v="0"/>
    <x v="0"/>
    <x v="3"/>
    <x v="12"/>
    <x v="2"/>
    <x v="2"/>
    <x v="0"/>
    <x v="3"/>
    <x v="7"/>
    <x v="1"/>
    <x v="3"/>
    <x v="2"/>
    <x v="24"/>
    <x v="17"/>
    <x v="628"/>
    <x v="600"/>
    <x v="1206"/>
    <x v="995"/>
    <x v="63"/>
    <x v="2"/>
    <x v="0"/>
    <x v="0"/>
  </r>
  <r>
    <x v="1262"/>
    <x v="336"/>
    <x v="1"/>
    <x v="0"/>
    <x v="0"/>
    <x v="3"/>
    <x v="12"/>
    <x v="2"/>
    <x v="2"/>
    <x v="1"/>
    <x v="3"/>
    <x v="7"/>
    <x v="2"/>
    <x v="5"/>
    <x v="3"/>
    <x v="21"/>
    <x v="15"/>
    <x v="374"/>
    <x v="385"/>
    <x v="301"/>
    <x v="659"/>
    <x v="218"/>
    <x v="1"/>
    <x v="1"/>
    <x v="2"/>
  </r>
  <r>
    <x v="1263"/>
    <x v="343"/>
    <x v="1"/>
    <x v="0"/>
    <x v="0"/>
    <x v="3"/>
    <x v="12"/>
    <x v="2"/>
    <x v="2"/>
    <x v="0"/>
    <x v="3"/>
    <x v="7"/>
    <x v="2"/>
    <x v="5"/>
    <x v="2"/>
    <x v="21"/>
    <x v="15"/>
    <x v="309"/>
    <x v="313"/>
    <x v="950"/>
    <x v="419"/>
    <x v="74"/>
    <x v="1"/>
    <x v="0"/>
    <x v="2"/>
  </r>
  <r>
    <x v="1264"/>
    <x v="350"/>
    <x v="1"/>
    <x v="0"/>
    <x v="0"/>
    <x v="3"/>
    <x v="12"/>
    <x v="2"/>
    <x v="2"/>
    <x v="1"/>
    <x v="3"/>
    <x v="7"/>
    <x v="5"/>
    <x v="11"/>
    <x v="3"/>
    <x v="27"/>
    <x v="19"/>
    <x v="758"/>
    <x v="709"/>
    <x v="883"/>
    <x v="1271"/>
    <x v="41"/>
    <x v="2"/>
    <x v="1"/>
    <x v="0"/>
  </r>
  <r>
    <x v="1265"/>
    <x v="330"/>
    <x v="1"/>
    <x v="0"/>
    <x v="0"/>
    <x v="3"/>
    <x v="12"/>
    <x v="2"/>
    <x v="2"/>
    <x v="0"/>
    <x v="3"/>
    <x v="7"/>
    <x v="5"/>
    <x v="11"/>
    <x v="2"/>
    <x v="27"/>
    <x v="19"/>
    <x v="717"/>
    <x v="681"/>
    <x v="1259"/>
    <x v="1029"/>
    <x v="10"/>
    <x v="2"/>
    <x v="0"/>
    <x v="0"/>
  </r>
  <r>
    <x v="1266"/>
    <x v="337"/>
    <x v="1"/>
    <x v="0"/>
    <x v="0"/>
    <x v="3"/>
    <x v="12"/>
    <x v="2"/>
    <x v="2"/>
    <x v="1"/>
    <x v="0"/>
    <x v="1"/>
    <x v="3"/>
    <x v="7"/>
    <x v="19"/>
    <x v="1"/>
    <x v="1"/>
    <x v="47"/>
    <x v="42"/>
    <x v="18"/>
    <x v="151"/>
    <x v="1202"/>
    <x v="1"/>
    <x v="1"/>
    <x v="2"/>
  </r>
  <r>
    <x v="1267"/>
    <x v="344"/>
    <x v="1"/>
    <x v="0"/>
    <x v="0"/>
    <x v="3"/>
    <x v="12"/>
    <x v="2"/>
    <x v="2"/>
    <x v="0"/>
    <x v="0"/>
    <x v="1"/>
    <x v="3"/>
    <x v="7"/>
    <x v="16"/>
    <x v="1"/>
    <x v="1"/>
    <x v="35"/>
    <x v="30"/>
    <x v="385"/>
    <x v="78"/>
    <x v="868"/>
    <x v="1"/>
    <x v="0"/>
    <x v="2"/>
  </r>
  <r>
    <x v="1268"/>
    <x v="324"/>
    <x v="1"/>
    <x v="0"/>
    <x v="0"/>
    <x v="3"/>
    <x v="12"/>
    <x v="2"/>
    <x v="2"/>
    <x v="1"/>
    <x v="0"/>
    <x v="1"/>
    <x v="8"/>
    <x v="17"/>
    <x v="25"/>
    <x v="13"/>
    <x v="8"/>
    <x v="430"/>
    <x v="366"/>
    <x v="376"/>
    <x v="965"/>
    <x v="1052"/>
    <x v="1"/>
    <x v="1"/>
    <x v="2"/>
  </r>
  <r>
    <x v="1269"/>
    <x v="331"/>
    <x v="1"/>
    <x v="0"/>
    <x v="0"/>
    <x v="3"/>
    <x v="12"/>
    <x v="2"/>
    <x v="2"/>
    <x v="0"/>
    <x v="0"/>
    <x v="1"/>
    <x v="8"/>
    <x v="17"/>
    <x v="18"/>
    <x v="13"/>
    <x v="8"/>
    <x v="338"/>
    <x v="278"/>
    <x v="989"/>
    <x v="696"/>
    <x v="643"/>
    <x v="1"/>
    <x v="0"/>
    <x v="2"/>
  </r>
  <r>
    <x v="1270"/>
    <x v="338"/>
    <x v="1"/>
    <x v="0"/>
    <x v="0"/>
    <x v="3"/>
    <x v="12"/>
    <x v="2"/>
    <x v="2"/>
    <x v="1"/>
    <x v="0"/>
    <x v="1"/>
    <x v="9"/>
    <x v="19"/>
    <x v="23"/>
    <x v="7"/>
    <x v="5"/>
    <x v="280"/>
    <x v="257"/>
    <x v="198"/>
    <x v="599"/>
    <x v="727"/>
    <x v="1"/>
    <x v="1"/>
    <x v="2"/>
  </r>
  <r>
    <x v="1271"/>
    <x v="345"/>
    <x v="1"/>
    <x v="0"/>
    <x v="0"/>
    <x v="3"/>
    <x v="12"/>
    <x v="2"/>
    <x v="2"/>
    <x v="0"/>
    <x v="0"/>
    <x v="1"/>
    <x v="9"/>
    <x v="19"/>
    <x v="14"/>
    <x v="7"/>
    <x v="5"/>
    <x v="155"/>
    <x v="147"/>
    <x v="715"/>
    <x v="268"/>
    <x v="350"/>
    <x v="1"/>
    <x v="0"/>
    <x v="2"/>
  </r>
  <r>
    <x v="1272"/>
    <x v="325"/>
    <x v="1"/>
    <x v="0"/>
    <x v="0"/>
    <x v="3"/>
    <x v="12"/>
    <x v="2"/>
    <x v="2"/>
    <x v="1"/>
    <x v="2"/>
    <x v="5"/>
    <x v="0"/>
    <x v="1"/>
    <x v="10"/>
    <x v="16"/>
    <x v="11"/>
    <x v="245"/>
    <x v="219"/>
    <x v="167"/>
    <x v="550"/>
    <x v="899"/>
    <x v="1"/>
    <x v="1"/>
    <x v="2"/>
  </r>
  <r>
    <x v="1273"/>
    <x v="332"/>
    <x v="1"/>
    <x v="0"/>
    <x v="0"/>
    <x v="3"/>
    <x v="12"/>
    <x v="2"/>
    <x v="2"/>
    <x v="0"/>
    <x v="2"/>
    <x v="5"/>
    <x v="0"/>
    <x v="1"/>
    <x v="7"/>
    <x v="16"/>
    <x v="11"/>
    <x v="163"/>
    <x v="149"/>
    <x v="736"/>
    <x v="311"/>
    <x v="442"/>
    <x v="1"/>
    <x v="0"/>
    <x v="2"/>
  </r>
  <r>
    <x v="1274"/>
    <x v="339"/>
    <x v="1"/>
    <x v="0"/>
    <x v="0"/>
    <x v="3"/>
    <x v="12"/>
    <x v="2"/>
    <x v="2"/>
    <x v="1"/>
    <x v="2"/>
    <x v="5"/>
    <x v="4"/>
    <x v="9"/>
    <x v="9"/>
    <x v="10"/>
    <x v="9"/>
    <x v="125"/>
    <x v="131"/>
    <x v="74"/>
    <x v="255"/>
    <x v="576"/>
    <x v="1"/>
    <x v="1"/>
    <x v="2"/>
  </r>
  <r>
    <x v="1275"/>
    <x v="346"/>
    <x v="1"/>
    <x v="0"/>
    <x v="0"/>
    <x v="3"/>
    <x v="12"/>
    <x v="2"/>
    <x v="2"/>
    <x v="0"/>
    <x v="2"/>
    <x v="5"/>
    <x v="4"/>
    <x v="9"/>
    <x v="7"/>
    <x v="10"/>
    <x v="9"/>
    <x v="88"/>
    <x v="94"/>
    <x v="596"/>
    <x v="125"/>
    <x v="238"/>
    <x v="1"/>
    <x v="0"/>
    <x v="2"/>
  </r>
  <r>
    <x v="1276"/>
    <x v="326"/>
    <x v="1"/>
    <x v="0"/>
    <x v="0"/>
    <x v="3"/>
    <x v="12"/>
    <x v="2"/>
    <x v="2"/>
    <x v="1"/>
    <x v="1"/>
    <x v="3"/>
    <x v="7"/>
    <x v="15"/>
    <x v="13"/>
    <x v="19"/>
    <x v="13"/>
    <x v="347"/>
    <x v="328"/>
    <x v="251"/>
    <x v="663"/>
    <x v="425"/>
    <x v="1"/>
    <x v="1"/>
    <x v="2"/>
  </r>
  <r>
    <x v="1277"/>
    <x v="333"/>
    <x v="1"/>
    <x v="0"/>
    <x v="0"/>
    <x v="3"/>
    <x v="12"/>
    <x v="2"/>
    <x v="2"/>
    <x v="0"/>
    <x v="1"/>
    <x v="3"/>
    <x v="7"/>
    <x v="15"/>
    <x v="9"/>
    <x v="19"/>
    <x v="13"/>
    <x v="242"/>
    <x v="243"/>
    <x v="858"/>
    <x v="381"/>
    <x v="176"/>
    <x v="1"/>
    <x v="0"/>
    <x v="2"/>
  </r>
  <r>
    <x v="1278"/>
    <x v="340"/>
    <x v="1"/>
    <x v="0"/>
    <x v="0"/>
    <x v="3"/>
    <x v="12"/>
    <x v="2"/>
    <x v="2"/>
    <x v="1"/>
    <x v="1"/>
    <x v="3"/>
    <x v="6"/>
    <x v="13"/>
    <x v="11"/>
    <x v="4"/>
    <x v="3"/>
    <x v="25"/>
    <x v="27"/>
    <x v="2"/>
    <x v="68"/>
    <x v="1010"/>
    <x v="1"/>
    <x v="1"/>
    <x v="2"/>
  </r>
  <r>
    <x v="1279"/>
    <x v="347"/>
    <x v="1"/>
    <x v="0"/>
    <x v="0"/>
    <x v="3"/>
    <x v="12"/>
    <x v="2"/>
    <x v="2"/>
    <x v="0"/>
    <x v="1"/>
    <x v="3"/>
    <x v="6"/>
    <x v="13"/>
    <x v="8"/>
    <x v="4"/>
    <x v="3"/>
    <x v="11"/>
    <x v="12"/>
    <x v="232"/>
    <x v="22"/>
    <x v="609"/>
    <x v="1"/>
    <x v="0"/>
    <x v="2"/>
  </r>
  <r>
    <x v="1280"/>
    <x v="327"/>
    <x v="1"/>
    <x v="0"/>
    <x v="0"/>
    <x v="3"/>
    <x v="12"/>
    <x v="4"/>
    <x v="4"/>
    <x v="1"/>
    <x v="3"/>
    <x v="7"/>
    <x v="1"/>
    <x v="3"/>
    <x v="4"/>
    <x v="24"/>
    <x v="17"/>
    <x v="735"/>
    <x v="679"/>
    <x v="833"/>
    <x v="1307"/>
    <x v="168"/>
    <x v="1"/>
    <x v="1"/>
    <x v="0"/>
  </r>
  <r>
    <x v="1281"/>
    <x v="334"/>
    <x v="1"/>
    <x v="0"/>
    <x v="0"/>
    <x v="3"/>
    <x v="12"/>
    <x v="4"/>
    <x v="4"/>
    <x v="0"/>
    <x v="3"/>
    <x v="7"/>
    <x v="1"/>
    <x v="3"/>
    <x v="1"/>
    <x v="24"/>
    <x v="17"/>
    <x v="542"/>
    <x v="530"/>
    <x v="1153"/>
    <x v="817"/>
    <x v="68"/>
    <x v="2"/>
    <x v="0"/>
    <x v="0"/>
  </r>
  <r>
    <x v="1282"/>
    <x v="341"/>
    <x v="1"/>
    <x v="0"/>
    <x v="0"/>
    <x v="3"/>
    <x v="12"/>
    <x v="4"/>
    <x v="4"/>
    <x v="1"/>
    <x v="3"/>
    <x v="7"/>
    <x v="2"/>
    <x v="5"/>
    <x v="3"/>
    <x v="21"/>
    <x v="15"/>
    <x v="374"/>
    <x v="385"/>
    <x v="301"/>
    <x v="659"/>
    <x v="218"/>
    <x v="1"/>
    <x v="1"/>
    <x v="2"/>
  </r>
  <r>
    <x v="1283"/>
    <x v="348"/>
    <x v="1"/>
    <x v="0"/>
    <x v="0"/>
    <x v="3"/>
    <x v="12"/>
    <x v="4"/>
    <x v="4"/>
    <x v="0"/>
    <x v="3"/>
    <x v="7"/>
    <x v="2"/>
    <x v="5"/>
    <x v="1"/>
    <x v="21"/>
    <x v="15"/>
    <x v="213"/>
    <x v="236"/>
    <x v="829"/>
    <x v="251"/>
    <x v="80"/>
    <x v="1"/>
    <x v="0"/>
    <x v="2"/>
  </r>
  <r>
    <x v="1284"/>
    <x v="328"/>
    <x v="1"/>
    <x v="0"/>
    <x v="0"/>
    <x v="3"/>
    <x v="12"/>
    <x v="4"/>
    <x v="4"/>
    <x v="1"/>
    <x v="3"/>
    <x v="7"/>
    <x v="5"/>
    <x v="11"/>
    <x v="4"/>
    <x v="27"/>
    <x v="19"/>
    <x v="791"/>
    <x v="726"/>
    <x v="973"/>
    <x v="1355"/>
    <x v="37"/>
    <x v="2"/>
    <x v="1"/>
    <x v="0"/>
  </r>
  <r>
    <x v="1285"/>
    <x v="335"/>
    <x v="1"/>
    <x v="0"/>
    <x v="0"/>
    <x v="3"/>
    <x v="12"/>
    <x v="4"/>
    <x v="4"/>
    <x v="0"/>
    <x v="3"/>
    <x v="7"/>
    <x v="5"/>
    <x v="11"/>
    <x v="2"/>
    <x v="27"/>
    <x v="19"/>
    <x v="717"/>
    <x v="681"/>
    <x v="1259"/>
    <x v="1029"/>
    <x v="10"/>
    <x v="2"/>
    <x v="0"/>
    <x v="0"/>
  </r>
  <r>
    <x v="1286"/>
    <x v="342"/>
    <x v="1"/>
    <x v="0"/>
    <x v="0"/>
    <x v="3"/>
    <x v="12"/>
    <x v="4"/>
    <x v="4"/>
    <x v="1"/>
    <x v="0"/>
    <x v="1"/>
    <x v="3"/>
    <x v="7"/>
    <x v="24"/>
    <x v="1"/>
    <x v="1"/>
    <x v="79"/>
    <x v="64"/>
    <x v="39"/>
    <x v="232"/>
    <x v="1201"/>
    <x v="1"/>
    <x v="1"/>
    <x v="2"/>
  </r>
  <r>
    <x v="1287"/>
    <x v="349"/>
    <x v="1"/>
    <x v="0"/>
    <x v="0"/>
    <x v="3"/>
    <x v="12"/>
    <x v="4"/>
    <x v="4"/>
    <x v="0"/>
    <x v="0"/>
    <x v="1"/>
    <x v="3"/>
    <x v="7"/>
    <x v="18"/>
    <x v="1"/>
    <x v="1"/>
    <x v="43"/>
    <x v="39"/>
    <x v="433"/>
    <x v="102"/>
    <x v="860"/>
    <x v="1"/>
    <x v="0"/>
    <x v="2"/>
  </r>
  <r>
    <x v="1288"/>
    <x v="329"/>
    <x v="1"/>
    <x v="0"/>
    <x v="0"/>
    <x v="3"/>
    <x v="12"/>
    <x v="4"/>
    <x v="4"/>
    <x v="1"/>
    <x v="0"/>
    <x v="1"/>
    <x v="8"/>
    <x v="17"/>
    <x v="20"/>
    <x v="13"/>
    <x v="8"/>
    <x v="363"/>
    <x v="301"/>
    <x v="283"/>
    <x v="839"/>
    <x v="1045"/>
    <x v="1"/>
    <x v="1"/>
    <x v="2"/>
  </r>
  <r>
    <x v="1289"/>
    <x v="336"/>
    <x v="1"/>
    <x v="0"/>
    <x v="0"/>
    <x v="3"/>
    <x v="12"/>
    <x v="4"/>
    <x v="4"/>
    <x v="0"/>
    <x v="0"/>
    <x v="1"/>
    <x v="8"/>
    <x v="17"/>
    <x v="13"/>
    <x v="13"/>
    <x v="8"/>
    <x v="238"/>
    <x v="201"/>
    <x v="857"/>
    <x v="503"/>
    <x v="636"/>
    <x v="1"/>
    <x v="0"/>
    <x v="2"/>
  </r>
  <r>
    <x v="1290"/>
    <x v="343"/>
    <x v="1"/>
    <x v="0"/>
    <x v="0"/>
    <x v="3"/>
    <x v="12"/>
    <x v="4"/>
    <x v="4"/>
    <x v="1"/>
    <x v="0"/>
    <x v="1"/>
    <x v="9"/>
    <x v="19"/>
    <x v="26"/>
    <x v="7"/>
    <x v="5"/>
    <x v="327"/>
    <x v="289"/>
    <x v="230"/>
    <x v="689"/>
    <x v="725"/>
    <x v="1"/>
    <x v="1"/>
    <x v="2"/>
  </r>
  <r>
    <x v="1291"/>
    <x v="350"/>
    <x v="1"/>
    <x v="0"/>
    <x v="0"/>
    <x v="3"/>
    <x v="12"/>
    <x v="4"/>
    <x v="4"/>
    <x v="0"/>
    <x v="0"/>
    <x v="1"/>
    <x v="9"/>
    <x v="19"/>
    <x v="18"/>
    <x v="7"/>
    <x v="5"/>
    <x v="210"/>
    <x v="200"/>
    <x v="822"/>
    <x v="391"/>
    <x v="344"/>
    <x v="1"/>
    <x v="0"/>
    <x v="2"/>
  </r>
  <r>
    <x v="1292"/>
    <x v="330"/>
    <x v="1"/>
    <x v="0"/>
    <x v="0"/>
    <x v="3"/>
    <x v="12"/>
    <x v="4"/>
    <x v="4"/>
    <x v="1"/>
    <x v="2"/>
    <x v="5"/>
    <x v="0"/>
    <x v="1"/>
    <x v="8"/>
    <x v="16"/>
    <x v="11"/>
    <x v="190"/>
    <x v="172"/>
    <x v="124"/>
    <x v="445"/>
    <x v="899"/>
    <x v="1"/>
    <x v="1"/>
    <x v="2"/>
  </r>
  <r>
    <x v="1293"/>
    <x v="337"/>
    <x v="1"/>
    <x v="0"/>
    <x v="0"/>
    <x v="3"/>
    <x v="12"/>
    <x v="4"/>
    <x v="4"/>
    <x v="0"/>
    <x v="2"/>
    <x v="5"/>
    <x v="0"/>
    <x v="1"/>
    <x v="5"/>
    <x v="16"/>
    <x v="11"/>
    <x v="103"/>
    <x v="99"/>
    <x v="634"/>
    <x v="198"/>
    <x v="448"/>
    <x v="1"/>
    <x v="0"/>
    <x v="2"/>
  </r>
  <r>
    <x v="1294"/>
    <x v="344"/>
    <x v="1"/>
    <x v="0"/>
    <x v="0"/>
    <x v="3"/>
    <x v="12"/>
    <x v="4"/>
    <x v="4"/>
    <x v="1"/>
    <x v="2"/>
    <x v="5"/>
    <x v="4"/>
    <x v="9"/>
    <x v="9"/>
    <x v="10"/>
    <x v="9"/>
    <x v="125"/>
    <x v="131"/>
    <x v="74"/>
    <x v="255"/>
    <x v="576"/>
    <x v="1"/>
    <x v="1"/>
    <x v="2"/>
  </r>
  <r>
    <x v="1295"/>
    <x v="324"/>
    <x v="1"/>
    <x v="0"/>
    <x v="0"/>
    <x v="3"/>
    <x v="12"/>
    <x v="4"/>
    <x v="4"/>
    <x v="0"/>
    <x v="2"/>
    <x v="5"/>
    <x v="4"/>
    <x v="9"/>
    <x v="7"/>
    <x v="10"/>
    <x v="9"/>
    <x v="88"/>
    <x v="94"/>
    <x v="596"/>
    <x v="125"/>
    <x v="238"/>
    <x v="1"/>
    <x v="0"/>
    <x v="2"/>
  </r>
  <r>
    <x v="1296"/>
    <x v="331"/>
    <x v="1"/>
    <x v="0"/>
    <x v="0"/>
    <x v="3"/>
    <x v="12"/>
    <x v="4"/>
    <x v="4"/>
    <x v="1"/>
    <x v="1"/>
    <x v="3"/>
    <x v="7"/>
    <x v="15"/>
    <x v="11"/>
    <x v="19"/>
    <x v="13"/>
    <x v="295"/>
    <x v="288"/>
    <x v="205"/>
    <x v="569"/>
    <x v="428"/>
    <x v="1"/>
    <x v="1"/>
    <x v="2"/>
  </r>
  <r>
    <x v="1297"/>
    <x v="338"/>
    <x v="1"/>
    <x v="0"/>
    <x v="0"/>
    <x v="3"/>
    <x v="12"/>
    <x v="4"/>
    <x v="4"/>
    <x v="0"/>
    <x v="1"/>
    <x v="3"/>
    <x v="7"/>
    <x v="15"/>
    <x v="7"/>
    <x v="19"/>
    <x v="13"/>
    <x v="182"/>
    <x v="191"/>
    <x v="773"/>
    <x v="266"/>
    <x v="181"/>
    <x v="1"/>
    <x v="0"/>
    <x v="2"/>
  </r>
  <r>
    <x v="1298"/>
    <x v="345"/>
    <x v="1"/>
    <x v="0"/>
    <x v="0"/>
    <x v="3"/>
    <x v="12"/>
    <x v="4"/>
    <x v="4"/>
    <x v="1"/>
    <x v="1"/>
    <x v="3"/>
    <x v="6"/>
    <x v="13"/>
    <x v="12"/>
    <x v="4"/>
    <x v="3"/>
    <x v="31"/>
    <x v="34"/>
    <x v="4"/>
    <x v="84"/>
    <x v="1015"/>
    <x v="1"/>
    <x v="1"/>
    <x v="2"/>
  </r>
  <r>
    <x v="1299"/>
    <x v="325"/>
    <x v="1"/>
    <x v="0"/>
    <x v="0"/>
    <x v="3"/>
    <x v="12"/>
    <x v="4"/>
    <x v="4"/>
    <x v="0"/>
    <x v="1"/>
    <x v="3"/>
    <x v="6"/>
    <x v="13"/>
    <x v="9"/>
    <x v="4"/>
    <x v="3"/>
    <x v="14"/>
    <x v="18"/>
    <x v="264"/>
    <x v="32"/>
    <x v="602"/>
    <x v="1"/>
    <x v="0"/>
    <x v="2"/>
  </r>
  <r>
    <x v="1300"/>
    <x v="359"/>
    <x v="1"/>
    <x v="0"/>
    <x v="1"/>
    <x v="4"/>
    <x v="13"/>
    <x v="0"/>
    <x v="0"/>
    <x v="1"/>
    <x v="3"/>
    <x v="7"/>
    <x v="1"/>
    <x v="3"/>
    <x v="14"/>
    <x v="24"/>
    <x v="17"/>
    <x v="845"/>
    <x v="751"/>
    <x v="1158"/>
    <x v="1568"/>
    <x v="167"/>
    <x v="1"/>
    <x v="1"/>
    <x v="0"/>
  </r>
  <r>
    <x v="1301"/>
    <x v="366"/>
    <x v="1"/>
    <x v="0"/>
    <x v="1"/>
    <x v="4"/>
    <x v="13"/>
    <x v="0"/>
    <x v="0"/>
    <x v="0"/>
    <x v="3"/>
    <x v="7"/>
    <x v="1"/>
    <x v="3"/>
    <x v="11"/>
    <x v="24"/>
    <x v="17"/>
    <x v="831"/>
    <x v="743"/>
    <x v="1323"/>
    <x v="1511"/>
    <x v="67"/>
    <x v="2"/>
    <x v="0"/>
    <x v="0"/>
  </r>
  <r>
    <x v="1302"/>
    <x v="373"/>
    <x v="1"/>
    <x v="0"/>
    <x v="1"/>
    <x v="4"/>
    <x v="13"/>
    <x v="0"/>
    <x v="0"/>
    <x v="1"/>
    <x v="3"/>
    <x v="7"/>
    <x v="2"/>
    <x v="5"/>
    <x v="13"/>
    <x v="21"/>
    <x v="15"/>
    <x v="722"/>
    <x v="663"/>
    <x v="808"/>
    <x v="1297"/>
    <x v="217"/>
    <x v="1"/>
    <x v="1"/>
    <x v="0"/>
  </r>
  <r>
    <x v="1303"/>
    <x v="353"/>
    <x v="1"/>
    <x v="0"/>
    <x v="1"/>
    <x v="4"/>
    <x v="13"/>
    <x v="0"/>
    <x v="0"/>
    <x v="0"/>
    <x v="3"/>
    <x v="7"/>
    <x v="2"/>
    <x v="5"/>
    <x v="10"/>
    <x v="21"/>
    <x v="15"/>
    <x v="661"/>
    <x v="622"/>
    <x v="1225"/>
    <x v="1112"/>
    <x v="77"/>
    <x v="1"/>
    <x v="0"/>
    <x v="0"/>
  </r>
  <r>
    <x v="1304"/>
    <x v="360"/>
    <x v="1"/>
    <x v="0"/>
    <x v="1"/>
    <x v="4"/>
    <x v="13"/>
    <x v="0"/>
    <x v="0"/>
    <x v="1"/>
    <x v="3"/>
    <x v="7"/>
    <x v="5"/>
    <x v="11"/>
    <x v="17"/>
    <x v="27"/>
    <x v="19"/>
    <x v="872"/>
    <x v="781"/>
    <x v="1243"/>
    <x v="1591"/>
    <x v="36"/>
    <x v="2"/>
    <x v="1"/>
    <x v="0"/>
  </r>
  <r>
    <x v="1305"/>
    <x v="367"/>
    <x v="1"/>
    <x v="0"/>
    <x v="1"/>
    <x v="4"/>
    <x v="13"/>
    <x v="0"/>
    <x v="0"/>
    <x v="0"/>
    <x v="3"/>
    <x v="7"/>
    <x v="5"/>
    <x v="11"/>
    <x v="8"/>
    <x v="27"/>
    <x v="19"/>
    <x v="834"/>
    <x v="750"/>
    <x v="1325"/>
    <x v="1451"/>
    <x v="8"/>
    <x v="2"/>
    <x v="0"/>
    <x v="0"/>
  </r>
  <r>
    <x v="1306"/>
    <x v="374"/>
    <x v="1"/>
    <x v="0"/>
    <x v="1"/>
    <x v="4"/>
    <x v="13"/>
    <x v="0"/>
    <x v="0"/>
    <x v="1"/>
    <x v="0"/>
    <x v="1"/>
    <x v="3"/>
    <x v="7"/>
    <x v="83"/>
    <x v="1"/>
    <x v="1"/>
    <x v="413"/>
    <x v="335"/>
    <x v="347"/>
    <x v="969"/>
    <x v="1197"/>
    <x v="1"/>
    <x v="1"/>
    <x v="2"/>
  </r>
  <r>
    <x v="1307"/>
    <x v="354"/>
    <x v="1"/>
    <x v="0"/>
    <x v="1"/>
    <x v="4"/>
    <x v="13"/>
    <x v="0"/>
    <x v="0"/>
    <x v="0"/>
    <x v="0"/>
    <x v="1"/>
    <x v="3"/>
    <x v="7"/>
    <x v="41"/>
    <x v="1"/>
    <x v="1"/>
    <x v="192"/>
    <x v="152"/>
    <x v="794"/>
    <x v="443"/>
    <x v="861"/>
    <x v="1"/>
    <x v="0"/>
    <x v="2"/>
  </r>
  <r>
    <x v="1308"/>
    <x v="361"/>
    <x v="1"/>
    <x v="0"/>
    <x v="1"/>
    <x v="4"/>
    <x v="13"/>
    <x v="0"/>
    <x v="0"/>
    <x v="1"/>
    <x v="0"/>
    <x v="1"/>
    <x v="8"/>
    <x v="17"/>
    <x v="79"/>
    <x v="13"/>
    <x v="8"/>
    <x v="755"/>
    <x v="661"/>
    <x v="878"/>
    <x v="1484"/>
    <x v="1049"/>
    <x v="0"/>
    <x v="1"/>
    <x v="0"/>
  </r>
  <r>
    <x v="1309"/>
    <x v="368"/>
    <x v="1"/>
    <x v="0"/>
    <x v="1"/>
    <x v="4"/>
    <x v="13"/>
    <x v="0"/>
    <x v="0"/>
    <x v="0"/>
    <x v="0"/>
    <x v="1"/>
    <x v="8"/>
    <x v="17"/>
    <x v="58"/>
    <x v="13"/>
    <x v="8"/>
    <x v="688"/>
    <x v="591"/>
    <x v="1240"/>
    <x v="1320"/>
    <x v="643"/>
    <x v="0"/>
    <x v="0"/>
    <x v="0"/>
  </r>
  <r>
    <x v="1310"/>
    <x v="375"/>
    <x v="1"/>
    <x v="0"/>
    <x v="1"/>
    <x v="4"/>
    <x v="13"/>
    <x v="0"/>
    <x v="0"/>
    <x v="1"/>
    <x v="0"/>
    <x v="1"/>
    <x v="9"/>
    <x v="19"/>
    <x v="80"/>
    <x v="7"/>
    <x v="5"/>
    <x v="675"/>
    <x v="599"/>
    <x v="719"/>
    <x v="1318"/>
    <x v="732"/>
    <x v="0"/>
    <x v="1"/>
    <x v="0"/>
  </r>
  <r>
    <x v="1311"/>
    <x v="355"/>
    <x v="1"/>
    <x v="0"/>
    <x v="1"/>
    <x v="4"/>
    <x v="13"/>
    <x v="0"/>
    <x v="0"/>
    <x v="0"/>
    <x v="0"/>
    <x v="1"/>
    <x v="9"/>
    <x v="19"/>
    <x v="42"/>
    <x v="7"/>
    <x v="5"/>
    <x v="473"/>
    <x v="422"/>
    <x v="1102"/>
    <x v="888"/>
    <x v="347"/>
    <x v="1"/>
    <x v="0"/>
    <x v="2"/>
  </r>
  <r>
    <x v="1312"/>
    <x v="362"/>
    <x v="1"/>
    <x v="0"/>
    <x v="1"/>
    <x v="4"/>
    <x v="13"/>
    <x v="0"/>
    <x v="0"/>
    <x v="1"/>
    <x v="2"/>
    <x v="5"/>
    <x v="0"/>
    <x v="1"/>
    <x v="28"/>
    <x v="16"/>
    <x v="11"/>
    <x v="552"/>
    <x v="483"/>
    <x v="535"/>
    <x v="1152"/>
    <x v="899"/>
    <x v="0"/>
    <x v="1"/>
    <x v="0"/>
  </r>
  <r>
    <x v="1313"/>
    <x v="369"/>
    <x v="1"/>
    <x v="0"/>
    <x v="1"/>
    <x v="4"/>
    <x v="13"/>
    <x v="0"/>
    <x v="0"/>
    <x v="0"/>
    <x v="2"/>
    <x v="5"/>
    <x v="0"/>
    <x v="1"/>
    <x v="20"/>
    <x v="16"/>
    <x v="11"/>
    <x v="441"/>
    <x v="395"/>
    <x v="1083"/>
    <x v="865"/>
    <x v="444"/>
    <x v="1"/>
    <x v="0"/>
    <x v="2"/>
  </r>
  <r>
    <x v="1314"/>
    <x v="376"/>
    <x v="1"/>
    <x v="0"/>
    <x v="1"/>
    <x v="4"/>
    <x v="13"/>
    <x v="0"/>
    <x v="0"/>
    <x v="1"/>
    <x v="2"/>
    <x v="5"/>
    <x v="4"/>
    <x v="9"/>
    <x v="36"/>
    <x v="10"/>
    <x v="9"/>
    <x v="515"/>
    <x v="473"/>
    <x v="484"/>
    <x v="1026"/>
    <x v="580"/>
    <x v="0"/>
    <x v="1"/>
    <x v="0"/>
  </r>
  <r>
    <x v="1315"/>
    <x v="356"/>
    <x v="1"/>
    <x v="0"/>
    <x v="1"/>
    <x v="4"/>
    <x v="13"/>
    <x v="0"/>
    <x v="0"/>
    <x v="0"/>
    <x v="2"/>
    <x v="5"/>
    <x v="4"/>
    <x v="9"/>
    <x v="18"/>
    <x v="10"/>
    <x v="9"/>
    <x v="300"/>
    <x v="280"/>
    <x v="940"/>
    <x v="517"/>
    <x v="235"/>
    <x v="1"/>
    <x v="0"/>
    <x v="2"/>
  </r>
  <r>
    <x v="1316"/>
    <x v="363"/>
    <x v="1"/>
    <x v="0"/>
    <x v="1"/>
    <x v="4"/>
    <x v="13"/>
    <x v="0"/>
    <x v="0"/>
    <x v="1"/>
    <x v="1"/>
    <x v="3"/>
    <x v="7"/>
    <x v="15"/>
    <x v="38"/>
    <x v="19"/>
    <x v="13"/>
    <x v="659"/>
    <x v="606"/>
    <x v="700"/>
    <x v="1253"/>
    <x v="427"/>
    <x v="0"/>
    <x v="1"/>
    <x v="0"/>
  </r>
  <r>
    <x v="1317"/>
    <x v="370"/>
    <x v="1"/>
    <x v="0"/>
    <x v="1"/>
    <x v="4"/>
    <x v="13"/>
    <x v="0"/>
    <x v="0"/>
    <x v="0"/>
    <x v="1"/>
    <x v="3"/>
    <x v="7"/>
    <x v="15"/>
    <x v="28"/>
    <x v="19"/>
    <x v="13"/>
    <x v="578"/>
    <x v="534"/>
    <x v="1172"/>
    <x v="1007"/>
    <x v="175"/>
    <x v="1"/>
    <x v="0"/>
    <x v="0"/>
  </r>
  <r>
    <x v="1318"/>
    <x v="377"/>
    <x v="1"/>
    <x v="0"/>
    <x v="1"/>
    <x v="4"/>
    <x v="13"/>
    <x v="0"/>
    <x v="0"/>
    <x v="1"/>
    <x v="1"/>
    <x v="3"/>
    <x v="6"/>
    <x v="13"/>
    <x v="39"/>
    <x v="4"/>
    <x v="3"/>
    <x v="243"/>
    <x v="205"/>
    <x v="166"/>
    <x v="582"/>
    <x v="1014"/>
    <x v="1"/>
    <x v="1"/>
    <x v="2"/>
  </r>
  <r>
    <x v="1319"/>
    <x v="357"/>
    <x v="1"/>
    <x v="0"/>
    <x v="1"/>
    <x v="4"/>
    <x v="13"/>
    <x v="0"/>
    <x v="0"/>
    <x v="0"/>
    <x v="1"/>
    <x v="3"/>
    <x v="6"/>
    <x v="13"/>
    <x v="25"/>
    <x v="4"/>
    <x v="3"/>
    <x v="129"/>
    <x v="113"/>
    <x v="678"/>
    <x v="267"/>
    <x v="607"/>
    <x v="1"/>
    <x v="0"/>
    <x v="2"/>
  </r>
  <r>
    <x v="1320"/>
    <x v="364"/>
    <x v="1"/>
    <x v="0"/>
    <x v="1"/>
    <x v="4"/>
    <x v="13"/>
    <x v="1"/>
    <x v="1"/>
    <x v="1"/>
    <x v="3"/>
    <x v="7"/>
    <x v="1"/>
    <x v="3"/>
    <x v="6"/>
    <x v="24"/>
    <x v="17"/>
    <x v="786"/>
    <x v="715"/>
    <x v="956"/>
    <x v="1433"/>
    <x v="163"/>
    <x v="1"/>
    <x v="1"/>
    <x v="0"/>
  </r>
  <r>
    <x v="1321"/>
    <x v="371"/>
    <x v="1"/>
    <x v="0"/>
    <x v="1"/>
    <x v="4"/>
    <x v="13"/>
    <x v="1"/>
    <x v="1"/>
    <x v="0"/>
    <x v="3"/>
    <x v="7"/>
    <x v="1"/>
    <x v="3"/>
    <x v="4"/>
    <x v="24"/>
    <x v="17"/>
    <x v="735"/>
    <x v="679"/>
    <x v="1269"/>
    <x v="1230"/>
    <x v="68"/>
    <x v="2"/>
    <x v="0"/>
    <x v="0"/>
  </r>
  <r>
    <x v="1322"/>
    <x v="351"/>
    <x v="1"/>
    <x v="0"/>
    <x v="1"/>
    <x v="4"/>
    <x v="13"/>
    <x v="1"/>
    <x v="1"/>
    <x v="1"/>
    <x v="3"/>
    <x v="7"/>
    <x v="2"/>
    <x v="5"/>
    <x v="8"/>
    <x v="21"/>
    <x v="15"/>
    <x v="612"/>
    <x v="577"/>
    <x v="628"/>
    <x v="1109"/>
    <x v="214"/>
    <x v="1"/>
    <x v="1"/>
    <x v="0"/>
  </r>
  <r>
    <x v="1323"/>
    <x v="358"/>
    <x v="1"/>
    <x v="0"/>
    <x v="1"/>
    <x v="4"/>
    <x v="13"/>
    <x v="1"/>
    <x v="1"/>
    <x v="0"/>
    <x v="3"/>
    <x v="7"/>
    <x v="2"/>
    <x v="5"/>
    <x v="5"/>
    <x v="21"/>
    <x v="15"/>
    <x v="492"/>
    <x v="482"/>
    <x v="1121"/>
    <x v="769"/>
    <x v="76"/>
    <x v="1"/>
    <x v="0"/>
    <x v="0"/>
  </r>
  <r>
    <x v="1324"/>
    <x v="365"/>
    <x v="1"/>
    <x v="0"/>
    <x v="1"/>
    <x v="4"/>
    <x v="13"/>
    <x v="1"/>
    <x v="1"/>
    <x v="1"/>
    <x v="3"/>
    <x v="7"/>
    <x v="5"/>
    <x v="11"/>
    <x v="6"/>
    <x v="27"/>
    <x v="19"/>
    <x v="817"/>
    <x v="741"/>
    <x v="1063"/>
    <x v="1455"/>
    <x v="40"/>
    <x v="2"/>
    <x v="1"/>
    <x v="0"/>
  </r>
  <r>
    <x v="1325"/>
    <x v="372"/>
    <x v="1"/>
    <x v="0"/>
    <x v="1"/>
    <x v="4"/>
    <x v="13"/>
    <x v="1"/>
    <x v="1"/>
    <x v="0"/>
    <x v="3"/>
    <x v="7"/>
    <x v="5"/>
    <x v="11"/>
    <x v="4"/>
    <x v="27"/>
    <x v="19"/>
    <x v="791"/>
    <x v="726"/>
    <x v="1300"/>
    <x v="1250"/>
    <x v="7"/>
    <x v="2"/>
    <x v="0"/>
    <x v="0"/>
  </r>
  <r>
    <x v="1326"/>
    <x v="352"/>
    <x v="1"/>
    <x v="0"/>
    <x v="1"/>
    <x v="4"/>
    <x v="13"/>
    <x v="1"/>
    <x v="1"/>
    <x v="1"/>
    <x v="0"/>
    <x v="1"/>
    <x v="3"/>
    <x v="7"/>
    <x v="44"/>
    <x v="1"/>
    <x v="1"/>
    <x v="208"/>
    <x v="167"/>
    <x v="140"/>
    <x v="551"/>
    <x v="1191"/>
    <x v="1"/>
    <x v="1"/>
    <x v="2"/>
  </r>
  <r>
    <x v="1327"/>
    <x v="359"/>
    <x v="1"/>
    <x v="0"/>
    <x v="1"/>
    <x v="4"/>
    <x v="13"/>
    <x v="1"/>
    <x v="1"/>
    <x v="0"/>
    <x v="0"/>
    <x v="1"/>
    <x v="3"/>
    <x v="7"/>
    <x v="23"/>
    <x v="1"/>
    <x v="1"/>
    <x v="71"/>
    <x v="58"/>
    <x v="546"/>
    <x v="175"/>
    <x v="869"/>
    <x v="1"/>
    <x v="0"/>
    <x v="2"/>
  </r>
  <r>
    <x v="1328"/>
    <x v="366"/>
    <x v="1"/>
    <x v="0"/>
    <x v="1"/>
    <x v="4"/>
    <x v="13"/>
    <x v="1"/>
    <x v="1"/>
    <x v="1"/>
    <x v="0"/>
    <x v="1"/>
    <x v="8"/>
    <x v="17"/>
    <x v="41"/>
    <x v="13"/>
    <x v="8"/>
    <x v="589"/>
    <x v="508"/>
    <x v="603"/>
    <x v="1237"/>
    <x v="1054"/>
    <x v="0"/>
    <x v="1"/>
    <x v="0"/>
  </r>
  <r>
    <x v="1329"/>
    <x v="373"/>
    <x v="1"/>
    <x v="0"/>
    <x v="1"/>
    <x v="4"/>
    <x v="13"/>
    <x v="1"/>
    <x v="1"/>
    <x v="0"/>
    <x v="0"/>
    <x v="1"/>
    <x v="8"/>
    <x v="17"/>
    <x v="32"/>
    <x v="13"/>
    <x v="8"/>
    <x v="514"/>
    <x v="439"/>
    <x v="1133"/>
    <x v="1037"/>
    <x v="642"/>
    <x v="0"/>
    <x v="0"/>
    <x v="0"/>
  </r>
  <r>
    <x v="1330"/>
    <x v="353"/>
    <x v="1"/>
    <x v="0"/>
    <x v="1"/>
    <x v="4"/>
    <x v="13"/>
    <x v="1"/>
    <x v="1"/>
    <x v="1"/>
    <x v="0"/>
    <x v="1"/>
    <x v="9"/>
    <x v="19"/>
    <x v="44"/>
    <x v="7"/>
    <x v="5"/>
    <x v="487"/>
    <x v="437"/>
    <x v="443"/>
    <x v="1002"/>
    <x v="730"/>
    <x v="1"/>
    <x v="1"/>
    <x v="2"/>
  </r>
  <r>
    <x v="1331"/>
    <x v="360"/>
    <x v="1"/>
    <x v="0"/>
    <x v="1"/>
    <x v="4"/>
    <x v="13"/>
    <x v="1"/>
    <x v="1"/>
    <x v="0"/>
    <x v="0"/>
    <x v="1"/>
    <x v="9"/>
    <x v="19"/>
    <x v="25"/>
    <x v="7"/>
    <x v="5"/>
    <x v="311"/>
    <x v="277"/>
    <x v="951"/>
    <x v="570"/>
    <x v="345"/>
    <x v="1"/>
    <x v="0"/>
    <x v="2"/>
  </r>
  <r>
    <x v="1332"/>
    <x v="367"/>
    <x v="1"/>
    <x v="0"/>
    <x v="1"/>
    <x v="4"/>
    <x v="13"/>
    <x v="1"/>
    <x v="1"/>
    <x v="1"/>
    <x v="2"/>
    <x v="5"/>
    <x v="0"/>
    <x v="1"/>
    <x v="21"/>
    <x v="16"/>
    <x v="11"/>
    <x v="459"/>
    <x v="408"/>
    <x v="406"/>
    <x v="977"/>
    <x v="899"/>
    <x v="1"/>
    <x v="1"/>
    <x v="2"/>
  </r>
  <r>
    <x v="1333"/>
    <x v="374"/>
    <x v="1"/>
    <x v="0"/>
    <x v="1"/>
    <x v="4"/>
    <x v="13"/>
    <x v="1"/>
    <x v="1"/>
    <x v="0"/>
    <x v="2"/>
    <x v="5"/>
    <x v="0"/>
    <x v="1"/>
    <x v="13"/>
    <x v="16"/>
    <x v="11"/>
    <x v="321"/>
    <x v="276"/>
    <x v="963"/>
    <x v="604"/>
    <x v="446"/>
    <x v="1"/>
    <x v="0"/>
    <x v="2"/>
  </r>
  <r>
    <x v="1334"/>
    <x v="354"/>
    <x v="1"/>
    <x v="0"/>
    <x v="1"/>
    <x v="4"/>
    <x v="13"/>
    <x v="1"/>
    <x v="1"/>
    <x v="1"/>
    <x v="2"/>
    <x v="5"/>
    <x v="4"/>
    <x v="9"/>
    <x v="16"/>
    <x v="10"/>
    <x v="9"/>
    <x v="261"/>
    <x v="254"/>
    <x v="185"/>
    <x v="542"/>
    <x v="582"/>
    <x v="1"/>
    <x v="1"/>
    <x v="2"/>
  </r>
  <r>
    <x v="1335"/>
    <x v="361"/>
    <x v="1"/>
    <x v="0"/>
    <x v="1"/>
    <x v="4"/>
    <x v="13"/>
    <x v="1"/>
    <x v="1"/>
    <x v="0"/>
    <x v="2"/>
    <x v="5"/>
    <x v="4"/>
    <x v="9"/>
    <x v="13"/>
    <x v="10"/>
    <x v="9"/>
    <x v="206"/>
    <x v="202"/>
    <x v="816"/>
    <x v="337"/>
    <x v="238"/>
    <x v="1"/>
    <x v="0"/>
    <x v="2"/>
  </r>
  <r>
    <x v="1336"/>
    <x v="368"/>
    <x v="1"/>
    <x v="0"/>
    <x v="1"/>
    <x v="4"/>
    <x v="13"/>
    <x v="1"/>
    <x v="1"/>
    <x v="1"/>
    <x v="1"/>
    <x v="3"/>
    <x v="7"/>
    <x v="15"/>
    <x v="22"/>
    <x v="19"/>
    <x v="13"/>
    <x v="503"/>
    <x v="474"/>
    <x v="466"/>
    <x v="962"/>
    <x v="429"/>
    <x v="0"/>
    <x v="1"/>
    <x v="0"/>
  </r>
  <r>
    <x v="1337"/>
    <x v="375"/>
    <x v="1"/>
    <x v="0"/>
    <x v="1"/>
    <x v="4"/>
    <x v="13"/>
    <x v="1"/>
    <x v="1"/>
    <x v="0"/>
    <x v="1"/>
    <x v="3"/>
    <x v="7"/>
    <x v="15"/>
    <x v="18"/>
    <x v="19"/>
    <x v="13"/>
    <x v="431"/>
    <x v="415"/>
    <x v="1078"/>
    <x v="749"/>
    <x v="179"/>
    <x v="1"/>
    <x v="0"/>
    <x v="2"/>
  </r>
  <r>
    <x v="1338"/>
    <x v="355"/>
    <x v="1"/>
    <x v="0"/>
    <x v="1"/>
    <x v="4"/>
    <x v="13"/>
    <x v="1"/>
    <x v="1"/>
    <x v="1"/>
    <x v="1"/>
    <x v="3"/>
    <x v="6"/>
    <x v="13"/>
    <x v="25"/>
    <x v="4"/>
    <x v="3"/>
    <x v="129"/>
    <x v="113"/>
    <x v="76"/>
    <x v="327"/>
    <x v="1013"/>
    <x v="1"/>
    <x v="1"/>
    <x v="2"/>
  </r>
  <r>
    <x v="1339"/>
    <x v="362"/>
    <x v="1"/>
    <x v="0"/>
    <x v="1"/>
    <x v="4"/>
    <x v="13"/>
    <x v="1"/>
    <x v="1"/>
    <x v="0"/>
    <x v="1"/>
    <x v="3"/>
    <x v="6"/>
    <x v="13"/>
    <x v="15"/>
    <x v="4"/>
    <x v="3"/>
    <x v="51"/>
    <x v="48"/>
    <x v="464"/>
    <x v="96"/>
    <x v="605"/>
    <x v="1"/>
    <x v="0"/>
    <x v="2"/>
  </r>
  <r>
    <x v="1340"/>
    <x v="369"/>
    <x v="1"/>
    <x v="0"/>
    <x v="1"/>
    <x v="4"/>
    <x v="13"/>
    <x v="3"/>
    <x v="3"/>
    <x v="1"/>
    <x v="3"/>
    <x v="7"/>
    <x v="1"/>
    <x v="3"/>
    <x v="5"/>
    <x v="24"/>
    <x v="17"/>
    <x v="761"/>
    <x v="702"/>
    <x v="888"/>
    <x v="1379"/>
    <x v="166"/>
    <x v="1"/>
    <x v="1"/>
    <x v="0"/>
  </r>
  <r>
    <x v="1341"/>
    <x v="376"/>
    <x v="1"/>
    <x v="0"/>
    <x v="1"/>
    <x v="4"/>
    <x v="13"/>
    <x v="3"/>
    <x v="3"/>
    <x v="0"/>
    <x v="3"/>
    <x v="7"/>
    <x v="1"/>
    <x v="3"/>
    <x v="3"/>
    <x v="24"/>
    <x v="17"/>
    <x v="693"/>
    <x v="653"/>
    <x v="1244"/>
    <x v="1149"/>
    <x v="66"/>
    <x v="2"/>
    <x v="0"/>
    <x v="0"/>
  </r>
  <r>
    <x v="1342"/>
    <x v="356"/>
    <x v="1"/>
    <x v="0"/>
    <x v="1"/>
    <x v="4"/>
    <x v="13"/>
    <x v="3"/>
    <x v="3"/>
    <x v="1"/>
    <x v="3"/>
    <x v="7"/>
    <x v="2"/>
    <x v="5"/>
    <x v="5"/>
    <x v="21"/>
    <x v="15"/>
    <x v="492"/>
    <x v="482"/>
    <x v="449"/>
    <x v="884"/>
    <x v="211"/>
    <x v="1"/>
    <x v="1"/>
    <x v="0"/>
  </r>
  <r>
    <x v="1343"/>
    <x v="363"/>
    <x v="1"/>
    <x v="0"/>
    <x v="1"/>
    <x v="4"/>
    <x v="13"/>
    <x v="3"/>
    <x v="3"/>
    <x v="0"/>
    <x v="3"/>
    <x v="7"/>
    <x v="2"/>
    <x v="5"/>
    <x v="3"/>
    <x v="21"/>
    <x v="15"/>
    <x v="374"/>
    <x v="385"/>
    <x v="1029"/>
    <x v="547"/>
    <x v="78"/>
    <x v="1"/>
    <x v="0"/>
    <x v="2"/>
  </r>
  <r>
    <x v="1344"/>
    <x v="370"/>
    <x v="1"/>
    <x v="0"/>
    <x v="1"/>
    <x v="4"/>
    <x v="13"/>
    <x v="3"/>
    <x v="3"/>
    <x v="1"/>
    <x v="3"/>
    <x v="7"/>
    <x v="5"/>
    <x v="11"/>
    <x v="4"/>
    <x v="27"/>
    <x v="19"/>
    <x v="791"/>
    <x v="726"/>
    <x v="973"/>
    <x v="1355"/>
    <x v="37"/>
    <x v="2"/>
    <x v="1"/>
    <x v="0"/>
  </r>
  <r>
    <x v="1345"/>
    <x v="377"/>
    <x v="1"/>
    <x v="0"/>
    <x v="1"/>
    <x v="4"/>
    <x v="13"/>
    <x v="3"/>
    <x v="3"/>
    <x v="0"/>
    <x v="3"/>
    <x v="7"/>
    <x v="5"/>
    <x v="11"/>
    <x v="2"/>
    <x v="27"/>
    <x v="19"/>
    <x v="717"/>
    <x v="681"/>
    <x v="1259"/>
    <x v="1029"/>
    <x v="10"/>
    <x v="2"/>
    <x v="0"/>
    <x v="0"/>
  </r>
  <r>
    <x v="1346"/>
    <x v="357"/>
    <x v="1"/>
    <x v="0"/>
    <x v="1"/>
    <x v="4"/>
    <x v="13"/>
    <x v="3"/>
    <x v="3"/>
    <x v="1"/>
    <x v="0"/>
    <x v="1"/>
    <x v="3"/>
    <x v="7"/>
    <x v="33"/>
    <x v="1"/>
    <x v="1"/>
    <x v="139"/>
    <x v="110"/>
    <x v="82"/>
    <x v="393"/>
    <x v="1192"/>
    <x v="1"/>
    <x v="1"/>
    <x v="2"/>
  </r>
  <r>
    <x v="1347"/>
    <x v="364"/>
    <x v="1"/>
    <x v="0"/>
    <x v="1"/>
    <x v="4"/>
    <x v="13"/>
    <x v="3"/>
    <x v="3"/>
    <x v="0"/>
    <x v="0"/>
    <x v="1"/>
    <x v="3"/>
    <x v="7"/>
    <x v="22"/>
    <x v="1"/>
    <x v="1"/>
    <x v="67"/>
    <x v="54"/>
    <x v="527"/>
    <x v="156"/>
    <x v="868"/>
    <x v="1"/>
    <x v="0"/>
    <x v="2"/>
  </r>
  <r>
    <x v="1348"/>
    <x v="371"/>
    <x v="1"/>
    <x v="0"/>
    <x v="1"/>
    <x v="4"/>
    <x v="13"/>
    <x v="3"/>
    <x v="3"/>
    <x v="1"/>
    <x v="0"/>
    <x v="1"/>
    <x v="8"/>
    <x v="17"/>
    <x v="25"/>
    <x v="13"/>
    <x v="8"/>
    <x v="430"/>
    <x v="366"/>
    <x v="376"/>
    <x v="965"/>
    <x v="1052"/>
    <x v="1"/>
    <x v="1"/>
    <x v="2"/>
  </r>
  <r>
    <x v="1349"/>
    <x v="351"/>
    <x v="1"/>
    <x v="0"/>
    <x v="1"/>
    <x v="4"/>
    <x v="13"/>
    <x v="3"/>
    <x v="3"/>
    <x v="0"/>
    <x v="0"/>
    <x v="1"/>
    <x v="8"/>
    <x v="17"/>
    <x v="16"/>
    <x v="13"/>
    <x v="8"/>
    <x v="304"/>
    <x v="252"/>
    <x v="942"/>
    <x v="617"/>
    <x v="645"/>
    <x v="1"/>
    <x v="0"/>
    <x v="2"/>
  </r>
  <r>
    <x v="1350"/>
    <x v="358"/>
    <x v="1"/>
    <x v="0"/>
    <x v="1"/>
    <x v="4"/>
    <x v="13"/>
    <x v="3"/>
    <x v="3"/>
    <x v="1"/>
    <x v="0"/>
    <x v="1"/>
    <x v="9"/>
    <x v="19"/>
    <x v="25"/>
    <x v="7"/>
    <x v="5"/>
    <x v="311"/>
    <x v="277"/>
    <x v="216"/>
    <x v="661"/>
    <x v="726"/>
    <x v="1"/>
    <x v="1"/>
    <x v="2"/>
  </r>
  <r>
    <x v="1351"/>
    <x v="365"/>
    <x v="1"/>
    <x v="0"/>
    <x v="1"/>
    <x v="4"/>
    <x v="13"/>
    <x v="3"/>
    <x v="3"/>
    <x v="0"/>
    <x v="0"/>
    <x v="1"/>
    <x v="9"/>
    <x v="19"/>
    <x v="22"/>
    <x v="7"/>
    <x v="5"/>
    <x v="266"/>
    <x v="248"/>
    <x v="893"/>
    <x v="492"/>
    <x v="350"/>
    <x v="1"/>
    <x v="0"/>
    <x v="2"/>
  </r>
  <r>
    <x v="1352"/>
    <x v="372"/>
    <x v="1"/>
    <x v="0"/>
    <x v="1"/>
    <x v="4"/>
    <x v="13"/>
    <x v="3"/>
    <x v="3"/>
    <x v="1"/>
    <x v="2"/>
    <x v="5"/>
    <x v="0"/>
    <x v="1"/>
    <x v="14"/>
    <x v="16"/>
    <x v="11"/>
    <x v="341"/>
    <x v="292"/>
    <x v="243"/>
    <x v="744"/>
    <x v="899"/>
    <x v="1"/>
    <x v="1"/>
    <x v="2"/>
  </r>
  <r>
    <x v="1353"/>
    <x v="352"/>
    <x v="1"/>
    <x v="0"/>
    <x v="1"/>
    <x v="4"/>
    <x v="13"/>
    <x v="3"/>
    <x v="3"/>
    <x v="0"/>
    <x v="2"/>
    <x v="5"/>
    <x v="0"/>
    <x v="1"/>
    <x v="9"/>
    <x v="16"/>
    <x v="11"/>
    <x v="218"/>
    <x v="199"/>
    <x v="831"/>
    <x v="428"/>
    <x v="447"/>
    <x v="1"/>
    <x v="0"/>
    <x v="2"/>
  </r>
  <r>
    <x v="1354"/>
    <x v="359"/>
    <x v="1"/>
    <x v="0"/>
    <x v="1"/>
    <x v="4"/>
    <x v="13"/>
    <x v="3"/>
    <x v="3"/>
    <x v="1"/>
    <x v="2"/>
    <x v="5"/>
    <x v="4"/>
    <x v="9"/>
    <x v="13"/>
    <x v="10"/>
    <x v="9"/>
    <x v="206"/>
    <x v="202"/>
    <x v="138"/>
    <x v="435"/>
    <x v="579"/>
    <x v="1"/>
    <x v="1"/>
    <x v="2"/>
  </r>
  <r>
    <x v="1355"/>
    <x v="366"/>
    <x v="1"/>
    <x v="0"/>
    <x v="1"/>
    <x v="4"/>
    <x v="13"/>
    <x v="3"/>
    <x v="3"/>
    <x v="0"/>
    <x v="2"/>
    <x v="5"/>
    <x v="4"/>
    <x v="9"/>
    <x v="9"/>
    <x v="10"/>
    <x v="9"/>
    <x v="125"/>
    <x v="131"/>
    <x v="675"/>
    <x v="203"/>
    <x v="233"/>
    <x v="1"/>
    <x v="0"/>
    <x v="2"/>
  </r>
  <r>
    <x v="1356"/>
    <x v="373"/>
    <x v="1"/>
    <x v="0"/>
    <x v="1"/>
    <x v="4"/>
    <x v="13"/>
    <x v="3"/>
    <x v="3"/>
    <x v="1"/>
    <x v="1"/>
    <x v="3"/>
    <x v="7"/>
    <x v="15"/>
    <x v="16"/>
    <x v="19"/>
    <x v="13"/>
    <x v="402"/>
    <x v="386"/>
    <x v="330"/>
    <x v="785"/>
    <x v="423"/>
    <x v="1"/>
    <x v="1"/>
    <x v="2"/>
  </r>
  <r>
    <x v="1357"/>
    <x v="353"/>
    <x v="1"/>
    <x v="0"/>
    <x v="1"/>
    <x v="4"/>
    <x v="13"/>
    <x v="3"/>
    <x v="3"/>
    <x v="0"/>
    <x v="1"/>
    <x v="3"/>
    <x v="7"/>
    <x v="15"/>
    <x v="9"/>
    <x v="19"/>
    <x v="13"/>
    <x v="242"/>
    <x v="243"/>
    <x v="858"/>
    <x v="381"/>
    <x v="176"/>
    <x v="1"/>
    <x v="0"/>
    <x v="2"/>
  </r>
  <r>
    <x v="1358"/>
    <x v="360"/>
    <x v="1"/>
    <x v="0"/>
    <x v="1"/>
    <x v="4"/>
    <x v="13"/>
    <x v="3"/>
    <x v="3"/>
    <x v="1"/>
    <x v="1"/>
    <x v="3"/>
    <x v="6"/>
    <x v="13"/>
    <x v="15"/>
    <x v="4"/>
    <x v="3"/>
    <x v="51"/>
    <x v="48"/>
    <x v="19"/>
    <x v="130"/>
    <x v="1009"/>
    <x v="1"/>
    <x v="1"/>
    <x v="2"/>
  </r>
  <r>
    <x v="1359"/>
    <x v="367"/>
    <x v="1"/>
    <x v="0"/>
    <x v="1"/>
    <x v="4"/>
    <x v="13"/>
    <x v="3"/>
    <x v="3"/>
    <x v="0"/>
    <x v="1"/>
    <x v="3"/>
    <x v="6"/>
    <x v="13"/>
    <x v="9"/>
    <x v="4"/>
    <x v="3"/>
    <x v="14"/>
    <x v="18"/>
    <x v="264"/>
    <x v="32"/>
    <x v="602"/>
    <x v="1"/>
    <x v="0"/>
    <x v="2"/>
  </r>
  <r>
    <x v="1360"/>
    <x v="374"/>
    <x v="1"/>
    <x v="0"/>
    <x v="1"/>
    <x v="4"/>
    <x v="13"/>
    <x v="2"/>
    <x v="2"/>
    <x v="1"/>
    <x v="3"/>
    <x v="7"/>
    <x v="1"/>
    <x v="3"/>
    <x v="3"/>
    <x v="24"/>
    <x v="17"/>
    <x v="693"/>
    <x v="653"/>
    <x v="749"/>
    <x v="1232"/>
    <x v="164"/>
    <x v="1"/>
    <x v="1"/>
    <x v="0"/>
  </r>
  <r>
    <x v="1361"/>
    <x v="354"/>
    <x v="1"/>
    <x v="0"/>
    <x v="1"/>
    <x v="4"/>
    <x v="13"/>
    <x v="2"/>
    <x v="2"/>
    <x v="0"/>
    <x v="3"/>
    <x v="7"/>
    <x v="1"/>
    <x v="3"/>
    <x v="2"/>
    <x v="24"/>
    <x v="17"/>
    <x v="628"/>
    <x v="600"/>
    <x v="1206"/>
    <x v="995"/>
    <x v="63"/>
    <x v="2"/>
    <x v="0"/>
    <x v="0"/>
  </r>
  <r>
    <x v="1362"/>
    <x v="361"/>
    <x v="1"/>
    <x v="0"/>
    <x v="1"/>
    <x v="4"/>
    <x v="13"/>
    <x v="2"/>
    <x v="2"/>
    <x v="1"/>
    <x v="3"/>
    <x v="7"/>
    <x v="2"/>
    <x v="5"/>
    <x v="4"/>
    <x v="21"/>
    <x v="15"/>
    <x v="434"/>
    <x v="442"/>
    <x v="381"/>
    <x v="784"/>
    <x v="210"/>
    <x v="1"/>
    <x v="1"/>
    <x v="2"/>
  </r>
  <r>
    <x v="1363"/>
    <x v="368"/>
    <x v="1"/>
    <x v="0"/>
    <x v="1"/>
    <x v="4"/>
    <x v="13"/>
    <x v="2"/>
    <x v="2"/>
    <x v="0"/>
    <x v="3"/>
    <x v="7"/>
    <x v="2"/>
    <x v="5"/>
    <x v="1"/>
    <x v="21"/>
    <x v="15"/>
    <x v="213"/>
    <x v="236"/>
    <x v="829"/>
    <x v="251"/>
    <x v="80"/>
    <x v="1"/>
    <x v="0"/>
    <x v="2"/>
  </r>
  <r>
    <x v="1364"/>
    <x v="375"/>
    <x v="1"/>
    <x v="0"/>
    <x v="1"/>
    <x v="4"/>
    <x v="13"/>
    <x v="2"/>
    <x v="2"/>
    <x v="1"/>
    <x v="3"/>
    <x v="7"/>
    <x v="5"/>
    <x v="11"/>
    <x v="3"/>
    <x v="27"/>
    <x v="19"/>
    <x v="758"/>
    <x v="709"/>
    <x v="883"/>
    <x v="1271"/>
    <x v="41"/>
    <x v="2"/>
    <x v="1"/>
    <x v="0"/>
  </r>
  <r>
    <x v="1365"/>
    <x v="355"/>
    <x v="1"/>
    <x v="0"/>
    <x v="1"/>
    <x v="4"/>
    <x v="13"/>
    <x v="2"/>
    <x v="2"/>
    <x v="0"/>
    <x v="3"/>
    <x v="7"/>
    <x v="5"/>
    <x v="11"/>
    <x v="2"/>
    <x v="27"/>
    <x v="19"/>
    <x v="717"/>
    <x v="681"/>
    <x v="1259"/>
    <x v="1029"/>
    <x v="10"/>
    <x v="2"/>
    <x v="0"/>
    <x v="0"/>
  </r>
  <r>
    <x v="1366"/>
    <x v="362"/>
    <x v="1"/>
    <x v="0"/>
    <x v="1"/>
    <x v="4"/>
    <x v="13"/>
    <x v="2"/>
    <x v="2"/>
    <x v="1"/>
    <x v="0"/>
    <x v="1"/>
    <x v="3"/>
    <x v="7"/>
    <x v="26"/>
    <x v="1"/>
    <x v="1"/>
    <x v="93"/>
    <x v="73"/>
    <x v="48"/>
    <x v="271"/>
    <x v="1190"/>
    <x v="1"/>
    <x v="1"/>
    <x v="2"/>
  </r>
  <r>
    <x v="1367"/>
    <x v="369"/>
    <x v="1"/>
    <x v="0"/>
    <x v="1"/>
    <x v="4"/>
    <x v="13"/>
    <x v="2"/>
    <x v="2"/>
    <x v="0"/>
    <x v="0"/>
    <x v="1"/>
    <x v="3"/>
    <x v="7"/>
    <x v="13"/>
    <x v="1"/>
    <x v="1"/>
    <x v="19"/>
    <x v="19"/>
    <x v="307"/>
    <x v="51"/>
    <x v="860"/>
    <x v="1"/>
    <x v="0"/>
    <x v="2"/>
  </r>
  <r>
    <x v="1368"/>
    <x v="376"/>
    <x v="1"/>
    <x v="0"/>
    <x v="1"/>
    <x v="4"/>
    <x v="13"/>
    <x v="2"/>
    <x v="2"/>
    <x v="1"/>
    <x v="0"/>
    <x v="1"/>
    <x v="8"/>
    <x v="17"/>
    <x v="22"/>
    <x v="13"/>
    <x v="8"/>
    <x v="393"/>
    <x v="331"/>
    <x v="319"/>
    <x v="895"/>
    <x v="1050"/>
    <x v="1"/>
    <x v="1"/>
    <x v="2"/>
  </r>
  <r>
    <x v="1369"/>
    <x v="356"/>
    <x v="1"/>
    <x v="0"/>
    <x v="1"/>
    <x v="4"/>
    <x v="13"/>
    <x v="2"/>
    <x v="2"/>
    <x v="0"/>
    <x v="0"/>
    <x v="1"/>
    <x v="8"/>
    <x v="17"/>
    <x v="15"/>
    <x v="13"/>
    <x v="8"/>
    <x v="279"/>
    <x v="234"/>
    <x v="915"/>
    <x v="583"/>
    <x v="646"/>
    <x v="1"/>
    <x v="0"/>
    <x v="2"/>
  </r>
  <r>
    <x v="1370"/>
    <x v="363"/>
    <x v="1"/>
    <x v="0"/>
    <x v="1"/>
    <x v="4"/>
    <x v="13"/>
    <x v="2"/>
    <x v="2"/>
    <x v="1"/>
    <x v="0"/>
    <x v="1"/>
    <x v="9"/>
    <x v="19"/>
    <x v="21"/>
    <x v="7"/>
    <x v="5"/>
    <x v="257"/>
    <x v="233"/>
    <x v="182"/>
    <x v="552"/>
    <x v="730"/>
    <x v="1"/>
    <x v="1"/>
    <x v="2"/>
  </r>
  <r>
    <x v="1371"/>
    <x v="370"/>
    <x v="1"/>
    <x v="0"/>
    <x v="1"/>
    <x v="4"/>
    <x v="13"/>
    <x v="2"/>
    <x v="2"/>
    <x v="0"/>
    <x v="0"/>
    <x v="1"/>
    <x v="9"/>
    <x v="19"/>
    <x v="16"/>
    <x v="7"/>
    <x v="5"/>
    <x v="181"/>
    <x v="173"/>
    <x v="773"/>
    <x v="323"/>
    <x v="342"/>
    <x v="1"/>
    <x v="0"/>
    <x v="2"/>
  </r>
  <r>
    <x v="1372"/>
    <x v="377"/>
    <x v="1"/>
    <x v="0"/>
    <x v="1"/>
    <x v="4"/>
    <x v="13"/>
    <x v="2"/>
    <x v="2"/>
    <x v="1"/>
    <x v="2"/>
    <x v="5"/>
    <x v="0"/>
    <x v="1"/>
    <x v="10"/>
    <x v="16"/>
    <x v="11"/>
    <x v="245"/>
    <x v="219"/>
    <x v="167"/>
    <x v="550"/>
    <x v="899"/>
    <x v="1"/>
    <x v="1"/>
    <x v="2"/>
  </r>
  <r>
    <x v="1373"/>
    <x v="357"/>
    <x v="1"/>
    <x v="0"/>
    <x v="1"/>
    <x v="4"/>
    <x v="13"/>
    <x v="2"/>
    <x v="2"/>
    <x v="0"/>
    <x v="2"/>
    <x v="5"/>
    <x v="0"/>
    <x v="1"/>
    <x v="6"/>
    <x v="16"/>
    <x v="11"/>
    <x v="133"/>
    <x v="121"/>
    <x v="685"/>
    <x v="244"/>
    <x v="445"/>
    <x v="1"/>
    <x v="0"/>
    <x v="2"/>
  </r>
  <r>
    <x v="1374"/>
    <x v="364"/>
    <x v="1"/>
    <x v="0"/>
    <x v="1"/>
    <x v="4"/>
    <x v="13"/>
    <x v="2"/>
    <x v="2"/>
    <x v="1"/>
    <x v="2"/>
    <x v="5"/>
    <x v="4"/>
    <x v="9"/>
    <x v="7"/>
    <x v="10"/>
    <x v="9"/>
    <x v="88"/>
    <x v="94"/>
    <x v="44"/>
    <x v="179"/>
    <x v="582"/>
    <x v="1"/>
    <x v="1"/>
    <x v="2"/>
  </r>
  <r>
    <x v="1375"/>
    <x v="371"/>
    <x v="1"/>
    <x v="0"/>
    <x v="1"/>
    <x v="4"/>
    <x v="13"/>
    <x v="2"/>
    <x v="2"/>
    <x v="0"/>
    <x v="2"/>
    <x v="5"/>
    <x v="4"/>
    <x v="9"/>
    <x v="6"/>
    <x v="10"/>
    <x v="9"/>
    <x v="69"/>
    <x v="77"/>
    <x v="533"/>
    <x v="93"/>
    <x v="232"/>
    <x v="1"/>
    <x v="0"/>
    <x v="2"/>
  </r>
  <r>
    <x v="1376"/>
    <x v="351"/>
    <x v="1"/>
    <x v="0"/>
    <x v="1"/>
    <x v="4"/>
    <x v="13"/>
    <x v="2"/>
    <x v="2"/>
    <x v="1"/>
    <x v="1"/>
    <x v="3"/>
    <x v="7"/>
    <x v="15"/>
    <x v="14"/>
    <x v="19"/>
    <x v="13"/>
    <x v="362"/>
    <x v="348"/>
    <x v="281"/>
    <x v="710"/>
    <x v="424"/>
    <x v="1"/>
    <x v="1"/>
    <x v="2"/>
  </r>
  <r>
    <x v="1377"/>
    <x v="358"/>
    <x v="1"/>
    <x v="0"/>
    <x v="1"/>
    <x v="4"/>
    <x v="13"/>
    <x v="2"/>
    <x v="2"/>
    <x v="0"/>
    <x v="1"/>
    <x v="3"/>
    <x v="7"/>
    <x v="15"/>
    <x v="6"/>
    <x v="19"/>
    <x v="13"/>
    <x v="156"/>
    <x v="165"/>
    <x v="716"/>
    <x v="217"/>
    <x v="174"/>
    <x v="1"/>
    <x v="0"/>
    <x v="2"/>
  </r>
  <r>
    <x v="1378"/>
    <x v="365"/>
    <x v="1"/>
    <x v="0"/>
    <x v="1"/>
    <x v="4"/>
    <x v="13"/>
    <x v="2"/>
    <x v="2"/>
    <x v="1"/>
    <x v="1"/>
    <x v="3"/>
    <x v="6"/>
    <x v="13"/>
    <x v="14"/>
    <x v="4"/>
    <x v="3"/>
    <x v="44"/>
    <x v="43"/>
    <x v="10"/>
    <x v="119"/>
    <x v="1019"/>
    <x v="1"/>
    <x v="1"/>
    <x v="2"/>
  </r>
  <r>
    <x v="1379"/>
    <x v="372"/>
    <x v="1"/>
    <x v="0"/>
    <x v="1"/>
    <x v="4"/>
    <x v="13"/>
    <x v="2"/>
    <x v="2"/>
    <x v="0"/>
    <x v="1"/>
    <x v="3"/>
    <x v="6"/>
    <x v="13"/>
    <x v="8"/>
    <x v="4"/>
    <x v="3"/>
    <x v="11"/>
    <x v="12"/>
    <x v="232"/>
    <x v="22"/>
    <x v="609"/>
    <x v="1"/>
    <x v="0"/>
    <x v="2"/>
  </r>
  <r>
    <x v="1380"/>
    <x v="352"/>
    <x v="1"/>
    <x v="0"/>
    <x v="1"/>
    <x v="4"/>
    <x v="13"/>
    <x v="4"/>
    <x v="4"/>
    <x v="1"/>
    <x v="3"/>
    <x v="7"/>
    <x v="1"/>
    <x v="3"/>
    <x v="3"/>
    <x v="24"/>
    <x v="17"/>
    <x v="693"/>
    <x v="653"/>
    <x v="749"/>
    <x v="1232"/>
    <x v="164"/>
    <x v="1"/>
    <x v="1"/>
    <x v="0"/>
  </r>
  <r>
    <x v="1381"/>
    <x v="359"/>
    <x v="1"/>
    <x v="0"/>
    <x v="1"/>
    <x v="4"/>
    <x v="13"/>
    <x v="4"/>
    <x v="4"/>
    <x v="0"/>
    <x v="3"/>
    <x v="7"/>
    <x v="1"/>
    <x v="3"/>
    <x v="1"/>
    <x v="24"/>
    <x v="17"/>
    <x v="542"/>
    <x v="530"/>
    <x v="1153"/>
    <x v="817"/>
    <x v="68"/>
    <x v="2"/>
    <x v="0"/>
    <x v="0"/>
  </r>
  <r>
    <x v="1382"/>
    <x v="366"/>
    <x v="1"/>
    <x v="0"/>
    <x v="1"/>
    <x v="4"/>
    <x v="13"/>
    <x v="4"/>
    <x v="4"/>
    <x v="1"/>
    <x v="3"/>
    <x v="7"/>
    <x v="2"/>
    <x v="5"/>
    <x v="4"/>
    <x v="21"/>
    <x v="15"/>
    <x v="434"/>
    <x v="442"/>
    <x v="381"/>
    <x v="784"/>
    <x v="210"/>
    <x v="1"/>
    <x v="1"/>
    <x v="2"/>
  </r>
  <r>
    <x v="1383"/>
    <x v="373"/>
    <x v="1"/>
    <x v="0"/>
    <x v="1"/>
    <x v="4"/>
    <x v="13"/>
    <x v="4"/>
    <x v="4"/>
    <x v="0"/>
    <x v="3"/>
    <x v="7"/>
    <x v="2"/>
    <x v="5"/>
    <x v="2"/>
    <x v="21"/>
    <x v="15"/>
    <x v="309"/>
    <x v="313"/>
    <x v="950"/>
    <x v="419"/>
    <x v="74"/>
    <x v="1"/>
    <x v="0"/>
    <x v="2"/>
  </r>
  <r>
    <x v="1384"/>
    <x v="353"/>
    <x v="1"/>
    <x v="0"/>
    <x v="1"/>
    <x v="4"/>
    <x v="13"/>
    <x v="4"/>
    <x v="4"/>
    <x v="1"/>
    <x v="3"/>
    <x v="7"/>
    <x v="5"/>
    <x v="11"/>
    <x v="3"/>
    <x v="27"/>
    <x v="19"/>
    <x v="758"/>
    <x v="709"/>
    <x v="883"/>
    <x v="1271"/>
    <x v="41"/>
    <x v="2"/>
    <x v="1"/>
    <x v="0"/>
  </r>
  <r>
    <x v="1385"/>
    <x v="360"/>
    <x v="1"/>
    <x v="0"/>
    <x v="1"/>
    <x v="4"/>
    <x v="13"/>
    <x v="4"/>
    <x v="4"/>
    <x v="0"/>
    <x v="3"/>
    <x v="7"/>
    <x v="5"/>
    <x v="11"/>
    <x v="2"/>
    <x v="27"/>
    <x v="19"/>
    <x v="717"/>
    <x v="681"/>
    <x v="1259"/>
    <x v="1029"/>
    <x v="10"/>
    <x v="2"/>
    <x v="0"/>
    <x v="0"/>
  </r>
  <r>
    <x v="1386"/>
    <x v="367"/>
    <x v="1"/>
    <x v="0"/>
    <x v="1"/>
    <x v="4"/>
    <x v="13"/>
    <x v="4"/>
    <x v="4"/>
    <x v="1"/>
    <x v="0"/>
    <x v="1"/>
    <x v="3"/>
    <x v="7"/>
    <x v="23"/>
    <x v="1"/>
    <x v="1"/>
    <x v="71"/>
    <x v="58"/>
    <x v="32"/>
    <x v="220"/>
    <x v="1198"/>
    <x v="1"/>
    <x v="1"/>
    <x v="2"/>
  </r>
  <r>
    <x v="1387"/>
    <x v="374"/>
    <x v="1"/>
    <x v="0"/>
    <x v="1"/>
    <x v="4"/>
    <x v="13"/>
    <x v="4"/>
    <x v="4"/>
    <x v="0"/>
    <x v="0"/>
    <x v="1"/>
    <x v="3"/>
    <x v="7"/>
    <x v="12"/>
    <x v="1"/>
    <x v="1"/>
    <x v="16"/>
    <x v="15"/>
    <x v="274"/>
    <x v="43"/>
    <x v="870"/>
    <x v="1"/>
    <x v="0"/>
    <x v="2"/>
  </r>
  <r>
    <x v="1388"/>
    <x v="354"/>
    <x v="1"/>
    <x v="0"/>
    <x v="1"/>
    <x v="4"/>
    <x v="13"/>
    <x v="4"/>
    <x v="4"/>
    <x v="1"/>
    <x v="0"/>
    <x v="1"/>
    <x v="8"/>
    <x v="17"/>
    <x v="20"/>
    <x v="13"/>
    <x v="8"/>
    <x v="363"/>
    <x v="301"/>
    <x v="283"/>
    <x v="839"/>
    <x v="1045"/>
    <x v="1"/>
    <x v="1"/>
    <x v="2"/>
  </r>
  <r>
    <x v="1389"/>
    <x v="361"/>
    <x v="1"/>
    <x v="0"/>
    <x v="1"/>
    <x v="4"/>
    <x v="13"/>
    <x v="4"/>
    <x v="4"/>
    <x v="0"/>
    <x v="0"/>
    <x v="1"/>
    <x v="8"/>
    <x v="17"/>
    <x v="13"/>
    <x v="13"/>
    <x v="8"/>
    <x v="238"/>
    <x v="201"/>
    <x v="857"/>
    <x v="503"/>
    <x v="636"/>
    <x v="1"/>
    <x v="0"/>
    <x v="2"/>
  </r>
  <r>
    <x v="1390"/>
    <x v="368"/>
    <x v="1"/>
    <x v="0"/>
    <x v="1"/>
    <x v="4"/>
    <x v="13"/>
    <x v="4"/>
    <x v="4"/>
    <x v="1"/>
    <x v="0"/>
    <x v="1"/>
    <x v="9"/>
    <x v="19"/>
    <x v="21"/>
    <x v="7"/>
    <x v="5"/>
    <x v="257"/>
    <x v="233"/>
    <x v="182"/>
    <x v="552"/>
    <x v="730"/>
    <x v="1"/>
    <x v="1"/>
    <x v="2"/>
  </r>
  <r>
    <x v="1391"/>
    <x v="375"/>
    <x v="1"/>
    <x v="0"/>
    <x v="1"/>
    <x v="4"/>
    <x v="13"/>
    <x v="4"/>
    <x v="4"/>
    <x v="0"/>
    <x v="0"/>
    <x v="1"/>
    <x v="9"/>
    <x v="19"/>
    <x v="13"/>
    <x v="7"/>
    <x v="5"/>
    <x v="138"/>
    <x v="133"/>
    <x v="690"/>
    <x v="235"/>
    <x v="348"/>
    <x v="1"/>
    <x v="0"/>
    <x v="2"/>
  </r>
  <r>
    <x v="1392"/>
    <x v="355"/>
    <x v="1"/>
    <x v="0"/>
    <x v="1"/>
    <x v="4"/>
    <x v="13"/>
    <x v="4"/>
    <x v="4"/>
    <x v="1"/>
    <x v="2"/>
    <x v="5"/>
    <x v="0"/>
    <x v="1"/>
    <x v="9"/>
    <x v="16"/>
    <x v="11"/>
    <x v="218"/>
    <x v="199"/>
    <x v="145"/>
    <x v="497"/>
    <x v="899"/>
    <x v="1"/>
    <x v="1"/>
    <x v="2"/>
  </r>
  <r>
    <x v="1393"/>
    <x v="362"/>
    <x v="1"/>
    <x v="0"/>
    <x v="1"/>
    <x v="4"/>
    <x v="13"/>
    <x v="4"/>
    <x v="4"/>
    <x v="0"/>
    <x v="2"/>
    <x v="5"/>
    <x v="0"/>
    <x v="1"/>
    <x v="5"/>
    <x v="16"/>
    <x v="11"/>
    <x v="103"/>
    <x v="99"/>
    <x v="634"/>
    <x v="198"/>
    <x v="448"/>
    <x v="1"/>
    <x v="0"/>
    <x v="2"/>
  </r>
  <r>
    <x v="1394"/>
    <x v="369"/>
    <x v="1"/>
    <x v="0"/>
    <x v="1"/>
    <x v="4"/>
    <x v="13"/>
    <x v="4"/>
    <x v="4"/>
    <x v="1"/>
    <x v="2"/>
    <x v="5"/>
    <x v="4"/>
    <x v="9"/>
    <x v="9"/>
    <x v="10"/>
    <x v="9"/>
    <x v="125"/>
    <x v="131"/>
    <x v="74"/>
    <x v="255"/>
    <x v="576"/>
    <x v="1"/>
    <x v="1"/>
    <x v="2"/>
  </r>
  <r>
    <x v="1395"/>
    <x v="376"/>
    <x v="1"/>
    <x v="0"/>
    <x v="1"/>
    <x v="4"/>
    <x v="13"/>
    <x v="4"/>
    <x v="4"/>
    <x v="0"/>
    <x v="2"/>
    <x v="5"/>
    <x v="4"/>
    <x v="9"/>
    <x v="5"/>
    <x v="10"/>
    <x v="9"/>
    <x v="50"/>
    <x v="59"/>
    <x v="463"/>
    <x v="64"/>
    <x v="241"/>
    <x v="1"/>
    <x v="0"/>
    <x v="2"/>
  </r>
  <r>
    <x v="1396"/>
    <x v="356"/>
    <x v="1"/>
    <x v="0"/>
    <x v="1"/>
    <x v="4"/>
    <x v="13"/>
    <x v="4"/>
    <x v="4"/>
    <x v="1"/>
    <x v="1"/>
    <x v="3"/>
    <x v="7"/>
    <x v="15"/>
    <x v="11"/>
    <x v="19"/>
    <x v="13"/>
    <x v="295"/>
    <x v="288"/>
    <x v="205"/>
    <x v="569"/>
    <x v="428"/>
    <x v="1"/>
    <x v="1"/>
    <x v="2"/>
  </r>
  <r>
    <x v="1397"/>
    <x v="363"/>
    <x v="1"/>
    <x v="0"/>
    <x v="1"/>
    <x v="4"/>
    <x v="13"/>
    <x v="4"/>
    <x v="4"/>
    <x v="0"/>
    <x v="1"/>
    <x v="3"/>
    <x v="7"/>
    <x v="15"/>
    <x v="8"/>
    <x v="19"/>
    <x v="13"/>
    <x v="211"/>
    <x v="218"/>
    <x v="823"/>
    <x v="319"/>
    <x v="173"/>
    <x v="1"/>
    <x v="0"/>
    <x v="2"/>
  </r>
  <r>
    <x v="1398"/>
    <x v="370"/>
    <x v="1"/>
    <x v="0"/>
    <x v="1"/>
    <x v="4"/>
    <x v="13"/>
    <x v="4"/>
    <x v="4"/>
    <x v="1"/>
    <x v="1"/>
    <x v="3"/>
    <x v="6"/>
    <x v="13"/>
    <x v="12"/>
    <x v="4"/>
    <x v="3"/>
    <x v="31"/>
    <x v="34"/>
    <x v="4"/>
    <x v="84"/>
    <x v="1015"/>
    <x v="1"/>
    <x v="1"/>
    <x v="2"/>
  </r>
  <r>
    <x v="1399"/>
    <x v="377"/>
    <x v="1"/>
    <x v="0"/>
    <x v="1"/>
    <x v="4"/>
    <x v="13"/>
    <x v="4"/>
    <x v="4"/>
    <x v="0"/>
    <x v="1"/>
    <x v="3"/>
    <x v="6"/>
    <x v="13"/>
    <x v="8"/>
    <x v="4"/>
    <x v="3"/>
    <x v="11"/>
    <x v="12"/>
    <x v="232"/>
    <x v="22"/>
    <x v="609"/>
    <x v="1"/>
    <x v="0"/>
    <x v="2"/>
  </r>
  <r>
    <x v="1400"/>
    <x v="384"/>
    <x v="1"/>
    <x v="0"/>
    <x v="2"/>
    <x v="7"/>
    <x v="14"/>
    <x v="0"/>
    <x v="0"/>
    <x v="1"/>
    <x v="3"/>
    <x v="7"/>
    <x v="1"/>
    <x v="3"/>
    <x v="17"/>
    <x v="24"/>
    <x v="17"/>
    <x v="854"/>
    <x v="761"/>
    <x v="1189"/>
    <x v="1581"/>
    <x v="165"/>
    <x v="1"/>
    <x v="1"/>
    <x v="0"/>
  </r>
  <r>
    <x v="1401"/>
    <x v="391"/>
    <x v="1"/>
    <x v="0"/>
    <x v="2"/>
    <x v="7"/>
    <x v="14"/>
    <x v="0"/>
    <x v="0"/>
    <x v="0"/>
    <x v="3"/>
    <x v="7"/>
    <x v="1"/>
    <x v="3"/>
    <x v="10"/>
    <x v="24"/>
    <x v="17"/>
    <x v="823"/>
    <x v="740"/>
    <x v="1319"/>
    <x v="1489"/>
    <x v="65"/>
    <x v="2"/>
    <x v="0"/>
    <x v="0"/>
  </r>
  <r>
    <x v="1402"/>
    <x v="398"/>
    <x v="1"/>
    <x v="0"/>
    <x v="2"/>
    <x v="7"/>
    <x v="14"/>
    <x v="0"/>
    <x v="0"/>
    <x v="1"/>
    <x v="3"/>
    <x v="7"/>
    <x v="2"/>
    <x v="5"/>
    <x v="21"/>
    <x v="21"/>
    <x v="15"/>
    <x v="797"/>
    <x v="719"/>
    <x v="994"/>
    <x v="1469"/>
    <x v="216"/>
    <x v="1"/>
    <x v="1"/>
    <x v="0"/>
  </r>
  <r>
    <x v="1403"/>
    <x v="378"/>
    <x v="1"/>
    <x v="0"/>
    <x v="2"/>
    <x v="7"/>
    <x v="14"/>
    <x v="0"/>
    <x v="0"/>
    <x v="0"/>
    <x v="3"/>
    <x v="7"/>
    <x v="2"/>
    <x v="5"/>
    <x v="14"/>
    <x v="21"/>
    <x v="15"/>
    <x v="736"/>
    <x v="672"/>
    <x v="1270"/>
    <x v="1255"/>
    <x v="75"/>
    <x v="1"/>
    <x v="0"/>
    <x v="0"/>
  </r>
  <r>
    <x v="1404"/>
    <x v="385"/>
    <x v="1"/>
    <x v="0"/>
    <x v="2"/>
    <x v="7"/>
    <x v="14"/>
    <x v="0"/>
    <x v="0"/>
    <x v="1"/>
    <x v="3"/>
    <x v="7"/>
    <x v="5"/>
    <x v="11"/>
    <x v="18"/>
    <x v="27"/>
    <x v="19"/>
    <x v="876"/>
    <x v="783"/>
    <x v="1253"/>
    <x v="1597"/>
    <x v="38"/>
    <x v="2"/>
    <x v="1"/>
    <x v="0"/>
  </r>
  <r>
    <x v="1405"/>
    <x v="392"/>
    <x v="1"/>
    <x v="0"/>
    <x v="2"/>
    <x v="7"/>
    <x v="14"/>
    <x v="0"/>
    <x v="0"/>
    <x v="0"/>
    <x v="3"/>
    <x v="7"/>
    <x v="5"/>
    <x v="11"/>
    <x v="13"/>
    <x v="27"/>
    <x v="19"/>
    <x v="860"/>
    <x v="771"/>
    <x v="1335"/>
    <x v="1545"/>
    <x v="8"/>
    <x v="2"/>
    <x v="0"/>
    <x v="0"/>
  </r>
  <r>
    <x v="1406"/>
    <x v="399"/>
    <x v="1"/>
    <x v="0"/>
    <x v="2"/>
    <x v="7"/>
    <x v="14"/>
    <x v="0"/>
    <x v="0"/>
    <x v="1"/>
    <x v="0"/>
    <x v="1"/>
    <x v="3"/>
    <x v="7"/>
    <x v="73"/>
    <x v="1"/>
    <x v="1"/>
    <x v="370"/>
    <x v="299"/>
    <x v="295"/>
    <x v="893"/>
    <x v="1193"/>
    <x v="1"/>
    <x v="1"/>
    <x v="2"/>
  </r>
  <r>
    <x v="1407"/>
    <x v="379"/>
    <x v="1"/>
    <x v="0"/>
    <x v="2"/>
    <x v="7"/>
    <x v="14"/>
    <x v="0"/>
    <x v="0"/>
    <x v="0"/>
    <x v="0"/>
    <x v="1"/>
    <x v="3"/>
    <x v="7"/>
    <x v="55"/>
    <x v="1"/>
    <x v="1"/>
    <x v="275"/>
    <x v="220"/>
    <x v="908"/>
    <x v="612"/>
    <x v="865"/>
    <x v="1"/>
    <x v="0"/>
    <x v="2"/>
  </r>
  <r>
    <x v="1408"/>
    <x v="386"/>
    <x v="1"/>
    <x v="0"/>
    <x v="2"/>
    <x v="7"/>
    <x v="14"/>
    <x v="0"/>
    <x v="0"/>
    <x v="1"/>
    <x v="0"/>
    <x v="1"/>
    <x v="8"/>
    <x v="17"/>
    <x v="74"/>
    <x v="13"/>
    <x v="8"/>
    <x v="748"/>
    <x v="655"/>
    <x v="855"/>
    <x v="1470"/>
    <x v="1051"/>
    <x v="0"/>
    <x v="1"/>
    <x v="0"/>
  </r>
  <r>
    <x v="1409"/>
    <x v="393"/>
    <x v="1"/>
    <x v="0"/>
    <x v="2"/>
    <x v="7"/>
    <x v="14"/>
    <x v="0"/>
    <x v="0"/>
    <x v="0"/>
    <x v="0"/>
    <x v="1"/>
    <x v="8"/>
    <x v="17"/>
    <x v="62"/>
    <x v="13"/>
    <x v="8"/>
    <x v="702"/>
    <x v="608"/>
    <x v="1252"/>
    <x v="1354"/>
    <x v="639"/>
    <x v="0"/>
    <x v="0"/>
    <x v="0"/>
  </r>
  <r>
    <x v="1410"/>
    <x v="400"/>
    <x v="1"/>
    <x v="0"/>
    <x v="2"/>
    <x v="7"/>
    <x v="14"/>
    <x v="0"/>
    <x v="0"/>
    <x v="1"/>
    <x v="0"/>
    <x v="1"/>
    <x v="9"/>
    <x v="19"/>
    <x v="90"/>
    <x v="7"/>
    <x v="5"/>
    <x v="705"/>
    <x v="626"/>
    <x v="772"/>
    <x v="1371"/>
    <x v="729"/>
    <x v="0"/>
    <x v="1"/>
    <x v="0"/>
  </r>
  <r>
    <x v="1411"/>
    <x v="380"/>
    <x v="1"/>
    <x v="0"/>
    <x v="2"/>
    <x v="7"/>
    <x v="14"/>
    <x v="0"/>
    <x v="0"/>
    <x v="0"/>
    <x v="0"/>
    <x v="1"/>
    <x v="9"/>
    <x v="19"/>
    <x v="54"/>
    <x v="7"/>
    <x v="5"/>
    <x v="556"/>
    <x v="496"/>
    <x v="1162"/>
    <x v="1051"/>
    <x v="346"/>
    <x v="0"/>
    <x v="0"/>
    <x v="0"/>
  </r>
  <r>
    <x v="1412"/>
    <x v="387"/>
    <x v="1"/>
    <x v="0"/>
    <x v="2"/>
    <x v="7"/>
    <x v="14"/>
    <x v="0"/>
    <x v="0"/>
    <x v="1"/>
    <x v="2"/>
    <x v="5"/>
    <x v="0"/>
    <x v="1"/>
    <x v="36"/>
    <x v="16"/>
    <x v="11"/>
    <x v="625"/>
    <x v="552"/>
    <x v="652"/>
    <x v="1259"/>
    <x v="899"/>
    <x v="0"/>
    <x v="1"/>
    <x v="0"/>
  </r>
  <r>
    <x v="1413"/>
    <x v="394"/>
    <x v="1"/>
    <x v="0"/>
    <x v="2"/>
    <x v="7"/>
    <x v="14"/>
    <x v="0"/>
    <x v="0"/>
    <x v="0"/>
    <x v="2"/>
    <x v="5"/>
    <x v="0"/>
    <x v="1"/>
    <x v="29"/>
    <x v="16"/>
    <x v="11"/>
    <x v="563"/>
    <x v="493"/>
    <x v="1165"/>
    <x v="1082"/>
    <x v="443"/>
    <x v="0"/>
    <x v="0"/>
    <x v="0"/>
  </r>
  <r>
    <x v="1414"/>
    <x v="401"/>
    <x v="1"/>
    <x v="0"/>
    <x v="2"/>
    <x v="7"/>
    <x v="14"/>
    <x v="0"/>
    <x v="0"/>
    <x v="1"/>
    <x v="2"/>
    <x v="5"/>
    <x v="4"/>
    <x v="9"/>
    <x v="34"/>
    <x v="10"/>
    <x v="9"/>
    <x v="493"/>
    <x v="459"/>
    <x v="452"/>
    <x v="985"/>
    <x v="578"/>
    <x v="0"/>
    <x v="1"/>
    <x v="0"/>
  </r>
  <r>
    <x v="1415"/>
    <x v="381"/>
    <x v="1"/>
    <x v="0"/>
    <x v="2"/>
    <x v="7"/>
    <x v="14"/>
    <x v="0"/>
    <x v="0"/>
    <x v="0"/>
    <x v="2"/>
    <x v="5"/>
    <x v="4"/>
    <x v="9"/>
    <x v="27"/>
    <x v="10"/>
    <x v="9"/>
    <x v="416"/>
    <x v="392"/>
    <x v="1064"/>
    <x v="759"/>
    <x v="237"/>
    <x v="1"/>
    <x v="0"/>
    <x v="2"/>
  </r>
  <r>
    <x v="1416"/>
    <x v="388"/>
    <x v="1"/>
    <x v="0"/>
    <x v="2"/>
    <x v="7"/>
    <x v="14"/>
    <x v="0"/>
    <x v="0"/>
    <x v="1"/>
    <x v="1"/>
    <x v="3"/>
    <x v="7"/>
    <x v="15"/>
    <x v="58"/>
    <x v="19"/>
    <x v="13"/>
    <x v="754"/>
    <x v="686"/>
    <x v="873"/>
    <x v="1427"/>
    <x v="429"/>
    <x v="0"/>
    <x v="1"/>
    <x v="0"/>
  </r>
  <r>
    <x v="1417"/>
    <x v="395"/>
    <x v="1"/>
    <x v="0"/>
    <x v="2"/>
    <x v="7"/>
    <x v="14"/>
    <x v="0"/>
    <x v="0"/>
    <x v="0"/>
    <x v="1"/>
    <x v="3"/>
    <x v="7"/>
    <x v="15"/>
    <x v="32"/>
    <x v="19"/>
    <x v="13"/>
    <x v="619"/>
    <x v="565"/>
    <x v="1197"/>
    <x v="1089"/>
    <x v="178"/>
    <x v="1"/>
    <x v="0"/>
    <x v="0"/>
  </r>
  <r>
    <x v="1418"/>
    <x v="402"/>
    <x v="1"/>
    <x v="0"/>
    <x v="2"/>
    <x v="7"/>
    <x v="14"/>
    <x v="0"/>
    <x v="0"/>
    <x v="1"/>
    <x v="1"/>
    <x v="3"/>
    <x v="6"/>
    <x v="13"/>
    <x v="42"/>
    <x v="4"/>
    <x v="3"/>
    <x v="263"/>
    <x v="224"/>
    <x v="187"/>
    <x v="626"/>
    <x v="1016"/>
    <x v="1"/>
    <x v="1"/>
    <x v="2"/>
  </r>
  <r>
    <x v="1419"/>
    <x v="382"/>
    <x v="1"/>
    <x v="0"/>
    <x v="2"/>
    <x v="7"/>
    <x v="14"/>
    <x v="0"/>
    <x v="0"/>
    <x v="0"/>
    <x v="1"/>
    <x v="3"/>
    <x v="6"/>
    <x v="13"/>
    <x v="32"/>
    <x v="4"/>
    <x v="3"/>
    <x v="189"/>
    <x v="164"/>
    <x v="783"/>
    <x v="394"/>
    <x v="609"/>
    <x v="1"/>
    <x v="0"/>
    <x v="2"/>
  </r>
  <r>
    <x v="1420"/>
    <x v="389"/>
    <x v="1"/>
    <x v="0"/>
    <x v="2"/>
    <x v="7"/>
    <x v="14"/>
    <x v="1"/>
    <x v="1"/>
    <x v="1"/>
    <x v="3"/>
    <x v="7"/>
    <x v="1"/>
    <x v="3"/>
    <x v="8"/>
    <x v="24"/>
    <x v="17"/>
    <x v="809"/>
    <x v="729"/>
    <x v="1039"/>
    <x v="1492"/>
    <x v="164"/>
    <x v="1"/>
    <x v="1"/>
    <x v="0"/>
  </r>
  <r>
    <x v="1421"/>
    <x v="396"/>
    <x v="1"/>
    <x v="0"/>
    <x v="2"/>
    <x v="7"/>
    <x v="14"/>
    <x v="1"/>
    <x v="1"/>
    <x v="0"/>
    <x v="3"/>
    <x v="7"/>
    <x v="1"/>
    <x v="3"/>
    <x v="5"/>
    <x v="24"/>
    <x v="17"/>
    <x v="761"/>
    <x v="702"/>
    <x v="1290"/>
    <x v="1293"/>
    <x v="64"/>
    <x v="2"/>
    <x v="0"/>
    <x v="0"/>
  </r>
  <r>
    <x v="1422"/>
    <x v="403"/>
    <x v="1"/>
    <x v="0"/>
    <x v="2"/>
    <x v="7"/>
    <x v="14"/>
    <x v="1"/>
    <x v="1"/>
    <x v="1"/>
    <x v="3"/>
    <x v="7"/>
    <x v="2"/>
    <x v="5"/>
    <x v="9"/>
    <x v="21"/>
    <x v="15"/>
    <x v="638"/>
    <x v="603"/>
    <x v="667"/>
    <x v="1167"/>
    <x v="215"/>
    <x v="1"/>
    <x v="1"/>
    <x v="0"/>
  </r>
  <r>
    <x v="1423"/>
    <x v="383"/>
    <x v="1"/>
    <x v="0"/>
    <x v="2"/>
    <x v="7"/>
    <x v="14"/>
    <x v="1"/>
    <x v="1"/>
    <x v="0"/>
    <x v="3"/>
    <x v="7"/>
    <x v="2"/>
    <x v="5"/>
    <x v="6"/>
    <x v="21"/>
    <x v="15"/>
    <x v="543"/>
    <x v="520"/>
    <x v="1153"/>
    <x v="855"/>
    <x v="79"/>
    <x v="1"/>
    <x v="0"/>
    <x v="0"/>
  </r>
  <r>
    <x v="1424"/>
    <x v="390"/>
    <x v="1"/>
    <x v="0"/>
    <x v="2"/>
    <x v="7"/>
    <x v="14"/>
    <x v="1"/>
    <x v="1"/>
    <x v="1"/>
    <x v="3"/>
    <x v="7"/>
    <x v="5"/>
    <x v="11"/>
    <x v="7"/>
    <x v="27"/>
    <x v="19"/>
    <x v="827"/>
    <x v="745"/>
    <x v="1092"/>
    <x v="1488"/>
    <x v="37"/>
    <x v="2"/>
    <x v="1"/>
    <x v="0"/>
  </r>
  <r>
    <x v="1425"/>
    <x v="397"/>
    <x v="1"/>
    <x v="0"/>
    <x v="2"/>
    <x v="7"/>
    <x v="14"/>
    <x v="1"/>
    <x v="1"/>
    <x v="0"/>
    <x v="3"/>
    <x v="7"/>
    <x v="5"/>
    <x v="11"/>
    <x v="7"/>
    <x v="27"/>
    <x v="19"/>
    <x v="827"/>
    <x v="745"/>
    <x v="1321"/>
    <x v="1420"/>
    <x v="9"/>
    <x v="2"/>
    <x v="0"/>
    <x v="0"/>
  </r>
  <r>
    <x v="1426"/>
    <x v="404"/>
    <x v="1"/>
    <x v="0"/>
    <x v="2"/>
    <x v="7"/>
    <x v="14"/>
    <x v="1"/>
    <x v="1"/>
    <x v="1"/>
    <x v="0"/>
    <x v="1"/>
    <x v="3"/>
    <x v="7"/>
    <x v="49"/>
    <x v="1"/>
    <x v="1"/>
    <x v="240"/>
    <x v="192"/>
    <x v="164"/>
    <x v="620"/>
    <x v="1200"/>
    <x v="1"/>
    <x v="1"/>
    <x v="2"/>
  </r>
  <r>
    <x v="1427"/>
    <x v="384"/>
    <x v="1"/>
    <x v="0"/>
    <x v="2"/>
    <x v="7"/>
    <x v="14"/>
    <x v="1"/>
    <x v="1"/>
    <x v="0"/>
    <x v="0"/>
    <x v="1"/>
    <x v="3"/>
    <x v="7"/>
    <x v="38"/>
    <x v="1"/>
    <x v="1"/>
    <x v="172"/>
    <x v="137"/>
    <x v="755"/>
    <x v="406"/>
    <x v="866"/>
    <x v="1"/>
    <x v="0"/>
    <x v="2"/>
  </r>
  <r>
    <x v="1428"/>
    <x v="391"/>
    <x v="1"/>
    <x v="0"/>
    <x v="2"/>
    <x v="7"/>
    <x v="14"/>
    <x v="1"/>
    <x v="1"/>
    <x v="1"/>
    <x v="0"/>
    <x v="1"/>
    <x v="8"/>
    <x v="17"/>
    <x v="58"/>
    <x v="13"/>
    <x v="8"/>
    <x v="688"/>
    <x v="591"/>
    <x v="741"/>
    <x v="1380"/>
    <x v="1053"/>
    <x v="0"/>
    <x v="1"/>
    <x v="0"/>
  </r>
  <r>
    <x v="1429"/>
    <x v="398"/>
    <x v="1"/>
    <x v="0"/>
    <x v="2"/>
    <x v="7"/>
    <x v="14"/>
    <x v="1"/>
    <x v="1"/>
    <x v="0"/>
    <x v="0"/>
    <x v="1"/>
    <x v="8"/>
    <x v="17"/>
    <x v="35"/>
    <x v="13"/>
    <x v="8"/>
    <x v="546"/>
    <x v="466"/>
    <x v="1157"/>
    <x v="1087"/>
    <x v="637"/>
    <x v="0"/>
    <x v="0"/>
    <x v="0"/>
  </r>
  <r>
    <x v="1430"/>
    <x v="378"/>
    <x v="1"/>
    <x v="0"/>
    <x v="2"/>
    <x v="7"/>
    <x v="14"/>
    <x v="1"/>
    <x v="1"/>
    <x v="1"/>
    <x v="0"/>
    <x v="1"/>
    <x v="9"/>
    <x v="19"/>
    <x v="57"/>
    <x v="7"/>
    <x v="5"/>
    <x v="573"/>
    <x v="510"/>
    <x v="576"/>
    <x v="1162"/>
    <x v="733"/>
    <x v="0"/>
    <x v="1"/>
    <x v="0"/>
  </r>
  <r>
    <x v="1431"/>
    <x v="385"/>
    <x v="1"/>
    <x v="0"/>
    <x v="2"/>
    <x v="7"/>
    <x v="14"/>
    <x v="1"/>
    <x v="1"/>
    <x v="0"/>
    <x v="0"/>
    <x v="1"/>
    <x v="9"/>
    <x v="19"/>
    <x v="28"/>
    <x v="7"/>
    <x v="5"/>
    <x v="346"/>
    <x v="306"/>
    <x v="998"/>
    <x v="634"/>
    <x v="348"/>
    <x v="1"/>
    <x v="0"/>
    <x v="2"/>
  </r>
  <r>
    <x v="1432"/>
    <x v="392"/>
    <x v="1"/>
    <x v="0"/>
    <x v="2"/>
    <x v="7"/>
    <x v="14"/>
    <x v="1"/>
    <x v="1"/>
    <x v="1"/>
    <x v="2"/>
    <x v="5"/>
    <x v="0"/>
    <x v="1"/>
    <x v="21"/>
    <x v="16"/>
    <x v="11"/>
    <x v="459"/>
    <x v="408"/>
    <x v="406"/>
    <x v="977"/>
    <x v="899"/>
    <x v="1"/>
    <x v="1"/>
    <x v="2"/>
  </r>
  <r>
    <x v="1433"/>
    <x v="399"/>
    <x v="1"/>
    <x v="0"/>
    <x v="2"/>
    <x v="7"/>
    <x v="14"/>
    <x v="1"/>
    <x v="1"/>
    <x v="0"/>
    <x v="2"/>
    <x v="5"/>
    <x v="0"/>
    <x v="1"/>
    <x v="13"/>
    <x v="16"/>
    <x v="11"/>
    <x v="321"/>
    <x v="276"/>
    <x v="963"/>
    <x v="604"/>
    <x v="446"/>
    <x v="1"/>
    <x v="0"/>
    <x v="2"/>
  </r>
  <r>
    <x v="1434"/>
    <x v="379"/>
    <x v="1"/>
    <x v="0"/>
    <x v="2"/>
    <x v="7"/>
    <x v="14"/>
    <x v="1"/>
    <x v="1"/>
    <x v="1"/>
    <x v="2"/>
    <x v="5"/>
    <x v="4"/>
    <x v="9"/>
    <x v="18"/>
    <x v="10"/>
    <x v="9"/>
    <x v="300"/>
    <x v="280"/>
    <x v="208"/>
    <x v="594"/>
    <x v="579"/>
    <x v="1"/>
    <x v="1"/>
    <x v="2"/>
  </r>
  <r>
    <x v="1435"/>
    <x v="386"/>
    <x v="1"/>
    <x v="0"/>
    <x v="2"/>
    <x v="7"/>
    <x v="14"/>
    <x v="1"/>
    <x v="1"/>
    <x v="0"/>
    <x v="2"/>
    <x v="5"/>
    <x v="4"/>
    <x v="9"/>
    <x v="14"/>
    <x v="10"/>
    <x v="9"/>
    <x v="226"/>
    <x v="221"/>
    <x v="840"/>
    <x v="387"/>
    <x v="239"/>
    <x v="1"/>
    <x v="0"/>
    <x v="2"/>
  </r>
  <r>
    <x v="1436"/>
    <x v="393"/>
    <x v="1"/>
    <x v="0"/>
    <x v="2"/>
    <x v="7"/>
    <x v="14"/>
    <x v="1"/>
    <x v="1"/>
    <x v="1"/>
    <x v="1"/>
    <x v="3"/>
    <x v="7"/>
    <x v="15"/>
    <x v="27"/>
    <x v="19"/>
    <x v="13"/>
    <x v="568"/>
    <x v="525"/>
    <x v="564"/>
    <x v="1086"/>
    <x v="426"/>
    <x v="0"/>
    <x v="1"/>
    <x v="0"/>
  </r>
  <r>
    <x v="1437"/>
    <x v="400"/>
    <x v="1"/>
    <x v="0"/>
    <x v="2"/>
    <x v="7"/>
    <x v="14"/>
    <x v="1"/>
    <x v="1"/>
    <x v="0"/>
    <x v="1"/>
    <x v="3"/>
    <x v="7"/>
    <x v="15"/>
    <x v="21"/>
    <x v="19"/>
    <x v="13"/>
    <x v="488"/>
    <x v="461"/>
    <x v="1115"/>
    <x v="845"/>
    <x v="180"/>
    <x v="1"/>
    <x v="0"/>
    <x v="2"/>
  </r>
  <r>
    <x v="1438"/>
    <x v="380"/>
    <x v="1"/>
    <x v="0"/>
    <x v="2"/>
    <x v="7"/>
    <x v="14"/>
    <x v="1"/>
    <x v="1"/>
    <x v="1"/>
    <x v="1"/>
    <x v="3"/>
    <x v="6"/>
    <x v="13"/>
    <x v="29"/>
    <x v="4"/>
    <x v="3"/>
    <x v="164"/>
    <x v="141"/>
    <x v="102"/>
    <x v="422"/>
    <x v="1012"/>
    <x v="1"/>
    <x v="1"/>
    <x v="2"/>
  </r>
  <r>
    <x v="1439"/>
    <x v="387"/>
    <x v="1"/>
    <x v="0"/>
    <x v="2"/>
    <x v="7"/>
    <x v="14"/>
    <x v="1"/>
    <x v="1"/>
    <x v="0"/>
    <x v="1"/>
    <x v="3"/>
    <x v="6"/>
    <x v="13"/>
    <x v="18"/>
    <x v="4"/>
    <x v="3"/>
    <x v="72"/>
    <x v="66"/>
    <x v="547"/>
    <x v="142"/>
    <x v="609"/>
    <x v="1"/>
    <x v="0"/>
    <x v="2"/>
  </r>
  <r>
    <x v="1440"/>
    <x v="394"/>
    <x v="1"/>
    <x v="0"/>
    <x v="2"/>
    <x v="7"/>
    <x v="14"/>
    <x v="3"/>
    <x v="3"/>
    <x v="1"/>
    <x v="3"/>
    <x v="7"/>
    <x v="1"/>
    <x v="3"/>
    <x v="6"/>
    <x v="24"/>
    <x v="17"/>
    <x v="786"/>
    <x v="715"/>
    <x v="956"/>
    <x v="1433"/>
    <x v="163"/>
    <x v="1"/>
    <x v="1"/>
    <x v="0"/>
  </r>
  <r>
    <x v="1441"/>
    <x v="401"/>
    <x v="1"/>
    <x v="0"/>
    <x v="2"/>
    <x v="7"/>
    <x v="14"/>
    <x v="3"/>
    <x v="3"/>
    <x v="0"/>
    <x v="3"/>
    <x v="7"/>
    <x v="1"/>
    <x v="3"/>
    <x v="4"/>
    <x v="24"/>
    <x v="17"/>
    <x v="735"/>
    <x v="679"/>
    <x v="1269"/>
    <x v="1230"/>
    <x v="68"/>
    <x v="2"/>
    <x v="0"/>
    <x v="0"/>
  </r>
  <r>
    <x v="1442"/>
    <x v="381"/>
    <x v="1"/>
    <x v="0"/>
    <x v="2"/>
    <x v="7"/>
    <x v="14"/>
    <x v="3"/>
    <x v="3"/>
    <x v="1"/>
    <x v="3"/>
    <x v="7"/>
    <x v="2"/>
    <x v="5"/>
    <x v="7"/>
    <x v="21"/>
    <x v="15"/>
    <x v="579"/>
    <x v="556"/>
    <x v="585"/>
    <x v="1050"/>
    <x v="212"/>
    <x v="1"/>
    <x v="1"/>
    <x v="0"/>
  </r>
  <r>
    <x v="1443"/>
    <x v="388"/>
    <x v="1"/>
    <x v="0"/>
    <x v="2"/>
    <x v="7"/>
    <x v="14"/>
    <x v="3"/>
    <x v="3"/>
    <x v="0"/>
    <x v="3"/>
    <x v="7"/>
    <x v="2"/>
    <x v="5"/>
    <x v="3"/>
    <x v="21"/>
    <x v="15"/>
    <x v="374"/>
    <x v="385"/>
    <x v="1029"/>
    <x v="547"/>
    <x v="78"/>
    <x v="1"/>
    <x v="0"/>
    <x v="2"/>
  </r>
  <r>
    <x v="1444"/>
    <x v="395"/>
    <x v="1"/>
    <x v="0"/>
    <x v="2"/>
    <x v="7"/>
    <x v="14"/>
    <x v="3"/>
    <x v="3"/>
    <x v="1"/>
    <x v="3"/>
    <x v="7"/>
    <x v="5"/>
    <x v="11"/>
    <x v="5"/>
    <x v="27"/>
    <x v="19"/>
    <x v="807"/>
    <x v="732"/>
    <x v="1026"/>
    <x v="1415"/>
    <x v="35"/>
    <x v="2"/>
    <x v="1"/>
    <x v="0"/>
  </r>
  <r>
    <x v="1445"/>
    <x v="402"/>
    <x v="1"/>
    <x v="0"/>
    <x v="2"/>
    <x v="7"/>
    <x v="14"/>
    <x v="3"/>
    <x v="3"/>
    <x v="0"/>
    <x v="3"/>
    <x v="7"/>
    <x v="5"/>
    <x v="11"/>
    <x v="4"/>
    <x v="27"/>
    <x v="19"/>
    <x v="791"/>
    <x v="726"/>
    <x v="1300"/>
    <x v="1250"/>
    <x v="7"/>
    <x v="2"/>
    <x v="0"/>
    <x v="0"/>
  </r>
  <r>
    <x v="1446"/>
    <x v="382"/>
    <x v="1"/>
    <x v="0"/>
    <x v="2"/>
    <x v="7"/>
    <x v="14"/>
    <x v="3"/>
    <x v="3"/>
    <x v="1"/>
    <x v="0"/>
    <x v="1"/>
    <x v="3"/>
    <x v="7"/>
    <x v="41"/>
    <x v="1"/>
    <x v="1"/>
    <x v="192"/>
    <x v="152"/>
    <x v="127"/>
    <x v="518"/>
    <x v="1195"/>
    <x v="1"/>
    <x v="1"/>
    <x v="2"/>
  </r>
  <r>
    <x v="1447"/>
    <x v="389"/>
    <x v="1"/>
    <x v="0"/>
    <x v="2"/>
    <x v="7"/>
    <x v="14"/>
    <x v="3"/>
    <x v="3"/>
    <x v="0"/>
    <x v="0"/>
    <x v="1"/>
    <x v="3"/>
    <x v="7"/>
    <x v="28"/>
    <x v="1"/>
    <x v="1"/>
    <x v="102"/>
    <x v="82"/>
    <x v="634"/>
    <x v="242"/>
    <x v="868"/>
    <x v="1"/>
    <x v="0"/>
    <x v="2"/>
  </r>
  <r>
    <x v="1448"/>
    <x v="396"/>
    <x v="1"/>
    <x v="0"/>
    <x v="2"/>
    <x v="7"/>
    <x v="14"/>
    <x v="3"/>
    <x v="3"/>
    <x v="1"/>
    <x v="0"/>
    <x v="1"/>
    <x v="8"/>
    <x v="17"/>
    <x v="38"/>
    <x v="13"/>
    <x v="8"/>
    <x v="571"/>
    <x v="487"/>
    <x v="572"/>
    <x v="1211"/>
    <x v="1053"/>
    <x v="0"/>
    <x v="1"/>
    <x v="0"/>
  </r>
  <r>
    <x v="1449"/>
    <x v="403"/>
    <x v="1"/>
    <x v="0"/>
    <x v="2"/>
    <x v="7"/>
    <x v="14"/>
    <x v="3"/>
    <x v="3"/>
    <x v="0"/>
    <x v="0"/>
    <x v="1"/>
    <x v="8"/>
    <x v="17"/>
    <x v="26"/>
    <x v="13"/>
    <x v="8"/>
    <x v="443"/>
    <x v="380"/>
    <x v="1084"/>
    <x v="907"/>
    <x v="640"/>
    <x v="1"/>
    <x v="0"/>
    <x v="2"/>
  </r>
  <r>
    <x v="1450"/>
    <x v="383"/>
    <x v="1"/>
    <x v="0"/>
    <x v="2"/>
    <x v="7"/>
    <x v="14"/>
    <x v="3"/>
    <x v="3"/>
    <x v="1"/>
    <x v="0"/>
    <x v="1"/>
    <x v="9"/>
    <x v="19"/>
    <x v="33"/>
    <x v="7"/>
    <x v="5"/>
    <x v="391"/>
    <x v="352"/>
    <x v="317"/>
    <x v="833"/>
    <x v="734"/>
    <x v="1"/>
    <x v="1"/>
    <x v="2"/>
  </r>
  <r>
    <x v="1451"/>
    <x v="390"/>
    <x v="1"/>
    <x v="0"/>
    <x v="2"/>
    <x v="7"/>
    <x v="14"/>
    <x v="3"/>
    <x v="3"/>
    <x v="0"/>
    <x v="0"/>
    <x v="1"/>
    <x v="9"/>
    <x v="19"/>
    <x v="24"/>
    <x v="7"/>
    <x v="5"/>
    <x v="294"/>
    <x v="270"/>
    <x v="937"/>
    <x v="546"/>
    <x v="343"/>
    <x v="1"/>
    <x v="0"/>
    <x v="2"/>
  </r>
  <r>
    <x v="1452"/>
    <x v="397"/>
    <x v="1"/>
    <x v="0"/>
    <x v="2"/>
    <x v="7"/>
    <x v="14"/>
    <x v="3"/>
    <x v="3"/>
    <x v="1"/>
    <x v="2"/>
    <x v="5"/>
    <x v="0"/>
    <x v="1"/>
    <x v="16"/>
    <x v="16"/>
    <x v="11"/>
    <x v="371"/>
    <x v="330"/>
    <x v="296"/>
    <x v="824"/>
    <x v="899"/>
    <x v="1"/>
    <x v="1"/>
    <x v="2"/>
  </r>
  <r>
    <x v="1453"/>
    <x v="404"/>
    <x v="1"/>
    <x v="0"/>
    <x v="2"/>
    <x v="7"/>
    <x v="14"/>
    <x v="3"/>
    <x v="3"/>
    <x v="0"/>
    <x v="2"/>
    <x v="5"/>
    <x v="0"/>
    <x v="1"/>
    <x v="8"/>
    <x v="16"/>
    <x v="11"/>
    <x v="190"/>
    <x v="172"/>
    <x v="790"/>
    <x v="370"/>
    <x v="441"/>
    <x v="1"/>
    <x v="0"/>
    <x v="2"/>
  </r>
  <r>
    <x v="1454"/>
    <x v="384"/>
    <x v="1"/>
    <x v="0"/>
    <x v="2"/>
    <x v="7"/>
    <x v="14"/>
    <x v="3"/>
    <x v="3"/>
    <x v="1"/>
    <x v="2"/>
    <x v="5"/>
    <x v="4"/>
    <x v="9"/>
    <x v="13"/>
    <x v="10"/>
    <x v="9"/>
    <x v="206"/>
    <x v="202"/>
    <x v="138"/>
    <x v="435"/>
    <x v="579"/>
    <x v="1"/>
    <x v="1"/>
    <x v="2"/>
  </r>
  <r>
    <x v="1455"/>
    <x v="391"/>
    <x v="1"/>
    <x v="0"/>
    <x v="2"/>
    <x v="7"/>
    <x v="14"/>
    <x v="3"/>
    <x v="3"/>
    <x v="0"/>
    <x v="2"/>
    <x v="5"/>
    <x v="4"/>
    <x v="9"/>
    <x v="8"/>
    <x v="10"/>
    <x v="9"/>
    <x v="108"/>
    <x v="111"/>
    <x v="641"/>
    <x v="161"/>
    <x v="240"/>
    <x v="1"/>
    <x v="0"/>
    <x v="2"/>
  </r>
  <r>
    <x v="1456"/>
    <x v="398"/>
    <x v="1"/>
    <x v="0"/>
    <x v="2"/>
    <x v="7"/>
    <x v="14"/>
    <x v="3"/>
    <x v="3"/>
    <x v="1"/>
    <x v="1"/>
    <x v="3"/>
    <x v="7"/>
    <x v="15"/>
    <x v="24"/>
    <x v="19"/>
    <x v="13"/>
    <x v="533"/>
    <x v="495"/>
    <x v="508"/>
    <x v="1020"/>
    <x v="428"/>
    <x v="0"/>
    <x v="1"/>
    <x v="0"/>
  </r>
  <r>
    <x v="1457"/>
    <x v="378"/>
    <x v="1"/>
    <x v="0"/>
    <x v="2"/>
    <x v="7"/>
    <x v="14"/>
    <x v="3"/>
    <x v="3"/>
    <x v="0"/>
    <x v="1"/>
    <x v="3"/>
    <x v="7"/>
    <x v="15"/>
    <x v="16"/>
    <x v="19"/>
    <x v="13"/>
    <x v="402"/>
    <x v="386"/>
    <x v="1053"/>
    <x v="686"/>
    <x v="181"/>
    <x v="1"/>
    <x v="0"/>
    <x v="2"/>
  </r>
  <r>
    <x v="1458"/>
    <x v="385"/>
    <x v="1"/>
    <x v="0"/>
    <x v="2"/>
    <x v="7"/>
    <x v="14"/>
    <x v="3"/>
    <x v="3"/>
    <x v="1"/>
    <x v="1"/>
    <x v="3"/>
    <x v="6"/>
    <x v="13"/>
    <x v="23"/>
    <x v="4"/>
    <x v="3"/>
    <x v="112"/>
    <x v="100"/>
    <x v="63"/>
    <x v="287"/>
    <x v="1018"/>
    <x v="1"/>
    <x v="1"/>
    <x v="2"/>
  </r>
  <r>
    <x v="1459"/>
    <x v="392"/>
    <x v="1"/>
    <x v="0"/>
    <x v="2"/>
    <x v="7"/>
    <x v="14"/>
    <x v="3"/>
    <x v="3"/>
    <x v="0"/>
    <x v="1"/>
    <x v="3"/>
    <x v="6"/>
    <x v="13"/>
    <x v="11"/>
    <x v="4"/>
    <x v="3"/>
    <x v="25"/>
    <x v="27"/>
    <x v="339"/>
    <x v="52"/>
    <x v="603"/>
    <x v="1"/>
    <x v="0"/>
    <x v="2"/>
  </r>
  <r>
    <x v="1460"/>
    <x v="399"/>
    <x v="1"/>
    <x v="0"/>
    <x v="2"/>
    <x v="7"/>
    <x v="14"/>
    <x v="2"/>
    <x v="2"/>
    <x v="1"/>
    <x v="3"/>
    <x v="7"/>
    <x v="1"/>
    <x v="3"/>
    <x v="3"/>
    <x v="24"/>
    <x v="17"/>
    <x v="693"/>
    <x v="653"/>
    <x v="749"/>
    <x v="1232"/>
    <x v="164"/>
    <x v="1"/>
    <x v="1"/>
    <x v="0"/>
  </r>
  <r>
    <x v="1461"/>
    <x v="379"/>
    <x v="1"/>
    <x v="0"/>
    <x v="2"/>
    <x v="7"/>
    <x v="14"/>
    <x v="2"/>
    <x v="2"/>
    <x v="0"/>
    <x v="3"/>
    <x v="7"/>
    <x v="1"/>
    <x v="3"/>
    <x v="3"/>
    <x v="24"/>
    <x v="17"/>
    <x v="693"/>
    <x v="653"/>
    <x v="1244"/>
    <x v="1149"/>
    <x v="66"/>
    <x v="2"/>
    <x v="0"/>
    <x v="0"/>
  </r>
  <r>
    <x v="1462"/>
    <x v="386"/>
    <x v="1"/>
    <x v="0"/>
    <x v="2"/>
    <x v="7"/>
    <x v="14"/>
    <x v="2"/>
    <x v="2"/>
    <x v="1"/>
    <x v="3"/>
    <x v="7"/>
    <x v="2"/>
    <x v="5"/>
    <x v="4"/>
    <x v="21"/>
    <x v="15"/>
    <x v="434"/>
    <x v="442"/>
    <x v="381"/>
    <x v="784"/>
    <x v="210"/>
    <x v="1"/>
    <x v="1"/>
    <x v="2"/>
  </r>
  <r>
    <x v="1463"/>
    <x v="393"/>
    <x v="1"/>
    <x v="0"/>
    <x v="2"/>
    <x v="7"/>
    <x v="14"/>
    <x v="2"/>
    <x v="2"/>
    <x v="0"/>
    <x v="3"/>
    <x v="7"/>
    <x v="2"/>
    <x v="5"/>
    <x v="2"/>
    <x v="21"/>
    <x v="15"/>
    <x v="309"/>
    <x v="313"/>
    <x v="950"/>
    <x v="419"/>
    <x v="74"/>
    <x v="1"/>
    <x v="0"/>
    <x v="2"/>
  </r>
  <r>
    <x v="1464"/>
    <x v="400"/>
    <x v="1"/>
    <x v="0"/>
    <x v="2"/>
    <x v="7"/>
    <x v="14"/>
    <x v="2"/>
    <x v="2"/>
    <x v="1"/>
    <x v="3"/>
    <x v="7"/>
    <x v="5"/>
    <x v="11"/>
    <x v="4"/>
    <x v="27"/>
    <x v="19"/>
    <x v="791"/>
    <x v="726"/>
    <x v="973"/>
    <x v="1355"/>
    <x v="37"/>
    <x v="2"/>
    <x v="1"/>
    <x v="0"/>
  </r>
  <r>
    <x v="1465"/>
    <x v="380"/>
    <x v="1"/>
    <x v="0"/>
    <x v="2"/>
    <x v="7"/>
    <x v="14"/>
    <x v="2"/>
    <x v="2"/>
    <x v="0"/>
    <x v="3"/>
    <x v="7"/>
    <x v="5"/>
    <x v="11"/>
    <x v="2"/>
    <x v="27"/>
    <x v="19"/>
    <x v="717"/>
    <x v="681"/>
    <x v="1259"/>
    <x v="1029"/>
    <x v="10"/>
    <x v="2"/>
    <x v="0"/>
    <x v="0"/>
  </r>
  <r>
    <x v="1466"/>
    <x v="387"/>
    <x v="1"/>
    <x v="0"/>
    <x v="2"/>
    <x v="7"/>
    <x v="14"/>
    <x v="2"/>
    <x v="2"/>
    <x v="1"/>
    <x v="0"/>
    <x v="1"/>
    <x v="3"/>
    <x v="7"/>
    <x v="21"/>
    <x v="1"/>
    <x v="1"/>
    <x v="60"/>
    <x v="50"/>
    <x v="27"/>
    <x v="187"/>
    <x v="1191"/>
    <x v="1"/>
    <x v="1"/>
    <x v="2"/>
  </r>
  <r>
    <x v="1467"/>
    <x v="394"/>
    <x v="1"/>
    <x v="0"/>
    <x v="2"/>
    <x v="7"/>
    <x v="14"/>
    <x v="2"/>
    <x v="2"/>
    <x v="0"/>
    <x v="0"/>
    <x v="1"/>
    <x v="3"/>
    <x v="7"/>
    <x v="18"/>
    <x v="1"/>
    <x v="1"/>
    <x v="43"/>
    <x v="39"/>
    <x v="433"/>
    <x v="102"/>
    <x v="860"/>
    <x v="1"/>
    <x v="0"/>
    <x v="2"/>
  </r>
  <r>
    <x v="1468"/>
    <x v="401"/>
    <x v="1"/>
    <x v="0"/>
    <x v="2"/>
    <x v="7"/>
    <x v="14"/>
    <x v="2"/>
    <x v="2"/>
    <x v="1"/>
    <x v="0"/>
    <x v="1"/>
    <x v="8"/>
    <x v="17"/>
    <x v="28"/>
    <x v="13"/>
    <x v="8"/>
    <x v="472"/>
    <x v="401"/>
    <x v="423"/>
    <x v="1040"/>
    <x v="1053"/>
    <x v="1"/>
    <x v="1"/>
    <x v="2"/>
  </r>
  <r>
    <x v="1469"/>
    <x v="381"/>
    <x v="1"/>
    <x v="0"/>
    <x v="2"/>
    <x v="7"/>
    <x v="14"/>
    <x v="2"/>
    <x v="2"/>
    <x v="0"/>
    <x v="0"/>
    <x v="1"/>
    <x v="8"/>
    <x v="17"/>
    <x v="21"/>
    <x v="13"/>
    <x v="8"/>
    <x v="377"/>
    <x v="318"/>
    <x v="1030"/>
    <x v="788"/>
    <x v="635"/>
    <x v="1"/>
    <x v="0"/>
    <x v="2"/>
  </r>
  <r>
    <x v="1470"/>
    <x v="388"/>
    <x v="1"/>
    <x v="0"/>
    <x v="2"/>
    <x v="7"/>
    <x v="14"/>
    <x v="2"/>
    <x v="2"/>
    <x v="1"/>
    <x v="0"/>
    <x v="1"/>
    <x v="9"/>
    <x v="19"/>
    <x v="29"/>
    <x v="7"/>
    <x v="5"/>
    <x v="352"/>
    <x v="315"/>
    <x v="265"/>
    <x v="754"/>
    <x v="723"/>
    <x v="1"/>
    <x v="1"/>
    <x v="2"/>
  </r>
  <r>
    <x v="1471"/>
    <x v="395"/>
    <x v="1"/>
    <x v="0"/>
    <x v="2"/>
    <x v="7"/>
    <x v="14"/>
    <x v="2"/>
    <x v="2"/>
    <x v="0"/>
    <x v="0"/>
    <x v="1"/>
    <x v="9"/>
    <x v="19"/>
    <x v="18"/>
    <x v="7"/>
    <x v="5"/>
    <x v="210"/>
    <x v="200"/>
    <x v="822"/>
    <x v="391"/>
    <x v="344"/>
    <x v="1"/>
    <x v="0"/>
    <x v="2"/>
  </r>
  <r>
    <x v="1472"/>
    <x v="402"/>
    <x v="1"/>
    <x v="0"/>
    <x v="2"/>
    <x v="7"/>
    <x v="14"/>
    <x v="2"/>
    <x v="2"/>
    <x v="1"/>
    <x v="2"/>
    <x v="5"/>
    <x v="0"/>
    <x v="1"/>
    <x v="10"/>
    <x v="16"/>
    <x v="11"/>
    <x v="245"/>
    <x v="219"/>
    <x v="167"/>
    <x v="550"/>
    <x v="899"/>
    <x v="1"/>
    <x v="1"/>
    <x v="2"/>
  </r>
  <r>
    <x v="1473"/>
    <x v="382"/>
    <x v="1"/>
    <x v="0"/>
    <x v="2"/>
    <x v="7"/>
    <x v="14"/>
    <x v="2"/>
    <x v="2"/>
    <x v="0"/>
    <x v="2"/>
    <x v="5"/>
    <x v="0"/>
    <x v="1"/>
    <x v="6"/>
    <x v="16"/>
    <x v="11"/>
    <x v="133"/>
    <x v="121"/>
    <x v="685"/>
    <x v="244"/>
    <x v="445"/>
    <x v="1"/>
    <x v="0"/>
    <x v="2"/>
  </r>
  <r>
    <x v="1474"/>
    <x v="389"/>
    <x v="1"/>
    <x v="0"/>
    <x v="2"/>
    <x v="7"/>
    <x v="14"/>
    <x v="2"/>
    <x v="2"/>
    <x v="1"/>
    <x v="2"/>
    <x v="5"/>
    <x v="4"/>
    <x v="9"/>
    <x v="11"/>
    <x v="10"/>
    <x v="9"/>
    <x v="170"/>
    <x v="169"/>
    <x v="108"/>
    <x v="342"/>
    <x v="583"/>
    <x v="1"/>
    <x v="1"/>
    <x v="2"/>
  </r>
  <r>
    <x v="1475"/>
    <x v="396"/>
    <x v="1"/>
    <x v="0"/>
    <x v="2"/>
    <x v="7"/>
    <x v="14"/>
    <x v="2"/>
    <x v="2"/>
    <x v="0"/>
    <x v="2"/>
    <x v="5"/>
    <x v="4"/>
    <x v="9"/>
    <x v="8"/>
    <x v="10"/>
    <x v="9"/>
    <x v="108"/>
    <x v="111"/>
    <x v="641"/>
    <x v="161"/>
    <x v="240"/>
    <x v="1"/>
    <x v="0"/>
    <x v="2"/>
  </r>
  <r>
    <x v="1476"/>
    <x v="403"/>
    <x v="1"/>
    <x v="0"/>
    <x v="2"/>
    <x v="7"/>
    <x v="14"/>
    <x v="2"/>
    <x v="2"/>
    <x v="1"/>
    <x v="1"/>
    <x v="3"/>
    <x v="7"/>
    <x v="15"/>
    <x v="17"/>
    <x v="19"/>
    <x v="13"/>
    <x v="417"/>
    <x v="406"/>
    <x v="355"/>
    <x v="820"/>
    <x v="432"/>
    <x v="1"/>
    <x v="1"/>
    <x v="2"/>
  </r>
  <r>
    <x v="1477"/>
    <x v="383"/>
    <x v="1"/>
    <x v="0"/>
    <x v="2"/>
    <x v="7"/>
    <x v="14"/>
    <x v="2"/>
    <x v="2"/>
    <x v="0"/>
    <x v="1"/>
    <x v="3"/>
    <x v="7"/>
    <x v="15"/>
    <x v="8"/>
    <x v="19"/>
    <x v="13"/>
    <x v="211"/>
    <x v="218"/>
    <x v="823"/>
    <x v="319"/>
    <x v="173"/>
    <x v="1"/>
    <x v="0"/>
    <x v="2"/>
  </r>
  <r>
    <x v="1478"/>
    <x v="390"/>
    <x v="1"/>
    <x v="0"/>
    <x v="2"/>
    <x v="7"/>
    <x v="14"/>
    <x v="2"/>
    <x v="2"/>
    <x v="1"/>
    <x v="1"/>
    <x v="3"/>
    <x v="6"/>
    <x v="13"/>
    <x v="14"/>
    <x v="4"/>
    <x v="3"/>
    <x v="44"/>
    <x v="43"/>
    <x v="10"/>
    <x v="119"/>
    <x v="1019"/>
    <x v="1"/>
    <x v="1"/>
    <x v="2"/>
  </r>
  <r>
    <x v="1479"/>
    <x v="397"/>
    <x v="1"/>
    <x v="0"/>
    <x v="2"/>
    <x v="7"/>
    <x v="14"/>
    <x v="2"/>
    <x v="2"/>
    <x v="0"/>
    <x v="1"/>
    <x v="3"/>
    <x v="6"/>
    <x v="13"/>
    <x v="8"/>
    <x v="4"/>
    <x v="3"/>
    <x v="11"/>
    <x v="12"/>
    <x v="232"/>
    <x v="22"/>
    <x v="609"/>
    <x v="1"/>
    <x v="0"/>
    <x v="2"/>
  </r>
  <r>
    <x v="1480"/>
    <x v="404"/>
    <x v="1"/>
    <x v="0"/>
    <x v="2"/>
    <x v="7"/>
    <x v="14"/>
    <x v="4"/>
    <x v="4"/>
    <x v="1"/>
    <x v="3"/>
    <x v="7"/>
    <x v="1"/>
    <x v="3"/>
    <x v="5"/>
    <x v="24"/>
    <x v="17"/>
    <x v="761"/>
    <x v="702"/>
    <x v="888"/>
    <x v="1379"/>
    <x v="166"/>
    <x v="1"/>
    <x v="1"/>
    <x v="0"/>
  </r>
  <r>
    <x v="1481"/>
    <x v="384"/>
    <x v="1"/>
    <x v="0"/>
    <x v="2"/>
    <x v="7"/>
    <x v="14"/>
    <x v="4"/>
    <x v="4"/>
    <x v="0"/>
    <x v="3"/>
    <x v="7"/>
    <x v="1"/>
    <x v="3"/>
    <x v="3"/>
    <x v="24"/>
    <x v="17"/>
    <x v="693"/>
    <x v="653"/>
    <x v="1244"/>
    <x v="1149"/>
    <x v="66"/>
    <x v="2"/>
    <x v="0"/>
    <x v="0"/>
  </r>
  <r>
    <x v="1482"/>
    <x v="391"/>
    <x v="1"/>
    <x v="0"/>
    <x v="2"/>
    <x v="7"/>
    <x v="14"/>
    <x v="4"/>
    <x v="4"/>
    <x v="1"/>
    <x v="3"/>
    <x v="7"/>
    <x v="2"/>
    <x v="5"/>
    <x v="5"/>
    <x v="21"/>
    <x v="15"/>
    <x v="492"/>
    <x v="482"/>
    <x v="449"/>
    <x v="884"/>
    <x v="211"/>
    <x v="1"/>
    <x v="1"/>
    <x v="0"/>
  </r>
  <r>
    <x v="1483"/>
    <x v="398"/>
    <x v="1"/>
    <x v="0"/>
    <x v="2"/>
    <x v="7"/>
    <x v="14"/>
    <x v="4"/>
    <x v="4"/>
    <x v="0"/>
    <x v="3"/>
    <x v="7"/>
    <x v="2"/>
    <x v="5"/>
    <x v="3"/>
    <x v="21"/>
    <x v="15"/>
    <x v="374"/>
    <x v="385"/>
    <x v="1029"/>
    <x v="547"/>
    <x v="78"/>
    <x v="1"/>
    <x v="0"/>
    <x v="2"/>
  </r>
  <r>
    <x v="1484"/>
    <x v="378"/>
    <x v="1"/>
    <x v="0"/>
    <x v="2"/>
    <x v="7"/>
    <x v="14"/>
    <x v="4"/>
    <x v="4"/>
    <x v="1"/>
    <x v="3"/>
    <x v="7"/>
    <x v="5"/>
    <x v="11"/>
    <x v="4"/>
    <x v="27"/>
    <x v="19"/>
    <x v="791"/>
    <x v="726"/>
    <x v="973"/>
    <x v="1355"/>
    <x v="37"/>
    <x v="2"/>
    <x v="1"/>
    <x v="0"/>
  </r>
  <r>
    <x v="1485"/>
    <x v="385"/>
    <x v="1"/>
    <x v="0"/>
    <x v="2"/>
    <x v="7"/>
    <x v="14"/>
    <x v="4"/>
    <x v="4"/>
    <x v="0"/>
    <x v="3"/>
    <x v="7"/>
    <x v="5"/>
    <x v="11"/>
    <x v="2"/>
    <x v="27"/>
    <x v="19"/>
    <x v="717"/>
    <x v="681"/>
    <x v="1259"/>
    <x v="1029"/>
    <x v="10"/>
    <x v="2"/>
    <x v="0"/>
    <x v="0"/>
  </r>
  <r>
    <x v="1486"/>
    <x v="392"/>
    <x v="1"/>
    <x v="0"/>
    <x v="2"/>
    <x v="7"/>
    <x v="14"/>
    <x v="4"/>
    <x v="4"/>
    <x v="1"/>
    <x v="0"/>
    <x v="1"/>
    <x v="3"/>
    <x v="7"/>
    <x v="23"/>
    <x v="1"/>
    <x v="1"/>
    <x v="71"/>
    <x v="58"/>
    <x v="32"/>
    <x v="220"/>
    <x v="1198"/>
    <x v="1"/>
    <x v="1"/>
    <x v="2"/>
  </r>
  <r>
    <x v="1487"/>
    <x v="399"/>
    <x v="1"/>
    <x v="0"/>
    <x v="2"/>
    <x v="7"/>
    <x v="14"/>
    <x v="4"/>
    <x v="4"/>
    <x v="0"/>
    <x v="0"/>
    <x v="1"/>
    <x v="3"/>
    <x v="7"/>
    <x v="15"/>
    <x v="1"/>
    <x v="1"/>
    <x v="29"/>
    <x v="26"/>
    <x v="359"/>
    <x v="65"/>
    <x v="864"/>
    <x v="1"/>
    <x v="0"/>
    <x v="2"/>
  </r>
  <r>
    <x v="1488"/>
    <x v="379"/>
    <x v="1"/>
    <x v="0"/>
    <x v="2"/>
    <x v="7"/>
    <x v="14"/>
    <x v="4"/>
    <x v="4"/>
    <x v="1"/>
    <x v="0"/>
    <x v="1"/>
    <x v="8"/>
    <x v="17"/>
    <x v="26"/>
    <x v="13"/>
    <x v="8"/>
    <x v="443"/>
    <x v="380"/>
    <x v="388"/>
    <x v="987"/>
    <x v="1047"/>
    <x v="1"/>
    <x v="1"/>
    <x v="2"/>
  </r>
  <r>
    <x v="1489"/>
    <x v="386"/>
    <x v="1"/>
    <x v="0"/>
    <x v="2"/>
    <x v="7"/>
    <x v="14"/>
    <x v="4"/>
    <x v="4"/>
    <x v="0"/>
    <x v="0"/>
    <x v="1"/>
    <x v="8"/>
    <x v="17"/>
    <x v="17"/>
    <x v="13"/>
    <x v="8"/>
    <x v="323"/>
    <x v="266"/>
    <x v="965"/>
    <x v="653"/>
    <x v="644"/>
    <x v="1"/>
    <x v="0"/>
    <x v="2"/>
  </r>
  <r>
    <x v="1490"/>
    <x v="393"/>
    <x v="1"/>
    <x v="0"/>
    <x v="2"/>
    <x v="7"/>
    <x v="14"/>
    <x v="4"/>
    <x v="4"/>
    <x v="1"/>
    <x v="0"/>
    <x v="1"/>
    <x v="9"/>
    <x v="19"/>
    <x v="28"/>
    <x v="7"/>
    <x v="5"/>
    <x v="346"/>
    <x v="306"/>
    <x v="251"/>
    <x v="730"/>
    <x v="724"/>
    <x v="1"/>
    <x v="1"/>
    <x v="2"/>
  </r>
  <r>
    <x v="1491"/>
    <x v="400"/>
    <x v="1"/>
    <x v="0"/>
    <x v="2"/>
    <x v="7"/>
    <x v="14"/>
    <x v="4"/>
    <x v="4"/>
    <x v="0"/>
    <x v="0"/>
    <x v="1"/>
    <x v="9"/>
    <x v="19"/>
    <x v="19"/>
    <x v="7"/>
    <x v="5"/>
    <x v="227"/>
    <x v="210"/>
    <x v="841"/>
    <x v="425"/>
    <x v="346"/>
    <x v="1"/>
    <x v="0"/>
    <x v="2"/>
  </r>
  <r>
    <x v="1492"/>
    <x v="380"/>
    <x v="1"/>
    <x v="0"/>
    <x v="2"/>
    <x v="7"/>
    <x v="14"/>
    <x v="4"/>
    <x v="4"/>
    <x v="1"/>
    <x v="2"/>
    <x v="5"/>
    <x v="0"/>
    <x v="1"/>
    <x v="10"/>
    <x v="16"/>
    <x v="11"/>
    <x v="245"/>
    <x v="219"/>
    <x v="167"/>
    <x v="550"/>
    <x v="899"/>
    <x v="1"/>
    <x v="1"/>
    <x v="2"/>
  </r>
  <r>
    <x v="1493"/>
    <x v="387"/>
    <x v="1"/>
    <x v="0"/>
    <x v="2"/>
    <x v="7"/>
    <x v="14"/>
    <x v="4"/>
    <x v="4"/>
    <x v="0"/>
    <x v="2"/>
    <x v="5"/>
    <x v="0"/>
    <x v="1"/>
    <x v="7"/>
    <x v="16"/>
    <x v="11"/>
    <x v="163"/>
    <x v="149"/>
    <x v="736"/>
    <x v="311"/>
    <x v="442"/>
    <x v="1"/>
    <x v="0"/>
    <x v="2"/>
  </r>
  <r>
    <x v="1494"/>
    <x v="394"/>
    <x v="1"/>
    <x v="0"/>
    <x v="2"/>
    <x v="7"/>
    <x v="14"/>
    <x v="4"/>
    <x v="4"/>
    <x v="1"/>
    <x v="2"/>
    <x v="5"/>
    <x v="4"/>
    <x v="9"/>
    <x v="11"/>
    <x v="10"/>
    <x v="9"/>
    <x v="170"/>
    <x v="169"/>
    <x v="108"/>
    <x v="342"/>
    <x v="583"/>
    <x v="1"/>
    <x v="1"/>
    <x v="2"/>
  </r>
  <r>
    <x v="1495"/>
    <x v="401"/>
    <x v="1"/>
    <x v="0"/>
    <x v="2"/>
    <x v="7"/>
    <x v="14"/>
    <x v="4"/>
    <x v="4"/>
    <x v="0"/>
    <x v="2"/>
    <x v="5"/>
    <x v="4"/>
    <x v="9"/>
    <x v="6"/>
    <x v="10"/>
    <x v="9"/>
    <x v="69"/>
    <x v="77"/>
    <x v="533"/>
    <x v="93"/>
    <x v="232"/>
    <x v="1"/>
    <x v="0"/>
    <x v="2"/>
  </r>
  <r>
    <x v="1496"/>
    <x v="381"/>
    <x v="1"/>
    <x v="0"/>
    <x v="2"/>
    <x v="7"/>
    <x v="14"/>
    <x v="4"/>
    <x v="4"/>
    <x v="1"/>
    <x v="1"/>
    <x v="3"/>
    <x v="7"/>
    <x v="15"/>
    <x v="16"/>
    <x v="19"/>
    <x v="13"/>
    <x v="402"/>
    <x v="386"/>
    <x v="330"/>
    <x v="785"/>
    <x v="423"/>
    <x v="1"/>
    <x v="1"/>
    <x v="2"/>
  </r>
  <r>
    <x v="1497"/>
    <x v="388"/>
    <x v="1"/>
    <x v="0"/>
    <x v="2"/>
    <x v="7"/>
    <x v="14"/>
    <x v="4"/>
    <x v="4"/>
    <x v="0"/>
    <x v="1"/>
    <x v="3"/>
    <x v="7"/>
    <x v="15"/>
    <x v="9"/>
    <x v="19"/>
    <x v="13"/>
    <x v="242"/>
    <x v="243"/>
    <x v="858"/>
    <x v="381"/>
    <x v="176"/>
    <x v="1"/>
    <x v="0"/>
    <x v="2"/>
  </r>
  <r>
    <x v="1498"/>
    <x v="395"/>
    <x v="1"/>
    <x v="0"/>
    <x v="2"/>
    <x v="7"/>
    <x v="14"/>
    <x v="4"/>
    <x v="4"/>
    <x v="1"/>
    <x v="1"/>
    <x v="3"/>
    <x v="6"/>
    <x v="13"/>
    <x v="14"/>
    <x v="4"/>
    <x v="3"/>
    <x v="44"/>
    <x v="43"/>
    <x v="10"/>
    <x v="119"/>
    <x v="1019"/>
    <x v="1"/>
    <x v="1"/>
    <x v="2"/>
  </r>
  <r>
    <x v="1499"/>
    <x v="402"/>
    <x v="1"/>
    <x v="0"/>
    <x v="2"/>
    <x v="7"/>
    <x v="14"/>
    <x v="4"/>
    <x v="4"/>
    <x v="0"/>
    <x v="1"/>
    <x v="3"/>
    <x v="6"/>
    <x v="13"/>
    <x v="8"/>
    <x v="4"/>
    <x v="3"/>
    <x v="11"/>
    <x v="12"/>
    <x v="232"/>
    <x v="22"/>
    <x v="609"/>
    <x v="1"/>
    <x v="0"/>
    <x v="2"/>
  </r>
  <r>
    <x v="1500"/>
    <x v="409"/>
    <x v="1"/>
    <x v="1"/>
    <x v="3"/>
    <x v="0"/>
    <x v="15"/>
    <x v="0"/>
    <x v="0"/>
    <x v="1"/>
    <x v="3"/>
    <x v="7"/>
    <x v="1"/>
    <x v="3"/>
    <x v="17"/>
    <x v="24"/>
    <x v="17"/>
    <x v="854"/>
    <x v="761"/>
    <x v="1201"/>
    <x v="1579"/>
    <x v="150"/>
    <x v="1"/>
    <x v="1"/>
    <x v="0"/>
  </r>
  <r>
    <x v="1501"/>
    <x v="416"/>
    <x v="1"/>
    <x v="1"/>
    <x v="3"/>
    <x v="0"/>
    <x v="15"/>
    <x v="0"/>
    <x v="0"/>
    <x v="0"/>
    <x v="3"/>
    <x v="7"/>
    <x v="1"/>
    <x v="3"/>
    <x v="9"/>
    <x v="24"/>
    <x v="17"/>
    <x v="816"/>
    <x v="734"/>
    <x v="1318"/>
    <x v="1461"/>
    <x v="55"/>
    <x v="2"/>
    <x v="0"/>
    <x v="0"/>
  </r>
  <r>
    <x v="1502"/>
    <x v="423"/>
    <x v="1"/>
    <x v="1"/>
    <x v="3"/>
    <x v="0"/>
    <x v="15"/>
    <x v="0"/>
    <x v="0"/>
    <x v="1"/>
    <x v="3"/>
    <x v="7"/>
    <x v="2"/>
    <x v="5"/>
    <x v="14"/>
    <x v="21"/>
    <x v="15"/>
    <x v="736"/>
    <x v="672"/>
    <x v="860"/>
    <x v="1328"/>
    <x v="199"/>
    <x v="1"/>
    <x v="1"/>
    <x v="0"/>
  </r>
  <r>
    <x v="1503"/>
    <x v="430"/>
    <x v="1"/>
    <x v="1"/>
    <x v="3"/>
    <x v="0"/>
    <x v="15"/>
    <x v="0"/>
    <x v="0"/>
    <x v="0"/>
    <x v="3"/>
    <x v="7"/>
    <x v="2"/>
    <x v="5"/>
    <x v="10"/>
    <x v="21"/>
    <x v="15"/>
    <x v="661"/>
    <x v="622"/>
    <x v="1239"/>
    <x v="1098"/>
    <x v="70"/>
    <x v="2"/>
    <x v="0"/>
    <x v="0"/>
  </r>
  <r>
    <x v="1504"/>
    <x v="410"/>
    <x v="1"/>
    <x v="1"/>
    <x v="3"/>
    <x v="0"/>
    <x v="15"/>
    <x v="0"/>
    <x v="0"/>
    <x v="1"/>
    <x v="3"/>
    <x v="7"/>
    <x v="5"/>
    <x v="11"/>
    <x v="19"/>
    <x v="27"/>
    <x v="19"/>
    <x v="878"/>
    <x v="786"/>
    <x v="1266"/>
    <x v="1602"/>
    <x v="30"/>
    <x v="2"/>
    <x v="1"/>
    <x v="0"/>
  </r>
  <r>
    <x v="1505"/>
    <x v="417"/>
    <x v="1"/>
    <x v="1"/>
    <x v="3"/>
    <x v="0"/>
    <x v="15"/>
    <x v="0"/>
    <x v="0"/>
    <x v="0"/>
    <x v="3"/>
    <x v="7"/>
    <x v="5"/>
    <x v="11"/>
    <x v="9"/>
    <x v="27"/>
    <x v="19"/>
    <x v="841"/>
    <x v="754"/>
    <x v="1330"/>
    <x v="1474"/>
    <x v="4"/>
    <x v="2"/>
    <x v="0"/>
    <x v="0"/>
  </r>
  <r>
    <x v="1506"/>
    <x v="424"/>
    <x v="1"/>
    <x v="1"/>
    <x v="3"/>
    <x v="0"/>
    <x v="15"/>
    <x v="0"/>
    <x v="0"/>
    <x v="1"/>
    <x v="0"/>
    <x v="1"/>
    <x v="3"/>
    <x v="7"/>
    <x v="78"/>
    <x v="1"/>
    <x v="1"/>
    <x v="396"/>
    <x v="317"/>
    <x v="356"/>
    <x v="921"/>
    <x v="1182"/>
    <x v="1"/>
    <x v="1"/>
    <x v="2"/>
  </r>
  <r>
    <x v="1507"/>
    <x v="431"/>
    <x v="1"/>
    <x v="1"/>
    <x v="3"/>
    <x v="0"/>
    <x v="15"/>
    <x v="0"/>
    <x v="0"/>
    <x v="0"/>
    <x v="0"/>
    <x v="1"/>
    <x v="3"/>
    <x v="7"/>
    <x v="55"/>
    <x v="1"/>
    <x v="1"/>
    <x v="275"/>
    <x v="220"/>
    <x v="946"/>
    <x v="596"/>
    <x v="787"/>
    <x v="1"/>
    <x v="0"/>
    <x v="2"/>
  </r>
  <r>
    <x v="1508"/>
    <x v="411"/>
    <x v="1"/>
    <x v="1"/>
    <x v="3"/>
    <x v="0"/>
    <x v="15"/>
    <x v="0"/>
    <x v="0"/>
    <x v="1"/>
    <x v="0"/>
    <x v="1"/>
    <x v="8"/>
    <x v="17"/>
    <x v="91"/>
    <x v="13"/>
    <x v="8"/>
    <x v="782"/>
    <x v="685"/>
    <x v="980"/>
    <x v="1517"/>
    <x v="1037"/>
    <x v="0"/>
    <x v="1"/>
    <x v="0"/>
  </r>
  <r>
    <x v="1509"/>
    <x v="418"/>
    <x v="1"/>
    <x v="1"/>
    <x v="3"/>
    <x v="0"/>
    <x v="15"/>
    <x v="0"/>
    <x v="0"/>
    <x v="0"/>
    <x v="0"/>
    <x v="1"/>
    <x v="8"/>
    <x v="17"/>
    <x v="68"/>
    <x v="13"/>
    <x v="8"/>
    <x v="723"/>
    <x v="628"/>
    <x v="1275"/>
    <x v="1386"/>
    <x v="596"/>
    <x v="0"/>
    <x v="0"/>
    <x v="0"/>
  </r>
  <r>
    <x v="1510"/>
    <x v="425"/>
    <x v="1"/>
    <x v="1"/>
    <x v="3"/>
    <x v="0"/>
    <x v="15"/>
    <x v="0"/>
    <x v="0"/>
    <x v="1"/>
    <x v="0"/>
    <x v="1"/>
    <x v="9"/>
    <x v="19"/>
    <x v="82"/>
    <x v="7"/>
    <x v="5"/>
    <x v="683"/>
    <x v="607"/>
    <x v="763"/>
    <x v="1325"/>
    <x v="720"/>
    <x v="0"/>
    <x v="1"/>
    <x v="0"/>
  </r>
  <r>
    <x v="1511"/>
    <x v="405"/>
    <x v="1"/>
    <x v="1"/>
    <x v="3"/>
    <x v="0"/>
    <x v="15"/>
    <x v="0"/>
    <x v="0"/>
    <x v="0"/>
    <x v="0"/>
    <x v="1"/>
    <x v="9"/>
    <x v="19"/>
    <x v="60"/>
    <x v="7"/>
    <x v="5"/>
    <x v="586"/>
    <x v="523"/>
    <x v="1194"/>
    <x v="1097"/>
    <x v="311"/>
    <x v="0"/>
    <x v="0"/>
    <x v="0"/>
  </r>
  <r>
    <x v="1512"/>
    <x v="412"/>
    <x v="1"/>
    <x v="1"/>
    <x v="3"/>
    <x v="0"/>
    <x v="15"/>
    <x v="0"/>
    <x v="0"/>
    <x v="1"/>
    <x v="2"/>
    <x v="5"/>
    <x v="0"/>
    <x v="1"/>
    <x v="43"/>
    <x v="16"/>
    <x v="11"/>
    <x v="669"/>
    <x v="590"/>
    <x v="750"/>
    <x v="1327"/>
    <x v="885"/>
    <x v="0"/>
    <x v="1"/>
    <x v="0"/>
  </r>
  <r>
    <x v="1513"/>
    <x v="419"/>
    <x v="1"/>
    <x v="1"/>
    <x v="3"/>
    <x v="0"/>
    <x v="15"/>
    <x v="0"/>
    <x v="0"/>
    <x v="0"/>
    <x v="2"/>
    <x v="5"/>
    <x v="0"/>
    <x v="1"/>
    <x v="24"/>
    <x v="16"/>
    <x v="11"/>
    <x v="502"/>
    <x v="444"/>
    <x v="1146"/>
    <x v="952"/>
    <x v="394"/>
    <x v="0"/>
    <x v="0"/>
    <x v="0"/>
  </r>
  <r>
    <x v="1514"/>
    <x v="426"/>
    <x v="1"/>
    <x v="1"/>
    <x v="3"/>
    <x v="0"/>
    <x v="15"/>
    <x v="0"/>
    <x v="0"/>
    <x v="1"/>
    <x v="2"/>
    <x v="5"/>
    <x v="4"/>
    <x v="9"/>
    <x v="42"/>
    <x v="10"/>
    <x v="9"/>
    <x v="564"/>
    <x v="513"/>
    <x v="598"/>
    <x v="1117"/>
    <x v="570"/>
    <x v="0"/>
    <x v="1"/>
    <x v="0"/>
  </r>
  <r>
    <x v="1515"/>
    <x v="406"/>
    <x v="1"/>
    <x v="1"/>
    <x v="3"/>
    <x v="0"/>
    <x v="15"/>
    <x v="0"/>
    <x v="0"/>
    <x v="0"/>
    <x v="2"/>
    <x v="5"/>
    <x v="4"/>
    <x v="9"/>
    <x v="24"/>
    <x v="10"/>
    <x v="9"/>
    <x v="382"/>
    <x v="354"/>
    <x v="1058"/>
    <x v="674"/>
    <x v="219"/>
    <x v="1"/>
    <x v="0"/>
    <x v="2"/>
  </r>
  <r>
    <x v="1516"/>
    <x v="413"/>
    <x v="1"/>
    <x v="1"/>
    <x v="3"/>
    <x v="0"/>
    <x v="15"/>
    <x v="0"/>
    <x v="0"/>
    <x v="1"/>
    <x v="1"/>
    <x v="3"/>
    <x v="7"/>
    <x v="15"/>
    <x v="43"/>
    <x v="19"/>
    <x v="13"/>
    <x v="695"/>
    <x v="634"/>
    <x v="795"/>
    <x v="1296"/>
    <x v="417"/>
    <x v="0"/>
    <x v="1"/>
    <x v="0"/>
  </r>
  <r>
    <x v="1517"/>
    <x v="420"/>
    <x v="1"/>
    <x v="1"/>
    <x v="3"/>
    <x v="0"/>
    <x v="15"/>
    <x v="0"/>
    <x v="0"/>
    <x v="0"/>
    <x v="1"/>
    <x v="3"/>
    <x v="7"/>
    <x v="15"/>
    <x v="36"/>
    <x v="19"/>
    <x v="13"/>
    <x v="645"/>
    <x v="593"/>
    <x v="1230"/>
    <x v="1154"/>
    <x v="136"/>
    <x v="1"/>
    <x v="0"/>
    <x v="0"/>
  </r>
  <r>
    <x v="1518"/>
    <x v="427"/>
    <x v="1"/>
    <x v="1"/>
    <x v="3"/>
    <x v="0"/>
    <x v="15"/>
    <x v="0"/>
    <x v="0"/>
    <x v="1"/>
    <x v="1"/>
    <x v="3"/>
    <x v="6"/>
    <x v="13"/>
    <x v="45"/>
    <x v="4"/>
    <x v="3"/>
    <x v="285"/>
    <x v="245"/>
    <x v="221"/>
    <x v="676"/>
    <x v="1000"/>
    <x v="1"/>
    <x v="1"/>
    <x v="2"/>
  </r>
  <r>
    <x v="1519"/>
    <x v="407"/>
    <x v="1"/>
    <x v="1"/>
    <x v="3"/>
    <x v="0"/>
    <x v="15"/>
    <x v="0"/>
    <x v="0"/>
    <x v="0"/>
    <x v="1"/>
    <x v="3"/>
    <x v="6"/>
    <x v="13"/>
    <x v="36"/>
    <x v="4"/>
    <x v="3"/>
    <x v="219"/>
    <x v="188"/>
    <x v="866"/>
    <x v="447"/>
    <x v="541"/>
    <x v="1"/>
    <x v="0"/>
    <x v="2"/>
  </r>
  <r>
    <x v="1520"/>
    <x v="414"/>
    <x v="1"/>
    <x v="1"/>
    <x v="3"/>
    <x v="0"/>
    <x v="15"/>
    <x v="1"/>
    <x v="1"/>
    <x v="1"/>
    <x v="3"/>
    <x v="7"/>
    <x v="1"/>
    <x v="3"/>
    <x v="9"/>
    <x v="24"/>
    <x v="17"/>
    <x v="816"/>
    <x v="734"/>
    <x v="1082"/>
    <x v="1514"/>
    <x v="151"/>
    <x v="1"/>
    <x v="1"/>
    <x v="0"/>
  </r>
  <r>
    <x v="1521"/>
    <x v="421"/>
    <x v="1"/>
    <x v="1"/>
    <x v="3"/>
    <x v="0"/>
    <x v="15"/>
    <x v="1"/>
    <x v="1"/>
    <x v="0"/>
    <x v="3"/>
    <x v="7"/>
    <x v="1"/>
    <x v="3"/>
    <x v="5"/>
    <x v="24"/>
    <x v="17"/>
    <x v="761"/>
    <x v="702"/>
    <x v="1296"/>
    <x v="1288"/>
    <x v="56"/>
    <x v="2"/>
    <x v="0"/>
    <x v="0"/>
  </r>
  <r>
    <x v="1522"/>
    <x v="428"/>
    <x v="1"/>
    <x v="1"/>
    <x v="3"/>
    <x v="0"/>
    <x v="15"/>
    <x v="1"/>
    <x v="1"/>
    <x v="1"/>
    <x v="3"/>
    <x v="7"/>
    <x v="2"/>
    <x v="5"/>
    <x v="7"/>
    <x v="21"/>
    <x v="15"/>
    <x v="579"/>
    <x v="556"/>
    <x v="616"/>
    <x v="1045"/>
    <x v="198"/>
    <x v="1"/>
    <x v="1"/>
    <x v="0"/>
  </r>
  <r>
    <x v="1523"/>
    <x v="408"/>
    <x v="1"/>
    <x v="1"/>
    <x v="3"/>
    <x v="0"/>
    <x v="15"/>
    <x v="1"/>
    <x v="1"/>
    <x v="0"/>
    <x v="3"/>
    <x v="7"/>
    <x v="2"/>
    <x v="5"/>
    <x v="6"/>
    <x v="21"/>
    <x v="15"/>
    <x v="543"/>
    <x v="520"/>
    <x v="1168"/>
    <x v="843"/>
    <x v="73"/>
    <x v="2"/>
    <x v="0"/>
    <x v="0"/>
  </r>
  <r>
    <x v="1524"/>
    <x v="415"/>
    <x v="1"/>
    <x v="1"/>
    <x v="3"/>
    <x v="0"/>
    <x v="15"/>
    <x v="1"/>
    <x v="1"/>
    <x v="1"/>
    <x v="3"/>
    <x v="7"/>
    <x v="5"/>
    <x v="11"/>
    <x v="8"/>
    <x v="27"/>
    <x v="19"/>
    <x v="834"/>
    <x v="750"/>
    <x v="1139"/>
    <x v="1515"/>
    <x v="29"/>
    <x v="2"/>
    <x v="1"/>
    <x v="0"/>
  </r>
  <r>
    <x v="1525"/>
    <x v="422"/>
    <x v="1"/>
    <x v="1"/>
    <x v="3"/>
    <x v="0"/>
    <x v="15"/>
    <x v="1"/>
    <x v="1"/>
    <x v="0"/>
    <x v="3"/>
    <x v="7"/>
    <x v="5"/>
    <x v="11"/>
    <x v="6"/>
    <x v="27"/>
    <x v="19"/>
    <x v="817"/>
    <x v="741"/>
    <x v="1318"/>
    <x v="1365"/>
    <x v="3"/>
    <x v="2"/>
    <x v="0"/>
    <x v="0"/>
  </r>
  <r>
    <x v="1526"/>
    <x v="429"/>
    <x v="1"/>
    <x v="1"/>
    <x v="3"/>
    <x v="0"/>
    <x v="15"/>
    <x v="1"/>
    <x v="1"/>
    <x v="1"/>
    <x v="0"/>
    <x v="1"/>
    <x v="3"/>
    <x v="7"/>
    <x v="48"/>
    <x v="1"/>
    <x v="1"/>
    <x v="232"/>
    <x v="185"/>
    <x v="183"/>
    <x v="597"/>
    <x v="1187"/>
    <x v="1"/>
    <x v="1"/>
    <x v="2"/>
  </r>
  <r>
    <x v="1527"/>
    <x v="409"/>
    <x v="1"/>
    <x v="1"/>
    <x v="3"/>
    <x v="0"/>
    <x v="15"/>
    <x v="1"/>
    <x v="1"/>
    <x v="0"/>
    <x v="0"/>
    <x v="1"/>
    <x v="3"/>
    <x v="7"/>
    <x v="30"/>
    <x v="1"/>
    <x v="1"/>
    <x v="117"/>
    <x v="91"/>
    <x v="691"/>
    <x v="272"/>
    <x v="781"/>
    <x v="1"/>
    <x v="0"/>
    <x v="2"/>
  </r>
  <r>
    <x v="1528"/>
    <x v="416"/>
    <x v="1"/>
    <x v="1"/>
    <x v="3"/>
    <x v="0"/>
    <x v="15"/>
    <x v="1"/>
    <x v="1"/>
    <x v="1"/>
    <x v="0"/>
    <x v="1"/>
    <x v="8"/>
    <x v="17"/>
    <x v="52"/>
    <x v="13"/>
    <x v="8"/>
    <x v="655"/>
    <x v="567"/>
    <x v="724"/>
    <x v="1331"/>
    <x v="1036"/>
    <x v="0"/>
    <x v="1"/>
    <x v="0"/>
  </r>
  <r>
    <x v="1529"/>
    <x v="423"/>
    <x v="1"/>
    <x v="1"/>
    <x v="3"/>
    <x v="0"/>
    <x v="15"/>
    <x v="1"/>
    <x v="1"/>
    <x v="0"/>
    <x v="0"/>
    <x v="1"/>
    <x v="8"/>
    <x v="17"/>
    <x v="38"/>
    <x v="13"/>
    <x v="8"/>
    <x v="571"/>
    <x v="487"/>
    <x v="1183"/>
    <x v="1137"/>
    <x v="599"/>
    <x v="0"/>
    <x v="0"/>
    <x v="0"/>
  </r>
  <r>
    <x v="1530"/>
    <x v="430"/>
    <x v="1"/>
    <x v="1"/>
    <x v="3"/>
    <x v="0"/>
    <x v="15"/>
    <x v="1"/>
    <x v="1"/>
    <x v="1"/>
    <x v="0"/>
    <x v="1"/>
    <x v="9"/>
    <x v="19"/>
    <x v="52"/>
    <x v="7"/>
    <x v="5"/>
    <x v="544"/>
    <x v="486"/>
    <x v="566"/>
    <x v="1106"/>
    <x v="719"/>
    <x v="0"/>
    <x v="1"/>
    <x v="0"/>
  </r>
  <r>
    <x v="1531"/>
    <x v="410"/>
    <x v="1"/>
    <x v="1"/>
    <x v="3"/>
    <x v="0"/>
    <x v="15"/>
    <x v="1"/>
    <x v="1"/>
    <x v="0"/>
    <x v="0"/>
    <x v="1"/>
    <x v="9"/>
    <x v="19"/>
    <x v="29"/>
    <x v="7"/>
    <x v="5"/>
    <x v="352"/>
    <x v="315"/>
    <x v="1031"/>
    <x v="641"/>
    <x v="305"/>
    <x v="1"/>
    <x v="0"/>
    <x v="2"/>
  </r>
  <r>
    <x v="1532"/>
    <x v="417"/>
    <x v="1"/>
    <x v="1"/>
    <x v="3"/>
    <x v="0"/>
    <x v="15"/>
    <x v="1"/>
    <x v="1"/>
    <x v="1"/>
    <x v="2"/>
    <x v="5"/>
    <x v="0"/>
    <x v="1"/>
    <x v="18"/>
    <x v="16"/>
    <x v="11"/>
    <x v="410"/>
    <x v="360"/>
    <x v="378"/>
    <x v="887"/>
    <x v="886"/>
    <x v="1"/>
    <x v="1"/>
    <x v="2"/>
  </r>
  <r>
    <x v="1533"/>
    <x v="424"/>
    <x v="1"/>
    <x v="1"/>
    <x v="3"/>
    <x v="0"/>
    <x v="15"/>
    <x v="1"/>
    <x v="1"/>
    <x v="0"/>
    <x v="2"/>
    <x v="5"/>
    <x v="0"/>
    <x v="1"/>
    <x v="12"/>
    <x v="16"/>
    <x v="11"/>
    <x v="291"/>
    <x v="260"/>
    <x v="972"/>
    <x v="556"/>
    <x v="397"/>
    <x v="1"/>
    <x v="0"/>
    <x v="2"/>
  </r>
  <r>
    <x v="1534"/>
    <x v="431"/>
    <x v="1"/>
    <x v="1"/>
    <x v="3"/>
    <x v="0"/>
    <x v="15"/>
    <x v="1"/>
    <x v="1"/>
    <x v="1"/>
    <x v="2"/>
    <x v="5"/>
    <x v="4"/>
    <x v="9"/>
    <x v="19"/>
    <x v="10"/>
    <x v="9"/>
    <x v="318"/>
    <x v="291"/>
    <x v="244"/>
    <x v="631"/>
    <x v="571"/>
    <x v="1"/>
    <x v="1"/>
    <x v="2"/>
  </r>
  <r>
    <x v="1535"/>
    <x v="411"/>
    <x v="1"/>
    <x v="1"/>
    <x v="3"/>
    <x v="0"/>
    <x v="15"/>
    <x v="1"/>
    <x v="1"/>
    <x v="0"/>
    <x v="2"/>
    <x v="5"/>
    <x v="4"/>
    <x v="9"/>
    <x v="11"/>
    <x v="10"/>
    <x v="9"/>
    <x v="170"/>
    <x v="169"/>
    <x v="793"/>
    <x v="258"/>
    <x v="219"/>
    <x v="1"/>
    <x v="0"/>
    <x v="2"/>
  </r>
  <r>
    <x v="1536"/>
    <x v="418"/>
    <x v="1"/>
    <x v="1"/>
    <x v="3"/>
    <x v="0"/>
    <x v="15"/>
    <x v="1"/>
    <x v="1"/>
    <x v="1"/>
    <x v="1"/>
    <x v="3"/>
    <x v="7"/>
    <x v="15"/>
    <x v="25"/>
    <x v="19"/>
    <x v="13"/>
    <x v="545"/>
    <x v="506"/>
    <x v="567"/>
    <x v="1049"/>
    <x v="414"/>
    <x v="0"/>
    <x v="1"/>
    <x v="0"/>
  </r>
  <r>
    <x v="1537"/>
    <x v="425"/>
    <x v="1"/>
    <x v="1"/>
    <x v="3"/>
    <x v="0"/>
    <x v="15"/>
    <x v="1"/>
    <x v="1"/>
    <x v="0"/>
    <x v="1"/>
    <x v="3"/>
    <x v="7"/>
    <x v="15"/>
    <x v="22"/>
    <x v="19"/>
    <x v="13"/>
    <x v="503"/>
    <x v="474"/>
    <x v="1147"/>
    <x v="859"/>
    <x v="135"/>
    <x v="1"/>
    <x v="0"/>
    <x v="0"/>
  </r>
  <r>
    <x v="1538"/>
    <x v="405"/>
    <x v="1"/>
    <x v="1"/>
    <x v="3"/>
    <x v="0"/>
    <x v="15"/>
    <x v="1"/>
    <x v="1"/>
    <x v="1"/>
    <x v="1"/>
    <x v="3"/>
    <x v="6"/>
    <x v="13"/>
    <x v="27"/>
    <x v="4"/>
    <x v="3"/>
    <x v="146"/>
    <x v="127"/>
    <x v="105"/>
    <x v="379"/>
    <x v="1003"/>
    <x v="1"/>
    <x v="1"/>
    <x v="2"/>
  </r>
  <r>
    <x v="1539"/>
    <x v="412"/>
    <x v="1"/>
    <x v="1"/>
    <x v="3"/>
    <x v="0"/>
    <x v="15"/>
    <x v="1"/>
    <x v="1"/>
    <x v="0"/>
    <x v="1"/>
    <x v="3"/>
    <x v="6"/>
    <x v="13"/>
    <x v="21"/>
    <x v="4"/>
    <x v="3"/>
    <x v="96"/>
    <x v="83"/>
    <x v="653"/>
    <x v="195"/>
    <x v="538"/>
    <x v="1"/>
    <x v="0"/>
    <x v="2"/>
  </r>
  <r>
    <x v="1540"/>
    <x v="419"/>
    <x v="1"/>
    <x v="1"/>
    <x v="3"/>
    <x v="0"/>
    <x v="15"/>
    <x v="3"/>
    <x v="3"/>
    <x v="1"/>
    <x v="3"/>
    <x v="7"/>
    <x v="1"/>
    <x v="3"/>
    <x v="5"/>
    <x v="24"/>
    <x v="17"/>
    <x v="761"/>
    <x v="702"/>
    <x v="934"/>
    <x v="1376"/>
    <x v="148"/>
    <x v="1"/>
    <x v="1"/>
    <x v="0"/>
  </r>
  <r>
    <x v="1541"/>
    <x v="426"/>
    <x v="1"/>
    <x v="1"/>
    <x v="3"/>
    <x v="0"/>
    <x v="15"/>
    <x v="3"/>
    <x v="3"/>
    <x v="0"/>
    <x v="3"/>
    <x v="7"/>
    <x v="1"/>
    <x v="3"/>
    <x v="4"/>
    <x v="24"/>
    <x v="17"/>
    <x v="735"/>
    <x v="679"/>
    <x v="1281"/>
    <x v="1223"/>
    <x v="53"/>
    <x v="2"/>
    <x v="0"/>
    <x v="0"/>
  </r>
  <r>
    <x v="1542"/>
    <x v="406"/>
    <x v="1"/>
    <x v="1"/>
    <x v="3"/>
    <x v="0"/>
    <x v="15"/>
    <x v="3"/>
    <x v="3"/>
    <x v="1"/>
    <x v="3"/>
    <x v="7"/>
    <x v="2"/>
    <x v="5"/>
    <x v="4"/>
    <x v="21"/>
    <x v="15"/>
    <x v="434"/>
    <x v="442"/>
    <x v="418"/>
    <x v="781"/>
    <x v="204"/>
    <x v="1"/>
    <x v="1"/>
    <x v="2"/>
  </r>
  <r>
    <x v="1543"/>
    <x v="413"/>
    <x v="1"/>
    <x v="1"/>
    <x v="3"/>
    <x v="0"/>
    <x v="15"/>
    <x v="3"/>
    <x v="3"/>
    <x v="0"/>
    <x v="3"/>
    <x v="7"/>
    <x v="2"/>
    <x v="5"/>
    <x v="4"/>
    <x v="21"/>
    <x v="15"/>
    <x v="434"/>
    <x v="442"/>
    <x v="1101"/>
    <x v="644"/>
    <x v="70"/>
    <x v="2"/>
    <x v="0"/>
    <x v="2"/>
  </r>
  <r>
    <x v="1544"/>
    <x v="420"/>
    <x v="1"/>
    <x v="1"/>
    <x v="3"/>
    <x v="0"/>
    <x v="15"/>
    <x v="3"/>
    <x v="3"/>
    <x v="1"/>
    <x v="3"/>
    <x v="7"/>
    <x v="5"/>
    <x v="11"/>
    <x v="6"/>
    <x v="27"/>
    <x v="19"/>
    <x v="817"/>
    <x v="741"/>
    <x v="1082"/>
    <x v="1454"/>
    <x v="29"/>
    <x v="2"/>
    <x v="1"/>
    <x v="0"/>
  </r>
  <r>
    <x v="1545"/>
    <x v="427"/>
    <x v="1"/>
    <x v="1"/>
    <x v="3"/>
    <x v="0"/>
    <x v="15"/>
    <x v="3"/>
    <x v="3"/>
    <x v="0"/>
    <x v="3"/>
    <x v="7"/>
    <x v="5"/>
    <x v="11"/>
    <x v="3"/>
    <x v="27"/>
    <x v="19"/>
    <x v="758"/>
    <x v="709"/>
    <x v="1294"/>
    <x v="1156"/>
    <x v="0"/>
    <x v="2"/>
    <x v="0"/>
    <x v="0"/>
  </r>
  <r>
    <x v="1546"/>
    <x v="407"/>
    <x v="1"/>
    <x v="1"/>
    <x v="3"/>
    <x v="0"/>
    <x v="15"/>
    <x v="3"/>
    <x v="3"/>
    <x v="1"/>
    <x v="0"/>
    <x v="1"/>
    <x v="3"/>
    <x v="7"/>
    <x v="34"/>
    <x v="1"/>
    <x v="1"/>
    <x v="145"/>
    <x v="114"/>
    <x v="102"/>
    <x v="414"/>
    <x v="1184"/>
    <x v="1"/>
    <x v="1"/>
    <x v="2"/>
  </r>
  <r>
    <x v="1547"/>
    <x v="414"/>
    <x v="1"/>
    <x v="1"/>
    <x v="3"/>
    <x v="0"/>
    <x v="15"/>
    <x v="3"/>
    <x v="3"/>
    <x v="0"/>
    <x v="0"/>
    <x v="1"/>
    <x v="3"/>
    <x v="7"/>
    <x v="23"/>
    <x v="1"/>
    <x v="1"/>
    <x v="71"/>
    <x v="58"/>
    <x v="594"/>
    <x v="168"/>
    <x v="780"/>
    <x v="1"/>
    <x v="0"/>
    <x v="2"/>
  </r>
  <r>
    <x v="1548"/>
    <x v="421"/>
    <x v="1"/>
    <x v="1"/>
    <x v="3"/>
    <x v="0"/>
    <x v="15"/>
    <x v="3"/>
    <x v="3"/>
    <x v="1"/>
    <x v="0"/>
    <x v="1"/>
    <x v="8"/>
    <x v="17"/>
    <x v="32"/>
    <x v="13"/>
    <x v="8"/>
    <x v="514"/>
    <x v="439"/>
    <x v="522"/>
    <x v="1115"/>
    <x v="1038"/>
    <x v="0"/>
    <x v="1"/>
    <x v="0"/>
  </r>
  <r>
    <x v="1549"/>
    <x v="428"/>
    <x v="1"/>
    <x v="1"/>
    <x v="3"/>
    <x v="0"/>
    <x v="15"/>
    <x v="3"/>
    <x v="3"/>
    <x v="0"/>
    <x v="0"/>
    <x v="1"/>
    <x v="8"/>
    <x v="17"/>
    <x v="26"/>
    <x v="13"/>
    <x v="8"/>
    <x v="443"/>
    <x v="380"/>
    <x v="1107"/>
    <x v="903"/>
    <x v="593"/>
    <x v="1"/>
    <x v="0"/>
    <x v="2"/>
  </r>
  <r>
    <x v="1550"/>
    <x v="408"/>
    <x v="1"/>
    <x v="1"/>
    <x v="3"/>
    <x v="0"/>
    <x v="15"/>
    <x v="3"/>
    <x v="3"/>
    <x v="1"/>
    <x v="0"/>
    <x v="1"/>
    <x v="9"/>
    <x v="19"/>
    <x v="33"/>
    <x v="7"/>
    <x v="5"/>
    <x v="391"/>
    <x v="352"/>
    <x v="351"/>
    <x v="832"/>
    <x v="722"/>
    <x v="1"/>
    <x v="1"/>
    <x v="2"/>
  </r>
  <r>
    <x v="1551"/>
    <x v="415"/>
    <x v="1"/>
    <x v="1"/>
    <x v="3"/>
    <x v="0"/>
    <x v="15"/>
    <x v="3"/>
    <x v="3"/>
    <x v="0"/>
    <x v="0"/>
    <x v="1"/>
    <x v="9"/>
    <x v="19"/>
    <x v="19"/>
    <x v="7"/>
    <x v="5"/>
    <x v="227"/>
    <x v="210"/>
    <x v="871"/>
    <x v="415"/>
    <x v="304"/>
    <x v="1"/>
    <x v="0"/>
    <x v="2"/>
  </r>
  <r>
    <x v="1552"/>
    <x v="422"/>
    <x v="1"/>
    <x v="1"/>
    <x v="3"/>
    <x v="0"/>
    <x v="15"/>
    <x v="3"/>
    <x v="3"/>
    <x v="1"/>
    <x v="2"/>
    <x v="5"/>
    <x v="0"/>
    <x v="1"/>
    <x v="18"/>
    <x v="16"/>
    <x v="11"/>
    <x v="410"/>
    <x v="360"/>
    <x v="378"/>
    <x v="887"/>
    <x v="886"/>
    <x v="1"/>
    <x v="1"/>
    <x v="2"/>
  </r>
  <r>
    <x v="1553"/>
    <x v="429"/>
    <x v="1"/>
    <x v="1"/>
    <x v="3"/>
    <x v="0"/>
    <x v="15"/>
    <x v="3"/>
    <x v="3"/>
    <x v="0"/>
    <x v="2"/>
    <x v="5"/>
    <x v="0"/>
    <x v="1"/>
    <x v="10"/>
    <x v="16"/>
    <x v="11"/>
    <x v="245"/>
    <x v="219"/>
    <x v="898"/>
    <x v="468"/>
    <x v="391"/>
    <x v="1"/>
    <x v="0"/>
    <x v="2"/>
  </r>
  <r>
    <x v="1554"/>
    <x v="409"/>
    <x v="1"/>
    <x v="1"/>
    <x v="3"/>
    <x v="0"/>
    <x v="15"/>
    <x v="3"/>
    <x v="3"/>
    <x v="1"/>
    <x v="2"/>
    <x v="5"/>
    <x v="4"/>
    <x v="9"/>
    <x v="13"/>
    <x v="10"/>
    <x v="9"/>
    <x v="206"/>
    <x v="202"/>
    <x v="152"/>
    <x v="433"/>
    <x v="568"/>
    <x v="1"/>
    <x v="1"/>
    <x v="2"/>
  </r>
  <r>
    <x v="1555"/>
    <x v="416"/>
    <x v="1"/>
    <x v="1"/>
    <x v="3"/>
    <x v="0"/>
    <x v="15"/>
    <x v="3"/>
    <x v="3"/>
    <x v="0"/>
    <x v="2"/>
    <x v="5"/>
    <x v="4"/>
    <x v="9"/>
    <x v="9"/>
    <x v="10"/>
    <x v="9"/>
    <x v="125"/>
    <x v="131"/>
    <x v="707"/>
    <x v="191"/>
    <x v="219"/>
    <x v="1"/>
    <x v="0"/>
    <x v="2"/>
  </r>
  <r>
    <x v="1556"/>
    <x v="423"/>
    <x v="1"/>
    <x v="1"/>
    <x v="3"/>
    <x v="0"/>
    <x v="15"/>
    <x v="3"/>
    <x v="3"/>
    <x v="1"/>
    <x v="1"/>
    <x v="3"/>
    <x v="7"/>
    <x v="15"/>
    <x v="18"/>
    <x v="19"/>
    <x v="13"/>
    <x v="431"/>
    <x v="415"/>
    <x v="412"/>
    <x v="852"/>
    <x v="415"/>
    <x v="1"/>
    <x v="1"/>
    <x v="2"/>
  </r>
  <r>
    <x v="1557"/>
    <x v="430"/>
    <x v="1"/>
    <x v="1"/>
    <x v="3"/>
    <x v="0"/>
    <x v="15"/>
    <x v="3"/>
    <x v="3"/>
    <x v="0"/>
    <x v="1"/>
    <x v="3"/>
    <x v="7"/>
    <x v="15"/>
    <x v="12"/>
    <x v="19"/>
    <x v="13"/>
    <x v="328"/>
    <x v="307"/>
    <x v="1004"/>
    <x v="502"/>
    <x v="139"/>
    <x v="1"/>
    <x v="0"/>
    <x v="2"/>
  </r>
  <r>
    <x v="1558"/>
    <x v="410"/>
    <x v="1"/>
    <x v="1"/>
    <x v="3"/>
    <x v="0"/>
    <x v="15"/>
    <x v="3"/>
    <x v="3"/>
    <x v="1"/>
    <x v="1"/>
    <x v="3"/>
    <x v="6"/>
    <x v="13"/>
    <x v="21"/>
    <x v="4"/>
    <x v="3"/>
    <x v="96"/>
    <x v="83"/>
    <x v="62"/>
    <x v="245"/>
    <x v="1002"/>
    <x v="1"/>
    <x v="1"/>
    <x v="2"/>
  </r>
  <r>
    <x v="1559"/>
    <x v="417"/>
    <x v="1"/>
    <x v="1"/>
    <x v="3"/>
    <x v="0"/>
    <x v="15"/>
    <x v="3"/>
    <x v="3"/>
    <x v="0"/>
    <x v="1"/>
    <x v="3"/>
    <x v="6"/>
    <x v="13"/>
    <x v="15"/>
    <x v="4"/>
    <x v="3"/>
    <x v="51"/>
    <x v="48"/>
    <x v="509"/>
    <x v="94"/>
    <x v="544"/>
    <x v="1"/>
    <x v="0"/>
    <x v="2"/>
  </r>
  <r>
    <x v="1560"/>
    <x v="424"/>
    <x v="1"/>
    <x v="1"/>
    <x v="3"/>
    <x v="0"/>
    <x v="15"/>
    <x v="2"/>
    <x v="2"/>
    <x v="1"/>
    <x v="3"/>
    <x v="7"/>
    <x v="1"/>
    <x v="3"/>
    <x v="3"/>
    <x v="24"/>
    <x v="17"/>
    <x v="693"/>
    <x v="653"/>
    <x v="787"/>
    <x v="1231"/>
    <x v="154"/>
    <x v="1"/>
    <x v="1"/>
    <x v="0"/>
  </r>
  <r>
    <x v="1561"/>
    <x v="431"/>
    <x v="1"/>
    <x v="1"/>
    <x v="3"/>
    <x v="0"/>
    <x v="15"/>
    <x v="2"/>
    <x v="2"/>
    <x v="0"/>
    <x v="3"/>
    <x v="7"/>
    <x v="1"/>
    <x v="3"/>
    <x v="2"/>
    <x v="24"/>
    <x v="17"/>
    <x v="628"/>
    <x v="600"/>
    <x v="1218"/>
    <x v="984"/>
    <x v="53"/>
    <x v="2"/>
    <x v="0"/>
    <x v="0"/>
  </r>
  <r>
    <x v="1562"/>
    <x v="411"/>
    <x v="1"/>
    <x v="1"/>
    <x v="3"/>
    <x v="0"/>
    <x v="15"/>
    <x v="2"/>
    <x v="2"/>
    <x v="1"/>
    <x v="3"/>
    <x v="7"/>
    <x v="2"/>
    <x v="5"/>
    <x v="3"/>
    <x v="21"/>
    <x v="15"/>
    <x v="374"/>
    <x v="385"/>
    <x v="332"/>
    <x v="654"/>
    <x v="202"/>
    <x v="1"/>
    <x v="1"/>
    <x v="2"/>
  </r>
  <r>
    <x v="1563"/>
    <x v="418"/>
    <x v="1"/>
    <x v="1"/>
    <x v="3"/>
    <x v="0"/>
    <x v="15"/>
    <x v="2"/>
    <x v="2"/>
    <x v="0"/>
    <x v="3"/>
    <x v="7"/>
    <x v="2"/>
    <x v="5"/>
    <x v="2"/>
    <x v="21"/>
    <x v="15"/>
    <x v="309"/>
    <x v="313"/>
    <x v="988"/>
    <x v="405"/>
    <x v="73"/>
    <x v="2"/>
    <x v="0"/>
    <x v="2"/>
  </r>
  <r>
    <x v="1564"/>
    <x v="425"/>
    <x v="1"/>
    <x v="1"/>
    <x v="3"/>
    <x v="0"/>
    <x v="15"/>
    <x v="2"/>
    <x v="2"/>
    <x v="1"/>
    <x v="3"/>
    <x v="7"/>
    <x v="5"/>
    <x v="11"/>
    <x v="3"/>
    <x v="27"/>
    <x v="19"/>
    <x v="758"/>
    <x v="709"/>
    <x v="922"/>
    <x v="1269"/>
    <x v="34"/>
    <x v="2"/>
    <x v="1"/>
    <x v="0"/>
  </r>
  <r>
    <x v="1565"/>
    <x v="405"/>
    <x v="1"/>
    <x v="1"/>
    <x v="3"/>
    <x v="0"/>
    <x v="15"/>
    <x v="2"/>
    <x v="2"/>
    <x v="0"/>
    <x v="3"/>
    <x v="7"/>
    <x v="5"/>
    <x v="11"/>
    <x v="3"/>
    <x v="27"/>
    <x v="19"/>
    <x v="758"/>
    <x v="709"/>
    <x v="1294"/>
    <x v="1156"/>
    <x v="0"/>
    <x v="2"/>
    <x v="0"/>
    <x v="0"/>
  </r>
  <r>
    <x v="1566"/>
    <x v="412"/>
    <x v="1"/>
    <x v="1"/>
    <x v="3"/>
    <x v="0"/>
    <x v="15"/>
    <x v="2"/>
    <x v="2"/>
    <x v="1"/>
    <x v="0"/>
    <x v="1"/>
    <x v="3"/>
    <x v="7"/>
    <x v="28"/>
    <x v="1"/>
    <x v="1"/>
    <x v="102"/>
    <x v="82"/>
    <x v="67"/>
    <x v="301"/>
    <x v="1189"/>
    <x v="1"/>
    <x v="1"/>
    <x v="2"/>
  </r>
  <r>
    <x v="1567"/>
    <x v="419"/>
    <x v="1"/>
    <x v="1"/>
    <x v="3"/>
    <x v="0"/>
    <x v="15"/>
    <x v="2"/>
    <x v="2"/>
    <x v="0"/>
    <x v="0"/>
    <x v="1"/>
    <x v="3"/>
    <x v="7"/>
    <x v="16"/>
    <x v="1"/>
    <x v="1"/>
    <x v="35"/>
    <x v="30"/>
    <x v="427"/>
    <x v="75"/>
    <x v="779"/>
    <x v="1"/>
    <x v="0"/>
    <x v="2"/>
  </r>
  <r>
    <x v="1568"/>
    <x v="426"/>
    <x v="1"/>
    <x v="1"/>
    <x v="3"/>
    <x v="0"/>
    <x v="15"/>
    <x v="2"/>
    <x v="2"/>
    <x v="1"/>
    <x v="0"/>
    <x v="1"/>
    <x v="8"/>
    <x v="17"/>
    <x v="22"/>
    <x v="13"/>
    <x v="8"/>
    <x v="393"/>
    <x v="331"/>
    <x v="353"/>
    <x v="892"/>
    <x v="1032"/>
    <x v="1"/>
    <x v="1"/>
    <x v="2"/>
  </r>
  <r>
    <x v="1569"/>
    <x v="406"/>
    <x v="1"/>
    <x v="1"/>
    <x v="3"/>
    <x v="0"/>
    <x v="15"/>
    <x v="2"/>
    <x v="2"/>
    <x v="0"/>
    <x v="0"/>
    <x v="1"/>
    <x v="8"/>
    <x v="17"/>
    <x v="15"/>
    <x v="13"/>
    <x v="8"/>
    <x v="279"/>
    <x v="234"/>
    <x v="952"/>
    <x v="575"/>
    <x v="601"/>
    <x v="1"/>
    <x v="0"/>
    <x v="2"/>
  </r>
  <r>
    <x v="1570"/>
    <x v="413"/>
    <x v="1"/>
    <x v="1"/>
    <x v="3"/>
    <x v="0"/>
    <x v="15"/>
    <x v="2"/>
    <x v="2"/>
    <x v="1"/>
    <x v="0"/>
    <x v="1"/>
    <x v="9"/>
    <x v="19"/>
    <x v="27"/>
    <x v="7"/>
    <x v="5"/>
    <x v="335"/>
    <x v="296"/>
    <x v="267"/>
    <x v="714"/>
    <x v="716"/>
    <x v="1"/>
    <x v="1"/>
    <x v="2"/>
  </r>
  <r>
    <x v="1571"/>
    <x v="420"/>
    <x v="1"/>
    <x v="1"/>
    <x v="3"/>
    <x v="0"/>
    <x v="15"/>
    <x v="2"/>
    <x v="2"/>
    <x v="0"/>
    <x v="0"/>
    <x v="1"/>
    <x v="9"/>
    <x v="19"/>
    <x v="19"/>
    <x v="7"/>
    <x v="5"/>
    <x v="227"/>
    <x v="210"/>
    <x v="871"/>
    <x v="415"/>
    <x v="304"/>
    <x v="1"/>
    <x v="0"/>
    <x v="2"/>
  </r>
  <r>
    <x v="1572"/>
    <x v="427"/>
    <x v="1"/>
    <x v="1"/>
    <x v="3"/>
    <x v="0"/>
    <x v="15"/>
    <x v="2"/>
    <x v="2"/>
    <x v="1"/>
    <x v="2"/>
    <x v="5"/>
    <x v="0"/>
    <x v="1"/>
    <x v="11"/>
    <x v="16"/>
    <x v="11"/>
    <x v="267"/>
    <x v="240"/>
    <x v="203"/>
    <x v="593"/>
    <x v="882"/>
    <x v="1"/>
    <x v="1"/>
    <x v="2"/>
  </r>
  <r>
    <x v="1573"/>
    <x v="407"/>
    <x v="1"/>
    <x v="1"/>
    <x v="3"/>
    <x v="0"/>
    <x v="15"/>
    <x v="2"/>
    <x v="2"/>
    <x v="0"/>
    <x v="2"/>
    <x v="5"/>
    <x v="0"/>
    <x v="1"/>
    <x v="8"/>
    <x v="16"/>
    <x v="11"/>
    <x v="190"/>
    <x v="172"/>
    <x v="827"/>
    <x v="355"/>
    <x v="396"/>
    <x v="1"/>
    <x v="0"/>
    <x v="2"/>
  </r>
  <r>
    <x v="1574"/>
    <x v="414"/>
    <x v="1"/>
    <x v="1"/>
    <x v="3"/>
    <x v="0"/>
    <x v="15"/>
    <x v="2"/>
    <x v="2"/>
    <x v="1"/>
    <x v="2"/>
    <x v="5"/>
    <x v="4"/>
    <x v="9"/>
    <x v="10"/>
    <x v="10"/>
    <x v="9"/>
    <x v="148"/>
    <x v="151"/>
    <x v="106"/>
    <x v="296"/>
    <x v="570"/>
    <x v="1"/>
    <x v="1"/>
    <x v="2"/>
  </r>
  <r>
    <x v="1575"/>
    <x v="421"/>
    <x v="1"/>
    <x v="1"/>
    <x v="3"/>
    <x v="0"/>
    <x v="15"/>
    <x v="2"/>
    <x v="2"/>
    <x v="0"/>
    <x v="2"/>
    <x v="5"/>
    <x v="4"/>
    <x v="9"/>
    <x v="7"/>
    <x v="10"/>
    <x v="9"/>
    <x v="88"/>
    <x v="94"/>
    <x v="627"/>
    <x v="123"/>
    <x v="219"/>
    <x v="1"/>
    <x v="0"/>
    <x v="2"/>
  </r>
  <r>
    <x v="1576"/>
    <x v="428"/>
    <x v="1"/>
    <x v="1"/>
    <x v="3"/>
    <x v="0"/>
    <x v="15"/>
    <x v="2"/>
    <x v="2"/>
    <x v="1"/>
    <x v="1"/>
    <x v="3"/>
    <x v="7"/>
    <x v="15"/>
    <x v="15"/>
    <x v="19"/>
    <x v="13"/>
    <x v="381"/>
    <x v="365"/>
    <x v="338"/>
    <x v="740"/>
    <x v="422"/>
    <x v="1"/>
    <x v="1"/>
    <x v="2"/>
  </r>
  <r>
    <x v="1577"/>
    <x v="408"/>
    <x v="1"/>
    <x v="1"/>
    <x v="3"/>
    <x v="0"/>
    <x v="15"/>
    <x v="2"/>
    <x v="2"/>
    <x v="0"/>
    <x v="1"/>
    <x v="3"/>
    <x v="7"/>
    <x v="15"/>
    <x v="11"/>
    <x v="19"/>
    <x v="13"/>
    <x v="295"/>
    <x v="288"/>
    <x v="976"/>
    <x v="464"/>
    <x v="140"/>
    <x v="1"/>
    <x v="0"/>
    <x v="2"/>
  </r>
  <r>
    <x v="1578"/>
    <x v="415"/>
    <x v="1"/>
    <x v="1"/>
    <x v="3"/>
    <x v="0"/>
    <x v="15"/>
    <x v="2"/>
    <x v="2"/>
    <x v="1"/>
    <x v="1"/>
    <x v="3"/>
    <x v="6"/>
    <x v="13"/>
    <x v="16"/>
    <x v="4"/>
    <x v="3"/>
    <x v="56"/>
    <x v="53"/>
    <x v="30"/>
    <x v="152"/>
    <x v="1008"/>
    <x v="1"/>
    <x v="1"/>
    <x v="2"/>
  </r>
  <r>
    <x v="1579"/>
    <x v="422"/>
    <x v="1"/>
    <x v="1"/>
    <x v="3"/>
    <x v="0"/>
    <x v="15"/>
    <x v="2"/>
    <x v="2"/>
    <x v="0"/>
    <x v="1"/>
    <x v="3"/>
    <x v="6"/>
    <x v="13"/>
    <x v="8"/>
    <x v="4"/>
    <x v="3"/>
    <x v="11"/>
    <x v="12"/>
    <x v="259"/>
    <x v="20"/>
    <x v="537"/>
    <x v="1"/>
    <x v="0"/>
    <x v="2"/>
  </r>
  <r>
    <x v="1580"/>
    <x v="429"/>
    <x v="1"/>
    <x v="1"/>
    <x v="3"/>
    <x v="0"/>
    <x v="15"/>
    <x v="4"/>
    <x v="4"/>
    <x v="1"/>
    <x v="3"/>
    <x v="7"/>
    <x v="1"/>
    <x v="3"/>
    <x v="3"/>
    <x v="24"/>
    <x v="17"/>
    <x v="693"/>
    <x v="653"/>
    <x v="787"/>
    <x v="1231"/>
    <x v="154"/>
    <x v="1"/>
    <x v="1"/>
    <x v="0"/>
  </r>
  <r>
    <x v="1581"/>
    <x v="409"/>
    <x v="1"/>
    <x v="1"/>
    <x v="3"/>
    <x v="0"/>
    <x v="15"/>
    <x v="4"/>
    <x v="4"/>
    <x v="0"/>
    <x v="3"/>
    <x v="7"/>
    <x v="1"/>
    <x v="3"/>
    <x v="1"/>
    <x v="24"/>
    <x v="17"/>
    <x v="542"/>
    <x v="530"/>
    <x v="1168"/>
    <x v="805"/>
    <x v="58"/>
    <x v="2"/>
    <x v="0"/>
    <x v="0"/>
  </r>
  <r>
    <x v="1582"/>
    <x v="416"/>
    <x v="1"/>
    <x v="1"/>
    <x v="3"/>
    <x v="0"/>
    <x v="15"/>
    <x v="4"/>
    <x v="4"/>
    <x v="1"/>
    <x v="3"/>
    <x v="7"/>
    <x v="2"/>
    <x v="5"/>
    <x v="4"/>
    <x v="21"/>
    <x v="15"/>
    <x v="434"/>
    <x v="442"/>
    <x v="418"/>
    <x v="781"/>
    <x v="204"/>
    <x v="1"/>
    <x v="1"/>
    <x v="2"/>
  </r>
  <r>
    <x v="1583"/>
    <x v="423"/>
    <x v="1"/>
    <x v="1"/>
    <x v="3"/>
    <x v="0"/>
    <x v="15"/>
    <x v="4"/>
    <x v="4"/>
    <x v="0"/>
    <x v="3"/>
    <x v="7"/>
    <x v="2"/>
    <x v="5"/>
    <x v="2"/>
    <x v="21"/>
    <x v="15"/>
    <x v="309"/>
    <x v="313"/>
    <x v="988"/>
    <x v="405"/>
    <x v="73"/>
    <x v="2"/>
    <x v="0"/>
    <x v="2"/>
  </r>
  <r>
    <x v="1584"/>
    <x v="430"/>
    <x v="1"/>
    <x v="1"/>
    <x v="3"/>
    <x v="0"/>
    <x v="15"/>
    <x v="4"/>
    <x v="4"/>
    <x v="1"/>
    <x v="3"/>
    <x v="7"/>
    <x v="5"/>
    <x v="11"/>
    <x v="3"/>
    <x v="27"/>
    <x v="19"/>
    <x v="758"/>
    <x v="709"/>
    <x v="922"/>
    <x v="1269"/>
    <x v="34"/>
    <x v="2"/>
    <x v="1"/>
    <x v="0"/>
  </r>
  <r>
    <x v="1585"/>
    <x v="410"/>
    <x v="1"/>
    <x v="1"/>
    <x v="3"/>
    <x v="0"/>
    <x v="15"/>
    <x v="4"/>
    <x v="4"/>
    <x v="0"/>
    <x v="3"/>
    <x v="7"/>
    <x v="5"/>
    <x v="11"/>
    <x v="2"/>
    <x v="27"/>
    <x v="19"/>
    <x v="717"/>
    <x v="681"/>
    <x v="1268"/>
    <x v="1005"/>
    <x v="3"/>
    <x v="2"/>
    <x v="0"/>
    <x v="0"/>
  </r>
  <r>
    <x v="1586"/>
    <x v="417"/>
    <x v="1"/>
    <x v="1"/>
    <x v="3"/>
    <x v="0"/>
    <x v="15"/>
    <x v="4"/>
    <x v="4"/>
    <x v="1"/>
    <x v="0"/>
    <x v="1"/>
    <x v="3"/>
    <x v="7"/>
    <x v="26"/>
    <x v="1"/>
    <x v="1"/>
    <x v="93"/>
    <x v="73"/>
    <x v="58"/>
    <x v="269"/>
    <x v="1177"/>
    <x v="1"/>
    <x v="1"/>
    <x v="2"/>
  </r>
  <r>
    <x v="1587"/>
    <x v="424"/>
    <x v="1"/>
    <x v="1"/>
    <x v="3"/>
    <x v="0"/>
    <x v="15"/>
    <x v="4"/>
    <x v="4"/>
    <x v="0"/>
    <x v="0"/>
    <x v="1"/>
    <x v="3"/>
    <x v="7"/>
    <x v="14"/>
    <x v="1"/>
    <x v="1"/>
    <x v="23"/>
    <x v="23"/>
    <x v="373"/>
    <x v="57"/>
    <x v="781"/>
    <x v="1"/>
    <x v="0"/>
    <x v="2"/>
  </r>
  <r>
    <x v="1588"/>
    <x v="431"/>
    <x v="1"/>
    <x v="1"/>
    <x v="3"/>
    <x v="0"/>
    <x v="15"/>
    <x v="4"/>
    <x v="4"/>
    <x v="1"/>
    <x v="0"/>
    <x v="1"/>
    <x v="8"/>
    <x v="17"/>
    <x v="28"/>
    <x v="13"/>
    <x v="8"/>
    <x v="472"/>
    <x v="401"/>
    <x v="453"/>
    <x v="1036"/>
    <x v="1044"/>
    <x v="1"/>
    <x v="1"/>
    <x v="2"/>
  </r>
  <r>
    <x v="1589"/>
    <x v="411"/>
    <x v="1"/>
    <x v="1"/>
    <x v="3"/>
    <x v="0"/>
    <x v="15"/>
    <x v="4"/>
    <x v="4"/>
    <x v="0"/>
    <x v="0"/>
    <x v="1"/>
    <x v="8"/>
    <x v="17"/>
    <x v="20"/>
    <x v="13"/>
    <x v="8"/>
    <x v="363"/>
    <x v="301"/>
    <x v="1047"/>
    <x v="745"/>
    <x v="593"/>
    <x v="1"/>
    <x v="0"/>
    <x v="2"/>
  </r>
  <r>
    <x v="1590"/>
    <x v="418"/>
    <x v="1"/>
    <x v="1"/>
    <x v="3"/>
    <x v="0"/>
    <x v="15"/>
    <x v="4"/>
    <x v="4"/>
    <x v="1"/>
    <x v="0"/>
    <x v="1"/>
    <x v="9"/>
    <x v="19"/>
    <x v="29"/>
    <x v="7"/>
    <x v="5"/>
    <x v="352"/>
    <x v="315"/>
    <x v="300"/>
    <x v="752"/>
    <x v="714"/>
    <x v="1"/>
    <x v="1"/>
    <x v="2"/>
  </r>
  <r>
    <x v="1591"/>
    <x v="425"/>
    <x v="1"/>
    <x v="1"/>
    <x v="3"/>
    <x v="0"/>
    <x v="15"/>
    <x v="4"/>
    <x v="4"/>
    <x v="0"/>
    <x v="0"/>
    <x v="1"/>
    <x v="9"/>
    <x v="19"/>
    <x v="19"/>
    <x v="7"/>
    <x v="5"/>
    <x v="227"/>
    <x v="210"/>
    <x v="871"/>
    <x v="415"/>
    <x v="304"/>
    <x v="1"/>
    <x v="0"/>
    <x v="2"/>
  </r>
  <r>
    <x v="1592"/>
    <x v="405"/>
    <x v="1"/>
    <x v="1"/>
    <x v="3"/>
    <x v="0"/>
    <x v="15"/>
    <x v="4"/>
    <x v="4"/>
    <x v="1"/>
    <x v="2"/>
    <x v="5"/>
    <x v="0"/>
    <x v="1"/>
    <x v="12"/>
    <x v="16"/>
    <x v="11"/>
    <x v="291"/>
    <x v="260"/>
    <x v="227"/>
    <x v="646"/>
    <x v="881"/>
    <x v="1"/>
    <x v="1"/>
    <x v="2"/>
  </r>
  <r>
    <x v="1593"/>
    <x v="412"/>
    <x v="1"/>
    <x v="1"/>
    <x v="3"/>
    <x v="0"/>
    <x v="15"/>
    <x v="4"/>
    <x v="4"/>
    <x v="0"/>
    <x v="2"/>
    <x v="5"/>
    <x v="0"/>
    <x v="1"/>
    <x v="6"/>
    <x v="16"/>
    <x v="11"/>
    <x v="133"/>
    <x v="121"/>
    <x v="721"/>
    <x v="240"/>
    <x v="399"/>
    <x v="1"/>
    <x v="0"/>
    <x v="2"/>
  </r>
  <r>
    <x v="1594"/>
    <x v="419"/>
    <x v="1"/>
    <x v="1"/>
    <x v="3"/>
    <x v="0"/>
    <x v="15"/>
    <x v="4"/>
    <x v="4"/>
    <x v="1"/>
    <x v="2"/>
    <x v="5"/>
    <x v="4"/>
    <x v="9"/>
    <x v="11"/>
    <x v="10"/>
    <x v="9"/>
    <x v="170"/>
    <x v="169"/>
    <x v="123"/>
    <x v="339"/>
    <x v="574"/>
    <x v="1"/>
    <x v="1"/>
    <x v="2"/>
  </r>
  <r>
    <x v="1595"/>
    <x v="426"/>
    <x v="1"/>
    <x v="1"/>
    <x v="3"/>
    <x v="0"/>
    <x v="15"/>
    <x v="4"/>
    <x v="4"/>
    <x v="0"/>
    <x v="2"/>
    <x v="5"/>
    <x v="4"/>
    <x v="9"/>
    <x v="6"/>
    <x v="10"/>
    <x v="9"/>
    <x v="69"/>
    <x v="77"/>
    <x v="580"/>
    <x v="90"/>
    <x v="219"/>
    <x v="1"/>
    <x v="0"/>
    <x v="2"/>
  </r>
  <r>
    <x v="1596"/>
    <x v="406"/>
    <x v="1"/>
    <x v="1"/>
    <x v="3"/>
    <x v="0"/>
    <x v="15"/>
    <x v="4"/>
    <x v="4"/>
    <x v="1"/>
    <x v="1"/>
    <x v="3"/>
    <x v="7"/>
    <x v="15"/>
    <x v="12"/>
    <x v="19"/>
    <x v="13"/>
    <x v="328"/>
    <x v="307"/>
    <x v="254"/>
    <x v="608"/>
    <x v="413"/>
    <x v="1"/>
    <x v="1"/>
    <x v="2"/>
  </r>
  <r>
    <x v="1597"/>
    <x v="413"/>
    <x v="1"/>
    <x v="1"/>
    <x v="3"/>
    <x v="0"/>
    <x v="15"/>
    <x v="4"/>
    <x v="4"/>
    <x v="0"/>
    <x v="1"/>
    <x v="3"/>
    <x v="7"/>
    <x v="15"/>
    <x v="9"/>
    <x v="19"/>
    <x v="13"/>
    <x v="242"/>
    <x v="243"/>
    <x v="889"/>
    <x v="368"/>
    <x v="142"/>
    <x v="1"/>
    <x v="0"/>
    <x v="2"/>
  </r>
  <r>
    <x v="1598"/>
    <x v="420"/>
    <x v="1"/>
    <x v="1"/>
    <x v="3"/>
    <x v="0"/>
    <x v="15"/>
    <x v="4"/>
    <x v="4"/>
    <x v="1"/>
    <x v="1"/>
    <x v="3"/>
    <x v="6"/>
    <x v="13"/>
    <x v="14"/>
    <x v="4"/>
    <x v="3"/>
    <x v="44"/>
    <x v="43"/>
    <x v="21"/>
    <x v="117"/>
    <x v="1004"/>
    <x v="1"/>
    <x v="1"/>
    <x v="2"/>
  </r>
  <r>
    <x v="1599"/>
    <x v="427"/>
    <x v="1"/>
    <x v="1"/>
    <x v="3"/>
    <x v="0"/>
    <x v="15"/>
    <x v="4"/>
    <x v="4"/>
    <x v="0"/>
    <x v="1"/>
    <x v="3"/>
    <x v="6"/>
    <x v="13"/>
    <x v="8"/>
    <x v="4"/>
    <x v="3"/>
    <x v="11"/>
    <x v="12"/>
    <x v="259"/>
    <x v="20"/>
    <x v="537"/>
    <x v="1"/>
    <x v="0"/>
    <x v="2"/>
  </r>
  <r>
    <x v="1600"/>
    <x v="434"/>
    <x v="1"/>
    <x v="1"/>
    <x v="4"/>
    <x v="8"/>
    <x v="16"/>
    <x v="0"/>
    <x v="0"/>
    <x v="1"/>
    <x v="3"/>
    <x v="7"/>
    <x v="1"/>
    <x v="3"/>
    <x v="21"/>
    <x v="24"/>
    <x v="17"/>
    <x v="866"/>
    <x v="772"/>
    <x v="1234"/>
    <x v="1601"/>
    <x v="152"/>
    <x v="1"/>
    <x v="1"/>
    <x v="0"/>
  </r>
  <r>
    <x v="1601"/>
    <x v="441"/>
    <x v="1"/>
    <x v="1"/>
    <x v="4"/>
    <x v="8"/>
    <x v="16"/>
    <x v="0"/>
    <x v="0"/>
    <x v="0"/>
    <x v="3"/>
    <x v="7"/>
    <x v="1"/>
    <x v="3"/>
    <x v="13"/>
    <x v="24"/>
    <x v="17"/>
    <x v="840"/>
    <x v="749"/>
    <x v="1328"/>
    <x v="1533"/>
    <x v="54"/>
    <x v="2"/>
    <x v="0"/>
    <x v="0"/>
  </r>
  <r>
    <x v="1602"/>
    <x v="448"/>
    <x v="1"/>
    <x v="1"/>
    <x v="4"/>
    <x v="8"/>
    <x v="16"/>
    <x v="0"/>
    <x v="0"/>
    <x v="1"/>
    <x v="3"/>
    <x v="7"/>
    <x v="2"/>
    <x v="5"/>
    <x v="18"/>
    <x v="21"/>
    <x v="15"/>
    <x v="777"/>
    <x v="706"/>
    <x v="961"/>
    <x v="1422"/>
    <x v="202"/>
    <x v="1"/>
    <x v="1"/>
    <x v="0"/>
  </r>
  <r>
    <x v="1603"/>
    <x v="455"/>
    <x v="1"/>
    <x v="1"/>
    <x v="4"/>
    <x v="8"/>
    <x v="16"/>
    <x v="0"/>
    <x v="0"/>
    <x v="0"/>
    <x v="3"/>
    <x v="7"/>
    <x v="2"/>
    <x v="5"/>
    <x v="14"/>
    <x v="21"/>
    <x v="15"/>
    <x v="736"/>
    <x v="672"/>
    <x v="1281"/>
    <x v="1247"/>
    <x v="71"/>
    <x v="2"/>
    <x v="0"/>
    <x v="0"/>
  </r>
  <r>
    <x v="1604"/>
    <x v="435"/>
    <x v="1"/>
    <x v="1"/>
    <x v="4"/>
    <x v="8"/>
    <x v="16"/>
    <x v="0"/>
    <x v="0"/>
    <x v="1"/>
    <x v="3"/>
    <x v="7"/>
    <x v="5"/>
    <x v="11"/>
    <x v="18"/>
    <x v="27"/>
    <x v="19"/>
    <x v="876"/>
    <x v="783"/>
    <x v="1262"/>
    <x v="1596"/>
    <x v="29"/>
    <x v="2"/>
    <x v="1"/>
    <x v="0"/>
  </r>
  <r>
    <x v="1605"/>
    <x v="442"/>
    <x v="1"/>
    <x v="1"/>
    <x v="4"/>
    <x v="8"/>
    <x v="16"/>
    <x v="0"/>
    <x v="0"/>
    <x v="0"/>
    <x v="3"/>
    <x v="7"/>
    <x v="5"/>
    <x v="11"/>
    <x v="11"/>
    <x v="27"/>
    <x v="19"/>
    <x v="850"/>
    <x v="764"/>
    <x v="1334"/>
    <x v="1513"/>
    <x v="2"/>
    <x v="2"/>
    <x v="0"/>
    <x v="0"/>
  </r>
  <r>
    <x v="1606"/>
    <x v="449"/>
    <x v="1"/>
    <x v="1"/>
    <x v="4"/>
    <x v="8"/>
    <x v="16"/>
    <x v="0"/>
    <x v="0"/>
    <x v="1"/>
    <x v="0"/>
    <x v="1"/>
    <x v="3"/>
    <x v="7"/>
    <x v="101"/>
    <x v="1"/>
    <x v="1"/>
    <x v="484"/>
    <x v="400"/>
    <x v="479"/>
    <x v="1094"/>
    <x v="1185"/>
    <x v="1"/>
    <x v="1"/>
    <x v="2"/>
  </r>
  <r>
    <x v="1607"/>
    <x v="456"/>
    <x v="1"/>
    <x v="1"/>
    <x v="4"/>
    <x v="8"/>
    <x v="16"/>
    <x v="0"/>
    <x v="0"/>
    <x v="0"/>
    <x v="0"/>
    <x v="1"/>
    <x v="3"/>
    <x v="7"/>
    <x v="59"/>
    <x v="1"/>
    <x v="1"/>
    <x v="303"/>
    <x v="237"/>
    <x v="981"/>
    <x v="645"/>
    <x v="785"/>
    <x v="1"/>
    <x v="0"/>
    <x v="2"/>
  </r>
  <r>
    <x v="1608"/>
    <x v="436"/>
    <x v="1"/>
    <x v="1"/>
    <x v="4"/>
    <x v="8"/>
    <x v="16"/>
    <x v="0"/>
    <x v="0"/>
    <x v="1"/>
    <x v="0"/>
    <x v="1"/>
    <x v="8"/>
    <x v="17"/>
    <x v="79"/>
    <x v="13"/>
    <x v="8"/>
    <x v="755"/>
    <x v="661"/>
    <x v="919"/>
    <x v="1483"/>
    <x v="1039"/>
    <x v="0"/>
    <x v="1"/>
    <x v="0"/>
  </r>
  <r>
    <x v="1609"/>
    <x v="443"/>
    <x v="1"/>
    <x v="1"/>
    <x v="4"/>
    <x v="8"/>
    <x v="16"/>
    <x v="0"/>
    <x v="0"/>
    <x v="0"/>
    <x v="0"/>
    <x v="1"/>
    <x v="8"/>
    <x v="17"/>
    <x v="69"/>
    <x v="13"/>
    <x v="8"/>
    <x v="728"/>
    <x v="633"/>
    <x v="1276"/>
    <x v="1392"/>
    <x v="594"/>
    <x v="0"/>
    <x v="0"/>
    <x v="0"/>
  </r>
  <r>
    <x v="1610"/>
    <x v="450"/>
    <x v="1"/>
    <x v="1"/>
    <x v="4"/>
    <x v="8"/>
    <x v="16"/>
    <x v="0"/>
    <x v="0"/>
    <x v="1"/>
    <x v="0"/>
    <x v="1"/>
    <x v="9"/>
    <x v="19"/>
    <x v="73"/>
    <x v="7"/>
    <x v="5"/>
    <x v="650"/>
    <x v="578"/>
    <x v="714"/>
    <x v="1281"/>
    <x v="715"/>
    <x v="0"/>
    <x v="1"/>
    <x v="0"/>
  </r>
  <r>
    <x v="1611"/>
    <x v="457"/>
    <x v="1"/>
    <x v="1"/>
    <x v="4"/>
    <x v="8"/>
    <x v="16"/>
    <x v="0"/>
    <x v="0"/>
    <x v="0"/>
    <x v="0"/>
    <x v="1"/>
    <x v="9"/>
    <x v="19"/>
    <x v="70"/>
    <x v="7"/>
    <x v="5"/>
    <x v="629"/>
    <x v="562"/>
    <x v="1219"/>
    <x v="1185"/>
    <x v="310"/>
    <x v="0"/>
    <x v="0"/>
    <x v="0"/>
  </r>
  <r>
    <x v="1612"/>
    <x v="437"/>
    <x v="1"/>
    <x v="1"/>
    <x v="4"/>
    <x v="8"/>
    <x v="16"/>
    <x v="0"/>
    <x v="0"/>
    <x v="1"/>
    <x v="2"/>
    <x v="5"/>
    <x v="0"/>
    <x v="1"/>
    <x v="41"/>
    <x v="16"/>
    <x v="11"/>
    <x v="657"/>
    <x v="581"/>
    <x v="728"/>
    <x v="1306"/>
    <x v="880"/>
    <x v="0"/>
    <x v="1"/>
    <x v="0"/>
  </r>
  <r>
    <x v="1613"/>
    <x v="444"/>
    <x v="1"/>
    <x v="1"/>
    <x v="4"/>
    <x v="8"/>
    <x v="16"/>
    <x v="0"/>
    <x v="0"/>
    <x v="0"/>
    <x v="2"/>
    <x v="5"/>
    <x v="0"/>
    <x v="1"/>
    <x v="23"/>
    <x v="16"/>
    <x v="11"/>
    <x v="489"/>
    <x v="430"/>
    <x v="1137"/>
    <x v="927"/>
    <x v="392"/>
    <x v="1"/>
    <x v="0"/>
    <x v="2"/>
  </r>
  <r>
    <x v="1614"/>
    <x v="451"/>
    <x v="1"/>
    <x v="1"/>
    <x v="4"/>
    <x v="8"/>
    <x v="16"/>
    <x v="0"/>
    <x v="0"/>
    <x v="1"/>
    <x v="2"/>
    <x v="5"/>
    <x v="4"/>
    <x v="9"/>
    <x v="33"/>
    <x v="10"/>
    <x v="9"/>
    <x v="485"/>
    <x v="450"/>
    <x v="481"/>
    <x v="968"/>
    <x v="569"/>
    <x v="1"/>
    <x v="1"/>
    <x v="2"/>
  </r>
  <r>
    <x v="1615"/>
    <x v="458"/>
    <x v="1"/>
    <x v="1"/>
    <x v="4"/>
    <x v="8"/>
    <x v="16"/>
    <x v="0"/>
    <x v="0"/>
    <x v="0"/>
    <x v="2"/>
    <x v="5"/>
    <x v="4"/>
    <x v="9"/>
    <x v="29"/>
    <x v="10"/>
    <x v="9"/>
    <x v="440"/>
    <x v="414"/>
    <x v="1103"/>
    <x v="791"/>
    <x v="219"/>
    <x v="1"/>
    <x v="0"/>
    <x v="2"/>
  </r>
  <r>
    <x v="1616"/>
    <x v="438"/>
    <x v="1"/>
    <x v="1"/>
    <x v="4"/>
    <x v="8"/>
    <x v="16"/>
    <x v="0"/>
    <x v="0"/>
    <x v="1"/>
    <x v="1"/>
    <x v="3"/>
    <x v="7"/>
    <x v="15"/>
    <x v="56"/>
    <x v="19"/>
    <x v="13"/>
    <x v="750"/>
    <x v="676"/>
    <x v="887"/>
    <x v="1404"/>
    <x v="416"/>
    <x v="0"/>
    <x v="1"/>
    <x v="0"/>
  </r>
  <r>
    <x v="1617"/>
    <x v="445"/>
    <x v="1"/>
    <x v="1"/>
    <x v="4"/>
    <x v="8"/>
    <x v="16"/>
    <x v="0"/>
    <x v="0"/>
    <x v="0"/>
    <x v="1"/>
    <x v="3"/>
    <x v="7"/>
    <x v="15"/>
    <x v="35"/>
    <x v="19"/>
    <x v="13"/>
    <x v="640"/>
    <x v="586"/>
    <x v="1226"/>
    <x v="1143"/>
    <x v="137"/>
    <x v="1"/>
    <x v="0"/>
    <x v="0"/>
  </r>
  <r>
    <x v="1618"/>
    <x v="452"/>
    <x v="1"/>
    <x v="1"/>
    <x v="4"/>
    <x v="8"/>
    <x v="16"/>
    <x v="0"/>
    <x v="0"/>
    <x v="1"/>
    <x v="1"/>
    <x v="3"/>
    <x v="6"/>
    <x v="13"/>
    <x v="61"/>
    <x v="4"/>
    <x v="3"/>
    <x v="378"/>
    <x v="324"/>
    <x v="336"/>
    <x v="863"/>
    <x v="1001"/>
    <x v="1"/>
    <x v="1"/>
    <x v="2"/>
  </r>
  <r>
    <x v="1619"/>
    <x v="432"/>
    <x v="1"/>
    <x v="1"/>
    <x v="4"/>
    <x v="8"/>
    <x v="16"/>
    <x v="0"/>
    <x v="0"/>
    <x v="0"/>
    <x v="1"/>
    <x v="3"/>
    <x v="6"/>
    <x v="13"/>
    <x v="40"/>
    <x v="4"/>
    <x v="3"/>
    <x v="253"/>
    <x v="214"/>
    <x v="911"/>
    <x v="508"/>
    <x v="539"/>
    <x v="1"/>
    <x v="0"/>
    <x v="2"/>
  </r>
  <r>
    <x v="1620"/>
    <x v="439"/>
    <x v="1"/>
    <x v="1"/>
    <x v="4"/>
    <x v="8"/>
    <x v="16"/>
    <x v="1"/>
    <x v="1"/>
    <x v="1"/>
    <x v="3"/>
    <x v="7"/>
    <x v="1"/>
    <x v="3"/>
    <x v="12"/>
    <x v="24"/>
    <x v="17"/>
    <x v="836"/>
    <x v="747"/>
    <x v="1143"/>
    <x v="1556"/>
    <x v="153"/>
    <x v="1"/>
    <x v="1"/>
    <x v="0"/>
  </r>
  <r>
    <x v="1621"/>
    <x v="446"/>
    <x v="1"/>
    <x v="1"/>
    <x v="4"/>
    <x v="8"/>
    <x v="16"/>
    <x v="1"/>
    <x v="1"/>
    <x v="0"/>
    <x v="3"/>
    <x v="7"/>
    <x v="1"/>
    <x v="3"/>
    <x v="6"/>
    <x v="24"/>
    <x v="17"/>
    <x v="786"/>
    <x v="715"/>
    <x v="1302"/>
    <x v="1342"/>
    <x v="53"/>
    <x v="2"/>
    <x v="0"/>
    <x v="0"/>
  </r>
  <r>
    <x v="1622"/>
    <x v="453"/>
    <x v="1"/>
    <x v="1"/>
    <x v="4"/>
    <x v="8"/>
    <x v="16"/>
    <x v="1"/>
    <x v="1"/>
    <x v="1"/>
    <x v="3"/>
    <x v="7"/>
    <x v="2"/>
    <x v="5"/>
    <x v="9"/>
    <x v="21"/>
    <x v="15"/>
    <x v="638"/>
    <x v="603"/>
    <x v="697"/>
    <x v="1164"/>
    <x v="197"/>
    <x v="1"/>
    <x v="1"/>
    <x v="0"/>
  </r>
  <r>
    <x v="1623"/>
    <x v="433"/>
    <x v="1"/>
    <x v="1"/>
    <x v="4"/>
    <x v="8"/>
    <x v="16"/>
    <x v="1"/>
    <x v="1"/>
    <x v="0"/>
    <x v="3"/>
    <x v="7"/>
    <x v="2"/>
    <x v="5"/>
    <x v="7"/>
    <x v="21"/>
    <x v="15"/>
    <x v="579"/>
    <x v="556"/>
    <x v="1191"/>
    <x v="909"/>
    <x v="70"/>
    <x v="2"/>
    <x v="0"/>
    <x v="0"/>
  </r>
  <r>
    <x v="1624"/>
    <x v="440"/>
    <x v="1"/>
    <x v="1"/>
    <x v="4"/>
    <x v="8"/>
    <x v="16"/>
    <x v="1"/>
    <x v="1"/>
    <x v="1"/>
    <x v="3"/>
    <x v="7"/>
    <x v="5"/>
    <x v="11"/>
    <x v="9"/>
    <x v="27"/>
    <x v="19"/>
    <x v="841"/>
    <x v="754"/>
    <x v="1160"/>
    <x v="1531"/>
    <x v="31"/>
    <x v="2"/>
    <x v="1"/>
    <x v="0"/>
  </r>
  <r>
    <x v="1625"/>
    <x v="447"/>
    <x v="1"/>
    <x v="1"/>
    <x v="4"/>
    <x v="8"/>
    <x v="16"/>
    <x v="1"/>
    <x v="1"/>
    <x v="0"/>
    <x v="3"/>
    <x v="7"/>
    <x v="5"/>
    <x v="11"/>
    <x v="7"/>
    <x v="27"/>
    <x v="19"/>
    <x v="827"/>
    <x v="745"/>
    <x v="1324"/>
    <x v="1403"/>
    <x v="1"/>
    <x v="2"/>
    <x v="0"/>
    <x v="0"/>
  </r>
  <r>
    <x v="1626"/>
    <x v="454"/>
    <x v="1"/>
    <x v="1"/>
    <x v="4"/>
    <x v="8"/>
    <x v="16"/>
    <x v="1"/>
    <x v="1"/>
    <x v="1"/>
    <x v="0"/>
    <x v="1"/>
    <x v="3"/>
    <x v="7"/>
    <x v="46"/>
    <x v="1"/>
    <x v="1"/>
    <x v="223"/>
    <x v="176"/>
    <x v="168"/>
    <x v="579"/>
    <x v="1178"/>
    <x v="1"/>
    <x v="1"/>
    <x v="2"/>
  </r>
  <r>
    <x v="1627"/>
    <x v="434"/>
    <x v="1"/>
    <x v="1"/>
    <x v="4"/>
    <x v="8"/>
    <x v="16"/>
    <x v="1"/>
    <x v="1"/>
    <x v="0"/>
    <x v="0"/>
    <x v="1"/>
    <x v="3"/>
    <x v="7"/>
    <x v="37"/>
    <x v="1"/>
    <x v="1"/>
    <x v="167"/>
    <x v="130"/>
    <x v="780"/>
    <x v="384"/>
    <x v="783"/>
    <x v="1"/>
    <x v="0"/>
    <x v="2"/>
  </r>
  <r>
    <x v="1628"/>
    <x v="441"/>
    <x v="1"/>
    <x v="1"/>
    <x v="4"/>
    <x v="8"/>
    <x v="16"/>
    <x v="1"/>
    <x v="1"/>
    <x v="1"/>
    <x v="0"/>
    <x v="1"/>
    <x v="8"/>
    <x v="17"/>
    <x v="44"/>
    <x v="13"/>
    <x v="8"/>
    <x v="615"/>
    <x v="526"/>
    <x v="657"/>
    <x v="1263"/>
    <x v="1034"/>
    <x v="0"/>
    <x v="1"/>
    <x v="0"/>
  </r>
  <r>
    <x v="1629"/>
    <x v="448"/>
    <x v="1"/>
    <x v="1"/>
    <x v="4"/>
    <x v="8"/>
    <x v="16"/>
    <x v="1"/>
    <x v="1"/>
    <x v="0"/>
    <x v="0"/>
    <x v="1"/>
    <x v="8"/>
    <x v="17"/>
    <x v="32"/>
    <x v="13"/>
    <x v="8"/>
    <x v="514"/>
    <x v="439"/>
    <x v="1157"/>
    <x v="1027"/>
    <x v="593"/>
    <x v="0"/>
    <x v="0"/>
    <x v="0"/>
  </r>
  <r>
    <x v="1630"/>
    <x v="455"/>
    <x v="1"/>
    <x v="1"/>
    <x v="4"/>
    <x v="8"/>
    <x v="16"/>
    <x v="1"/>
    <x v="1"/>
    <x v="1"/>
    <x v="0"/>
    <x v="1"/>
    <x v="9"/>
    <x v="19"/>
    <x v="47"/>
    <x v="7"/>
    <x v="5"/>
    <x v="509"/>
    <x v="460"/>
    <x v="514"/>
    <x v="1054"/>
    <x v="718"/>
    <x v="0"/>
    <x v="1"/>
    <x v="0"/>
  </r>
  <r>
    <x v="1631"/>
    <x v="435"/>
    <x v="1"/>
    <x v="1"/>
    <x v="4"/>
    <x v="8"/>
    <x v="16"/>
    <x v="1"/>
    <x v="1"/>
    <x v="0"/>
    <x v="0"/>
    <x v="1"/>
    <x v="9"/>
    <x v="19"/>
    <x v="29"/>
    <x v="7"/>
    <x v="5"/>
    <x v="352"/>
    <x v="315"/>
    <x v="1031"/>
    <x v="641"/>
    <x v="305"/>
    <x v="1"/>
    <x v="0"/>
    <x v="2"/>
  </r>
  <r>
    <x v="1632"/>
    <x v="442"/>
    <x v="1"/>
    <x v="1"/>
    <x v="4"/>
    <x v="8"/>
    <x v="16"/>
    <x v="1"/>
    <x v="1"/>
    <x v="1"/>
    <x v="2"/>
    <x v="5"/>
    <x v="0"/>
    <x v="1"/>
    <x v="23"/>
    <x v="16"/>
    <x v="11"/>
    <x v="489"/>
    <x v="430"/>
    <x v="485"/>
    <x v="1031"/>
    <x v="883"/>
    <x v="1"/>
    <x v="1"/>
    <x v="2"/>
  </r>
  <r>
    <x v="1633"/>
    <x v="449"/>
    <x v="1"/>
    <x v="1"/>
    <x v="4"/>
    <x v="8"/>
    <x v="16"/>
    <x v="1"/>
    <x v="1"/>
    <x v="0"/>
    <x v="2"/>
    <x v="5"/>
    <x v="0"/>
    <x v="1"/>
    <x v="14"/>
    <x v="16"/>
    <x v="11"/>
    <x v="341"/>
    <x v="292"/>
    <x v="1021"/>
    <x v="639"/>
    <x v="393"/>
    <x v="1"/>
    <x v="0"/>
    <x v="2"/>
  </r>
  <r>
    <x v="1634"/>
    <x v="456"/>
    <x v="1"/>
    <x v="1"/>
    <x v="4"/>
    <x v="8"/>
    <x v="16"/>
    <x v="1"/>
    <x v="1"/>
    <x v="1"/>
    <x v="2"/>
    <x v="5"/>
    <x v="4"/>
    <x v="9"/>
    <x v="20"/>
    <x v="10"/>
    <x v="9"/>
    <x v="333"/>
    <x v="302"/>
    <x v="263"/>
    <x v="670"/>
    <x v="575"/>
    <x v="1"/>
    <x v="1"/>
    <x v="2"/>
  </r>
  <r>
    <x v="1635"/>
    <x v="436"/>
    <x v="1"/>
    <x v="1"/>
    <x v="4"/>
    <x v="8"/>
    <x v="16"/>
    <x v="1"/>
    <x v="1"/>
    <x v="0"/>
    <x v="2"/>
    <x v="5"/>
    <x v="4"/>
    <x v="9"/>
    <x v="16"/>
    <x v="10"/>
    <x v="9"/>
    <x v="261"/>
    <x v="254"/>
    <x v="930"/>
    <x v="441"/>
    <x v="219"/>
    <x v="1"/>
    <x v="0"/>
    <x v="2"/>
  </r>
  <r>
    <x v="1636"/>
    <x v="443"/>
    <x v="1"/>
    <x v="1"/>
    <x v="4"/>
    <x v="8"/>
    <x v="16"/>
    <x v="1"/>
    <x v="1"/>
    <x v="1"/>
    <x v="1"/>
    <x v="3"/>
    <x v="7"/>
    <x v="15"/>
    <x v="29"/>
    <x v="19"/>
    <x v="13"/>
    <x v="587"/>
    <x v="544"/>
    <x v="626"/>
    <x v="1138"/>
    <x v="419"/>
    <x v="0"/>
    <x v="1"/>
    <x v="0"/>
  </r>
  <r>
    <x v="1637"/>
    <x v="450"/>
    <x v="1"/>
    <x v="1"/>
    <x v="4"/>
    <x v="8"/>
    <x v="16"/>
    <x v="1"/>
    <x v="1"/>
    <x v="0"/>
    <x v="1"/>
    <x v="3"/>
    <x v="7"/>
    <x v="15"/>
    <x v="22"/>
    <x v="19"/>
    <x v="13"/>
    <x v="503"/>
    <x v="474"/>
    <x v="1147"/>
    <x v="859"/>
    <x v="135"/>
    <x v="1"/>
    <x v="0"/>
    <x v="0"/>
  </r>
  <r>
    <x v="1638"/>
    <x v="457"/>
    <x v="1"/>
    <x v="1"/>
    <x v="4"/>
    <x v="8"/>
    <x v="16"/>
    <x v="1"/>
    <x v="1"/>
    <x v="1"/>
    <x v="1"/>
    <x v="3"/>
    <x v="6"/>
    <x v="13"/>
    <x v="33"/>
    <x v="4"/>
    <x v="3"/>
    <x v="197"/>
    <x v="170"/>
    <x v="144"/>
    <x v="483"/>
    <x v="1005"/>
    <x v="1"/>
    <x v="1"/>
    <x v="2"/>
  </r>
  <r>
    <x v="1639"/>
    <x v="437"/>
    <x v="1"/>
    <x v="1"/>
    <x v="4"/>
    <x v="8"/>
    <x v="16"/>
    <x v="1"/>
    <x v="1"/>
    <x v="0"/>
    <x v="1"/>
    <x v="3"/>
    <x v="6"/>
    <x v="13"/>
    <x v="22"/>
    <x v="4"/>
    <x v="3"/>
    <x v="104"/>
    <x v="90"/>
    <x v="665"/>
    <x v="212"/>
    <x v="540"/>
    <x v="1"/>
    <x v="0"/>
    <x v="2"/>
  </r>
  <r>
    <x v="1640"/>
    <x v="444"/>
    <x v="1"/>
    <x v="1"/>
    <x v="4"/>
    <x v="8"/>
    <x v="16"/>
    <x v="3"/>
    <x v="3"/>
    <x v="1"/>
    <x v="3"/>
    <x v="7"/>
    <x v="1"/>
    <x v="3"/>
    <x v="5"/>
    <x v="24"/>
    <x v="17"/>
    <x v="761"/>
    <x v="702"/>
    <x v="934"/>
    <x v="1376"/>
    <x v="148"/>
    <x v="1"/>
    <x v="1"/>
    <x v="0"/>
  </r>
  <r>
    <x v="1641"/>
    <x v="451"/>
    <x v="1"/>
    <x v="1"/>
    <x v="4"/>
    <x v="8"/>
    <x v="16"/>
    <x v="3"/>
    <x v="3"/>
    <x v="0"/>
    <x v="3"/>
    <x v="7"/>
    <x v="1"/>
    <x v="3"/>
    <x v="4"/>
    <x v="24"/>
    <x v="17"/>
    <x v="735"/>
    <x v="679"/>
    <x v="1281"/>
    <x v="1223"/>
    <x v="53"/>
    <x v="2"/>
    <x v="0"/>
    <x v="0"/>
  </r>
  <r>
    <x v="1642"/>
    <x v="458"/>
    <x v="1"/>
    <x v="1"/>
    <x v="4"/>
    <x v="8"/>
    <x v="16"/>
    <x v="3"/>
    <x v="3"/>
    <x v="1"/>
    <x v="3"/>
    <x v="7"/>
    <x v="2"/>
    <x v="5"/>
    <x v="6"/>
    <x v="21"/>
    <x v="15"/>
    <x v="543"/>
    <x v="520"/>
    <x v="562"/>
    <x v="957"/>
    <x v="203"/>
    <x v="1"/>
    <x v="1"/>
    <x v="0"/>
  </r>
  <r>
    <x v="1643"/>
    <x v="438"/>
    <x v="1"/>
    <x v="1"/>
    <x v="4"/>
    <x v="8"/>
    <x v="16"/>
    <x v="3"/>
    <x v="3"/>
    <x v="0"/>
    <x v="3"/>
    <x v="7"/>
    <x v="2"/>
    <x v="5"/>
    <x v="4"/>
    <x v="21"/>
    <x v="15"/>
    <x v="434"/>
    <x v="442"/>
    <x v="1101"/>
    <x v="644"/>
    <x v="70"/>
    <x v="2"/>
    <x v="0"/>
    <x v="2"/>
  </r>
  <r>
    <x v="1644"/>
    <x v="445"/>
    <x v="1"/>
    <x v="1"/>
    <x v="4"/>
    <x v="8"/>
    <x v="16"/>
    <x v="3"/>
    <x v="3"/>
    <x v="1"/>
    <x v="3"/>
    <x v="7"/>
    <x v="5"/>
    <x v="11"/>
    <x v="7"/>
    <x v="27"/>
    <x v="19"/>
    <x v="827"/>
    <x v="745"/>
    <x v="1112"/>
    <x v="1487"/>
    <x v="32"/>
    <x v="2"/>
    <x v="1"/>
    <x v="0"/>
  </r>
  <r>
    <x v="1645"/>
    <x v="452"/>
    <x v="1"/>
    <x v="1"/>
    <x v="4"/>
    <x v="8"/>
    <x v="16"/>
    <x v="3"/>
    <x v="3"/>
    <x v="0"/>
    <x v="3"/>
    <x v="7"/>
    <x v="5"/>
    <x v="11"/>
    <x v="5"/>
    <x v="27"/>
    <x v="19"/>
    <x v="807"/>
    <x v="732"/>
    <x v="1313"/>
    <x v="1295"/>
    <x v="5"/>
    <x v="2"/>
    <x v="0"/>
    <x v="0"/>
  </r>
  <r>
    <x v="1646"/>
    <x v="432"/>
    <x v="1"/>
    <x v="1"/>
    <x v="4"/>
    <x v="8"/>
    <x v="16"/>
    <x v="3"/>
    <x v="3"/>
    <x v="1"/>
    <x v="0"/>
    <x v="1"/>
    <x v="3"/>
    <x v="7"/>
    <x v="36"/>
    <x v="1"/>
    <x v="1"/>
    <x v="159"/>
    <x v="122"/>
    <x v="114"/>
    <x v="440"/>
    <x v="1183"/>
    <x v="1"/>
    <x v="1"/>
    <x v="2"/>
  </r>
  <r>
    <x v="1647"/>
    <x v="439"/>
    <x v="1"/>
    <x v="1"/>
    <x v="4"/>
    <x v="8"/>
    <x v="16"/>
    <x v="3"/>
    <x v="3"/>
    <x v="0"/>
    <x v="0"/>
    <x v="1"/>
    <x v="3"/>
    <x v="7"/>
    <x v="23"/>
    <x v="1"/>
    <x v="1"/>
    <x v="71"/>
    <x v="58"/>
    <x v="594"/>
    <x v="168"/>
    <x v="780"/>
    <x v="1"/>
    <x v="0"/>
    <x v="2"/>
  </r>
  <r>
    <x v="1648"/>
    <x v="446"/>
    <x v="1"/>
    <x v="1"/>
    <x v="4"/>
    <x v="8"/>
    <x v="16"/>
    <x v="3"/>
    <x v="3"/>
    <x v="1"/>
    <x v="0"/>
    <x v="1"/>
    <x v="8"/>
    <x v="17"/>
    <x v="35"/>
    <x v="13"/>
    <x v="8"/>
    <x v="546"/>
    <x v="466"/>
    <x v="569"/>
    <x v="1165"/>
    <x v="1043"/>
    <x v="0"/>
    <x v="1"/>
    <x v="0"/>
  </r>
  <r>
    <x v="1649"/>
    <x v="453"/>
    <x v="1"/>
    <x v="1"/>
    <x v="4"/>
    <x v="8"/>
    <x v="16"/>
    <x v="3"/>
    <x v="3"/>
    <x v="0"/>
    <x v="0"/>
    <x v="1"/>
    <x v="8"/>
    <x v="17"/>
    <x v="25"/>
    <x v="13"/>
    <x v="8"/>
    <x v="430"/>
    <x v="366"/>
    <x v="1096"/>
    <x v="879"/>
    <x v="597"/>
    <x v="1"/>
    <x v="0"/>
    <x v="2"/>
  </r>
  <r>
    <x v="1650"/>
    <x v="433"/>
    <x v="1"/>
    <x v="1"/>
    <x v="4"/>
    <x v="8"/>
    <x v="16"/>
    <x v="3"/>
    <x v="3"/>
    <x v="1"/>
    <x v="0"/>
    <x v="1"/>
    <x v="9"/>
    <x v="19"/>
    <x v="42"/>
    <x v="7"/>
    <x v="5"/>
    <x v="473"/>
    <x v="422"/>
    <x v="456"/>
    <x v="975"/>
    <x v="717"/>
    <x v="1"/>
    <x v="1"/>
    <x v="2"/>
  </r>
  <r>
    <x v="1651"/>
    <x v="440"/>
    <x v="1"/>
    <x v="1"/>
    <x v="4"/>
    <x v="8"/>
    <x v="16"/>
    <x v="3"/>
    <x v="3"/>
    <x v="0"/>
    <x v="0"/>
    <x v="1"/>
    <x v="9"/>
    <x v="19"/>
    <x v="24"/>
    <x v="7"/>
    <x v="5"/>
    <x v="294"/>
    <x v="270"/>
    <x v="975"/>
    <x v="539"/>
    <x v="312"/>
    <x v="1"/>
    <x v="0"/>
    <x v="2"/>
  </r>
  <r>
    <x v="1652"/>
    <x v="447"/>
    <x v="1"/>
    <x v="1"/>
    <x v="4"/>
    <x v="8"/>
    <x v="16"/>
    <x v="3"/>
    <x v="3"/>
    <x v="1"/>
    <x v="2"/>
    <x v="5"/>
    <x v="0"/>
    <x v="1"/>
    <x v="13"/>
    <x v="16"/>
    <x v="11"/>
    <x v="321"/>
    <x v="276"/>
    <x v="250"/>
    <x v="704"/>
    <x v="879"/>
    <x v="1"/>
    <x v="1"/>
    <x v="2"/>
  </r>
  <r>
    <x v="1653"/>
    <x v="454"/>
    <x v="1"/>
    <x v="1"/>
    <x v="4"/>
    <x v="8"/>
    <x v="16"/>
    <x v="3"/>
    <x v="3"/>
    <x v="0"/>
    <x v="2"/>
    <x v="5"/>
    <x v="0"/>
    <x v="1"/>
    <x v="13"/>
    <x v="16"/>
    <x v="11"/>
    <x v="321"/>
    <x v="276"/>
    <x v="1000"/>
    <x v="590"/>
    <x v="391"/>
    <x v="1"/>
    <x v="0"/>
    <x v="2"/>
  </r>
  <r>
    <x v="1654"/>
    <x v="434"/>
    <x v="1"/>
    <x v="1"/>
    <x v="4"/>
    <x v="8"/>
    <x v="16"/>
    <x v="3"/>
    <x v="3"/>
    <x v="1"/>
    <x v="2"/>
    <x v="5"/>
    <x v="4"/>
    <x v="9"/>
    <x v="18"/>
    <x v="10"/>
    <x v="9"/>
    <x v="300"/>
    <x v="280"/>
    <x v="232"/>
    <x v="592"/>
    <x v="570"/>
    <x v="1"/>
    <x v="1"/>
    <x v="2"/>
  </r>
  <r>
    <x v="1655"/>
    <x v="441"/>
    <x v="1"/>
    <x v="1"/>
    <x v="4"/>
    <x v="8"/>
    <x v="16"/>
    <x v="3"/>
    <x v="3"/>
    <x v="0"/>
    <x v="2"/>
    <x v="5"/>
    <x v="4"/>
    <x v="9"/>
    <x v="11"/>
    <x v="10"/>
    <x v="9"/>
    <x v="170"/>
    <x v="169"/>
    <x v="793"/>
    <x v="258"/>
    <x v="219"/>
    <x v="1"/>
    <x v="0"/>
    <x v="2"/>
  </r>
  <r>
    <x v="1656"/>
    <x v="448"/>
    <x v="1"/>
    <x v="1"/>
    <x v="4"/>
    <x v="8"/>
    <x v="16"/>
    <x v="3"/>
    <x v="3"/>
    <x v="1"/>
    <x v="1"/>
    <x v="3"/>
    <x v="7"/>
    <x v="15"/>
    <x v="18"/>
    <x v="19"/>
    <x v="13"/>
    <x v="431"/>
    <x v="415"/>
    <x v="412"/>
    <x v="852"/>
    <x v="415"/>
    <x v="1"/>
    <x v="1"/>
    <x v="2"/>
  </r>
  <r>
    <x v="1657"/>
    <x v="455"/>
    <x v="1"/>
    <x v="1"/>
    <x v="4"/>
    <x v="8"/>
    <x v="16"/>
    <x v="3"/>
    <x v="3"/>
    <x v="0"/>
    <x v="1"/>
    <x v="3"/>
    <x v="7"/>
    <x v="15"/>
    <x v="16"/>
    <x v="19"/>
    <x v="13"/>
    <x v="402"/>
    <x v="386"/>
    <x v="1073"/>
    <x v="669"/>
    <x v="141"/>
    <x v="1"/>
    <x v="0"/>
    <x v="2"/>
  </r>
  <r>
    <x v="1658"/>
    <x v="435"/>
    <x v="1"/>
    <x v="1"/>
    <x v="4"/>
    <x v="8"/>
    <x v="16"/>
    <x v="3"/>
    <x v="3"/>
    <x v="1"/>
    <x v="1"/>
    <x v="3"/>
    <x v="6"/>
    <x v="13"/>
    <x v="25"/>
    <x v="4"/>
    <x v="3"/>
    <x v="129"/>
    <x v="113"/>
    <x v="88"/>
    <x v="326"/>
    <x v="999"/>
    <x v="1"/>
    <x v="1"/>
    <x v="2"/>
  </r>
  <r>
    <x v="1659"/>
    <x v="442"/>
    <x v="1"/>
    <x v="1"/>
    <x v="4"/>
    <x v="8"/>
    <x v="16"/>
    <x v="3"/>
    <x v="3"/>
    <x v="0"/>
    <x v="1"/>
    <x v="3"/>
    <x v="6"/>
    <x v="13"/>
    <x v="13"/>
    <x v="4"/>
    <x v="3"/>
    <x v="39"/>
    <x v="38"/>
    <x v="442"/>
    <x v="69"/>
    <x v="537"/>
    <x v="1"/>
    <x v="0"/>
    <x v="2"/>
  </r>
  <r>
    <x v="1660"/>
    <x v="449"/>
    <x v="1"/>
    <x v="1"/>
    <x v="4"/>
    <x v="8"/>
    <x v="16"/>
    <x v="2"/>
    <x v="2"/>
    <x v="1"/>
    <x v="3"/>
    <x v="7"/>
    <x v="1"/>
    <x v="3"/>
    <x v="5"/>
    <x v="24"/>
    <x v="17"/>
    <x v="761"/>
    <x v="702"/>
    <x v="934"/>
    <x v="1376"/>
    <x v="148"/>
    <x v="1"/>
    <x v="1"/>
    <x v="0"/>
  </r>
  <r>
    <x v="1661"/>
    <x v="456"/>
    <x v="1"/>
    <x v="1"/>
    <x v="4"/>
    <x v="8"/>
    <x v="16"/>
    <x v="2"/>
    <x v="2"/>
    <x v="0"/>
    <x v="3"/>
    <x v="7"/>
    <x v="1"/>
    <x v="3"/>
    <x v="3"/>
    <x v="24"/>
    <x v="17"/>
    <x v="693"/>
    <x v="653"/>
    <x v="1256"/>
    <x v="1135"/>
    <x v="57"/>
    <x v="2"/>
    <x v="0"/>
    <x v="0"/>
  </r>
  <r>
    <x v="1662"/>
    <x v="436"/>
    <x v="1"/>
    <x v="1"/>
    <x v="4"/>
    <x v="8"/>
    <x v="16"/>
    <x v="2"/>
    <x v="2"/>
    <x v="1"/>
    <x v="3"/>
    <x v="7"/>
    <x v="2"/>
    <x v="5"/>
    <x v="4"/>
    <x v="21"/>
    <x v="15"/>
    <x v="434"/>
    <x v="442"/>
    <x v="418"/>
    <x v="781"/>
    <x v="204"/>
    <x v="1"/>
    <x v="1"/>
    <x v="2"/>
  </r>
  <r>
    <x v="1663"/>
    <x v="443"/>
    <x v="1"/>
    <x v="1"/>
    <x v="4"/>
    <x v="8"/>
    <x v="16"/>
    <x v="2"/>
    <x v="2"/>
    <x v="0"/>
    <x v="3"/>
    <x v="7"/>
    <x v="2"/>
    <x v="5"/>
    <x v="2"/>
    <x v="21"/>
    <x v="15"/>
    <x v="309"/>
    <x v="313"/>
    <x v="988"/>
    <x v="405"/>
    <x v="73"/>
    <x v="2"/>
    <x v="0"/>
    <x v="2"/>
  </r>
  <r>
    <x v="1664"/>
    <x v="450"/>
    <x v="1"/>
    <x v="1"/>
    <x v="4"/>
    <x v="8"/>
    <x v="16"/>
    <x v="2"/>
    <x v="2"/>
    <x v="1"/>
    <x v="3"/>
    <x v="7"/>
    <x v="5"/>
    <x v="11"/>
    <x v="5"/>
    <x v="27"/>
    <x v="19"/>
    <x v="807"/>
    <x v="732"/>
    <x v="1051"/>
    <x v="1413"/>
    <x v="33"/>
    <x v="2"/>
    <x v="1"/>
    <x v="0"/>
  </r>
  <r>
    <x v="1665"/>
    <x v="457"/>
    <x v="1"/>
    <x v="1"/>
    <x v="4"/>
    <x v="8"/>
    <x v="16"/>
    <x v="2"/>
    <x v="2"/>
    <x v="0"/>
    <x v="3"/>
    <x v="7"/>
    <x v="5"/>
    <x v="11"/>
    <x v="3"/>
    <x v="27"/>
    <x v="19"/>
    <x v="758"/>
    <x v="709"/>
    <x v="1294"/>
    <x v="1156"/>
    <x v="0"/>
    <x v="2"/>
    <x v="0"/>
    <x v="0"/>
  </r>
  <r>
    <x v="1666"/>
    <x v="437"/>
    <x v="1"/>
    <x v="1"/>
    <x v="4"/>
    <x v="8"/>
    <x v="16"/>
    <x v="2"/>
    <x v="2"/>
    <x v="1"/>
    <x v="0"/>
    <x v="1"/>
    <x v="3"/>
    <x v="7"/>
    <x v="29"/>
    <x v="1"/>
    <x v="1"/>
    <x v="111"/>
    <x v="86"/>
    <x v="73"/>
    <x v="320"/>
    <x v="1188"/>
    <x v="1"/>
    <x v="1"/>
    <x v="2"/>
  </r>
  <r>
    <x v="1667"/>
    <x v="444"/>
    <x v="1"/>
    <x v="1"/>
    <x v="4"/>
    <x v="8"/>
    <x v="16"/>
    <x v="2"/>
    <x v="2"/>
    <x v="0"/>
    <x v="0"/>
    <x v="1"/>
    <x v="3"/>
    <x v="7"/>
    <x v="16"/>
    <x v="1"/>
    <x v="1"/>
    <x v="35"/>
    <x v="30"/>
    <x v="427"/>
    <x v="75"/>
    <x v="779"/>
    <x v="1"/>
    <x v="0"/>
    <x v="2"/>
  </r>
  <r>
    <x v="1668"/>
    <x v="451"/>
    <x v="1"/>
    <x v="1"/>
    <x v="4"/>
    <x v="8"/>
    <x v="16"/>
    <x v="2"/>
    <x v="2"/>
    <x v="1"/>
    <x v="0"/>
    <x v="1"/>
    <x v="8"/>
    <x v="17"/>
    <x v="22"/>
    <x v="13"/>
    <x v="8"/>
    <x v="393"/>
    <x v="331"/>
    <x v="353"/>
    <x v="892"/>
    <x v="1032"/>
    <x v="1"/>
    <x v="1"/>
    <x v="2"/>
  </r>
  <r>
    <x v="1669"/>
    <x v="458"/>
    <x v="1"/>
    <x v="1"/>
    <x v="4"/>
    <x v="8"/>
    <x v="16"/>
    <x v="2"/>
    <x v="2"/>
    <x v="0"/>
    <x v="0"/>
    <x v="1"/>
    <x v="8"/>
    <x v="17"/>
    <x v="22"/>
    <x v="13"/>
    <x v="8"/>
    <x v="393"/>
    <x v="331"/>
    <x v="1066"/>
    <x v="806"/>
    <x v="593"/>
    <x v="1"/>
    <x v="0"/>
    <x v="2"/>
  </r>
  <r>
    <x v="1670"/>
    <x v="438"/>
    <x v="1"/>
    <x v="1"/>
    <x v="4"/>
    <x v="8"/>
    <x v="16"/>
    <x v="2"/>
    <x v="2"/>
    <x v="1"/>
    <x v="0"/>
    <x v="1"/>
    <x v="9"/>
    <x v="19"/>
    <x v="24"/>
    <x v="7"/>
    <x v="5"/>
    <x v="294"/>
    <x v="270"/>
    <x v="230"/>
    <x v="630"/>
    <x v="713"/>
    <x v="1"/>
    <x v="1"/>
    <x v="2"/>
  </r>
  <r>
    <x v="1671"/>
    <x v="445"/>
    <x v="1"/>
    <x v="1"/>
    <x v="4"/>
    <x v="8"/>
    <x v="16"/>
    <x v="2"/>
    <x v="2"/>
    <x v="0"/>
    <x v="0"/>
    <x v="1"/>
    <x v="9"/>
    <x v="19"/>
    <x v="17"/>
    <x v="7"/>
    <x v="5"/>
    <x v="198"/>
    <x v="187"/>
    <x v="835"/>
    <x v="346"/>
    <x v="308"/>
    <x v="1"/>
    <x v="0"/>
    <x v="2"/>
  </r>
  <r>
    <x v="1672"/>
    <x v="452"/>
    <x v="1"/>
    <x v="1"/>
    <x v="4"/>
    <x v="8"/>
    <x v="16"/>
    <x v="2"/>
    <x v="2"/>
    <x v="1"/>
    <x v="2"/>
    <x v="5"/>
    <x v="0"/>
    <x v="1"/>
    <x v="13"/>
    <x v="16"/>
    <x v="11"/>
    <x v="321"/>
    <x v="276"/>
    <x v="250"/>
    <x v="704"/>
    <x v="879"/>
    <x v="1"/>
    <x v="1"/>
    <x v="2"/>
  </r>
  <r>
    <x v="1673"/>
    <x v="432"/>
    <x v="1"/>
    <x v="1"/>
    <x v="4"/>
    <x v="8"/>
    <x v="16"/>
    <x v="2"/>
    <x v="2"/>
    <x v="0"/>
    <x v="2"/>
    <x v="5"/>
    <x v="0"/>
    <x v="1"/>
    <x v="8"/>
    <x v="16"/>
    <x v="11"/>
    <x v="190"/>
    <x v="172"/>
    <x v="827"/>
    <x v="355"/>
    <x v="396"/>
    <x v="1"/>
    <x v="0"/>
    <x v="2"/>
  </r>
  <r>
    <x v="1674"/>
    <x v="439"/>
    <x v="1"/>
    <x v="1"/>
    <x v="4"/>
    <x v="8"/>
    <x v="16"/>
    <x v="2"/>
    <x v="2"/>
    <x v="1"/>
    <x v="2"/>
    <x v="5"/>
    <x v="4"/>
    <x v="9"/>
    <x v="13"/>
    <x v="10"/>
    <x v="9"/>
    <x v="206"/>
    <x v="202"/>
    <x v="152"/>
    <x v="433"/>
    <x v="568"/>
    <x v="1"/>
    <x v="1"/>
    <x v="2"/>
  </r>
  <r>
    <x v="1675"/>
    <x v="446"/>
    <x v="1"/>
    <x v="1"/>
    <x v="4"/>
    <x v="8"/>
    <x v="16"/>
    <x v="2"/>
    <x v="2"/>
    <x v="0"/>
    <x v="2"/>
    <x v="5"/>
    <x v="4"/>
    <x v="9"/>
    <x v="9"/>
    <x v="10"/>
    <x v="9"/>
    <x v="125"/>
    <x v="131"/>
    <x v="707"/>
    <x v="191"/>
    <x v="219"/>
    <x v="1"/>
    <x v="0"/>
    <x v="2"/>
  </r>
  <r>
    <x v="1676"/>
    <x v="453"/>
    <x v="1"/>
    <x v="1"/>
    <x v="4"/>
    <x v="8"/>
    <x v="16"/>
    <x v="2"/>
    <x v="2"/>
    <x v="1"/>
    <x v="1"/>
    <x v="3"/>
    <x v="7"/>
    <x v="15"/>
    <x v="13"/>
    <x v="19"/>
    <x v="13"/>
    <x v="347"/>
    <x v="328"/>
    <x v="287"/>
    <x v="658"/>
    <x v="412"/>
    <x v="1"/>
    <x v="1"/>
    <x v="2"/>
  </r>
  <r>
    <x v="1677"/>
    <x v="433"/>
    <x v="1"/>
    <x v="1"/>
    <x v="4"/>
    <x v="8"/>
    <x v="16"/>
    <x v="2"/>
    <x v="2"/>
    <x v="0"/>
    <x v="1"/>
    <x v="3"/>
    <x v="7"/>
    <x v="15"/>
    <x v="9"/>
    <x v="19"/>
    <x v="13"/>
    <x v="242"/>
    <x v="243"/>
    <x v="889"/>
    <x v="368"/>
    <x v="142"/>
    <x v="1"/>
    <x v="0"/>
    <x v="2"/>
  </r>
  <r>
    <x v="1678"/>
    <x v="440"/>
    <x v="1"/>
    <x v="1"/>
    <x v="4"/>
    <x v="8"/>
    <x v="16"/>
    <x v="2"/>
    <x v="2"/>
    <x v="1"/>
    <x v="1"/>
    <x v="3"/>
    <x v="6"/>
    <x v="13"/>
    <x v="14"/>
    <x v="4"/>
    <x v="3"/>
    <x v="44"/>
    <x v="43"/>
    <x v="21"/>
    <x v="117"/>
    <x v="1004"/>
    <x v="1"/>
    <x v="1"/>
    <x v="2"/>
  </r>
  <r>
    <x v="1679"/>
    <x v="447"/>
    <x v="1"/>
    <x v="1"/>
    <x v="4"/>
    <x v="8"/>
    <x v="16"/>
    <x v="2"/>
    <x v="2"/>
    <x v="0"/>
    <x v="1"/>
    <x v="3"/>
    <x v="6"/>
    <x v="13"/>
    <x v="9"/>
    <x v="4"/>
    <x v="3"/>
    <x v="14"/>
    <x v="18"/>
    <x v="305"/>
    <x v="27"/>
    <x v="543"/>
    <x v="1"/>
    <x v="0"/>
    <x v="2"/>
  </r>
  <r>
    <x v="1680"/>
    <x v="454"/>
    <x v="1"/>
    <x v="1"/>
    <x v="4"/>
    <x v="8"/>
    <x v="16"/>
    <x v="4"/>
    <x v="4"/>
    <x v="1"/>
    <x v="3"/>
    <x v="7"/>
    <x v="1"/>
    <x v="3"/>
    <x v="4"/>
    <x v="24"/>
    <x v="17"/>
    <x v="735"/>
    <x v="679"/>
    <x v="860"/>
    <x v="1303"/>
    <x v="147"/>
    <x v="1"/>
    <x v="1"/>
    <x v="0"/>
  </r>
  <r>
    <x v="1681"/>
    <x v="434"/>
    <x v="1"/>
    <x v="1"/>
    <x v="4"/>
    <x v="8"/>
    <x v="16"/>
    <x v="4"/>
    <x v="4"/>
    <x v="0"/>
    <x v="3"/>
    <x v="7"/>
    <x v="1"/>
    <x v="3"/>
    <x v="2"/>
    <x v="24"/>
    <x v="17"/>
    <x v="628"/>
    <x v="600"/>
    <x v="1218"/>
    <x v="984"/>
    <x v="53"/>
    <x v="2"/>
    <x v="0"/>
    <x v="0"/>
  </r>
  <r>
    <x v="1682"/>
    <x v="441"/>
    <x v="1"/>
    <x v="1"/>
    <x v="4"/>
    <x v="8"/>
    <x v="16"/>
    <x v="4"/>
    <x v="4"/>
    <x v="1"/>
    <x v="3"/>
    <x v="7"/>
    <x v="2"/>
    <x v="5"/>
    <x v="4"/>
    <x v="21"/>
    <x v="15"/>
    <x v="434"/>
    <x v="442"/>
    <x v="418"/>
    <x v="781"/>
    <x v="204"/>
    <x v="1"/>
    <x v="1"/>
    <x v="2"/>
  </r>
  <r>
    <x v="1683"/>
    <x v="448"/>
    <x v="1"/>
    <x v="1"/>
    <x v="4"/>
    <x v="8"/>
    <x v="16"/>
    <x v="4"/>
    <x v="4"/>
    <x v="0"/>
    <x v="3"/>
    <x v="7"/>
    <x v="2"/>
    <x v="5"/>
    <x v="3"/>
    <x v="21"/>
    <x v="15"/>
    <x v="374"/>
    <x v="385"/>
    <x v="1055"/>
    <x v="535"/>
    <x v="69"/>
    <x v="2"/>
    <x v="0"/>
    <x v="2"/>
  </r>
  <r>
    <x v="1684"/>
    <x v="455"/>
    <x v="1"/>
    <x v="1"/>
    <x v="4"/>
    <x v="8"/>
    <x v="16"/>
    <x v="4"/>
    <x v="4"/>
    <x v="1"/>
    <x v="3"/>
    <x v="7"/>
    <x v="5"/>
    <x v="11"/>
    <x v="4"/>
    <x v="27"/>
    <x v="19"/>
    <x v="791"/>
    <x v="726"/>
    <x v="1003"/>
    <x v="1352"/>
    <x v="29"/>
    <x v="2"/>
    <x v="1"/>
    <x v="0"/>
  </r>
  <r>
    <x v="1685"/>
    <x v="435"/>
    <x v="1"/>
    <x v="1"/>
    <x v="4"/>
    <x v="8"/>
    <x v="16"/>
    <x v="4"/>
    <x v="4"/>
    <x v="0"/>
    <x v="3"/>
    <x v="7"/>
    <x v="5"/>
    <x v="11"/>
    <x v="3"/>
    <x v="27"/>
    <x v="19"/>
    <x v="758"/>
    <x v="709"/>
    <x v="1294"/>
    <x v="1156"/>
    <x v="0"/>
    <x v="2"/>
    <x v="0"/>
    <x v="0"/>
  </r>
  <r>
    <x v="1686"/>
    <x v="442"/>
    <x v="1"/>
    <x v="1"/>
    <x v="4"/>
    <x v="8"/>
    <x v="16"/>
    <x v="4"/>
    <x v="4"/>
    <x v="1"/>
    <x v="0"/>
    <x v="1"/>
    <x v="3"/>
    <x v="7"/>
    <x v="32"/>
    <x v="1"/>
    <x v="1"/>
    <x v="131"/>
    <x v="104"/>
    <x v="91"/>
    <x v="380"/>
    <x v="1186"/>
    <x v="1"/>
    <x v="1"/>
    <x v="2"/>
  </r>
  <r>
    <x v="1687"/>
    <x v="449"/>
    <x v="1"/>
    <x v="1"/>
    <x v="4"/>
    <x v="8"/>
    <x v="16"/>
    <x v="4"/>
    <x v="4"/>
    <x v="0"/>
    <x v="0"/>
    <x v="1"/>
    <x v="3"/>
    <x v="7"/>
    <x v="18"/>
    <x v="1"/>
    <x v="1"/>
    <x v="43"/>
    <x v="39"/>
    <x v="477"/>
    <x v="97"/>
    <x v="790"/>
    <x v="1"/>
    <x v="0"/>
    <x v="2"/>
  </r>
  <r>
    <x v="1688"/>
    <x v="456"/>
    <x v="1"/>
    <x v="1"/>
    <x v="4"/>
    <x v="8"/>
    <x v="16"/>
    <x v="4"/>
    <x v="4"/>
    <x v="1"/>
    <x v="0"/>
    <x v="1"/>
    <x v="8"/>
    <x v="17"/>
    <x v="25"/>
    <x v="13"/>
    <x v="8"/>
    <x v="430"/>
    <x v="366"/>
    <x v="408"/>
    <x v="961"/>
    <x v="1036"/>
    <x v="1"/>
    <x v="1"/>
    <x v="2"/>
  </r>
  <r>
    <x v="1689"/>
    <x v="436"/>
    <x v="1"/>
    <x v="1"/>
    <x v="4"/>
    <x v="8"/>
    <x v="16"/>
    <x v="4"/>
    <x v="4"/>
    <x v="0"/>
    <x v="0"/>
    <x v="1"/>
    <x v="8"/>
    <x v="17"/>
    <x v="17"/>
    <x v="13"/>
    <x v="8"/>
    <x v="323"/>
    <x v="266"/>
    <x v="1001"/>
    <x v="640"/>
    <x v="600"/>
    <x v="1"/>
    <x v="0"/>
    <x v="2"/>
  </r>
  <r>
    <x v="1690"/>
    <x v="443"/>
    <x v="1"/>
    <x v="1"/>
    <x v="4"/>
    <x v="8"/>
    <x v="16"/>
    <x v="4"/>
    <x v="4"/>
    <x v="1"/>
    <x v="0"/>
    <x v="1"/>
    <x v="9"/>
    <x v="19"/>
    <x v="29"/>
    <x v="7"/>
    <x v="5"/>
    <x v="352"/>
    <x v="315"/>
    <x v="300"/>
    <x v="752"/>
    <x v="714"/>
    <x v="1"/>
    <x v="1"/>
    <x v="2"/>
  </r>
  <r>
    <x v="1691"/>
    <x v="450"/>
    <x v="1"/>
    <x v="1"/>
    <x v="4"/>
    <x v="8"/>
    <x v="16"/>
    <x v="4"/>
    <x v="4"/>
    <x v="0"/>
    <x v="0"/>
    <x v="1"/>
    <x v="9"/>
    <x v="19"/>
    <x v="20"/>
    <x v="7"/>
    <x v="5"/>
    <x v="241"/>
    <x v="223"/>
    <x v="889"/>
    <x v="438"/>
    <x v="303"/>
    <x v="1"/>
    <x v="0"/>
    <x v="2"/>
  </r>
  <r>
    <x v="1692"/>
    <x v="457"/>
    <x v="1"/>
    <x v="1"/>
    <x v="4"/>
    <x v="8"/>
    <x v="16"/>
    <x v="4"/>
    <x v="4"/>
    <x v="1"/>
    <x v="2"/>
    <x v="5"/>
    <x v="0"/>
    <x v="1"/>
    <x v="11"/>
    <x v="16"/>
    <x v="11"/>
    <x v="267"/>
    <x v="240"/>
    <x v="203"/>
    <x v="593"/>
    <x v="882"/>
    <x v="1"/>
    <x v="1"/>
    <x v="2"/>
  </r>
  <r>
    <x v="1693"/>
    <x v="437"/>
    <x v="1"/>
    <x v="1"/>
    <x v="4"/>
    <x v="8"/>
    <x v="16"/>
    <x v="4"/>
    <x v="4"/>
    <x v="0"/>
    <x v="2"/>
    <x v="5"/>
    <x v="0"/>
    <x v="1"/>
    <x v="6"/>
    <x v="16"/>
    <x v="11"/>
    <x v="133"/>
    <x v="121"/>
    <x v="721"/>
    <x v="240"/>
    <x v="399"/>
    <x v="1"/>
    <x v="0"/>
    <x v="2"/>
  </r>
  <r>
    <x v="1694"/>
    <x v="444"/>
    <x v="1"/>
    <x v="1"/>
    <x v="4"/>
    <x v="8"/>
    <x v="16"/>
    <x v="4"/>
    <x v="4"/>
    <x v="1"/>
    <x v="2"/>
    <x v="5"/>
    <x v="4"/>
    <x v="9"/>
    <x v="11"/>
    <x v="10"/>
    <x v="9"/>
    <x v="170"/>
    <x v="169"/>
    <x v="123"/>
    <x v="339"/>
    <x v="574"/>
    <x v="1"/>
    <x v="1"/>
    <x v="2"/>
  </r>
  <r>
    <x v="1695"/>
    <x v="451"/>
    <x v="1"/>
    <x v="1"/>
    <x v="4"/>
    <x v="8"/>
    <x v="16"/>
    <x v="4"/>
    <x v="4"/>
    <x v="0"/>
    <x v="2"/>
    <x v="5"/>
    <x v="4"/>
    <x v="9"/>
    <x v="7"/>
    <x v="10"/>
    <x v="9"/>
    <x v="88"/>
    <x v="94"/>
    <x v="627"/>
    <x v="123"/>
    <x v="219"/>
    <x v="1"/>
    <x v="0"/>
    <x v="2"/>
  </r>
  <r>
    <x v="1696"/>
    <x v="458"/>
    <x v="1"/>
    <x v="1"/>
    <x v="4"/>
    <x v="8"/>
    <x v="16"/>
    <x v="4"/>
    <x v="4"/>
    <x v="1"/>
    <x v="1"/>
    <x v="3"/>
    <x v="7"/>
    <x v="15"/>
    <x v="16"/>
    <x v="19"/>
    <x v="13"/>
    <x v="402"/>
    <x v="386"/>
    <x v="368"/>
    <x v="783"/>
    <x v="420"/>
    <x v="1"/>
    <x v="1"/>
    <x v="2"/>
  </r>
  <r>
    <x v="1697"/>
    <x v="438"/>
    <x v="1"/>
    <x v="1"/>
    <x v="4"/>
    <x v="8"/>
    <x v="16"/>
    <x v="4"/>
    <x v="4"/>
    <x v="0"/>
    <x v="1"/>
    <x v="3"/>
    <x v="7"/>
    <x v="15"/>
    <x v="10"/>
    <x v="19"/>
    <x v="13"/>
    <x v="268"/>
    <x v="267"/>
    <x v="939"/>
    <x v="423"/>
    <x v="141"/>
    <x v="1"/>
    <x v="0"/>
    <x v="2"/>
  </r>
  <r>
    <x v="1698"/>
    <x v="445"/>
    <x v="1"/>
    <x v="1"/>
    <x v="4"/>
    <x v="8"/>
    <x v="16"/>
    <x v="4"/>
    <x v="4"/>
    <x v="1"/>
    <x v="1"/>
    <x v="3"/>
    <x v="6"/>
    <x v="13"/>
    <x v="13"/>
    <x v="4"/>
    <x v="3"/>
    <x v="39"/>
    <x v="38"/>
    <x v="12"/>
    <x v="98"/>
    <x v="1008"/>
    <x v="1"/>
    <x v="1"/>
    <x v="2"/>
  </r>
  <r>
    <x v="1699"/>
    <x v="452"/>
    <x v="1"/>
    <x v="1"/>
    <x v="4"/>
    <x v="8"/>
    <x v="16"/>
    <x v="4"/>
    <x v="4"/>
    <x v="0"/>
    <x v="1"/>
    <x v="3"/>
    <x v="6"/>
    <x v="13"/>
    <x v="8"/>
    <x v="4"/>
    <x v="3"/>
    <x v="11"/>
    <x v="12"/>
    <x v="259"/>
    <x v="20"/>
    <x v="537"/>
    <x v="1"/>
    <x v="0"/>
    <x v="2"/>
  </r>
  <r>
    <x v="1700"/>
    <x v="459"/>
    <x v="1"/>
    <x v="1"/>
    <x v="5"/>
    <x v="6"/>
    <x v="17"/>
    <x v="0"/>
    <x v="0"/>
    <x v="1"/>
    <x v="3"/>
    <x v="7"/>
    <x v="1"/>
    <x v="3"/>
    <x v="21"/>
    <x v="24"/>
    <x v="17"/>
    <x v="866"/>
    <x v="772"/>
    <x v="1234"/>
    <x v="1601"/>
    <x v="152"/>
    <x v="1"/>
    <x v="1"/>
    <x v="0"/>
  </r>
  <r>
    <x v="1701"/>
    <x v="466"/>
    <x v="1"/>
    <x v="1"/>
    <x v="5"/>
    <x v="6"/>
    <x v="17"/>
    <x v="0"/>
    <x v="0"/>
    <x v="0"/>
    <x v="3"/>
    <x v="7"/>
    <x v="1"/>
    <x v="3"/>
    <x v="13"/>
    <x v="24"/>
    <x v="17"/>
    <x v="840"/>
    <x v="749"/>
    <x v="1328"/>
    <x v="1533"/>
    <x v="54"/>
    <x v="2"/>
    <x v="0"/>
    <x v="0"/>
  </r>
  <r>
    <x v="1702"/>
    <x v="473"/>
    <x v="1"/>
    <x v="1"/>
    <x v="5"/>
    <x v="6"/>
    <x v="17"/>
    <x v="0"/>
    <x v="0"/>
    <x v="1"/>
    <x v="3"/>
    <x v="7"/>
    <x v="2"/>
    <x v="5"/>
    <x v="17"/>
    <x v="21"/>
    <x v="15"/>
    <x v="767"/>
    <x v="701"/>
    <x v="941"/>
    <x v="1398"/>
    <x v="201"/>
    <x v="1"/>
    <x v="1"/>
    <x v="0"/>
  </r>
  <r>
    <x v="1703"/>
    <x v="480"/>
    <x v="1"/>
    <x v="1"/>
    <x v="5"/>
    <x v="6"/>
    <x v="17"/>
    <x v="0"/>
    <x v="0"/>
    <x v="0"/>
    <x v="3"/>
    <x v="7"/>
    <x v="2"/>
    <x v="5"/>
    <x v="13"/>
    <x v="21"/>
    <x v="15"/>
    <x v="722"/>
    <x v="663"/>
    <x v="1272"/>
    <x v="1222"/>
    <x v="70"/>
    <x v="2"/>
    <x v="0"/>
    <x v="0"/>
  </r>
  <r>
    <x v="1704"/>
    <x v="460"/>
    <x v="1"/>
    <x v="1"/>
    <x v="5"/>
    <x v="6"/>
    <x v="17"/>
    <x v="0"/>
    <x v="0"/>
    <x v="1"/>
    <x v="3"/>
    <x v="7"/>
    <x v="5"/>
    <x v="11"/>
    <x v="22"/>
    <x v="27"/>
    <x v="19"/>
    <x v="886"/>
    <x v="791"/>
    <x v="1284"/>
    <x v="1611"/>
    <x v="29"/>
    <x v="2"/>
    <x v="1"/>
    <x v="0"/>
  </r>
  <r>
    <x v="1705"/>
    <x v="467"/>
    <x v="1"/>
    <x v="1"/>
    <x v="5"/>
    <x v="6"/>
    <x v="17"/>
    <x v="0"/>
    <x v="0"/>
    <x v="0"/>
    <x v="3"/>
    <x v="7"/>
    <x v="5"/>
    <x v="11"/>
    <x v="11"/>
    <x v="27"/>
    <x v="19"/>
    <x v="850"/>
    <x v="764"/>
    <x v="1334"/>
    <x v="1513"/>
    <x v="2"/>
    <x v="2"/>
    <x v="0"/>
    <x v="0"/>
  </r>
  <r>
    <x v="1706"/>
    <x v="474"/>
    <x v="1"/>
    <x v="1"/>
    <x v="5"/>
    <x v="6"/>
    <x v="17"/>
    <x v="0"/>
    <x v="0"/>
    <x v="1"/>
    <x v="0"/>
    <x v="1"/>
    <x v="3"/>
    <x v="7"/>
    <x v="79"/>
    <x v="1"/>
    <x v="1"/>
    <x v="401"/>
    <x v="322"/>
    <x v="363"/>
    <x v="930"/>
    <x v="1181"/>
    <x v="1"/>
    <x v="1"/>
    <x v="2"/>
  </r>
  <r>
    <x v="1707"/>
    <x v="481"/>
    <x v="1"/>
    <x v="1"/>
    <x v="5"/>
    <x v="6"/>
    <x v="17"/>
    <x v="0"/>
    <x v="0"/>
    <x v="0"/>
    <x v="0"/>
    <x v="1"/>
    <x v="3"/>
    <x v="7"/>
    <x v="75"/>
    <x v="1"/>
    <x v="1"/>
    <x v="383"/>
    <x v="305"/>
    <x v="1059"/>
    <x v="826"/>
    <x v="782"/>
    <x v="1"/>
    <x v="0"/>
    <x v="2"/>
  </r>
  <r>
    <x v="1708"/>
    <x v="461"/>
    <x v="1"/>
    <x v="1"/>
    <x v="5"/>
    <x v="6"/>
    <x v="17"/>
    <x v="0"/>
    <x v="0"/>
    <x v="1"/>
    <x v="0"/>
    <x v="1"/>
    <x v="8"/>
    <x v="17"/>
    <x v="102"/>
    <x v="13"/>
    <x v="8"/>
    <x v="798"/>
    <x v="700"/>
    <x v="1023"/>
    <x v="1539"/>
    <x v="1035"/>
    <x v="0"/>
    <x v="1"/>
    <x v="0"/>
  </r>
  <r>
    <x v="1709"/>
    <x v="468"/>
    <x v="1"/>
    <x v="1"/>
    <x v="5"/>
    <x v="6"/>
    <x v="17"/>
    <x v="0"/>
    <x v="0"/>
    <x v="0"/>
    <x v="0"/>
    <x v="1"/>
    <x v="8"/>
    <x v="17"/>
    <x v="70"/>
    <x v="13"/>
    <x v="8"/>
    <x v="732"/>
    <x v="636"/>
    <x v="1278"/>
    <x v="1394"/>
    <x v="595"/>
    <x v="0"/>
    <x v="0"/>
    <x v="0"/>
  </r>
  <r>
    <x v="1710"/>
    <x v="475"/>
    <x v="1"/>
    <x v="1"/>
    <x v="5"/>
    <x v="6"/>
    <x v="17"/>
    <x v="0"/>
    <x v="0"/>
    <x v="1"/>
    <x v="0"/>
    <x v="1"/>
    <x v="9"/>
    <x v="19"/>
    <x v="83"/>
    <x v="7"/>
    <x v="5"/>
    <x v="685"/>
    <x v="610"/>
    <x v="770"/>
    <x v="1333"/>
    <x v="716"/>
    <x v="0"/>
    <x v="1"/>
    <x v="0"/>
  </r>
  <r>
    <x v="1711"/>
    <x v="482"/>
    <x v="1"/>
    <x v="1"/>
    <x v="5"/>
    <x v="6"/>
    <x v="17"/>
    <x v="0"/>
    <x v="0"/>
    <x v="0"/>
    <x v="0"/>
    <x v="1"/>
    <x v="9"/>
    <x v="19"/>
    <x v="63"/>
    <x v="7"/>
    <x v="5"/>
    <x v="604"/>
    <x v="540"/>
    <x v="1204"/>
    <x v="1134"/>
    <x v="309"/>
    <x v="0"/>
    <x v="0"/>
    <x v="0"/>
  </r>
  <r>
    <x v="1712"/>
    <x v="462"/>
    <x v="1"/>
    <x v="1"/>
    <x v="5"/>
    <x v="6"/>
    <x v="17"/>
    <x v="0"/>
    <x v="0"/>
    <x v="1"/>
    <x v="2"/>
    <x v="5"/>
    <x v="0"/>
    <x v="1"/>
    <x v="45"/>
    <x v="16"/>
    <x v="11"/>
    <x v="684"/>
    <x v="601"/>
    <x v="768"/>
    <x v="1347"/>
    <x v="884"/>
    <x v="0"/>
    <x v="1"/>
    <x v="0"/>
  </r>
  <r>
    <x v="1713"/>
    <x v="469"/>
    <x v="1"/>
    <x v="1"/>
    <x v="5"/>
    <x v="6"/>
    <x v="17"/>
    <x v="0"/>
    <x v="0"/>
    <x v="0"/>
    <x v="2"/>
    <x v="5"/>
    <x v="0"/>
    <x v="1"/>
    <x v="34"/>
    <x v="16"/>
    <x v="11"/>
    <x v="611"/>
    <x v="539"/>
    <x v="1209"/>
    <x v="1166"/>
    <x v="395"/>
    <x v="0"/>
    <x v="0"/>
    <x v="0"/>
  </r>
  <r>
    <x v="1714"/>
    <x v="476"/>
    <x v="1"/>
    <x v="1"/>
    <x v="5"/>
    <x v="6"/>
    <x v="17"/>
    <x v="0"/>
    <x v="0"/>
    <x v="1"/>
    <x v="2"/>
    <x v="5"/>
    <x v="4"/>
    <x v="9"/>
    <x v="36"/>
    <x v="10"/>
    <x v="9"/>
    <x v="515"/>
    <x v="473"/>
    <x v="522"/>
    <x v="1025"/>
    <x v="572"/>
    <x v="0"/>
    <x v="1"/>
    <x v="0"/>
  </r>
  <r>
    <x v="1715"/>
    <x v="483"/>
    <x v="1"/>
    <x v="1"/>
    <x v="5"/>
    <x v="6"/>
    <x v="17"/>
    <x v="0"/>
    <x v="0"/>
    <x v="0"/>
    <x v="2"/>
    <x v="5"/>
    <x v="4"/>
    <x v="9"/>
    <x v="32"/>
    <x v="10"/>
    <x v="9"/>
    <x v="477"/>
    <x v="441"/>
    <x v="1127"/>
    <x v="850"/>
    <x v="219"/>
    <x v="1"/>
    <x v="0"/>
    <x v="2"/>
  </r>
  <r>
    <x v="1716"/>
    <x v="463"/>
    <x v="1"/>
    <x v="1"/>
    <x v="5"/>
    <x v="6"/>
    <x v="17"/>
    <x v="0"/>
    <x v="0"/>
    <x v="1"/>
    <x v="1"/>
    <x v="3"/>
    <x v="7"/>
    <x v="15"/>
    <x v="46"/>
    <x v="19"/>
    <x v="13"/>
    <x v="712"/>
    <x v="647"/>
    <x v="818"/>
    <x v="1330"/>
    <x v="420"/>
    <x v="0"/>
    <x v="1"/>
    <x v="0"/>
  </r>
  <r>
    <x v="1717"/>
    <x v="470"/>
    <x v="1"/>
    <x v="1"/>
    <x v="5"/>
    <x v="6"/>
    <x v="17"/>
    <x v="0"/>
    <x v="0"/>
    <x v="0"/>
    <x v="1"/>
    <x v="3"/>
    <x v="7"/>
    <x v="15"/>
    <x v="34"/>
    <x v="19"/>
    <x v="13"/>
    <x v="630"/>
    <x v="582"/>
    <x v="1220"/>
    <x v="1116"/>
    <x v="138"/>
    <x v="1"/>
    <x v="0"/>
    <x v="0"/>
  </r>
  <r>
    <x v="1718"/>
    <x v="477"/>
    <x v="1"/>
    <x v="1"/>
    <x v="5"/>
    <x v="6"/>
    <x v="17"/>
    <x v="0"/>
    <x v="0"/>
    <x v="1"/>
    <x v="1"/>
    <x v="3"/>
    <x v="6"/>
    <x v="13"/>
    <x v="46"/>
    <x v="4"/>
    <x v="3"/>
    <x v="292"/>
    <x v="249"/>
    <x v="227"/>
    <x v="690"/>
    <x v="1004"/>
    <x v="1"/>
    <x v="1"/>
    <x v="2"/>
  </r>
  <r>
    <x v="1719"/>
    <x v="484"/>
    <x v="1"/>
    <x v="1"/>
    <x v="5"/>
    <x v="6"/>
    <x v="17"/>
    <x v="0"/>
    <x v="0"/>
    <x v="0"/>
    <x v="1"/>
    <x v="3"/>
    <x v="6"/>
    <x v="13"/>
    <x v="39"/>
    <x v="4"/>
    <x v="3"/>
    <x v="243"/>
    <x v="205"/>
    <x v="894"/>
    <x v="490"/>
    <x v="542"/>
    <x v="1"/>
    <x v="0"/>
    <x v="2"/>
  </r>
  <r>
    <x v="1720"/>
    <x v="464"/>
    <x v="1"/>
    <x v="1"/>
    <x v="5"/>
    <x v="6"/>
    <x v="17"/>
    <x v="1"/>
    <x v="1"/>
    <x v="1"/>
    <x v="3"/>
    <x v="7"/>
    <x v="1"/>
    <x v="3"/>
    <x v="9"/>
    <x v="24"/>
    <x v="17"/>
    <x v="816"/>
    <x v="734"/>
    <x v="1082"/>
    <x v="1514"/>
    <x v="151"/>
    <x v="1"/>
    <x v="1"/>
    <x v="0"/>
  </r>
  <r>
    <x v="1721"/>
    <x v="471"/>
    <x v="1"/>
    <x v="1"/>
    <x v="5"/>
    <x v="6"/>
    <x v="17"/>
    <x v="1"/>
    <x v="1"/>
    <x v="0"/>
    <x v="3"/>
    <x v="7"/>
    <x v="1"/>
    <x v="3"/>
    <x v="6"/>
    <x v="24"/>
    <x v="17"/>
    <x v="786"/>
    <x v="715"/>
    <x v="1302"/>
    <x v="1342"/>
    <x v="53"/>
    <x v="2"/>
    <x v="0"/>
    <x v="0"/>
  </r>
  <r>
    <x v="1722"/>
    <x v="478"/>
    <x v="1"/>
    <x v="1"/>
    <x v="5"/>
    <x v="6"/>
    <x v="17"/>
    <x v="1"/>
    <x v="1"/>
    <x v="1"/>
    <x v="3"/>
    <x v="7"/>
    <x v="2"/>
    <x v="5"/>
    <x v="12"/>
    <x v="21"/>
    <x v="15"/>
    <x v="704"/>
    <x v="656"/>
    <x v="810"/>
    <x v="1270"/>
    <x v="200"/>
    <x v="1"/>
    <x v="1"/>
    <x v="0"/>
  </r>
  <r>
    <x v="1723"/>
    <x v="485"/>
    <x v="1"/>
    <x v="1"/>
    <x v="5"/>
    <x v="6"/>
    <x v="17"/>
    <x v="1"/>
    <x v="1"/>
    <x v="0"/>
    <x v="3"/>
    <x v="7"/>
    <x v="2"/>
    <x v="5"/>
    <x v="8"/>
    <x v="21"/>
    <x v="15"/>
    <x v="612"/>
    <x v="577"/>
    <x v="1211"/>
    <x v="980"/>
    <x v="72"/>
    <x v="2"/>
    <x v="0"/>
    <x v="0"/>
  </r>
  <r>
    <x v="1724"/>
    <x v="465"/>
    <x v="1"/>
    <x v="1"/>
    <x v="5"/>
    <x v="6"/>
    <x v="17"/>
    <x v="1"/>
    <x v="1"/>
    <x v="1"/>
    <x v="3"/>
    <x v="7"/>
    <x v="5"/>
    <x v="11"/>
    <x v="8"/>
    <x v="27"/>
    <x v="19"/>
    <x v="834"/>
    <x v="750"/>
    <x v="1139"/>
    <x v="1515"/>
    <x v="29"/>
    <x v="2"/>
    <x v="1"/>
    <x v="0"/>
  </r>
  <r>
    <x v="1725"/>
    <x v="472"/>
    <x v="1"/>
    <x v="1"/>
    <x v="5"/>
    <x v="6"/>
    <x v="17"/>
    <x v="1"/>
    <x v="1"/>
    <x v="0"/>
    <x v="3"/>
    <x v="7"/>
    <x v="5"/>
    <x v="11"/>
    <x v="5"/>
    <x v="27"/>
    <x v="19"/>
    <x v="807"/>
    <x v="732"/>
    <x v="1313"/>
    <x v="1295"/>
    <x v="5"/>
    <x v="2"/>
    <x v="0"/>
    <x v="0"/>
  </r>
  <r>
    <x v="1726"/>
    <x v="479"/>
    <x v="1"/>
    <x v="1"/>
    <x v="5"/>
    <x v="6"/>
    <x v="17"/>
    <x v="1"/>
    <x v="1"/>
    <x v="1"/>
    <x v="0"/>
    <x v="1"/>
    <x v="3"/>
    <x v="7"/>
    <x v="62"/>
    <x v="1"/>
    <x v="1"/>
    <x v="319"/>
    <x v="251"/>
    <x v="247"/>
    <x v="774"/>
    <x v="1180"/>
    <x v="1"/>
    <x v="1"/>
    <x v="2"/>
  </r>
  <r>
    <x v="1727"/>
    <x v="459"/>
    <x v="1"/>
    <x v="1"/>
    <x v="5"/>
    <x v="6"/>
    <x v="17"/>
    <x v="1"/>
    <x v="1"/>
    <x v="0"/>
    <x v="0"/>
    <x v="1"/>
    <x v="3"/>
    <x v="7"/>
    <x v="35"/>
    <x v="1"/>
    <x v="1"/>
    <x v="154"/>
    <x v="118"/>
    <x v="756"/>
    <x v="343"/>
    <x v="786"/>
    <x v="1"/>
    <x v="0"/>
    <x v="2"/>
  </r>
  <r>
    <x v="1728"/>
    <x v="466"/>
    <x v="1"/>
    <x v="1"/>
    <x v="5"/>
    <x v="6"/>
    <x v="17"/>
    <x v="1"/>
    <x v="1"/>
    <x v="1"/>
    <x v="0"/>
    <x v="1"/>
    <x v="8"/>
    <x v="17"/>
    <x v="56"/>
    <x v="13"/>
    <x v="8"/>
    <x v="677"/>
    <x v="583"/>
    <x v="759"/>
    <x v="1367"/>
    <x v="1041"/>
    <x v="0"/>
    <x v="1"/>
    <x v="0"/>
  </r>
  <r>
    <x v="1729"/>
    <x v="473"/>
    <x v="1"/>
    <x v="1"/>
    <x v="5"/>
    <x v="6"/>
    <x v="17"/>
    <x v="1"/>
    <x v="1"/>
    <x v="0"/>
    <x v="0"/>
    <x v="1"/>
    <x v="8"/>
    <x v="17"/>
    <x v="44"/>
    <x v="13"/>
    <x v="8"/>
    <x v="615"/>
    <x v="526"/>
    <x v="1212"/>
    <x v="1208"/>
    <x v="598"/>
    <x v="0"/>
    <x v="0"/>
    <x v="0"/>
  </r>
  <r>
    <x v="1730"/>
    <x v="480"/>
    <x v="1"/>
    <x v="1"/>
    <x v="5"/>
    <x v="6"/>
    <x v="17"/>
    <x v="1"/>
    <x v="1"/>
    <x v="1"/>
    <x v="0"/>
    <x v="1"/>
    <x v="9"/>
    <x v="19"/>
    <x v="62"/>
    <x v="7"/>
    <x v="5"/>
    <x v="596"/>
    <x v="533"/>
    <x v="643"/>
    <x v="1206"/>
    <x v="721"/>
    <x v="0"/>
    <x v="1"/>
    <x v="0"/>
  </r>
  <r>
    <x v="1731"/>
    <x v="460"/>
    <x v="1"/>
    <x v="1"/>
    <x v="5"/>
    <x v="6"/>
    <x v="17"/>
    <x v="1"/>
    <x v="1"/>
    <x v="0"/>
    <x v="0"/>
    <x v="1"/>
    <x v="9"/>
    <x v="19"/>
    <x v="41"/>
    <x v="7"/>
    <x v="5"/>
    <x v="463"/>
    <x v="416"/>
    <x v="1119"/>
    <x v="864"/>
    <x v="313"/>
    <x v="1"/>
    <x v="0"/>
    <x v="2"/>
  </r>
  <r>
    <x v="1732"/>
    <x v="467"/>
    <x v="1"/>
    <x v="1"/>
    <x v="5"/>
    <x v="6"/>
    <x v="17"/>
    <x v="1"/>
    <x v="1"/>
    <x v="1"/>
    <x v="2"/>
    <x v="5"/>
    <x v="0"/>
    <x v="1"/>
    <x v="26"/>
    <x v="16"/>
    <x v="11"/>
    <x v="529"/>
    <x v="467"/>
    <x v="538"/>
    <x v="1103"/>
    <x v="881"/>
    <x v="0"/>
    <x v="1"/>
    <x v="0"/>
  </r>
  <r>
    <x v="1733"/>
    <x v="474"/>
    <x v="1"/>
    <x v="1"/>
    <x v="5"/>
    <x v="6"/>
    <x v="17"/>
    <x v="1"/>
    <x v="1"/>
    <x v="0"/>
    <x v="2"/>
    <x v="5"/>
    <x v="0"/>
    <x v="1"/>
    <x v="14"/>
    <x v="16"/>
    <x v="11"/>
    <x v="341"/>
    <x v="292"/>
    <x v="1021"/>
    <x v="639"/>
    <x v="393"/>
    <x v="1"/>
    <x v="0"/>
    <x v="2"/>
  </r>
  <r>
    <x v="1734"/>
    <x v="481"/>
    <x v="1"/>
    <x v="1"/>
    <x v="5"/>
    <x v="6"/>
    <x v="17"/>
    <x v="1"/>
    <x v="1"/>
    <x v="1"/>
    <x v="2"/>
    <x v="5"/>
    <x v="4"/>
    <x v="9"/>
    <x v="28"/>
    <x v="10"/>
    <x v="9"/>
    <x v="427"/>
    <x v="402"/>
    <x v="401"/>
    <x v="871"/>
    <x v="573"/>
    <x v="1"/>
    <x v="1"/>
    <x v="2"/>
  </r>
  <r>
    <x v="1735"/>
    <x v="461"/>
    <x v="1"/>
    <x v="1"/>
    <x v="5"/>
    <x v="6"/>
    <x v="17"/>
    <x v="1"/>
    <x v="1"/>
    <x v="0"/>
    <x v="2"/>
    <x v="5"/>
    <x v="4"/>
    <x v="9"/>
    <x v="18"/>
    <x v="10"/>
    <x v="9"/>
    <x v="300"/>
    <x v="280"/>
    <x v="977"/>
    <x v="499"/>
    <x v="219"/>
    <x v="1"/>
    <x v="0"/>
    <x v="2"/>
  </r>
  <r>
    <x v="1736"/>
    <x v="468"/>
    <x v="1"/>
    <x v="1"/>
    <x v="5"/>
    <x v="6"/>
    <x v="17"/>
    <x v="1"/>
    <x v="1"/>
    <x v="1"/>
    <x v="1"/>
    <x v="3"/>
    <x v="7"/>
    <x v="15"/>
    <x v="33"/>
    <x v="19"/>
    <x v="13"/>
    <x v="624"/>
    <x v="575"/>
    <x v="676"/>
    <x v="1201"/>
    <x v="421"/>
    <x v="0"/>
    <x v="1"/>
    <x v="0"/>
  </r>
  <r>
    <x v="1737"/>
    <x v="475"/>
    <x v="1"/>
    <x v="1"/>
    <x v="5"/>
    <x v="6"/>
    <x v="17"/>
    <x v="1"/>
    <x v="1"/>
    <x v="0"/>
    <x v="1"/>
    <x v="3"/>
    <x v="7"/>
    <x v="15"/>
    <x v="19"/>
    <x v="19"/>
    <x v="13"/>
    <x v="455"/>
    <x v="432"/>
    <x v="1113"/>
    <x v="772"/>
    <x v="139"/>
    <x v="1"/>
    <x v="0"/>
    <x v="2"/>
  </r>
  <r>
    <x v="1738"/>
    <x v="482"/>
    <x v="1"/>
    <x v="1"/>
    <x v="5"/>
    <x v="6"/>
    <x v="17"/>
    <x v="1"/>
    <x v="1"/>
    <x v="1"/>
    <x v="1"/>
    <x v="3"/>
    <x v="6"/>
    <x v="13"/>
    <x v="36"/>
    <x v="4"/>
    <x v="3"/>
    <x v="219"/>
    <x v="188"/>
    <x v="165"/>
    <x v="536"/>
    <x v="1006"/>
    <x v="1"/>
    <x v="1"/>
    <x v="2"/>
  </r>
  <r>
    <x v="1739"/>
    <x v="462"/>
    <x v="1"/>
    <x v="1"/>
    <x v="5"/>
    <x v="6"/>
    <x v="17"/>
    <x v="1"/>
    <x v="1"/>
    <x v="0"/>
    <x v="1"/>
    <x v="3"/>
    <x v="6"/>
    <x v="13"/>
    <x v="21"/>
    <x v="4"/>
    <x v="3"/>
    <x v="96"/>
    <x v="83"/>
    <x v="653"/>
    <x v="195"/>
    <x v="538"/>
    <x v="1"/>
    <x v="0"/>
    <x v="2"/>
  </r>
  <r>
    <x v="1740"/>
    <x v="469"/>
    <x v="1"/>
    <x v="1"/>
    <x v="5"/>
    <x v="6"/>
    <x v="17"/>
    <x v="3"/>
    <x v="3"/>
    <x v="1"/>
    <x v="3"/>
    <x v="7"/>
    <x v="1"/>
    <x v="3"/>
    <x v="6"/>
    <x v="24"/>
    <x v="17"/>
    <x v="786"/>
    <x v="715"/>
    <x v="993"/>
    <x v="1432"/>
    <x v="149"/>
    <x v="1"/>
    <x v="1"/>
    <x v="0"/>
  </r>
  <r>
    <x v="1741"/>
    <x v="476"/>
    <x v="1"/>
    <x v="1"/>
    <x v="5"/>
    <x v="6"/>
    <x v="17"/>
    <x v="3"/>
    <x v="3"/>
    <x v="0"/>
    <x v="3"/>
    <x v="7"/>
    <x v="1"/>
    <x v="3"/>
    <x v="4"/>
    <x v="24"/>
    <x v="17"/>
    <x v="735"/>
    <x v="679"/>
    <x v="1281"/>
    <x v="1223"/>
    <x v="53"/>
    <x v="2"/>
    <x v="0"/>
    <x v="0"/>
  </r>
  <r>
    <x v="1742"/>
    <x v="483"/>
    <x v="1"/>
    <x v="1"/>
    <x v="5"/>
    <x v="6"/>
    <x v="17"/>
    <x v="3"/>
    <x v="3"/>
    <x v="1"/>
    <x v="3"/>
    <x v="7"/>
    <x v="2"/>
    <x v="5"/>
    <x v="6"/>
    <x v="21"/>
    <x v="15"/>
    <x v="543"/>
    <x v="520"/>
    <x v="562"/>
    <x v="957"/>
    <x v="203"/>
    <x v="1"/>
    <x v="1"/>
    <x v="0"/>
  </r>
  <r>
    <x v="1743"/>
    <x v="463"/>
    <x v="1"/>
    <x v="1"/>
    <x v="5"/>
    <x v="6"/>
    <x v="17"/>
    <x v="3"/>
    <x v="3"/>
    <x v="0"/>
    <x v="3"/>
    <x v="7"/>
    <x v="2"/>
    <x v="5"/>
    <x v="4"/>
    <x v="21"/>
    <x v="15"/>
    <x v="434"/>
    <x v="442"/>
    <x v="1101"/>
    <x v="644"/>
    <x v="70"/>
    <x v="2"/>
    <x v="0"/>
    <x v="2"/>
  </r>
  <r>
    <x v="1744"/>
    <x v="470"/>
    <x v="1"/>
    <x v="1"/>
    <x v="5"/>
    <x v="6"/>
    <x v="17"/>
    <x v="3"/>
    <x v="3"/>
    <x v="1"/>
    <x v="3"/>
    <x v="7"/>
    <x v="5"/>
    <x v="11"/>
    <x v="8"/>
    <x v="27"/>
    <x v="19"/>
    <x v="834"/>
    <x v="750"/>
    <x v="1139"/>
    <x v="1515"/>
    <x v="29"/>
    <x v="2"/>
    <x v="1"/>
    <x v="0"/>
  </r>
  <r>
    <x v="1745"/>
    <x v="477"/>
    <x v="1"/>
    <x v="1"/>
    <x v="5"/>
    <x v="6"/>
    <x v="17"/>
    <x v="3"/>
    <x v="3"/>
    <x v="0"/>
    <x v="3"/>
    <x v="7"/>
    <x v="5"/>
    <x v="11"/>
    <x v="5"/>
    <x v="27"/>
    <x v="19"/>
    <x v="807"/>
    <x v="732"/>
    <x v="1313"/>
    <x v="1295"/>
    <x v="5"/>
    <x v="2"/>
    <x v="0"/>
    <x v="0"/>
  </r>
  <r>
    <x v="1746"/>
    <x v="484"/>
    <x v="1"/>
    <x v="1"/>
    <x v="5"/>
    <x v="6"/>
    <x v="17"/>
    <x v="3"/>
    <x v="3"/>
    <x v="1"/>
    <x v="0"/>
    <x v="1"/>
    <x v="3"/>
    <x v="7"/>
    <x v="45"/>
    <x v="1"/>
    <x v="1"/>
    <x v="217"/>
    <x v="171"/>
    <x v="160"/>
    <x v="568"/>
    <x v="1179"/>
    <x v="1"/>
    <x v="1"/>
    <x v="2"/>
  </r>
  <r>
    <x v="1747"/>
    <x v="464"/>
    <x v="1"/>
    <x v="1"/>
    <x v="5"/>
    <x v="6"/>
    <x v="17"/>
    <x v="3"/>
    <x v="3"/>
    <x v="0"/>
    <x v="0"/>
    <x v="1"/>
    <x v="3"/>
    <x v="7"/>
    <x v="25"/>
    <x v="1"/>
    <x v="1"/>
    <x v="85"/>
    <x v="67"/>
    <x v="622"/>
    <x v="204"/>
    <x v="789"/>
    <x v="1"/>
    <x v="0"/>
    <x v="2"/>
  </r>
  <r>
    <x v="1748"/>
    <x v="471"/>
    <x v="1"/>
    <x v="1"/>
    <x v="5"/>
    <x v="6"/>
    <x v="17"/>
    <x v="3"/>
    <x v="3"/>
    <x v="1"/>
    <x v="0"/>
    <x v="1"/>
    <x v="8"/>
    <x v="17"/>
    <x v="42"/>
    <x v="13"/>
    <x v="8"/>
    <x v="598"/>
    <x v="512"/>
    <x v="647"/>
    <x v="1244"/>
    <x v="1042"/>
    <x v="0"/>
    <x v="1"/>
    <x v="0"/>
  </r>
  <r>
    <x v="1749"/>
    <x v="478"/>
    <x v="1"/>
    <x v="1"/>
    <x v="5"/>
    <x v="6"/>
    <x v="17"/>
    <x v="3"/>
    <x v="3"/>
    <x v="0"/>
    <x v="0"/>
    <x v="1"/>
    <x v="8"/>
    <x v="17"/>
    <x v="22"/>
    <x v="13"/>
    <x v="8"/>
    <x v="393"/>
    <x v="331"/>
    <x v="1066"/>
    <x v="806"/>
    <x v="593"/>
    <x v="1"/>
    <x v="0"/>
    <x v="2"/>
  </r>
  <r>
    <x v="1750"/>
    <x v="485"/>
    <x v="1"/>
    <x v="1"/>
    <x v="5"/>
    <x v="6"/>
    <x v="17"/>
    <x v="3"/>
    <x v="3"/>
    <x v="1"/>
    <x v="0"/>
    <x v="1"/>
    <x v="9"/>
    <x v="19"/>
    <x v="33"/>
    <x v="7"/>
    <x v="5"/>
    <x v="391"/>
    <x v="352"/>
    <x v="351"/>
    <x v="832"/>
    <x v="722"/>
    <x v="1"/>
    <x v="1"/>
    <x v="2"/>
  </r>
  <r>
    <x v="1751"/>
    <x v="465"/>
    <x v="1"/>
    <x v="1"/>
    <x v="5"/>
    <x v="6"/>
    <x v="17"/>
    <x v="3"/>
    <x v="3"/>
    <x v="0"/>
    <x v="0"/>
    <x v="1"/>
    <x v="9"/>
    <x v="19"/>
    <x v="27"/>
    <x v="7"/>
    <x v="5"/>
    <x v="335"/>
    <x v="296"/>
    <x v="1015"/>
    <x v="591"/>
    <x v="307"/>
    <x v="1"/>
    <x v="0"/>
    <x v="2"/>
  </r>
  <r>
    <x v="1752"/>
    <x v="472"/>
    <x v="1"/>
    <x v="1"/>
    <x v="5"/>
    <x v="6"/>
    <x v="17"/>
    <x v="3"/>
    <x v="3"/>
    <x v="1"/>
    <x v="2"/>
    <x v="5"/>
    <x v="0"/>
    <x v="1"/>
    <x v="16"/>
    <x v="16"/>
    <x v="11"/>
    <x v="371"/>
    <x v="330"/>
    <x v="327"/>
    <x v="822"/>
    <x v="878"/>
    <x v="1"/>
    <x v="1"/>
    <x v="2"/>
  </r>
  <r>
    <x v="1753"/>
    <x v="479"/>
    <x v="1"/>
    <x v="1"/>
    <x v="5"/>
    <x v="6"/>
    <x v="17"/>
    <x v="3"/>
    <x v="3"/>
    <x v="0"/>
    <x v="2"/>
    <x v="5"/>
    <x v="0"/>
    <x v="1"/>
    <x v="12"/>
    <x v="16"/>
    <x v="11"/>
    <x v="291"/>
    <x v="260"/>
    <x v="972"/>
    <x v="556"/>
    <x v="397"/>
    <x v="1"/>
    <x v="0"/>
    <x v="2"/>
  </r>
  <r>
    <x v="1754"/>
    <x v="459"/>
    <x v="1"/>
    <x v="1"/>
    <x v="5"/>
    <x v="6"/>
    <x v="17"/>
    <x v="3"/>
    <x v="3"/>
    <x v="1"/>
    <x v="2"/>
    <x v="5"/>
    <x v="4"/>
    <x v="9"/>
    <x v="14"/>
    <x v="10"/>
    <x v="9"/>
    <x v="226"/>
    <x v="221"/>
    <x v="174"/>
    <x v="469"/>
    <x v="570"/>
    <x v="1"/>
    <x v="1"/>
    <x v="2"/>
  </r>
  <r>
    <x v="1755"/>
    <x v="466"/>
    <x v="1"/>
    <x v="1"/>
    <x v="5"/>
    <x v="6"/>
    <x v="17"/>
    <x v="3"/>
    <x v="3"/>
    <x v="0"/>
    <x v="2"/>
    <x v="5"/>
    <x v="4"/>
    <x v="9"/>
    <x v="12"/>
    <x v="10"/>
    <x v="9"/>
    <x v="188"/>
    <x v="186"/>
    <x v="820"/>
    <x v="291"/>
    <x v="219"/>
    <x v="1"/>
    <x v="0"/>
    <x v="2"/>
  </r>
  <r>
    <x v="1756"/>
    <x v="473"/>
    <x v="1"/>
    <x v="1"/>
    <x v="5"/>
    <x v="6"/>
    <x v="17"/>
    <x v="3"/>
    <x v="3"/>
    <x v="1"/>
    <x v="1"/>
    <x v="3"/>
    <x v="7"/>
    <x v="15"/>
    <x v="22"/>
    <x v="19"/>
    <x v="13"/>
    <x v="503"/>
    <x v="474"/>
    <x v="504"/>
    <x v="959"/>
    <x v="420"/>
    <x v="0"/>
    <x v="1"/>
    <x v="0"/>
  </r>
  <r>
    <x v="1757"/>
    <x v="480"/>
    <x v="1"/>
    <x v="1"/>
    <x v="5"/>
    <x v="6"/>
    <x v="17"/>
    <x v="3"/>
    <x v="3"/>
    <x v="0"/>
    <x v="1"/>
    <x v="3"/>
    <x v="7"/>
    <x v="15"/>
    <x v="15"/>
    <x v="19"/>
    <x v="13"/>
    <x v="381"/>
    <x v="365"/>
    <x v="1058"/>
    <x v="628"/>
    <x v="134"/>
    <x v="1"/>
    <x v="0"/>
    <x v="2"/>
  </r>
  <r>
    <x v="1758"/>
    <x v="460"/>
    <x v="1"/>
    <x v="1"/>
    <x v="5"/>
    <x v="6"/>
    <x v="17"/>
    <x v="3"/>
    <x v="3"/>
    <x v="1"/>
    <x v="1"/>
    <x v="3"/>
    <x v="6"/>
    <x v="13"/>
    <x v="26"/>
    <x v="4"/>
    <x v="3"/>
    <x v="140"/>
    <x v="119"/>
    <x v="96"/>
    <x v="349"/>
    <x v="1007"/>
    <x v="1"/>
    <x v="1"/>
    <x v="2"/>
  </r>
  <r>
    <x v="1759"/>
    <x v="467"/>
    <x v="1"/>
    <x v="1"/>
    <x v="5"/>
    <x v="6"/>
    <x v="17"/>
    <x v="3"/>
    <x v="3"/>
    <x v="0"/>
    <x v="1"/>
    <x v="3"/>
    <x v="6"/>
    <x v="13"/>
    <x v="14"/>
    <x v="4"/>
    <x v="3"/>
    <x v="44"/>
    <x v="43"/>
    <x v="478"/>
    <x v="81"/>
    <x v="540"/>
    <x v="1"/>
    <x v="0"/>
    <x v="2"/>
  </r>
  <r>
    <x v="1760"/>
    <x v="474"/>
    <x v="1"/>
    <x v="1"/>
    <x v="5"/>
    <x v="6"/>
    <x v="17"/>
    <x v="2"/>
    <x v="2"/>
    <x v="1"/>
    <x v="3"/>
    <x v="7"/>
    <x v="1"/>
    <x v="3"/>
    <x v="5"/>
    <x v="24"/>
    <x v="17"/>
    <x v="761"/>
    <x v="702"/>
    <x v="934"/>
    <x v="1376"/>
    <x v="148"/>
    <x v="1"/>
    <x v="1"/>
    <x v="0"/>
  </r>
  <r>
    <x v="1761"/>
    <x v="481"/>
    <x v="1"/>
    <x v="1"/>
    <x v="5"/>
    <x v="6"/>
    <x v="17"/>
    <x v="2"/>
    <x v="2"/>
    <x v="0"/>
    <x v="3"/>
    <x v="7"/>
    <x v="1"/>
    <x v="3"/>
    <x v="3"/>
    <x v="24"/>
    <x v="17"/>
    <x v="693"/>
    <x v="653"/>
    <x v="1256"/>
    <x v="1135"/>
    <x v="57"/>
    <x v="2"/>
    <x v="0"/>
    <x v="0"/>
  </r>
  <r>
    <x v="1762"/>
    <x v="461"/>
    <x v="1"/>
    <x v="1"/>
    <x v="5"/>
    <x v="6"/>
    <x v="17"/>
    <x v="2"/>
    <x v="2"/>
    <x v="1"/>
    <x v="3"/>
    <x v="7"/>
    <x v="2"/>
    <x v="5"/>
    <x v="5"/>
    <x v="21"/>
    <x v="15"/>
    <x v="492"/>
    <x v="482"/>
    <x v="493"/>
    <x v="881"/>
    <x v="200"/>
    <x v="1"/>
    <x v="1"/>
    <x v="0"/>
  </r>
  <r>
    <x v="1763"/>
    <x v="468"/>
    <x v="1"/>
    <x v="1"/>
    <x v="5"/>
    <x v="6"/>
    <x v="17"/>
    <x v="2"/>
    <x v="2"/>
    <x v="0"/>
    <x v="3"/>
    <x v="7"/>
    <x v="2"/>
    <x v="5"/>
    <x v="3"/>
    <x v="21"/>
    <x v="15"/>
    <x v="374"/>
    <x v="385"/>
    <x v="1055"/>
    <x v="535"/>
    <x v="69"/>
    <x v="2"/>
    <x v="0"/>
    <x v="2"/>
  </r>
  <r>
    <x v="1764"/>
    <x v="475"/>
    <x v="1"/>
    <x v="1"/>
    <x v="5"/>
    <x v="6"/>
    <x v="17"/>
    <x v="2"/>
    <x v="2"/>
    <x v="1"/>
    <x v="3"/>
    <x v="7"/>
    <x v="5"/>
    <x v="11"/>
    <x v="6"/>
    <x v="27"/>
    <x v="19"/>
    <x v="817"/>
    <x v="741"/>
    <x v="1082"/>
    <x v="1454"/>
    <x v="29"/>
    <x v="2"/>
    <x v="1"/>
    <x v="0"/>
  </r>
  <r>
    <x v="1765"/>
    <x v="482"/>
    <x v="1"/>
    <x v="1"/>
    <x v="5"/>
    <x v="6"/>
    <x v="17"/>
    <x v="2"/>
    <x v="2"/>
    <x v="0"/>
    <x v="3"/>
    <x v="7"/>
    <x v="5"/>
    <x v="11"/>
    <x v="2"/>
    <x v="27"/>
    <x v="19"/>
    <x v="717"/>
    <x v="681"/>
    <x v="1268"/>
    <x v="1005"/>
    <x v="3"/>
    <x v="2"/>
    <x v="0"/>
    <x v="0"/>
  </r>
  <r>
    <x v="1766"/>
    <x v="462"/>
    <x v="1"/>
    <x v="1"/>
    <x v="5"/>
    <x v="6"/>
    <x v="17"/>
    <x v="2"/>
    <x v="2"/>
    <x v="1"/>
    <x v="0"/>
    <x v="1"/>
    <x v="3"/>
    <x v="7"/>
    <x v="28"/>
    <x v="1"/>
    <x v="1"/>
    <x v="102"/>
    <x v="82"/>
    <x v="67"/>
    <x v="301"/>
    <x v="1189"/>
    <x v="1"/>
    <x v="1"/>
    <x v="2"/>
  </r>
  <r>
    <x v="1767"/>
    <x v="469"/>
    <x v="1"/>
    <x v="1"/>
    <x v="5"/>
    <x v="6"/>
    <x v="17"/>
    <x v="2"/>
    <x v="2"/>
    <x v="0"/>
    <x v="0"/>
    <x v="1"/>
    <x v="3"/>
    <x v="7"/>
    <x v="19"/>
    <x v="1"/>
    <x v="1"/>
    <x v="47"/>
    <x v="42"/>
    <x v="501"/>
    <x v="110"/>
    <x v="788"/>
    <x v="1"/>
    <x v="0"/>
    <x v="2"/>
  </r>
  <r>
    <x v="1768"/>
    <x v="476"/>
    <x v="1"/>
    <x v="1"/>
    <x v="5"/>
    <x v="6"/>
    <x v="17"/>
    <x v="2"/>
    <x v="2"/>
    <x v="1"/>
    <x v="0"/>
    <x v="1"/>
    <x v="8"/>
    <x v="17"/>
    <x v="26"/>
    <x v="13"/>
    <x v="8"/>
    <x v="443"/>
    <x v="380"/>
    <x v="425"/>
    <x v="986"/>
    <x v="1040"/>
    <x v="1"/>
    <x v="1"/>
    <x v="2"/>
  </r>
  <r>
    <x v="1769"/>
    <x v="483"/>
    <x v="1"/>
    <x v="1"/>
    <x v="5"/>
    <x v="6"/>
    <x v="17"/>
    <x v="2"/>
    <x v="2"/>
    <x v="0"/>
    <x v="0"/>
    <x v="1"/>
    <x v="8"/>
    <x v="17"/>
    <x v="17"/>
    <x v="13"/>
    <x v="8"/>
    <x v="323"/>
    <x v="266"/>
    <x v="1001"/>
    <x v="640"/>
    <x v="600"/>
    <x v="1"/>
    <x v="0"/>
    <x v="2"/>
  </r>
  <r>
    <x v="1770"/>
    <x v="463"/>
    <x v="1"/>
    <x v="1"/>
    <x v="5"/>
    <x v="6"/>
    <x v="17"/>
    <x v="2"/>
    <x v="2"/>
    <x v="1"/>
    <x v="0"/>
    <x v="1"/>
    <x v="9"/>
    <x v="19"/>
    <x v="28"/>
    <x v="7"/>
    <x v="5"/>
    <x v="346"/>
    <x v="306"/>
    <x v="286"/>
    <x v="727"/>
    <x v="722"/>
    <x v="1"/>
    <x v="1"/>
    <x v="2"/>
  </r>
  <r>
    <x v="1771"/>
    <x v="470"/>
    <x v="1"/>
    <x v="1"/>
    <x v="5"/>
    <x v="6"/>
    <x v="17"/>
    <x v="2"/>
    <x v="2"/>
    <x v="0"/>
    <x v="0"/>
    <x v="1"/>
    <x v="9"/>
    <x v="19"/>
    <x v="20"/>
    <x v="7"/>
    <x v="5"/>
    <x v="241"/>
    <x v="223"/>
    <x v="889"/>
    <x v="438"/>
    <x v="303"/>
    <x v="1"/>
    <x v="0"/>
    <x v="2"/>
  </r>
  <r>
    <x v="1772"/>
    <x v="477"/>
    <x v="1"/>
    <x v="1"/>
    <x v="5"/>
    <x v="6"/>
    <x v="17"/>
    <x v="2"/>
    <x v="2"/>
    <x v="1"/>
    <x v="2"/>
    <x v="5"/>
    <x v="0"/>
    <x v="1"/>
    <x v="12"/>
    <x v="16"/>
    <x v="11"/>
    <x v="291"/>
    <x v="260"/>
    <x v="227"/>
    <x v="646"/>
    <x v="881"/>
    <x v="1"/>
    <x v="1"/>
    <x v="2"/>
  </r>
  <r>
    <x v="1773"/>
    <x v="484"/>
    <x v="1"/>
    <x v="1"/>
    <x v="5"/>
    <x v="6"/>
    <x v="17"/>
    <x v="2"/>
    <x v="2"/>
    <x v="0"/>
    <x v="2"/>
    <x v="5"/>
    <x v="0"/>
    <x v="1"/>
    <x v="7"/>
    <x v="16"/>
    <x v="11"/>
    <x v="163"/>
    <x v="149"/>
    <x v="775"/>
    <x v="293"/>
    <x v="391"/>
    <x v="1"/>
    <x v="0"/>
    <x v="2"/>
  </r>
  <r>
    <x v="1774"/>
    <x v="464"/>
    <x v="1"/>
    <x v="1"/>
    <x v="5"/>
    <x v="6"/>
    <x v="17"/>
    <x v="2"/>
    <x v="2"/>
    <x v="1"/>
    <x v="2"/>
    <x v="5"/>
    <x v="4"/>
    <x v="9"/>
    <x v="14"/>
    <x v="10"/>
    <x v="9"/>
    <x v="226"/>
    <x v="221"/>
    <x v="174"/>
    <x v="469"/>
    <x v="570"/>
    <x v="1"/>
    <x v="1"/>
    <x v="2"/>
  </r>
  <r>
    <x v="1775"/>
    <x v="471"/>
    <x v="1"/>
    <x v="1"/>
    <x v="5"/>
    <x v="6"/>
    <x v="17"/>
    <x v="2"/>
    <x v="2"/>
    <x v="0"/>
    <x v="2"/>
    <x v="5"/>
    <x v="4"/>
    <x v="9"/>
    <x v="8"/>
    <x v="10"/>
    <x v="9"/>
    <x v="108"/>
    <x v="111"/>
    <x v="672"/>
    <x v="153"/>
    <x v="219"/>
    <x v="1"/>
    <x v="0"/>
    <x v="2"/>
  </r>
  <r>
    <x v="1776"/>
    <x v="478"/>
    <x v="1"/>
    <x v="1"/>
    <x v="5"/>
    <x v="6"/>
    <x v="17"/>
    <x v="2"/>
    <x v="2"/>
    <x v="1"/>
    <x v="1"/>
    <x v="3"/>
    <x v="7"/>
    <x v="15"/>
    <x v="17"/>
    <x v="19"/>
    <x v="13"/>
    <x v="417"/>
    <x v="406"/>
    <x v="388"/>
    <x v="818"/>
    <x v="418"/>
    <x v="1"/>
    <x v="1"/>
    <x v="2"/>
  </r>
  <r>
    <x v="1777"/>
    <x v="485"/>
    <x v="1"/>
    <x v="1"/>
    <x v="5"/>
    <x v="6"/>
    <x v="17"/>
    <x v="2"/>
    <x v="2"/>
    <x v="0"/>
    <x v="1"/>
    <x v="3"/>
    <x v="7"/>
    <x v="15"/>
    <x v="8"/>
    <x v="19"/>
    <x v="13"/>
    <x v="211"/>
    <x v="218"/>
    <x v="854"/>
    <x v="315"/>
    <x v="133"/>
    <x v="1"/>
    <x v="0"/>
    <x v="2"/>
  </r>
  <r>
    <x v="1778"/>
    <x v="465"/>
    <x v="1"/>
    <x v="1"/>
    <x v="5"/>
    <x v="6"/>
    <x v="17"/>
    <x v="2"/>
    <x v="2"/>
    <x v="1"/>
    <x v="1"/>
    <x v="3"/>
    <x v="6"/>
    <x v="13"/>
    <x v="19"/>
    <x v="4"/>
    <x v="3"/>
    <x v="80"/>
    <x v="72"/>
    <x v="49"/>
    <x v="215"/>
    <x v="998"/>
    <x v="1"/>
    <x v="1"/>
    <x v="2"/>
  </r>
  <r>
    <x v="1779"/>
    <x v="472"/>
    <x v="1"/>
    <x v="1"/>
    <x v="5"/>
    <x v="6"/>
    <x v="17"/>
    <x v="2"/>
    <x v="2"/>
    <x v="0"/>
    <x v="1"/>
    <x v="3"/>
    <x v="6"/>
    <x v="13"/>
    <x v="10"/>
    <x v="4"/>
    <x v="3"/>
    <x v="20"/>
    <x v="22"/>
    <x v="341"/>
    <x v="42"/>
    <x v="545"/>
    <x v="1"/>
    <x v="0"/>
    <x v="2"/>
  </r>
  <r>
    <x v="1780"/>
    <x v="479"/>
    <x v="1"/>
    <x v="1"/>
    <x v="5"/>
    <x v="6"/>
    <x v="17"/>
    <x v="4"/>
    <x v="4"/>
    <x v="1"/>
    <x v="3"/>
    <x v="7"/>
    <x v="1"/>
    <x v="3"/>
    <x v="6"/>
    <x v="24"/>
    <x v="17"/>
    <x v="786"/>
    <x v="715"/>
    <x v="993"/>
    <x v="1432"/>
    <x v="149"/>
    <x v="1"/>
    <x v="1"/>
    <x v="0"/>
  </r>
  <r>
    <x v="1781"/>
    <x v="459"/>
    <x v="1"/>
    <x v="1"/>
    <x v="5"/>
    <x v="6"/>
    <x v="17"/>
    <x v="4"/>
    <x v="4"/>
    <x v="0"/>
    <x v="3"/>
    <x v="7"/>
    <x v="1"/>
    <x v="3"/>
    <x v="2"/>
    <x v="24"/>
    <x v="17"/>
    <x v="628"/>
    <x v="600"/>
    <x v="1218"/>
    <x v="984"/>
    <x v="53"/>
    <x v="2"/>
    <x v="0"/>
    <x v="0"/>
  </r>
  <r>
    <x v="1782"/>
    <x v="466"/>
    <x v="1"/>
    <x v="1"/>
    <x v="5"/>
    <x v="6"/>
    <x v="17"/>
    <x v="4"/>
    <x v="4"/>
    <x v="1"/>
    <x v="3"/>
    <x v="7"/>
    <x v="2"/>
    <x v="5"/>
    <x v="5"/>
    <x v="21"/>
    <x v="15"/>
    <x v="492"/>
    <x v="482"/>
    <x v="493"/>
    <x v="881"/>
    <x v="200"/>
    <x v="1"/>
    <x v="1"/>
    <x v="0"/>
  </r>
  <r>
    <x v="1783"/>
    <x v="473"/>
    <x v="1"/>
    <x v="1"/>
    <x v="5"/>
    <x v="6"/>
    <x v="17"/>
    <x v="4"/>
    <x v="4"/>
    <x v="0"/>
    <x v="3"/>
    <x v="7"/>
    <x v="2"/>
    <x v="5"/>
    <x v="2"/>
    <x v="21"/>
    <x v="15"/>
    <x v="309"/>
    <x v="313"/>
    <x v="988"/>
    <x v="405"/>
    <x v="73"/>
    <x v="2"/>
    <x v="0"/>
    <x v="2"/>
  </r>
  <r>
    <x v="1784"/>
    <x v="480"/>
    <x v="1"/>
    <x v="1"/>
    <x v="5"/>
    <x v="6"/>
    <x v="17"/>
    <x v="4"/>
    <x v="4"/>
    <x v="1"/>
    <x v="3"/>
    <x v="7"/>
    <x v="5"/>
    <x v="11"/>
    <x v="5"/>
    <x v="27"/>
    <x v="19"/>
    <x v="807"/>
    <x v="732"/>
    <x v="1051"/>
    <x v="1413"/>
    <x v="33"/>
    <x v="2"/>
    <x v="1"/>
    <x v="0"/>
  </r>
  <r>
    <x v="1785"/>
    <x v="460"/>
    <x v="1"/>
    <x v="1"/>
    <x v="5"/>
    <x v="6"/>
    <x v="17"/>
    <x v="4"/>
    <x v="4"/>
    <x v="0"/>
    <x v="3"/>
    <x v="7"/>
    <x v="5"/>
    <x v="11"/>
    <x v="3"/>
    <x v="27"/>
    <x v="19"/>
    <x v="758"/>
    <x v="709"/>
    <x v="1294"/>
    <x v="1156"/>
    <x v="0"/>
    <x v="2"/>
    <x v="0"/>
    <x v="0"/>
  </r>
  <r>
    <x v="1786"/>
    <x v="467"/>
    <x v="1"/>
    <x v="1"/>
    <x v="5"/>
    <x v="6"/>
    <x v="17"/>
    <x v="4"/>
    <x v="4"/>
    <x v="1"/>
    <x v="0"/>
    <x v="1"/>
    <x v="3"/>
    <x v="7"/>
    <x v="34"/>
    <x v="1"/>
    <x v="1"/>
    <x v="145"/>
    <x v="114"/>
    <x v="102"/>
    <x v="414"/>
    <x v="1184"/>
    <x v="1"/>
    <x v="1"/>
    <x v="2"/>
  </r>
  <r>
    <x v="1787"/>
    <x v="474"/>
    <x v="1"/>
    <x v="1"/>
    <x v="5"/>
    <x v="6"/>
    <x v="17"/>
    <x v="4"/>
    <x v="4"/>
    <x v="0"/>
    <x v="0"/>
    <x v="1"/>
    <x v="3"/>
    <x v="7"/>
    <x v="21"/>
    <x v="1"/>
    <x v="1"/>
    <x v="60"/>
    <x v="50"/>
    <x v="548"/>
    <x v="134"/>
    <x v="784"/>
    <x v="1"/>
    <x v="0"/>
    <x v="2"/>
  </r>
  <r>
    <x v="1788"/>
    <x v="481"/>
    <x v="1"/>
    <x v="1"/>
    <x v="5"/>
    <x v="6"/>
    <x v="17"/>
    <x v="4"/>
    <x v="4"/>
    <x v="1"/>
    <x v="0"/>
    <x v="1"/>
    <x v="8"/>
    <x v="17"/>
    <x v="30"/>
    <x v="13"/>
    <x v="8"/>
    <x v="491"/>
    <x v="418"/>
    <x v="490"/>
    <x v="1077"/>
    <x v="1033"/>
    <x v="0"/>
    <x v="1"/>
    <x v="0"/>
  </r>
  <r>
    <x v="1789"/>
    <x v="461"/>
    <x v="1"/>
    <x v="1"/>
    <x v="5"/>
    <x v="6"/>
    <x v="17"/>
    <x v="4"/>
    <x v="4"/>
    <x v="0"/>
    <x v="0"/>
    <x v="1"/>
    <x v="8"/>
    <x v="17"/>
    <x v="22"/>
    <x v="13"/>
    <x v="8"/>
    <x v="393"/>
    <x v="331"/>
    <x v="1066"/>
    <x v="806"/>
    <x v="593"/>
    <x v="1"/>
    <x v="0"/>
    <x v="2"/>
  </r>
  <r>
    <x v="1790"/>
    <x v="468"/>
    <x v="1"/>
    <x v="1"/>
    <x v="5"/>
    <x v="6"/>
    <x v="17"/>
    <x v="4"/>
    <x v="4"/>
    <x v="1"/>
    <x v="0"/>
    <x v="1"/>
    <x v="9"/>
    <x v="19"/>
    <x v="27"/>
    <x v="7"/>
    <x v="5"/>
    <x v="335"/>
    <x v="296"/>
    <x v="267"/>
    <x v="714"/>
    <x v="716"/>
    <x v="1"/>
    <x v="1"/>
    <x v="2"/>
  </r>
  <r>
    <x v="1791"/>
    <x v="475"/>
    <x v="1"/>
    <x v="1"/>
    <x v="5"/>
    <x v="6"/>
    <x v="17"/>
    <x v="4"/>
    <x v="4"/>
    <x v="0"/>
    <x v="0"/>
    <x v="1"/>
    <x v="9"/>
    <x v="19"/>
    <x v="18"/>
    <x v="7"/>
    <x v="5"/>
    <x v="210"/>
    <x v="200"/>
    <x v="853"/>
    <x v="385"/>
    <x v="306"/>
    <x v="1"/>
    <x v="0"/>
    <x v="2"/>
  </r>
  <r>
    <x v="1792"/>
    <x v="482"/>
    <x v="1"/>
    <x v="1"/>
    <x v="5"/>
    <x v="6"/>
    <x v="17"/>
    <x v="4"/>
    <x v="4"/>
    <x v="1"/>
    <x v="2"/>
    <x v="5"/>
    <x v="0"/>
    <x v="1"/>
    <x v="13"/>
    <x v="16"/>
    <x v="11"/>
    <x v="321"/>
    <x v="276"/>
    <x v="250"/>
    <x v="704"/>
    <x v="879"/>
    <x v="1"/>
    <x v="1"/>
    <x v="2"/>
  </r>
  <r>
    <x v="1793"/>
    <x v="462"/>
    <x v="1"/>
    <x v="1"/>
    <x v="5"/>
    <x v="6"/>
    <x v="17"/>
    <x v="4"/>
    <x v="4"/>
    <x v="0"/>
    <x v="2"/>
    <x v="5"/>
    <x v="0"/>
    <x v="1"/>
    <x v="9"/>
    <x v="16"/>
    <x v="11"/>
    <x v="218"/>
    <x v="199"/>
    <x v="861"/>
    <x v="421"/>
    <x v="398"/>
    <x v="1"/>
    <x v="0"/>
    <x v="2"/>
  </r>
  <r>
    <x v="1794"/>
    <x v="469"/>
    <x v="1"/>
    <x v="1"/>
    <x v="5"/>
    <x v="6"/>
    <x v="17"/>
    <x v="4"/>
    <x v="4"/>
    <x v="1"/>
    <x v="2"/>
    <x v="5"/>
    <x v="4"/>
    <x v="9"/>
    <x v="14"/>
    <x v="10"/>
    <x v="9"/>
    <x v="226"/>
    <x v="221"/>
    <x v="174"/>
    <x v="469"/>
    <x v="570"/>
    <x v="1"/>
    <x v="1"/>
    <x v="2"/>
  </r>
  <r>
    <x v="1795"/>
    <x v="476"/>
    <x v="1"/>
    <x v="1"/>
    <x v="5"/>
    <x v="6"/>
    <x v="17"/>
    <x v="4"/>
    <x v="4"/>
    <x v="0"/>
    <x v="2"/>
    <x v="5"/>
    <x v="4"/>
    <x v="9"/>
    <x v="9"/>
    <x v="10"/>
    <x v="9"/>
    <x v="125"/>
    <x v="131"/>
    <x v="707"/>
    <x v="191"/>
    <x v="219"/>
    <x v="1"/>
    <x v="0"/>
    <x v="2"/>
  </r>
  <r>
    <x v="1796"/>
    <x v="483"/>
    <x v="1"/>
    <x v="1"/>
    <x v="5"/>
    <x v="6"/>
    <x v="17"/>
    <x v="4"/>
    <x v="4"/>
    <x v="1"/>
    <x v="1"/>
    <x v="3"/>
    <x v="7"/>
    <x v="15"/>
    <x v="17"/>
    <x v="19"/>
    <x v="13"/>
    <x v="417"/>
    <x v="406"/>
    <x v="388"/>
    <x v="818"/>
    <x v="418"/>
    <x v="1"/>
    <x v="1"/>
    <x v="2"/>
  </r>
  <r>
    <x v="1797"/>
    <x v="463"/>
    <x v="1"/>
    <x v="1"/>
    <x v="5"/>
    <x v="6"/>
    <x v="17"/>
    <x v="4"/>
    <x v="4"/>
    <x v="0"/>
    <x v="1"/>
    <x v="3"/>
    <x v="7"/>
    <x v="15"/>
    <x v="10"/>
    <x v="19"/>
    <x v="13"/>
    <x v="268"/>
    <x v="267"/>
    <x v="939"/>
    <x v="423"/>
    <x v="141"/>
    <x v="1"/>
    <x v="0"/>
    <x v="2"/>
  </r>
  <r>
    <x v="1798"/>
    <x v="470"/>
    <x v="1"/>
    <x v="1"/>
    <x v="5"/>
    <x v="6"/>
    <x v="17"/>
    <x v="4"/>
    <x v="4"/>
    <x v="1"/>
    <x v="1"/>
    <x v="3"/>
    <x v="6"/>
    <x v="13"/>
    <x v="17"/>
    <x v="4"/>
    <x v="3"/>
    <x v="64"/>
    <x v="60"/>
    <x v="36"/>
    <x v="174"/>
    <x v="1006"/>
    <x v="1"/>
    <x v="1"/>
    <x v="2"/>
  </r>
  <r>
    <x v="1799"/>
    <x v="477"/>
    <x v="1"/>
    <x v="1"/>
    <x v="5"/>
    <x v="6"/>
    <x v="17"/>
    <x v="4"/>
    <x v="4"/>
    <x v="0"/>
    <x v="1"/>
    <x v="3"/>
    <x v="6"/>
    <x v="13"/>
    <x v="13"/>
    <x v="4"/>
    <x v="3"/>
    <x v="39"/>
    <x v="38"/>
    <x v="442"/>
    <x v="69"/>
    <x v="537"/>
    <x v="1"/>
    <x v="0"/>
    <x v="2"/>
  </r>
  <r>
    <x v="1800"/>
    <x v="511"/>
    <x v="1"/>
    <x v="2"/>
    <x v="6"/>
    <x v="5"/>
    <x v="18"/>
    <x v="0"/>
    <x v="0"/>
    <x v="1"/>
    <x v="3"/>
    <x v="7"/>
    <x v="1"/>
    <x v="3"/>
    <x v="18"/>
    <x v="26"/>
    <x v="17"/>
    <x v="861"/>
    <x v="765"/>
    <x v="1205"/>
    <x v="1599"/>
    <x v="255"/>
    <x v="0"/>
    <x v="1"/>
    <x v="0"/>
  </r>
  <r>
    <x v="1801"/>
    <x v="491"/>
    <x v="1"/>
    <x v="2"/>
    <x v="6"/>
    <x v="5"/>
    <x v="18"/>
    <x v="0"/>
    <x v="0"/>
    <x v="0"/>
    <x v="3"/>
    <x v="7"/>
    <x v="1"/>
    <x v="3"/>
    <x v="11"/>
    <x v="26"/>
    <x v="17"/>
    <x v="833"/>
    <x v="743"/>
    <x v="1316"/>
    <x v="1543"/>
    <x v="115"/>
    <x v="1"/>
    <x v="0"/>
    <x v="0"/>
  </r>
  <r>
    <x v="1802"/>
    <x v="498"/>
    <x v="1"/>
    <x v="2"/>
    <x v="6"/>
    <x v="5"/>
    <x v="18"/>
    <x v="0"/>
    <x v="0"/>
    <x v="1"/>
    <x v="3"/>
    <x v="7"/>
    <x v="2"/>
    <x v="5"/>
    <x v="20"/>
    <x v="23"/>
    <x v="15"/>
    <x v="796"/>
    <x v="717"/>
    <x v="992"/>
    <x v="1485"/>
    <x v="337"/>
    <x v="0"/>
    <x v="1"/>
    <x v="0"/>
  </r>
  <r>
    <x v="1803"/>
    <x v="505"/>
    <x v="1"/>
    <x v="2"/>
    <x v="6"/>
    <x v="5"/>
    <x v="18"/>
    <x v="0"/>
    <x v="0"/>
    <x v="0"/>
    <x v="3"/>
    <x v="7"/>
    <x v="2"/>
    <x v="5"/>
    <x v="15"/>
    <x v="23"/>
    <x v="15"/>
    <x v="752"/>
    <x v="687"/>
    <x v="1257"/>
    <x v="1358"/>
    <x v="156"/>
    <x v="1"/>
    <x v="0"/>
    <x v="0"/>
  </r>
  <r>
    <x v="1804"/>
    <x v="512"/>
    <x v="1"/>
    <x v="2"/>
    <x v="6"/>
    <x v="5"/>
    <x v="18"/>
    <x v="0"/>
    <x v="0"/>
    <x v="1"/>
    <x v="3"/>
    <x v="7"/>
    <x v="5"/>
    <x v="11"/>
    <x v="20"/>
    <x v="29"/>
    <x v="19"/>
    <x v="883"/>
    <x v="788"/>
    <x v="1271"/>
    <x v="1614"/>
    <x v="85"/>
    <x v="1"/>
    <x v="1"/>
    <x v="0"/>
  </r>
  <r>
    <x v="1805"/>
    <x v="492"/>
    <x v="1"/>
    <x v="2"/>
    <x v="6"/>
    <x v="5"/>
    <x v="18"/>
    <x v="0"/>
    <x v="0"/>
    <x v="0"/>
    <x v="3"/>
    <x v="7"/>
    <x v="5"/>
    <x v="11"/>
    <x v="16"/>
    <x v="29"/>
    <x v="19"/>
    <x v="871"/>
    <x v="778"/>
    <x v="1336"/>
    <x v="1585"/>
    <x v="14"/>
    <x v="2"/>
    <x v="0"/>
    <x v="0"/>
  </r>
  <r>
    <x v="1806"/>
    <x v="499"/>
    <x v="1"/>
    <x v="2"/>
    <x v="6"/>
    <x v="5"/>
    <x v="18"/>
    <x v="0"/>
    <x v="0"/>
    <x v="1"/>
    <x v="0"/>
    <x v="1"/>
    <x v="3"/>
    <x v="7"/>
    <x v="91"/>
    <x v="2"/>
    <x v="1"/>
    <x v="447"/>
    <x v="363"/>
    <x v="393"/>
    <x v="1048"/>
    <x v="1210"/>
    <x v="1"/>
    <x v="1"/>
    <x v="2"/>
  </r>
  <r>
    <x v="1807"/>
    <x v="506"/>
    <x v="1"/>
    <x v="2"/>
    <x v="6"/>
    <x v="5"/>
    <x v="18"/>
    <x v="0"/>
    <x v="0"/>
    <x v="0"/>
    <x v="0"/>
    <x v="1"/>
    <x v="3"/>
    <x v="7"/>
    <x v="77"/>
    <x v="2"/>
    <x v="1"/>
    <x v="394"/>
    <x v="312"/>
    <x v="986"/>
    <x v="883"/>
    <x v="980"/>
    <x v="1"/>
    <x v="0"/>
    <x v="2"/>
  </r>
  <r>
    <x v="1808"/>
    <x v="486"/>
    <x v="1"/>
    <x v="2"/>
    <x v="6"/>
    <x v="5"/>
    <x v="18"/>
    <x v="0"/>
    <x v="0"/>
    <x v="1"/>
    <x v="0"/>
    <x v="1"/>
    <x v="8"/>
    <x v="17"/>
    <x v="88"/>
    <x v="14"/>
    <x v="8"/>
    <x v="780"/>
    <x v="677"/>
    <x v="936"/>
    <x v="1516"/>
    <x v="1134"/>
    <x v="0"/>
    <x v="1"/>
    <x v="0"/>
  </r>
  <r>
    <x v="1809"/>
    <x v="493"/>
    <x v="1"/>
    <x v="2"/>
    <x v="6"/>
    <x v="5"/>
    <x v="18"/>
    <x v="0"/>
    <x v="0"/>
    <x v="0"/>
    <x v="0"/>
    <x v="1"/>
    <x v="8"/>
    <x v="17"/>
    <x v="58"/>
    <x v="14"/>
    <x v="8"/>
    <x v="690"/>
    <x v="591"/>
    <x v="1210"/>
    <x v="1344"/>
    <x v="753"/>
    <x v="0"/>
    <x v="0"/>
    <x v="0"/>
  </r>
  <r>
    <x v="1810"/>
    <x v="500"/>
    <x v="1"/>
    <x v="2"/>
    <x v="6"/>
    <x v="5"/>
    <x v="18"/>
    <x v="0"/>
    <x v="0"/>
    <x v="1"/>
    <x v="0"/>
    <x v="1"/>
    <x v="9"/>
    <x v="19"/>
    <x v="84"/>
    <x v="8"/>
    <x v="5"/>
    <x v="692"/>
    <x v="612"/>
    <x v="746"/>
    <x v="1349"/>
    <x v="767"/>
    <x v="0"/>
    <x v="1"/>
    <x v="0"/>
  </r>
  <r>
    <x v="1811"/>
    <x v="507"/>
    <x v="1"/>
    <x v="2"/>
    <x v="6"/>
    <x v="5"/>
    <x v="18"/>
    <x v="0"/>
    <x v="0"/>
    <x v="0"/>
    <x v="0"/>
    <x v="1"/>
    <x v="9"/>
    <x v="19"/>
    <x v="65"/>
    <x v="8"/>
    <x v="5"/>
    <x v="617"/>
    <x v="546"/>
    <x v="1161"/>
    <x v="1189"/>
    <x v="452"/>
    <x v="0"/>
    <x v="0"/>
    <x v="0"/>
  </r>
  <r>
    <x v="1812"/>
    <x v="487"/>
    <x v="1"/>
    <x v="2"/>
    <x v="6"/>
    <x v="5"/>
    <x v="18"/>
    <x v="0"/>
    <x v="0"/>
    <x v="1"/>
    <x v="2"/>
    <x v="5"/>
    <x v="0"/>
    <x v="1"/>
    <x v="42"/>
    <x v="17"/>
    <x v="11"/>
    <x v="666"/>
    <x v="585"/>
    <x v="709"/>
    <x v="1329"/>
    <x v="939"/>
    <x v="0"/>
    <x v="1"/>
    <x v="0"/>
  </r>
  <r>
    <x v="1813"/>
    <x v="494"/>
    <x v="1"/>
    <x v="2"/>
    <x v="6"/>
    <x v="5"/>
    <x v="18"/>
    <x v="0"/>
    <x v="0"/>
    <x v="0"/>
    <x v="2"/>
    <x v="5"/>
    <x v="0"/>
    <x v="1"/>
    <x v="33"/>
    <x v="17"/>
    <x v="11"/>
    <x v="606"/>
    <x v="529"/>
    <x v="1154"/>
    <x v="1191"/>
    <x v="564"/>
    <x v="0"/>
    <x v="0"/>
    <x v="0"/>
  </r>
  <r>
    <x v="1814"/>
    <x v="501"/>
    <x v="1"/>
    <x v="2"/>
    <x v="6"/>
    <x v="5"/>
    <x v="18"/>
    <x v="0"/>
    <x v="0"/>
    <x v="1"/>
    <x v="2"/>
    <x v="5"/>
    <x v="4"/>
    <x v="9"/>
    <x v="48"/>
    <x v="11"/>
    <x v="9"/>
    <x v="608"/>
    <x v="550"/>
    <x v="619"/>
    <x v="1204"/>
    <x v="627"/>
    <x v="0"/>
    <x v="1"/>
    <x v="0"/>
  </r>
  <r>
    <x v="1815"/>
    <x v="508"/>
    <x v="1"/>
    <x v="2"/>
    <x v="6"/>
    <x v="5"/>
    <x v="18"/>
    <x v="0"/>
    <x v="0"/>
    <x v="0"/>
    <x v="2"/>
    <x v="5"/>
    <x v="4"/>
    <x v="9"/>
    <x v="29"/>
    <x v="11"/>
    <x v="9"/>
    <x v="444"/>
    <x v="414"/>
    <x v="1031"/>
    <x v="842"/>
    <x v="328"/>
    <x v="1"/>
    <x v="0"/>
    <x v="2"/>
  </r>
  <r>
    <x v="1816"/>
    <x v="488"/>
    <x v="1"/>
    <x v="2"/>
    <x v="6"/>
    <x v="5"/>
    <x v="18"/>
    <x v="0"/>
    <x v="0"/>
    <x v="1"/>
    <x v="1"/>
    <x v="3"/>
    <x v="7"/>
    <x v="15"/>
    <x v="53"/>
    <x v="20"/>
    <x v="13"/>
    <x v="741"/>
    <x v="665"/>
    <x v="845"/>
    <x v="1397"/>
    <x v="474"/>
    <x v="0"/>
    <x v="1"/>
    <x v="0"/>
  </r>
  <r>
    <x v="1817"/>
    <x v="495"/>
    <x v="1"/>
    <x v="2"/>
    <x v="6"/>
    <x v="5"/>
    <x v="18"/>
    <x v="0"/>
    <x v="0"/>
    <x v="0"/>
    <x v="1"/>
    <x v="3"/>
    <x v="7"/>
    <x v="15"/>
    <x v="37"/>
    <x v="20"/>
    <x v="13"/>
    <x v="654"/>
    <x v="598"/>
    <x v="1188"/>
    <x v="1210"/>
    <x v="228"/>
    <x v="0"/>
    <x v="0"/>
    <x v="0"/>
  </r>
  <r>
    <x v="1818"/>
    <x v="502"/>
    <x v="1"/>
    <x v="2"/>
    <x v="6"/>
    <x v="5"/>
    <x v="18"/>
    <x v="0"/>
    <x v="0"/>
    <x v="1"/>
    <x v="1"/>
    <x v="3"/>
    <x v="6"/>
    <x v="13"/>
    <x v="50"/>
    <x v="5"/>
    <x v="3"/>
    <x v="331"/>
    <x v="272"/>
    <x v="234"/>
    <x v="757"/>
    <x v="1068"/>
    <x v="1"/>
    <x v="1"/>
    <x v="2"/>
  </r>
  <r>
    <x v="1819"/>
    <x v="509"/>
    <x v="1"/>
    <x v="2"/>
    <x v="6"/>
    <x v="5"/>
    <x v="18"/>
    <x v="0"/>
    <x v="0"/>
    <x v="0"/>
    <x v="1"/>
    <x v="3"/>
    <x v="6"/>
    <x v="13"/>
    <x v="44"/>
    <x v="5"/>
    <x v="3"/>
    <x v="281"/>
    <x v="238"/>
    <x v="834"/>
    <x v="598"/>
    <x v="707"/>
    <x v="1"/>
    <x v="0"/>
    <x v="2"/>
  </r>
  <r>
    <x v="1820"/>
    <x v="489"/>
    <x v="1"/>
    <x v="2"/>
    <x v="6"/>
    <x v="5"/>
    <x v="18"/>
    <x v="1"/>
    <x v="1"/>
    <x v="1"/>
    <x v="3"/>
    <x v="7"/>
    <x v="1"/>
    <x v="3"/>
    <x v="12"/>
    <x v="26"/>
    <x v="17"/>
    <x v="839"/>
    <x v="747"/>
    <x v="1136"/>
    <x v="1567"/>
    <x v="256"/>
    <x v="0"/>
    <x v="1"/>
    <x v="0"/>
  </r>
  <r>
    <x v="1821"/>
    <x v="496"/>
    <x v="1"/>
    <x v="2"/>
    <x v="6"/>
    <x v="5"/>
    <x v="18"/>
    <x v="1"/>
    <x v="1"/>
    <x v="0"/>
    <x v="3"/>
    <x v="7"/>
    <x v="1"/>
    <x v="3"/>
    <x v="6"/>
    <x v="26"/>
    <x v="17"/>
    <x v="792"/>
    <x v="715"/>
    <x v="1286"/>
    <x v="1430"/>
    <x v="117"/>
    <x v="1"/>
    <x v="0"/>
    <x v="0"/>
  </r>
  <r>
    <x v="1822"/>
    <x v="503"/>
    <x v="1"/>
    <x v="2"/>
    <x v="6"/>
    <x v="5"/>
    <x v="18"/>
    <x v="1"/>
    <x v="1"/>
    <x v="1"/>
    <x v="3"/>
    <x v="7"/>
    <x v="2"/>
    <x v="5"/>
    <x v="13"/>
    <x v="23"/>
    <x v="15"/>
    <x v="731"/>
    <x v="663"/>
    <x v="824"/>
    <x v="1357"/>
    <x v="334"/>
    <x v="0"/>
    <x v="1"/>
    <x v="0"/>
  </r>
  <r>
    <x v="1823"/>
    <x v="510"/>
    <x v="1"/>
    <x v="2"/>
    <x v="6"/>
    <x v="5"/>
    <x v="18"/>
    <x v="1"/>
    <x v="1"/>
    <x v="0"/>
    <x v="3"/>
    <x v="7"/>
    <x v="2"/>
    <x v="5"/>
    <x v="7"/>
    <x v="23"/>
    <x v="15"/>
    <x v="590"/>
    <x v="556"/>
    <x v="1145"/>
    <x v="1041"/>
    <x v="155"/>
    <x v="1"/>
    <x v="0"/>
    <x v="0"/>
  </r>
  <r>
    <x v="1824"/>
    <x v="490"/>
    <x v="1"/>
    <x v="2"/>
    <x v="6"/>
    <x v="5"/>
    <x v="18"/>
    <x v="1"/>
    <x v="1"/>
    <x v="1"/>
    <x v="3"/>
    <x v="7"/>
    <x v="5"/>
    <x v="11"/>
    <x v="12"/>
    <x v="29"/>
    <x v="19"/>
    <x v="858"/>
    <x v="768"/>
    <x v="1198"/>
    <x v="1577"/>
    <x v="81"/>
    <x v="1"/>
    <x v="1"/>
    <x v="0"/>
  </r>
  <r>
    <x v="1825"/>
    <x v="497"/>
    <x v="1"/>
    <x v="2"/>
    <x v="6"/>
    <x v="5"/>
    <x v="18"/>
    <x v="1"/>
    <x v="1"/>
    <x v="0"/>
    <x v="3"/>
    <x v="7"/>
    <x v="5"/>
    <x v="11"/>
    <x v="6"/>
    <x v="29"/>
    <x v="19"/>
    <x v="821"/>
    <x v="741"/>
    <x v="1308"/>
    <x v="1452"/>
    <x v="14"/>
    <x v="2"/>
    <x v="0"/>
    <x v="0"/>
  </r>
  <r>
    <x v="1826"/>
    <x v="504"/>
    <x v="1"/>
    <x v="2"/>
    <x v="6"/>
    <x v="5"/>
    <x v="18"/>
    <x v="1"/>
    <x v="1"/>
    <x v="1"/>
    <x v="0"/>
    <x v="1"/>
    <x v="3"/>
    <x v="7"/>
    <x v="47"/>
    <x v="2"/>
    <x v="1"/>
    <x v="231"/>
    <x v="181"/>
    <x v="156"/>
    <x v="600"/>
    <x v="1206"/>
    <x v="1"/>
    <x v="1"/>
    <x v="2"/>
  </r>
  <r>
    <x v="1827"/>
    <x v="511"/>
    <x v="1"/>
    <x v="2"/>
    <x v="6"/>
    <x v="5"/>
    <x v="18"/>
    <x v="1"/>
    <x v="1"/>
    <x v="0"/>
    <x v="0"/>
    <x v="1"/>
    <x v="3"/>
    <x v="7"/>
    <x v="40"/>
    <x v="2"/>
    <x v="1"/>
    <x v="187"/>
    <x v="146"/>
    <x v="694"/>
    <x v="458"/>
    <x v="984"/>
    <x v="1"/>
    <x v="0"/>
    <x v="2"/>
  </r>
  <r>
    <x v="1828"/>
    <x v="491"/>
    <x v="1"/>
    <x v="2"/>
    <x v="6"/>
    <x v="5"/>
    <x v="18"/>
    <x v="1"/>
    <x v="1"/>
    <x v="1"/>
    <x v="0"/>
    <x v="1"/>
    <x v="8"/>
    <x v="17"/>
    <x v="62"/>
    <x v="14"/>
    <x v="8"/>
    <x v="706"/>
    <x v="608"/>
    <x v="774"/>
    <x v="1412"/>
    <x v="1130"/>
    <x v="0"/>
    <x v="1"/>
    <x v="0"/>
  </r>
  <r>
    <x v="1829"/>
    <x v="498"/>
    <x v="1"/>
    <x v="2"/>
    <x v="6"/>
    <x v="5"/>
    <x v="18"/>
    <x v="1"/>
    <x v="1"/>
    <x v="0"/>
    <x v="0"/>
    <x v="1"/>
    <x v="8"/>
    <x v="17"/>
    <x v="35"/>
    <x v="14"/>
    <x v="8"/>
    <x v="549"/>
    <x v="466"/>
    <x v="1109"/>
    <x v="1128"/>
    <x v="752"/>
    <x v="0"/>
    <x v="0"/>
    <x v="0"/>
  </r>
  <r>
    <x v="1830"/>
    <x v="505"/>
    <x v="1"/>
    <x v="2"/>
    <x v="6"/>
    <x v="5"/>
    <x v="18"/>
    <x v="1"/>
    <x v="1"/>
    <x v="1"/>
    <x v="0"/>
    <x v="1"/>
    <x v="9"/>
    <x v="19"/>
    <x v="48"/>
    <x v="8"/>
    <x v="5"/>
    <x v="522"/>
    <x v="463"/>
    <x v="492"/>
    <x v="1076"/>
    <x v="768"/>
    <x v="0"/>
    <x v="1"/>
    <x v="0"/>
  </r>
  <r>
    <x v="1831"/>
    <x v="512"/>
    <x v="1"/>
    <x v="2"/>
    <x v="6"/>
    <x v="5"/>
    <x v="18"/>
    <x v="1"/>
    <x v="1"/>
    <x v="0"/>
    <x v="0"/>
    <x v="1"/>
    <x v="9"/>
    <x v="19"/>
    <x v="46"/>
    <x v="8"/>
    <x v="5"/>
    <x v="506"/>
    <x v="452"/>
    <x v="1077"/>
    <x v="979"/>
    <x v="455"/>
    <x v="0"/>
    <x v="0"/>
    <x v="0"/>
  </r>
  <r>
    <x v="1832"/>
    <x v="492"/>
    <x v="1"/>
    <x v="2"/>
    <x v="6"/>
    <x v="5"/>
    <x v="18"/>
    <x v="1"/>
    <x v="1"/>
    <x v="1"/>
    <x v="2"/>
    <x v="5"/>
    <x v="0"/>
    <x v="1"/>
    <x v="22"/>
    <x v="17"/>
    <x v="11"/>
    <x v="480"/>
    <x v="417"/>
    <x v="430"/>
    <x v="1024"/>
    <x v="936"/>
    <x v="1"/>
    <x v="1"/>
    <x v="2"/>
  </r>
  <r>
    <x v="1833"/>
    <x v="499"/>
    <x v="1"/>
    <x v="2"/>
    <x v="6"/>
    <x v="5"/>
    <x v="18"/>
    <x v="1"/>
    <x v="1"/>
    <x v="0"/>
    <x v="2"/>
    <x v="5"/>
    <x v="0"/>
    <x v="1"/>
    <x v="16"/>
    <x v="17"/>
    <x v="11"/>
    <x v="376"/>
    <x v="330"/>
    <x v="962"/>
    <x v="773"/>
    <x v="566"/>
    <x v="1"/>
    <x v="0"/>
    <x v="2"/>
  </r>
  <r>
    <x v="1834"/>
    <x v="506"/>
    <x v="1"/>
    <x v="2"/>
    <x v="6"/>
    <x v="5"/>
    <x v="18"/>
    <x v="1"/>
    <x v="1"/>
    <x v="1"/>
    <x v="2"/>
    <x v="5"/>
    <x v="4"/>
    <x v="9"/>
    <x v="22"/>
    <x v="11"/>
    <x v="9"/>
    <x v="360"/>
    <x v="332"/>
    <x v="278"/>
    <x v="742"/>
    <x v="619"/>
    <x v="1"/>
    <x v="1"/>
    <x v="2"/>
  </r>
  <r>
    <x v="1835"/>
    <x v="486"/>
    <x v="1"/>
    <x v="2"/>
    <x v="6"/>
    <x v="5"/>
    <x v="18"/>
    <x v="1"/>
    <x v="1"/>
    <x v="0"/>
    <x v="2"/>
    <x v="5"/>
    <x v="4"/>
    <x v="9"/>
    <x v="19"/>
    <x v="11"/>
    <x v="9"/>
    <x v="322"/>
    <x v="291"/>
    <x v="871"/>
    <x v="580"/>
    <x v="327"/>
    <x v="1"/>
    <x v="0"/>
    <x v="2"/>
  </r>
  <r>
    <x v="1836"/>
    <x v="493"/>
    <x v="1"/>
    <x v="2"/>
    <x v="6"/>
    <x v="5"/>
    <x v="18"/>
    <x v="1"/>
    <x v="1"/>
    <x v="1"/>
    <x v="1"/>
    <x v="3"/>
    <x v="7"/>
    <x v="15"/>
    <x v="36"/>
    <x v="20"/>
    <x v="13"/>
    <x v="648"/>
    <x v="593"/>
    <x v="682"/>
    <x v="1243"/>
    <x v="472"/>
    <x v="0"/>
    <x v="1"/>
    <x v="0"/>
  </r>
  <r>
    <x v="1837"/>
    <x v="500"/>
    <x v="1"/>
    <x v="2"/>
    <x v="6"/>
    <x v="5"/>
    <x v="18"/>
    <x v="1"/>
    <x v="1"/>
    <x v="0"/>
    <x v="1"/>
    <x v="3"/>
    <x v="7"/>
    <x v="15"/>
    <x v="23"/>
    <x v="20"/>
    <x v="13"/>
    <x v="521"/>
    <x v="481"/>
    <x v="1088"/>
    <x v="926"/>
    <x v="229"/>
    <x v="0"/>
    <x v="0"/>
    <x v="0"/>
  </r>
  <r>
    <x v="1838"/>
    <x v="507"/>
    <x v="1"/>
    <x v="2"/>
    <x v="6"/>
    <x v="5"/>
    <x v="18"/>
    <x v="1"/>
    <x v="1"/>
    <x v="1"/>
    <x v="1"/>
    <x v="3"/>
    <x v="6"/>
    <x v="13"/>
    <x v="37"/>
    <x v="5"/>
    <x v="3"/>
    <x v="229"/>
    <x v="196"/>
    <x v="154"/>
    <x v="566"/>
    <x v="1059"/>
    <x v="1"/>
    <x v="1"/>
    <x v="2"/>
  </r>
  <r>
    <x v="1839"/>
    <x v="487"/>
    <x v="1"/>
    <x v="2"/>
    <x v="6"/>
    <x v="5"/>
    <x v="18"/>
    <x v="1"/>
    <x v="1"/>
    <x v="0"/>
    <x v="1"/>
    <x v="3"/>
    <x v="6"/>
    <x v="13"/>
    <x v="24"/>
    <x v="5"/>
    <x v="3"/>
    <x v="120"/>
    <x v="105"/>
    <x v="591"/>
    <x v="277"/>
    <x v="711"/>
    <x v="1"/>
    <x v="0"/>
    <x v="2"/>
  </r>
  <r>
    <x v="1840"/>
    <x v="494"/>
    <x v="1"/>
    <x v="2"/>
    <x v="6"/>
    <x v="5"/>
    <x v="18"/>
    <x v="3"/>
    <x v="3"/>
    <x v="1"/>
    <x v="3"/>
    <x v="7"/>
    <x v="1"/>
    <x v="3"/>
    <x v="9"/>
    <x v="26"/>
    <x v="17"/>
    <x v="820"/>
    <x v="734"/>
    <x v="1074"/>
    <x v="1538"/>
    <x v="250"/>
    <x v="0"/>
    <x v="1"/>
    <x v="0"/>
  </r>
  <r>
    <x v="1841"/>
    <x v="501"/>
    <x v="1"/>
    <x v="2"/>
    <x v="6"/>
    <x v="5"/>
    <x v="18"/>
    <x v="3"/>
    <x v="3"/>
    <x v="0"/>
    <x v="3"/>
    <x v="7"/>
    <x v="1"/>
    <x v="3"/>
    <x v="6"/>
    <x v="26"/>
    <x v="17"/>
    <x v="792"/>
    <x v="715"/>
    <x v="1286"/>
    <x v="1430"/>
    <x v="117"/>
    <x v="1"/>
    <x v="0"/>
    <x v="0"/>
  </r>
  <r>
    <x v="1842"/>
    <x v="508"/>
    <x v="1"/>
    <x v="2"/>
    <x v="6"/>
    <x v="5"/>
    <x v="18"/>
    <x v="3"/>
    <x v="3"/>
    <x v="1"/>
    <x v="3"/>
    <x v="7"/>
    <x v="2"/>
    <x v="5"/>
    <x v="6"/>
    <x v="23"/>
    <x v="15"/>
    <x v="555"/>
    <x v="520"/>
    <x v="540"/>
    <x v="1050"/>
    <x v="333"/>
    <x v="0"/>
    <x v="1"/>
    <x v="0"/>
  </r>
  <r>
    <x v="1843"/>
    <x v="488"/>
    <x v="1"/>
    <x v="2"/>
    <x v="6"/>
    <x v="5"/>
    <x v="18"/>
    <x v="3"/>
    <x v="3"/>
    <x v="0"/>
    <x v="3"/>
    <x v="7"/>
    <x v="2"/>
    <x v="5"/>
    <x v="5"/>
    <x v="23"/>
    <x v="15"/>
    <x v="508"/>
    <x v="482"/>
    <x v="1080"/>
    <x v="877"/>
    <x v="155"/>
    <x v="1"/>
    <x v="0"/>
    <x v="0"/>
  </r>
  <r>
    <x v="1844"/>
    <x v="495"/>
    <x v="1"/>
    <x v="2"/>
    <x v="6"/>
    <x v="5"/>
    <x v="18"/>
    <x v="3"/>
    <x v="3"/>
    <x v="1"/>
    <x v="3"/>
    <x v="7"/>
    <x v="5"/>
    <x v="11"/>
    <x v="9"/>
    <x v="29"/>
    <x v="19"/>
    <x v="844"/>
    <x v="754"/>
    <x v="1155"/>
    <x v="1558"/>
    <x v="85"/>
    <x v="1"/>
    <x v="1"/>
    <x v="0"/>
  </r>
  <r>
    <x v="1845"/>
    <x v="502"/>
    <x v="1"/>
    <x v="2"/>
    <x v="6"/>
    <x v="5"/>
    <x v="18"/>
    <x v="3"/>
    <x v="3"/>
    <x v="0"/>
    <x v="3"/>
    <x v="7"/>
    <x v="5"/>
    <x v="11"/>
    <x v="3"/>
    <x v="29"/>
    <x v="19"/>
    <x v="770"/>
    <x v="709"/>
    <x v="1264"/>
    <x v="1268"/>
    <x v="11"/>
    <x v="2"/>
    <x v="0"/>
    <x v="0"/>
  </r>
  <r>
    <x v="1846"/>
    <x v="509"/>
    <x v="1"/>
    <x v="2"/>
    <x v="6"/>
    <x v="5"/>
    <x v="18"/>
    <x v="3"/>
    <x v="3"/>
    <x v="1"/>
    <x v="0"/>
    <x v="1"/>
    <x v="3"/>
    <x v="7"/>
    <x v="34"/>
    <x v="2"/>
    <x v="1"/>
    <x v="147"/>
    <x v="114"/>
    <x v="89"/>
    <x v="427"/>
    <x v="1203"/>
    <x v="1"/>
    <x v="1"/>
    <x v="2"/>
  </r>
  <r>
    <x v="1847"/>
    <x v="489"/>
    <x v="1"/>
    <x v="2"/>
    <x v="6"/>
    <x v="5"/>
    <x v="18"/>
    <x v="3"/>
    <x v="3"/>
    <x v="0"/>
    <x v="0"/>
    <x v="1"/>
    <x v="3"/>
    <x v="7"/>
    <x v="28"/>
    <x v="2"/>
    <x v="1"/>
    <x v="106"/>
    <x v="82"/>
    <x v="544"/>
    <x v="270"/>
    <x v="985"/>
    <x v="1"/>
    <x v="0"/>
    <x v="2"/>
  </r>
  <r>
    <x v="1848"/>
    <x v="496"/>
    <x v="1"/>
    <x v="2"/>
    <x v="6"/>
    <x v="5"/>
    <x v="18"/>
    <x v="3"/>
    <x v="3"/>
    <x v="1"/>
    <x v="0"/>
    <x v="1"/>
    <x v="8"/>
    <x v="17"/>
    <x v="35"/>
    <x v="14"/>
    <x v="8"/>
    <x v="549"/>
    <x v="466"/>
    <x v="532"/>
    <x v="1179"/>
    <x v="1130"/>
    <x v="0"/>
    <x v="1"/>
    <x v="0"/>
  </r>
  <r>
    <x v="1849"/>
    <x v="503"/>
    <x v="1"/>
    <x v="2"/>
    <x v="6"/>
    <x v="5"/>
    <x v="18"/>
    <x v="3"/>
    <x v="3"/>
    <x v="0"/>
    <x v="0"/>
    <x v="1"/>
    <x v="8"/>
    <x v="17"/>
    <x v="30"/>
    <x v="14"/>
    <x v="8"/>
    <x v="494"/>
    <x v="418"/>
    <x v="1072"/>
    <x v="1030"/>
    <x v="756"/>
    <x v="0"/>
    <x v="0"/>
    <x v="0"/>
  </r>
  <r>
    <x v="1850"/>
    <x v="510"/>
    <x v="1"/>
    <x v="2"/>
    <x v="6"/>
    <x v="5"/>
    <x v="18"/>
    <x v="3"/>
    <x v="3"/>
    <x v="1"/>
    <x v="0"/>
    <x v="1"/>
    <x v="9"/>
    <x v="19"/>
    <x v="45"/>
    <x v="8"/>
    <x v="5"/>
    <x v="496"/>
    <x v="445"/>
    <x v="457"/>
    <x v="1039"/>
    <x v="775"/>
    <x v="0"/>
    <x v="1"/>
    <x v="0"/>
  </r>
  <r>
    <x v="1851"/>
    <x v="490"/>
    <x v="1"/>
    <x v="2"/>
    <x v="6"/>
    <x v="5"/>
    <x v="18"/>
    <x v="3"/>
    <x v="3"/>
    <x v="0"/>
    <x v="0"/>
    <x v="1"/>
    <x v="9"/>
    <x v="19"/>
    <x v="29"/>
    <x v="8"/>
    <x v="5"/>
    <x v="354"/>
    <x v="315"/>
    <x v="935"/>
    <x v="701"/>
    <x v="459"/>
    <x v="1"/>
    <x v="0"/>
    <x v="2"/>
  </r>
  <r>
    <x v="1852"/>
    <x v="497"/>
    <x v="1"/>
    <x v="2"/>
    <x v="6"/>
    <x v="5"/>
    <x v="18"/>
    <x v="3"/>
    <x v="3"/>
    <x v="1"/>
    <x v="2"/>
    <x v="5"/>
    <x v="0"/>
    <x v="1"/>
    <x v="20"/>
    <x v="17"/>
    <x v="11"/>
    <x v="446"/>
    <x v="395"/>
    <x v="390"/>
    <x v="958"/>
    <x v="947"/>
    <x v="1"/>
    <x v="1"/>
    <x v="2"/>
  </r>
  <r>
    <x v="1853"/>
    <x v="504"/>
    <x v="1"/>
    <x v="2"/>
    <x v="6"/>
    <x v="5"/>
    <x v="18"/>
    <x v="3"/>
    <x v="3"/>
    <x v="0"/>
    <x v="2"/>
    <x v="5"/>
    <x v="0"/>
    <x v="1"/>
    <x v="10"/>
    <x v="17"/>
    <x v="11"/>
    <x v="250"/>
    <x v="219"/>
    <x v="788"/>
    <x v="505"/>
    <x v="560"/>
    <x v="1"/>
    <x v="0"/>
    <x v="2"/>
  </r>
  <r>
    <x v="1854"/>
    <x v="511"/>
    <x v="1"/>
    <x v="2"/>
    <x v="6"/>
    <x v="5"/>
    <x v="18"/>
    <x v="3"/>
    <x v="3"/>
    <x v="1"/>
    <x v="2"/>
    <x v="5"/>
    <x v="4"/>
    <x v="9"/>
    <x v="20"/>
    <x v="11"/>
    <x v="9"/>
    <x v="336"/>
    <x v="302"/>
    <x v="238"/>
    <x v="691"/>
    <x v="620"/>
    <x v="1"/>
    <x v="1"/>
    <x v="2"/>
  </r>
  <r>
    <x v="1855"/>
    <x v="491"/>
    <x v="1"/>
    <x v="2"/>
    <x v="6"/>
    <x v="5"/>
    <x v="18"/>
    <x v="3"/>
    <x v="3"/>
    <x v="0"/>
    <x v="2"/>
    <x v="5"/>
    <x v="4"/>
    <x v="9"/>
    <x v="11"/>
    <x v="11"/>
    <x v="9"/>
    <x v="171"/>
    <x v="169"/>
    <x v="669"/>
    <x v="294"/>
    <x v="323"/>
    <x v="1"/>
    <x v="0"/>
    <x v="2"/>
  </r>
  <r>
    <x v="1856"/>
    <x v="498"/>
    <x v="1"/>
    <x v="2"/>
    <x v="6"/>
    <x v="5"/>
    <x v="18"/>
    <x v="3"/>
    <x v="3"/>
    <x v="1"/>
    <x v="1"/>
    <x v="3"/>
    <x v="7"/>
    <x v="15"/>
    <x v="22"/>
    <x v="20"/>
    <x v="13"/>
    <x v="505"/>
    <x v="474"/>
    <x v="470"/>
    <x v="983"/>
    <x v="467"/>
    <x v="0"/>
    <x v="1"/>
    <x v="0"/>
  </r>
  <r>
    <x v="1857"/>
    <x v="505"/>
    <x v="1"/>
    <x v="2"/>
    <x v="6"/>
    <x v="5"/>
    <x v="18"/>
    <x v="3"/>
    <x v="3"/>
    <x v="0"/>
    <x v="1"/>
    <x v="3"/>
    <x v="7"/>
    <x v="15"/>
    <x v="14"/>
    <x v="20"/>
    <x v="13"/>
    <x v="365"/>
    <x v="348"/>
    <x v="945"/>
    <x v="638"/>
    <x v="224"/>
    <x v="1"/>
    <x v="0"/>
    <x v="2"/>
  </r>
  <r>
    <x v="1858"/>
    <x v="512"/>
    <x v="1"/>
    <x v="2"/>
    <x v="6"/>
    <x v="5"/>
    <x v="18"/>
    <x v="3"/>
    <x v="3"/>
    <x v="1"/>
    <x v="1"/>
    <x v="3"/>
    <x v="6"/>
    <x v="13"/>
    <x v="27"/>
    <x v="5"/>
    <x v="3"/>
    <x v="149"/>
    <x v="127"/>
    <x v="92"/>
    <x v="389"/>
    <x v="1061"/>
    <x v="1"/>
    <x v="1"/>
    <x v="2"/>
  </r>
  <r>
    <x v="1859"/>
    <x v="492"/>
    <x v="1"/>
    <x v="2"/>
    <x v="6"/>
    <x v="5"/>
    <x v="18"/>
    <x v="3"/>
    <x v="3"/>
    <x v="0"/>
    <x v="1"/>
    <x v="3"/>
    <x v="6"/>
    <x v="13"/>
    <x v="13"/>
    <x v="5"/>
    <x v="3"/>
    <x v="40"/>
    <x v="38"/>
    <x v="320"/>
    <x v="82"/>
    <x v="704"/>
    <x v="1"/>
    <x v="0"/>
    <x v="2"/>
  </r>
  <r>
    <x v="1860"/>
    <x v="499"/>
    <x v="1"/>
    <x v="2"/>
    <x v="6"/>
    <x v="5"/>
    <x v="18"/>
    <x v="2"/>
    <x v="2"/>
    <x v="1"/>
    <x v="3"/>
    <x v="7"/>
    <x v="1"/>
    <x v="3"/>
    <x v="6"/>
    <x v="26"/>
    <x v="17"/>
    <x v="792"/>
    <x v="715"/>
    <x v="979"/>
    <x v="1468"/>
    <x v="258"/>
    <x v="0"/>
    <x v="1"/>
    <x v="0"/>
  </r>
  <r>
    <x v="1861"/>
    <x v="506"/>
    <x v="1"/>
    <x v="2"/>
    <x v="6"/>
    <x v="5"/>
    <x v="18"/>
    <x v="2"/>
    <x v="2"/>
    <x v="0"/>
    <x v="3"/>
    <x v="7"/>
    <x v="1"/>
    <x v="3"/>
    <x v="2"/>
    <x v="26"/>
    <x v="17"/>
    <x v="641"/>
    <x v="600"/>
    <x v="1176"/>
    <x v="1114"/>
    <x v="117"/>
    <x v="1"/>
    <x v="0"/>
    <x v="0"/>
  </r>
  <r>
    <x v="1862"/>
    <x v="486"/>
    <x v="1"/>
    <x v="2"/>
    <x v="6"/>
    <x v="5"/>
    <x v="18"/>
    <x v="2"/>
    <x v="2"/>
    <x v="1"/>
    <x v="3"/>
    <x v="7"/>
    <x v="2"/>
    <x v="5"/>
    <x v="6"/>
    <x v="23"/>
    <x v="15"/>
    <x v="555"/>
    <x v="520"/>
    <x v="540"/>
    <x v="1050"/>
    <x v="333"/>
    <x v="0"/>
    <x v="1"/>
    <x v="0"/>
  </r>
  <r>
    <x v="1863"/>
    <x v="493"/>
    <x v="1"/>
    <x v="2"/>
    <x v="6"/>
    <x v="5"/>
    <x v="18"/>
    <x v="2"/>
    <x v="2"/>
    <x v="0"/>
    <x v="3"/>
    <x v="7"/>
    <x v="2"/>
    <x v="5"/>
    <x v="4"/>
    <x v="23"/>
    <x v="15"/>
    <x v="454"/>
    <x v="442"/>
    <x v="1044"/>
    <x v="778"/>
    <x v="155"/>
    <x v="1"/>
    <x v="0"/>
    <x v="2"/>
  </r>
  <r>
    <x v="1864"/>
    <x v="500"/>
    <x v="1"/>
    <x v="2"/>
    <x v="6"/>
    <x v="5"/>
    <x v="18"/>
    <x v="2"/>
    <x v="2"/>
    <x v="1"/>
    <x v="3"/>
    <x v="7"/>
    <x v="5"/>
    <x v="11"/>
    <x v="5"/>
    <x v="29"/>
    <x v="19"/>
    <x v="810"/>
    <x v="732"/>
    <x v="1040"/>
    <x v="1463"/>
    <x v="87"/>
    <x v="1"/>
    <x v="1"/>
    <x v="0"/>
  </r>
  <r>
    <x v="1865"/>
    <x v="507"/>
    <x v="1"/>
    <x v="2"/>
    <x v="6"/>
    <x v="5"/>
    <x v="18"/>
    <x v="2"/>
    <x v="2"/>
    <x v="0"/>
    <x v="3"/>
    <x v="7"/>
    <x v="5"/>
    <x v="11"/>
    <x v="3"/>
    <x v="29"/>
    <x v="19"/>
    <x v="770"/>
    <x v="709"/>
    <x v="1264"/>
    <x v="1268"/>
    <x v="11"/>
    <x v="2"/>
    <x v="0"/>
    <x v="0"/>
  </r>
  <r>
    <x v="1866"/>
    <x v="487"/>
    <x v="1"/>
    <x v="2"/>
    <x v="6"/>
    <x v="5"/>
    <x v="18"/>
    <x v="2"/>
    <x v="2"/>
    <x v="1"/>
    <x v="0"/>
    <x v="1"/>
    <x v="3"/>
    <x v="7"/>
    <x v="27"/>
    <x v="2"/>
    <x v="1"/>
    <x v="98"/>
    <x v="78"/>
    <x v="54"/>
    <x v="292"/>
    <x v="1205"/>
    <x v="1"/>
    <x v="1"/>
    <x v="2"/>
  </r>
  <r>
    <x v="1867"/>
    <x v="494"/>
    <x v="1"/>
    <x v="2"/>
    <x v="6"/>
    <x v="5"/>
    <x v="18"/>
    <x v="2"/>
    <x v="2"/>
    <x v="0"/>
    <x v="0"/>
    <x v="1"/>
    <x v="3"/>
    <x v="7"/>
    <x v="23"/>
    <x v="2"/>
    <x v="1"/>
    <x v="74"/>
    <x v="58"/>
    <x v="448"/>
    <x v="193"/>
    <x v="985"/>
    <x v="1"/>
    <x v="0"/>
    <x v="2"/>
  </r>
  <r>
    <x v="1868"/>
    <x v="501"/>
    <x v="1"/>
    <x v="2"/>
    <x v="6"/>
    <x v="5"/>
    <x v="18"/>
    <x v="2"/>
    <x v="2"/>
    <x v="1"/>
    <x v="0"/>
    <x v="1"/>
    <x v="8"/>
    <x v="17"/>
    <x v="30"/>
    <x v="14"/>
    <x v="8"/>
    <x v="494"/>
    <x v="418"/>
    <x v="454"/>
    <x v="1090"/>
    <x v="1130"/>
    <x v="0"/>
    <x v="1"/>
    <x v="0"/>
  </r>
  <r>
    <x v="1869"/>
    <x v="508"/>
    <x v="1"/>
    <x v="2"/>
    <x v="6"/>
    <x v="5"/>
    <x v="18"/>
    <x v="2"/>
    <x v="2"/>
    <x v="0"/>
    <x v="0"/>
    <x v="1"/>
    <x v="8"/>
    <x v="17"/>
    <x v="22"/>
    <x v="14"/>
    <x v="8"/>
    <x v="398"/>
    <x v="331"/>
    <x v="987"/>
    <x v="848"/>
    <x v="756"/>
    <x v="1"/>
    <x v="0"/>
    <x v="2"/>
  </r>
  <r>
    <x v="1870"/>
    <x v="488"/>
    <x v="1"/>
    <x v="2"/>
    <x v="6"/>
    <x v="5"/>
    <x v="18"/>
    <x v="2"/>
    <x v="2"/>
    <x v="1"/>
    <x v="0"/>
    <x v="1"/>
    <x v="9"/>
    <x v="19"/>
    <x v="26"/>
    <x v="8"/>
    <x v="5"/>
    <x v="331"/>
    <x v="289"/>
    <x v="234"/>
    <x v="706"/>
    <x v="778"/>
    <x v="1"/>
    <x v="1"/>
    <x v="2"/>
  </r>
  <r>
    <x v="1871"/>
    <x v="495"/>
    <x v="1"/>
    <x v="2"/>
    <x v="6"/>
    <x v="5"/>
    <x v="18"/>
    <x v="2"/>
    <x v="2"/>
    <x v="0"/>
    <x v="0"/>
    <x v="1"/>
    <x v="9"/>
    <x v="19"/>
    <x v="23"/>
    <x v="8"/>
    <x v="5"/>
    <x v="284"/>
    <x v="257"/>
    <x v="837"/>
    <x v="554"/>
    <x v="461"/>
    <x v="1"/>
    <x v="0"/>
    <x v="2"/>
  </r>
  <r>
    <x v="1872"/>
    <x v="502"/>
    <x v="1"/>
    <x v="2"/>
    <x v="6"/>
    <x v="5"/>
    <x v="18"/>
    <x v="2"/>
    <x v="2"/>
    <x v="1"/>
    <x v="2"/>
    <x v="5"/>
    <x v="0"/>
    <x v="1"/>
    <x v="11"/>
    <x v="17"/>
    <x v="11"/>
    <x v="270"/>
    <x v="240"/>
    <x v="193"/>
    <x v="618"/>
    <x v="938"/>
    <x v="1"/>
    <x v="1"/>
    <x v="2"/>
  </r>
  <r>
    <x v="1873"/>
    <x v="509"/>
    <x v="1"/>
    <x v="2"/>
    <x v="6"/>
    <x v="5"/>
    <x v="18"/>
    <x v="2"/>
    <x v="2"/>
    <x v="0"/>
    <x v="2"/>
    <x v="5"/>
    <x v="0"/>
    <x v="1"/>
    <x v="9"/>
    <x v="17"/>
    <x v="11"/>
    <x v="221"/>
    <x v="199"/>
    <x v="744"/>
    <x v="455"/>
    <x v="563"/>
    <x v="1"/>
    <x v="0"/>
    <x v="2"/>
  </r>
  <r>
    <x v="1874"/>
    <x v="489"/>
    <x v="1"/>
    <x v="2"/>
    <x v="6"/>
    <x v="5"/>
    <x v="18"/>
    <x v="2"/>
    <x v="2"/>
    <x v="1"/>
    <x v="2"/>
    <x v="5"/>
    <x v="4"/>
    <x v="9"/>
    <x v="12"/>
    <x v="11"/>
    <x v="9"/>
    <x v="191"/>
    <x v="186"/>
    <x v="126"/>
    <x v="410"/>
    <x v="630"/>
    <x v="1"/>
    <x v="1"/>
    <x v="2"/>
  </r>
  <r>
    <x v="1875"/>
    <x v="496"/>
    <x v="1"/>
    <x v="2"/>
    <x v="6"/>
    <x v="5"/>
    <x v="18"/>
    <x v="2"/>
    <x v="2"/>
    <x v="0"/>
    <x v="2"/>
    <x v="5"/>
    <x v="4"/>
    <x v="9"/>
    <x v="9"/>
    <x v="11"/>
    <x v="9"/>
    <x v="128"/>
    <x v="131"/>
    <x v="600"/>
    <x v="223"/>
    <x v="326"/>
    <x v="1"/>
    <x v="0"/>
    <x v="2"/>
  </r>
  <r>
    <x v="1876"/>
    <x v="503"/>
    <x v="1"/>
    <x v="2"/>
    <x v="6"/>
    <x v="5"/>
    <x v="18"/>
    <x v="2"/>
    <x v="2"/>
    <x v="1"/>
    <x v="1"/>
    <x v="3"/>
    <x v="7"/>
    <x v="15"/>
    <x v="18"/>
    <x v="20"/>
    <x v="13"/>
    <x v="436"/>
    <x v="415"/>
    <x v="383"/>
    <x v="869"/>
    <x v="476"/>
    <x v="1"/>
    <x v="1"/>
    <x v="2"/>
  </r>
  <r>
    <x v="1877"/>
    <x v="510"/>
    <x v="1"/>
    <x v="2"/>
    <x v="6"/>
    <x v="5"/>
    <x v="18"/>
    <x v="2"/>
    <x v="2"/>
    <x v="0"/>
    <x v="1"/>
    <x v="3"/>
    <x v="7"/>
    <x v="15"/>
    <x v="9"/>
    <x v="20"/>
    <x v="13"/>
    <x v="246"/>
    <x v="243"/>
    <x v="781"/>
    <x v="420"/>
    <x v="231"/>
    <x v="1"/>
    <x v="0"/>
    <x v="2"/>
  </r>
  <r>
    <x v="1878"/>
    <x v="490"/>
    <x v="1"/>
    <x v="2"/>
    <x v="6"/>
    <x v="5"/>
    <x v="18"/>
    <x v="2"/>
    <x v="2"/>
    <x v="1"/>
    <x v="1"/>
    <x v="3"/>
    <x v="6"/>
    <x v="13"/>
    <x v="18"/>
    <x v="5"/>
    <x v="3"/>
    <x v="75"/>
    <x v="66"/>
    <x v="34"/>
    <x v="206"/>
    <x v="1056"/>
    <x v="1"/>
    <x v="1"/>
    <x v="2"/>
  </r>
  <r>
    <x v="1879"/>
    <x v="497"/>
    <x v="1"/>
    <x v="2"/>
    <x v="6"/>
    <x v="5"/>
    <x v="18"/>
    <x v="2"/>
    <x v="2"/>
    <x v="0"/>
    <x v="1"/>
    <x v="3"/>
    <x v="6"/>
    <x v="13"/>
    <x v="11"/>
    <x v="5"/>
    <x v="3"/>
    <x v="26"/>
    <x v="27"/>
    <x v="258"/>
    <x v="58"/>
    <x v="711"/>
    <x v="1"/>
    <x v="0"/>
    <x v="2"/>
  </r>
  <r>
    <x v="1880"/>
    <x v="504"/>
    <x v="1"/>
    <x v="2"/>
    <x v="6"/>
    <x v="5"/>
    <x v="18"/>
    <x v="4"/>
    <x v="4"/>
    <x v="1"/>
    <x v="3"/>
    <x v="7"/>
    <x v="1"/>
    <x v="3"/>
    <x v="6"/>
    <x v="26"/>
    <x v="17"/>
    <x v="792"/>
    <x v="715"/>
    <x v="979"/>
    <x v="1468"/>
    <x v="258"/>
    <x v="0"/>
    <x v="1"/>
    <x v="0"/>
  </r>
  <r>
    <x v="1881"/>
    <x v="511"/>
    <x v="1"/>
    <x v="2"/>
    <x v="6"/>
    <x v="5"/>
    <x v="18"/>
    <x v="4"/>
    <x v="4"/>
    <x v="0"/>
    <x v="3"/>
    <x v="7"/>
    <x v="1"/>
    <x v="3"/>
    <x v="3"/>
    <x v="26"/>
    <x v="17"/>
    <x v="701"/>
    <x v="653"/>
    <x v="1215"/>
    <x v="1228"/>
    <x v="114"/>
    <x v="1"/>
    <x v="0"/>
    <x v="0"/>
  </r>
  <r>
    <x v="1882"/>
    <x v="491"/>
    <x v="1"/>
    <x v="2"/>
    <x v="6"/>
    <x v="5"/>
    <x v="18"/>
    <x v="4"/>
    <x v="4"/>
    <x v="1"/>
    <x v="3"/>
    <x v="7"/>
    <x v="2"/>
    <x v="5"/>
    <x v="5"/>
    <x v="23"/>
    <x v="15"/>
    <x v="508"/>
    <x v="482"/>
    <x v="474"/>
    <x v="950"/>
    <x v="340"/>
    <x v="0"/>
    <x v="1"/>
    <x v="0"/>
  </r>
  <r>
    <x v="1883"/>
    <x v="498"/>
    <x v="1"/>
    <x v="2"/>
    <x v="6"/>
    <x v="5"/>
    <x v="18"/>
    <x v="4"/>
    <x v="4"/>
    <x v="0"/>
    <x v="3"/>
    <x v="7"/>
    <x v="2"/>
    <x v="5"/>
    <x v="2"/>
    <x v="23"/>
    <x v="15"/>
    <x v="326"/>
    <x v="313"/>
    <x v="875"/>
    <x v="515"/>
    <x v="155"/>
    <x v="1"/>
    <x v="0"/>
    <x v="2"/>
  </r>
  <r>
    <x v="1884"/>
    <x v="505"/>
    <x v="1"/>
    <x v="2"/>
    <x v="6"/>
    <x v="5"/>
    <x v="18"/>
    <x v="4"/>
    <x v="4"/>
    <x v="1"/>
    <x v="3"/>
    <x v="7"/>
    <x v="5"/>
    <x v="11"/>
    <x v="4"/>
    <x v="29"/>
    <x v="19"/>
    <x v="795"/>
    <x v="726"/>
    <x v="992"/>
    <x v="1414"/>
    <x v="81"/>
    <x v="1"/>
    <x v="1"/>
    <x v="0"/>
  </r>
  <r>
    <x v="1885"/>
    <x v="512"/>
    <x v="1"/>
    <x v="2"/>
    <x v="6"/>
    <x v="5"/>
    <x v="18"/>
    <x v="4"/>
    <x v="4"/>
    <x v="0"/>
    <x v="3"/>
    <x v="7"/>
    <x v="5"/>
    <x v="11"/>
    <x v="2"/>
    <x v="29"/>
    <x v="19"/>
    <x v="726"/>
    <x v="681"/>
    <x v="1233"/>
    <x v="1171"/>
    <x v="14"/>
    <x v="2"/>
    <x v="0"/>
    <x v="0"/>
  </r>
  <r>
    <x v="1886"/>
    <x v="492"/>
    <x v="1"/>
    <x v="2"/>
    <x v="6"/>
    <x v="5"/>
    <x v="18"/>
    <x v="4"/>
    <x v="4"/>
    <x v="1"/>
    <x v="0"/>
    <x v="1"/>
    <x v="3"/>
    <x v="7"/>
    <x v="31"/>
    <x v="2"/>
    <x v="1"/>
    <x v="124"/>
    <x v="97"/>
    <x v="72"/>
    <x v="374"/>
    <x v="1212"/>
    <x v="1"/>
    <x v="1"/>
    <x v="2"/>
  </r>
  <r>
    <x v="1887"/>
    <x v="499"/>
    <x v="1"/>
    <x v="2"/>
    <x v="6"/>
    <x v="5"/>
    <x v="18"/>
    <x v="4"/>
    <x v="4"/>
    <x v="0"/>
    <x v="0"/>
    <x v="1"/>
    <x v="3"/>
    <x v="7"/>
    <x v="22"/>
    <x v="2"/>
    <x v="1"/>
    <x v="68"/>
    <x v="54"/>
    <x v="432"/>
    <x v="177"/>
    <x v="981"/>
    <x v="1"/>
    <x v="0"/>
    <x v="2"/>
  </r>
  <r>
    <x v="1888"/>
    <x v="506"/>
    <x v="1"/>
    <x v="2"/>
    <x v="6"/>
    <x v="5"/>
    <x v="18"/>
    <x v="4"/>
    <x v="4"/>
    <x v="1"/>
    <x v="0"/>
    <x v="1"/>
    <x v="8"/>
    <x v="17"/>
    <x v="34"/>
    <x v="14"/>
    <x v="8"/>
    <x v="539"/>
    <x v="457"/>
    <x v="518"/>
    <x v="1163"/>
    <x v="1130"/>
    <x v="0"/>
    <x v="1"/>
    <x v="0"/>
  </r>
  <r>
    <x v="1889"/>
    <x v="486"/>
    <x v="1"/>
    <x v="2"/>
    <x v="6"/>
    <x v="5"/>
    <x v="18"/>
    <x v="4"/>
    <x v="4"/>
    <x v="0"/>
    <x v="0"/>
    <x v="1"/>
    <x v="8"/>
    <x v="17"/>
    <x v="24"/>
    <x v="14"/>
    <x v="8"/>
    <x v="419"/>
    <x v="353"/>
    <x v="1016"/>
    <x v="898"/>
    <x v="759"/>
    <x v="1"/>
    <x v="0"/>
    <x v="2"/>
  </r>
  <r>
    <x v="1890"/>
    <x v="493"/>
    <x v="1"/>
    <x v="2"/>
    <x v="6"/>
    <x v="5"/>
    <x v="18"/>
    <x v="4"/>
    <x v="4"/>
    <x v="1"/>
    <x v="0"/>
    <x v="1"/>
    <x v="9"/>
    <x v="19"/>
    <x v="35"/>
    <x v="8"/>
    <x v="5"/>
    <x v="412"/>
    <x v="372"/>
    <x v="346"/>
    <x v="886"/>
    <x v="771"/>
    <x v="1"/>
    <x v="1"/>
    <x v="2"/>
  </r>
  <r>
    <x v="1891"/>
    <x v="500"/>
    <x v="1"/>
    <x v="2"/>
    <x v="6"/>
    <x v="5"/>
    <x v="18"/>
    <x v="4"/>
    <x v="4"/>
    <x v="0"/>
    <x v="0"/>
    <x v="1"/>
    <x v="9"/>
    <x v="19"/>
    <x v="24"/>
    <x v="8"/>
    <x v="5"/>
    <x v="302"/>
    <x v="270"/>
    <x v="849"/>
    <x v="581"/>
    <x v="453"/>
    <x v="1"/>
    <x v="0"/>
    <x v="2"/>
  </r>
  <r>
    <x v="1892"/>
    <x v="507"/>
    <x v="1"/>
    <x v="2"/>
    <x v="6"/>
    <x v="5"/>
    <x v="18"/>
    <x v="4"/>
    <x v="4"/>
    <x v="1"/>
    <x v="2"/>
    <x v="5"/>
    <x v="0"/>
    <x v="1"/>
    <x v="10"/>
    <x v="17"/>
    <x v="11"/>
    <x v="250"/>
    <x v="219"/>
    <x v="171"/>
    <x v="572"/>
    <x v="949"/>
    <x v="1"/>
    <x v="1"/>
    <x v="2"/>
  </r>
  <r>
    <x v="1893"/>
    <x v="487"/>
    <x v="1"/>
    <x v="2"/>
    <x v="6"/>
    <x v="5"/>
    <x v="18"/>
    <x v="4"/>
    <x v="4"/>
    <x v="0"/>
    <x v="2"/>
    <x v="5"/>
    <x v="0"/>
    <x v="1"/>
    <x v="7"/>
    <x v="17"/>
    <x v="11"/>
    <x v="166"/>
    <x v="149"/>
    <x v="656"/>
    <x v="330"/>
    <x v="560"/>
    <x v="1"/>
    <x v="0"/>
    <x v="2"/>
  </r>
  <r>
    <x v="1894"/>
    <x v="494"/>
    <x v="1"/>
    <x v="2"/>
    <x v="6"/>
    <x v="5"/>
    <x v="18"/>
    <x v="4"/>
    <x v="4"/>
    <x v="1"/>
    <x v="2"/>
    <x v="5"/>
    <x v="4"/>
    <x v="9"/>
    <x v="13"/>
    <x v="11"/>
    <x v="9"/>
    <x v="209"/>
    <x v="202"/>
    <x v="140"/>
    <x v="444"/>
    <x v="629"/>
    <x v="1"/>
    <x v="1"/>
    <x v="2"/>
  </r>
  <r>
    <x v="1895"/>
    <x v="501"/>
    <x v="1"/>
    <x v="2"/>
    <x v="6"/>
    <x v="5"/>
    <x v="18"/>
    <x v="4"/>
    <x v="4"/>
    <x v="0"/>
    <x v="2"/>
    <x v="5"/>
    <x v="4"/>
    <x v="9"/>
    <x v="7"/>
    <x v="11"/>
    <x v="9"/>
    <x v="91"/>
    <x v="94"/>
    <x v="498"/>
    <x v="140"/>
    <x v="330"/>
    <x v="1"/>
    <x v="0"/>
    <x v="2"/>
  </r>
  <r>
    <x v="1896"/>
    <x v="508"/>
    <x v="1"/>
    <x v="2"/>
    <x v="6"/>
    <x v="5"/>
    <x v="18"/>
    <x v="4"/>
    <x v="4"/>
    <x v="1"/>
    <x v="1"/>
    <x v="3"/>
    <x v="7"/>
    <x v="15"/>
    <x v="14"/>
    <x v="20"/>
    <x v="13"/>
    <x v="365"/>
    <x v="348"/>
    <x v="288"/>
    <x v="723"/>
    <x v="463"/>
    <x v="1"/>
    <x v="1"/>
    <x v="2"/>
  </r>
  <r>
    <x v="1897"/>
    <x v="488"/>
    <x v="1"/>
    <x v="2"/>
    <x v="6"/>
    <x v="5"/>
    <x v="18"/>
    <x v="4"/>
    <x v="4"/>
    <x v="0"/>
    <x v="1"/>
    <x v="3"/>
    <x v="7"/>
    <x v="15"/>
    <x v="10"/>
    <x v="20"/>
    <x v="13"/>
    <x v="271"/>
    <x v="267"/>
    <x v="821"/>
    <x v="467"/>
    <x v="230"/>
    <x v="1"/>
    <x v="0"/>
    <x v="2"/>
  </r>
  <r>
    <x v="1898"/>
    <x v="495"/>
    <x v="1"/>
    <x v="2"/>
    <x v="6"/>
    <x v="5"/>
    <x v="18"/>
    <x v="4"/>
    <x v="4"/>
    <x v="1"/>
    <x v="1"/>
    <x v="3"/>
    <x v="6"/>
    <x v="13"/>
    <x v="18"/>
    <x v="5"/>
    <x v="3"/>
    <x v="75"/>
    <x v="66"/>
    <x v="34"/>
    <x v="206"/>
    <x v="1056"/>
    <x v="1"/>
    <x v="1"/>
    <x v="2"/>
  </r>
  <r>
    <x v="1899"/>
    <x v="502"/>
    <x v="1"/>
    <x v="2"/>
    <x v="6"/>
    <x v="5"/>
    <x v="18"/>
    <x v="4"/>
    <x v="4"/>
    <x v="0"/>
    <x v="1"/>
    <x v="3"/>
    <x v="6"/>
    <x v="13"/>
    <x v="10"/>
    <x v="5"/>
    <x v="3"/>
    <x v="21"/>
    <x v="22"/>
    <x v="231"/>
    <x v="44"/>
    <x v="712"/>
    <x v="1"/>
    <x v="0"/>
    <x v="2"/>
  </r>
  <r>
    <x v="1900"/>
    <x v="536"/>
    <x v="1"/>
    <x v="2"/>
    <x v="7"/>
    <x v="1"/>
    <x v="19"/>
    <x v="0"/>
    <x v="0"/>
    <x v="1"/>
    <x v="3"/>
    <x v="7"/>
    <x v="1"/>
    <x v="3"/>
    <x v="18"/>
    <x v="26"/>
    <x v="17"/>
    <x v="861"/>
    <x v="765"/>
    <x v="1205"/>
    <x v="1599"/>
    <x v="255"/>
    <x v="0"/>
    <x v="1"/>
    <x v="0"/>
  </r>
  <r>
    <x v="1901"/>
    <x v="516"/>
    <x v="1"/>
    <x v="2"/>
    <x v="7"/>
    <x v="1"/>
    <x v="19"/>
    <x v="0"/>
    <x v="0"/>
    <x v="0"/>
    <x v="3"/>
    <x v="7"/>
    <x v="1"/>
    <x v="3"/>
    <x v="13"/>
    <x v="26"/>
    <x v="17"/>
    <x v="843"/>
    <x v="749"/>
    <x v="1322"/>
    <x v="1564"/>
    <x v="116"/>
    <x v="1"/>
    <x v="0"/>
    <x v="0"/>
  </r>
  <r>
    <x v="1902"/>
    <x v="523"/>
    <x v="1"/>
    <x v="2"/>
    <x v="7"/>
    <x v="1"/>
    <x v="19"/>
    <x v="0"/>
    <x v="0"/>
    <x v="1"/>
    <x v="3"/>
    <x v="7"/>
    <x v="2"/>
    <x v="5"/>
    <x v="16"/>
    <x v="23"/>
    <x v="15"/>
    <x v="764"/>
    <x v="693"/>
    <x v="896"/>
    <x v="1431"/>
    <x v="334"/>
    <x v="0"/>
    <x v="1"/>
    <x v="0"/>
  </r>
  <r>
    <x v="1903"/>
    <x v="530"/>
    <x v="1"/>
    <x v="2"/>
    <x v="7"/>
    <x v="1"/>
    <x v="19"/>
    <x v="0"/>
    <x v="0"/>
    <x v="0"/>
    <x v="3"/>
    <x v="7"/>
    <x v="2"/>
    <x v="5"/>
    <x v="10"/>
    <x v="23"/>
    <x v="15"/>
    <x v="674"/>
    <x v="622"/>
    <x v="1199"/>
    <x v="1212"/>
    <x v="155"/>
    <x v="1"/>
    <x v="0"/>
    <x v="0"/>
  </r>
  <r>
    <x v="1904"/>
    <x v="537"/>
    <x v="1"/>
    <x v="2"/>
    <x v="7"/>
    <x v="1"/>
    <x v="19"/>
    <x v="0"/>
    <x v="0"/>
    <x v="1"/>
    <x v="3"/>
    <x v="7"/>
    <x v="5"/>
    <x v="11"/>
    <x v="14"/>
    <x v="29"/>
    <x v="19"/>
    <x v="865"/>
    <x v="773"/>
    <x v="1221"/>
    <x v="1590"/>
    <x v="81"/>
    <x v="1"/>
    <x v="1"/>
    <x v="0"/>
  </r>
  <r>
    <x v="1905"/>
    <x v="517"/>
    <x v="1"/>
    <x v="2"/>
    <x v="7"/>
    <x v="1"/>
    <x v="19"/>
    <x v="0"/>
    <x v="0"/>
    <x v="0"/>
    <x v="3"/>
    <x v="7"/>
    <x v="5"/>
    <x v="11"/>
    <x v="13"/>
    <x v="29"/>
    <x v="19"/>
    <x v="864"/>
    <x v="771"/>
    <x v="1333"/>
    <x v="1570"/>
    <x v="13"/>
    <x v="2"/>
    <x v="0"/>
    <x v="0"/>
  </r>
  <r>
    <x v="1906"/>
    <x v="524"/>
    <x v="1"/>
    <x v="2"/>
    <x v="7"/>
    <x v="1"/>
    <x v="19"/>
    <x v="0"/>
    <x v="0"/>
    <x v="1"/>
    <x v="0"/>
    <x v="1"/>
    <x v="3"/>
    <x v="7"/>
    <x v="95"/>
    <x v="2"/>
    <x v="1"/>
    <x v="464"/>
    <x v="376"/>
    <x v="413"/>
    <x v="1070"/>
    <x v="1212"/>
    <x v="1"/>
    <x v="1"/>
    <x v="2"/>
  </r>
  <r>
    <x v="1907"/>
    <x v="531"/>
    <x v="1"/>
    <x v="2"/>
    <x v="7"/>
    <x v="1"/>
    <x v="19"/>
    <x v="0"/>
    <x v="0"/>
    <x v="0"/>
    <x v="0"/>
    <x v="1"/>
    <x v="3"/>
    <x v="7"/>
    <x v="57"/>
    <x v="2"/>
    <x v="1"/>
    <x v="289"/>
    <x v="228"/>
    <x v="843"/>
    <x v="678"/>
    <x v="978"/>
    <x v="1"/>
    <x v="0"/>
    <x v="2"/>
  </r>
  <r>
    <x v="1908"/>
    <x v="538"/>
    <x v="1"/>
    <x v="2"/>
    <x v="7"/>
    <x v="1"/>
    <x v="19"/>
    <x v="0"/>
    <x v="0"/>
    <x v="1"/>
    <x v="0"/>
    <x v="1"/>
    <x v="8"/>
    <x v="17"/>
    <x v="87"/>
    <x v="14"/>
    <x v="8"/>
    <x v="779"/>
    <x v="674"/>
    <x v="932"/>
    <x v="1512"/>
    <x v="1135"/>
    <x v="0"/>
    <x v="1"/>
    <x v="0"/>
  </r>
  <r>
    <x v="1909"/>
    <x v="518"/>
    <x v="1"/>
    <x v="2"/>
    <x v="7"/>
    <x v="1"/>
    <x v="19"/>
    <x v="0"/>
    <x v="0"/>
    <x v="0"/>
    <x v="0"/>
    <x v="1"/>
    <x v="8"/>
    <x v="17"/>
    <x v="68"/>
    <x v="14"/>
    <x v="8"/>
    <x v="727"/>
    <x v="628"/>
    <x v="1235"/>
    <x v="1406"/>
    <x v="755"/>
    <x v="0"/>
    <x v="0"/>
    <x v="0"/>
  </r>
  <r>
    <x v="1910"/>
    <x v="525"/>
    <x v="1"/>
    <x v="2"/>
    <x v="7"/>
    <x v="1"/>
    <x v="19"/>
    <x v="0"/>
    <x v="0"/>
    <x v="1"/>
    <x v="0"/>
    <x v="1"/>
    <x v="9"/>
    <x v="19"/>
    <x v="83"/>
    <x v="8"/>
    <x v="5"/>
    <x v="689"/>
    <x v="610"/>
    <x v="742"/>
    <x v="1343"/>
    <x v="769"/>
    <x v="0"/>
    <x v="1"/>
    <x v="0"/>
  </r>
  <r>
    <x v="1911"/>
    <x v="532"/>
    <x v="1"/>
    <x v="2"/>
    <x v="7"/>
    <x v="1"/>
    <x v="19"/>
    <x v="0"/>
    <x v="0"/>
    <x v="0"/>
    <x v="0"/>
    <x v="1"/>
    <x v="9"/>
    <x v="19"/>
    <x v="72"/>
    <x v="8"/>
    <x v="5"/>
    <x v="642"/>
    <x v="570"/>
    <x v="1177"/>
    <x v="1229"/>
    <x v="454"/>
    <x v="0"/>
    <x v="0"/>
    <x v="0"/>
  </r>
  <r>
    <x v="1912"/>
    <x v="539"/>
    <x v="1"/>
    <x v="2"/>
    <x v="7"/>
    <x v="1"/>
    <x v="19"/>
    <x v="0"/>
    <x v="0"/>
    <x v="1"/>
    <x v="2"/>
    <x v="5"/>
    <x v="0"/>
    <x v="1"/>
    <x v="42"/>
    <x v="17"/>
    <x v="11"/>
    <x v="666"/>
    <x v="585"/>
    <x v="709"/>
    <x v="1329"/>
    <x v="939"/>
    <x v="0"/>
    <x v="1"/>
    <x v="0"/>
  </r>
  <r>
    <x v="1913"/>
    <x v="519"/>
    <x v="1"/>
    <x v="2"/>
    <x v="7"/>
    <x v="1"/>
    <x v="19"/>
    <x v="0"/>
    <x v="0"/>
    <x v="0"/>
    <x v="2"/>
    <x v="5"/>
    <x v="0"/>
    <x v="1"/>
    <x v="30"/>
    <x v="17"/>
    <x v="11"/>
    <x v="577"/>
    <x v="503"/>
    <x v="1130"/>
    <x v="1147"/>
    <x v="565"/>
    <x v="0"/>
    <x v="0"/>
    <x v="0"/>
  </r>
  <r>
    <x v="1914"/>
    <x v="526"/>
    <x v="1"/>
    <x v="2"/>
    <x v="7"/>
    <x v="1"/>
    <x v="19"/>
    <x v="0"/>
    <x v="0"/>
    <x v="1"/>
    <x v="2"/>
    <x v="5"/>
    <x v="4"/>
    <x v="9"/>
    <x v="34"/>
    <x v="11"/>
    <x v="9"/>
    <x v="497"/>
    <x v="459"/>
    <x v="458"/>
    <x v="999"/>
    <x v="625"/>
    <x v="0"/>
    <x v="1"/>
    <x v="0"/>
  </r>
  <r>
    <x v="1915"/>
    <x v="533"/>
    <x v="1"/>
    <x v="2"/>
    <x v="7"/>
    <x v="1"/>
    <x v="19"/>
    <x v="0"/>
    <x v="0"/>
    <x v="0"/>
    <x v="2"/>
    <x v="5"/>
    <x v="4"/>
    <x v="9"/>
    <x v="22"/>
    <x v="11"/>
    <x v="9"/>
    <x v="360"/>
    <x v="332"/>
    <x v="939"/>
    <x v="672"/>
    <x v="324"/>
    <x v="1"/>
    <x v="0"/>
    <x v="2"/>
  </r>
  <r>
    <x v="1916"/>
    <x v="513"/>
    <x v="1"/>
    <x v="2"/>
    <x v="7"/>
    <x v="1"/>
    <x v="19"/>
    <x v="0"/>
    <x v="0"/>
    <x v="1"/>
    <x v="1"/>
    <x v="3"/>
    <x v="7"/>
    <x v="15"/>
    <x v="61"/>
    <x v="20"/>
    <x v="13"/>
    <x v="766"/>
    <x v="691"/>
    <x v="902"/>
    <x v="1446"/>
    <x v="467"/>
    <x v="0"/>
    <x v="1"/>
    <x v="0"/>
  </r>
  <r>
    <x v="1917"/>
    <x v="520"/>
    <x v="1"/>
    <x v="2"/>
    <x v="7"/>
    <x v="1"/>
    <x v="19"/>
    <x v="0"/>
    <x v="0"/>
    <x v="0"/>
    <x v="1"/>
    <x v="3"/>
    <x v="7"/>
    <x v="15"/>
    <x v="32"/>
    <x v="20"/>
    <x v="13"/>
    <x v="621"/>
    <x v="565"/>
    <x v="1163"/>
    <x v="1142"/>
    <x v="227"/>
    <x v="0"/>
    <x v="0"/>
    <x v="0"/>
  </r>
  <r>
    <x v="1918"/>
    <x v="527"/>
    <x v="1"/>
    <x v="2"/>
    <x v="7"/>
    <x v="1"/>
    <x v="19"/>
    <x v="0"/>
    <x v="0"/>
    <x v="1"/>
    <x v="1"/>
    <x v="3"/>
    <x v="6"/>
    <x v="13"/>
    <x v="48"/>
    <x v="5"/>
    <x v="3"/>
    <x v="314"/>
    <x v="261"/>
    <x v="220"/>
    <x v="726"/>
    <x v="1066"/>
    <x v="1"/>
    <x v="1"/>
    <x v="2"/>
  </r>
  <r>
    <x v="1919"/>
    <x v="534"/>
    <x v="1"/>
    <x v="2"/>
    <x v="7"/>
    <x v="1"/>
    <x v="19"/>
    <x v="0"/>
    <x v="0"/>
    <x v="0"/>
    <x v="1"/>
    <x v="3"/>
    <x v="6"/>
    <x v="13"/>
    <x v="29"/>
    <x v="5"/>
    <x v="3"/>
    <x v="168"/>
    <x v="141"/>
    <x v="659"/>
    <x v="373"/>
    <x v="710"/>
    <x v="1"/>
    <x v="0"/>
    <x v="2"/>
  </r>
  <r>
    <x v="1920"/>
    <x v="514"/>
    <x v="1"/>
    <x v="2"/>
    <x v="7"/>
    <x v="1"/>
    <x v="19"/>
    <x v="1"/>
    <x v="1"/>
    <x v="1"/>
    <x v="3"/>
    <x v="7"/>
    <x v="1"/>
    <x v="3"/>
    <x v="10"/>
    <x v="26"/>
    <x v="17"/>
    <x v="828"/>
    <x v="740"/>
    <x v="1095"/>
    <x v="1553"/>
    <x v="253"/>
    <x v="0"/>
    <x v="1"/>
    <x v="0"/>
  </r>
  <r>
    <x v="1921"/>
    <x v="521"/>
    <x v="1"/>
    <x v="2"/>
    <x v="7"/>
    <x v="1"/>
    <x v="19"/>
    <x v="1"/>
    <x v="1"/>
    <x v="0"/>
    <x v="3"/>
    <x v="7"/>
    <x v="1"/>
    <x v="3"/>
    <x v="6"/>
    <x v="26"/>
    <x v="17"/>
    <x v="792"/>
    <x v="715"/>
    <x v="1286"/>
    <x v="1430"/>
    <x v="117"/>
    <x v="1"/>
    <x v="0"/>
    <x v="0"/>
  </r>
  <r>
    <x v="1922"/>
    <x v="528"/>
    <x v="1"/>
    <x v="2"/>
    <x v="7"/>
    <x v="1"/>
    <x v="19"/>
    <x v="1"/>
    <x v="1"/>
    <x v="1"/>
    <x v="3"/>
    <x v="7"/>
    <x v="2"/>
    <x v="5"/>
    <x v="8"/>
    <x v="23"/>
    <x v="15"/>
    <x v="623"/>
    <x v="577"/>
    <x v="650"/>
    <x v="1178"/>
    <x v="338"/>
    <x v="0"/>
    <x v="1"/>
    <x v="0"/>
  </r>
  <r>
    <x v="1923"/>
    <x v="535"/>
    <x v="1"/>
    <x v="2"/>
    <x v="7"/>
    <x v="1"/>
    <x v="19"/>
    <x v="1"/>
    <x v="1"/>
    <x v="0"/>
    <x v="3"/>
    <x v="7"/>
    <x v="2"/>
    <x v="5"/>
    <x v="6"/>
    <x v="23"/>
    <x v="15"/>
    <x v="555"/>
    <x v="520"/>
    <x v="1116"/>
    <x v="954"/>
    <x v="155"/>
    <x v="1"/>
    <x v="0"/>
    <x v="0"/>
  </r>
  <r>
    <x v="1924"/>
    <x v="515"/>
    <x v="1"/>
    <x v="2"/>
    <x v="7"/>
    <x v="1"/>
    <x v="19"/>
    <x v="1"/>
    <x v="1"/>
    <x v="1"/>
    <x v="3"/>
    <x v="7"/>
    <x v="5"/>
    <x v="11"/>
    <x v="9"/>
    <x v="29"/>
    <x v="19"/>
    <x v="844"/>
    <x v="754"/>
    <x v="1155"/>
    <x v="1558"/>
    <x v="85"/>
    <x v="1"/>
    <x v="1"/>
    <x v="0"/>
  </r>
  <r>
    <x v="1925"/>
    <x v="522"/>
    <x v="1"/>
    <x v="2"/>
    <x v="7"/>
    <x v="1"/>
    <x v="19"/>
    <x v="1"/>
    <x v="1"/>
    <x v="0"/>
    <x v="3"/>
    <x v="7"/>
    <x v="5"/>
    <x v="11"/>
    <x v="6"/>
    <x v="29"/>
    <x v="19"/>
    <x v="821"/>
    <x v="741"/>
    <x v="1308"/>
    <x v="1452"/>
    <x v="14"/>
    <x v="2"/>
    <x v="0"/>
    <x v="0"/>
  </r>
  <r>
    <x v="1926"/>
    <x v="529"/>
    <x v="1"/>
    <x v="2"/>
    <x v="7"/>
    <x v="1"/>
    <x v="19"/>
    <x v="1"/>
    <x v="1"/>
    <x v="1"/>
    <x v="0"/>
    <x v="1"/>
    <x v="3"/>
    <x v="7"/>
    <x v="60"/>
    <x v="2"/>
    <x v="1"/>
    <x v="310"/>
    <x v="241"/>
    <x v="215"/>
    <x v="768"/>
    <x v="1208"/>
    <x v="1"/>
    <x v="1"/>
    <x v="2"/>
  </r>
  <r>
    <x v="1927"/>
    <x v="536"/>
    <x v="1"/>
    <x v="2"/>
    <x v="7"/>
    <x v="1"/>
    <x v="19"/>
    <x v="1"/>
    <x v="1"/>
    <x v="0"/>
    <x v="0"/>
    <x v="1"/>
    <x v="3"/>
    <x v="7"/>
    <x v="34"/>
    <x v="2"/>
    <x v="1"/>
    <x v="147"/>
    <x v="114"/>
    <x v="633"/>
    <x v="371"/>
    <x v="981"/>
    <x v="1"/>
    <x v="0"/>
    <x v="2"/>
  </r>
  <r>
    <x v="1928"/>
    <x v="516"/>
    <x v="1"/>
    <x v="2"/>
    <x v="7"/>
    <x v="1"/>
    <x v="19"/>
    <x v="1"/>
    <x v="1"/>
    <x v="1"/>
    <x v="0"/>
    <x v="1"/>
    <x v="8"/>
    <x v="17"/>
    <x v="48"/>
    <x v="14"/>
    <x v="8"/>
    <x v="639"/>
    <x v="549"/>
    <x v="668"/>
    <x v="1305"/>
    <x v="1130"/>
    <x v="0"/>
    <x v="1"/>
    <x v="0"/>
  </r>
  <r>
    <x v="1929"/>
    <x v="523"/>
    <x v="1"/>
    <x v="2"/>
    <x v="7"/>
    <x v="1"/>
    <x v="19"/>
    <x v="1"/>
    <x v="1"/>
    <x v="0"/>
    <x v="0"/>
    <x v="1"/>
    <x v="8"/>
    <x v="17"/>
    <x v="33"/>
    <x v="14"/>
    <x v="8"/>
    <x v="528"/>
    <x v="449"/>
    <x v="1094"/>
    <x v="1084"/>
    <x v="760"/>
    <x v="0"/>
    <x v="0"/>
    <x v="0"/>
  </r>
  <r>
    <x v="1930"/>
    <x v="530"/>
    <x v="1"/>
    <x v="2"/>
    <x v="7"/>
    <x v="1"/>
    <x v="19"/>
    <x v="1"/>
    <x v="1"/>
    <x v="1"/>
    <x v="0"/>
    <x v="1"/>
    <x v="9"/>
    <x v="19"/>
    <x v="47"/>
    <x v="8"/>
    <x v="5"/>
    <x v="513"/>
    <x v="460"/>
    <x v="483"/>
    <x v="1068"/>
    <x v="772"/>
    <x v="0"/>
    <x v="1"/>
    <x v="0"/>
  </r>
  <r>
    <x v="1931"/>
    <x v="537"/>
    <x v="1"/>
    <x v="2"/>
    <x v="7"/>
    <x v="1"/>
    <x v="19"/>
    <x v="1"/>
    <x v="1"/>
    <x v="0"/>
    <x v="0"/>
    <x v="1"/>
    <x v="9"/>
    <x v="19"/>
    <x v="40"/>
    <x v="8"/>
    <x v="5"/>
    <x v="458"/>
    <x v="413"/>
    <x v="1046"/>
    <x v="896"/>
    <x v="458"/>
    <x v="1"/>
    <x v="0"/>
    <x v="2"/>
  </r>
  <r>
    <x v="1932"/>
    <x v="517"/>
    <x v="1"/>
    <x v="2"/>
    <x v="7"/>
    <x v="1"/>
    <x v="19"/>
    <x v="1"/>
    <x v="1"/>
    <x v="1"/>
    <x v="2"/>
    <x v="5"/>
    <x v="0"/>
    <x v="1"/>
    <x v="26"/>
    <x v="17"/>
    <x v="11"/>
    <x v="534"/>
    <x v="467"/>
    <x v="510"/>
    <x v="1124"/>
    <x v="943"/>
    <x v="0"/>
    <x v="1"/>
    <x v="0"/>
  </r>
  <r>
    <x v="1933"/>
    <x v="524"/>
    <x v="1"/>
    <x v="2"/>
    <x v="7"/>
    <x v="1"/>
    <x v="19"/>
    <x v="1"/>
    <x v="1"/>
    <x v="0"/>
    <x v="2"/>
    <x v="5"/>
    <x v="0"/>
    <x v="1"/>
    <x v="15"/>
    <x v="17"/>
    <x v="11"/>
    <x v="359"/>
    <x v="310"/>
    <x v="938"/>
    <x v="732"/>
    <x v="561"/>
    <x v="1"/>
    <x v="0"/>
    <x v="2"/>
  </r>
  <r>
    <x v="1934"/>
    <x v="531"/>
    <x v="1"/>
    <x v="2"/>
    <x v="7"/>
    <x v="1"/>
    <x v="19"/>
    <x v="1"/>
    <x v="1"/>
    <x v="1"/>
    <x v="2"/>
    <x v="5"/>
    <x v="4"/>
    <x v="9"/>
    <x v="22"/>
    <x v="11"/>
    <x v="9"/>
    <x v="360"/>
    <x v="332"/>
    <x v="278"/>
    <x v="742"/>
    <x v="619"/>
    <x v="1"/>
    <x v="1"/>
    <x v="2"/>
  </r>
  <r>
    <x v="1935"/>
    <x v="538"/>
    <x v="1"/>
    <x v="2"/>
    <x v="7"/>
    <x v="1"/>
    <x v="19"/>
    <x v="1"/>
    <x v="1"/>
    <x v="0"/>
    <x v="2"/>
    <x v="5"/>
    <x v="4"/>
    <x v="9"/>
    <x v="13"/>
    <x v="11"/>
    <x v="9"/>
    <x v="209"/>
    <x v="202"/>
    <x v="727"/>
    <x v="386"/>
    <x v="322"/>
    <x v="1"/>
    <x v="0"/>
    <x v="2"/>
  </r>
  <r>
    <x v="1936"/>
    <x v="518"/>
    <x v="1"/>
    <x v="2"/>
    <x v="7"/>
    <x v="1"/>
    <x v="19"/>
    <x v="1"/>
    <x v="1"/>
    <x v="1"/>
    <x v="1"/>
    <x v="3"/>
    <x v="7"/>
    <x v="15"/>
    <x v="32"/>
    <x v="20"/>
    <x v="13"/>
    <x v="621"/>
    <x v="565"/>
    <x v="642"/>
    <x v="1202"/>
    <x v="466"/>
    <x v="0"/>
    <x v="1"/>
    <x v="0"/>
  </r>
  <r>
    <x v="1937"/>
    <x v="525"/>
    <x v="1"/>
    <x v="2"/>
    <x v="7"/>
    <x v="1"/>
    <x v="19"/>
    <x v="1"/>
    <x v="1"/>
    <x v="0"/>
    <x v="1"/>
    <x v="3"/>
    <x v="7"/>
    <x v="15"/>
    <x v="16"/>
    <x v="20"/>
    <x v="13"/>
    <x v="405"/>
    <x v="386"/>
    <x v="997"/>
    <x v="722"/>
    <x v="230"/>
    <x v="1"/>
    <x v="0"/>
    <x v="2"/>
  </r>
  <r>
    <x v="1938"/>
    <x v="532"/>
    <x v="1"/>
    <x v="2"/>
    <x v="7"/>
    <x v="1"/>
    <x v="19"/>
    <x v="1"/>
    <x v="1"/>
    <x v="1"/>
    <x v="1"/>
    <x v="3"/>
    <x v="6"/>
    <x v="13"/>
    <x v="34"/>
    <x v="5"/>
    <x v="3"/>
    <x v="205"/>
    <x v="175"/>
    <x v="136"/>
    <x v="520"/>
    <x v="1058"/>
    <x v="1"/>
    <x v="1"/>
    <x v="2"/>
  </r>
  <r>
    <x v="1939"/>
    <x v="539"/>
    <x v="1"/>
    <x v="2"/>
    <x v="7"/>
    <x v="1"/>
    <x v="19"/>
    <x v="1"/>
    <x v="1"/>
    <x v="0"/>
    <x v="1"/>
    <x v="3"/>
    <x v="6"/>
    <x v="13"/>
    <x v="23"/>
    <x v="5"/>
    <x v="3"/>
    <x v="115"/>
    <x v="100"/>
    <x v="574"/>
    <x v="250"/>
    <x v="704"/>
    <x v="1"/>
    <x v="0"/>
    <x v="2"/>
  </r>
  <r>
    <x v="1940"/>
    <x v="519"/>
    <x v="1"/>
    <x v="2"/>
    <x v="7"/>
    <x v="1"/>
    <x v="19"/>
    <x v="3"/>
    <x v="3"/>
    <x v="1"/>
    <x v="3"/>
    <x v="7"/>
    <x v="1"/>
    <x v="3"/>
    <x v="7"/>
    <x v="26"/>
    <x v="17"/>
    <x v="805"/>
    <x v="725"/>
    <x v="1018"/>
    <x v="1502"/>
    <x v="259"/>
    <x v="0"/>
    <x v="1"/>
    <x v="0"/>
  </r>
  <r>
    <x v="1941"/>
    <x v="526"/>
    <x v="1"/>
    <x v="2"/>
    <x v="7"/>
    <x v="1"/>
    <x v="19"/>
    <x v="3"/>
    <x v="3"/>
    <x v="0"/>
    <x v="3"/>
    <x v="7"/>
    <x v="1"/>
    <x v="3"/>
    <x v="4"/>
    <x v="26"/>
    <x v="17"/>
    <x v="742"/>
    <x v="679"/>
    <x v="1249"/>
    <x v="1301"/>
    <x v="117"/>
    <x v="1"/>
    <x v="0"/>
    <x v="0"/>
  </r>
  <r>
    <x v="1942"/>
    <x v="533"/>
    <x v="1"/>
    <x v="2"/>
    <x v="7"/>
    <x v="1"/>
    <x v="19"/>
    <x v="3"/>
    <x v="3"/>
    <x v="1"/>
    <x v="3"/>
    <x v="7"/>
    <x v="2"/>
    <x v="5"/>
    <x v="7"/>
    <x v="23"/>
    <x v="15"/>
    <x v="590"/>
    <x v="556"/>
    <x v="604"/>
    <x v="1118"/>
    <x v="334"/>
    <x v="0"/>
    <x v="1"/>
    <x v="0"/>
  </r>
  <r>
    <x v="1943"/>
    <x v="513"/>
    <x v="1"/>
    <x v="2"/>
    <x v="7"/>
    <x v="1"/>
    <x v="19"/>
    <x v="3"/>
    <x v="3"/>
    <x v="0"/>
    <x v="3"/>
    <x v="7"/>
    <x v="2"/>
    <x v="5"/>
    <x v="4"/>
    <x v="23"/>
    <x v="15"/>
    <x v="454"/>
    <x v="442"/>
    <x v="1044"/>
    <x v="778"/>
    <x v="155"/>
    <x v="1"/>
    <x v="0"/>
    <x v="2"/>
  </r>
  <r>
    <x v="1944"/>
    <x v="520"/>
    <x v="1"/>
    <x v="2"/>
    <x v="7"/>
    <x v="1"/>
    <x v="19"/>
    <x v="3"/>
    <x v="3"/>
    <x v="1"/>
    <x v="3"/>
    <x v="7"/>
    <x v="5"/>
    <x v="11"/>
    <x v="8"/>
    <x v="29"/>
    <x v="19"/>
    <x v="838"/>
    <x v="750"/>
    <x v="1129"/>
    <x v="1542"/>
    <x v="81"/>
    <x v="1"/>
    <x v="1"/>
    <x v="0"/>
  </r>
  <r>
    <x v="1945"/>
    <x v="527"/>
    <x v="1"/>
    <x v="2"/>
    <x v="7"/>
    <x v="1"/>
    <x v="19"/>
    <x v="3"/>
    <x v="3"/>
    <x v="0"/>
    <x v="3"/>
    <x v="7"/>
    <x v="5"/>
    <x v="11"/>
    <x v="3"/>
    <x v="29"/>
    <x v="19"/>
    <x v="770"/>
    <x v="709"/>
    <x v="1264"/>
    <x v="1268"/>
    <x v="11"/>
    <x v="2"/>
    <x v="0"/>
    <x v="0"/>
  </r>
  <r>
    <x v="1946"/>
    <x v="534"/>
    <x v="1"/>
    <x v="2"/>
    <x v="7"/>
    <x v="1"/>
    <x v="19"/>
    <x v="3"/>
    <x v="3"/>
    <x v="1"/>
    <x v="0"/>
    <x v="1"/>
    <x v="3"/>
    <x v="7"/>
    <x v="34"/>
    <x v="2"/>
    <x v="1"/>
    <x v="147"/>
    <x v="114"/>
    <x v="89"/>
    <x v="427"/>
    <x v="1203"/>
    <x v="1"/>
    <x v="1"/>
    <x v="2"/>
  </r>
  <r>
    <x v="1947"/>
    <x v="514"/>
    <x v="1"/>
    <x v="2"/>
    <x v="7"/>
    <x v="1"/>
    <x v="19"/>
    <x v="3"/>
    <x v="3"/>
    <x v="0"/>
    <x v="0"/>
    <x v="1"/>
    <x v="3"/>
    <x v="7"/>
    <x v="23"/>
    <x v="2"/>
    <x v="1"/>
    <x v="74"/>
    <x v="58"/>
    <x v="448"/>
    <x v="193"/>
    <x v="985"/>
    <x v="1"/>
    <x v="0"/>
    <x v="2"/>
  </r>
  <r>
    <x v="1948"/>
    <x v="521"/>
    <x v="1"/>
    <x v="2"/>
    <x v="7"/>
    <x v="1"/>
    <x v="19"/>
    <x v="3"/>
    <x v="3"/>
    <x v="1"/>
    <x v="0"/>
    <x v="1"/>
    <x v="8"/>
    <x v="17"/>
    <x v="36"/>
    <x v="14"/>
    <x v="8"/>
    <x v="557"/>
    <x v="471"/>
    <x v="542"/>
    <x v="1195"/>
    <x v="1130"/>
    <x v="0"/>
    <x v="1"/>
    <x v="0"/>
  </r>
  <r>
    <x v="1949"/>
    <x v="528"/>
    <x v="1"/>
    <x v="2"/>
    <x v="7"/>
    <x v="1"/>
    <x v="19"/>
    <x v="3"/>
    <x v="3"/>
    <x v="0"/>
    <x v="0"/>
    <x v="1"/>
    <x v="8"/>
    <x v="17"/>
    <x v="21"/>
    <x v="14"/>
    <x v="8"/>
    <x v="379"/>
    <x v="318"/>
    <x v="968"/>
    <x v="821"/>
    <x v="754"/>
    <x v="1"/>
    <x v="0"/>
    <x v="2"/>
  </r>
  <r>
    <x v="1950"/>
    <x v="535"/>
    <x v="1"/>
    <x v="2"/>
    <x v="7"/>
    <x v="1"/>
    <x v="19"/>
    <x v="3"/>
    <x v="3"/>
    <x v="1"/>
    <x v="0"/>
    <x v="1"/>
    <x v="9"/>
    <x v="19"/>
    <x v="32"/>
    <x v="8"/>
    <x v="5"/>
    <x v="386"/>
    <x v="344"/>
    <x v="309"/>
    <x v="831"/>
    <x v="777"/>
    <x v="1"/>
    <x v="1"/>
    <x v="2"/>
  </r>
  <r>
    <x v="1951"/>
    <x v="515"/>
    <x v="1"/>
    <x v="2"/>
    <x v="7"/>
    <x v="1"/>
    <x v="19"/>
    <x v="3"/>
    <x v="3"/>
    <x v="0"/>
    <x v="0"/>
    <x v="1"/>
    <x v="9"/>
    <x v="19"/>
    <x v="28"/>
    <x v="8"/>
    <x v="5"/>
    <x v="349"/>
    <x v="306"/>
    <x v="918"/>
    <x v="681"/>
    <x v="450"/>
    <x v="1"/>
    <x v="0"/>
    <x v="2"/>
  </r>
  <r>
    <x v="1952"/>
    <x v="522"/>
    <x v="1"/>
    <x v="2"/>
    <x v="7"/>
    <x v="1"/>
    <x v="19"/>
    <x v="3"/>
    <x v="3"/>
    <x v="1"/>
    <x v="2"/>
    <x v="5"/>
    <x v="0"/>
    <x v="1"/>
    <x v="17"/>
    <x v="17"/>
    <x v="11"/>
    <x v="397"/>
    <x v="345"/>
    <x v="322"/>
    <x v="872"/>
    <x v="935"/>
    <x v="1"/>
    <x v="1"/>
    <x v="2"/>
  </r>
  <r>
    <x v="1953"/>
    <x v="529"/>
    <x v="1"/>
    <x v="2"/>
    <x v="7"/>
    <x v="1"/>
    <x v="19"/>
    <x v="3"/>
    <x v="3"/>
    <x v="0"/>
    <x v="2"/>
    <x v="5"/>
    <x v="0"/>
    <x v="1"/>
    <x v="9"/>
    <x v="17"/>
    <x v="11"/>
    <x v="221"/>
    <x v="199"/>
    <x v="744"/>
    <x v="455"/>
    <x v="563"/>
    <x v="1"/>
    <x v="0"/>
    <x v="2"/>
  </r>
  <r>
    <x v="1954"/>
    <x v="536"/>
    <x v="1"/>
    <x v="2"/>
    <x v="7"/>
    <x v="1"/>
    <x v="19"/>
    <x v="3"/>
    <x v="3"/>
    <x v="1"/>
    <x v="2"/>
    <x v="5"/>
    <x v="4"/>
    <x v="9"/>
    <x v="14"/>
    <x v="11"/>
    <x v="9"/>
    <x v="228"/>
    <x v="221"/>
    <x v="153"/>
    <x v="482"/>
    <x v="628"/>
    <x v="1"/>
    <x v="1"/>
    <x v="2"/>
  </r>
  <r>
    <x v="1955"/>
    <x v="516"/>
    <x v="1"/>
    <x v="2"/>
    <x v="7"/>
    <x v="1"/>
    <x v="19"/>
    <x v="3"/>
    <x v="3"/>
    <x v="0"/>
    <x v="2"/>
    <x v="5"/>
    <x v="4"/>
    <x v="9"/>
    <x v="9"/>
    <x v="11"/>
    <x v="9"/>
    <x v="128"/>
    <x v="131"/>
    <x v="600"/>
    <x v="223"/>
    <x v="326"/>
    <x v="1"/>
    <x v="0"/>
    <x v="2"/>
  </r>
  <r>
    <x v="1956"/>
    <x v="523"/>
    <x v="1"/>
    <x v="2"/>
    <x v="7"/>
    <x v="1"/>
    <x v="19"/>
    <x v="3"/>
    <x v="3"/>
    <x v="1"/>
    <x v="1"/>
    <x v="3"/>
    <x v="7"/>
    <x v="15"/>
    <x v="18"/>
    <x v="20"/>
    <x v="13"/>
    <x v="436"/>
    <x v="415"/>
    <x v="383"/>
    <x v="869"/>
    <x v="476"/>
    <x v="1"/>
    <x v="1"/>
    <x v="2"/>
  </r>
  <r>
    <x v="1957"/>
    <x v="530"/>
    <x v="1"/>
    <x v="2"/>
    <x v="7"/>
    <x v="1"/>
    <x v="19"/>
    <x v="3"/>
    <x v="3"/>
    <x v="0"/>
    <x v="1"/>
    <x v="3"/>
    <x v="7"/>
    <x v="15"/>
    <x v="12"/>
    <x v="20"/>
    <x v="13"/>
    <x v="330"/>
    <x v="307"/>
    <x v="879"/>
    <x v="555"/>
    <x v="226"/>
    <x v="1"/>
    <x v="0"/>
    <x v="2"/>
  </r>
  <r>
    <x v="1958"/>
    <x v="537"/>
    <x v="1"/>
    <x v="2"/>
    <x v="7"/>
    <x v="1"/>
    <x v="19"/>
    <x v="3"/>
    <x v="3"/>
    <x v="1"/>
    <x v="1"/>
    <x v="3"/>
    <x v="6"/>
    <x v="13"/>
    <x v="24"/>
    <x v="5"/>
    <x v="3"/>
    <x v="120"/>
    <x v="105"/>
    <x v="69"/>
    <x v="322"/>
    <x v="1059"/>
    <x v="1"/>
    <x v="1"/>
    <x v="2"/>
  </r>
  <r>
    <x v="1959"/>
    <x v="517"/>
    <x v="1"/>
    <x v="2"/>
    <x v="7"/>
    <x v="1"/>
    <x v="19"/>
    <x v="3"/>
    <x v="3"/>
    <x v="0"/>
    <x v="1"/>
    <x v="3"/>
    <x v="6"/>
    <x v="13"/>
    <x v="16"/>
    <x v="5"/>
    <x v="3"/>
    <x v="58"/>
    <x v="53"/>
    <x v="400"/>
    <x v="126"/>
    <x v="709"/>
    <x v="1"/>
    <x v="0"/>
    <x v="2"/>
  </r>
  <r>
    <x v="1960"/>
    <x v="524"/>
    <x v="1"/>
    <x v="2"/>
    <x v="7"/>
    <x v="1"/>
    <x v="19"/>
    <x v="2"/>
    <x v="2"/>
    <x v="1"/>
    <x v="3"/>
    <x v="7"/>
    <x v="1"/>
    <x v="3"/>
    <x v="4"/>
    <x v="26"/>
    <x v="17"/>
    <x v="742"/>
    <x v="679"/>
    <x v="847"/>
    <x v="1368"/>
    <x v="253"/>
    <x v="0"/>
    <x v="1"/>
    <x v="0"/>
  </r>
  <r>
    <x v="1961"/>
    <x v="531"/>
    <x v="1"/>
    <x v="2"/>
    <x v="7"/>
    <x v="1"/>
    <x v="19"/>
    <x v="2"/>
    <x v="2"/>
    <x v="0"/>
    <x v="3"/>
    <x v="7"/>
    <x v="1"/>
    <x v="3"/>
    <x v="3"/>
    <x v="26"/>
    <x v="17"/>
    <x v="701"/>
    <x v="653"/>
    <x v="1215"/>
    <x v="1228"/>
    <x v="114"/>
    <x v="1"/>
    <x v="0"/>
    <x v="0"/>
  </r>
  <r>
    <x v="1962"/>
    <x v="538"/>
    <x v="1"/>
    <x v="2"/>
    <x v="7"/>
    <x v="1"/>
    <x v="19"/>
    <x v="2"/>
    <x v="2"/>
    <x v="1"/>
    <x v="3"/>
    <x v="7"/>
    <x v="2"/>
    <x v="5"/>
    <x v="3"/>
    <x v="23"/>
    <x v="15"/>
    <x v="390"/>
    <x v="385"/>
    <x v="316"/>
    <x v="738"/>
    <x v="332"/>
    <x v="1"/>
    <x v="1"/>
    <x v="2"/>
  </r>
  <r>
    <x v="1963"/>
    <x v="518"/>
    <x v="1"/>
    <x v="2"/>
    <x v="7"/>
    <x v="1"/>
    <x v="19"/>
    <x v="2"/>
    <x v="2"/>
    <x v="0"/>
    <x v="3"/>
    <x v="7"/>
    <x v="2"/>
    <x v="5"/>
    <x v="3"/>
    <x v="23"/>
    <x v="15"/>
    <x v="390"/>
    <x v="385"/>
    <x v="984"/>
    <x v="650"/>
    <x v="155"/>
    <x v="1"/>
    <x v="0"/>
    <x v="2"/>
  </r>
  <r>
    <x v="1964"/>
    <x v="525"/>
    <x v="1"/>
    <x v="2"/>
    <x v="7"/>
    <x v="1"/>
    <x v="19"/>
    <x v="2"/>
    <x v="2"/>
    <x v="1"/>
    <x v="3"/>
    <x v="7"/>
    <x v="5"/>
    <x v="11"/>
    <x v="5"/>
    <x v="29"/>
    <x v="19"/>
    <x v="810"/>
    <x v="732"/>
    <x v="1040"/>
    <x v="1463"/>
    <x v="87"/>
    <x v="1"/>
    <x v="1"/>
    <x v="0"/>
  </r>
  <r>
    <x v="1965"/>
    <x v="532"/>
    <x v="1"/>
    <x v="2"/>
    <x v="7"/>
    <x v="1"/>
    <x v="19"/>
    <x v="2"/>
    <x v="2"/>
    <x v="0"/>
    <x v="3"/>
    <x v="7"/>
    <x v="5"/>
    <x v="11"/>
    <x v="2"/>
    <x v="29"/>
    <x v="19"/>
    <x v="726"/>
    <x v="681"/>
    <x v="1233"/>
    <x v="1171"/>
    <x v="14"/>
    <x v="2"/>
    <x v="0"/>
    <x v="0"/>
  </r>
  <r>
    <x v="1966"/>
    <x v="539"/>
    <x v="1"/>
    <x v="2"/>
    <x v="7"/>
    <x v="1"/>
    <x v="19"/>
    <x v="2"/>
    <x v="2"/>
    <x v="1"/>
    <x v="0"/>
    <x v="1"/>
    <x v="3"/>
    <x v="7"/>
    <x v="25"/>
    <x v="2"/>
    <x v="1"/>
    <x v="87"/>
    <x v="67"/>
    <x v="43"/>
    <x v="261"/>
    <x v="1203"/>
    <x v="1"/>
    <x v="1"/>
    <x v="2"/>
  </r>
  <r>
    <x v="1967"/>
    <x v="519"/>
    <x v="1"/>
    <x v="2"/>
    <x v="7"/>
    <x v="1"/>
    <x v="19"/>
    <x v="2"/>
    <x v="2"/>
    <x v="0"/>
    <x v="0"/>
    <x v="1"/>
    <x v="3"/>
    <x v="7"/>
    <x v="16"/>
    <x v="2"/>
    <x v="1"/>
    <x v="36"/>
    <x v="30"/>
    <x v="306"/>
    <x v="88"/>
    <x v="986"/>
    <x v="1"/>
    <x v="0"/>
    <x v="2"/>
  </r>
  <r>
    <x v="1968"/>
    <x v="526"/>
    <x v="1"/>
    <x v="2"/>
    <x v="7"/>
    <x v="1"/>
    <x v="19"/>
    <x v="2"/>
    <x v="2"/>
    <x v="1"/>
    <x v="0"/>
    <x v="1"/>
    <x v="8"/>
    <x v="17"/>
    <x v="29"/>
    <x v="14"/>
    <x v="8"/>
    <x v="486"/>
    <x v="412"/>
    <x v="441"/>
    <x v="1072"/>
    <x v="1130"/>
    <x v="1"/>
    <x v="1"/>
    <x v="2"/>
  </r>
  <r>
    <x v="1969"/>
    <x v="533"/>
    <x v="1"/>
    <x v="2"/>
    <x v="7"/>
    <x v="1"/>
    <x v="19"/>
    <x v="2"/>
    <x v="2"/>
    <x v="0"/>
    <x v="0"/>
    <x v="1"/>
    <x v="8"/>
    <x v="17"/>
    <x v="18"/>
    <x v="14"/>
    <x v="8"/>
    <x v="340"/>
    <x v="278"/>
    <x v="901"/>
    <x v="724"/>
    <x v="748"/>
    <x v="1"/>
    <x v="0"/>
    <x v="2"/>
  </r>
  <r>
    <x v="1970"/>
    <x v="513"/>
    <x v="1"/>
    <x v="2"/>
    <x v="7"/>
    <x v="1"/>
    <x v="19"/>
    <x v="2"/>
    <x v="2"/>
    <x v="1"/>
    <x v="0"/>
    <x v="1"/>
    <x v="9"/>
    <x v="19"/>
    <x v="32"/>
    <x v="8"/>
    <x v="5"/>
    <x v="386"/>
    <x v="344"/>
    <x v="309"/>
    <x v="831"/>
    <x v="777"/>
    <x v="1"/>
    <x v="1"/>
    <x v="2"/>
  </r>
  <r>
    <x v="1971"/>
    <x v="520"/>
    <x v="1"/>
    <x v="2"/>
    <x v="7"/>
    <x v="1"/>
    <x v="19"/>
    <x v="2"/>
    <x v="2"/>
    <x v="0"/>
    <x v="0"/>
    <x v="1"/>
    <x v="9"/>
    <x v="19"/>
    <x v="20"/>
    <x v="8"/>
    <x v="5"/>
    <x v="247"/>
    <x v="223"/>
    <x v="782"/>
    <x v="481"/>
    <x v="456"/>
    <x v="1"/>
    <x v="0"/>
    <x v="2"/>
  </r>
  <r>
    <x v="1972"/>
    <x v="527"/>
    <x v="1"/>
    <x v="2"/>
    <x v="7"/>
    <x v="1"/>
    <x v="19"/>
    <x v="2"/>
    <x v="2"/>
    <x v="1"/>
    <x v="2"/>
    <x v="5"/>
    <x v="0"/>
    <x v="1"/>
    <x v="11"/>
    <x v="17"/>
    <x v="11"/>
    <x v="270"/>
    <x v="240"/>
    <x v="193"/>
    <x v="618"/>
    <x v="938"/>
    <x v="1"/>
    <x v="1"/>
    <x v="2"/>
  </r>
  <r>
    <x v="1973"/>
    <x v="534"/>
    <x v="1"/>
    <x v="2"/>
    <x v="7"/>
    <x v="1"/>
    <x v="19"/>
    <x v="2"/>
    <x v="2"/>
    <x v="0"/>
    <x v="2"/>
    <x v="5"/>
    <x v="0"/>
    <x v="1"/>
    <x v="6"/>
    <x v="17"/>
    <x v="11"/>
    <x v="137"/>
    <x v="121"/>
    <x v="611"/>
    <x v="280"/>
    <x v="565"/>
    <x v="1"/>
    <x v="0"/>
    <x v="2"/>
  </r>
  <r>
    <x v="1974"/>
    <x v="514"/>
    <x v="1"/>
    <x v="2"/>
    <x v="7"/>
    <x v="1"/>
    <x v="19"/>
    <x v="2"/>
    <x v="2"/>
    <x v="1"/>
    <x v="2"/>
    <x v="5"/>
    <x v="4"/>
    <x v="9"/>
    <x v="9"/>
    <x v="11"/>
    <x v="9"/>
    <x v="128"/>
    <x v="131"/>
    <x v="75"/>
    <x v="274"/>
    <x v="634"/>
    <x v="1"/>
    <x v="1"/>
    <x v="2"/>
  </r>
  <r>
    <x v="1975"/>
    <x v="521"/>
    <x v="1"/>
    <x v="2"/>
    <x v="7"/>
    <x v="1"/>
    <x v="19"/>
    <x v="2"/>
    <x v="2"/>
    <x v="0"/>
    <x v="2"/>
    <x v="5"/>
    <x v="4"/>
    <x v="9"/>
    <x v="9"/>
    <x v="11"/>
    <x v="9"/>
    <x v="128"/>
    <x v="131"/>
    <x v="600"/>
    <x v="223"/>
    <x v="326"/>
    <x v="1"/>
    <x v="0"/>
    <x v="2"/>
  </r>
  <r>
    <x v="1976"/>
    <x v="528"/>
    <x v="1"/>
    <x v="2"/>
    <x v="7"/>
    <x v="1"/>
    <x v="19"/>
    <x v="2"/>
    <x v="2"/>
    <x v="1"/>
    <x v="1"/>
    <x v="3"/>
    <x v="7"/>
    <x v="15"/>
    <x v="12"/>
    <x v="20"/>
    <x v="13"/>
    <x v="330"/>
    <x v="307"/>
    <x v="234"/>
    <x v="629"/>
    <x v="478"/>
    <x v="1"/>
    <x v="1"/>
    <x v="2"/>
  </r>
  <r>
    <x v="1977"/>
    <x v="535"/>
    <x v="1"/>
    <x v="2"/>
    <x v="7"/>
    <x v="1"/>
    <x v="19"/>
    <x v="2"/>
    <x v="2"/>
    <x v="0"/>
    <x v="1"/>
    <x v="3"/>
    <x v="7"/>
    <x v="15"/>
    <x v="11"/>
    <x v="20"/>
    <x v="13"/>
    <x v="301"/>
    <x v="288"/>
    <x v="848"/>
    <x v="513"/>
    <x v="228"/>
    <x v="1"/>
    <x v="0"/>
    <x v="2"/>
  </r>
  <r>
    <x v="1978"/>
    <x v="515"/>
    <x v="1"/>
    <x v="2"/>
    <x v="7"/>
    <x v="1"/>
    <x v="19"/>
    <x v="2"/>
    <x v="2"/>
    <x v="1"/>
    <x v="1"/>
    <x v="3"/>
    <x v="6"/>
    <x v="13"/>
    <x v="16"/>
    <x v="5"/>
    <x v="3"/>
    <x v="58"/>
    <x v="53"/>
    <x v="25"/>
    <x v="164"/>
    <x v="1069"/>
    <x v="1"/>
    <x v="1"/>
    <x v="2"/>
  </r>
  <r>
    <x v="1979"/>
    <x v="522"/>
    <x v="1"/>
    <x v="2"/>
    <x v="7"/>
    <x v="1"/>
    <x v="19"/>
    <x v="2"/>
    <x v="2"/>
    <x v="0"/>
    <x v="1"/>
    <x v="3"/>
    <x v="6"/>
    <x v="13"/>
    <x v="11"/>
    <x v="5"/>
    <x v="3"/>
    <x v="26"/>
    <x v="27"/>
    <x v="258"/>
    <x v="58"/>
    <x v="711"/>
    <x v="1"/>
    <x v="0"/>
    <x v="2"/>
  </r>
  <r>
    <x v="1980"/>
    <x v="529"/>
    <x v="1"/>
    <x v="2"/>
    <x v="7"/>
    <x v="1"/>
    <x v="19"/>
    <x v="4"/>
    <x v="4"/>
    <x v="1"/>
    <x v="3"/>
    <x v="7"/>
    <x v="1"/>
    <x v="3"/>
    <x v="5"/>
    <x v="26"/>
    <x v="17"/>
    <x v="773"/>
    <x v="702"/>
    <x v="917"/>
    <x v="1429"/>
    <x v="256"/>
    <x v="0"/>
    <x v="1"/>
    <x v="0"/>
  </r>
  <r>
    <x v="1981"/>
    <x v="536"/>
    <x v="1"/>
    <x v="2"/>
    <x v="7"/>
    <x v="1"/>
    <x v="19"/>
    <x v="4"/>
    <x v="4"/>
    <x v="0"/>
    <x v="3"/>
    <x v="7"/>
    <x v="1"/>
    <x v="3"/>
    <x v="2"/>
    <x v="26"/>
    <x v="17"/>
    <x v="641"/>
    <x v="600"/>
    <x v="1176"/>
    <x v="1114"/>
    <x v="117"/>
    <x v="1"/>
    <x v="0"/>
    <x v="0"/>
  </r>
  <r>
    <x v="1982"/>
    <x v="516"/>
    <x v="1"/>
    <x v="2"/>
    <x v="7"/>
    <x v="1"/>
    <x v="19"/>
    <x v="4"/>
    <x v="4"/>
    <x v="1"/>
    <x v="3"/>
    <x v="7"/>
    <x v="2"/>
    <x v="5"/>
    <x v="5"/>
    <x v="23"/>
    <x v="15"/>
    <x v="508"/>
    <x v="482"/>
    <x v="474"/>
    <x v="950"/>
    <x v="340"/>
    <x v="0"/>
    <x v="1"/>
    <x v="0"/>
  </r>
  <r>
    <x v="1983"/>
    <x v="523"/>
    <x v="1"/>
    <x v="2"/>
    <x v="7"/>
    <x v="1"/>
    <x v="19"/>
    <x v="4"/>
    <x v="4"/>
    <x v="0"/>
    <x v="3"/>
    <x v="7"/>
    <x v="2"/>
    <x v="5"/>
    <x v="2"/>
    <x v="23"/>
    <x v="15"/>
    <x v="326"/>
    <x v="313"/>
    <x v="875"/>
    <x v="515"/>
    <x v="155"/>
    <x v="1"/>
    <x v="0"/>
    <x v="2"/>
  </r>
  <r>
    <x v="1984"/>
    <x v="530"/>
    <x v="1"/>
    <x v="2"/>
    <x v="7"/>
    <x v="1"/>
    <x v="19"/>
    <x v="4"/>
    <x v="4"/>
    <x v="1"/>
    <x v="3"/>
    <x v="7"/>
    <x v="5"/>
    <x v="11"/>
    <x v="3"/>
    <x v="29"/>
    <x v="19"/>
    <x v="770"/>
    <x v="709"/>
    <x v="907"/>
    <x v="1339"/>
    <x v="88"/>
    <x v="1"/>
    <x v="1"/>
    <x v="0"/>
  </r>
  <r>
    <x v="1985"/>
    <x v="537"/>
    <x v="1"/>
    <x v="2"/>
    <x v="7"/>
    <x v="1"/>
    <x v="19"/>
    <x v="4"/>
    <x v="4"/>
    <x v="0"/>
    <x v="3"/>
    <x v="7"/>
    <x v="5"/>
    <x v="11"/>
    <x v="2"/>
    <x v="29"/>
    <x v="19"/>
    <x v="726"/>
    <x v="681"/>
    <x v="1233"/>
    <x v="1171"/>
    <x v="14"/>
    <x v="2"/>
    <x v="0"/>
    <x v="0"/>
  </r>
  <r>
    <x v="1986"/>
    <x v="517"/>
    <x v="1"/>
    <x v="2"/>
    <x v="7"/>
    <x v="1"/>
    <x v="19"/>
    <x v="4"/>
    <x v="4"/>
    <x v="1"/>
    <x v="0"/>
    <x v="1"/>
    <x v="3"/>
    <x v="7"/>
    <x v="31"/>
    <x v="2"/>
    <x v="1"/>
    <x v="124"/>
    <x v="97"/>
    <x v="72"/>
    <x v="374"/>
    <x v="1212"/>
    <x v="1"/>
    <x v="1"/>
    <x v="2"/>
  </r>
  <r>
    <x v="1987"/>
    <x v="524"/>
    <x v="1"/>
    <x v="2"/>
    <x v="7"/>
    <x v="1"/>
    <x v="19"/>
    <x v="4"/>
    <x v="4"/>
    <x v="0"/>
    <x v="0"/>
    <x v="1"/>
    <x v="3"/>
    <x v="7"/>
    <x v="20"/>
    <x v="2"/>
    <x v="1"/>
    <x v="55"/>
    <x v="46"/>
    <x v="392"/>
    <x v="139"/>
    <x v="983"/>
    <x v="1"/>
    <x v="0"/>
    <x v="2"/>
  </r>
  <r>
    <x v="1988"/>
    <x v="531"/>
    <x v="1"/>
    <x v="2"/>
    <x v="7"/>
    <x v="1"/>
    <x v="19"/>
    <x v="4"/>
    <x v="4"/>
    <x v="1"/>
    <x v="0"/>
    <x v="1"/>
    <x v="8"/>
    <x v="17"/>
    <x v="26"/>
    <x v="14"/>
    <x v="8"/>
    <x v="448"/>
    <x v="380"/>
    <x v="393"/>
    <x v="1001"/>
    <x v="1130"/>
    <x v="1"/>
    <x v="1"/>
    <x v="2"/>
  </r>
  <r>
    <x v="1989"/>
    <x v="538"/>
    <x v="1"/>
    <x v="2"/>
    <x v="7"/>
    <x v="1"/>
    <x v="19"/>
    <x v="4"/>
    <x v="4"/>
    <x v="0"/>
    <x v="0"/>
    <x v="1"/>
    <x v="8"/>
    <x v="17"/>
    <x v="15"/>
    <x v="14"/>
    <x v="8"/>
    <x v="283"/>
    <x v="234"/>
    <x v="835"/>
    <x v="613"/>
    <x v="758"/>
    <x v="1"/>
    <x v="0"/>
    <x v="2"/>
  </r>
  <r>
    <x v="1990"/>
    <x v="518"/>
    <x v="1"/>
    <x v="2"/>
    <x v="7"/>
    <x v="1"/>
    <x v="19"/>
    <x v="4"/>
    <x v="4"/>
    <x v="1"/>
    <x v="0"/>
    <x v="1"/>
    <x v="9"/>
    <x v="19"/>
    <x v="31"/>
    <x v="8"/>
    <x v="5"/>
    <x v="372"/>
    <x v="336"/>
    <x v="299"/>
    <x v="808"/>
    <x v="763"/>
    <x v="1"/>
    <x v="1"/>
    <x v="2"/>
  </r>
  <r>
    <x v="1991"/>
    <x v="525"/>
    <x v="1"/>
    <x v="2"/>
    <x v="7"/>
    <x v="1"/>
    <x v="19"/>
    <x v="4"/>
    <x v="4"/>
    <x v="0"/>
    <x v="0"/>
    <x v="1"/>
    <x v="9"/>
    <x v="19"/>
    <x v="20"/>
    <x v="8"/>
    <x v="5"/>
    <x v="247"/>
    <x v="223"/>
    <x v="782"/>
    <x v="481"/>
    <x v="456"/>
    <x v="1"/>
    <x v="0"/>
    <x v="2"/>
  </r>
  <r>
    <x v="1992"/>
    <x v="532"/>
    <x v="1"/>
    <x v="2"/>
    <x v="7"/>
    <x v="1"/>
    <x v="19"/>
    <x v="4"/>
    <x v="4"/>
    <x v="1"/>
    <x v="2"/>
    <x v="5"/>
    <x v="0"/>
    <x v="1"/>
    <x v="10"/>
    <x v="17"/>
    <x v="11"/>
    <x v="250"/>
    <x v="219"/>
    <x v="171"/>
    <x v="572"/>
    <x v="949"/>
    <x v="1"/>
    <x v="1"/>
    <x v="2"/>
  </r>
  <r>
    <x v="1993"/>
    <x v="539"/>
    <x v="1"/>
    <x v="2"/>
    <x v="7"/>
    <x v="1"/>
    <x v="19"/>
    <x v="4"/>
    <x v="4"/>
    <x v="0"/>
    <x v="2"/>
    <x v="5"/>
    <x v="0"/>
    <x v="1"/>
    <x v="7"/>
    <x v="17"/>
    <x v="11"/>
    <x v="166"/>
    <x v="149"/>
    <x v="656"/>
    <x v="330"/>
    <x v="560"/>
    <x v="1"/>
    <x v="0"/>
    <x v="2"/>
  </r>
  <r>
    <x v="1994"/>
    <x v="519"/>
    <x v="1"/>
    <x v="2"/>
    <x v="7"/>
    <x v="1"/>
    <x v="19"/>
    <x v="4"/>
    <x v="4"/>
    <x v="1"/>
    <x v="2"/>
    <x v="5"/>
    <x v="4"/>
    <x v="9"/>
    <x v="11"/>
    <x v="11"/>
    <x v="9"/>
    <x v="171"/>
    <x v="169"/>
    <x v="110"/>
    <x v="363"/>
    <x v="632"/>
    <x v="1"/>
    <x v="1"/>
    <x v="2"/>
  </r>
  <r>
    <x v="1995"/>
    <x v="526"/>
    <x v="1"/>
    <x v="2"/>
    <x v="7"/>
    <x v="1"/>
    <x v="19"/>
    <x v="4"/>
    <x v="4"/>
    <x v="0"/>
    <x v="2"/>
    <x v="5"/>
    <x v="4"/>
    <x v="9"/>
    <x v="8"/>
    <x v="11"/>
    <x v="9"/>
    <x v="109"/>
    <x v="111"/>
    <x v="553"/>
    <x v="184"/>
    <x v="329"/>
    <x v="1"/>
    <x v="0"/>
    <x v="2"/>
  </r>
  <r>
    <x v="1996"/>
    <x v="533"/>
    <x v="1"/>
    <x v="2"/>
    <x v="7"/>
    <x v="1"/>
    <x v="19"/>
    <x v="4"/>
    <x v="4"/>
    <x v="1"/>
    <x v="1"/>
    <x v="3"/>
    <x v="7"/>
    <x v="15"/>
    <x v="15"/>
    <x v="20"/>
    <x v="13"/>
    <x v="385"/>
    <x v="365"/>
    <x v="309"/>
    <x v="766"/>
    <x v="477"/>
    <x v="1"/>
    <x v="1"/>
    <x v="2"/>
  </r>
  <r>
    <x v="1997"/>
    <x v="513"/>
    <x v="1"/>
    <x v="2"/>
    <x v="7"/>
    <x v="1"/>
    <x v="19"/>
    <x v="4"/>
    <x v="4"/>
    <x v="0"/>
    <x v="1"/>
    <x v="3"/>
    <x v="7"/>
    <x v="15"/>
    <x v="8"/>
    <x v="20"/>
    <x v="13"/>
    <x v="216"/>
    <x v="218"/>
    <x v="737"/>
    <x v="354"/>
    <x v="223"/>
    <x v="1"/>
    <x v="0"/>
    <x v="2"/>
  </r>
  <r>
    <x v="1998"/>
    <x v="520"/>
    <x v="1"/>
    <x v="2"/>
    <x v="7"/>
    <x v="1"/>
    <x v="19"/>
    <x v="4"/>
    <x v="4"/>
    <x v="1"/>
    <x v="1"/>
    <x v="3"/>
    <x v="6"/>
    <x v="13"/>
    <x v="13"/>
    <x v="5"/>
    <x v="3"/>
    <x v="40"/>
    <x v="38"/>
    <x v="7"/>
    <x v="107"/>
    <x v="1069"/>
    <x v="1"/>
    <x v="1"/>
    <x v="2"/>
  </r>
  <r>
    <x v="1999"/>
    <x v="527"/>
    <x v="1"/>
    <x v="2"/>
    <x v="7"/>
    <x v="1"/>
    <x v="19"/>
    <x v="4"/>
    <x v="4"/>
    <x v="0"/>
    <x v="1"/>
    <x v="3"/>
    <x v="6"/>
    <x v="13"/>
    <x v="11"/>
    <x v="5"/>
    <x v="3"/>
    <x v="26"/>
    <x v="27"/>
    <x v="258"/>
    <x v="58"/>
    <x v="711"/>
    <x v="1"/>
    <x v="0"/>
    <x v="2"/>
  </r>
  <r>
    <x v="2000"/>
    <x v="561"/>
    <x v="1"/>
    <x v="2"/>
    <x v="8"/>
    <x v="11"/>
    <x v="20"/>
    <x v="0"/>
    <x v="0"/>
    <x v="1"/>
    <x v="3"/>
    <x v="7"/>
    <x v="1"/>
    <x v="3"/>
    <x v="16"/>
    <x v="26"/>
    <x v="17"/>
    <x v="853"/>
    <x v="758"/>
    <x v="1185"/>
    <x v="1589"/>
    <x v="253"/>
    <x v="0"/>
    <x v="1"/>
    <x v="0"/>
  </r>
  <r>
    <x v="2001"/>
    <x v="541"/>
    <x v="1"/>
    <x v="2"/>
    <x v="8"/>
    <x v="11"/>
    <x v="20"/>
    <x v="0"/>
    <x v="0"/>
    <x v="0"/>
    <x v="3"/>
    <x v="7"/>
    <x v="1"/>
    <x v="3"/>
    <x v="11"/>
    <x v="26"/>
    <x v="17"/>
    <x v="833"/>
    <x v="743"/>
    <x v="1316"/>
    <x v="1543"/>
    <x v="115"/>
    <x v="1"/>
    <x v="0"/>
    <x v="0"/>
  </r>
  <r>
    <x v="2002"/>
    <x v="548"/>
    <x v="1"/>
    <x v="2"/>
    <x v="8"/>
    <x v="11"/>
    <x v="20"/>
    <x v="0"/>
    <x v="0"/>
    <x v="1"/>
    <x v="3"/>
    <x v="7"/>
    <x v="2"/>
    <x v="5"/>
    <x v="15"/>
    <x v="23"/>
    <x v="15"/>
    <x v="752"/>
    <x v="687"/>
    <x v="870"/>
    <x v="1401"/>
    <x v="339"/>
    <x v="0"/>
    <x v="1"/>
    <x v="0"/>
  </r>
  <r>
    <x v="2003"/>
    <x v="555"/>
    <x v="1"/>
    <x v="2"/>
    <x v="8"/>
    <x v="11"/>
    <x v="20"/>
    <x v="0"/>
    <x v="0"/>
    <x v="0"/>
    <x v="3"/>
    <x v="7"/>
    <x v="2"/>
    <x v="5"/>
    <x v="14"/>
    <x v="23"/>
    <x v="15"/>
    <x v="743"/>
    <x v="672"/>
    <x v="1249"/>
    <x v="1324"/>
    <x v="157"/>
    <x v="1"/>
    <x v="0"/>
    <x v="0"/>
  </r>
  <r>
    <x v="2004"/>
    <x v="562"/>
    <x v="1"/>
    <x v="2"/>
    <x v="8"/>
    <x v="11"/>
    <x v="20"/>
    <x v="0"/>
    <x v="0"/>
    <x v="1"/>
    <x v="3"/>
    <x v="7"/>
    <x v="5"/>
    <x v="11"/>
    <x v="15"/>
    <x v="29"/>
    <x v="19"/>
    <x v="869"/>
    <x v="776"/>
    <x v="1231"/>
    <x v="1595"/>
    <x v="84"/>
    <x v="1"/>
    <x v="1"/>
    <x v="0"/>
  </r>
  <r>
    <x v="2005"/>
    <x v="542"/>
    <x v="1"/>
    <x v="2"/>
    <x v="8"/>
    <x v="11"/>
    <x v="20"/>
    <x v="0"/>
    <x v="0"/>
    <x v="0"/>
    <x v="3"/>
    <x v="7"/>
    <x v="5"/>
    <x v="11"/>
    <x v="13"/>
    <x v="29"/>
    <x v="19"/>
    <x v="864"/>
    <x v="771"/>
    <x v="1333"/>
    <x v="1570"/>
    <x v="13"/>
    <x v="2"/>
    <x v="0"/>
    <x v="0"/>
  </r>
  <r>
    <x v="2006"/>
    <x v="549"/>
    <x v="1"/>
    <x v="2"/>
    <x v="8"/>
    <x v="11"/>
    <x v="20"/>
    <x v="0"/>
    <x v="0"/>
    <x v="1"/>
    <x v="0"/>
    <x v="1"/>
    <x v="3"/>
    <x v="7"/>
    <x v="80"/>
    <x v="2"/>
    <x v="1"/>
    <x v="409"/>
    <x v="325"/>
    <x v="337"/>
    <x v="953"/>
    <x v="1209"/>
    <x v="1"/>
    <x v="1"/>
    <x v="2"/>
  </r>
  <r>
    <x v="2007"/>
    <x v="556"/>
    <x v="1"/>
    <x v="2"/>
    <x v="8"/>
    <x v="11"/>
    <x v="20"/>
    <x v="0"/>
    <x v="0"/>
    <x v="0"/>
    <x v="0"/>
    <x v="1"/>
    <x v="3"/>
    <x v="7"/>
    <x v="54"/>
    <x v="2"/>
    <x v="1"/>
    <x v="273"/>
    <x v="215"/>
    <x v="825"/>
    <x v="635"/>
    <x v="982"/>
    <x v="1"/>
    <x v="0"/>
    <x v="2"/>
  </r>
  <r>
    <x v="2008"/>
    <x v="563"/>
    <x v="1"/>
    <x v="2"/>
    <x v="8"/>
    <x v="11"/>
    <x v="20"/>
    <x v="0"/>
    <x v="0"/>
    <x v="1"/>
    <x v="0"/>
    <x v="1"/>
    <x v="8"/>
    <x v="17"/>
    <x v="91"/>
    <x v="14"/>
    <x v="8"/>
    <x v="785"/>
    <x v="685"/>
    <x v="949"/>
    <x v="1524"/>
    <x v="1133"/>
    <x v="0"/>
    <x v="1"/>
    <x v="0"/>
  </r>
  <r>
    <x v="2009"/>
    <x v="543"/>
    <x v="1"/>
    <x v="2"/>
    <x v="8"/>
    <x v="11"/>
    <x v="20"/>
    <x v="0"/>
    <x v="0"/>
    <x v="0"/>
    <x v="0"/>
    <x v="1"/>
    <x v="8"/>
    <x v="17"/>
    <x v="55"/>
    <x v="14"/>
    <x v="8"/>
    <x v="676"/>
    <x v="580"/>
    <x v="1200"/>
    <x v="1321"/>
    <x v="757"/>
    <x v="0"/>
    <x v="0"/>
    <x v="0"/>
  </r>
  <r>
    <x v="2010"/>
    <x v="550"/>
    <x v="1"/>
    <x v="2"/>
    <x v="8"/>
    <x v="11"/>
    <x v="20"/>
    <x v="0"/>
    <x v="0"/>
    <x v="1"/>
    <x v="0"/>
    <x v="1"/>
    <x v="9"/>
    <x v="19"/>
    <x v="87"/>
    <x v="8"/>
    <x v="5"/>
    <x v="698"/>
    <x v="619"/>
    <x v="761"/>
    <x v="1369"/>
    <x v="773"/>
    <x v="0"/>
    <x v="1"/>
    <x v="0"/>
  </r>
  <r>
    <x v="2011"/>
    <x v="557"/>
    <x v="1"/>
    <x v="2"/>
    <x v="8"/>
    <x v="11"/>
    <x v="20"/>
    <x v="0"/>
    <x v="0"/>
    <x v="0"/>
    <x v="0"/>
    <x v="1"/>
    <x v="9"/>
    <x v="19"/>
    <x v="62"/>
    <x v="8"/>
    <x v="5"/>
    <x v="601"/>
    <x v="533"/>
    <x v="1151"/>
    <x v="1161"/>
    <x v="457"/>
    <x v="0"/>
    <x v="0"/>
    <x v="0"/>
  </r>
  <r>
    <x v="2012"/>
    <x v="564"/>
    <x v="1"/>
    <x v="2"/>
    <x v="8"/>
    <x v="11"/>
    <x v="20"/>
    <x v="0"/>
    <x v="0"/>
    <x v="1"/>
    <x v="2"/>
    <x v="5"/>
    <x v="0"/>
    <x v="1"/>
    <x v="44"/>
    <x v="17"/>
    <x v="11"/>
    <x v="681"/>
    <x v="594"/>
    <x v="732"/>
    <x v="1348"/>
    <x v="942"/>
    <x v="0"/>
    <x v="1"/>
    <x v="0"/>
  </r>
  <r>
    <x v="2013"/>
    <x v="544"/>
    <x v="1"/>
    <x v="2"/>
    <x v="8"/>
    <x v="11"/>
    <x v="20"/>
    <x v="0"/>
    <x v="0"/>
    <x v="0"/>
    <x v="2"/>
    <x v="5"/>
    <x v="0"/>
    <x v="1"/>
    <x v="29"/>
    <x v="17"/>
    <x v="11"/>
    <x v="567"/>
    <x v="493"/>
    <x v="1123"/>
    <x v="1123"/>
    <x v="562"/>
    <x v="0"/>
    <x v="0"/>
    <x v="0"/>
  </r>
  <r>
    <x v="2014"/>
    <x v="551"/>
    <x v="1"/>
    <x v="2"/>
    <x v="8"/>
    <x v="11"/>
    <x v="20"/>
    <x v="0"/>
    <x v="0"/>
    <x v="1"/>
    <x v="2"/>
    <x v="5"/>
    <x v="4"/>
    <x v="9"/>
    <x v="34"/>
    <x v="11"/>
    <x v="9"/>
    <x v="497"/>
    <x v="459"/>
    <x v="458"/>
    <x v="999"/>
    <x v="625"/>
    <x v="0"/>
    <x v="1"/>
    <x v="0"/>
  </r>
  <r>
    <x v="2015"/>
    <x v="558"/>
    <x v="1"/>
    <x v="2"/>
    <x v="8"/>
    <x v="11"/>
    <x v="20"/>
    <x v="0"/>
    <x v="0"/>
    <x v="0"/>
    <x v="2"/>
    <x v="5"/>
    <x v="4"/>
    <x v="9"/>
    <x v="33"/>
    <x v="11"/>
    <x v="9"/>
    <x v="490"/>
    <x v="450"/>
    <x v="1065"/>
    <x v="910"/>
    <x v="325"/>
    <x v="1"/>
    <x v="0"/>
    <x v="2"/>
  </r>
  <r>
    <x v="2016"/>
    <x v="565"/>
    <x v="1"/>
    <x v="2"/>
    <x v="8"/>
    <x v="11"/>
    <x v="20"/>
    <x v="0"/>
    <x v="0"/>
    <x v="1"/>
    <x v="1"/>
    <x v="3"/>
    <x v="7"/>
    <x v="15"/>
    <x v="54"/>
    <x v="20"/>
    <x v="13"/>
    <x v="745"/>
    <x v="669"/>
    <x v="848"/>
    <x v="1402"/>
    <x v="469"/>
    <x v="0"/>
    <x v="1"/>
    <x v="0"/>
  </r>
  <r>
    <x v="2017"/>
    <x v="545"/>
    <x v="1"/>
    <x v="2"/>
    <x v="8"/>
    <x v="11"/>
    <x v="20"/>
    <x v="0"/>
    <x v="0"/>
    <x v="0"/>
    <x v="1"/>
    <x v="3"/>
    <x v="7"/>
    <x v="15"/>
    <x v="32"/>
    <x v="20"/>
    <x v="13"/>
    <x v="621"/>
    <x v="565"/>
    <x v="1163"/>
    <x v="1142"/>
    <x v="227"/>
    <x v="0"/>
    <x v="0"/>
    <x v="0"/>
  </r>
  <r>
    <x v="2018"/>
    <x v="552"/>
    <x v="1"/>
    <x v="2"/>
    <x v="8"/>
    <x v="11"/>
    <x v="20"/>
    <x v="0"/>
    <x v="0"/>
    <x v="1"/>
    <x v="1"/>
    <x v="3"/>
    <x v="6"/>
    <x v="13"/>
    <x v="46"/>
    <x v="5"/>
    <x v="3"/>
    <x v="299"/>
    <x v="249"/>
    <x v="207"/>
    <x v="707"/>
    <x v="1062"/>
    <x v="1"/>
    <x v="1"/>
    <x v="2"/>
  </r>
  <r>
    <x v="2019"/>
    <x v="559"/>
    <x v="1"/>
    <x v="2"/>
    <x v="8"/>
    <x v="11"/>
    <x v="20"/>
    <x v="0"/>
    <x v="0"/>
    <x v="0"/>
    <x v="1"/>
    <x v="3"/>
    <x v="6"/>
    <x v="13"/>
    <x v="39"/>
    <x v="5"/>
    <x v="3"/>
    <x v="249"/>
    <x v="205"/>
    <x v="786"/>
    <x v="538"/>
    <x v="708"/>
    <x v="1"/>
    <x v="0"/>
    <x v="2"/>
  </r>
  <r>
    <x v="2020"/>
    <x v="566"/>
    <x v="1"/>
    <x v="2"/>
    <x v="8"/>
    <x v="11"/>
    <x v="20"/>
    <x v="1"/>
    <x v="1"/>
    <x v="1"/>
    <x v="3"/>
    <x v="7"/>
    <x v="1"/>
    <x v="3"/>
    <x v="10"/>
    <x v="26"/>
    <x v="17"/>
    <x v="828"/>
    <x v="740"/>
    <x v="1095"/>
    <x v="1553"/>
    <x v="253"/>
    <x v="0"/>
    <x v="1"/>
    <x v="0"/>
  </r>
  <r>
    <x v="2021"/>
    <x v="546"/>
    <x v="1"/>
    <x v="2"/>
    <x v="8"/>
    <x v="11"/>
    <x v="20"/>
    <x v="1"/>
    <x v="1"/>
    <x v="0"/>
    <x v="3"/>
    <x v="7"/>
    <x v="1"/>
    <x v="3"/>
    <x v="6"/>
    <x v="26"/>
    <x v="17"/>
    <x v="792"/>
    <x v="715"/>
    <x v="1286"/>
    <x v="1430"/>
    <x v="117"/>
    <x v="1"/>
    <x v="0"/>
    <x v="0"/>
  </r>
  <r>
    <x v="2022"/>
    <x v="553"/>
    <x v="1"/>
    <x v="2"/>
    <x v="8"/>
    <x v="11"/>
    <x v="20"/>
    <x v="1"/>
    <x v="1"/>
    <x v="1"/>
    <x v="3"/>
    <x v="7"/>
    <x v="2"/>
    <x v="5"/>
    <x v="8"/>
    <x v="23"/>
    <x v="15"/>
    <x v="623"/>
    <x v="577"/>
    <x v="650"/>
    <x v="1178"/>
    <x v="338"/>
    <x v="0"/>
    <x v="1"/>
    <x v="0"/>
  </r>
  <r>
    <x v="2023"/>
    <x v="560"/>
    <x v="1"/>
    <x v="2"/>
    <x v="8"/>
    <x v="11"/>
    <x v="20"/>
    <x v="1"/>
    <x v="1"/>
    <x v="0"/>
    <x v="3"/>
    <x v="7"/>
    <x v="2"/>
    <x v="5"/>
    <x v="7"/>
    <x v="23"/>
    <x v="15"/>
    <x v="590"/>
    <x v="556"/>
    <x v="1145"/>
    <x v="1041"/>
    <x v="155"/>
    <x v="1"/>
    <x v="0"/>
    <x v="0"/>
  </r>
  <r>
    <x v="2024"/>
    <x v="540"/>
    <x v="1"/>
    <x v="2"/>
    <x v="8"/>
    <x v="11"/>
    <x v="20"/>
    <x v="1"/>
    <x v="1"/>
    <x v="1"/>
    <x v="3"/>
    <x v="7"/>
    <x v="5"/>
    <x v="11"/>
    <x v="12"/>
    <x v="29"/>
    <x v="19"/>
    <x v="858"/>
    <x v="768"/>
    <x v="1198"/>
    <x v="1577"/>
    <x v="81"/>
    <x v="1"/>
    <x v="1"/>
    <x v="0"/>
  </r>
  <r>
    <x v="2025"/>
    <x v="547"/>
    <x v="1"/>
    <x v="2"/>
    <x v="8"/>
    <x v="11"/>
    <x v="20"/>
    <x v="1"/>
    <x v="1"/>
    <x v="0"/>
    <x v="3"/>
    <x v="7"/>
    <x v="5"/>
    <x v="11"/>
    <x v="5"/>
    <x v="29"/>
    <x v="19"/>
    <x v="810"/>
    <x v="732"/>
    <x v="1301"/>
    <x v="1409"/>
    <x v="12"/>
    <x v="2"/>
    <x v="0"/>
    <x v="0"/>
  </r>
  <r>
    <x v="2026"/>
    <x v="554"/>
    <x v="1"/>
    <x v="2"/>
    <x v="8"/>
    <x v="11"/>
    <x v="20"/>
    <x v="1"/>
    <x v="1"/>
    <x v="1"/>
    <x v="0"/>
    <x v="1"/>
    <x v="3"/>
    <x v="7"/>
    <x v="58"/>
    <x v="2"/>
    <x v="1"/>
    <x v="298"/>
    <x v="231"/>
    <x v="207"/>
    <x v="743"/>
    <x v="1207"/>
    <x v="1"/>
    <x v="1"/>
    <x v="2"/>
  </r>
  <r>
    <x v="2027"/>
    <x v="561"/>
    <x v="1"/>
    <x v="2"/>
    <x v="8"/>
    <x v="11"/>
    <x v="20"/>
    <x v="1"/>
    <x v="1"/>
    <x v="0"/>
    <x v="0"/>
    <x v="1"/>
    <x v="3"/>
    <x v="7"/>
    <x v="42"/>
    <x v="2"/>
    <x v="1"/>
    <x v="200"/>
    <x v="158"/>
    <x v="711"/>
    <x v="486"/>
    <x v="983"/>
    <x v="1"/>
    <x v="0"/>
    <x v="2"/>
  </r>
  <r>
    <x v="2028"/>
    <x v="541"/>
    <x v="1"/>
    <x v="2"/>
    <x v="8"/>
    <x v="11"/>
    <x v="20"/>
    <x v="1"/>
    <x v="1"/>
    <x v="1"/>
    <x v="0"/>
    <x v="1"/>
    <x v="8"/>
    <x v="17"/>
    <x v="53"/>
    <x v="14"/>
    <x v="8"/>
    <x v="664"/>
    <x v="571"/>
    <x v="706"/>
    <x v="1351"/>
    <x v="1130"/>
    <x v="0"/>
    <x v="1"/>
    <x v="0"/>
  </r>
  <r>
    <x v="2029"/>
    <x v="548"/>
    <x v="1"/>
    <x v="2"/>
    <x v="8"/>
    <x v="11"/>
    <x v="20"/>
    <x v="1"/>
    <x v="1"/>
    <x v="0"/>
    <x v="0"/>
    <x v="1"/>
    <x v="8"/>
    <x v="17"/>
    <x v="41"/>
    <x v="14"/>
    <x v="8"/>
    <x v="595"/>
    <x v="508"/>
    <x v="1148"/>
    <x v="1207"/>
    <x v="750"/>
    <x v="0"/>
    <x v="0"/>
    <x v="0"/>
  </r>
  <r>
    <x v="2030"/>
    <x v="555"/>
    <x v="1"/>
    <x v="2"/>
    <x v="8"/>
    <x v="11"/>
    <x v="20"/>
    <x v="1"/>
    <x v="1"/>
    <x v="1"/>
    <x v="0"/>
    <x v="1"/>
    <x v="9"/>
    <x v="19"/>
    <x v="46"/>
    <x v="8"/>
    <x v="5"/>
    <x v="506"/>
    <x v="452"/>
    <x v="470"/>
    <x v="1057"/>
    <x v="774"/>
    <x v="0"/>
    <x v="1"/>
    <x v="0"/>
  </r>
  <r>
    <x v="2031"/>
    <x v="562"/>
    <x v="1"/>
    <x v="2"/>
    <x v="8"/>
    <x v="11"/>
    <x v="20"/>
    <x v="1"/>
    <x v="1"/>
    <x v="0"/>
    <x v="0"/>
    <x v="1"/>
    <x v="9"/>
    <x v="19"/>
    <x v="41"/>
    <x v="8"/>
    <x v="5"/>
    <x v="469"/>
    <x v="416"/>
    <x v="1052"/>
    <x v="908"/>
    <x v="451"/>
    <x v="1"/>
    <x v="0"/>
    <x v="2"/>
  </r>
  <r>
    <x v="2032"/>
    <x v="542"/>
    <x v="1"/>
    <x v="2"/>
    <x v="8"/>
    <x v="11"/>
    <x v="20"/>
    <x v="1"/>
    <x v="1"/>
    <x v="1"/>
    <x v="2"/>
    <x v="5"/>
    <x v="0"/>
    <x v="1"/>
    <x v="22"/>
    <x v="17"/>
    <x v="11"/>
    <x v="480"/>
    <x v="417"/>
    <x v="430"/>
    <x v="1024"/>
    <x v="936"/>
    <x v="1"/>
    <x v="1"/>
    <x v="2"/>
  </r>
  <r>
    <x v="2033"/>
    <x v="549"/>
    <x v="1"/>
    <x v="2"/>
    <x v="8"/>
    <x v="11"/>
    <x v="20"/>
    <x v="1"/>
    <x v="1"/>
    <x v="0"/>
    <x v="2"/>
    <x v="5"/>
    <x v="0"/>
    <x v="1"/>
    <x v="14"/>
    <x v="17"/>
    <x v="11"/>
    <x v="345"/>
    <x v="292"/>
    <x v="909"/>
    <x v="697"/>
    <x v="565"/>
    <x v="1"/>
    <x v="0"/>
    <x v="2"/>
  </r>
  <r>
    <x v="2034"/>
    <x v="556"/>
    <x v="1"/>
    <x v="2"/>
    <x v="8"/>
    <x v="11"/>
    <x v="20"/>
    <x v="1"/>
    <x v="1"/>
    <x v="1"/>
    <x v="2"/>
    <x v="5"/>
    <x v="4"/>
    <x v="9"/>
    <x v="22"/>
    <x v="11"/>
    <x v="9"/>
    <x v="360"/>
    <x v="332"/>
    <x v="278"/>
    <x v="742"/>
    <x v="619"/>
    <x v="1"/>
    <x v="1"/>
    <x v="2"/>
  </r>
  <r>
    <x v="2035"/>
    <x v="563"/>
    <x v="1"/>
    <x v="2"/>
    <x v="8"/>
    <x v="11"/>
    <x v="20"/>
    <x v="1"/>
    <x v="1"/>
    <x v="0"/>
    <x v="2"/>
    <x v="5"/>
    <x v="4"/>
    <x v="9"/>
    <x v="15"/>
    <x v="11"/>
    <x v="9"/>
    <x v="251"/>
    <x v="235"/>
    <x v="792"/>
    <x v="453"/>
    <x v="331"/>
    <x v="1"/>
    <x v="0"/>
    <x v="2"/>
  </r>
  <r>
    <x v="2036"/>
    <x v="543"/>
    <x v="1"/>
    <x v="2"/>
    <x v="8"/>
    <x v="11"/>
    <x v="20"/>
    <x v="1"/>
    <x v="1"/>
    <x v="1"/>
    <x v="1"/>
    <x v="3"/>
    <x v="7"/>
    <x v="15"/>
    <x v="28"/>
    <x v="20"/>
    <x v="13"/>
    <x v="581"/>
    <x v="534"/>
    <x v="588"/>
    <x v="1133"/>
    <x v="467"/>
    <x v="0"/>
    <x v="1"/>
    <x v="0"/>
  </r>
  <r>
    <x v="2037"/>
    <x v="550"/>
    <x v="1"/>
    <x v="2"/>
    <x v="8"/>
    <x v="11"/>
    <x v="20"/>
    <x v="1"/>
    <x v="1"/>
    <x v="0"/>
    <x v="1"/>
    <x v="3"/>
    <x v="7"/>
    <x v="15"/>
    <x v="20"/>
    <x v="20"/>
    <x v="13"/>
    <x v="475"/>
    <x v="447"/>
    <x v="1056"/>
    <x v="856"/>
    <x v="225"/>
    <x v="1"/>
    <x v="0"/>
    <x v="2"/>
  </r>
  <r>
    <x v="2038"/>
    <x v="557"/>
    <x v="1"/>
    <x v="2"/>
    <x v="8"/>
    <x v="11"/>
    <x v="20"/>
    <x v="1"/>
    <x v="1"/>
    <x v="1"/>
    <x v="1"/>
    <x v="3"/>
    <x v="6"/>
    <x v="13"/>
    <x v="35"/>
    <x v="5"/>
    <x v="3"/>
    <x v="214"/>
    <x v="182"/>
    <x v="141"/>
    <x v="534"/>
    <x v="1067"/>
    <x v="1"/>
    <x v="1"/>
    <x v="2"/>
  </r>
  <r>
    <x v="2039"/>
    <x v="564"/>
    <x v="1"/>
    <x v="2"/>
    <x v="8"/>
    <x v="11"/>
    <x v="20"/>
    <x v="1"/>
    <x v="1"/>
    <x v="0"/>
    <x v="1"/>
    <x v="3"/>
    <x v="6"/>
    <x v="13"/>
    <x v="17"/>
    <x v="5"/>
    <x v="3"/>
    <x v="66"/>
    <x v="60"/>
    <x v="428"/>
    <x v="143"/>
    <x v="705"/>
    <x v="1"/>
    <x v="0"/>
    <x v="2"/>
  </r>
  <r>
    <x v="2040"/>
    <x v="544"/>
    <x v="1"/>
    <x v="2"/>
    <x v="8"/>
    <x v="11"/>
    <x v="20"/>
    <x v="3"/>
    <x v="3"/>
    <x v="1"/>
    <x v="3"/>
    <x v="7"/>
    <x v="1"/>
    <x v="3"/>
    <x v="5"/>
    <x v="26"/>
    <x v="17"/>
    <x v="773"/>
    <x v="702"/>
    <x v="917"/>
    <x v="1429"/>
    <x v="256"/>
    <x v="0"/>
    <x v="1"/>
    <x v="0"/>
  </r>
  <r>
    <x v="2041"/>
    <x v="551"/>
    <x v="1"/>
    <x v="2"/>
    <x v="8"/>
    <x v="11"/>
    <x v="20"/>
    <x v="3"/>
    <x v="3"/>
    <x v="0"/>
    <x v="3"/>
    <x v="7"/>
    <x v="1"/>
    <x v="3"/>
    <x v="4"/>
    <x v="26"/>
    <x v="17"/>
    <x v="742"/>
    <x v="679"/>
    <x v="1249"/>
    <x v="1301"/>
    <x v="117"/>
    <x v="1"/>
    <x v="0"/>
    <x v="0"/>
  </r>
  <r>
    <x v="2042"/>
    <x v="558"/>
    <x v="1"/>
    <x v="2"/>
    <x v="8"/>
    <x v="11"/>
    <x v="20"/>
    <x v="3"/>
    <x v="3"/>
    <x v="1"/>
    <x v="3"/>
    <x v="7"/>
    <x v="2"/>
    <x v="5"/>
    <x v="7"/>
    <x v="23"/>
    <x v="15"/>
    <x v="590"/>
    <x v="556"/>
    <x v="604"/>
    <x v="1118"/>
    <x v="334"/>
    <x v="0"/>
    <x v="1"/>
    <x v="0"/>
  </r>
  <r>
    <x v="2043"/>
    <x v="565"/>
    <x v="1"/>
    <x v="2"/>
    <x v="8"/>
    <x v="11"/>
    <x v="20"/>
    <x v="3"/>
    <x v="3"/>
    <x v="0"/>
    <x v="3"/>
    <x v="7"/>
    <x v="2"/>
    <x v="5"/>
    <x v="3"/>
    <x v="23"/>
    <x v="15"/>
    <x v="390"/>
    <x v="385"/>
    <x v="984"/>
    <x v="650"/>
    <x v="155"/>
    <x v="1"/>
    <x v="0"/>
    <x v="2"/>
  </r>
  <r>
    <x v="2044"/>
    <x v="545"/>
    <x v="1"/>
    <x v="2"/>
    <x v="8"/>
    <x v="11"/>
    <x v="20"/>
    <x v="3"/>
    <x v="3"/>
    <x v="1"/>
    <x v="3"/>
    <x v="7"/>
    <x v="5"/>
    <x v="11"/>
    <x v="8"/>
    <x v="29"/>
    <x v="19"/>
    <x v="838"/>
    <x v="750"/>
    <x v="1129"/>
    <x v="1542"/>
    <x v="81"/>
    <x v="1"/>
    <x v="1"/>
    <x v="0"/>
  </r>
  <r>
    <x v="2045"/>
    <x v="552"/>
    <x v="1"/>
    <x v="2"/>
    <x v="8"/>
    <x v="11"/>
    <x v="20"/>
    <x v="3"/>
    <x v="3"/>
    <x v="0"/>
    <x v="3"/>
    <x v="7"/>
    <x v="5"/>
    <x v="11"/>
    <x v="3"/>
    <x v="29"/>
    <x v="19"/>
    <x v="770"/>
    <x v="709"/>
    <x v="1264"/>
    <x v="1268"/>
    <x v="11"/>
    <x v="2"/>
    <x v="0"/>
    <x v="0"/>
  </r>
  <r>
    <x v="2046"/>
    <x v="559"/>
    <x v="1"/>
    <x v="2"/>
    <x v="8"/>
    <x v="11"/>
    <x v="20"/>
    <x v="3"/>
    <x v="3"/>
    <x v="1"/>
    <x v="0"/>
    <x v="1"/>
    <x v="3"/>
    <x v="7"/>
    <x v="32"/>
    <x v="2"/>
    <x v="1"/>
    <x v="135"/>
    <x v="104"/>
    <x v="79"/>
    <x v="390"/>
    <x v="1221"/>
    <x v="1"/>
    <x v="1"/>
    <x v="2"/>
  </r>
  <r>
    <x v="2047"/>
    <x v="566"/>
    <x v="1"/>
    <x v="2"/>
    <x v="8"/>
    <x v="11"/>
    <x v="20"/>
    <x v="3"/>
    <x v="3"/>
    <x v="0"/>
    <x v="0"/>
    <x v="1"/>
    <x v="3"/>
    <x v="7"/>
    <x v="24"/>
    <x v="2"/>
    <x v="1"/>
    <x v="81"/>
    <x v="64"/>
    <x v="471"/>
    <x v="211"/>
    <x v="979"/>
    <x v="1"/>
    <x v="0"/>
    <x v="2"/>
  </r>
  <r>
    <x v="2048"/>
    <x v="546"/>
    <x v="1"/>
    <x v="2"/>
    <x v="8"/>
    <x v="11"/>
    <x v="20"/>
    <x v="3"/>
    <x v="3"/>
    <x v="1"/>
    <x v="0"/>
    <x v="1"/>
    <x v="8"/>
    <x v="17"/>
    <x v="41"/>
    <x v="14"/>
    <x v="8"/>
    <x v="595"/>
    <x v="508"/>
    <x v="608"/>
    <x v="1245"/>
    <x v="1130"/>
    <x v="0"/>
    <x v="1"/>
    <x v="0"/>
  </r>
  <r>
    <x v="2049"/>
    <x v="553"/>
    <x v="1"/>
    <x v="2"/>
    <x v="8"/>
    <x v="11"/>
    <x v="20"/>
    <x v="3"/>
    <x v="3"/>
    <x v="0"/>
    <x v="0"/>
    <x v="1"/>
    <x v="8"/>
    <x v="17"/>
    <x v="27"/>
    <x v="14"/>
    <x v="8"/>
    <x v="461"/>
    <x v="391"/>
    <x v="1049"/>
    <x v="960"/>
    <x v="751"/>
    <x v="1"/>
    <x v="0"/>
    <x v="2"/>
  </r>
  <r>
    <x v="2050"/>
    <x v="560"/>
    <x v="1"/>
    <x v="2"/>
    <x v="8"/>
    <x v="11"/>
    <x v="20"/>
    <x v="3"/>
    <x v="3"/>
    <x v="1"/>
    <x v="0"/>
    <x v="1"/>
    <x v="9"/>
    <x v="19"/>
    <x v="34"/>
    <x v="8"/>
    <x v="5"/>
    <x v="406"/>
    <x v="362"/>
    <x v="333"/>
    <x v="866"/>
    <x v="774"/>
    <x v="1"/>
    <x v="1"/>
    <x v="2"/>
  </r>
  <r>
    <x v="2051"/>
    <x v="540"/>
    <x v="1"/>
    <x v="2"/>
    <x v="8"/>
    <x v="11"/>
    <x v="20"/>
    <x v="3"/>
    <x v="3"/>
    <x v="0"/>
    <x v="0"/>
    <x v="1"/>
    <x v="9"/>
    <x v="19"/>
    <x v="21"/>
    <x v="8"/>
    <x v="5"/>
    <x v="260"/>
    <x v="233"/>
    <x v="806"/>
    <x v="501"/>
    <x v="462"/>
    <x v="1"/>
    <x v="0"/>
    <x v="2"/>
  </r>
  <r>
    <x v="2052"/>
    <x v="547"/>
    <x v="1"/>
    <x v="2"/>
    <x v="8"/>
    <x v="11"/>
    <x v="20"/>
    <x v="3"/>
    <x v="3"/>
    <x v="1"/>
    <x v="2"/>
    <x v="5"/>
    <x v="0"/>
    <x v="1"/>
    <x v="19"/>
    <x v="17"/>
    <x v="11"/>
    <x v="426"/>
    <x v="378"/>
    <x v="371"/>
    <x v="925"/>
    <x v="937"/>
    <x v="1"/>
    <x v="1"/>
    <x v="2"/>
  </r>
  <r>
    <x v="2053"/>
    <x v="554"/>
    <x v="1"/>
    <x v="2"/>
    <x v="8"/>
    <x v="11"/>
    <x v="20"/>
    <x v="3"/>
    <x v="3"/>
    <x v="0"/>
    <x v="2"/>
    <x v="5"/>
    <x v="0"/>
    <x v="1"/>
    <x v="13"/>
    <x v="17"/>
    <x v="11"/>
    <x v="325"/>
    <x v="276"/>
    <x v="874"/>
    <x v="643"/>
    <x v="567"/>
    <x v="1"/>
    <x v="0"/>
    <x v="2"/>
  </r>
  <r>
    <x v="2054"/>
    <x v="561"/>
    <x v="1"/>
    <x v="2"/>
    <x v="8"/>
    <x v="11"/>
    <x v="20"/>
    <x v="3"/>
    <x v="3"/>
    <x v="1"/>
    <x v="2"/>
    <x v="5"/>
    <x v="4"/>
    <x v="9"/>
    <x v="14"/>
    <x v="11"/>
    <x v="9"/>
    <x v="228"/>
    <x v="221"/>
    <x v="153"/>
    <x v="482"/>
    <x v="628"/>
    <x v="1"/>
    <x v="1"/>
    <x v="2"/>
  </r>
  <r>
    <x v="2055"/>
    <x v="541"/>
    <x v="1"/>
    <x v="2"/>
    <x v="8"/>
    <x v="11"/>
    <x v="20"/>
    <x v="3"/>
    <x v="3"/>
    <x v="0"/>
    <x v="2"/>
    <x v="5"/>
    <x v="4"/>
    <x v="9"/>
    <x v="13"/>
    <x v="11"/>
    <x v="9"/>
    <x v="209"/>
    <x v="202"/>
    <x v="727"/>
    <x v="386"/>
    <x v="322"/>
    <x v="1"/>
    <x v="0"/>
    <x v="2"/>
  </r>
  <r>
    <x v="2056"/>
    <x v="548"/>
    <x v="1"/>
    <x v="2"/>
    <x v="8"/>
    <x v="11"/>
    <x v="20"/>
    <x v="3"/>
    <x v="3"/>
    <x v="1"/>
    <x v="1"/>
    <x v="3"/>
    <x v="7"/>
    <x v="15"/>
    <x v="23"/>
    <x v="20"/>
    <x v="13"/>
    <x v="521"/>
    <x v="481"/>
    <x v="492"/>
    <x v="1009"/>
    <x v="464"/>
    <x v="0"/>
    <x v="1"/>
    <x v="0"/>
  </r>
  <r>
    <x v="2057"/>
    <x v="555"/>
    <x v="1"/>
    <x v="2"/>
    <x v="8"/>
    <x v="11"/>
    <x v="20"/>
    <x v="3"/>
    <x v="3"/>
    <x v="0"/>
    <x v="1"/>
    <x v="3"/>
    <x v="7"/>
    <x v="15"/>
    <x v="16"/>
    <x v="20"/>
    <x v="13"/>
    <x v="405"/>
    <x v="386"/>
    <x v="997"/>
    <x v="722"/>
    <x v="230"/>
    <x v="1"/>
    <x v="0"/>
    <x v="2"/>
  </r>
  <r>
    <x v="2058"/>
    <x v="562"/>
    <x v="1"/>
    <x v="2"/>
    <x v="8"/>
    <x v="11"/>
    <x v="20"/>
    <x v="3"/>
    <x v="3"/>
    <x v="1"/>
    <x v="1"/>
    <x v="3"/>
    <x v="6"/>
    <x v="13"/>
    <x v="22"/>
    <x v="5"/>
    <x v="3"/>
    <x v="107"/>
    <x v="90"/>
    <x v="59"/>
    <x v="283"/>
    <x v="1069"/>
    <x v="1"/>
    <x v="1"/>
    <x v="2"/>
  </r>
  <r>
    <x v="2059"/>
    <x v="542"/>
    <x v="1"/>
    <x v="2"/>
    <x v="8"/>
    <x v="11"/>
    <x v="20"/>
    <x v="3"/>
    <x v="3"/>
    <x v="0"/>
    <x v="1"/>
    <x v="3"/>
    <x v="6"/>
    <x v="13"/>
    <x v="11"/>
    <x v="5"/>
    <x v="3"/>
    <x v="26"/>
    <x v="27"/>
    <x v="258"/>
    <x v="58"/>
    <x v="711"/>
    <x v="1"/>
    <x v="0"/>
    <x v="2"/>
  </r>
  <r>
    <x v="2060"/>
    <x v="549"/>
    <x v="1"/>
    <x v="2"/>
    <x v="8"/>
    <x v="11"/>
    <x v="20"/>
    <x v="2"/>
    <x v="2"/>
    <x v="1"/>
    <x v="3"/>
    <x v="7"/>
    <x v="1"/>
    <x v="3"/>
    <x v="4"/>
    <x v="26"/>
    <x v="17"/>
    <x v="742"/>
    <x v="679"/>
    <x v="847"/>
    <x v="1368"/>
    <x v="253"/>
    <x v="0"/>
    <x v="1"/>
    <x v="0"/>
  </r>
  <r>
    <x v="2061"/>
    <x v="556"/>
    <x v="1"/>
    <x v="2"/>
    <x v="8"/>
    <x v="11"/>
    <x v="20"/>
    <x v="2"/>
    <x v="2"/>
    <x v="0"/>
    <x v="3"/>
    <x v="7"/>
    <x v="1"/>
    <x v="3"/>
    <x v="2"/>
    <x v="26"/>
    <x v="17"/>
    <x v="641"/>
    <x v="600"/>
    <x v="1176"/>
    <x v="1114"/>
    <x v="117"/>
    <x v="1"/>
    <x v="0"/>
    <x v="0"/>
  </r>
  <r>
    <x v="2062"/>
    <x v="563"/>
    <x v="1"/>
    <x v="2"/>
    <x v="8"/>
    <x v="11"/>
    <x v="20"/>
    <x v="2"/>
    <x v="2"/>
    <x v="1"/>
    <x v="3"/>
    <x v="7"/>
    <x v="2"/>
    <x v="5"/>
    <x v="4"/>
    <x v="23"/>
    <x v="15"/>
    <x v="454"/>
    <x v="442"/>
    <x v="398"/>
    <x v="860"/>
    <x v="334"/>
    <x v="1"/>
    <x v="1"/>
    <x v="2"/>
  </r>
  <r>
    <x v="2063"/>
    <x v="543"/>
    <x v="1"/>
    <x v="2"/>
    <x v="8"/>
    <x v="11"/>
    <x v="20"/>
    <x v="2"/>
    <x v="2"/>
    <x v="0"/>
    <x v="3"/>
    <x v="7"/>
    <x v="2"/>
    <x v="5"/>
    <x v="2"/>
    <x v="23"/>
    <x v="15"/>
    <x v="326"/>
    <x v="313"/>
    <x v="875"/>
    <x v="515"/>
    <x v="155"/>
    <x v="1"/>
    <x v="0"/>
    <x v="2"/>
  </r>
  <r>
    <x v="2064"/>
    <x v="550"/>
    <x v="1"/>
    <x v="2"/>
    <x v="8"/>
    <x v="11"/>
    <x v="20"/>
    <x v="2"/>
    <x v="2"/>
    <x v="1"/>
    <x v="3"/>
    <x v="7"/>
    <x v="5"/>
    <x v="11"/>
    <x v="4"/>
    <x v="29"/>
    <x v="19"/>
    <x v="795"/>
    <x v="726"/>
    <x v="992"/>
    <x v="1414"/>
    <x v="81"/>
    <x v="1"/>
    <x v="1"/>
    <x v="0"/>
  </r>
  <r>
    <x v="2065"/>
    <x v="557"/>
    <x v="1"/>
    <x v="2"/>
    <x v="8"/>
    <x v="11"/>
    <x v="20"/>
    <x v="2"/>
    <x v="2"/>
    <x v="0"/>
    <x v="3"/>
    <x v="7"/>
    <x v="5"/>
    <x v="11"/>
    <x v="3"/>
    <x v="29"/>
    <x v="19"/>
    <x v="770"/>
    <x v="709"/>
    <x v="1264"/>
    <x v="1268"/>
    <x v="11"/>
    <x v="2"/>
    <x v="0"/>
    <x v="0"/>
  </r>
  <r>
    <x v="2066"/>
    <x v="564"/>
    <x v="1"/>
    <x v="2"/>
    <x v="8"/>
    <x v="11"/>
    <x v="20"/>
    <x v="2"/>
    <x v="2"/>
    <x v="1"/>
    <x v="0"/>
    <x v="1"/>
    <x v="3"/>
    <x v="7"/>
    <x v="25"/>
    <x v="2"/>
    <x v="1"/>
    <x v="87"/>
    <x v="67"/>
    <x v="43"/>
    <x v="261"/>
    <x v="1203"/>
    <x v="1"/>
    <x v="1"/>
    <x v="2"/>
  </r>
  <r>
    <x v="2067"/>
    <x v="544"/>
    <x v="1"/>
    <x v="2"/>
    <x v="8"/>
    <x v="11"/>
    <x v="20"/>
    <x v="2"/>
    <x v="2"/>
    <x v="0"/>
    <x v="0"/>
    <x v="1"/>
    <x v="3"/>
    <x v="7"/>
    <x v="21"/>
    <x v="2"/>
    <x v="1"/>
    <x v="61"/>
    <x v="50"/>
    <x v="414"/>
    <x v="160"/>
    <x v="977"/>
    <x v="1"/>
    <x v="0"/>
    <x v="2"/>
  </r>
  <r>
    <x v="2068"/>
    <x v="551"/>
    <x v="1"/>
    <x v="2"/>
    <x v="8"/>
    <x v="11"/>
    <x v="20"/>
    <x v="2"/>
    <x v="2"/>
    <x v="1"/>
    <x v="0"/>
    <x v="1"/>
    <x v="8"/>
    <x v="17"/>
    <x v="24"/>
    <x v="14"/>
    <x v="8"/>
    <x v="419"/>
    <x v="353"/>
    <x v="361"/>
    <x v="951"/>
    <x v="1130"/>
    <x v="1"/>
    <x v="1"/>
    <x v="2"/>
  </r>
  <r>
    <x v="2069"/>
    <x v="558"/>
    <x v="1"/>
    <x v="2"/>
    <x v="8"/>
    <x v="11"/>
    <x v="20"/>
    <x v="2"/>
    <x v="2"/>
    <x v="0"/>
    <x v="0"/>
    <x v="1"/>
    <x v="8"/>
    <x v="17"/>
    <x v="19"/>
    <x v="14"/>
    <x v="8"/>
    <x v="353"/>
    <x v="290"/>
    <x v="928"/>
    <x v="763"/>
    <x v="749"/>
    <x v="1"/>
    <x v="0"/>
    <x v="2"/>
  </r>
  <r>
    <x v="2070"/>
    <x v="565"/>
    <x v="1"/>
    <x v="2"/>
    <x v="8"/>
    <x v="11"/>
    <x v="20"/>
    <x v="2"/>
    <x v="2"/>
    <x v="1"/>
    <x v="0"/>
    <x v="1"/>
    <x v="9"/>
    <x v="19"/>
    <x v="28"/>
    <x v="8"/>
    <x v="5"/>
    <x v="349"/>
    <x v="306"/>
    <x v="257"/>
    <x v="747"/>
    <x v="774"/>
    <x v="1"/>
    <x v="1"/>
    <x v="2"/>
  </r>
  <r>
    <x v="2071"/>
    <x v="545"/>
    <x v="1"/>
    <x v="2"/>
    <x v="8"/>
    <x v="11"/>
    <x v="20"/>
    <x v="2"/>
    <x v="2"/>
    <x v="0"/>
    <x v="0"/>
    <x v="1"/>
    <x v="9"/>
    <x v="19"/>
    <x v="16"/>
    <x v="8"/>
    <x v="5"/>
    <x v="184"/>
    <x v="173"/>
    <x v="689"/>
    <x v="364"/>
    <x v="460"/>
    <x v="1"/>
    <x v="0"/>
    <x v="2"/>
  </r>
  <r>
    <x v="2072"/>
    <x v="552"/>
    <x v="1"/>
    <x v="2"/>
    <x v="8"/>
    <x v="11"/>
    <x v="20"/>
    <x v="2"/>
    <x v="2"/>
    <x v="1"/>
    <x v="2"/>
    <x v="5"/>
    <x v="0"/>
    <x v="1"/>
    <x v="13"/>
    <x v="17"/>
    <x v="11"/>
    <x v="325"/>
    <x v="276"/>
    <x v="229"/>
    <x v="720"/>
    <x v="945"/>
    <x v="1"/>
    <x v="1"/>
    <x v="2"/>
  </r>
  <r>
    <x v="2073"/>
    <x v="559"/>
    <x v="1"/>
    <x v="2"/>
    <x v="8"/>
    <x v="11"/>
    <x v="20"/>
    <x v="2"/>
    <x v="2"/>
    <x v="0"/>
    <x v="2"/>
    <x v="5"/>
    <x v="0"/>
    <x v="1"/>
    <x v="8"/>
    <x v="17"/>
    <x v="11"/>
    <x v="194"/>
    <x v="172"/>
    <x v="702"/>
    <x v="404"/>
    <x v="567"/>
    <x v="1"/>
    <x v="0"/>
    <x v="2"/>
  </r>
  <r>
    <x v="2074"/>
    <x v="566"/>
    <x v="1"/>
    <x v="2"/>
    <x v="8"/>
    <x v="11"/>
    <x v="20"/>
    <x v="2"/>
    <x v="2"/>
    <x v="1"/>
    <x v="2"/>
    <x v="5"/>
    <x v="4"/>
    <x v="9"/>
    <x v="11"/>
    <x v="11"/>
    <x v="9"/>
    <x v="171"/>
    <x v="169"/>
    <x v="110"/>
    <x v="363"/>
    <x v="632"/>
    <x v="1"/>
    <x v="1"/>
    <x v="2"/>
  </r>
  <r>
    <x v="2075"/>
    <x v="546"/>
    <x v="1"/>
    <x v="2"/>
    <x v="8"/>
    <x v="11"/>
    <x v="20"/>
    <x v="2"/>
    <x v="2"/>
    <x v="0"/>
    <x v="2"/>
    <x v="5"/>
    <x v="4"/>
    <x v="9"/>
    <x v="8"/>
    <x v="11"/>
    <x v="9"/>
    <x v="109"/>
    <x v="111"/>
    <x v="553"/>
    <x v="184"/>
    <x v="329"/>
    <x v="1"/>
    <x v="0"/>
    <x v="2"/>
  </r>
  <r>
    <x v="2076"/>
    <x v="553"/>
    <x v="1"/>
    <x v="2"/>
    <x v="8"/>
    <x v="11"/>
    <x v="20"/>
    <x v="2"/>
    <x v="2"/>
    <x v="1"/>
    <x v="1"/>
    <x v="3"/>
    <x v="7"/>
    <x v="15"/>
    <x v="14"/>
    <x v="20"/>
    <x v="13"/>
    <x v="365"/>
    <x v="348"/>
    <x v="288"/>
    <x v="723"/>
    <x v="463"/>
    <x v="1"/>
    <x v="1"/>
    <x v="2"/>
  </r>
  <r>
    <x v="2077"/>
    <x v="560"/>
    <x v="1"/>
    <x v="2"/>
    <x v="8"/>
    <x v="11"/>
    <x v="20"/>
    <x v="2"/>
    <x v="2"/>
    <x v="0"/>
    <x v="1"/>
    <x v="3"/>
    <x v="7"/>
    <x v="15"/>
    <x v="10"/>
    <x v="20"/>
    <x v="13"/>
    <x v="271"/>
    <x v="267"/>
    <x v="821"/>
    <x v="467"/>
    <x v="230"/>
    <x v="1"/>
    <x v="0"/>
    <x v="2"/>
  </r>
  <r>
    <x v="2078"/>
    <x v="540"/>
    <x v="1"/>
    <x v="2"/>
    <x v="8"/>
    <x v="11"/>
    <x v="20"/>
    <x v="2"/>
    <x v="2"/>
    <x v="1"/>
    <x v="1"/>
    <x v="3"/>
    <x v="6"/>
    <x v="13"/>
    <x v="15"/>
    <x v="5"/>
    <x v="3"/>
    <x v="52"/>
    <x v="48"/>
    <x v="20"/>
    <x v="137"/>
    <x v="1055"/>
    <x v="1"/>
    <x v="1"/>
    <x v="2"/>
  </r>
  <r>
    <x v="2079"/>
    <x v="547"/>
    <x v="1"/>
    <x v="2"/>
    <x v="8"/>
    <x v="11"/>
    <x v="20"/>
    <x v="2"/>
    <x v="2"/>
    <x v="0"/>
    <x v="1"/>
    <x v="3"/>
    <x v="6"/>
    <x v="13"/>
    <x v="12"/>
    <x v="5"/>
    <x v="3"/>
    <x v="32"/>
    <x v="34"/>
    <x v="293"/>
    <x v="67"/>
    <x v="706"/>
    <x v="1"/>
    <x v="0"/>
    <x v="2"/>
  </r>
  <r>
    <x v="2080"/>
    <x v="554"/>
    <x v="1"/>
    <x v="2"/>
    <x v="8"/>
    <x v="11"/>
    <x v="20"/>
    <x v="4"/>
    <x v="4"/>
    <x v="1"/>
    <x v="3"/>
    <x v="7"/>
    <x v="1"/>
    <x v="3"/>
    <x v="3"/>
    <x v="26"/>
    <x v="17"/>
    <x v="701"/>
    <x v="653"/>
    <x v="767"/>
    <x v="1284"/>
    <x v="249"/>
    <x v="0"/>
    <x v="1"/>
    <x v="0"/>
  </r>
  <r>
    <x v="2081"/>
    <x v="561"/>
    <x v="1"/>
    <x v="2"/>
    <x v="8"/>
    <x v="11"/>
    <x v="20"/>
    <x v="4"/>
    <x v="4"/>
    <x v="0"/>
    <x v="3"/>
    <x v="7"/>
    <x v="1"/>
    <x v="3"/>
    <x v="2"/>
    <x v="26"/>
    <x v="17"/>
    <x v="641"/>
    <x v="600"/>
    <x v="1176"/>
    <x v="1114"/>
    <x v="117"/>
    <x v="1"/>
    <x v="0"/>
    <x v="0"/>
  </r>
  <r>
    <x v="2082"/>
    <x v="541"/>
    <x v="1"/>
    <x v="2"/>
    <x v="8"/>
    <x v="11"/>
    <x v="20"/>
    <x v="4"/>
    <x v="4"/>
    <x v="1"/>
    <x v="3"/>
    <x v="7"/>
    <x v="2"/>
    <x v="5"/>
    <x v="4"/>
    <x v="23"/>
    <x v="15"/>
    <x v="454"/>
    <x v="442"/>
    <x v="398"/>
    <x v="860"/>
    <x v="334"/>
    <x v="1"/>
    <x v="1"/>
    <x v="2"/>
  </r>
  <r>
    <x v="2083"/>
    <x v="548"/>
    <x v="1"/>
    <x v="2"/>
    <x v="8"/>
    <x v="11"/>
    <x v="20"/>
    <x v="4"/>
    <x v="4"/>
    <x v="0"/>
    <x v="3"/>
    <x v="7"/>
    <x v="2"/>
    <x v="5"/>
    <x v="2"/>
    <x v="23"/>
    <x v="15"/>
    <x v="326"/>
    <x v="313"/>
    <x v="875"/>
    <x v="515"/>
    <x v="155"/>
    <x v="1"/>
    <x v="0"/>
    <x v="2"/>
  </r>
  <r>
    <x v="2084"/>
    <x v="555"/>
    <x v="1"/>
    <x v="2"/>
    <x v="8"/>
    <x v="11"/>
    <x v="20"/>
    <x v="4"/>
    <x v="4"/>
    <x v="1"/>
    <x v="3"/>
    <x v="7"/>
    <x v="5"/>
    <x v="11"/>
    <x v="5"/>
    <x v="29"/>
    <x v="19"/>
    <x v="810"/>
    <x v="732"/>
    <x v="1040"/>
    <x v="1463"/>
    <x v="87"/>
    <x v="1"/>
    <x v="1"/>
    <x v="0"/>
  </r>
  <r>
    <x v="2085"/>
    <x v="562"/>
    <x v="1"/>
    <x v="2"/>
    <x v="8"/>
    <x v="11"/>
    <x v="20"/>
    <x v="4"/>
    <x v="4"/>
    <x v="0"/>
    <x v="3"/>
    <x v="7"/>
    <x v="5"/>
    <x v="11"/>
    <x v="2"/>
    <x v="29"/>
    <x v="19"/>
    <x v="726"/>
    <x v="681"/>
    <x v="1233"/>
    <x v="1171"/>
    <x v="14"/>
    <x v="2"/>
    <x v="0"/>
    <x v="0"/>
  </r>
  <r>
    <x v="2086"/>
    <x v="542"/>
    <x v="1"/>
    <x v="2"/>
    <x v="8"/>
    <x v="11"/>
    <x v="20"/>
    <x v="4"/>
    <x v="4"/>
    <x v="1"/>
    <x v="0"/>
    <x v="1"/>
    <x v="3"/>
    <x v="7"/>
    <x v="31"/>
    <x v="2"/>
    <x v="1"/>
    <x v="124"/>
    <x v="97"/>
    <x v="72"/>
    <x v="374"/>
    <x v="1212"/>
    <x v="1"/>
    <x v="1"/>
    <x v="2"/>
  </r>
  <r>
    <x v="2087"/>
    <x v="549"/>
    <x v="1"/>
    <x v="2"/>
    <x v="8"/>
    <x v="11"/>
    <x v="20"/>
    <x v="4"/>
    <x v="4"/>
    <x v="0"/>
    <x v="0"/>
    <x v="1"/>
    <x v="3"/>
    <x v="7"/>
    <x v="16"/>
    <x v="2"/>
    <x v="1"/>
    <x v="36"/>
    <x v="30"/>
    <x v="306"/>
    <x v="88"/>
    <x v="986"/>
    <x v="1"/>
    <x v="0"/>
    <x v="2"/>
  </r>
  <r>
    <x v="2088"/>
    <x v="556"/>
    <x v="1"/>
    <x v="2"/>
    <x v="8"/>
    <x v="11"/>
    <x v="20"/>
    <x v="4"/>
    <x v="4"/>
    <x v="1"/>
    <x v="0"/>
    <x v="1"/>
    <x v="8"/>
    <x v="17"/>
    <x v="24"/>
    <x v="14"/>
    <x v="8"/>
    <x v="419"/>
    <x v="353"/>
    <x v="361"/>
    <x v="951"/>
    <x v="1130"/>
    <x v="1"/>
    <x v="1"/>
    <x v="2"/>
  </r>
  <r>
    <x v="2089"/>
    <x v="563"/>
    <x v="1"/>
    <x v="2"/>
    <x v="8"/>
    <x v="11"/>
    <x v="20"/>
    <x v="4"/>
    <x v="4"/>
    <x v="0"/>
    <x v="0"/>
    <x v="1"/>
    <x v="8"/>
    <x v="17"/>
    <x v="19"/>
    <x v="14"/>
    <x v="8"/>
    <x v="353"/>
    <x v="290"/>
    <x v="928"/>
    <x v="763"/>
    <x v="749"/>
    <x v="1"/>
    <x v="0"/>
    <x v="2"/>
  </r>
  <r>
    <x v="2090"/>
    <x v="543"/>
    <x v="1"/>
    <x v="2"/>
    <x v="8"/>
    <x v="11"/>
    <x v="20"/>
    <x v="4"/>
    <x v="4"/>
    <x v="1"/>
    <x v="0"/>
    <x v="1"/>
    <x v="9"/>
    <x v="19"/>
    <x v="30"/>
    <x v="8"/>
    <x v="5"/>
    <x v="366"/>
    <x v="326"/>
    <x v="288"/>
    <x v="793"/>
    <x v="764"/>
    <x v="1"/>
    <x v="1"/>
    <x v="2"/>
  </r>
  <r>
    <x v="2091"/>
    <x v="550"/>
    <x v="1"/>
    <x v="2"/>
    <x v="8"/>
    <x v="11"/>
    <x v="20"/>
    <x v="4"/>
    <x v="4"/>
    <x v="0"/>
    <x v="0"/>
    <x v="1"/>
    <x v="9"/>
    <x v="19"/>
    <x v="17"/>
    <x v="8"/>
    <x v="5"/>
    <x v="201"/>
    <x v="187"/>
    <x v="712"/>
    <x v="395"/>
    <x v="449"/>
    <x v="1"/>
    <x v="0"/>
    <x v="2"/>
  </r>
  <r>
    <x v="2092"/>
    <x v="557"/>
    <x v="1"/>
    <x v="2"/>
    <x v="8"/>
    <x v="11"/>
    <x v="20"/>
    <x v="4"/>
    <x v="4"/>
    <x v="1"/>
    <x v="2"/>
    <x v="5"/>
    <x v="0"/>
    <x v="1"/>
    <x v="13"/>
    <x v="17"/>
    <x v="11"/>
    <x v="325"/>
    <x v="276"/>
    <x v="229"/>
    <x v="720"/>
    <x v="945"/>
    <x v="1"/>
    <x v="1"/>
    <x v="2"/>
  </r>
  <r>
    <x v="2093"/>
    <x v="564"/>
    <x v="1"/>
    <x v="2"/>
    <x v="8"/>
    <x v="11"/>
    <x v="20"/>
    <x v="4"/>
    <x v="4"/>
    <x v="0"/>
    <x v="2"/>
    <x v="5"/>
    <x v="0"/>
    <x v="1"/>
    <x v="6"/>
    <x v="17"/>
    <x v="11"/>
    <x v="137"/>
    <x v="121"/>
    <x v="611"/>
    <x v="280"/>
    <x v="565"/>
    <x v="1"/>
    <x v="0"/>
    <x v="2"/>
  </r>
  <r>
    <x v="2094"/>
    <x v="544"/>
    <x v="1"/>
    <x v="2"/>
    <x v="8"/>
    <x v="11"/>
    <x v="20"/>
    <x v="4"/>
    <x v="4"/>
    <x v="1"/>
    <x v="2"/>
    <x v="5"/>
    <x v="4"/>
    <x v="9"/>
    <x v="10"/>
    <x v="11"/>
    <x v="9"/>
    <x v="151"/>
    <x v="151"/>
    <x v="94"/>
    <x v="318"/>
    <x v="633"/>
    <x v="1"/>
    <x v="1"/>
    <x v="2"/>
  </r>
  <r>
    <x v="2095"/>
    <x v="551"/>
    <x v="1"/>
    <x v="2"/>
    <x v="8"/>
    <x v="11"/>
    <x v="20"/>
    <x v="4"/>
    <x v="4"/>
    <x v="0"/>
    <x v="2"/>
    <x v="5"/>
    <x v="4"/>
    <x v="9"/>
    <x v="8"/>
    <x v="11"/>
    <x v="9"/>
    <x v="109"/>
    <x v="111"/>
    <x v="553"/>
    <x v="184"/>
    <x v="329"/>
    <x v="1"/>
    <x v="0"/>
    <x v="2"/>
  </r>
  <r>
    <x v="2096"/>
    <x v="558"/>
    <x v="1"/>
    <x v="2"/>
    <x v="8"/>
    <x v="11"/>
    <x v="20"/>
    <x v="4"/>
    <x v="4"/>
    <x v="1"/>
    <x v="1"/>
    <x v="3"/>
    <x v="7"/>
    <x v="15"/>
    <x v="16"/>
    <x v="20"/>
    <x v="13"/>
    <x v="405"/>
    <x v="386"/>
    <x v="333"/>
    <x v="804"/>
    <x v="467"/>
    <x v="1"/>
    <x v="1"/>
    <x v="2"/>
  </r>
  <r>
    <x v="2097"/>
    <x v="565"/>
    <x v="1"/>
    <x v="2"/>
    <x v="8"/>
    <x v="11"/>
    <x v="20"/>
    <x v="4"/>
    <x v="4"/>
    <x v="0"/>
    <x v="1"/>
    <x v="3"/>
    <x v="7"/>
    <x v="15"/>
    <x v="9"/>
    <x v="20"/>
    <x v="13"/>
    <x v="246"/>
    <x v="243"/>
    <x v="781"/>
    <x v="420"/>
    <x v="231"/>
    <x v="1"/>
    <x v="0"/>
    <x v="2"/>
  </r>
  <r>
    <x v="2098"/>
    <x v="545"/>
    <x v="1"/>
    <x v="2"/>
    <x v="8"/>
    <x v="11"/>
    <x v="20"/>
    <x v="4"/>
    <x v="4"/>
    <x v="1"/>
    <x v="1"/>
    <x v="3"/>
    <x v="6"/>
    <x v="13"/>
    <x v="13"/>
    <x v="5"/>
    <x v="3"/>
    <x v="40"/>
    <x v="38"/>
    <x v="7"/>
    <x v="107"/>
    <x v="1069"/>
    <x v="1"/>
    <x v="1"/>
    <x v="2"/>
  </r>
  <r>
    <x v="2099"/>
    <x v="552"/>
    <x v="1"/>
    <x v="2"/>
    <x v="8"/>
    <x v="11"/>
    <x v="20"/>
    <x v="4"/>
    <x v="4"/>
    <x v="0"/>
    <x v="1"/>
    <x v="3"/>
    <x v="6"/>
    <x v="13"/>
    <x v="12"/>
    <x v="5"/>
    <x v="3"/>
    <x v="32"/>
    <x v="34"/>
    <x v="293"/>
    <x v="67"/>
    <x v="706"/>
    <x v="1"/>
    <x v="0"/>
    <x v="2"/>
  </r>
  <r>
    <x v="2100"/>
    <x v="586"/>
    <x v="1"/>
    <x v="3"/>
    <x v="9"/>
    <x v="10"/>
    <x v="21"/>
    <x v="0"/>
    <x v="0"/>
    <x v="1"/>
    <x v="3"/>
    <x v="7"/>
    <x v="1"/>
    <x v="3"/>
    <x v="16"/>
    <x v="26"/>
    <x v="17"/>
    <x v="853"/>
    <x v="758"/>
    <x v="1185"/>
    <x v="1589"/>
    <x v="253"/>
    <x v="0"/>
    <x v="1"/>
    <x v="0"/>
  </r>
  <r>
    <x v="2101"/>
    <x v="593"/>
    <x v="1"/>
    <x v="3"/>
    <x v="9"/>
    <x v="10"/>
    <x v="21"/>
    <x v="0"/>
    <x v="0"/>
    <x v="0"/>
    <x v="3"/>
    <x v="7"/>
    <x v="1"/>
    <x v="3"/>
    <x v="10"/>
    <x v="26"/>
    <x v="17"/>
    <x v="828"/>
    <x v="740"/>
    <x v="1310"/>
    <x v="1530"/>
    <x v="120"/>
    <x v="1"/>
    <x v="0"/>
    <x v="0"/>
  </r>
  <r>
    <x v="2102"/>
    <x v="573"/>
    <x v="1"/>
    <x v="3"/>
    <x v="9"/>
    <x v="10"/>
    <x v="21"/>
    <x v="0"/>
    <x v="0"/>
    <x v="1"/>
    <x v="3"/>
    <x v="7"/>
    <x v="2"/>
    <x v="5"/>
    <x v="19"/>
    <x v="23"/>
    <x v="15"/>
    <x v="790"/>
    <x v="710"/>
    <x v="971"/>
    <x v="1475"/>
    <x v="334"/>
    <x v="0"/>
    <x v="1"/>
    <x v="0"/>
  </r>
  <r>
    <x v="2103"/>
    <x v="580"/>
    <x v="1"/>
    <x v="3"/>
    <x v="9"/>
    <x v="10"/>
    <x v="21"/>
    <x v="0"/>
    <x v="0"/>
    <x v="0"/>
    <x v="3"/>
    <x v="7"/>
    <x v="2"/>
    <x v="5"/>
    <x v="12"/>
    <x v="23"/>
    <x v="15"/>
    <x v="716"/>
    <x v="656"/>
    <x v="1213"/>
    <x v="1274"/>
    <x v="183"/>
    <x v="1"/>
    <x v="0"/>
    <x v="0"/>
  </r>
  <r>
    <x v="2104"/>
    <x v="587"/>
    <x v="1"/>
    <x v="3"/>
    <x v="9"/>
    <x v="10"/>
    <x v="21"/>
    <x v="0"/>
    <x v="0"/>
    <x v="1"/>
    <x v="3"/>
    <x v="7"/>
    <x v="5"/>
    <x v="11"/>
    <x v="23"/>
    <x v="29"/>
    <x v="19"/>
    <x v="887"/>
    <x v="792"/>
    <x v="1285"/>
    <x v="1618"/>
    <x v="82"/>
    <x v="1"/>
    <x v="1"/>
    <x v="0"/>
  </r>
  <r>
    <x v="2105"/>
    <x v="567"/>
    <x v="1"/>
    <x v="3"/>
    <x v="9"/>
    <x v="10"/>
    <x v="21"/>
    <x v="0"/>
    <x v="0"/>
    <x v="0"/>
    <x v="3"/>
    <x v="7"/>
    <x v="5"/>
    <x v="11"/>
    <x v="13"/>
    <x v="29"/>
    <x v="19"/>
    <x v="864"/>
    <x v="771"/>
    <x v="1329"/>
    <x v="1573"/>
    <x v="16"/>
    <x v="2"/>
    <x v="0"/>
    <x v="0"/>
  </r>
  <r>
    <x v="2106"/>
    <x v="574"/>
    <x v="1"/>
    <x v="3"/>
    <x v="9"/>
    <x v="10"/>
    <x v="21"/>
    <x v="0"/>
    <x v="0"/>
    <x v="1"/>
    <x v="0"/>
    <x v="1"/>
    <x v="3"/>
    <x v="7"/>
    <x v="90"/>
    <x v="2"/>
    <x v="1"/>
    <x v="442"/>
    <x v="359"/>
    <x v="387"/>
    <x v="1034"/>
    <x v="1215"/>
    <x v="1"/>
    <x v="1"/>
    <x v="2"/>
  </r>
  <r>
    <x v="2107"/>
    <x v="581"/>
    <x v="1"/>
    <x v="3"/>
    <x v="9"/>
    <x v="10"/>
    <x v="21"/>
    <x v="0"/>
    <x v="0"/>
    <x v="0"/>
    <x v="0"/>
    <x v="1"/>
    <x v="3"/>
    <x v="7"/>
    <x v="62"/>
    <x v="2"/>
    <x v="1"/>
    <x v="324"/>
    <x v="251"/>
    <x v="846"/>
    <x v="733"/>
    <x v="992"/>
    <x v="1"/>
    <x v="0"/>
    <x v="2"/>
  </r>
  <r>
    <x v="2108"/>
    <x v="588"/>
    <x v="1"/>
    <x v="3"/>
    <x v="9"/>
    <x v="10"/>
    <x v="21"/>
    <x v="0"/>
    <x v="0"/>
    <x v="1"/>
    <x v="0"/>
    <x v="1"/>
    <x v="8"/>
    <x v="17"/>
    <x v="86"/>
    <x v="14"/>
    <x v="8"/>
    <x v="775"/>
    <x v="670"/>
    <x v="924"/>
    <x v="1510"/>
    <x v="1136"/>
    <x v="0"/>
    <x v="1"/>
    <x v="0"/>
  </r>
  <r>
    <x v="2109"/>
    <x v="568"/>
    <x v="1"/>
    <x v="3"/>
    <x v="9"/>
    <x v="10"/>
    <x v="21"/>
    <x v="0"/>
    <x v="0"/>
    <x v="0"/>
    <x v="0"/>
    <x v="1"/>
    <x v="8"/>
    <x v="17"/>
    <x v="73"/>
    <x v="14"/>
    <x v="8"/>
    <x v="747"/>
    <x v="651"/>
    <x v="1238"/>
    <x v="1443"/>
    <x v="797"/>
    <x v="0"/>
    <x v="0"/>
    <x v="0"/>
  </r>
  <r>
    <x v="2110"/>
    <x v="575"/>
    <x v="1"/>
    <x v="3"/>
    <x v="9"/>
    <x v="10"/>
    <x v="21"/>
    <x v="0"/>
    <x v="0"/>
    <x v="1"/>
    <x v="0"/>
    <x v="1"/>
    <x v="9"/>
    <x v="19"/>
    <x v="91"/>
    <x v="8"/>
    <x v="5"/>
    <x v="711"/>
    <x v="629"/>
    <x v="785"/>
    <x v="1385"/>
    <x v="766"/>
    <x v="0"/>
    <x v="1"/>
    <x v="0"/>
  </r>
  <r>
    <x v="2111"/>
    <x v="582"/>
    <x v="1"/>
    <x v="3"/>
    <x v="9"/>
    <x v="10"/>
    <x v="21"/>
    <x v="0"/>
    <x v="0"/>
    <x v="0"/>
    <x v="0"/>
    <x v="1"/>
    <x v="9"/>
    <x v="19"/>
    <x v="73"/>
    <x v="8"/>
    <x v="5"/>
    <x v="651"/>
    <x v="578"/>
    <x v="1171"/>
    <x v="1251"/>
    <x v="485"/>
    <x v="0"/>
    <x v="0"/>
    <x v="0"/>
  </r>
  <r>
    <x v="2112"/>
    <x v="589"/>
    <x v="1"/>
    <x v="3"/>
    <x v="9"/>
    <x v="10"/>
    <x v="21"/>
    <x v="0"/>
    <x v="0"/>
    <x v="1"/>
    <x v="2"/>
    <x v="5"/>
    <x v="0"/>
    <x v="1"/>
    <x v="37"/>
    <x v="17"/>
    <x v="11"/>
    <x v="632"/>
    <x v="560"/>
    <x v="660"/>
    <x v="1276"/>
    <x v="938"/>
    <x v="0"/>
    <x v="1"/>
    <x v="0"/>
  </r>
  <r>
    <x v="2113"/>
    <x v="569"/>
    <x v="1"/>
    <x v="3"/>
    <x v="9"/>
    <x v="10"/>
    <x v="21"/>
    <x v="0"/>
    <x v="0"/>
    <x v="0"/>
    <x v="2"/>
    <x v="5"/>
    <x v="0"/>
    <x v="1"/>
    <x v="25"/>
    <x v="17"/>
    <x v="11"/>
    <x v="519"/>
    <x v="453"/>
    <x v="1069"/>
    <x v="1042"/>
    <x v="616"/>
    <x v="0"/>
    <x v="0"/>
    <x v="0"/>
  </r>
  <r>
    <x v="2114"/>
    <x v="576"/>
    <x v="1"/>
    <x v="3"/>
    <x v="9"/>
    <x v="10"/>
    <x v="21"/>
    <x v="0"/>
    <x v="0"/>
    <x v="1"/>
    <x v="2"/>
    <x v="5"/>
    <x v="4"/>
    <x v="9"/>
    <x v="36"/>
    <x v="11"/>
    <x v="9"/>
    <x v="518"/>
    <x v="473"/>
    <x v="488"/>
    <x v="1047"/>
    <x v="624"/>
    <x v="0"/>
    <x v="1"/>
    <x v="0"/>
  </r>
  <r>
    <x v="2115"/>
    <x v="583"/>
    <x v="1"/>
    <x v="3"/>
    <x v="9"/>
    <x v="10"/>
    <x v="21"/>
    <x v="0"/>
    <x v="0"/>
    <x v="0"/>
    <x v="2"/>
    <x v="5"/>
    <x v="4"/>
    <x v="9"/>
    <x v="29"/>
    <x v="11"/>
    <x v="9"/>
    <x v="444"/>
    <x v="414"/>
    <x v="1012"/>
    <x v="847"/>
    <x v="354"/>
    <x v="1"/>
    <x v="0"/>
    <x v="2"/>
  </r>
  <r>
    <x v="2116"/>
    <x v="590"/>
    <x v="1"/>
    <x v="3"/>
    <x v="9"/>
    <x v="10"/>
    <x v="21"/>
    <x v="0"/>
    <x v="0"/>
    <x v="1"/>
    <x v="1"/>
    <x v="3"/>
    <x v="7"/>
    <x v="15"/>
    <x v="45"/>
    <x v="20"/>
    <x v="13"/>
    <x v="708"/>
    <x v="643"/>
    <x v="777"/>
    <x v="1334"/>
    <x v="470"/>
    <x v="0"/>
    <x v="1"/>
    <x v="0"/>
  </r>
  <r>
    <x v="2117"/>
    <x v="570"/>
    <x v="1"/>
    <x v="3"/>
    <x v="9"/>
    <x v="10"/>
    <x v="21"/>
    <x v="0"/>
    <x v="0"/>
    <x v="0"/>
    <x v="1"/>
    <x v="3"/>
    <x v="7"/>
    <x v="15"/>
    <x v="37"/>
    <x v="20"/>
    <x v="13"/>
    <x v="654"/>
    <x v="598"/>
    <x v="1173"/>
    <x v="1215"/>
    <x v="246"/>
    <x v="0"/>
    <x v="0"/>
    <x v="0"/>
  </r>
  <r>
    <x v="2118"/>
    <x v="577"/>
    <x v="1"/>
    <x v="3"/>
    <x v="9"/>
    <x v="10"/>
    <x v="21"/>
    <x v="0"/>
    <x v="0"/>
    <x v="1"/>
    <x v="1"/>
    <x v="3"/>
    <x v="6"/>
    <x v="13"/>
    <x v="49"/>
    <x v="5"/>
    <x v="3"/>
    <x v="322"/>
    <x v="265"/>
    <x v="226"/>
    <x v="739"/>
    <x v="1063"/>
    <x v="1"/>
    <x v="1"/>
    <x v="2"/>
  </r>
  <r>
    <x v="2119"/>
    <x v="584"/>
    <x v="1"/>
    <x v="3"/>
    <x v="9"/>
    <x v="10"/>
    <x v="21"/>
    <x v="0"/>
    <x v="0"/>
    <x v="0"/>
    <x v="1"/>
    <x v="3"/>
    <x v="6"/>
    <x v="13"/>
    <x v="39"/>
    <x v="5"/>
    <x v="3"/>
    <x v="249"/>
    <x v="205"/>
    <x v="748"/>
    <x v="544"/>
    <x v="738"/>
    <x v="1"/>
    <x v="0"/>
    <x v="2"/>
  </r>
  <r>
    <x v="2120"/>
    <x v="591"/>
    <x v="1"/>
    <x v="3"/>
    <x v="9"/>
    <x v="10"/>
    <x v="21"/>
    <x v="1"/>
    <x v="1"/>
    <x v="1"/>
    <x v="3"/>
    <x v="7"/>
    <x v="1"/>
    <x v="3"/>
    <x v="10"/>
    <x v="26"/>
    <x v="17"/>
    <x v="828"/>
    <x v="740"/>
    <x v="1095"/>
    <x v="1553"/>
    <x v="253"/>
    <x v="0"/>
    <x v="1"/>
    <x v="0"/>
  </r>
  <r>
    <x v="2121"/>
    <x v="571"/>
    <x v="1"/>
    <x v="3"/>
    <x v="9"/>
    <x v="10"/>
    <x v="21"/>
    <x v="1"/>
    <x v="1"/>
    <x v="0"/>
    <x v="3"/>
    <x v="7"/>
    <x v="1"/>
    <x v="3"/>
    <x v="6"/>
    <x v="26"/>
    <x v="17"/>
    <x v="792"/>
    <x v="715"/>
    <x v="1277"/>
    <x v="1436"/>
    <x v="123"/>
    <x v="1"/>
    <x v="0"/>
    <x v="0"/>
  </r>
  <r>
    <x v="2122"/>
    <x v="578"/>
    <x v="1"/>
    <x v="3"/>
    <x v="9"/>
    <x v="10"/>
    <x v="21"/>
    <x v="1"/>
    <x v="1"/>
    <x v="1"/>
    <x v="3"/>
    <x v="7"/>
    <x v="2"/>
    <x v="5"/>
    <x v="9"/>
    <x v="23"/>
    <x v="15"/>
    <x v="649"/>
    <x v="603"/>
    <x v="683"/>
    <x v="1224"/>
    <x v="341"/>
    <x v="0"/>
    <x v="1"/>
    <x v="0"/>
  </r>
  <r>
    <x v="2123"/>
    <x v="585"/>
    <x v="1"/>
    <x v="3"/>
    <x v="9"/>
    <x v="10"/>
    <x v="21"/>
    <x v="1"/>
    <x v="1"/>
    <x v="0"/>
    <x v="3"/>
    <x v="7"/>
    <x v="2"/>
    <x v="5"/>
    <x v="7"/>
    <x v="23"/>
    <x v="15"/>
    <x v="590"/>
    <x v="556"/>
    <x v="1126"/>
    <x v="1053"/>
    <x v="185"/>
    <x v="1"/>
    <x v="0"/>
    <x v="0"/>
  </r>
  <r>
    <x v="2124"/>
    <x v="592"/>
    <x v="1"/>
    <x v="3"/>
    <x v="9"/>
    <x v="10"/>
    <x v="21"/>
    <x v="1"/>
    <x v="1"/>
    <x v="1"/>
    <x v="3"/>
    <x v="7"/>
    <x v="5"/>
    <x v="11"/>
    <x v="9"/>
    <x v="29"/>
    <x v="19"/>
    <x v="844"/>
    <x v="754"/>
    <x v="1155"/>
    <x v="1558"/>
    <x v="85"/>
    <x v="1"/>
    <x v="1"/>
    <x v="0"/>
  </r>
  <r>
    <x v="2125"/>
    <x v="572"/>
    <x v="1"/>
    <x v="3"/>
    <x v="9"/>
    <x v="10"/>
    <x v="21"/>
    <x v="1"/>
    <x v="1"/>
    <x v="0"/>
    <x v="3"/>
    <x v="7"/>
    <x v="5"/>
    <x v="11"/>
    <x v="5"/>
    <x v="29"/>
    <x v="19"/>
    <x v="810"/>
    <x v="732"/>
    <x v="1297"/>
    <x v="1418"/>
    <x v="21"/>
    <x v="2"/>
    <x v="0"/>
    <x v="0"/>
  </r>
  <r>
    <x v="2126"/>
    <x v="579"/>
    <x v="1"/>
    <x v="3"/>
    <x v="9"/>
    <x v="10"/>
    <x v="21"/>
    <x v="1"/>
    <x v="1"/>
    <x v="1"/>
    <x v="0"/>
    <x v="1"/>
    <x v="3"/>
    <x v="7"/>
    <x v="53"/>
    <x v="2"/>
    <x v="1"/>
    <x v="265"/>
    <x v="207"/>
    <x v="190"/>
    <x v="692"/>
    <x v="1212"/>
    <x v="1"/>
    <x v="1"/>
    <x v="2"/>
  </r>
  <r>
    <x v="2127"/>
    <x v="586"/>
    <x v="1"/>
    <x v="3"/>
    <x v="9"/>
    <x v="10"/>
    <x v="21"/>
    <x v="1"/>
    <x v="1"/>
    <x v="0"/>
    <x v="0"/>
    <x v="1"/>
    <x v="3"/>
    <x v="7"/>
    <x v="31"/>
    <x v="2"/>
    <x v="1"/>
    <x v="124"/>
    <x v="97"/>
    <x v="559"/>
    <x v="321"/>
    <x v="989"/>
    <x v="1"/>
    <x v="0"/>
    <x v="2"/>
  </r>
  <r>
    <x v="2128"/>
    <x v="593"/>
    <x v="1"/>
    <x v="3"/>
    <x v="9"/>
    <x v="10"/>
    <x v="21"/>
    <x v="1"/>
    <x v="1"/>
    <x v="1"/>
    <x v="0"/>
    <x v="1"/>
    <x v="8"/>
    <x v="17"/>
    <x v="59"/>
    <x v="14"/>
    <x v="8"/>
    <x v="696"/>
    <x v="595"/>
    <x v="754"/>
    <x v="1393"/>
    <x v="1130"/>
    <x v="0"/>
    <x v="1"/>
    <x v="0"/>
  </r>
  <r>
    <x v="2129"/>
    <x v="573"/>
    <x v="1"/>
    <x v="3"/>
    <x v="9"/>
    <x v="10"/>
    <x v="21"/>
    <x v="1"/>
    <x v="1"/>
    <x v="0"/>
    <x v="0"/>
    <x v="1"/>
    <x v="8"/>
    <x v="17"/>
    <x v="38"/>
    <x v="14"/>
    <x v="8"/>
    <x v="574"/>
    <x v="487"/>
    <x v="1110"/>
    <x v="1173"/>
    <x v="795"/>
    <x v="0"/>
    <x v="0"/>
    <x v="0"/>
  </r>
  <r>
    <x v="2130"/>
    <x v="580"/>
    <x v="1"/>
    <x v="3"/>
    <x v="9"/>
    <x v="10"/>
    <x v="21"/>
    <x v="1"/>
    <x v="1"/>
    <x v="1"/>
    <x v="0"/>
    <x v="1"/>
    <x v="9"/>
    <x v="19"/>
    <x v="55"/>
    <x v="8"/>
    <x v="5"/>
    <x v="565"/>
    <x v="501"/>
    <x v="560"/>
    <x v="1158"/>
    <x v="766"/>
    <x v="0"/>
    <x v="1"/>
    <x v="0"/>
  </r>
  <r>
    <x v="2131"/>
    <x v="587"/>
    <x v="1"/>
    <x v="3"/>
    <x v="9"/>
    <x v="10"/>
    <x v="21"/>
    <x v="1"/>
    <x v="1"/>
    <x v="0"/>
    <x v="0"/>
    <x v="1"/>
    <x v="9"/>
    <x v="19"/>
    <x v="37"/>
    <x v="8"/>
    <x v="5"/>
    <x v="428"/>
    <x v="389"/>
    <x v="1000"/>
    <x v="858"/>
    <x v="482"/>
    <x v="1"/>
    <x v="0"/>
    <x v="2"/>
  </r>
  <r>
    <x v="2132"/>
    <x v="567"/>
    <x v="1"/>
    <x v="3"/>
    <x v="9"/>
    <x v="10"/>
    <x v="21"/>
    <x v="1"/>
    <x v="1"/>
    <x v="1"/>
    <x v="2"/>
    <x v="5"/>
    <x v="0"/>
    <x v="1"/>
    <x v="26"/>
    <x v="17"/>
    <x v="11"/>
    <x v="534"/>
    <x v="467"/>
    <x v="510"/>
    <x v="1124"/>
    <x v="943"/>
    <x v="0"/>
    <x v="1"/>
    <x v="0"/>
  </r>
  <r>
    <x v="2133"/>
    <x v="574"/>
    <x v="1"/>
    <x v="3"/>
    <x v="9"/>
    <x v="10"/>
    <x v="21"/>
    <x v="1"/>
    <x v="1"/>
    <x v="0"/>
    <x v="2"/>
    <x v="5"/>
    <x v="0"/>
    <x v="1"/>
    <x v="18"/>
    <x v="17"/>
    <x v="11"/>
    <x v="411"/>
    <x v="360"/>
    <x v="979"/>
    <x v="846"/>
    <x v="614"/>
    <x v="1"/>
    <x v="0"/>
    <x v="2"/>
  </r>
  <r>
    <x v="2134"/>
    <x v="581"/>
    <x v="1"/>
    <x v="3"/>
    <x v="9"/>
    <x v="10"/>
    <x v="21"/>
    <x v="1"/>
    <x v="1"/>
    <x v="1"/>
    <x v="2"/>
    <x v="5"/>
    <x v="4"/>
    <x v="9"/>
    <x v="24"/>
    <x v="11"/>
    <x v="9"/>
    <x v="386"/>
    <x v="354"/>
    <x v="309"/>
    <x v="799"/>
    <x v="632"/>
    <x v="1"/>
    <x v="1"/>
    <x v="2"/>
  </r>
  <r>
    <x v="2135"/>
    <x v="588"/>
    <x v="1"/>
    <x v="3"/>
    <x v="9"/>
    <x v="10"/>
    <x v="21"/>
    <x v="1"/>
    <x v="1"/>
    <x v="0"/>
    <x v="2"/>
    <x v="5"/>
    <x v="4"/>
    <x v="9"/>
    <x v="16"/>
    <x v="11"/>
    <x v="9"/>
    <x v="264"/>
    <x v="254"/>
    <x v="778"/>
    <x v="489"/>
    <x v="353"/>
    <x v="1"/>
    <x v="0"/>
    <x v="2"/>
  </r>
  <r>
    <x v="2136"/>
    <x v="568"/>
    <x v="1"/>
    <x v="3"/>
    <x v="9"/>
    <x v="10"/>
    <x v="21"/>
    <x v="1"/>
    <x v="1"/>
    <x v="1"/>
    <x v="1"/>
    <x v="3"/>
    <x v="7"/>
    <x v="15"/>
    <x v="26"/>
    <x v="20"/>
    <x v="13"/>
    <x v="559"/>
    <x v="515"/>
    <x v="550"/>
    <x v="1081"/>
    <x v="465"/>
    <x v="0"/>
    <x v="1"/>
    <x v="0"/>
  </r>
  <r>
    <x v="2137"/>
    <x v="575"/>
    <x v="1"/>
    <x v="3"/>
    <x v="9"/>
    <x v="10"/>
    <x v="21"/>
    <x v="1"/>
    <x v="1"/>
    <x v="0"/>
    <x v="1"/>
    <x v="3"/>
    <x v="7"/>
    <x v="15"/>
    <x v="22"/>
    <x v="20"/>
    <x v="13"/>
    <x v="505"/>
    <x v="474"/>
    <x v="1060"/>
    <x v="911"/>
    <x v="242"/>
    <x v="0"/>
    <x v="0"/>
    <x v="0"/>
  </r>
  <r>
    <x v="2138"/>
    <x v="582"/>
    <x v="1"/>
    <x v="3"/>
    <x v="9"/>
    <x v="10"/>
    <x v="21"/>
    <x v="1"/>
    <x v="1"/>
    <x v="1"/>
    <x v="1"/>
    <x v="3"/>
    <x v="6"/>
    <x v="13"/>
    <x v="28"/>
    <x v="5"/>
    <x v="3"/>
    <x v="158"/>
    <x v="135"/>
    <x v="97"/>
    <x v="413"/>
    <x v="1069"/>
    <x v="1"/>
    <x v="1"/>
    <x v="2"/>
  </r>
  <r>
    <x v="2139"/>
    <x v="589"/>
    <x v="1"/>
    <x v="3"/>
    <x v="9"/>
    <x v="10"/>
    <x v="21"/>
    <x v="1"/>
    <x v="1"/>
    <x v="0"/>
    <x v="1"/>
    <x v="3"/>
    <x v="6"/>
    <x v="13"/>
    <x v="17"/>
    <x v="5"/>
    <x v="3"/>
    <x v="66"/>
    <x v="60"/>
    <x v="393"/>
    <x v="148"/>
    <x v="736"/>
    <x v="1"/>
    <x v="0"/>
    <x v="2"/>
  </r>
  <r>
    <x v="2140"/>
    <x v="569"/>
    <x v="1"/>
    <x v="3"/>
    <x v="9"/>
    <x v="10"/>
    <x v="21"/>
    <x v="3"/>
    <x v="3"/>
    <x v="1"/>
    <x v="3"/>
    <x v="7"/>
    <x v="1"/>
    <x v="3"/>
    <x v="6"/>
    <x v="26"/>
    <x v="17"/>
    <x v="792"/>
    <x v="715"/>
    <x v="979"/>
    <x v="1468"/>
    <x v="258"/>
    <x v="0"/>
    <x v="1"/>
    <x v="0"/>
  </r>
  <r>
    <x v="2141"/>
    <x v="576"/>
    <x v="1"/>
    <x v="3"/>
    <x v="9"/>
    <x v="10"/>
    <x v="21"/>
    <x v="3"/>
    <x v="3"/>
    <x v="0"/>
    <x v="3"/>
    <x v="7"/>
    <x v="1"/>
    <x v="3"/>
    <x v="5"/>
    <x v="26"/>
    <x v="17"/>
    <x v="773"/>
    <x v="702"/>
    <x v="1260"/>
    <x v="1382"/>
    <x v="119"/>
    <x v="1"/>
    <x v="0"/>
    <x v="0"/>
  </r>
  <r>
    <x v="2142"/>
    <x v="583"/>
    <x v="1"/>
    <x v="3"/>
    <x v="9"/>
    <x v="10"/>
    <x v="21"/>
    <x v="3"/>
    <x v="3"/>
    <x v="1"/>
    <x v="3"/>
    <x v="7"/>
    <x v="2"/>
    <x v="5"/>
    <x v="6"/>
    <x v="23"/>
    <x v="15"/>
    <x v="555"/>
    <x v="520"/>
    <x v="540"/>
    <x v="1050"/>
    <x v="333"/>
    <x v="0"/>
    <x v="1"/>
    <x v="0"/>
  </r>
  <r>
    <x v="2143"/>
    <x v="590"/>
    <x v="1"/>
    <x v="3"/>
    <x v="9"/>
    <x v="10"/>
    <x v="21"/>
    <x v="3"/>
    <x v="3"/>
    <x v="0"/>
    <x v="3"/>
    <x v="7"/>
    <x v="2"/>
    <x v="5"/>
    <x v="4"/>
    <x v="23"/>
    <x v="15"/>
    <x v="454"/>
    <x v="442"/>
    <x v="1019"/>
    <x v="789"/>
    <x v="182"/>
    <x v="1"/>
    <x v="0"/>
    <x v="2"/>
  </r>
  <r>
    <x v="2144"/>
    <x v="570"/>
    <x v="1"/>
    <x v="3"/>
    <x v="9"/>
    <x v="10"/>
    <x v="21"/>
    <x v="3"/>
    <x v="3"/>
    <x v="1"/>
    <x v="3"/>
    <x v="7"/>
    <x v="5"/>
    <x v="11"/>
    <x v="6"/>
    <x v="29"/>
    <x v="19"/>
    <x v="821"/>
    <x v="741"/>
    <x v="1074"/>
    <x v="1505"/>
    <x v="81"/>
    <x v="1"/>
    <x v="1"/>
    <x v="0"/>
  </r>
  <r>
    <x v="2145"/>
    <x v="577"/>
    <x v="1"/>
    <x v="3"/>
    <x v="9"/>
    <x v="10"/>
    <x v="21"/>
    <x v="3"/>
    <x v="3"/>
    <x v="0"/>
    <x v="3"/>
    <x v="7"/>
    <x v="5"/>
    <x v="11"/>
    <x v="4"/>
    <x v="29"/>
    <x v="19"/>
    <x v="795"/>
    <x v="726"/>
    <x v="1282"/>
    <x v="1360"/>
    <x v="22"/>
    <x v="2"/>
    <x v="0"/>
    <x v="0"/>
  </r>
  <r>
    <x v="2146"/>
    <x v="584"/>
    <x v="1"/>
    <x v="3"/>
    <x v="9"/>
    <x v="10"/>
    <x v="21"/>
    <x v="3"/>
    <x v="3"/>
    <x v="1"/>
    <x v="0"/>
    <x v="1"/>
    <x v="3"/>
    <x v="7"/>
    <x v="33"/>
    <x v="2"/>
    <x v="1"/>
    <x v="141"/>
    <x v="110"/>
    <x v="84"/>
    <x v="411"/>
    <x v="1214"/>
    <x v="1"/>
    <x v="1"/>
    <x v="2"/>
  </r>
  <r>
    <x v="2147"/>
    <x v="591"/>
    <x v="1"/>
    <x v="3"/>
    <x v="9"/>
    <x v="10"/>
    <x v="21"/>
    <x v="3"/>
    <x v="3"/>
    <x v="0"/>
    <x v="0"/>
    <x v="1"/>
    <x v="3"/>
    <x v="7"/>
    <x v="29"/>
    <x v="2"/>
    <x v="1"/>
    <x v="113"/>
    <x v="86"/>
    <x v="526"/>
    <x v="286"/>
    <x v="995"/>
    <x v="1"/>
    <x v="0"/>
    <x v="2"/>
  </r>
  <r>
    <x v="2148"/>
    <x v="571"/>
    <x v="1"/>
    <x v="3"/>
    <x v="9"/>
    <x v="10"/>
    <x v="21"/>
    <x v="3"/>
    <x v="3"/>
    <x v="1"/>
    <x v="0"/>
    <x v="1"/>
    <x v="8"/>
    <x v="17"/>
    <x v="42"/>
    <x v="14"/>
    <x v="8"/>
    <x v="603"/>
    <x v="512"/>
    <x v="615"/>
    <x v="1254"/>
    <x v="1130"/>
    <x v="0"/>
    <x v="1"/>
    <x v="0"/>
  </r>
  <r>
    <x v="2149"/>
    <x v="578"/>
    <x v="1"/>
    <x v="3"/>
    <x v="9"/>
    <x v="10"/>
    <x v="21"/>
    <x v="3"/>
    <x v="3"/>
    <x v="0"/>
    <x v="0"/>
    <x v="1"/>
    <x v="8"/>
    <x v="17"/>
    <x v="24"/>
    <x v="14"/>
    <x v="8"/>
    <x v="419"/>
    <x v="353"/>
    <x v="991"/>
    <x v="905"/>
    <x v="802"/>
    <x v="1"/>
    <x v="0"/>
    <x v="2"/>
  </r>
  <r>
    <x v="2150"/>
    <x v="585"/>
    <x v="1"/>
    <x v="3"/>
    <x v="9"/>
    <x v="10"/>
    <x v="21"/>
    <x v="3"/>
    <x v="3"/>
    <x v="1"/>
    <x v="0"/>
    <x v="1"/>
    <x v="9"/>
    <x v="19"/>
    <x v="36"/>
    <x v="8"/>
    <x v="5"/>
    <x v="419"/>
    <x v="382"/>
    <x v="361"/>
    <x v="900"/>
    <x v="766"/>
    <x v="1"/>
    <x v="1"/>
    <x v="2"/>
  </r>
  <r>
    <x v="2151"/>
    <x v="592"/>
    <x v="1"/>
    <x v="3"/>
    <x v="9"/>
    <x v="10"/>
    <x v="21"/>
    <x v="3"/>
    <x v="3"/>
    <x v="0"/>
    <x v="0"/>
    <x v="1"/>
    <x v="9"/>
    <x v="19"/>
    <x v="31"/>
    <x v="8"/>
    <x v="5"/>
    <x v="372"/>
    <x v="336"/>
    <x v="926"/>
    <x v="746"/>
    <x v="480"/>
    <x v="1"/>
    <x v="0"/>
    <x v="2"/>
  </r>
  <r>
    <x v="2152"/>
    <x v="572"/>
    <x v="1"/>
    <x v="3"/>
    <x v="9"/>
    <x v="10"/>
    <x v="21"/>
    <x v="3"/>
    <x v="3"/>
    <x v="1"/>
    <x v="2"/>
    <x v="5"/>
    <x v="0"/>
    <x v="1"/>
    <x v="17"/>
    <x v="17"/>
    <x v="11"/>
    <x v="397"/>
    <x v="345"/>
    <x v="322"/>
    <x v="872"/>
    <x v="935"/>
    <x v="1"/>
    <x v="1"/>
    <x v="2"/>
  </r>
  <r>
    <x v="2153"/>
    <x v="579"/>
    <x v="1"/>
    <x v="3"/>
    <x v="9"/>
    <x v="10"/>
    <x v="21"/>
    <x v="3"/>
    <x v="3"/>
    <x v="0"/>
    <x v="2"/>
    <x v="5"/>
    <x v="0"/>
    <x v="1"/>
    <x v="13"/>
    <x v="17"/>
    <x v="11"/>
    <x v="325"/>
    <x v="276"/>
    <x v="847"/>
    <x v="651"/>
    <x v="610"/>
    <x v="1"/>
    <x v="0"/>
    <x v="2"/>
  </r>
  <r>
    <x v="2154"/>
    <x v="586"/>
    <x v="1"/>
    <x v="3"/>
    <x v="9"/>
    <x v="10"/>
    <x v="21"/>
    <x v="3"/>
    <x v="3"/>
    <x v="1"/>
    <x v="2"/>
    <x v="5"/>
    <x v="4"/>
    <x v="9"/>
    <x v="14"/>
    <x v="11"/>
    <x v="9"/>
    <x v="228"/>
    <x v="221"/>
    <x v="153"/>
    <x v="482"/>
    <x v="628"/>
    <x v="1"/>
    <x v="1"/>
    <x v="2"/>
  </r>
  <r>
    <x v="2155"/>
    <x v="593"/>
    <x v="1"/>
    <x v="3"/>
    <x v="9"/>
    <x v="10"/>
    <x v="21"/>
    <x v="3"/>
    <x v="3"/>
    <x v="0"/>
    <x v="2"/>
    <x v="5"/>
    <x v="4"/>
    <x v="9"/>
    <x v="12"/>
    <x v="11"/>
    <x v="9"/>
    <x v="191"/>
    <x v="186"/>
    <x v="669"/>
    <x v="341"/>
    <x v="352"/>
    <x v="1"/>
    <x v="0"/>
    <x v="2"/>
  </r>
  <r>
    <x v="2156"/>
    <x v="573"/>
    <x v="1"/>
    <x v="3"/>
    <x v="9"/>
    <x v="10"/>
    <x v="21"/>
    <x v="3"/>
    <x v="3"/>
    <x v="1"/>
    <x v="1"/>
    <x v="3"/>
    <x v="7"/>
    <x v="15"/>
    <x v="22"/>
    <x v="20"/>
    <x v="13"/>
    <x v="505"/>
    <x v="474"/>
    <x v="470"/>
    <x v="983"/>
    <x v="467"/>
    <x v="0"/>
    <x v="1"/>
    <x v="0"/>
  </r>
  <r>
    <x v="2157"/>
    <x v="580"/>
    <x v="1"/>
    <x v="3"/>
    <x v="9"/>
    <x v="10"/>
    <x v="21"/>
    <x v="3"/>
    <x v="3"/>
    <x v="0"/>
    <x v="1"/>
    <x v="3"/>
    <x v="7"/>
    <x v="15"/>
    <x v="16"/>
    <x v="20"/>
    <x v="13"/>
    <x v="405"/>
    <x v="386"/>
    <x v="966"/>
    <x v="728"/>
    <x v="242"/>
    <x v="1"/>
    <x v="0"/>
    <x v="2"/>
  </r>
  <r>
    <x v="2158"/>
    <x v="587"/>
    <x v="1"/>
    <x v="3"/>
    <x v="9"/>
    <x v="10"/>
    <x v="21"/>
    <x v="3"/>
    <x v="3"/>
    <x v="1"/>
    <x v="1"/>
    <x v="3"/>
    <x v="6"/>
    <x v="13"/>
    <x v="23"/>
    <x v="5"/>
    <x v="3"/>
    <x v="115"/>
    <x v="100"/>
    <x v="64"/>
    <x v="299"/>
    <x v="1066"/>
    <x v="1"/>
    <x v="1"/>
    <x v="2"/>
  </r>
  <r>
    <x v="2159"/>
    <x v="567"/>
    <x v="1"/>
    <x v="3"/>
    <x v="9"/>
    <x v="10"/>
    <x v="21"/>
    <x v="3"/>
    <x v="3"/>
    <x v="0"/>
    <x v="1"/>
    <x v="3"/>
    <x v="6"/>
    <x v="13"/>
    <x v="16"/>
    <x v="5"/>
    <x v="3"/>
    <x v="58"/>
    <x v="53"/>
    <x v="371"/>
    <x v="128"/>
    <x v="741"/>
    <x v="1"/>
    <x v="0"/>
    <x v="2"/>
  </r>
  <r>
    <x v="2160"/>
    <x v="574"/>
    <x v="1"/>
    <x v="3"/>
    <x v="9"/>
    <x v="10"/>
    <x v="21"/>
    <x v="2"/>
    <x v="2"/>
    <x v="1"/>
    <x v="3"/>
    <x v="7"/>
    <x v="1"/>
    <x v="3"/>
    <x v="5"/>
    <x v="26"/>
    <x v="17"/>
    <x v="773"/>
    <x v="702"/>
    <x v="917"/>
    <x v="1429"/>
    <x v="256"/>
    <x v="0"/>
    <x v="1"/>
    <x v="0"/>
  </r>
  <r>
    <x v="2161"/>
    <x v="581"/>
    <x v="1"/>
    <x v="3"/>
    <x v="9"/>
    <x v="10"/>
    <x v="21"/>
    <x v="2"/>
    <x v="2"/>
    <x v="0"/>
    <x v="3"/>
    <x v="7"/>
    <x v="1"/>
    <x v="3"/>
    <x v="2"/>
    <x v="26"/>
    <x v="17"/>
    <x v="641"/>
    <x v="600"/>
    <x v="1164"/>
    <x v="1127"/>
    <x v="118"/>
    <x v="1"/>
    <x v="0"/>
    <x v="0"/>
  </r>
  <r>
    <x v="2162"/>
    <x v="588"/>
    <x v="1"/>
    <x v="3"/>
    <x v="9"/>
    <x v="10"/>
    <x v="21"/>
    <x v="2"/>
    <x v="2"/>
    <x v="1"/>
    <x v="3"/>
    <x v="7"/>
    <x v="2"/>
    <x v="5"/>
    <x v="4"/>
    <x v="23"/>
    <x v="15"/>
    <x v="454"/>
    <x v="442"/>
    <x v="398"/>
    <x v="860"/>
    <x v="334"/>
    <x v="1"/>
    <x v="1"/>
    <x v="2"/>
  </r>
  <r>
    <x v="2163"/>
    <x v="568"/>
    <x v="1"/>
    <x v="3"/>
    <x v="9"/>
    <x v="10"/>
    <x v="21"/>
    <x v="2"/>
    <x v="2"/>
    <x v="0"/>
    <x v="3"/>
    <x v="7"/>
    <x v="2"/>
    <x v="5"/>
    <x v="2"/>
    <x v="23"/>
    <x v="15"/>
    <x v="326"/>
    <x v="313"/>
    <x v="847"/>
    <x v="528"/>
    <x v="184"/>
    <x v="1"/>
    <x v="0"/>
    <x v="2"/>
  </r>
  <r>
    <x v="2164"/>
    <x v="575"/>
    <x v="1"/>
    <x v="3"/>
    <x v="9"/>
    <x v="10"/>
    <x v="21"/>
    <x v="2"/>
    <x v="2"/>
    <x v="1"/>
    <x v="3"/>
    <x v="7"/>
    <x v="5"/>
    <x v="11"/>
    <x v="4"/>
    <x v="29"/>
    <x v="19"/>
    <x v="795"/>
    <x v="726"/>
    <x v="992"/>
    <x v="1414"/>
    <x v="81"/>
    <x v="1"/>
    <x v="1"/>
    <x v="0"/>
  </r>
  <r>
    <x v="2165"/>
    <x v="582"/>
    <x v="1"/>
    <x v="3"/>
    <x v="9"/>
    <x v="10"/>
    <x v="21"/>
    <x v="2"/>
    <x v="2"/>
    <x v="0"/>
    <x v="3"/>
    <x v="7"/>
    <x v="5"/>
    <x v="11"/>
    <x v="3"/>
    <x v="29"/>
    <x v="19"/>
    <x v="770"/>
    <x v="709"/>
    <x v="1258"/>
    <x v="1275"/>
    <x v="15"/>
    <x v="2"/>
    <x v="0"/>
    <x v="0"/>
  </r>
  <r>
    <x v="2166"/>
    <x v="589"/>
    <x v="1"/>
    <x v="3"/>
    <x v="9"/>
    <x v="10"/>
    <x v="21"/>
    <x v="2"/>
    <x v="2"/>
    <x v="1"/>
    <x v="0"/>
    <x v="1"/>
    <x v="3"/>
    <x v="7"/>
    <x v="34"/>
    <x v="2"/>
    <x v="1"/>
    <x v="147"/>
    <x v="114"/>
    <x v="89"/>
    <x v="427"/>
    <x v="1203"/>
    <x v="1"/>
    <x v="1"/>
    <x v="2"/>
  </r>
  <r>
    <x v="2167"/>
    <x v="569"/>
    <x v="1"/>
    <x v="3"/>
    <x v="9"/>
    <x v="10"/>
    <x v="21"/>
    <x v="2"/>
    <x v="2"/>
    <x v="0"/>
    <x v="0"/>
    <x v="1"/>
    <x v="3"/>
    <x v="7"/>
    <x v="16"/>
    <x v="2"/>
    <x v="1"/>
    <x v="36"/>
    <x v="30"/>
    <x v="269"/>
    <x v="91"/>
    <x v="993"/>
    <x v="1"/>
    <x v="0"/>
    <x v="2"/>
  </r>
  <r>
    <x v="2168"/>
    <x v="576"/>
    <x v="1"/>
    <x v="3"/>
    <x v="9"/>
    <x v="10"/>
    <x v="21"/>
    <x v="2"/>
    <x v="2"/>
    <x v="1"/>
    <x v="0"/>
    <x v="1"/>
    <x v="8"/>
    <x v="17"/>
    <x v="32"/>
    <x v="14"/>
    <x v="8"/>
    <x v="518"/>
    <x v="439"/>
    <x v="488"/>
    <x v="1139"/>
    <x v="1130"/>
    <x v="0"/>
    <x v="1"/>
    <x v="0"/>
  </r>
  <r>
    <x v="2169"/>
    <x v="583"/>
    <x v="1"/>
    <x v="3"/>
    <x v="9"/>
    <x v="10"/>
    <x v="21"/>
    <x v="2"/>
    <x v="2"/>
    <x v="0"/>
    <x v="0"/>
    <x v="1"/>
    <x v="8"/>
    <x v="17"/>
    <x v="16"/>
    <x v="14"/>
    <x v="8"/>
    <x v="307"/>
    <x v="252"/>
    <x v="832"/>
    <x v="665"/>
    <x v="791"/>
    <x v="1"/>
    <x v="0"/>
    <x v="2"/>
  </r>
  <r>
    <x v="2170"/>
    <x v="590"/>
    <x v="1"/>
    <x v="3"/>
    <x v="9"/>
    <x v="10"/>
    <x v="21"/>
    <x v="2"/>
    <x v="2"/>
    <x v="1"/>
    <x v="0"/>
    <x v="1"/>
    <x v="9"/>
    <x v="19"/>
    <x v="34"/>
    <x v="8"/>
    <x v="5"/>
    <x v="406"/>
    <x v="362"/>
    <x v="333"/>
    <x v="866"/>
    <x v="774"/>
    <x v="1"/>
    <x v="1"/>
    <x v="2"/>
  </r>
  <r>
    <x v="2171"/>
    <x v="570"/>
    <x v="1"/>
    <x v="3"/>
    <x v="9"/>
    <x v="10"/>
    <x v="21"/>
    <x v="2"/>
    <x v="2"/>
    <x v="0"/>
    <x v="0"/>
    <x v="1"/>
    <x v="9"/>
    <x v="19"/>
    <x v="20"/>
    <x v="8"/>
    <x v="5"/>
    <x v="247"/>
    <x v="223"/>
    <x v="746"/>
    <x v="485"/>
    <x v="480"/>
    <x v="1"/>
    <x v="0"/>
    <x v="2"/>
  </r>
  <r>
    <x v="2172"/>
    <x v="577"/>
    <x v="1"/>
    <x v="3"/>
    <x v="9"/>
    <x v="10"/>
    <x v="21"/>
    <x v="2"/>
    <x v="2"/>
    <x v="1"/>
    <x v="2"/>
    <x v="5"/>
    <x v="0"/>
    <x v="1"/>
    <x v="12"/>
    <x v="17"/>
    <x v="11"/>
    <x v="297"/>
    <x v="260"/>
    <x v="207"/>
    <x v="677"/>
    <x v="934"/>
    <x v="1"/>
    <x v="1"/>
    <x v="2"/>
  </r>
  <r>
    <x v="2173"/>
    <x v="584"/>
    <x v="1"/>
    <x v="3"/>
    <x v="9"/>
    <x v="10"/>
    <x v="21"/>
    <x v="2"/>
    <x v="2"/>
    <x v="0"/>
    <x v="2"/>
    <x v="5"/>
    <x v="0"/>
    <x v="1"/>
    <x v="7"/>
    <x v="17"/>
    <x v="11"/>
    <x v="166"/>
    <x v="149"/>
    <x v="630"/>
    <x v="336"/>
    <x v="616"/>
    <x v="1"/>
    <x v="0"/>
    <x v="2"/>
  </r>
  <r>
    <x v="2174"/>
    <x v="591"/>
    <x v="1"/>
    <x v="3"/>
    <x v="9"/>
    <x v="10"/>
    <x v="21"/>
    <x v="2"/>
    <x v="2"/>
    <x v="1"/>
    <x v="2"/>
    <x v="5"/>
    <x v="4"/>
    <x v="9"/>
    <x v="13"/>
    <x v="11"/>
    <x v="9"/>
    <x v="209"/>
    <x v="202"/>
    <x v="140"/>
    <x v="444"/>
    <x v="629"/>
    <x v="1"/>
    <x v="1"/>
    <x v="2"/>
  </r>
  <r>
    <x v="2175"/>
    <x v="571"/>
    <x v="1"/>
    <x v="3"/>
    <x v="9"/>
    <x v="10"/>
    <x v="21"/>
    <x v="2"/>
    <x v="2"/>
    <x v="0"/>
    <x v="2"/>
    <x v="5"/>
    <x v="4"/>
    <x v="9"/>
    <x v="7"/>
    <x v="11"/>
    <x v="9"/>
    <x v="91"/>
    <x v="94"/>
    <x v="458"/>
    <x v="147"/>
    <x v="353"/>
    <x v="1"/>
    <x v="0"/>
    <x v="2"/>
  </r>
  <r>
    <x v="2176"/>
    <x v="578"/>
    <x v="1"/>
    <x v="3"/>
    <x v="9"/>
    <x v="10"/>
    <x v="21"/>
    <x v="2"/>
    <x v="2"/>
    <x v="1"/>
    <x v="1"/>
    <x v="3"/>
    <x v="7"/>
    <x v="15"/>
    <x v="16"/>
    <x v="20"/>
    <x v="13"/>
    <x v="405"/>
    <x v="386"/>
    <x v="333"/>
    <x v="804"/>
    <x v="467"/>
    <x v="1"/>
    <x v="1"/>
    <x v="2"/>
  </r>
  <r>
    <x v="2177"/>
    <x v="585"/>
    <x v="1"/>
    <x v="3"/>
    <x v="9"/>
    <x v="10"/>
    <x v="21"/>
    <x v="2"/>
    <x v="2"/>
    <x v="0"/>
    <x v="1"/>
    <x v="3"/>
    <x v="7"/>
    <x v="15"/>
    <x v="11"/>
    <x v="20"/>
    <x v="13"/>
    <x v="301"/>
    <x v="288"/>
    <x v="826"/>
    <x v="524"/>
    <x v="248"/>
    <x v="1"/>
    <x v="0"/>
    <x v="2"/>
  </r>
  <r>
    <x v="2178"/>
    <x v="592"/>
    <x v="1"/>
    <x v="3"/>
    <x v="9"/>
    <x v="10"/>
    <x v="21"/>
    <x v="2"/>
    <x v="2"/>
    <x v="1"/>
    <x v="1"/>
    <x v="3"/>
    <x v="6"/>
    <x v="13"/>
    <x v="17"/>
    <x v="5"/>
    <x v="3"/>
    <x v="66"/>
    <x v="60"/>
    <x v="29"/>
    <x v="183"/>
    <x v="1064"/>
    <x v="1"/>
    <x v="1"/>
    <x v="2"/>
  </r>
  <r>
    <x v="2179"/>
    <x v="572"/>
    <x v="1"/>
    <x v="3"/>
    <x v="9"/>
    <x v="10"/>
    <x v="21"/>
    <x v="2"/>
    <x v="2"/>
    <x v="0"/>
    <x v="1"/>
    <x v="3"/>
    <x v="6"/>
    <x v="13"/>
    <x v="10"/>
    <x v="5"/>
    <x v="3"/>
    <x v="21"/>
    <x v="22"/>
    <x v="207"/>
    <x v="47"/>
    <x v="735"/>
    <x v="1"/>
    <x v="0"/>
    <x v="2"/>
  </r>
  <r>
    <x v="2180"/>
    <x v="579"/>
    <x v="1"/>
    <x v="3"/>
    <x v="9"/>
    <x v="10"/>
    <x v="21"/>
    <x v="4"/>
    <x v="4"/>
    <x v="1"/>
    <x v="3"/>
    <x v="7"/>
    <x v="1"/>
    <x v="3"/>
    <x v="5"/>
    <x v="26"/>
    <x v="17"/>
    <x v="773"/>
    <x v="702"/>
    <x v="917"/>
    <x v="1429"/>
    <x v="256"/>
    <x v="0"/>
    <x v="1"/>
    <x v="0"/>
  </r>
  <r>
    <x v="2181"/>
    <x v="586"/>
    <x v="1"/>
    <x v="3"/>
    <x v="9"/>
    <x v="10"/>
    <x v="21"/>
    <x v="4"/>
    <x v="4"/>
    <x v="0"/>
    <x v="3"/>
    <x v="7"/>
    <x v="1"/>
    <x v="3"/>
    <x v="3"/>
    <x v="26"/>
    <x v="17"/>
    <x v="701"/>
    <x v="653"/>
    <x v="1205"/>
    <x v="1236"/>
    <x v="124"/>
    <x v="1"/>
    <x v="0"/>
    <x v="0"/>
  </r>
  <r>
    <x v="2182"/>
    <x v="593"/>
    <x v="1"/>
    <x v="3"/>
    <x v="9"/>
    <x v="10"/>
    <x v="21"/>
    <x v="4"/>
    <x v="4"/>
    <x v="1"/>
    <x v="3"/>
    <x v="7"/>
    <x v="2"/>
    <x v="5"/>
    <x v="6"/>
    <x v="23"/>
    <x v="15"/>
    <x v="555"/>
    <x v="520"/>
    <x v="540"/>
    <x v="1050"/>
    <x v="333"/>
    <x v="0"/>
    <x v="1"/>
    <x v="0"/>
  </r>
  <r>
    <x v="2183"/>
    <x v="573"/>
    <x v="1"/>
    <x v="3"/>
    <x v="9"/>
    <x v="10"/>
    <x v="21"/>
    <x v="4"/>
    <x v="4"/>
    <x v="0"/>
    <x v="3"/>
    <x v="7"/>
    <x v="2"/>
    <x v="5"/>
    <x v="3"/>
    <x v="23"/>
    <x v="15"/>
    <x v="390"/>
    <x v="385"/>
    <x v="948"/>
    <x v="666"/>
    <x v="186"/>
    <x v="1"/>
    <x v="0"/>
    <x v="2"/>
  </r>
  <r>
    <x v="2184"/>
    <x v="580"/>
    <x v="1"/>
    <x v="3"/>
    <x v="9"/>
    <x v="10"/>
    <x v="21"/>
    <x v="4"/>
    <x v="4"/>
    <x v="1"/>
    <x v="3"/>
    <x v="7"/>
    <x v="5"/>
    <x v="11"/>
    <x v="5"/>
    <x v="29"/>
    <x v="19"/>
    <x v="810"/>
    <x v="732"/>
    <x v="1040"/>
    <x v="1463"/>
    <x v="87"/>
    <x v="1"/>
    <x v="1"/>
    <x v="0"/>
  </r>
  <r>
    <x v="2185"/>
    <x v="587"/>
    <x v="1"/>
    <x v="3"/>
    <x v="9"/>
    <x v="10"/>
    <x v="21"/>
    <x v="4"/>
    <x v="4"/>
    <x v="0"/>
    <x v="3"/>
    <x v="7"/>
    <x v="5"/>
    <x v="11"/>
    <x v="2"/>
    <x v="29"/>
    <x v="19"/>
    <x v="726"/>
    <x v="681"/>
    <x v="1221"/>
    <x v="1180"/>
    <x v="15"/>
    <x v="2"/>
    <x v="0"/>
    <x v="0"/>
  </r>
  <r>
    <x v="2186"/>
    <x v="567"/>
    <x v="1"/>
    <x v="3"/>
    <x v="9"/>
    <x v="10"/>
    <x v="21"/>
    <x v="4"/>
    <x v="4"/>
    <x v="1"/>
    <x v="0"/>
    <x v="1"/>
    <x v="3"/>
    <x v="7"/>
    <x v="34"/>
    <x v="2"/>
    <x v="1"/>
    <x v="147"/>
    <x v="114"/>
    <x v="89"/>
    <x v="427"/>
    <x v="1203"/>
    <x v="1"/>
    <x v="1"/>
    <x v="2"/>
  </r>
  <r>
    <x v="2187"/>
    <x v="574"/>
    <x v="1"/>
    <x v="3"/>
    <x v="9"/>
    <x v="10"/>
    <x v="21"/>
    <x v="4"/>
    <x v="4"/>
    <x v="0"/>
    <x v="0"/>
    <x v="1"/>
    <x v="3"/>
    <x v="7"/>
    <x v="17"/>
    <x v="2"/>
    <x v="1"/>
    <x v="41"/>
    <x v="35"/>
    <x v="294"/>
    <x v="105"/>
    <x v="996"/>
    <x v="1"/>
    <x v="0"/>
    <x v="2"/>
  </r>
  <r>
    <x v="2188"/>
    <x v="581"/>
    <x v="1"/>
    <x v="3"/>
    <x v="9"/>
    <x v="10"/>
    <x v="21"/>
    <x v="4"/>
    <x v="4"/>
    <x v="1"/>
    <x v="0"/>
    <x v="1"/>
    <x v="8"/>
    <x v="17"/>
    <x v="29"/>
    <x v="14"/>
    <x v="8"/>
    <x v="486"/>
    <x v="412"/>
    <x v="441"/>
    <x v="1072"/>
    <x v="1130"/>
    <x v="1"/>
    <x v="1"/>
    <x v="2"/>
  </r>
  <r>
    <x v="2189"/>
    <x v="588"/>
    <x v="1"/>
    <x v="3"/>
    <x v="9"/>
    <x v="10"/>
    <x v="21"/>
    <x v="4"/>
    <x v="4"/>
    <x v="0"/>
    <x v="0"/>
    <x v="1"/>
    <x v="8"/>
    <x v="17"/>
    <x v="22"/>
    <x v="14"/>
    <x v="8"/>
    <x v="398"/>
    <x v="331"/>
    <x v="954"/>
    <x v="854"/>
    <x v="803"/>
    <x v="1"/>
    <x v="0"/>
    <x v="2"/>
  </r>
  <r>
    <x v="2190"/>
    <x v="568"/>
    <x v="1"/>
    <x v="3"/>
    <x v="9"/>
    <x v="10"/>
    <x v="21"/>
    <x v="4"/>
    <x v="4"/>
    <x v="1"/>
    <x v="0"/>
    <x v="1"/>
    <x v="9"/>
    <x v="19"/>
    <x v="25"/>
    <x v="8"/>
    <x v="5"/>
    <x v="315"/>
    <x v="277"/>
    <x v="222"/>
    <x v="682"/>
    <x v="761"/>
    <x v="1"/>
    <x v="1"/>
    <x v="2"/>
  </r>
  <r>
    <x v="2191"/>
    <x v="575"/>
    <x v="1"/>
    <x v="3"/>
    <x v="9"/>
    <x v="10"/>
    <x v="21"/>
    <x v="4"/>
    <x v="4"/>
    <x v="0"/>
    <x v="0"/>
    <x v="1"/>
    <x v="9"/>
    <x v="19"/>
    <x v="20"/>
    <x v="8"/>
    <x v="5"/>
    <x v="247"/>
    <x v="223"/>
    <x v="746"/>
    <x v="485"/>
    <x v="480"/>
    <x v="1"/>
    <x v="0"/>
    <x v="2"/>
  </r>
  <r>
    <x v="2192"/>
    <x v="582"/>
    <x v="1"/>
    <x v="3"/>
    <x v="9"/>
    <x v="10"/>
    <x v="21"/>
    <x v="4"/>
    <x v="4"/>
    <x v="1"/>
    <x v="2"/>
    <x v="5"/>
    <x v="0"/>
    <x v="1"/>
    <x v="11"/>
    <x v="17"/>
    <x v="11"/>
    <x v="270"/>
    <x v="240"/>
    <x v="193"/>
    <x v="618"/>
    <x v="938"/>
    <x v="1"/>
    <x v="1"/>
    <x v="2"/>
  </r>
  <r>
    <x v="2193"/>
    <x v="589"/>
    <x v="1"/>
    <x v="3"/>
    <x v="9"/>
    <x v="10"/>
    <x v="21"/>
    <x v="4"/>
    <x v="4"/>
    <x v="0"/>
    <x v="2"/>
    <x v="5"/>
    <x v="0"/>
    <x v="1"/>
    <x v="7"/>
    <x v="17"/>
    <x v="11"/>
    <x v="166"/>
    <x v="149"/>
    <x v="630"/>
    <x v="336"/>
    <x v="616"/>
    <x v="1"/>
    <x v="0"/>
    <x v="2"/>
  </r>
  <r>
    <x v="2194"/>
    <x v="569"/>
    <x v="1"/>
    <x v="3"/>
    <x v="9"/>
    <x v="10"/>
    <x v="21"/>
    <x v="4"/>
    <x v="4"/>
    <x v="1"/>
    <x v="2"/>
    <x v="5"/>
    <x v="4"/>
    <x v="9"/>
    <x v="14"/>
    <x v="11"/>
    <x v="9"/>
    <x v="228"/>
    <x v="221"/>
    <x v="153"/>
    <x v="482"/>
    <x v="628"/>
    <x v="1"/>
    <x v="1"/>
    <x v="2"/>
  </r>
  <r>
    <x v="2195"/>
    <x v="576"/>
    <x v="1"/>
    <x v="3"/>
    <x v="9"/>
    <x v="10"/>
    <x v="21"/>
    <x v="4"/>
    <x v="4"/>
    <x v="0"/>
    <x v="2"/>
    <x v="5"/>
    <x v="4"/>
    <x v="9"/>
    <x v="9"/>
    <x v="11"/>
    <x v="9"/>
    <x v="128"/>
    <x v="131"/>
    <x v="565"/>
    <x v="226"/>
    <x v="359"/>
    <x v="1"/>
    <x v="0"/>
    <x v="2"/>
  </r>
  <r>
    <x v="2196"/>
    <x v="583"/>
    <x v="1"/>
    <x v="3"/>
    <x v="9"/>
    <x v="10"/>
    <x v="21"/>
    <x v="4"/>
    <x v="4"/>
    <x v="1"/>
    <x v="1"/>
    <x v="3"/>
    <x v="7"/>
    <x v="15"/>
    <x v="15"/>
    <x v="20"/>
    <x v="13"/>
    <x v="385"/>
    <x v="365"/>
    <x v="309"/>
    <x v="766"/>
    <x v="477"/>
    <x v="1"/>
    <x v="1"/>
    <x v="2"/>
  </r>
  <r>
    <x v="2197"/>
    <x v="590"/>
    <x v="1"/>
    <x v="3"/>
    <x v="9"/>
    <x v="10"/>
    <x v="21"/>
    <x v="4"/>
    <x v="4"/>
    <x v="0"/>
    <x v="1"/>
    <x v="3"/>
    <x v="7"/>
    <x v="15"/>
    <x v="10"/>
    <x v="20"/>
    <x v="13"/>
    <x v="271"/>
    <x v="267"/>
    <x v="796"/>
    <x v="473"/>
    <x v="242"/>
    <x v="1"/>
    <x v="0"/>
    <x v="2"/>
  </r>
  <r>
    <x v="2198"/>
    <x v="570"/>
    <x v="1"/>
    <x v="3"/>
    <x v="9"/>
    <x v="10"/>
    <x v="21"/>
    <x v="4"/>
    <x v="4"/>
    <x v="1"/>
    <x v="1"/>
    <x v="3"/>
    <x v="6"/>
    <x v="13"/>
    <x v="14"/>
    <x v="5"/>
    <x v="3"/>
    <x v="45"/>
    <x v="43"/>
    <x v="13"/>
    <x v="124"/>
    <x v="1062"/>
    <x v="1"/>
    <x v="1"/>
    <x v="2"/>
  </r>
  <r>
    <x v="2199"/>
    <x v="577"/>
    <x v="1"/>
    <x v="3"/>
    <x v="9"/>
    <x v="10"/>
    <x v="21"/>
    <x v="4"/>
    <x v="4"/>
    <x v="0"/>
    <x v="1"/>
    <x v="3"/>
    <x v="6"/>
    <x v="13"/>
    <x v="12"/>
    <x v="5"/>
    <x v="3"/>
    <x v="32"/>
    <x v="34"/>
    <x v="258"/>
    <x v="72"/>
    <x v="744"/>
    <x v="1"/>
    <x v="0"/>
    <x v="2"/>
  </r>
  <r>
    <x v="2200"/>
    <x v="611"/>
    <x v="1"/>
    <x v="3"/>
    <x v="10"/>
    <x v="9"/>
    <x v="22"/>
    <x v="0"/>
    <x v="0"/>
    <x v="1"/>
    <x v="3"/>
    <x v="7"/>
    <x v="1"/>
    <x v="3"/>
    <x v="26"/>
    <x v="26"/>
    <x v="17"/>
    <x v="879"/>
    <x v="780"/>
    <x v="1260"/>
    <x v="1617"/>
    <x v="251"/>
    <x v="0"/>
    <x v="1"/>
    <x v="0"/>
  </r>
  <r>
    <x v="2201"/>
    <x v="618"/>
    <x v="1"/>
    <x v="3"/>
    <x v="10"/>
    <x v="9"/>
    <x v="22"/>
    <x v="0"/>
    <x v="0"/>
    <x v="0"/>
    <x v="3"/>
    <x v="7"/>
    <x v="1"/>
    <x v="3"/>
    <x v="18"/>
    <x v="26"/>
    <x v="17"/>
    <x v="861"/>
    <x v="765"/>
    <x v="1327"/>
    <x v="1587"/>
    <x v="121"/>
    <x v="1"/>
    <x v="0"/>
    <x v="0"/>
  </r>
  <r>
    <x v="2202"/>
    <x v="598"/>
    <x v="1"/>
    <x v="3"/>
    <x v="10"/>
    <x v="9"/>
    <x v="22"/>
    <x v="0"/>
    <x v="0"/>
    <x v="1"/>
    <x v="3"/>
    <x v="7"/>
    <x v="2"/>
    <x v="5"/>
    <x v="26"/>
    <x v="23"/>
    <x v="15"/>
    <x v="815"/>
    <x v="730"/>
    <x v="1062"/>
    <x v="1537"/>
    <x v="336"/>
    <x v="0"/>
    <x v="1"/>
    <x v="0"/>
  </r>
  <r>
    <x v="2203"/>
    <x v="605"/>
    <x v="1"/>
    <x v="3"/>
    <x v="10"/>
    <x v="9"/>
    <x v="22"/>
    <x v="0"/>
    <x v="0"/>
    <x v="0"/>
    <x v="3"/>
    <x v="7"/>
    <x v="2"/>
    <x v="5"/>
    <x v="18"/>
    <x v="23"/>
    <x v="15"/>
    <x v="784"/>
    <x v="706"/>
    <x v="1267"/>
    <x v="1428"/>
    <x v="184"/>
    <x v="1"/>
    <x v="0"/>
    <x v="0"/>
  </r>
  <r>
    <x v="2204"/>
    <x v="612"/>
    <x v="1"/>
    <x v="3"/>
    <x v="10"/>
    <x v="9"/>
    <x v="22"/>
    <x v="0"/>
    <x v="0"/>
    <x v="1"/>
    <x v="3"/>
    <x v="7"/>
    <x v="5"/>
    <x v="11"/>
    <x v="20"/>
    <x v="29"/>
    <x v="19"/>
    <x v="883"/>
    <x v="788"/>
    <x v="1271"/>
    <x v="1614"/>
    <x v="85"/>
    <x v="1"/>
    <x v="1"/>
    <x v="0"/>
  </r>
  <r>
    <x v="2205"/>
    <x v="619"/>
    <x v="1"/>
    <x v="3"/>
    <x v="10"/>
    <x v="9"/>
    <x v="22"/>
    <x v="0"/>
    <x v="0"/>
    <x v="0"/>
    <x v="3"/>
    <x v="7"/>
    <x v="5"/>
    <x v="11"/>
    <x v="14"/>
    <x v="29"/>
    <x v="19"/>
    <x v="865"/>
    <x v="773"/>
    <x v="1332"/>
    <x v="1575"/>
    <x v="20"/>
    <x v="2"/>
    <x v="0"/>
    <x v="0"/>
  </r>
  <r>
    <x v="2206"/>
    <x v="599"/>
    <x v="1"/>
    <x v="3"/>
    <x v="10"/>
    <x v="9"/>
    <x v="22"/>
    <x v="0"/>
    <x v="0"/>
    <x v="1"/>
    <x v="0"/>
    <x v="1"/>
    <x v="3"/>
    <x v="7"/>
    <x v="108"/>
    <x v="2"/>
    <x v="1"/>
    <x v="526"/>
    <x v="428"/>
    <x v="500"/>
    <x v="1174"/>
    <x v="1216"/>
    <x v="0"/>
    <x v="1"/>
    <x v="0"/>
  </r>
  <r>
    <x v="2207"/>
    <x v="606"/>
    <x v="1"/>
    <x v="3"/>
    <x v="10"/>
    <x v="9"/>
    <x v="22"/>
    <x v="0"/>
    <x v="0"/>
    <x v="0"/>
    <x v="0"/>
    <x v="1"/>
    <x v="3"/>
    <x v="7"/>
    <x v="70"/>
    <x v="2"/>
    <x v="1"/>
    <x v="355"/>
    <x v="283"/>
    <x v="892"/>
    <x v="809"/>
    <x v="993"/>
    <x v="1"/>
    <x v="0"/>
    <x v="2"/>
  </r>
  <r>
    <x v="2208"/>
    <x v="613"/>
    <x v="1"/>
    <x v="3"/>
    <x v="10"/>
    <x v="9"/>
    <x v="22"/>
    <x v="0"/>
    <x v="0"/>
    <x v="1"/>
    <x v="0"/>
    <x v="1"/>
    <x v="8"/>
    <x v="17"/>
    <x v="110"/>
    <x v="14"/>
    <x v="8"/>
    <x v="811"/>
    <x v="714"/>
    <x v="1041"/>
    <x v="1562"/>
    <x v="1132"/>
    <x v="0"/>
    <x v="1"/>
    <x v="0"/>
  </r>
  <r>
    <x v="2209"/>
    <x v="620"/>
    <x v="1"/>
    <x v="3"/>
    <x v="10"/>
    <x v="9"/>
    <x v="22"/>
    <x v="0"/>
    <x v="0"/>
    <x v="0"/>
    <x v="0"/>
    <x v="1"/>
    <x v="8"/>
    <x v="17"/>
    <x v="74"/>
    <x v="14"/>
    <x v="8"/>
    <x v="749"/>
    <x v="655"/>
    <x v="1241"/>
    <x v="1447"/>
    <x v="796"/>
    <x v="0"/>
    <x v="0"/>
    <x v="0"/>
  </r>
  <r>
    <x v="2210"/>
    <x v="600"/>
    <x v="1"/>
    <x v="3"/>
    <x v="10"/>
    <x v="9"/>
    <x v="22"/>
    <x v="0"/>
    <x v="0"/>
    <x v="1"/>
    <x v="0"/>
    <x v="1"/>
    <x v="9"/>
    <x v="19"/>
    <x v="92"/>
    <x v="8"/>
    <x v="5"/>
    <x v="715"/>
    <x v="632"/>
    <x v="796"/>
    <x v="1389"/>
    <x v="774"/>
    <x v="0"/>
    <x v="1"/>
    <x v="0"/>
  </r>
  <r>
    <x v="2211"/>
    <x v="607"/>
    <x v="1"/>
    <x v="3"/>
    <x v="10"/>
    <x v="9"/>
    <x v="22"/>
    <x v="0"/>
    <x v="0"/>
    <x v="0"/>
    <x v="0"/>
    <x v="1"/>
    <x v="9"/>
    <x v="19"/>
    <x v="76"/>
    <x v="8"/>
    <x v="5"/>
    <x v="663"/>
    <x v="587"/>
    <x v="1179"/>
    <x v="1267"/>
    <x v="486"/>
    <x v="0"/>
    <x v="0"/>
    <x v="0"/>
  </r>
  <r>
    <x v="2212"/>
    <x v="614"/>
    <x v="1"/>
    <x v="3"/>
    <x v="10"/>
    <x v="9"/>
    <x v="22"/>
    <x v="0"/>
    <x v="0"/>
    <x v="1"/>
    <x v="2"/>
    <x v="5"/>
    <x v="0"/>
    <x v="1"/>
    <x v="56"/>
    <x v="17"/>
    <x v="11"/>
    <x v="738"/>
    <x v="649"/>
    <x v="836"/>
    <x v="1438"/>
    <x v="944"/>
    <x v="0"/>
    <x v="1"/>
    <x v="0"/>
  </r>
  <r>
    <x v="2213"/>
    <x v="594"/>
    <x v="1"/>
    <x v="3"/>
    <x v="10"/>
    <x v="9"/>
    <x v="22"/>
    <x v="0"/>
    <x v="0"/>
    <x v="0"/>
    <x v="2"/>
    <x v="5"/>
    <x v="0"/>
    <x v="1"/>
    <x v="29"/>
    <x v="17"/>
    <x v="11"/>
    <x v="567"/>
    <x v="493"/>
    <x v="1106"/>
    <x v="1130"/>
    <x v="613"/>
    <x v="0"/>
    <x v="0"/>
    <x v="0"/>
  </r>
  <r>
    <x v="2214"/>
    <x v="601"/>
    <x v="1"/>
    <x v="3"/>
    <x v="10"/>
    <x v="9"/>
    <x v="22"/>
    <x v="0"/>
    <x v="0"/>
    <x v="1"/>
    <x v="2"/>
    <x v="5"/>
    <x v="4"/>
    <x v="9"/>
    <x v="46"/>
    <x v="11"/>
    <x v="9"/>
    <x v="593"/>
    <x v="541"/>
    <x v="607"/>
    <x v="1182"/>
    <x v="628"/>
    <x v="0"/>
    <x v="1"/>
    <x v="0"/>
  </r>
  <r>
    <x v="2215"/>
    <x v="608"/>
    <x v="1"/>
    <x v="3"/>
    <x v="10"/>
    <x v="9"/>
    <x v="22"/>
    <x v="0"/>
    <x v="0"/>
    <x v="0"/>
    <x v="2"/>
    <x v="5"/>
    <x v="4"/>
    <x v="9"/>
    <x v="37"/>
    <x v="11"/>
    <x v="9"/>
    <x v="527"/>
    <x v="480"/>
    <x v="1075"/>
    <x v="988"/>
    <x v="356"/>
    <x v="0"/>
    <x v="0"/>
    <x v="0"/>
  </r>
  <r>
    <x v="2216"/>
    <x v="615"/>
    <x v="1"/>
    <x v="3"/>
    <x v="10"/>
    <x v="9"/>
    <x v="22"/>
    <x v="0"/>
    <x v="0"/>
    <x v="1"/>
    <x v="1"/>
    <x v="3"/>
    <x v="7"/>
    <x v="15"/>
    <x v="69"/>
    <x v="20"/>
    <x v="13"/>
    <x v="788"/>
    <x v="705"/>
    <x v="958"/>
    <x v="1479"/>
    <x v="468"/>
    <x v="0"/>
    <x v="1"/>
    <x v="0"/>
  </r>
  <r>
    <x v="2217"/>
    <x v="595"/>
    <x v="1"/>
    <x v="3"/>
    <x v="10"/>
    <x v="9"/>
    <x v="22"/>
    <x v="0"/>
    <x v="0"/>
    <x v="0"/>
    <x v="1"/>
    <x v="3"/>
    <x v="7"/>
    <x v="15"/>
    <x v="40"/>
    <x v="20"/>
    <x v="13"/>
    <x v="679"/>
    <x v="618"/>
    <x v="1188"/>
    <x v="1242"/>
    <x v="245"/>
    <x v="0"/>
    <x v="0"/>
    <x v="0"/>
  </r>
  <r>
    <x v="2218"/>
    <x v="602"/>
    <x v="1"/>
    <x v="3"/>
    <x v="10"/>
    <x v="9"/>
    <x v="22"/>
    <x v="0"/>
    <x v="0"/>
    <x v="1"/>
    <x v="1"/>
    <x v="3"/>
    <x v="6"/>
    <x v="13"/>
    <x v="55"/>
    <x v="5"/>
    <x v="3"/>
    <x v="353"/>
    <x v="293"/>
    <x v="266"/>
    <x v="816"/>
    <x v="1064"/>
    <x v="1"/>
    <x v="1"/>
    <x v="2"/>
  </r>
  <r>
    <x v="2219"/>
    <x v="609"/>
    <x v="1"/>
    <x v="3"/>
    <x v="10"/>
    <x v="9"/>
    <x v="22"/>
    <x v="0"/>
    <x v="0"/>
    <x v="0"/>
    <x v="1"/>
    <x v="3"/>
    <x v="6"/>
    <x v="13"/>
    <x v="37"/>
    <x v="5"/>
    <x v="3"/>
    <x v="229"/>
    <x v="196"/>
    <x v="723"/>
    <x v="510"/>
    <x v="743"/>
    <x v="1"/>
    <x v="0"/>
    <x v="2"/>
  </r>
  <r>
    <x v="2220"/>
    <x v="616"/>
    <x v="1"/>
    <x v="3"/>
    <x v="10"/>
    <x v="9"/>
    <x v="22"/>
    <x v="1"/>
    <x v="1"/>
    <x v="1"/>
    <x v="3"/>
    <x v="7"/>
    <x v="1"/>
    <x v="3"/>
    <x v="15"/>
    <x v="26"/>
    <x v="17"/>
    <x v="849"/>
    <x v="755"/>
    <x v="1174"/>
    <x v="1584"/>
    <x v="252"/>
    <x v="0"/>
    <x v="1"/>
    <x v="0"/>
  </r>
  <r>
    <x v="2221"/>
    <x v="596"/>
    <x v="1"/>
    <x v="3"/>
    <x v="10"/>
    <x v="9"/>
    <x v="22"/>
    <x v="1"/>
    <x v="1"/>
    <x v="0"/>
    <x v="3"/>
    <x v="7"/>
    <x v="1"/>
    <x v="3"/>
    <x v="8"/>
    <x v="26"/>
    <x v="17"/>
    <x v="814"/>
    <x v="729"/>
    <x v="1298"/>
    <x v="1496"/>
    <x v="124"/>
    <x v="1"/>
    <x v="0"/>
    <x v="0"/>
  </r>
  <r>
    <x v="2222"/>
    <x v="603"/>
    <x v="1"/>
    <x v="3"/>
    <x v="10"/>
    <x v="9"/>
    <x v="22"/>
    <x v="1"/>
    <x v="1"/>
    <x v="1"/>
    <x v="3"/>
    <x v="7"/>
    <x v="2"/>
    <x v="5"/>
    <x v="12"/>
    <x v="23"/>
    <x v="15"/>
    <x v="716"/>
    <x v="656"/>
    <x v="799"/>
    <x v="1322"/>
    <x v="340"/>
    <x v="0"/>
    <x v="1"/>
    <x v="0"/>
  </r>
  <r>
    <x v="2223"/>
    <x v="610"/>
    <x v="1"/>
    <x v="3"/>
    <x v="10"/>
    <x v="9"/>
    <x v="22"/>
    <x v="1"/>
    <x v="1"/>
    <x v="0"/>
    <x v="3"/>
    <x v="7"/>
    <x v="2"/>
    <x v="5"/>
    <x v="10"/>
    <x v="23"/>
    <x v="15"/>
    <x v="674"/>
    <x v="622"/>
    <x v="1185"/>
    <x v="1217"/>
    <x v="184"/>
    <x v="1"/>
    <x v="0"/>
    <x v="0"/>
  </r>
  <r>
    <x v="2224"/>
    <x v="617"/>
    <x v="1"/>
    <x v="3"/>
    <x v="10"/>
    <x v="9"/>
    <x v="22"/>
    <x v="1"/>
    <x v="1"/>
    <x v="1"/>
    <x v="3"/>
    <x v="7"/>
    <x v="5"/>
    <x v="11"/>
    <x v="14"/>
    <x v="29"/>
    <x v="19"/>
    <x v="865"/>
    <x v="773"/>
    <x v="1221"/>
    <x v="1590"/>
    <x v="81"/>
    <x v="1"/>
    <x v="1"/>
    <x v="0"/>
  </r>
  <r>
    <x v="2225"/>
    <x v="597"/>
    <x v="1"/>
    <x v="3"/>
    <x v="10"/>
    <x v="9"/>
    <x v="22"/>
    <x v="1"/>
    <x v="1"/>
    <x v="0"/>
    <x v="3"/>
    <x v="7"/>
    <x v="5"/>
    <x v="11"/>
    <x v="7"/>
    <x v="29"/>
    <x v="19"/>
    <x v="830"/>
    <x v="745"/>
    <x v="1311"/>
    <x v="1491"/>
    <x v="19"/>
    <x v="2"/>
    <x v="0"/>
    <x v="0"/>
  </r>
  <r>
    <x v="2226"/>
    <x v="604"/>
    <x v="1"/>
    <x v="3"/>
    <x v="10"/>
    <x v="9"/>
    <x v="22"/>
    <x v="1"/>
    <x v="1"/>
    <x v="1"/>
    <x v="0"/>
    <x v="1"/>
    <x v="3"/>
    <x v="7"/>
    <x v="55"/>
    <x v="2"/>
    <x v="1"/>
    <x v="278"/>
    <x v="220"/>
    <x v="197"/>
    <x v="716"/>
    <x v="1213"/>
    <x v="1"/>
    <x v="1"/>
    <x v="2"/>
  </r>
  <r>
    <x v="2227"/>
    <x v="611"/>
    <x v="1"/>
    <x v="3"/>
    <x v="10"/>
    <x v="9"/>
    <x v="22"/>
    <x v="1"/>
    <x v="1"/>
    <x v="0"/>
    <x v="0"/>
    <x v="1"/>
    <x v="3"/>
    <x v="7"/>
    <x v="47"/>
    <x v="2"/>
    <x v="1"/>
    <x v="231"/>
    <x v="181"/>
    <x v="726"/>
    <x v="553"/>
    <x v="994"/>
    <x v="1"/>
    <x v="0"/>
    <x v="2"/>
  </r>
  <r>
    <x v="2228"/>
    <x v="618"/>
    <x v="1"/>
    <x v="3"/>
    <x v="10"/>
    <x v="9"/>
    <x v="22"/>
    <x v="1"/>
    <x v="1"/>
    <x v="1"/>
    <x v="0"/>
    <x v="1"/>
    <x v="8"/>
    <x v="17"/>
    <x v="59"/>
    <x v="14"/>
    <x v="8"/>
    <x v="696"/>
    <x v="595"/>
    <x v="754"/>
    <x v="1393"/>
    <x v="1130"/>
    <x v="0"/>
    <x v="1"/>
    <x v="0"/>
  </r>
  <r>
    <x v="2229"/>
    <x v="598"/>
    <x v="1"/>
    <x v="3"/>
    <x v="10"/>
    <x v="9"/>
    <x v="22"/>
    <x v="1"/>
    <x v="1"/>
    <x v="0"/>
    <x v="0"/>
    <x v="1"/>
    <x v="8"/>
    <x v="17"/>
    <x v="47"/>
    <x v="14"/>
    <x v="8"/>
    <x v="631"/>
    <x v="543"/>
    <x v="1159"/>
    <x v="1264"/>
    <x v="794"/>
    <x v="0"/>
    <x v="0"/>
    <x v="0"/>
  </r>
  <r>
    <x v="2230"/>
    <x v="605"/>
    <x v="1"/>
    <x v="3"/>
    <x v="10"/>
    <x v="9"/>
    <x v="22"/>
    <x v="1"/>
    <x v="1"/>
    <x v="1"/>
    <x v="0"/>
    <x v="1"/>
    <x v="9"/>
    <x v="19"/>
    <x v="60"/>
    <x v="8"/>
    <x v="5"/>
    <x v="588"/>
    <x v="523"/>
    <x v="601"/>
    <x v="1203"/>
    <x v="770"/>
    <x v="0"/>
    <x v="1"/>
    <x v="0"/>
  </r>
  <r>
    <x v="2231"/>
    <x v="612"/>
    <x v="1"/>
    <x v="3"/>
    <x v="10"/>
    <x v="9"/>
    <x v="22"/>
    <x v="1"/>
    <x v="1"/>
    <x v="0"/>
    <x v="0"/>
    <x v="1"/>
    <x v="9"/>
    <x v="19"/>
    <x v="53"/>
    <x v="8"/>
    <x v="5"/>
    <x v="554"/>
    <x v="490"/>
    <x v="1093"/>
    <x v="1075"/>
    <x v="488"/>
    <x v="0"/>
    <x v="0"/>
    <x v="0"/>
  </r>
  <r>
    <x v="2232"/>
    <x v="619"/>
    <x v="1"/>
    <x v="3"/>
    <x v="10"/>
    <x v="9"/>
    <x v="22"/>
    <x v="1"/>
    <x v="1"/>
    <x v="1"/>
    <x v="2"/>
    <x v="5"/>
    <x v="0"/>
    <x v="1"/>
    <x v="25"/>
    <x v="17"/>
    <x v="11"/>
    <x v="519"/>
    <x v="453"/>
    <x v="489"/>
    <x v="1095"/>
    <x v="946"/>
    <x v="0"/>
    <x v="1"/>
    <x v="0"/>
  </r>
  <r>
    <x v="2233"/>
    <x v="599"/>
    <x v="1"/>
    <x v="3"/>
    <x v="10"/>
    <x v="9"/>
    <x v="22"/>
    <x v="1"/>
    <x v="1"/>
    <x v="0"/>
    <x v="2"/>
    <x v="5"/>
    <x v="0"/>
    <x v="1"/>
    <x v="17"/>
    <x v="17"/>
    <x v="11"/>
    <x v="397"/>
    <x v="345"/>
    <x v="953"/>
    <x v="813"/>
    <x v="617"/>
    <x v="1"/>
    <x v="0"/>
    <x v="2"/>
  </r>
  <r>
    <x v="2234"/>
    <x v="606"/>
    <x v="1"/>
    <x v="3"/>
    <x v="10"/>
    <x v="9"/>
    <x v="22"/>
    <x v="1"/>
    <x v="1"/>
    <x v="1"/>
    <x v="2"/>
    <x v="5"/>
    <x v="4"/>
    <x v="9"/>
    <x v="25"/>
    <x v="11"/>
    <x v="9"/>
    <x v="400"/>
    <x v="368"/>
    <x v="324"/>
    <x v="823"/>
    <x v="631"/>
    <x v="1"/>
    <x v="1"/>
    <x v="2"/>
  </r>
  <r>
    <x v="2235"/>
    <x v="613"/>
    <x v="1"/>
    <x v="3"/>
    <x v="10"/>
    <x v="9"/>
    <x v="22"/>
    <x v="1"/>
    <x v="1"/>
    <x v="0"/>
    <x v="2"/>
    <x v="5"/>
    <x v="4"/>
    <x v="9"/>
    <x v="20"/>
    <x v="11"/>
    <x v="9"/>
    <x v="336"/>
    <x v="302"/>
    <x v="865"/>
    <x v="615"/>
    <x v="355"/>
    <x v="1"/>
    <x v="0"/>
    <x v="2"/>
  </r>
  <r>
    <x v="2236"/>
    <x v="620"/>
    <x v="1"/>
    <x v="3"/>
    <x v="10"/>
    <x v="9"/>
    <x v="22"/>
    <x v="1"/>
    <x v="1"/>
    <x v="1"/>
    <x v="1"/>
    <x v="3"/>
    <x v="7"/>
    <x v="15"/>
    <x v="39"/>
    <x v="20"/>
    <x v="13"/>
    <x v="668"/>
    <x v="613"/>
    <x v="713"/>
    <x v="1273"/>
    <x v="471"/>
    <x v="0"/>
    <x v="1"/>
    <x v="0"/>
  </r>
  <r>
    <x v="2237"/>
    <x v="600"/>
    <x v="1"/>
    <x v="3"/>
    <x v="10"/>
    <x v="9"/>
    <x v="22"/>
    <x v="1"/>
    <x v="1"/>
    <x v="0"/>
    <x v="1"/>
    <x v="3"/>
    <x v="7"/>
    <x v="15"/>
    <x v="28"/>
    <x v="20"/>
    <x v="13"/>
    <x v="581"/>
    <x v="534"/>
    <x v="1117"/>
    <x v="1064"/>
    <x v="242"/>
    <x v="0"/>
    <x v="0"/>
    <x v="0"/>
  </r>
  <r>
    <x v="2238"/>
    <x v="607"/>
    <x v="1"/>
    <x v="3"/>
    <x v="10"/>
    <x v="9"/>
    <x v="22"/>
    <x v="1"/>
    <x v="1"/>
    <x v="1"/>
    <x v="1"/>
    <x v="3"/>
    <x v="6"/>
    <x v="13"/>
    <x v="34"/>
    <x v="5"/>
    <x v="3"/>
    <x v="205"/>
    <x v="175"/>
    <x v="136"/>
    <x v="520"/>
    <x v="1058"/>
    <x v="1"/>
    <x v="1"/>
    <x v="2"/>
  </r>
  <r>
    <x v="2239"/>
    <x v="614"/>
    <x v="1"/>
    <x v="3"/>
    <x v="10"/>
    <x v="9"/>
    <x v="22"/>
    <x v="1"/>
    <x v="1"/>
    <x v="0"/>
    <x v="1"/>
    <x v="3"/>
    <x v="6"/>
    <x v="13"/>
    <x v="22"/>
    <x v="5"/>
    <x v="3"/>
    <x v="107"/>
    <x v="90"/>
    <x v="510"/>
    <x v="237"/>
    <x v="745"/>
    <x v="1"/>
    <x v="0"/>
    <x v="2"/>
  </r>
  <r>
    <x v="2240"/>
    <x v="594"/>
    <x v="1"/>
    <x v="3"/>
    <x v="10"/>
    <x v="9"/>
    <x v="22"/>
    <x v="3"/>
    <x v="3"/>
    <x v="1"/>
    <x v="3"/>
    <x v="7"/>
    <x v="1"/>
    <x v="3"/>
    <x v="7"/>
    <x v="26"/>
    <x v="17"/>
    <x v="805"/>
    <x v="725"/>
    <x v="1018"/>
    <x v="1502"/>
    <x v="259"/>
    <x v="0"/>
    <x v="1"/>
    <x v="0"/>
  </r>
  <r>
    <x v="2241"/>
    <x v="601"/>
    <x v="1"/>
    <x v="3"/>
    <x v="10"/>
    <x v="9"/>
    <x v="22"/>
    <x v="3"/>
    <x v="3"/>
    <x v="0"/>
    <x v="3"/>
    <x v="7"/>
    <x v="1"/>
    <x v="3"/>
    <x v="5"/>
    <x v="26"/>
    <x v="17"/>
    <x v="773"/>
    <x v="702"/>
    <x v="1260"/>
    <x v="1382"/>
    <x v="119"/>
    <x v="1"/>
    <x v="0"/>
    <x v="0"/>
  </r>
  <r>
    <x v="2242"/>
    <x v="608"/>
    <x v="1"/>
    <x v="3"/>
    <x v="10"/>
    <x v="9"/>
    <x v="22"/>
    <x v="3"/>
    <x v="3"/>
    <x v="1"/>
    <x v="3"/>
    <x v="7"/>
    <x v="2"/>
    <x v="5"/>
    <x v="9"/>
    <x v="23"/>
    <x v="15"/>
    <x v="649"/>
    <x v="603"/>
    <x v="683"/>
    <x v="1224"/>
    <x v="341"/>
    <x v="0"/>
    <x v="1"/>
    <x v="0"/>
  </r>
  <r>
    <x v="2243"/>
    <x v="615"/>
    <x v="1"/>
    <x v="3"/>
    <x v="10"/>
    <x v="9"/>
    <x v="22"/>
    <x v="3"/>
    <x v="3"/>
    <x v="0"/>
    <x v="3"/>
    <x v="7"/>
    <x v="2"/>
    <x v="5"/>
    <x v="6"/>
    <x v="23"/>
    <x v="15"/>
    <x v="555"/>
    <x v="520"/>
    <x v="1095"/>
    <x v="967"/>
    <x v="184"/>
    <x v="1"/>
    <x v="0"/>
    <x v="0"/>
  </r>
  <r>
    <x v="2244"/>
    <x v="595"/>
    <x v="1"/>
    <x v="3"/>
    <x v="10"/>
    <x v="9"/>
    <x v="22"/>
    <x v="3"/>
    <x v="3"/>
    <x v="1"/>
    <x v="3"/>
    <x v="7"/>
    <x v="5"/>
    <x v="11"/>
    <x v="9"/>
    <x v="29"/>
    <x v="19"/>
    <x v="844"/>
    <x v="754"/>
    <x v="1155"/>
    <x v="1558"/>
    <x v="85"/>
    <x v="1"/>
    <x v="1"/>
    <x v="0"/>
  </r>
  <r>
    <x v="2245"/>
    <x v="602"/>
    <x v="1"/>
    <x v="3"/>
    <x v="10"/>
    <x v="9"/>
    <x v="22"/>
    <x v="3"/>
    <x v="3"/>
    <x v="0"/>
    <x v="3"/>
    <x v="7"/>
    <x v="5"/>
    <x v="11"/>
    <x v="4"/>
    <x v="29"/>
    <x v="19"/>
    <x v="795"/>
    <x v="726"/>
    <x v="1282"/>
    <x v="1360"/>
    <x v="22"/>
    <x v="2"/>
    <x v="0"/>
    <x v="0"/>
  </r>
  <r>
    <x v="2246"/>
    <x v="609"/>
    <x v="1"/>
    <x v="3"/>
    <x v="10"/>
    <x v="9"/>
    <x v="22"/>
    <x v="3"/>
    <x v="3"/>
    <x v="1"/>
    <x v="0"/>
    <x v="1"/>
    <x v="3"/>
    <x v="7"/>
    <x v="40"/>
    <x v="2"/>
    <x v="1"/>
    <x v="187"/>
    <x v="146"/>
    <x v="122"/>
    <x v="514"/>
    <x v="1209"/>
    <x v="1"/>
    <x v="1"/>
    <x v="2"/>
  </r>
  <r>
    <x v="2247"/>
    <x v="616"/>
    <x v="1"/>
    <x v="3"/>
    <x v="10"/>
    <x v="9"/>
    <x v="22"/>
    <x v="3"/>
    <x v="3"/>
    <x v="0"/>
    <x v="0"/>
    <x v="1"/>
    <x v="3"/>
    <x v="7"/>
    <x v="28"/>
    <x v="2"/>
    <x v="1"/>
    <x v="106"/>
    <x v="82"/>
    <x v="510"/>
    <x v="276"/>
    <x v="993"/>
    <x v="1"/>
    <x v="0"/>
    <x v="2"/>
  </r>
  <r>
    <x v="2248"/>
    <x v="596"/>
    <x v="1"/>
    <x v="3"/>
    <x v="10"/>
    <x v="9"/>
    <x v="22"/>
    <x v="3"/>
    <x v="3"/>
    <x v="1"/>
    <x v="0"/>
    <x v="1"/>
    <x v="8"/>
    <x v="17"/>
    <x v="43"/>
    <x v="14"/>
    <x v="8"/>
    <x v="610"/>
    <x v="518"/>
    <x v="624"/>
    <x v="1266"/>
    <x v="1130"/>
    <x v="0"/>
    <x v="1"/>
    <x v="0"/>
  </r>
  <r>
    <x v="2249"/>
    <x v="603"/>
    <x v="1"/>
    <x v="3"/>
    <x v="10"/>
    <x v="9"/>
    <x v="22"/>
    <x v="3"/>
    <x v="3"/>
    <x v="0"/>
    <x v="0"/>
    <x v="1"/>
    <x v="8"/>
    <x v="17"/>
    <x v="29"/>
    <x v="14"/>
    <x v="8"/>
    <x v="486"/>
    <x v="412"/>
    <x v="1048"/>
    <x v="1016"/>
    <x v="800"/>
    <x v="1"/>
    <x v="0"/>
    <x v="2"/>
  </r>
  <r>
    <x v="2250"/>
    <x v="610"/>
    <x v="1"/>
    <x v="3"/>
    <x v="10"/>
    <x v="9"/>
    <x v="22"/>
    <x v="3"/>
    <x v="3"/>
    <x v="1"/>
    <x v="0"/>
    <x v="1"/>
    <x v="9"/>
    <x v="19"/>
    <x v="49"/>
    <x v="8"/>
    <x v="5"/>
    <x v="527"/>
    <x v="469"/>
    <x v="502"/>
    <x v="1085"/>
    <x v="765"/>
    <x v="0"/>
    <x v="1"/>
    <x v="0"/>
  </r>
  <r>
    <x v="2251"/>
    <x v="617"/>
    <x v="1"/>
    <x v="3"/>
    <x v="10"/>
    <x v="9"/>
    <x v="22"/>
    <x v="3"/>
    <x v="3"/>
    <x v="0"/>
    <x v="0"/>
    <x v="1"/>
    <x v="9"/>
    <x v="19"/>
    <x v="38"/>
    <x v="8"/>
    <x v="5"/>
    <x v="437"/>
    <x v="398"/>
    <x v="1006"/>
    <x v="873"/>
    <x v="486"/>
    <x v="1"/>
    <x v="0"/>
    <x v="2"/>
  </r>
  <r>
    <x v="2252"/>
    <x v="597"/>
    <x v="1"/>
    <x v="3"/>
    <x v="10"/>
    <x v="9"/>
    <x v="22"/>
    <x v="3"/>
    <x v="3"/>
    <x v="1"/>
    <x v="2"/>
    <x v="5"/>
    <x v="0"/>
    <x v="1"/>
    <x v="20"/>
    <x v="17"/>
    <x v="11"/>
    <x v="446"/>
    <x v="395"/>
    <x v="390"/>
    <x v="958"/>
    <x v="947"/>
    <x v="1"/>
    <x v="1"/>
    <x v="2"/>
  </r>
  <r>
    <x v="2253"/>
    <x v="604"/>
    <x v="1"/>
    <x v="3"/>
    <x v="10"/>
    <x v="9"/>
    <x v="22"/>
    <x v="3"/>
    <x v="3"/>
    <x v="0"/>
    <x v="2"/>
    <x v="5"/>
    <x v="0"/>
    <x v="1"/>
    <x v="11"/>
    <x v="17"/>
    <x v="11"/>
    <x v="270"/>
    <x v="240"/>
    <x v="796"/>
    <x v="563"/>
    <x v="611"/>
    <x v="1"/>
    <x v="0"/>
    <x v="2"/>
  </r>
  <r>
    <x v="2254"/>
    <x v="611"/>
    <x v="1"/>
    <x v="3"/>
    <x v="10"/>
    <x v="9"/>
    <x v="22"/>
    <x v="3"/>
    <x v="3"/>
    <x v="1"/>
    <x v="2"/>
    <x v="5"/>
    <x v="4"/>
    <x v="9"/>
    <x v="19"/>
    <x v="11"/>
    <x v="9"/>
    <x v="322"/>
    <x v="291"/>
    <x v="226"/>
    <x v="648"/>
    <x v="621"/>
    <x v="1"/>
    <x v="1"/>
    <x v="2"/>
  </r>
  <r>
    <x v="2255"/>
    <x v="618"/>
    <x v="1"/>
    <x v="3"/>
    <x v="10"/>
    <x v="9"/>
    <x v="22"/>
    <x v="3"/>
    <x v="3"/>
    <x v="0"/>
    <x v="2"/>
    <x v="5"/>
    <x v="4"/>
    <x v="9"/>
    <x v="16"/>
    <x v="11"/>
    <x v="9"/>
    <x v="264"/>
    <x v="254"/>
    <x v="778"/>
    <x v="489"/>
    <x v="353"/>
    <x v="1"/>
    <x v="0"/>
    <x v="2"/>
  </r>
  <r>
    <x v="2256"/>
    <x v="598"/>
    <x v="1"/>
    <x v="3"/>
    <x v="10"/>
    <x v="9"/>
    <x v="22"/>
    <x v="3"/>
    <x v="3"/>
    <x v="1"/>
    <x v="1"/>
    <x v="3"/>
    <x v="7"/>
    <x v="15"/>
    <x v="25"/>
    <x v="20"/>
    <x v="13"/>
    <x v="547"/>
    <x v="506"/>
    <x v="530"/>
    <x v="1065"/>
    <x v="467"/>
    <x v="0"/>
    <x v="1"/>
    <x v="0"/>
  </r>
  <r>
    <x v="2257"/>
    <x v="605"/>
    <x v="1"/>
    <x v="3"/>
    <x v="10"/>
    <x v="9"/>
    <x v="22"/>
    <x v="3"/>
    <x v="3"/>
    <x v="0"/>
    <x v="1"/>
    <x v="3"/>
    <x v="7"/>
    <x v="15"/>
    <x v="16"/>
    <x v="20"/>
    <x v="13"/>
    <x v="405"/>
    <x v="386"/>
    <x v="966"/>
    <x v="728"/>
    <x v="242"/>
    <x v="1"/>
    <x v="0"/>
    <x v="2"/>
  </r>
  <r>
    <x v="2258"/>
    <x v="612"/>
    <x v="1"/>
    <x v="3"/>
    <x v="10"/>
    <x v="9"/>
    <x v="22"/>
    <x v="3"/>
    <x v="3"/>
    <x v="1"/>
    <x v="1"/>
    <x v="3"/>
    <x v="6"/>
    <x v="13"/>
    <x v="25"/>
    <x v="5"/>
    <x v="3"/>
    <x v="132"/>
    <x v="113"/>
    <x v="77"/>
    <x v="340"/>
    <x v="1069"/>
    <x v="1"/>
    <x v="1"/>
    <x v="2"/>
  </r>
  <r>
    <x v="2259"/>
    <x v="619"/>
    <x v="1"/>
    <x v="3"/>
    <x v="10"/>
    <x v="9"/>
    <x v="22"/>
    <x v="3"/>
    <x v="3"/>
    <x v="0"/>
    <x v="1"/>
    <x v="3"/>
    <x v="6"/>
    <x v="13"/>
    <x v="19"/>
    <x v="5"/>
    <x v="3"/>
    <x v="82"/>
    <x v="72"/>
    <x v="440"/>
    <x v="188"/>
    <x v="744"/>
    <x v="1"/>
    <x v="0"/>
    <x v="2"/>
  </r>
  <r>
    <x v="2260"/>
    <x v="599"/>
    <x v="1"/>
    <x v="3"/>
    <x v="10"/>
    <x v="9"/>
    <x v="22"/>
    <x v="2"/>
    <x v="2"/>
    <x v="1"/>
    <x v="3"/>
    <x v="7"/>
    <x v="1"/>
    <x v="3"/>
    <x v="5"/>
    <x v="26"/>
    <x v="17"/>
    <x v="773"/>
    <x v="702"/>
    <x v="917"/>
    <x v="1429"/>
    <x v="256"/>
    <x v="0"/>
    <x v="1"/>
    <x v="0"/>
  </r>
  <r>
    <x v="2261"/>
    <x v="606"/>
    <x v="1"/>
    <x v="3"/>
    <x v="10"/>
    <x v="9"/>
    <x v="22"/>
    <x v="2"/>
    <x v="2"/>
    <x v="0"/>
    <x v="3"/>
    <x v="7"/>
    <x v="1"/>
    <x v="3"/>
    <x v="4"/>
    <x v="26"/>
    <x v="17"/>
    <x v="742"/>
    <x v="679"/>
    <x v="1236"/>
    <x v="1310"/>
    <x v="120"/>
    <x v="1"/>
    <x v="0"/>
    <x v="0"/>
  </r>
  <r>
    <x v="2262"/>
    <x v="613"/>
    <x v="1"/>
    <x v="3"/>
    <x v="10"/>
    <x v="9"/>
    <x v="22"/>
    <x v="2"/>
    <x v="2"/>
    <x v="1"/>
    <x v="3"/>
    <x v="7"/>
    <x v="2"/>
    <x v="5"/>
    <x v="7"/>
    <x v="23"/>
    <x v="15"/>
    <x v="590"/>
    <x v="556"/>
    <x v="604"/>
    <x v="1118"/>
    <x v="334"/>
    <x v="0"/>
    <x v="1"/>
    <x v="0"/>
  </r>
  <r>
    <x v="2263"/>
    <x v="620"/>
    <x v="1"/>
    <x v="3"/>
    <x v="10"/>
    <x v="9"/>
    <x v="22"/>
    <x v="2"/>
    <x v="2"/>
    <x v="0"/>
    <x v="3"/>
    <x v="7"/>
    <x v="2"/>
    <x v="5"/>
    <x v="4"/>
    <x v="23"/>
    <x v="15"/>
    <x v="454"/>
    <x v="442"/>
    <x v="1019"/>
    <x v="789"/>
    <x v="182"/>
    <x v="1"/>
    <x v="0"/>
    <x v="2"/>
  </r>
  <r>
    <x v="2264"/>
    <x v="600"/>
    <x v="1"/>
    <x v="3"/>
    <x v="10"/>
    <x v="9"/>
    <x v="22"/>
    <x v="2"/>
    <x v="2"/>
    <x v="1"/>
    <x v="3"/>
    <x v="7"/>
    <x v="5"/>
    <x v="11"/>
    <x v="7"/>
    <x v="29"/>
    <x v="19"/>
    <x v="830"/>
    <x v="745"/>
    <x v="1104"/>
    <x v="1529"/>
    <x v="86"/>
    <x v="1"/>
    <x v="1"/>
    <x v="0"/>
  </r>
  <r>
    <x v="2265"/>
    <x v="607"/>
    <x v="1"/>
    <x v="3"/>
    <x v="10"/>
    <x v="9"/>
    <x v="22"/>
    <x v="2"/>
    <x v="2"/>
    <x v="0"/>
    <x v="3"/>
    <x v="7"/>
    <x v="5"/>
    <x v="11"/>
    <x v="4"/>
    <x v="29"/>
    <x v="19"/>
    <x v="795"/>
    <x v="726"/>
    <x v="1282"/>
    <x v="1360"/>
    <x v="22"/>
    <x v="2"/>
    <x v="0"/>
    <x v="0"/>
  </r>
  <r>
    <x v="2266"/>
    <x v="614"/>
    <x v="1"/>
    <x v="3"/>
    <x v="10"/>
    <x v="9"/>
    <x v="22"/>
    <x v="2"/>
    <x v="2"/>
    <x v="1"/>
    <x v="0"/>
    <x v="1"/>
    <x v="3"/>
    <x v="7"/>
    <x v="39"/>
    <x v="2"/>
    <x v="1"/>
    <x v="179"/>
    <x v="140"/>
    <x v="116"/>
    <x v="494"/>
    <x v="1219"/>
    <x v="1"/>
    <x v="1"/>
    <x v="2"/>
  </r>
  <r>
    <x v="2267"/>
    <x v="594"/>
    <x v="1"/>
    <x v="3"/>
    <x v="10"/>
    <x v="9"/>
    <x v="22"/>
    <x v="2"/>
    <x v="2"/>
    <x v="0"/>
    <x v="0"/>
    <x v="1"/>
    <x v="3"/>
    <x v="7"/>
    <x v="19"/>
    <x v="2"/>
    <x v="1"/>
    <x v="49"/>
    <x v="42"/>
    <x v="337"/>
    <x v="129"/>
    <x v="987"/>
    <x v="1"/>
    <x v="0"/>
    <x v="2"/>
  </r>
  <r>
    <x v="2268"/>
    <x v="601"/>
    <x v="1"/>
    <x v="3"/>
    <x v="10"/>
    <x v="9"/>
    <x v="22"/>
    <x v="2"/>
    <x v="2"/>
    <x v="1"/>
    <x v="0"/>
    <x v="1"/>
    <x v="8"/>
    <x v="17"/>
    <x v="35"/>
    <x v="14"/>
    <x v="8"/>
    <x v="549"/>
    <x v="466"/>
    <x v="532"/>
    <x v="1179"/>
    <x v="1130"/>
    <x v="0"/>
    <x v="1"/>
    <x v="0"/>
  </r>
  <r>
    <x v="2269"/>
    <x v="608"/>
    <x v="1"/>
    <x v="3"/>
    <x v="10"/>
    <x v="9"/>
    <x v="22"/>
    <x v="2"/>
    <x v="2"/>
    <x v="0"/>
    <x v="0"/>
    <x v="1"/>
    <x v="8"/>
    <x v="17"/>
    <x v="21"/>
    <x v="14"/>
    <x v="8"/>
    <x v="379"/>
    <x v="318"/>
    <x v="936"/>
    <x v="828"/>
    <x v="804"/>
    <x v="1"/>
    <x v="0"/>
    <x v="2"/>
  </r>
  <r>
    <x v="2270"/>
    <x v="615"/>
    <x v="1"/>
    <x v="3"/>
    <x v="10"/>
    <x v="9"/>
    <x v="22"/>
    <x v="2"/>
    <x v="2"/>
    <x v="1"/>
    <x v="0"/>
    <x v="1"/>
    <x v="9"/>
    <x v="19"/>
    <x v="29"/>
    <x v="8"/>
    <x v="5"/>
    <x v="354"/>
    <x v="315"/>
    <x v="268"/>
    <x v="771"/>
    <x v="770"/>
    <x v="1"/>
    <x v="1"/>
    <x v="2"/>
  </r>
  <r>
    <x v="2271"/>
    <x v="595"/>
    <x v="1"/>
    <x v="3"/>
    <x v="10"/>
    <x v="9"/>
    <x v="22"/>
    <x v="2"/>
    <x v="2"/>
    <x v="0"/>
    <x v="0"/>
    <x v="1"/>
    <x v="9"/>
    <x v="19"/>
    <x v="26"/>
    <x v="8"/>
    <x v="5"/>
    <x v="331"/>
    <x v="289"/>
    <x v="849"/>
    <x v="632"/>
    <x v="483"/>
    <x v="1"/>
    <x v="0"/>
    <x v="2"/>
  </r>
  <r>
    <x v="2272"/>
    <x v="602"/>
    <x v="1"/>
    <x v="3"/>
    <x v="10"/>
    <x v="9"/>
    <x v="22"/>
    <x v="2"/>
    <x v="2"/>
    <x v="1"/>
    <x v="2"/>
    <x v="5"/>
    <x v="0"/>
    <x v="1"/>
    <x v="13"/>
    <x v="17"/>
    <x v="11"/>
    <x v="325"/>
    <x v="276"/>
    <x v="229"/>
    <x v="720"/>
    <x v="945"/>
    <x v="1"/>
    <x v="1"/>
    <x v="2"/>
  </r>
  <r>
    <x v="2273"/>
    <x v="609"/>
    <x v="1"/>
    <x v="3"/>
    <x v="10"/>
    <x v="9"/>
    <x v="22"/>
    <x v="2"/>
    <x v="2"/>
    <x v="0"/>
    <x v="2"/>
    <x v="5"/>
    <x v="0"/>
    <x v="1"/>
    <x v="11"/>
    <x v="17"/>
    <x v="11"/>
    <x v="270"/>
    <x v="240"/>
    <x v="796"/>
    <x v="563"/>
    <x v="611"/>
    <x v="1"/>
    <x v="0"/>
    <x v="2"/>
  </r>
  <r>
    <x v="2274"/>
    <x v="616"/>
    <x v="1"/>
    <x v="3"/>
    <x v="10"/>
    <x v="9"/>
    <x v="22"/>
    <x v="2"/>
    <x v="2"/>
    <x v="1"/>
    <x v="2"/>
    <x v="5"/>
    <x v="4"/>
    <x v="9"/>
    <x v="16"/>
    <x v="11"/>
    <x v="9"/>
    <x v="264"/>
    <x v="254"/>
    <x v="188"/>
    <x v="548"/>
    <x v="625"/>
    <x v="1"/>
    <x v="1"/>
    <x v="2"/>
  </r>
  <r>
    <x v="2275"/>
    <x v="596"/>
    <x v="1"/>
    <x v="3"/>
    <x v="10"/>
    <x v="9"/>
    <x v="22"/>
    <x v="2"/>
    <x v="2"/>
    <x v="0"/>
    <x v="2"/>
    <x v="5"/>
    <x v="4"/>
    <x v="9"/>
    <x v="9"/>
    <x v="11"/>
    <x v="9"/>
    <x v="128"/>
    <x v="131"/>
    <x v="565"/>
    <x v="226"/>
    <x v="359"/>
    <x v="1"/>
    <x v="0"/>
    <x v="2"/>
  </r>
  <r>
    <x v="2276"/>
    <x v="603"/>
    <x v="1"/>
    <x v="3"/>
    <x v="10"/>
    <x v="9"/>
    <x v="22"/>
    <x v="2"/>
    <x v="2"/>
    <x v="1"/>
    <x v="1"/>
    <x v="3"/>
    <x v="7"/>
    <x v="15"/>
    <x v="19"/>
    <x v="20"/>
    <x v="13"/>
    <x v="457"/>
    <x v="432"/>
    <x v="405"/>
    <x v="899"/>
    <x v="467"/>
    <x v="1"/>
    <x v="1"/>
    <x v="2"/>
  </r>
  <r>
    <x v="2277"/>
    <x v="610"/>
    <x v="1"/>
    <x v="3"/>
    <x v="10"/>
    <x v="9"/>
    <x v="22"/>
    <x v="2"/>
    <x v="2"/>
    <x v="0"/>
    <x v="1"/>
    <x v="3"/>
    <x v="7"/>
    <x v="15"/>
    <x v="12"/>
    <x v="20"/>
    <x v="13"/>
    <x v="330"/>
    <x v="307"/>
    <x v="848"/>
    <x v="567"/>
    <x v="245"/>
    <x v="1"/>
    <x v="0"/>
    <x v="2"/>
  </r>
  <r>
    <x v="2278"/>
    <x v="617"/>
    <x v="1"/>
    <x v="3"/>
    <x v="10"/>
    <x v="9"/>
    <x v="22"/>
    <x v="2"/>
    <x v="2"/>
    <x v="1"/>
    <x v="1"/>
    <x v="3"/>
    <x v="6"/>
    <x v="13"/>
    <x v="23"/>
    <x v="5"/>
    <x v="3"/>
    <x v="115"/>
    <x v="100"/>
    <x v="64"/>
    <x v="299"/>
    <x v="1066"/>
    <x v="1"/>
    <x v="1"/>
    <x v="2"/>
  </r>
  <r>
    <x v="2279"/>
    <x v="597"/>
    <x v="1"/>
    <x v="3"/>
    <x v="10"/>
    <x v="9"/>
    <x v="22"/>
    <x v="2"/>
    <x v="2"/>
    <x v="0"/>
    <x v="1"/>
    <x v="3"/>
    <x v="6"/>
    <x v="13"/>
    <x v="11"/>
    <x v="5"/>
    <x v="3"/>
    <x v="26"/>
    <x v="27"/>
    <x v="234"/>
    <x v="60"/>
    <x v="747"/>
    <x v="1"/>
    <x v="0"/>
    <x v="2"/>
  </r>
  <r>
    <x v="2280"/>
    <x v="604"/>
    <x v="1"/>
    <x v="3"/>
    <x v="10"/>
    <x v="9"/>
    <x v="22"/>
    <x v="4"/>
    <x v="4"/>
    <x v="1"/>
    <x v="3"/>
    <x v="7"/>
    <x v="1"/>
    <x v="3"/>
    <x v="7"/>
    <x v="26"/>
    <x v="17"/>
    <x v="805"/>
    <x v="725"/>
    <x v="1018"/>
    <x v="1502"/>
    <x v="259"/>
    <x v="0"/>
    <x v="1"/>
    <x v="0"/>
  </r>
  <r>
    <x v="2281"/>
    <x v="611"/>
    <x v="1"/>
    <x v="3"/>
    <x v="10"/>
    <x v="9"/>
    <x v="22"/>
    <x v="4"/>
    <x v="4"/>
    <x v="0"/>
    <x v="3"/>
    <x v="7"/>
    <x v="1"/>
    <x v="3"/>
    <x v="4"/>
    <x v="26"/>
    <x v="17"/>
    <x v="742"/>
    <x v="679"/>
    <x v="1236"/>
    <x v="1310"/>
    <x v="120"/>
    <x v="1"/>
    <x v="0"/>
    <x v="0"/>
  </r>
  <r>
    <x v="2282"/>
    <x v="618"/>
    <x v="1"/>
    <x v="3"/>
    <x v="10"/>
    <x v="9"/>
    <x v="22"/>
    <x v="4"/>
    <x v="4"/>
    <x v="1"/>
    <x v="3"/>
    <x v="7"/>
    <x v="2"/>
    <x v="5"/>
    <x v="6"/>
    <x v="23"/>
    <x v="15"/>
    <x v="555"/>
    <x v="520"/>
    <x v="540"/>
    <x v="1050"/>
    <x v="333"/>
    <x v="0"/>
    <x v="1"/>
    <x v="0"/>
  </r>
  <r>
    <x v="2283"/>
    <x v="598"/>
    <x v="1"/>
    <x v="3"/>
    <x v="10"/>
    <x v="9"/>
    <x v="22"/>
    <x v="4"/>
    <x v="4"/>
    <x v="0"/>
    <x v="3"/>
    <x v="7"/>
    <x v="2"/>
    <x v="5"/>
    <x v="3"/>
    <x v="23"/>
    <x v="15"/>
    <x v="390"/>
    <x v="385"/>
    <x v="948"/>
    <x v="666"/>
    <x v="186"/>
    <x v="1"/>
    <x v="0"/>
    <x v="2"/>
  </r>
  <r>
    <x v="2284"/>
    <x v="605"/>
    <x v="1"/>
    <x v="3"/>
    <x v="10"/>
    <x v="9"/>
    <x v="22"/>
    <x v="4"/>
    <x v="4"/>
    <x v="1"/>
    <x v="3"/>
    <x v="7"/>
    <x v="5"/>
    <x v="11"/>
    <x v="5"/>
    <x v="29"/>
    <x v="19"/>
    <x v="810"/>
    <x v="732"/>
    <x v="1040"/>
    <x v="1463"/>
    <x v="87"/>
    <x v="1"/>
    <x v="1"/>
    <x v="0"/>
  </r>
  <r>
    <x v="2285"/>
    <x v="612"/>
    <x v="1"/>
    <x v="3"/>
    <x v="10"/>
    <x v="9"/>
    <x v="22"/>
    <x v="4"/>
    <x v="4"/>
    <x v="0"/>
    <x v="3"/>
    <x v="7"/>
    <x v="5"/>
    <x v="11"/>
    <x v="4"/>
    <x v="29"/>
    <x v="19"/>
    <x v="795"/>
    <x v="726"/>
    <x v="1282"/>
    <x v="1360"/>
    <x v="22"/>
    <x v="2"/>
    <x v="0"/>
    <x v="0"/>
  </r>
  <r>
    <x v="2286"/>
    <x v="619"/>
    <x v="1"/>
    <x v="3"/>
    <x v="10"/>
    <x v="9"/>
    <x v="22"/>
    <x v="4"/>
    <x v="4"/>
    <x v="1"/>
    <x v="0"/>
    <x v="1"/>
    <x v="3"/>
    <x v="7"/>
    <x v="36"/>
    <x v="2"/>
    <x v="1"/>
    <x v="162"/>
    <x v="122"/>
    <x v="100"/>
    <x v="451"/>
    <x v="1204"/>
    <x v="1"/>
    <x v="1"/>
    <x v="2"/>
  </r>
  <r>
    <x v="2287"/>
    <x v="599"/>
    <x v="1"/>
    <x v="3"/>
    <x v="10"/>
    <x v="9"/>
    <x v="22"/>
    <x v="4"/>
    <x v="4"/>
    <x v="0"/>
    <x v="0"/>
    <x v="1"/>
    <x v="3"/>
    <x v="7"/>
    <x v="24"/>
    <x v="2"/>
    <x v="1"/>
    <x v="81"/>
    <x v="64"/>
    <x v="436"/>
    <x v="214"/>
    <x v="997"/>
    <x v="1"/>
    <x v="0"/>
    <x v="2"/>
  </r>
  <r>
    <x v="2288"/>
    <x v="606"/>
    <x v="1"/>
    <x v="3"/>
    <x v="10"/>
    <x v="9"/>
    <x v="22"/>
    <x v="4"/>
    <x v="4"/>
    <x v="1"/>
    <x v="0"/>
    <x v="1"/>
    <x v="8"/>
    <x v="17"/>
    <x v="30"/>
    <x v="14"/>
    <x v="8"/>
    <x v="494"/>
    <x v="418"/>
    <x v="454"/>
    <x v="1090"/>
    <x v="1130"/>
    <x v="0"/>
    <x v="1"/>
    <x v="0"/>
  </r>
  <r>
    <x v="2289"/>
    <x v="613"/>
    <x v="1"/>
    <x v="3"/>
    <x v="10"/>
    <x v="9"/>
    <x v="22"/>
    <x v="4"/>
    <x v="4"/>
    <x v="0"/>
    <x v="0"/>
    <x v="1"/>
    <x v="8"/>
    <x v="17"/>
    <x v="21"/>
    <x v="14"/>
    <x v="8"/>
    <x v="379"/>
    <x v="318"/>
    <x v="936"/>
    <x v="828"/>
    <x v="804"/>
    <x v="1"/>
    <x v="0"/>
    <x v="2"/>
  </r>
  <r>
    <x v="2290"/>
    <x v="620"/>
    <x v="1"/>
    <x v="3"/>
    <x v="10"/>
    <x v="9"/>
    <x v="22"/>
    <x v="4"/>
    <x v="4"/>
    <x v="1"/>
    <x v="0"/>
    <x v="1"/>
    <x v="9"/>
    <x v="19"/>
    <x v="39"/>
    <x v="8"/>
    <x v="5"/>
    <x v="450"/>
    <x v="407"/>
    <x v="394"/>
    <x v="943"/>
    <x v="776"/>
    <x v="1"/>
    <x v="1"/>
    <x v="2"/>
  </r>
  <r>
    <x v="2291"/>
    <x v="600"/>
    <x v="1"/>
    <x v="3"/>
    <x v="10"/>
    <x v="9"/>
    <x v="22"/>
    <x v="4"/>
    <x v="4"/>
    <x v="0"/>
    <x v="0"/>
    <x v="1"/>
    <x v="9"/>
    <x v="19"/>
    <x v="22"/>
    <x v="8"/>
    <x v="5"/>
    <x v="272"/>
    <x v="248"/>
    <x v="796"/>
    <x v="540"/>
    <x v="490"/>
    <x v="1"/>
    <x v="0"/>
    <x v="2"/>
  </r>
  <r>
    <x v="2292"/>
    <x v="607"/>
    <x v="1"/>
    <x v="3"/>
    <x v="10"/>
    <x v="9"/>
    <x v="22"/>
    <x v="4"/>
    <x v="4"/>
    <x v="1"/>
    <x v="2"/>
    <x v="5"/>
    <x v="0"/>
    <x v="1"/>
    <x v="16"/>
    <x v="17"/>
    <x v="11"/>
    <x v="376"/>
    <x v="330"/>
    <x v="303"/>
    <x v="838"/>
    <x v="940"/>
    <x v="1"/>
    <x v="1"/>
    <x v="2"/>
  </r>
  <r>
    <x v="2293"/>
    <x v="614"/>
    <x v="1"/>
    <x v="3"/>
    <x v="10"/>
    <x v="9"/>
    <x v="22"/>
    <x v="4"/>
    <x v="4"/>
    <x v="0"/>
    <x v="2"/>
    <x v="5"/>
    <x v="0"/>
    <x v="1"/>
    <x v="9"/>
    <x v="17"/>
    <x v="11"/>
    <x v="221"/>
    <x v="199"/>
    <x v="709"/>
    <x v="462"/>
    <x v="612"/>
    <x v="1"/>
    <x v="0"/>
    <x v="2"/>
  </r>
  <r>
    <x v="2294"/>
    <x v="594"/>
    <x v="1"/>
    <x v="3"/>
    <x v="10"/>
    <x v="9"/>
    <x v="22"/>
    <x v="4"/>
    <x v="4"/>
    <x v="1"/>
    <x v="2"/>
    <x v="5"/>
    <x v="4"/>
    <x v="9"/>
    <x v="15"/>
    <x v="11"/>
    <x v="9"/>
    <x v="251"/>
    <x v="235"/>
    <x v="172"/>
    <x v="526"/>
    <x v="626"/>
    <x v="1"/>
    <x v="1"/>
    <x v="2"/>
  </r>
  <r>
    <x v="2295"/>
    <x v="601"/>
    <x v="1"/>
    <x v="3"/>
    <x v="10"/>
    <x v="9"/>
    <x v="22"/>
    <x v="4"/>
    <x v="4"/>
    <x v="0"/>
    <x v="2"/>
    <x v="5"/>
    <x v="4"/>
    <x v="9"/>
    <x v="10"/>
    <x v="11"/>
    <x v="9"/>
    <x v="151"/>
    <x v="151"/>
    <x v="607"/>
    <x v="263"/>
    <x v="358"/>
    <x v="1"/>
    <x v="0"/>
    <x v="2"/>
  </r>
  <r>
    <x v="2296"/>
    <x v="608"/>
    <x v="1"/>
    <x v="3"/>
    <x v="10"/>
    <x v="9"/>
    <x v="22"/>
    <x v="4"/>
    <x v="4"/>
    <x v="1"/>
    <x v="1"/>
    <x v="3"/>
    <x v="7"/>
    <x v="15"/>
    <x v="22"/>
    <x v="20"/>
    <x v="13"/>
    <x v="505"/>
    <x v="474"/>
    <x v="470"/>
    <x v="983"/>
    <x v="467"/>
    <x v="0"/>
    <x v="1"/>
    <x v="0"/>
  </r>
  <r>
    <x v="2297"/>
    <x v="615"/>
    <x v="1"/>
    <x v="3"/>
    <x v="10"/>
    <x v="9"/>
    <x v="22"/>
    <x v="4"/>
    <x v="4"/>
    <x v="0"/>
    <x v="1"/>
    <x v="3"/>
    <x v="7"/>
    <x v="15"/>
    <x v="10"/>
    <x v="20"/>
    <x v="13"/>
    <x v="271"/>
    <x v="267"/>
    <x v="796"/>
    <x v="473"/>
    <x v="242"/>
    <x v="1"/>
    <x v="0"/>
    <x v="2"/>
  </r>
  <r>
    <x v="2298"/>
    <x v="595"/>
    <x v="1"/>
    <x v="3"/>
    <x v="10"/>
    <x v="9"/>
    <x v="22"/>
    <x v="4"/>
    <x v="4"/>
    <x v="1"/>
    <x v="1"/>
    <x v="3"/>
    <x v="6"/>
    <x v="13"/>
    <x v="17"/>
    <x v="5"/>
    <x v="3"/>
    <x v="66"/>
    <x v="60"/>
    <x v="29"/>
    <x v="183"/>
    <x v="1064"/>
    <x v="1"/>
    <x v="1"/>
    <x v="2"/>
  </r>
  <r>
    <x v="2299"/>
    <x v="602"/>
    <x v="1"/>
    <x v="3"/>
    <x v="10"/>
    <x v="9"/>
    <x v="22"/>
    <x v="4"/>
    <x v="4"/>
    <x v="0"/>
    <x v="1"/>
    <x v="3"/>
    <x v="6"/>
    <x v="13"/>
    <x v="12"/>
    <x v="5"/>
    <x v="3"/>
    <x v="32"/>
    <x v="34"/>
    <x v="258"/>
    <x v="72"/>
    <x v="744"/>
    <x v="1"/>
    <x v="0"/>
    <x v="2"/>
  </r>
  <r>
    <x v="2300"/>
    <x v="636"/>
    <x v="1"/>
    <x v="3"/>
    <x v="11"/>
    <x v="2"/>
    <x v="23"/>
    <x v="0"/>
    <x v="0"/>
    <x v="1"/>
    <x v="3"/>
    <x v="7"/>
    <x v="1"/>
    <x v="3"/>
    <x v="29"/>
    <x v="26"/>
    <x v="17"/>
    <x v="885"/>
    <x v="785"/>
    <x v="1274"/>
    <x v="1620"/>
    <x v="254"/>
    <x v="0"/>
    <x v="1"/>
    <x v="0"/>
  </r>
  <r>
    <x v="2301"/>
    <x v="643"/>
    <x v="1"/>
    <x v="3"/>
    <x v="11"/>
    <x v="2"/>
    <x v="23"/>
    <x v="0"/>
    <x v="0"/>
    <x v="0"/>
    <x v="3"/>
    <x v="7"/>
    <x v="1"/>
    <x v="3"/>
    <x v="17"/>
    <x v="26"/>
    <x v="17"/>
    <x v="857"/>
    <x v="761"/>
    <x v="1326"/>
    <x v="1583"/>
    <x v="122"/>
    <x v="1"/>
    <x v="0"/>
    <x v="0"/>
  </r>
  <r>
    <x v="2302"/>
    <x v="623"/>
    <x v="1"/>
    <x v="3"/>
    <x v="11"/>
    <x v="2"/>
    <x v="23"/>
    <x v="0"/>
    <x v="0"/>
    <x v="1"/>
    <x v="3"/>
    <x v="7"/>
    <x v="2"/>
    <x v="5"/>
    <x v="29"/>
    <x v="23"/>
    <x v="15"/>
    <x v="824"/>
    <x v="736"/>
    <x v="1086"/>
    <x v="1554"/>
    <x v="335"/>
    <x v="0"/>
    <x v="1"/>
    <x v="0"/>
  </r>
  <r>
    <x v="2303"/>
    <x v="630"/>
    <x v="1"/>
    <x v="3"/>
    <x v="11"/>
    <x v="2"/>
    <x v="23"/>
    <x v="0"/>
    <x v="0"/>
    <x v="0"/>
    <x v="3"/>
    <x v="7"/>
    <x v="2"/>
    <x v="5"/>
    <x v="22"/>
    <x v="23"/>
    <x v="15"/>
    <x v="806"/>
    <x v="723"/>
    <x v="1292"/>
    <x v="1477"/>
    <x v="184"/>
    <x v="1"/>
    <x v="0"/>
    <x v="0"/>
  </r>
  <r>
    <x v="2304"/>
    <x v="637"/>
    <x v="1"/>
    <x v="3"/>
    <x v="11"/>
    <x v="2"/>
    <x v="23"/>
    <x v="0"/>
    <x v="0"/>
    <x v="1"/>
    <x v="3"/>
    <x v="7"/>
    <x v="5"/>
    <x v="11"/>
    <x v="32"/>
    <x v="29"/>
    <x v="19"/>
    <x v="890"/>
    <x v="794"/>
    <x v="1306"/>
    <x v="1622"/>
    <x v="84"/>
    <x v="1"/>
    <x v="1"/>
    <x v="0"/>
  </r>
  <r>
    <x v="2305"/>
    <x v="644"/>
    <x v="1"/>
    <x v="3"/>
    <x v="11"/>
    <x v="2"/>
    <x v="23"/>
    <x v="0"/>
    <x v="0"/>
    <x v="0"/>
    <x v="3"/>
    <x v="7"/>
    <x v="5"/>
    <x v="11"/>
    <x v="19"/>
    <x v="29"/>
    <x v="19"/>
    <x v="881"/>
    <x v="786"/>
    <x v="1337"/>
    <x v="1603"/>
    <x v="18"/>
    <x v="2"/>
    <x v="0"/>
    <x v="0"/>
  </r>
  <r>
    <x v="2306"/>
    <x v="624"/>
    <x v="1"/>
    <x v="3"/>
    <x v="11"/>
    <x v="2"/>
    <x v="23"/>
    <x v="0"/>
    <x v="0"/>
    <x v="1"/>
    <x v="0"/>
    <x v="1"/>
    <x v="3"/>
    <x v="7"/>
    <x v="109"/>
    <x v="2"/>
    <x v="1"/>
    <x v="530"/>
    <x v="433"/>
    <x v="506"/>
    <x v="1177"/>
    <x v="1211"/>
    <x v="0"/>
    <x v="1"/>
    <x v="0"/>
  </r>
  <r>
    <x v="2307"/>
    <x v="631"/>
    <x v="1"/>
    <x v="3"/>
    <x v="11"/>
    <x v="2"/>
    <x v="23"/>
    <x v="0"/>
    <x v="0"/>
    <x v="0"/>
    <x v="0"/>
    <x v="1"/>
    <x v="3"/>
    <x v="7"/>
    <x v="89"/>
    <x v="2"/>
    <x v="1"/>
    <x v="439"/>
    <x v="355"/>
    <x v="1008"/>
    <x v="972"/>
    <x v="991"/>
    <x v="1"/>
    <x v="0"/>
    <x v="2"/>
  </r>
  <r>
    <x v="2308"/>
    <x v="638"/>
    <x v="1"/>
    <x v="3"/>
    <x v="11"/>
    <x v="2"/>
    <x v="23"/>
    <x v="0"/>
    <x v="0"/>
    <x v="1"/>
    <x v="0"/>
    <x v="1"/>
    <x v="8"/>
    <x v="17"/>
    <x v="115"/>
    <x v="14"/>
    <x v="8"/>
    <x v="819"/>
    <x v="722"/>
    <x v="1068"/>
    <x v="1569"/>
    <x v="1131"/>
    <x v="0"/>
    <x v="1"/>
    <x v="0"/>
  </r>
  <r>
    <x v="2309"/>
    <x v="645"/>
    <x v="1"/>
    <x v="3"/>
    <x v="11"/>
    <x v="2"/>
    <x v="23"/>
    <x v="0"/>
    <x v="0"/>
    <x v="0"/>
    <x v="0"/>
    <x v="1"/>
    <x v="8"/>
    <x v="17"/>
    <x v="98"/>
    <x v="14"/>
    <x v="8"/>
    <x v="794"/>
    <x v="694"/>
    <x v="1280"/>
    <x v="1522"/>
    <x v="793"/>
    <x v="0"/>
    <x v="0"/>
    <x v="0"/>
  </r>
  <r>
    <x v="2310"/>
    <x v="625"/>
    <x v="1"/>
    <x v="3"/>
    <x v="11"/>
    <x v="2"/>
    <x v="23"/>
    <x v="0"/>
    <x v="0"/>
    <x v="1"/>
    <x v="0"/>
    <x v="1"/>
    <x v="9"/>
    <x v="19"/>
    <x v="114"/>
    <x v="8"/>
    <x v="5"/>
    <x v="776"/>
    <x v="688"/>
    <x v="926"/>
    <x v="1486"/>
    <x v="767"/>
    <x v="0"/>
    <x v="1"/>
    <x v="0"/>
  </r>
  <r>
    <x v="2311"/>
    <x v="632"/>
    <x v="1"/>
    <x v="3"/>
    <x v="11"/>
    <x v="2"/>
    <x v="23"/>
    <x v="0"/>
    <x v="0"/>
    <x v="0"/>
    <x v="0"/>
    <x v="1"/>
    <x v="9"/>
    <x v="19"/>
    <x v="79"/>
    <x v="8"/>
    <x v="5"/>
    <x v="673"/>
    <x v="596"/>
    <x v="1184"/>
    <x v="1283"/>
    <x v="487"/>
    <x v="0"/>
    <x v="0"/>
    <x v="0"/>
  </r>
  <r>
    <x v="2312"/>
    <x v="639"/>
    <x v="1"/>
    <x v="3"/>
    <x v="11"/>
    <x v="2"/>
    <x v="23"/>
    <x v="0"/>
    <x v="0"/>
    <x v="1"/>
    <x v="2"/>
    <x v="5"/>
    <x v="0"/>
    <x v="1"/>
    <x v="54"/>
    <x v="17"/>
    <x v="11"/>
    <x v="730"/>
    <x v="642"/>
    <x v="821"/>
    <x v="1434"/>
    <x v="943"/>
    <x v="0"/>
    <x v="1"/>
    <x v="0"/>
  </r>
  <r>
    <x v="2313"/>
    <x v="646"/>
    <x v="1"/>
    <x v="3"/>
    <x v="11"/>
    <x v="2"/>
    <x v="23"/>
    <x v="0"/>
    <x v="0"/>
    <x v="0"/>
    <x v="2"/>
    <x v="5"/>
    <x v="0"/>
    <x v="1"/>
    <x v="45"/>
    <x v="17"/>
    <x v="11"/>
    <x v="687"/>
    <x v="601"/>
    <x v="1192"/>
    <x v="1317"/>
    <x v="615"/>
    <x v="0"/>
    <x v="0"/>
    <x v="0"/>
  </r>
  <r>
    <x v="2314"/>
    <x v="626"/>
    <x v="1"/>
    <x v="3"/>
    <x v="11"/>
    <x v="2"/>
    <x v="23"/>
    <x v="0"/>
    <x v="0"/>
    <x v="1"/>
    <x v="2"/>
    <x v="5"/>
    <x v="4"/>
    <x v="9"/>
    <x v="66"/>
    <x v="11"/>
    <x v="9"/>
    <x v="694"/>
    <x v="621"/>
    <x v="752"/>
    <x v="1332"/>
    <x v="626"/>
    <x v="0"/>
    <x v="1"/>
    <x v="0"/>
  </r>
  <r>
    <x v="2315"/>
    <x v="633"/>
    <x v="1"/>
    <x v="3"/>
    <x v="11"/>
    <x v="2"/>
    <x v="23"/>
    <x v="0"/>
    <x v="0"/>
    <x v="0"/>
    <x v="2"/>
    <x v="5"/>
    <x v="4"/>
    <x v="9"/>
    <x v="48"/>
    <x v="11"/>
    <x v="9"/>
    <x v="608"/>
    <x v="550"/>
    <x v="1138"/>
    <x v="1155"/>
    <x v="357"/>
    <x v="0"/>
    <x v="0"/>
    <x v="0"/>
  </r>
  <r>
    <x v="2316"/>
    <x v="640"/>
    <x v="1"/>
    <x v="3"/>
    <x v="11"/>
    <x v="2"/>
    <x v="23"/>
    <x v="0"/>
    <x v="0"/>
    <x v="1"/>
    <x v="1"/>
    <x v="3"/>
    <x v="7"/>
    <x v="15"/>
    <x v="69"/>
    <x v="20"/>
    <x v="13"/>
    <x v="788"/>
    <x v="705"/>
    <x v="958"/>
    <x v="1479"/>
    <x v="468"/>
    <x v="0"/>
    <x v="1"/>
    <x v="0"/>
  </r>
  <r>
    <x v="2317"/>
    <x v="647"/>
    <x v="1"/>
    <x v="3"/>
    <x v="11"/>
    <x v="2"/>
    <x v="23"/>
    <x v="0"/>
    <x v="0"/>
    <x v="0"/>
    <x v="1"/>
    <x v="3"/>
    <x v="7"/>
    <x v="15"/>
    <x v="57"/>
    <x v="20"/>
    <x v="13"/>
    <x v="753"/>
    <x v="680"/>
    <x v="1248"/>
    <x v="1388"/>
    <x v="244"/>
    <x v="0"/>
    <x v="0"/>
    <x v="0"/>
  </r>
  <r>
    <x v="2318"/>
    <x v="627"/>
    <x v="1"/>
    <x v="3"/>
    <x v="11"/>
    <x v="2"/>
    <x v="23"/>
    <x v="0"/>
    <x v="0"/>
    <x v="1"/>
    <x v="1"/>
    <x v="3"/>
    <x v="6"/>
    <x v="13"/>
    <x v="84"/>
    <x v="5"/>
    <x v="3"/>
    <x v="501"/>
    <x v="423"/>
    <x v="463"/>
    <x v="1092"/>
    <x v="1065"/>
    <x v="0"/>
    <x v="1"/>
    <x v="0"/>
  </r>
  <r>
    <x v="2319"/>
    <x v="634"/>
    <x v="1"/>
    <x v="3"/>
    <x v="11"/>
    <x v="2"/>
    <x v="23"/>
    <x v="0"/>
    <x v="0"/>
    <x v="0"/>
    <x v="1"/>
    <x v="3"/>
    <x v="6"/>
    <x v="13"/>
    <x v="45"/>
    <x v="5"/>
    <x v="3"/>
    <x v="287"/>
    <x v="245"/>
    <x v="813"/>
    <x v="627"/>
    <x v="740"/>
    <x v="1"/>
    <x v="0"/>
    <x v="2"/>
  </r>
  <r>
    <x v="2320"/>
    <x v="641"/>
    <x v="1"/>
    <x v="3"/>
    <x v="11"/>
    <x v="2"/>
    <x v="23"/>
    <x v="1"/>
    <x v="1"/>
    <x v="1"/>
    <x v="3"/>
    <x v="7"/>
    <x v="1"/>
    <x v="3"/>
    <x v="13"/>
    <x v="26"/>
    <x v="17"/>
    <x v="843"/>
    <x v="749"/>
    <x v="1152"/>
    <x v="1574"/>
    <x v="257"/>
    <x v="0"/>
    <x v="1"/>
    <x v="0"/>
  </r>
  <r>
    <x v="2321"/>
    <x v="621"/>
    <x v="1"/>
    <x v="3"/>
    <x v="11"/>
    <x v="2"/>
    <x v="23"/>
    <x v="1"/>
    <x v="1"/>
    <x v="0"/>
    <x v="3"/>
    <x v="7"/>
    <x v="1"/>
    <x v="3"/>
    <x v="10"/>
    <x v="26"/>
    <x v="17"/>
    <x v="828"/>
    <x v="740"/>
    <x v="1310"/>
    <x v="1530"/>
    <x v="120"/>
    <x v="1"/>
    <x v="0"/>
    <x v="0"/>
  </r>
  <r>
    <x v="2322"/>
    <x v="628"/>
    <x v="1"/>
    <x v="3"/>
    <x v="11"/>
    <x v="2"/>
    <x v="23"/>
    <x v="1"/>
    <x v="1"/>
    <x v="1"/>
    <x v="3"/>
    <x v="7"/>
    <x v="2"/>
    <x v="5"/>
    <x v="16"/>
    <x v="23"/>
    <x v="15"/>
    <x v="764"/>
    <x v="693"/>
    <x v="896"/>
    <x v="1431"/>
    <x v="334"/>
    <x v="0"/>
    <x v="1"/>
    <x v="0"/>
  </r>
  <r>
    <x v="2323"/>
    <x v="635"/>
    <x v="1"/>
    <x v="3"/>
    <x v="11"/>
    <x v="2"/>
    <x v="23"/>
    <x v="1"/>
    <x v="1"/>
    <x v="0"/>
    <x v="3"/>
    <x v="7"/>
    <x v="2"/>
    <x v="5"/>
    <x v="10"/>
    <x v="23"/>
    <x v="15"/>
    <x v="674"/>
    <x v="622"/>
    <x v="1185"/>
    <x v="1217"/>
    <x v="184"/>
    <x v="1"/>
    <x v="0"/>
    <x v="0"/>
  </r>
  <r>
    <x v="2324"/>
    <x v="642"/>
    <x v="1"/>
    <x v="3"/>
    <x v="11"/>
    <x v="2"/>
    <x v="23"/>
    <x v="1"/>
    <x v="1"/>
    <x v="1"/>
    <x v="3"/>
    <x v="7"/>
    <x v="5"/>
    <x v="11"/>
    <x v="17"/>
    <x v="29"/>
    <x v="19"/>
    <x v="875"/>
    <x v="781"/>
    <x v="1251"/>
    <x v="1607"/>
    <x v="83"/>
    <x v="1"/>
    <x v="1"/>
    <x v="0"/>
  </r>
  <r>
    <x v="2325"/>
    <x v="622"/>
    <x v="1"/>
    <x v="3"/>
    <x v="11"/>
    <x v="2"/>
    <x v="23"/>
    <x v="1"/>
    <x v="1"/>
    <x v="0"/>
    <x v="3"/>
    <x v="7"/>
    <x v="5"/>
    <x v="11"/>
    <x v="9"/>
    <x v="29"/>
    <x v="19"/>
    <x v="844"/>
    <x v="754"/>
    <x v="1320"/>
    <x v="1534"/>
    <x v="17"/>
    <x v="2"/>
    <x v="0"/>
    <x v="0"/>
  </r>
  <r>
    <x v="2326"/>
    <x v="629"/>
    <x v="1"/>
    <x v="3"/>
    <x v="11"/>
    <x v="2"/>
    <x v="23"/>
    <x v="1"/>
    <x v="1"/>
    <x v="1"/>
    <x v="0"/>
    <x v="1"/>
    <x v="3"/>
    <x v="7"/>
    <x v="85"/>
    <x v="2"/>
    <x v="1"/>
    <x v="423"/>
    <x v="341"/>
    <x v="367"/>
    <x v="994"/>
    <x v="1218"/>
    <x v="1"/>
    <x v="1"/>
    <x v="2"/>
  </r>
  <r>
    <x v="2327"/>
    <x v="636"/>
    <x v="1"/>
    <x v="3"/>
    <x v="11"/>
    <x v="2"/>
    <x v="23"/>
    <x v="1"/>
    <x v="1"/>
    <x v="0"/>
    <x v="0"/>
    <x v="1"/>
    <x v="3"/>
    <x v="7"/>
    <x v="55"/>
    <x v="2"/>
    <x v="1"/>
    <x v="278"/>
    <x v="220"/>
    <x v="803"/>
    <x v="649"/>
    <x v="990"/>
    <x v="1"/>
    <x v="0"/>
    <x v="2"/>
  </r>
  <r>
    <x v="2328"/>
    <x v="643"/>
    <x v="1"/>
    <x v="3"/>
    <x v="11"/>
    <x v="2"/>
    <x v="23"/>
    <x v="1"/>
    <x v="1"/>
    <x v="1"/>
    <x v="0"/>
    <x v="1"/>
    <x v="8"/>
    <x v="17"/>
    <x v="71"/>
    <x v="14"/>
    <x v="8"/>
    <x v="737"/>
    <x v="639"/>
    <x v="834"/>
    <x v="1453"/>
    <x v="1130"/>
    <x v="0"/>
    <x v="1"/>
    <x v="0"/>
  </r>
  <r>
    <x v="2329"/>
    <x v="623"/>
    <x v="1"/>
    <x v="3"/>
    <x v="11"/>
    <x v="2"/>
    <x v="23"/>
    <x v="1"/>
    <x v="1"/>
    <x v="0"/>
    <x v="0"/>
    <x v="1"/>
    <x v="8"/>
    <x v="17"/>
    <x v="56"/>
    <x v="14"/>
    <x v="8"/>
    <x v="680"/>
    <x v="583"/>
    <x v="1190"/>
    <x v="1336"/>
    <x v="792"/>
    <x v="0"/>
    <x v="0"/>
    <x v="0"/>
  </r>
  <r>
    <x v="2330"/>
    <x v="630"/>
    <x v="1"/>
    <x v="3"/>
    <x v="11"/>
    <x v="2"/>
    <x v="23"/>
    <x v="1"/>
    <x v="1"/>
    <x v="1"/>
    <x v="0"/>
    <x v="1"/>
    <x v="9"/>
    <x v="19"/>
    <x v="70"/>
    <x v="8"/>
    <x v="5"/>
    <x v="633"/>
    <x v="562"/>
    <x v="660"/>
    <x v="1265"/>
    <x v="774"/>
    <x v="0"/>
    <x v="1"/>
    <x v="0"/>
  </r>
  <r>
    <x v="2331"/>
    <x v="637"/>
    <x v="1"/>
    <x v="3"/>
    <x v="11"/>
    <x v="2"/>
    <x v="23"/>
    <x v="1"/>
    <x v="1"/>
    <x v="0"/>
    <x v="0"/>
    <x v="1"/>
    <x v="9"/>
    <x v="19"/>
    <x v="48"/>
    <x v="8"/>
    <x v="5"/>
    <x v="522"/>
    <x v="463"/>
    <x v="1071"/>
    <x v="1015"/>
    <x v="481"/>
    <x v="0"/>
    <x v="0"/>
    <x v="0"/>
  </r>
  <r>
    <x v="2332"/>
    <x v="644"/>
    <x v="1"/>
    <x v="3"/>
    <x v="11"/>
    <x v="2"/>
    <x v="23"/>
    <x v="1"/>
    <x v="1"/>
    <x v="1"/>
    <x v="2"/>
    <x v="5"/>
    <x v="0"/>
    <x v="1"/>
    <x v="39"/>
    <x v="17"/>
    <x v="11"/>
    <x v="647"/>
    <x v="568"/>
    <x v="680"/>
    <x v="1294"/>
    <x v="941"/>
    <x v="0"/>
    <x v="1"/>
    <x v="0"/>
  </r>
  <r>
    <x v="2333"/>
    <x v="624"/>
    <x v="1"/>
    <x v="3"/>
    <x v="11"/>
    <x v="2"/>
    <x v="23"/>
    <x v="1"/>
    <x v="1"/>
    <x v="0"/>
    <x v="2"/>
    <x v="5"/>
    <x v="0"/>
    <x v="1"/>
    <x v="24"/>
    <x v="17"/>
    <x v="11"/>
    <x v="504"/>
    <x v="444"/>
    <x v="1060"/>
    <x v="1013"/>
    <x v="611"/>
    <x v="0"/>
    <x v="0"/>
    <x v="0"/>
  </r>
  <r>
    <x v="2334"/>
    <x v="631"/>
    <x v="1"/>
    <x v="3"/>
    <x v="11"/>
    <x v="2"/>
    <x v="23"/>
    <x v="1"/>
    <x v="1"/>
    <x v="1"/>
    <x v="2"/>
    <x v="5"/>
    <x v="4"/>
    <x v="9"/>
    <x v="37"/>
    <x v="11"/>
    <x v="9"/>
    <x v="527"/>
    <x v="480"/>
    <x v="502"/>
    <x v="1063"/>
    <x v="623"/>
    <x v="0"/>
    <x v="1"/>
    <x v="0"/>
  </r>
  <r>
    <x v="2335"/>
    <x v="638"/>
    <x v="1"/>
    <x v="3"/>
    <x v="11"/>
    <x v="2"/>
    <x v="23"/>
    <x v="1"/>
    <x v="1"/>
    <x v="0"/>
    <x v="2"/>
    <x v="5"/>
    <x v="4"/>
    <x v="9"/>
    <x v="20"/>
    <x v="11"/>
    <x v="9"/>
    <x v="336"/>
    <x v="302"/>
    <x v="865"/>
    <x v="615"/>
    <x v="355"/>
    <x v="1"/>
    <x v="0"/>
    <x v="2"/>
  </r>
  <r>
    <x v="2336"/>
    <x v="645"/>
    <x v="1"/>
    <x v="3"/>
    <x v="11"/>
    <x v="2"/>
    <x v="23"/>
    <x v="1"/>
    <x v="1"/>
    <x v="1"/>
    <x v="1"/>
    <x v="3"/>
    <x v="7"/>
    <x v="15"/>
    <x v="47"/>
    <x v="20"/>
    <x v="13"/>
    <x v="719"/>
    <x v="654"/>
    <x v="802"/>
    <x v="1356"/>
    <x v="475"/>
    <x v="0"/>
    <x v="1"/>
    <x v="0"/>
  </r>
  <r>
    <x v="2337"/>
    <x v="625"/>
    <x v="1"/>
    <x v="3"/>
    <x v="11"/>
    <x v="2"/>
    <x v="23"/>
    <x v="1"/>
    <x v="1"/>
    <x v="0"/>
    <x v="1"/>
    <x v="3"/>
    <x v="7"/>
    <x v="15"/>
    <x v="30"/>
    <x v="20"/>
    <x v="13"/>
    <x v="600"/>
    <x v="554"/>
    <x v="1132"/>
    <x v="1101"/>
    <x v="243"/>
    <x v="0"/>
    <x v="0"/>
    <x v="0"/>
  </r>
  <r>
    <x v="2338"/>
    <x v="632"/>
    <x v="1"/>
    <x v="3"/>
    <x v="11"/>
    <x v="2"/>
    <x v="23"/>
    <x v="1"/>
    <x v="1"/>
    <x v="1"/>
    <x v="1"/>
    <x v="3"/>
    <x v="6"/>
    <x v="13"/>
    <x v="40"/>
    <x v="5"/>
    <x v="3"/>
    <x v="256"/>
    <x v="214"/>
    <x v="181"/>
    <x v="605"/>
    <x v="1060"/>
    <x v="1"/>
    <x v="1"/>
    <x v="2"/>
  </r>
  <r>
    <x v="2339"/>
    <x v="639"/>
    <x v="1"/>
    <x v="3"/>
    <x v="11"/>
    <x v="2"/>
    <x v="23"/>
    <x v="1"/>
    <x v="1"/>
    <x v="0"/>
    <x v="1"/>
    <x v="3"/>
    <x v="6"/>
    <x v="13"/>
    <x v="31"/>
    <x v="5"/>
    <x v="3"/>
    <x v="180"/>
    <x v="155"/>
    <x v="655"/>
    <x v="418"/>
    <x v="739"/>
    <x v="1"/>
    <x v="0"/>
    <x v="2"/>
  </r>
  <r>
    <x v="2340"/>
    <x v="646"/>
    <x v="1"/>
    <x v="3"/>
    <x v="11"/>
    <x v="2"/>
    <x v="23"/>
    <x v="3"/>
    <x v="3"/>
    <x v="1"/>
    <x v="3"/>
    <x v="7"/>
    <x v="1"/>
    <x v="3"/>
    <x v="12"/>
    <x v="26"/>
    <x v="17"/>
    <x v="839"/>
    <x v="747"/>
    <x v="1136"/>
    <x v="1567"/>
    <x v="256"/>
    <x v="0"/>
    <x v="1"/>
    <x v="0"/>
  </r>
  <r>
    <x v="2341"/>
    <x v="626"/>
    <x v="1"/>
    <x v="3"/>
    <x v="11"/>
    <x v="2"/>
    <x v="23"/>
    <x v="3"/>
    <x v="3"/>
    <x v="0"/>
    <x v="3"/>
    <x v="7"/>
    <x v="1"/>
    <x v="3"/>
    <x v="7"/>
    <x v="26"/>
    <x v="17"/>
    <x v="805"/>
    <x v="725"/>
    <x v="1292"/>
    <x v="1467"/>
    <x v="120"/>
    <x v="1"/>
    <x v="0"/>
    <x v="0"/>
  </r>
  <r>
    <x v="2342"/>
    <x v="633"/>
    <x v="1"/>
    <x v="3"/>
    <x v="11"/>
    <x v="2"/>
    <x v="23"/>
    <x v="3"/>
    <x v="3"/>
    <x v="1"/>
    <x v="3"/>
    <x v="7"/>
    <x v="2"/>
    <x v="5"/>
    <x v="9"/>
    <x v="23"/>
    <x v="15"/>
    <x v="649"/>
    <x v="603"/>
    <x v="683"/>
    <x v="1224"/>
    <x v="341"/>
    <x v="0"/>
    <x v="1"/>
    <x v="0"/>
  </r>
  <r>
    <x v="2343"/>
    <x v="640"/>
    <x v="1"/>
    <x v="3"/>
    <x v="11"/>
    <x v="2"/>
    <x v="23"/>
    <x v="3"/>
    <x v="3"/>
    <x v="0"/>
    <x v="3"/>
    <x v="7"/>
    <x v="2"/>
    <x v="5"/>
    <x v="6"/>
    <x v="23"/>
    <x v="15"/>
    <x v="555"/>
    <x v="520"/>
    <x v="1095"/>
    <x v="967"/>
    <x v="184"/>
    <x v="1"/>
    <x v="0"/>
    <x v="0"/>
  </r>
  <r>
    <x v="2344"/>
    <x v="647"/>
    <x v="1"/>
    <x v="3"/>
    <x v="11"/>
    <x v="2"/>
    <x v="23"/>
    <x v="3"/>
    <x v="3"/>
    <x v="1"/>
    <x v="3"/>
    <x v="7"/>
    <x v="5"/>
    <x v="11"/>
    <x v="8"/>
    <x v="29"/>
    <x v="19"/>
    <x v="838"/>
    <x v="750"/>
    <x v="1129"/>
    <x v="1542"/>
    <x v="81"/>
    <x v="1"/>
    <x v="1"/>
    <x v="0"/>
  </r>
  <r>
    <x v="2345"/>
    <x v="627"/>
    <x v="1"/>
    <x v="3"/>
    <x v="11"/>
    <x v="2"/>
    <x v="23"/>
    <x v="3"/>
    <x v="3"/>
    <x v="0"/>
    <x v="3"/>
    <x v="7"/>
    <x v="5"/>
    <x v="11"/>
    <x v="6"/>
    <x v="29"/>
    <x v="19"/>
    <x v="821"/>
    <x v="741"/>
    <x v="1303"/>
    <x v="1456"/>
    <x v="20"/>
    <x v="2"/>
    <x v="0"/>
    <x v="0"/>
  </r>
  <r>
    <x v="2346"/>
    <x v="634"/>
    <x v="1"/>
    <x v="3"/>
    <x v="11"/>
    <x v="2"/>
    <x v="23"/>
    <x v="3"/>
    <x v="3"/>
    <x v="1"/>
    <x v="0"/>
    <x v="1"/>
    <x v="3"/>
    <x v="7"/>
    <x v="48"/>
    <x v="2"/>
    <x v="1"/>
    <x v="236"/>
    <x v="185"/>
    <x v="159"/>
    <x v="622"/>
    <x v="1217"/>
    <x v="1"/>
    <x v="1"/>
    <x v="2"/>
  </r>
  <r>
    <x v="2347"/>
    <x v="641"/>
    <x v="1"/>
    <x v="3"/>
    <x v="11"/>
    <x v="2"/>
    <x v="23"/>
    <x v="3"/>
    <x v="3"/>
    <x v="0"/>
    <x v="0"/>
    <x v="1"/>
    <x v="3"/>
    <x v="7"/>
    <x v="36"/>
    <x v="2"/>
    <x v="1"/>
    <x v="162"/>
    <x v="122"/>
    <x v="620"/>
    <x v="412"/>
    <x v="988"/>
    <x v="1"/>
    <x v="0"/>
    <x v="2"/>
  </r>
  <r>
    <x v="2348"/>
    <x v="621"/>
    <x v="1"/>
    <x v="3"/>
    <x v="11"/>
    <x v="2"/>
    <x v="23"/>
    <x v="3"/>
    <x v="3"/>
    <x v="1"/>
    <x v="0"/>
    <x v="1"/>
    <x v="8"/>
    <x v="17"/>
    <x v="56"/>
    <x v="14"/>
    <x v="8"/>
    <x v="680"/>
    <x v="583"/>
    <x v="730"/>
    <x v="1374"/>
    <x v="1130"/>
    <x v="0"/>
    <x v="1"/>
    <x v="0"/>
  </r>
  <r>
    <x v="2349"/>
    <x v="628"/>
    <x v="1"/>
    <x v="3"/>
    <x v="11"/>
    <x v="2"/>
    <x v="23"/>
    <x v="3"/>
    <x v="3"/>
    <x v="0"/>
    <x v="0"/>
    <x v="1"/>
    <x v="8"/>
    <x v="17"/>
    <x v="32"/>
    <x v="14"/>
    <x v="8"/>
    <x v="518"/>
    <x v="439"/>
    <x v="1068"/>
    <x v="1074"/>
    <x v="798"/>
    <x v="0"/>
    <x v="0"/>
    <x v="0"/>
  </r>
  <r>
    <x v="2350"/>
    <x v="635"/>
    <x v="1"/>
    <x v="3"/>
    <x v="11"/>
    <x v="2"/>
    <x v="23"/>
    <x v="3"/>
    <x v="3"/>
    <x v="1"/>
    <x v="0"/>
    <x v="1"/>
    <x v="9"/>
    <x v="19"/>
    <x v="55"/>
    <x v="8"/>
    <x v="5"/>
    <x v="565"/>
    <x v="501"/>
    <x v="560"/>
    <x v="1158"/>
    <x v="766"/>
    <x v="0"/>
    <x v="1"/>
    <x v="0"/>
  </r>
  <r>
    <x v="2351"/>
    <x v="642"/>
    <x v="1"/>
    <x v="3"/>
    <x v="11"/>
    <x v="2"/>
    <x v="23"/>
    <x v="3"/>
    <x v="3"/>
    <x v="0"/>
    <x v="0"/>
    <x v="1"/>
    <x v="9"/>
    <x v="19"/>
    <x v="42"/>
    <x v="8"/>
    <x v="5"/>
    <x v="476"/>
    <x v="422"/>
    <x v="1036"/>
    <x v="922"/>
    <x v="489"/>
    <x v="1"/>
    <x v="0"/>
    <x v="2"/>
  </r>
  <r>
    <x v="2352"/>
    <x v="622"/>
    <x v="1"/>
    <x v="3"/>
    <x v="11"/>
    <x v="2"/>
    <x v="23"/>
    <x v="3"/>
    <x v="3"/>
    <x v="1"/>
    <x v="2"/>
    <x v="5"/>
    <x v="0"/>
    <x v="1"/>
    <x v="20"/>
    <x v="17"/>
    <x v="11"/>
    <x v="446"/>
    <x v="395"/>
    <x v="390"/>
    <x v="958"/>
    <x v="947"/>
    <x v="1"/>
    <x v="1"/>
    <x v="2"/>
  </r>
  <r>
    <x v="2353"/>
    <x v="629"/>
    <x v="1"/>
    <x v="3"/>
    <x v="11"/>
    <x v="2"/>
    <x v="23"/>
    <x v="3"/>
    <x v="3"/>
    <x v="0"/>
    <x v="2"/>
    <x v="5"/>
    <x v="0"/>
    <x v="1"/>
    <x v="17"/>
    <x v="17"/>
    <x v="11"/>
    <x v="397"/>
    <x v="345"/>
    <x v="953"/>
    <x v="813"/>
    <x v="617"/>
    <x v="1"/>
    <x v="0"/>
    <x v="2"/>
  </r>
  <r>
    <x v="2354"/>
    <x v="636"/>
    <x v="1"/>
    <x v="3"/>
    <x v="11"/>
    <x v="2"/>
    <x v="23"/>
    <x v="3"/>
    <x v="3"/>
    <x v="1"/>
    <x v="2"/>
    <x v="5"/>
    <x v="4"/>
    <x v="9"/>
    <x v="22"/>
    <x v="11"/>
    <x v="9"/>
    <x v="360"/>
    <x v="332"/>
    <x v="278"/>
    <x v="742"/>
    <x v="619"/>
    <x v="1"/>
    <x v="1"/>
    <x v="2"/>
  </r>
  <r>
    <x v="2355"/>
    <x v="643"/>
    <x v="1"/>
    <x v="3"/>
    <x v="11"/>
    <x v="2"/>
    <x v="23"/>
    <x v="3"/>
    <x v="3"/>
    <x v="0"/>
    <x v="2"/>
    <x v="5"/>
    <x v="4"/>
    <x v="9"/>
    <x v="14"/>
    <x v="11"/>
    <x v="9"/>
    <x v="228"/>
    <x v="221"/>
    <x v="722"/>
    <x v="429"/>
    <x v="358"/>
    <x v="1"/>
    <x v="0"/>
    <x v="2"/>
  </r>
  <r>
    <x v="2356"/>
    <x v="623"/>
    <x v="1"/>
    <x v="3"/>
    <x v="11"/>
    <x v="2"/>
    <x v="23"/>
    <x v="3"/>
    <x v="3"/>
    <x v="1"/>
    <x v="1"/>
    <x v="3"/>
    <x v="7"/>
    <x v="15"/>
    <x v="27"/>
    <x v="20"/>
    <x v="13"/>
    <x v="572"/>
    <x v="525"/>
    <x v="574"/>
    <x v="1104"/>
    <x v="473"/>
    <x v="0"/>
    <x v="1"/>
    <x v="0"/>
  </r>
  <r>
    <x v="2357"/>
    <x v="630"/>
    <x v="1"/>
    <x v="3"/>
    <x v="11"/>
    <x v="2"/>
    <x v="23"/>
    <x v="3"/>
    <x v="3"/>
    <x v="0"/>
    <x v="1"/>
    <x v="3"/>
    <x v="7"/>
    <x v="15"/>
    <x v="20"/>
    <x v="20"/>
    <x v="13"/>
    <x v="475"/>
    <x v="447"/>
    <x v="1035"/>
    <x v="862"/>
    <x v="247"/>
    <x v="1"/>
    <x v="0"/>
    <x v="2"/>
  </r>
  <r>
    <x v="2358"/>
    <x v="637"/>
    <x v="1"/>
    <x v="3"/>
    <x v="11"/>
    <x v="2"/>
    <x v="23"/>
    <x v="3"/>
    <x v="3"/>
    <x v="1"/>
    <x v="1"/>
    <x v="3"/>
    <x v="6"/>
    <x v="13"/>
    <x v="37"/>
    <x v="5"/>
    <x v="3"/>
    <x v="229"/>
    <x v="196"/>
    <x v="154"/>
    <x v="566"/>
    <x v="1059"/>
    <x v="1"/>
    <x v="1"/>
    <x v="2"/>
  </r>
  <r>
    <x v="2359"/>
    <x v="644"/>
    <x v="1"/>
    <x v="3"/>
    <x v="11"/>
    <x v="2"/>
    <x v="23"/>
    <x v="3"/>
    <x v="3"/>
    <x v="0"/>
    <x v="1"/>
    <x v="3"/>
    <x v="6"/>
    <x v="13"/>
    <x v="23"/>
    <x v="5"/>
    <x v="3"/>
    <x v="115"/>
    <x v="100"/>
    <x v="529"/>
    <x v="256"/>
    <x v="742"/>
    <x v="1"/>
    <x v="0"/>
    <x v="2"/>
  </r>
  <r>
    <x v="2360"/>
    <x v="624"/>
    <x v="1"/>
    <x v="3"/>
    <x v="11"/>
    <x v="2"/>
    <x v="23"/>
    <x v="2"/>
    <x v="2"/>
    <x v="1"/>
    <x v="3"/>
    <x v="7"/>
    <x v="1"/>
    <x v="3"/>
    <x v="7"/>
    <x v="26"/>
    <x v="17"/>
    <x v="805"/>
    <x v="725"/>
    <x v="1018"/>
    <x v="1502"/>
    <x v="259"/>
    <x v="0"/>
    <x v="1"/>
    <x v="0"/>
  </r>
  <r>
    <x v="2361"/>
    <x v="631"/>
    <x v="1"/>
    <x v="3"/>
    <x v="11"/>
    <x v="2"/>
    <x v="23"/>
    <x v="2"/>
    <x v="2"/>
    <x v="0"/>
    <x v="3"/>
    <x v="7"/>
    <x v="1"/>
    <x v="3"/>
    <x v="4"/>
    <x v="26"/>
    <x v="17"/>
    <x v="742"/>
    <x v="679"/>
    <x v="1236"/>
    <x v="1310"/>
    <x v="120"/>
    <x v="1"/>
    <x v="0"/>
    <x v="0"/>
  </r>
  <r>
    <x v="2362"/>
    <x v="638"/>
    <x v="1"/>
    <x v="3"/>
    <x v="11"/>
    <x v="2"/>
    <x v="23"/>
    <x v="2"/>
    <x v="2"/>
    <x v="1"/>
    <x v="3"/>
    <x v="7"/>
    <x v="2"/>
    <x v="5"/>
    <x v="7"/>
    <x v="23"/>
    <x v="15"/>
    <x v="590"/>
    <x v="556"/>
    <x v="604"/>
    <x v="1118"/>
    <x v="334"/>
    <x v="0"/>
    <x v="1"/>
    <x v="0"/>
  </r>
  <r>
    <x v="2363"/>
    <x v="645"/>
    <x v="1"/>
    <x v="3"/>
    <x v="11"/>
    <x v="2"/>
    <x v="23"/>
    <x v="2"/>
    <x v="2"/>
    <x v="0"/>
    <x v="3"/>
    <x v="7"/>
    <x v="2"/>
    <x v="5"/>
    <x v="3"/>
    <x v="23"/>
    <x v="15"/>
    <x v="390"/>
    <x v="385"/>
    <x v="948"/>
    <x v="666"/>
    <x v="186"/>
    <x v="1"/>
    <x v="0"/>
    <x v="2"/>
  </r>
  <r>
    <x v="2364"/>
    <x v="625"/>
    <x v="1"/>
    <x v="3"/>
    <x v="11"/>
    <x v="2"/>
    <x v="23"/>
    <x v="2"/>
    <x v="2"/>
    <x v="1"/>
    <x v="3"/>
    <x v="7"/>
    <x v="5"/>
    <x v="11"/>
    <x v="9"/>
    <x v="29"/>
    <x v="19"/>
    <x v="844"/>
    <x v="754"/>
    <x v="1155"/>
    <x v="1558"/>
    <x v="85"/>
    <x v="1"/>
    <x v="1"/>
    <x v="0"/>
  </r>
  <r>
    <x v="2365"/>
    <x v="632"/>
    <x v="1"/>
    <x v="3"/>
    <x v="11"/>
    <x v="2"/>
    <x v="23"/>
    <x v="2"/>
    <x v="2"/>
    <x v="0"/>
    <x v="3"/>
    <x v="7"/>
    <x v="5"/>
    <x v="11"/>
    <x v="5"/>
    <x v="29"/>
    <x v="19"/>
    <x v="810"/>
    <x v="732"/>
    <x v="1297"/>
    <x v="1418"/>
    <x v="21"/>
    <x v="2"/>
    <x v="0"/>
    <x v="0"/>
  </r>
  <r>
    <x v="2366"/>
    <x v="639"/>
    <x v="1"/>
    <x v="3"/>
    <x v="11"/>
    <x v="2"/>
    <x v="23"/>
    <x v="2"/>
    <x v="2"/>
    <x v="1"/>
    <x v="0"/>
    <x v="1"/>
    <x v="3"/>
    <x v="7"/>
    <x v="42"/>
    <x v="2"/>
    <x v="1"/>
    <x v="200"/>
    <x v="158"/>
    <x v="131"/>
    <x v="543"/>
    <x v="1212"/>
    <x v="1"/>
    <x v="1"/>
    <x v="2"/>
  </r>
  <r>
    <x v="2367"/>
    <x v="646"/>
    <x v="1"/>
    <x v="3"/>
    <x v="11"/>
    <x v="2"/>
    <x v="23"/>
    <x v="2"/>
    <x v="2"/>
    <x v="0"/>
    <x v="0"/>
    <x v="1"/>
    <x v="3"/>
    <x v="7"/>
    <x v="29"/>
    <x v="2"/>
    <x v="1"/>
    <x v="113"/>
    <x v="86"/>
    <x v="526"/>
    <x v="286"/>
    <x v="995"/>
    <x v="1"/>
    <x v="0"/>
    <x v="2"/>
  </r>
  <r>
    <x v="2368"/>
    <x v="626"/>
    <x v="1"/>
    <x v="3"/>
    <x v="11"/>
    <x v="2"/>
    <x v="23"/>
    <x v="2"/>
    <x v="2"/>
    <x v="1"/>
    <x v="0"/>
    <x v="1"/>
    <x v="8"/>
    <x v="17"/>
    <x v="38"/>
    <x v="14"/>
    <x v="8"/>
    <x v="574"/>
    <x v="487"/>
    <x v="577"/>
    <x v="1219"/>
    <x v="1130"/>
    <x v="0"/>
    <x v="1"/>
    <x v="0"/>
  </r>
  <r>
    <x v="2369"/>
    <x v="633"/>
    <x v="1"/>
    <x v="3"/>
    <x v="11"/>
    <x v="2"/>
    <x v="23"/>
    <x v="2"/>
    <x v="2"/>
    <x v="0"/>
    <x v="0"/>
    <x v="1"/>
    <x v="8"/>
    <x v="17"/>
    <x v="28"/>
    <x v="14"/>
    <x v="8"/>
    <x v="474"/>
    <x v="401"/>
    <x v="1034"/>
    <x v="990"/>
    <x v="801"/>
    <x v="1"/>
    <x v="0"/>
    <x v="2"/>
  </r>
  <r>
    <x v="2370"/>
    <x v="640"/>
    <x v="1"/>
    <x v="3"/>
    <x v="11"/>
    <x v="2"/>
    <x v="23"/>
    <x v="2"/>
    <x v="2"/>
    <x v="1"/>
    <x v="0"/>
    <x v="1"/>
    <x v="9"/>
    <x v="19"/>
    <x v="38"/>
    <x v="8"/>
    <x v="5"/>
    <x v="437"/>
    <x v="398"/>
    <x v="384"/>
    <x v="923"/>
    <x v="762"/>
    <x v="1"/>
    <x v="1"/>
    <x v="2"/>
  </r>
  <r>
    <x v="2371"/>
    <x v="647"/>
    <x v="1"/>
    <x v="3"/>
    <x v="11"/>
    <x v="2"/>
    <x v="23"/>
    <x v="2"/>
    <x v="2"/>
    <x v="0"/>
    <x v="0"/>
    <x v="1"/>
    <x v="9"/>
    <x v="19"/>
    <x v="25"/>
    <x v="8"/>
    <x v="5"/>
    <x v="315"/>
    <x v="277"/>
    <x v="838"/>
    <x v="606"/>
    <x v="479"/>
    <x v="1"/>
    <x v="0"/>
    <x v="2"/>
  </r>
  <r>
    <x v="2372"/>
    <x v="627"/>
    <x v="1"/>
    <x v="3"/>
    <x v="11"/>
    <x v="2"/>
    <x v="23"/>
    <x v="2"/>
    <x v="2"/>
    <x v="1"/>
    <x v="2"/>
    <x v="5"/>
    <x v="0"/>
    <x v="1"/>
    <x v="15"/>
    <x v="17"/>
    <x v="11"/>
    <x v="359"/>
    <x v="310"/>
    <x v="277"/>
    <x v="803"/>
    <x v="948"/>
    <x v="1"/>
    <x v="1"/>
    <x v="2"/>
  </r>
  <r>
    <x v="2373"/>
    <x v="634"/>
    <x v="1"/>
    <x v="3"/>
    <x v="11"/>
    <x v="2"/>
    <x v="23"/>
    <x v="2"/>
    <x v="2"/>
    <x v="0"/>
    <x v="2"/>
    <x v="5"/>
    <x v="0"/>
    <x v="1"/>
    <x v="13"/>
    <x v="17"/>
    <x v="11"/>
    <x v="325"/>
    <x v="276"/>
    <x v="847"/>
    <x v="651"/>
    <x v="610"/>
    <x v="1"/>
    <x v="0"/>
    <x v="2"/>
  </r>
  <r>
    <x v="2374"/>
    <x v="641"/>
    <x v="1"/>
    <x v="3"/>
    <x v="11"/>
    <x v="2"/>
    <x v="23"/>
    <x v="2"/>
    <x v="2"/>
    <x v="1"/>
    <x v="2"/>
    <x v="5"/>
    <x v="4"/>
    <x v="9"/>
    <x v="16"/>
    <x v="11"/>
    <x v="9"/>
    <x v="264"/>
    <x v="254"/>
    <x v="188"/>
    <x v="548"/>
    <x v="625"/>
    <x v="1"/>
    <x v="1"/>
    <x v="2"/>
  </r>
  <r>
    <x v="2375"/>
    <x v="621"/>
    <x v="1"/>
    <x v="3"/>
    <x v="11"/>
    <x v="2"/>
    <x v="23"/>
    <x v="2"/>
    <x v="2"/>
    <x v="0"/>
    <x v="2"/>
    <x v="5"/>
    <x v="4"/>
    <x v="9"/>
    <x v="12"/>
    <x v="11"/>
    <x v="9"/>
    <x v="191"/>
    <x v="186"/>
    <x v="669"/>
    <x v="341"/>
    <x v="352"/>
    <x v="1"/>
    <x v="0"/>
    <x v="2"/>
  </r>
  <r>
    <x v="2376"/>
    <x v="628"/>
    <x v="1"/>
    <x v="3"/>
    <x v="11"/>
    <x v="2"/>
    <x v="23"/>
    <x v="2"/>
    <x v="2"/>
    <x v="1"/>
    <x v="1"/>
    <x v="3"/>
    <x v="7"/>
    <x v="15"/>
    <x v="25"/>
    <x v="20"/>
    <x v="13"/>
    <x v="547"/>
    <x v="506"/>
    <x v="530"/>
    <x v="1065"/>
    <x v="467"/>
    <x v="0"/>
    <x v="1"/>
    <x v="0"/>
  </r>
  <r>
    <x v="2377"/>
    <x v="635"/>
    <x v="1"/>
    <x v="3"/>
    <x v="11"/>
    <x v="2"/>
    <x v="23"/>
    <x v="2"/>
    <x v="2"/>
    <x v="0"/>
    <x v="1"/>
    <x v="3"/>
    <x v="7"/>
    <x v="15"/>
    <x v="16"/>
    <x v="20"/>
    <x v="13"/>
    <x v="405"/>
    <x v="386"/>
    <x v="966"/>
    <x v="728"/>
    <x v="242"/>
    <x v="1"/>
    <x v="0"/>
    <x v="2"/>
  </r>
  <r>
    <x v="2378"/>
    <x v="642"/>
    <x v="1"/>
    <x v="3"/>
    <x v="11"/>
    <x v="2"/>
    <x v="23"/>
    <x v="2"/>
    <x v="2"/>
    <x v="1"/>
    <x v="1"/>
    <x v="3"/>
    <x v="6"/>
    <x v="13"/>
    <x v="24"/>
    <x v="5"/>
    <x v="3"/>
    <x v="120"/>
    <x v="105"/>
    <x v="69"/>
    <x v="322"/>
    <x v="1059"/>
    <x v="1"/>
    <x v="1"/>
    <x v="2"/>
  </r>
  <r>
    <x v="2379"/>
    <x v="622"/>
    <x v="1"/>
    <x v="3"/>
    <x v="11"/>
    <x v="2"/>
    <x v="23"/>
    <x v="2"/>
    <x v="2"/>
    <x v="0"/>
    <x v="1"/>
    <x v="3"/>
    <x v="6"/>
    <x v="13"/>
    <x v="13"/>
    <x v="5"/>
    <x v="3"/>
    <x v="40"/>
    <x v="38"/>
    <x v="291"/>
    <x v="85"/>
    <x v="737"/>
    <x v="1"/>
    <x v="0"/>
    <x v="2"/>
  </r>
  <r>
    <x v="2380"/>
    <x v="629"/>
    <x v="1"/>
    <x v="3"/>
    <x v="11"/>
    <x v="2"/>
    <x v="23"/>
    <x v="4"/>
    <x v="4"/>
    <x v="1"/>
    <x v="3"/>
    <x v="7"/>
    <x v="1"/>
    <x v="3"/>
    <x v="6"/>
    <x v="26"/>
    <x v="17"/>
    <x v="792"/>
    <x v="715"/>
    <x v="979"/>
    <x v="1468"/>
    <x v="258"/>
    <x v="0"/>
    <x v="1"/>
    <x v="0"/>
  </r>
  <r>
    <x v="2381"/>
    <x v="636"/>
    <x v="1"/>
    <x v="3"/>
    <x v="11"/>
    <x v="2"/>
    <x v="23"/>
    <x v="4"/>
    <x v="4"/>
    <x v="0"/>
    <x v="3"/>
    <x v="7"/>
    <x v="1"/>
    <x v="3"/>
    <x v="5"/>
    <x v="26"/>
    <x v="17"/>
    <x v="773"/>
    <x v="702"/>
    <x v="1260"/>
    <x v="1382"/>
    <x v="119"/>
    <x v="1"/>
    <x v="0"/>
    <x v="0"/>
  </r>
  <r>
    <x v="2382"/>
    <x v="643"/>
    <x v="1"/>
    <x v="3"/>
    <x v="11"/>
    <x v="2"/>
    <x v="23"/>
    <x v="4"/>
    <x v="4"/>
    <x v="1"/>
    <x v="3"/>
    <x v="7"/>
    <x v="2"/>
    <x v="5"/>
    <x v="8"/>
    <x v="23"/>
    <x v="15"/>
    <x v="623"/>
    <x v="577"/>
    <x v="650"/>
    <x v="1178"/>
    <x v="338"/>
    <x v="0"/>
    <x v="1"/>
    <x v="0"/>
  </r>
  <r>
    <x v="2383"/>
    <x v="623"/>
    <x v="1"/>
    <x v="3"/>
    <x v="11"/>
    <x v="2"/>
    <x v="23"/>
    <x v="4"/>
    <x v="4"/>
    <x v="0"/>
    <x v="3"/>
    <x v="7"/>
    <x v="2"/>
    <x v="5"/>
    <x v="4"/>
    <x v="23"/>
    <x v="15"/>
    <x v="454"/>
    <x v="442"/>
    <x v="1019"/>
    <x v="789"/>
    <x v="182"/>
    <x v="1"/>
    <x v="0"/>
    <x v="2"/>
  </r>
  <r>
    <x v="2384"/>
    <x v="630"/>
    <x v="1"/>
    <x v="3"/>
    <x v="11"/>
    <x v="2"/>
    <x v="23"/>
    <x v="4"/>
    <x v="4"/>
    <x v="1"/>
    <x v="3"/>
    <x v="7"/>
    <x v="5"/>
    <x v="11"/>
    <x v="7"/>
    <x v="29"/>
    <x v="19"/>
    <x v="830"/>
    <x v="745"/>
    <x v="1104"/>
    <x v="1529"/>
    <x v="86"/>
    <x v="1"/>
    <x v="1"/>
    <x v="0"/>
  </r>
  <r>
    <x v="2385"/>
    <x v="637"/>
    <x v="1"/>
    <x v="3"/>
    <x v="11"/>
    <x v="2"/>
    <x v="23"/>
    <x v="4"/>
    <x v="4"/>
    <x v="0"/>
    <x v="3"/>
    <x v="7"/>
    <x v="5"/>
    <x v="11"/>
    <x v="4"/>
    <x v="29"/>
    <x v="19"/>
    <x v="795"/>
    <x v="726"/>
    <x v="1282"/>
    <x v="1360"/>
    <x v="22"/>
    <x v="2"/>
    <x v="0"/>
    <x v="0"/>
  </r>
  <r>
    <x v="2386"/>
    <x v="644"/>
    <x v="1"/>
    <x v="3"/>
    <x v="11"/>
    <x v="2"/>
    <x v="23"/>
    <x v="4"/>
    <x v="4"/>
    <x v="1"/>
    <x v="0"/>
    <x v="1"/>
    <x v="3"/>
    <x v="7"/>
    <x v="43"/>
    <x v="2"/>
    <x v="1"/>
    <x v="204"/>
    <x v="160"/>
    <x v="135"/>
    <x v="549"/>
    <x v="1220"/>
    <x v="1"/>
    <x v="1"/>
    <x v="2"/>
  </r>
  <r>
    <x v="2387"/>
    <x v="624"/>
    <x v="1"/>
    <x v="3"/>
    <x v="11"/>
    <x v="2"/>
    <x v="23"/>
    <x v="4"/>
    <x v="4"/>
    <x v="0"/>
    <x v="0"/>
    <x v="1"/>
    <x v="3"/>
    <x v="7"/>
    <x v="29"/>
    <x v="2"/>
    <x v="1"/>
    <x v="113"/>
    <x v="86"/>
    <x v="526"/>
    <x v="286"/>
    <x v="995"/>
    <x v="1"/>
    <x v="0"/>
    <x v="2"/>
  </r>
  <r>
    <x v="2388"/>
    <x v="631"/>
    <x v="1"/>
    <x v="3"/>
    <x v="11"/>
    <x v="2"/>
    <x v="23"/>
    <x v="4"/>
    <x v="4"/>
    <x v="1"/>
    <x v="0"/>
    <x v="1"/>
    <x v="8"/>
    <x v="17"/>
    <x v="43"/>
    <x v="14"/>
    <x v="8"/>
    <x v="610"/>
    <x v="518"/>
    <x v="624"/>
    <x v="1266"/>
    <x v="1130"/>
    <x v="0"/>
    <x v="1"/>
    <x v="0"/>
  </r>
  <r>
    <x v="2389"/>
    <x v="638"/>
    <x v="1"/>
    <x v="3"/>
    <x v="11"/>
    <x v="2"/>
    <x v="23"/>
    <x v="4"/>
    <x v="4"/>
    <x v="0"/>
    <x v="0"/>
    <x v="1"/>
    <x v="8"/>
    <x v="17"/>
    <x v="31"/>
    <x v="14"/>
    <x v="8"/>
    <x v="507"/>
    <x v="425"/>
    <x v="1061"/>
    <x v="1062"/>
    <x v="799"/>
    <x v="0"/>
    <x v="0"/>
    <x v="0"/>
  </r>
  <r>
    <x v="2390"/>
    <x v="645"/>
    <x v="1"/>
    <x v="3"/>
    <x v="11"/>
    <x v="2"/>
    <x v="23"/>
    <x v="4"/>
    <x v="4"/>
    <x v="1"/>
    <x v="0"/>
    <x v="1"/>
    <x v="9"/>
    <x v="19"/>
    <x v="36"/>
    <x v="8"/>
    <x v="5"/>
    <x v="419"/>
    <x v="382"/>
    <x v="361"/>
    <x v="900"/>
    <x v="766"/>
    <x v="1"/>
    <x v="1"/>
    <x v="2"/>
  </r>
  <r>
    <x v="2391"/>
    <x v="625"/>
    <x v="1"/>
    <x v="3"/>
    <x v="11"/>
    <x v="2"/>
    <x v="23"/>
    <x v="4"/>
    <x v="4"/>
    <x v="0"/>
    <x v="0"/>
    <x v="1"/>
    <x v="9"/>
    <x v="19"/>
    <x v="29"/>
    <x v="8"/>
    <x v="5"/>
    <x v="354"/>
    <x v="315"/>
    <x v="891"/>
    <x v="711"/>
    <x v="484"/>
    <x v="1"/>
    <x v="0"/>
    <x v="2"/>
  </r>
  <r>
    <x v="2392"/>
    <x v="632"/>
    <x v="1"/>
    <x v="3"/>
    <x v="11"/>
    <x v="2"/>
    <x v="23"/>
    <x v="4"/>
    <x v="4"/>
    <x v="1"/>
    <x v="2"/>
    <x v="5"/>
    <x v="0"/>
    <x v="1"/>
    <x v="15"/>
    <x v="17"/>
    <x v="11"/>
    <x v="359"/>
    <x v="310"/>
    <x v="277"/>
    <x v="803"/>
    <x v="948"/>
    <x v="1"/>
    <x v="1"/>
    <x v="2"/>
  </r>
  <r>
    <x v="2393"/>
    <x v="639"/>
    <x v="1"/>
    <x v="3"/>
    <x v="11"/>
    <x v="2"/>
    <x v="23"/>
    <x v="4"/>
    <x v="4"/>
    <x v="0"/>
    <x v="2"/>
    <x v="5"/>
    <x v="0"/>
    <x v="1"/>
    <x v="10"/>
    <x v="17"/>
    <x v="11"/>
    <x v="250"/>
    <x v="219"/>
    <x v="751"/>
    <x v="516"/>
    <x v="618"/>
    <x v="1"/>
    <x v="0"/>
    <x v="2"/>
  </r>
  <r>
    <x v="2394"/>
    <x v="646"/>
    <x v="1"/>
    <x v="3"/>
    <x v="11"/>
    <x v="2"/>
    <x v="23"/>
    <x v="4"/>
    <x v="4"/>
    <x v="1"/>
    <x v="2"/>
    <x v="5"/>
    <x v="4"/>
    <x v="9"/>
    <x v="18"/>
    <x v="11"/>
    <x v="9"/>
    <x v="306"/>
    <x v="280"/>
    <x v="211"/>
    <x v="621"/>
    <x v="622"/>
    <x v="1"/>
    <x v="1"/>
    <x v="2"/>
  </r>
  <r>
    <x v="2395"/>
    <x v="626"/>
    <x v="1"/>
    <x v="3"/>
    <x v="11"/>
    <x v="2"/>
    <x v="23"/>
    <x v="4"/>
    <x v="4"/>
    <x v="0"/>
    <x v="2"/>
    <x v="5"/>
    <x v="4"/>
    <x v="9"/>
    <x v="13"/>
    <x v="11"/>
    <x v="9"/>
    <x v="209"/>
    <x v="202"/>
    <x v="696"/>
    <x v="388"/>
    <x v="351"/>
    <x v="1"/>
    <x v="0"/>
    <x v="2"/>
  </r>
  <r>
    <x v="2396"/>
    <x v="633"/>
    <x v="1"/>
    <x v="3"/>
    <x v="11"/>
    <x v="2"/>
    <x v="23"/>
    <x v="4"/>
    <x v="4"/>
    <x v="1"/>
    <x v="1"/>
    <x v="3"/>
    <x v="7"/>
    <x v="15"/>
    <x v="27"/>
    <x v="20"/>
    <x v="13"/>
    <x v="572"/>
    <x v="525"/>
    <x v="574"/>
    <x v="1104"/>
    <x v="473"/>
    <x v="0"/>
    <x v="1"/>
    <x v="0"/>
  </r>
  <r>
    <x v="2397"/>
    <x v="640"/>
    <x v="1"/>
    <x v="3"/>
    <x v="11"/>
    <x v="2"/>
    <x v="23"/>
    <x v="4"/>
    <x v="4"/>
    <x v="0"/>
    <x v="1"/>
    <x v="3"/>
    <x v="7"/>
    <x v="15"/>
    <x v="16"/>
    <x v="20"/>
    <x v="13"/>
    <x v="405"/>
    <x v="386"/>
    <x v="966"/>
    <x v="728"/>
    <x v="242"/>
    <x v="1"/>
    <x v="0"/>
    <x v="2"/>
  </r>
  <r>
    <x v="2398"/>
    <x v="647"/>
    <x v="1"/>
    <x v="3"/>
    <x v="11"/>
    <x v="2"/>
    <x v="23"/>
    <x v="4"/>
    <x v="4"/>
    <x v="1"/>
    <x v="1"/>
    <x v="3"/>
    <x v="6"/>
    <x v="13"/>
    <x v="21"/>
    <x v="5"/>
    <x v="3"/>
    <x v="97"/>
    <x v="83"/>
    <x v="51"/>
    <x v="259"/>
    <x v="1057"/>
    <x v="1"/>
    <x v="1"/>
    <x v="2"/>
  </r>
  <r>
    <x v="2399"/>
    <x v="627"/>
    <x v="1"/>
    <x v="3"/>
    <x v="11"/>
    <x v="2"/>
    <x v="23"/>
    <x v="4"/>
    <x v="4"/>
    <x v="0"/>
    <x v="1"/>
    <x v="3"/>
    <x v="6"/>
    <x v="13"/>
    <x v="15"/>
    <x v="5"/>
    <x v="3"/>
    <x v="52"/>
    <x v="48"/>
    <x v="343"/>
    <x v="116"/>
    <x v="746"/>
    <x v="1"/>
    <x v="0"/>
    <x v="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7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8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9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10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1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1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1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1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1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1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17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D_Ventas_por_Region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B6:E13" firstHeaderRow="1" firstDataRow="2" firstDataCol="1"/>
  <pivotFields count="25">
    <pivotField showAll="0"/>
    <pivotField showAll="0"/>
    <pivotField showAll="0"/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 multipleItemSelectionAllowed="1">
      <items count="3">
        <item x="0"/>
        <item x="1"/>
        <item t="default"/>
      </items>
    </pivotField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7"/>
  </rowFields>
  <colFields count="1">
    <field x="-2"/>
  </colFields>
  <dataFields count="3">
    <dataField name="Ventas" fld="17" subtotal="sum" numFmtId="165"/>
    <dataField name="Margen" fld="20" subtotal="sum" numFmtId="165"/>
    <dataField name="Unidades" fld="14" subtotal="sum" numFmtId="169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D_Ventas_por_Categoria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G6:J12" firstHeaderRow="1" firstDataRow="2" firstDataCol="1"/>
  <pivotFields count="25">
    <pivotField showAll="0"/>
    <pivotField showAll="0"/>
    <pivotField showAll="0"/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 multipleItemSelectionAllowed="1">
      <items count="6">
        <item x="0"/>
        <item x="1"/>
        <item x="2"/>
        <item x="3"/>
        <item x="4"/>
        <item t="default"/>
      </items>
    </pivotField>
    <pivotField showAll="0"/>
    <pivotField showAll="0" multipleItemSelectionAllowed="1">
      <items count="3">
        <item x="0"/>
        <item x="1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0"/>
  </rowFields>
  <colFields count="1">
    <field x="-2"/>
  </colFields>
  <dataFields count="3">
    <dataField name="Ventas" fld="17" subtotal="sum" numFmtId="165"/>
    <dataField name="Margen" fld="20" subtotal="sum" numFmtId="165"/>
    <dataField name="Unidades" fld="14" subtotal="sum" numFmtId="169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TD_Ventas_por_Producto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B16:E28" firstHeaderRow="1" firstDataRow="2" firstDataCol="1"/>
  <pivotFields count="25">
    <pivotField showAll="0"/>
    <pivotField showAll="0"/>
    <pivotField showAll="0"/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 multipleItemSelectionAllowed="1">
      <items count="6">
        <item x="0"/>
        <item x="1"/>
        <item x="2"/>
        <item x="3"/>
        <item x="4"/>
        <item t="default"/>
      </items>
    </pivotField>
    <pivotField showAll="0"/>
    <pivotField showAll="0" multipleItemSelectionAllowed="1">
      <items count="3">
        <item x="0"/>
        <item x="1"/>
        <item t="default"/>
      </items>
    </pivotField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axis="axisRow" showAll="0">
      <items count="11">
        <item x="1"/>
        <item x="2"/>
        <item x="5"/>
        <item x="3"/>
        <item x="8"/>
        <item x="9"/>
        <item x="0"/>
        <item x="4"/>
        <item x="7"/>
        <item x="6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2"/>
  </rowFields>
  <colFields count="1">
    <field x="-2"/>
  </colFields>
  <dataFields count="3">
    <dataField name="Ventas" fld="17" subtotal="sum" numFmtId="165"/>
    <dataField name="Margen" fld="20" subtotal="sum" numFmtId="165"/>
    <dataField name="Unidades" fld="14" subtotal="sum" numFmtId="169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TD_Rentabilidad_por_Segmento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G16:I21" firstHeaderRow="1" firstDataRow="2" firstDataCol="1"/>
  <pivotFields count="25">
    <pivotField showAll="0"/>
    <pivotField showAll="0"/>
    <pivotField showAll="0"/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 multipleItemSelectionAllowed="1">
      <items count="6">
        <item x="0"/>
        <item x="1"/>
        <item x="2"/>
        <item x="3"/>
        <item x="4"/>
        <item t="default"/>
      </items>
    </pivotField>
    <pivotField showAll="0"/>
    <pivotField showAll="0" multipleItemSelectionAllowed="1">
      <items count="3">
        <item x="0"/>
        <item x="1"/>
        <item t="default"/>
      </items>
    </pivotField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22"/>
  </rowFields>
  <colFields count="1">
    <field x="-2"/>
  </colFields>
  <dataFields count="2">
    <dataField name="Ventas" fld="17" subtotal="sum" numFmtId="165"/>
    <dataField name="Unidades" fld="14" subtotal="sum" numFmtId="169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T_Anio_Ventas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6" firstHeaderRow="1" firstDataRow="1" firstDataCol="1"/>
  <pivotFields count="25">
    <pivotField showAll="0"/>
    <pivotField showAll="0"/>
    <pivotField axis="axisRow" showAll="0">
      <items count="3">
        <item x="0"/>
        <item x="1"/>
        <item t="default"/>
      </items>
    </pivotField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 multipleItemSelectionAllowed="1">
      <items count="6">
        <item x="0"/>
        <item x="1"/>
        <item x="2"/>
        <item x="3"/>
        <item x="4"/>
        <item t="default"/>
      </items>
    </pivotField>
    <pivotField showAll="0"/>
    <pivotField showAll="0" multipleItemSelectionAllowed="1">
      <items count="3">
        <item x="0"/>
        <item x="1"/>
        <item t="default"/>
      </items>
    </pivotField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dataFields count="1">
    <dataField name="Ventas" fld="17" subtotal="sum" numFmtId="165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T_ProdAnio_Ventas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B3:AC24" firstHeaderRow="1" firstDataRow="1" firstDataCol="1"/>
  <pivotFields count="25">
    <pivotField showAll="0"/>
    <pivotField showAll="0"/>
    <pivotField showAll="0"/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 multipleItemSelectionAllowed="1">
      <items count="6">
        <item x="0"/>
        <item x="1"/>
        <item x="2"/>
        <item x="3"/>
        <item x="4"/>
        <item t="default"/>
      </items>
    </pivotField>
    <pivotField showAll="0"/>
    <pivotField showAll="0" multipleItemSelectionAllowed="1">
      <items count="3">
        <item x="0"/>
        <item x="1"/>
        <item t="default"/>
      </items>
    </pivotField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axis="axisRow" showAll="0">
      <items count="21">
        <item x="2"/>
        <item x="4"/>
        <item x="10"/>
        <item x="6"/>
        <item x="16"/>
        <item x="18"/>
        <item x="0"/>
        <item x="8"/>
        <item x="14"/>
        <item x="12"/>
        <item x="3"/>
        <item x="5"/>
        <item x="11"/>
        <item x="7"/>
        <item x="17"/>
        <item x="19"/>
        <item x="1"/>
        <item x="9"/>
        <item x="15"/>
        <item x="1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dataFields count="1">
    <dataField name="Ventas" fld="17" subtotal="sum" numFmtId="165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T_ProdAnio_Margen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E3:AF24" firstHeaderRow="1" firstDataRow="1" firstDataCol="1"/>
  <pivotFields count="25">
    <pivotField showAll="0"/>
    <pivotField showAll="0"/>
    <pivotField showAll="0"/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 multipleItemSelectionAllowed="1">
      <items count="6">
        <item x="0"/>
        <item x="1"/>
        <item x="2"/>
        <item x="3"/>
        <item x="4"/>
        <item t="default"/>
      </items>
    </pivotField>
    <pivotField showAll="0"/>
    <pivotField showAll="0" multipleItemSelectionAllowed="1">
      <items count="3">
        <item x="0"/>
        <item x="1"/>
        <item t="default"/>
      </items>
    </pivotField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axis="axisRow" showAll="0">
      <items count="21">
        <item x="2"/>
        <item x="4"/>
        <item x="10"/>
        <item x="6"/>
        <item x="16"/>
        <item x="18"/>
        <item x="0"/>
        <item x="8"/>
        <item x="14"/>
        <item x="12"/>
        <item x="3"/>
        <item x="5"/>
        <item x="11"/>
        <item x="7"/>
        <item x="17"/>
        <item x="19"/>
        <item x="1"/>
        <item x="9"/>
        <item x="15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3"/>
  </rowFields>
  <dataFields count="1">
    <dataField name="Margen" fld="20" subtotal="sum" numFmtId="165"/>
  </dataField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T_Region_Ventas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H3:AI9" firstHeaderRow="1" firstDataRow="1" firstDataCol="1"/>
  <pivotFields count="25">
    <pivotField showAll="0"/>
    <pivotField showAll="0"/>
    <pivotField showAll="0"/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 multipleItemSelectionAllowed="1">
      <items count="3">
        <item x="0"/>
        <item x="1"/>
        <item t="default"/>
      </items>
    </pivotField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dataFields count="1">
    <dataField name="Ventas" fld="17" subtotal="sum" numFmtId="165"/>
  </dataField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PT_Region_Margen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K3:AL9" firstHeaderRow="1" firstDataRow="1" firstDataCol="1"/>
  <pivotFields count="25">
    <pivotField showAll="0"/>
    <pivotField showAll="0"/>
    <pivotField showAll="0"/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 multipleItemSelectionAllowed="1">
      <items count="3">
        <item x="0"/>
        <item x="1"/>
        <item t="default"/>
      </items>
    </pivotField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7"/>
  </rowFields>
  <dataFields count="1">
    <dataField name="Margen" fld="20" subtotal="sum" numFmtId="165"/>
  </dataFields>
  <pivotTableStyleInfo name="PivotStyleLight16" showRowHeaders="1" showColHeaders="1" showRowStripes="0" showColStripes="0" showLastColumn="1"/>
</pivotTableDefinition>
</file>

<file path=xl/pivotTables/pivotTable10.xml><?xml version="1.0" encoding="utf-8"?>
<pivotTableDefinition xmlns="http://schemas.openxmlformats.org/spreadsheetml/2006/main" name="PT_Anio_Margen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D3:E6" firstHeaderRow="1" firstDataRow="1" firstDataCol="1"/>
  <pivotFields count="25">
    <pivotField showAll="0"/>
    <pivotField showAll="0"/>
    <pivotField axis="axisRow" showAll="0">
      <items count="3">
        <item x="0"/>
        <item x="1"/>
        <item t="default"/>
      </items>
    </pivotField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 multipleItemSelectionAllowed="1">
      <items count="6">
        <item x="0"/>
        <item x="1"/>
        <item x="2"/>
        <item x="3"/>
        <item x="4"/>
        <item t="default"/>
      </items>
    </pivotField>
    <pivotField showAll="0"/>
    <pivotField showAll="0" multipleItemSelectionAllowed="1">
      <items count="3">
        <item x="0"/>
        <item x="1"/>
        <item t="default"/>
      </items>
    </pivotField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dataFields count="1">
    <dataField name="Margen" fld="20" subtotal="sum" numFmtId="165"/>
  </dataFields>
  <pivotTableStyleInfo name="PivotStyleLight16" showRowHeaders="1" showColHeaders="1" showRowStripes="0" showColStripes="0" showLastColumn="1"/>
</pivotTableDefinition>
</file>

<file path=xl/pivotTables/pivotTable11.xml><?xml version="1.0" encoding="utf-8"?>
<pivotTableDefinition xmlns="http://schemas.openxmlformats.org/spreadsheetml/2006/main" name="PT_Anio_Unidades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G3:H6" firstHeaderRow="1" firstDataRow="1" firstDataCol="1"/>
  <pivotFields count="25">
    <pivotField showAll="0"/>
    <pivotField showAll="0"/>
    <pivotField axis="axisRow" showAll="0">
      <items count="3">
        <item x="0"/>
        <item x="1"/>
        <item t="default"/>
      </items>
    </pivotField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 multipleItemSelectionAllowed="1">
      <items count="6">
        <item x="0"/>
        <item x="1"/>
        <item x="2"/>
        <item x="3"/>
        <item x="4"/>
        <item t="default"/>
      </items>
    </pivotField>
    <pivotField showAll="0"/>
    <pivotField showAll="0" multipleItemSelectionAllowed="1">
      <items count="3">
        <item x="0"/>
        <item x="1"/>
        <item t="default"/>
      </items>
    </pivotField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dataFields count="1">
    <dataField name="Unidades" fld="14" subtotal="sum" numFmtId="169"/>
  </dataFields>
  <pivotTableStyleInfo name="PivotStyleLight16" showRowHeaders="1" showColHeaders="1" showRowStripes="0" showColStripes="0" showLastColumn="1"/>
</pivotTableDefinition>
</file>

<file path=xl/pivotTables/pivotTable12.xml><?xml version="1.0" encoding="utf-8"?>
<pivotTableDefinition xmlns="http://schemas.openxmlformats.org/spreadsheetml/2006/main" name="PT_Anio_CostoProd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J3:K6" firstHeaderRow="1" firstDataRow="1" firstDataCol="1"/>
  <pivotFields count="25">
    <pivotField showAll="0"/>
    <pivotField showAll="0"/>
    <pivotField axis="axisRow" showAll="0">
      <items count="3">
        <item x="0"/>
        <item x="1"/>
        <item t="default"/>
      </items>
    </pivotField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 multipleItemSelectionAllowed="1">
      <items count="6">
        <item x="0"/>
        <item x="1"/>
        <item x="2"/>
        <item x="3"/>
        <item x="4"/>
        <item t="default"/>
      </items>
    </pivotField>
    <pivotField showAll="0"/>
    <pivotField showAll="0" multipleItemSelectionAllowed="1">
      <items count="3">
        <item x="0"/>
        <item x="1"/>
        <item t="default"/>
      </items>
    </pivotField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dataFields count="1">
    <dataField name="CostoProd" fld="18" subtotal="sum" numFmtId="165"/>
  </dataFields>
  <pivotTableStyleInfo name="PivotStyleLight16" showRowHeaders="1" showColHeaders="1" showRowStripes="0" showColStripes="0" showLastColumn="1"/>
</pivotTableDefinition>
</file>

<file path=xl/pivotTables/pivotTable13.xml><?xml version="1.0" encoding="utf-8"?>
<pivotTableDefinition xmlns="http://schemas.openxmlformats.org/spreadsheetml/2006/main" name="PT_Anio_CostoLog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M3:N6" firstHeaderRow="1" firstDataRow="1" firstDataCol="1"/>
  <pivotFields count="25">
    <pivotField showAll="0"/>
    <pivotField showAll="0"/>
    <pivotField axis="axisRow" showAll="0">
      <items count="3">
        <item x="0"/>
        <item x="1"/>
        <item t="default"/>
      </items>
    </pivotField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 multipleItemSelectionAllowed="1">
      <items count="6">
        <item x="0"/>
        <item x="1"/>
        <item x="2"/>
        <item x="3"/>
        <item x="4"/>
        <item t="default"/>
      </items>
    </pivotField>
    <pivotField showAll="0"/>
    <pivotField showAll="0" multipleItemSelectionAllowed="1">
      <items count="3">
        <item x="0"/>
        <item x="1"/>
        <item t="default"/>
      </items>
    </pivotField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dataFields count="1">
    <dataField name="CostoLog" fld="19" subtotal="sum" numFmtId="165"/>
  </dataFields>
  <pivotTableStyleInfo name="PivotStyleLight16" showRowHeaders="1" showColHeaders="1" showRowStripes="0" showColStripes="0" showLastColumn="1"/>
</pivotTableDefinition>
</file>

<file path=xl/pivotTables/pivotTable14.xml><?xml version="1.0" encoding="utf-8"?>
<pivotTableDefinition xmlns="http://schemas.openxmlformats.org/spreadsheetml/2006/main" name="PT_Periodo_Ventas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P3:Q28" firstHeaderRow="1" firstDataRow="1" firstDataCol="1"/>
  <pivotFields count="25">
    <pivotField showAll="0"/>
    <pivotField showAll="0"/>
    <pivotField showAll="0"/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 multipleItemSelectionAllowed="1">
      <items count="6">
        <item x="0"/>
        <item x="1"/>
        <item x="2"/>
        <item x="3"/>
        <item x="4"/>
        <item t="default"/>
      </items>
    </pivotField>
    <pivotField showAll="0"/>
    <pivotField showAll="0" multipleItemSelectionAllowed="1">
      <items count="3">
        <item x="0"/>
        <item x="1"/>
        <item t="default"/>
      </items>
    </pivotField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dataFields count="1">
    <dataField name="Ventas" fld="17" subtotal="sum" numFmtId="165"/>
  </dataFields>
  <pivotTableStyleInfo name="PivotStyleLight16" showRowHeaders="1" showColHeaders="1" showRowStripes="0" showColStripes="0" showLastColumn="1"/>
</pivotTableDefinition>
</file>

<file path=xl/pivotTables/pivotTable15.xml><?xml version="1.0" encoding="utf-8"?>
<pivotTableDefinition xmlns="http://schemas.openxmlformats.org/spreadsheetml/2006/main" name="PT_Periodo_Margen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S3:T28" firstHeaderRow="1" firstDataRow="1" firstDataCol="1"/>
  <pivotFields count="25">
    <pivotField showAll="0"/>
    <pivotField showAll="0"/>
    <pivotField showAll="0"/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 multipleItemSelectionAllowed="1">
      <items count="6">
        <item x="0"/>
        <item x="1"/>
        <item x="2"/>
        <item x="3"/>
        <item x="4"/>
        <item t="default"/>
      </items>
    </pivotField>
    <pivotField showAll="0"/>
    <pivotField showAll="0" multipleItemSelectionAllowed="1">
      <items count="3">
        <item x="0"/>
        <item x="1"/>
        <item t="default"/>
      </items>
    </pivotField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6"/>
  </rowFields>
  <dataFields count="1">
    <dataField name="Margen" fld="20" subtotal="sum" numFmtId="165"/>
  </dataFields>
  <pivotTableStyleInfo name="PivotStyleLight16" showRowHeaders="1" showColHeaders="1" showRowStripes="0" showColStripes="0" showLastColumn="1"/>
</pivotTableDefinition>
</file>

<file path=xl/pivotTables/pivotTable16.xml><?xml version="1.0" encoding="utf-8"?>
<pivotTableDefinition xmlns="http://schemas.openxmlformats.org/spreadsheetml/2006/main" name="PT_CatAnio_Ventas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V3:W12" firstHeaderRow="1" firstDataRow="1" firstDataCol="1"/>
  <pivotFields count="25">
    <pivotField showAll="0"/>
    <pivotField showAll="0"/>
    <pivotField showAll="0"/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 multipleItemSelectionAllowed="1">
      <items count="6">
        <item x="0"/>
        <item x="1"/>
        <item x="2"/>
        <item x="3"/>
        <item x="4"/>
        <item t="default"/>
      </items>
    </pivotField>
    <pivotField showAll="0"/>
    <pivotField showAll="0" multipleItemSelectionAllowed="1">
      <items count="3">
        <item x="0"/>
        <item x="1"/>
        <item t="default"/>
      </items>
    </pivotField>
    <pivotField showAll="0" multipleItemSelectionAllowed="1">
      <items count="5">
        <item x="0"/>
        <item x="1"/>
        <item x="2"/>
        <item x="3"/>
        <item t="default"/>
      </items>
    </pivotField>
    <pivotField axis="axisRow" showAll="0">
      <items count="9">
        <item x="6"/>
        <item x="0"/>
        <item x="4"/>
        <item x="2"/>
        <item x="7"/>
        <item x="1"/>
        <item x="5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dataFields count="1">
    <dataField name="Ventas" fld="17" subtotal="sum" numFmtId="165"/>
  </dataFields>
  <pivotTableStyleInfo name="PivotStyleLight16" showRowHeaders="1" showColHeaders="1" showRowStripes="0" showColStripes="0" showLastColumn="1"/>
</pivotTableDefinition>
</file>

<file path=xl/pivotTables/pivotTable17.xml><?xml version="1.0" encoding="utf-8"?>
<pivotTableDefinition xmlns="http://schemas.openxmlformats.org/spreadsheetml/2006/main" name="PT_CatAnio_Margen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Y3:Z12" firstHeaderRow="1" firstDataRow="1" firstDataCol="1"/>
  <pivotFields count="25">
    <pivotField showAll="0"/>
    <pivotField showAll="0"/>
    <pivotField showAll="0"/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 multipleItemSelectionAllowed="1">
      <items count="6">
        <item x="0"/>
        <item x="1"/>
        <item x="2"/>
        <item x="3"/>
        <item x="4"/>
        <item t="default"/>
      </items>
    </pivotField>
    <pivotField showAll="0"/>
    <pivotField showAll="0" multipleItemSelectionAllowed="1">
      <items count="3">
        <item x="0"/>
        <item x="1"/>
        <item t="default"/>
      </items>
    </pivotField>
    <pivotField showAll="0" multipleItemSelectionAllowed="1">
      <items count="5">
        <item x="0"/>
        <item x="1"/>
        <item x="2"/>
        <item x="3"/>
        <item t="default"/>
      </items>
    </pivotField>
    <pivotField axis="axisRow" showAll="0">
      <items count="9">
        <item x="6"/>
        <item x="0"/>
        <item x="4"/>
        <item x="2"/>
        <item x="7"/>
        <item x="1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1"/>
  </rowFields>
  <dataFields count="1">
    <dataField name="Margen" fld="20" subtotal="sum" numFmtId="165"/>
  </dataFields>
  <pivotTableStyleInfo name="PivotStyleLight16" showRowHeaders="1" showColHeaders="1" showRowStripes="0" showColStripes="0" showLastColumn="1"/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_Trimestre" sourceName="Trimestre">
  <pivotTables>
    <pivotTable tabId="2" name="TD_Ventas_por_Region"/>
    <pivotTable tabId="9" name="PT_Anio_Margen"/>
    <pivotTable tabId="9" name="PT_Anio_Unidades"/>
    <pivotTable tabId="9" name="PT_Anio_CostoProd"/>
    <pivotTable tabId="9" name="PT_Anio_CostoLog"/>
    <pivotTable tabId="9" name="PT_Periodo_Ventas"/>
    <pivotTable tabId="9" name="PT_Periodo_Margen"/>
    <pivotTable tabId="9" name="PT_CatAnio_Ventas"/>
    <pivotTable tabId="9" name="PT_CatAnio_Margen"/>
    <pivotTable tabId="2" name="TD_Ventas_por_Categoria"/>
    <pivotTable tabId="2" name="TD_Ventas_por_Producto"/>
    <pivotTable tabId="2" name="TD_Rentabilidad_por_Segmento"/>
    <pivotTable tabId="9" name="PT_Anio_Ventas"/>
    <pivotTable tabId="9" name="PT_ProdAnio_Ventas"/>
    <pivotTable tabId="9" name="PT_ProdAnio_Margen"/>
    <pivotTable tabId="9" name="PT_Region_Ventas"/>
    <pivotTable tabId="9" name="PT_Region_Margen"/>
  </pivotTables>
  <data>
    <tabular pivotCacheId="1" crossFilter="showItemsWithDataAtTop">
      <items count="4">
        <i x="0"/>
        <i x="1"/>
        <i x="2"/>
        <i x="3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_Categoria" sourceName="Categoria">
  <pivotTables>
    <pivotTable tabId="2" name="TD_Ventas_por_Region"/>
    <pivotTable tabId="9" name="PT_Anio_Margen"/>
    <pivotTable tabId="9" name="PT_Anio_Unidades"/>
    <pivotTable tabId="9" name="PT_Anio_CostoProd"/>
    <pivotTable tabId="9" name="PT_Anio_CostoLog"/>
    <pivotTable tabId="9" name="PT_Periodo_Ventas"/>
    <pivotTable tabId="9" name="PT_Periodo_Margen"/>
    <pivotTable tabId="9" name="PT_CatAnio_Ventas"/>
    <pivotTable tabId="9" name="PT_CatAnio_Margen"/>
    <pivotTable tabId="2" name="TD_Ventas_por_Categoria"/>
    <pivotTable tabId="2" name="TD_Ventas_por_Producto"/>
    <pivotTable tabId="2" name="TD_Rentabilidad_por_Segmento"/>
    <pivotTable tabId="9" name="PT_Anio_Ventas"/>
    <pivotTable tabId="9" name="PT_ProdAnio_Ventas"/>
    <pivotTable tabId="9" name="PT_ProdAnio_Margen"/>
    <pivotTable tabId="9" name="PT_Region_Ventas"/>
    <pivotTable tabId="9" name="PT_Region_Margen"/>
  </pivotTables>
  <data>
    <tabular pivotCacheId="1" crossFilter="showItemsWithDataAtTop">
      <items count="4">
        <i x="0"/>
        <i x="1"/>
        <i x="2"/>
        <i x="3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_Region" sourceName="Region">
  <pivotTables>
    <pivotTable tabId="2" name="TD_Ventas_por_Region"/>
    <pivotTable tabId="9" name="PT_Anio_Margen"/>
    <pivotTable tabId="9" name="PT_Anio_Unidades"/>
    <pivotTable tabId="9" name="PT_Anio_CostoProd"/>
    <pivotTable tabId="9" name="PT_Anio_CostoLog"/>
    <pivotTable tabId="9" name="PT_Periodo_Ventas"/>
    <pivotTable tabId="9" name="PT_Periodo_Margen"/>
    <pivotTable tabId="9" name="PT_CatAnio_Ventas"/>
    <pivotTable tabId="9" name="PT_CatAnio_Margen"/>
    <pivotTable tabId="2" name="TD_Ventas_por_Categoria"/>
    <pivotTable tabId="2" name="TD_Ventas_por_Producto"/>
    <pivotTable tabId="2" name="TD_Rentabilidad_por_Segmento"/>
    <pivotTable tabId="9" name="PT_Anio_Ventas"/>
    <pivotTable tabId="9" name="PT_ProdAnio_Ventas"/>
    <pivotTable tabId="9" name="PT_ProdAnio_Margen"/>
    <pivotTable tabId="9" name="PT_Region_Ventas"/>
    <pivotTable tabId="9" name="PT_Region_Margen"/>
  </pivotTables>
  <data>
    <tabular pivotCacheId="1" crossFilter="showItemsWithDataAtTop">
      <items count="5">
        <i x="0"/>
        <i x="1"/>
        <i x="2"/>
        <i x="3"/>
        <i x="4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_Canal" sourceName="Canal">
  <pivotTables>
    <pivotTable tabId="2" name="TD_Ventas_por_Region"/>
    <pivotTable tabId="9" name="PT_Anio_Margen"/>
    <pivotTable tabId="9" name="PT_Anio_Unidades"/>
    <pivotTable tabId="9" name="PT_Anio_CostoProd"/>
    <pivotTable tabId="9" name="PT_Anio_CostoLog"/>
    <pivotTable tabId="9" name="PT_Periodo_Ventas"/>
    <pivotTable tabId="9" name="PT_Periodo_Margen"/>
    <pivotTable tabId="9" name="PT_CatAnio_Ventas"/>
    <pivotTable tabId="9" name="PT_CatAnio_Margen"/>
    <pivotTable tabId="2" name="TD_Ventas_por_Categoria"/>
    <pivotTable tabId="2" name="TD_Ventas_por_Producto"/>
    <pivotTable tabId="2" name="TD_Rentabilidad_por_Segmento"/>
    <pivotTable tabId="9" name="PT_Anio_Ventas"/>
    <pivotTable tabId="9" name="PT_ProdAnio_Ventas"/>
    <pivotTable tabId="9" name="PT_ProdAnio_Margen"/>
    <pivotTable tabId="9" name="PT_Region_Ventas"/>
    <pivotTable tabId="9" name="PT_Region_Margen"/>
  </pivotTables>
  <data>
    <tabular pivotCacheId="1" crossFilter="showItemsWithDataAtTop">
      <items count="2">
        <i x="0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Trimestre" cache="Segm_Trimestre" caption="Trimestre" columnCount="2" style="SlicerStyleLight2" rowHeight="234950"/>
  <slicer name="Categoria" cache="Segm_Categoria" caption="Categoria" columnCount="2" style="SlicerStyleLight2" rowHeight="234950"/>
  <slicer name="Region" cache="Segm_Region" caption="Region" columnCount="2" style="SlicerStyleLight2" rowHeight="234950"/>
  <slicer name="Canal" cache="Segm_Canal" caption="Canal" columnCount="1" style="SlicerStyleLight2" rowHeight="234950"/>
</slicers>
</file>

<file path=xl/tables/table1.xml><?xml version="1.0" encoding="utf-8"?>
<table xmlns="http://schemas.openxmlformats.org/spreadsheetml/2006/main" id="1" name="tbl_Ventas" displayName="tbl_Ventas" ref="A1:AD2401" headerRowCount="1" totalsRowCount="0" totalsRowShown="0">
  <autoFilter ref="A1:AD2401"/>
  <tableColumns count="30">
    <tableColumn id="1" name="ID_Venta"/>
    <tableColumn id="2" name="Fecha"/>
    <tableColumn id="3" name="Anio"/>
    <tableColumn id="4" name="Trimestre"/>
    <tableColumn id="5" name="Mes_Num"/>
    <tableColumn id="6" name="Mes"/>
    <tableColumn id="7" name="Periodo"/>
    <tableColumn id="8" name="Region"/>
    <tableColumn id="9" name="Ciudad"/>
    <tableColumn id="10" name="Canal"/>
    <tableColumn id="11" name="Categoria"/>
    <tableColumn id="12" name="Cat_Anio"/>
    <tableColumn id="13" name="Producto"/>
    <tableColumn id="14" name="Prod_Anio"/>
    <tableColumn id="15" name="Unidades"/>
    <tableColumn id="16" name="Precio_Unitario"/>
    <tableColumn id="17" name="Costo_Unitario"/>
    <tableColumn id="18" name="Ventas"/>
    <tableColumn id="19" name="Costo_Producto"/>
    <tableColumn id="20" name="Costo_Logistico"/>
    <tableColumn id="21" name="Margen_Bruto"/>
    <tableColumn id="22" name="Margen_Pct"/>
    <tableColumn id="23" name="Segmento_Rentabilidad"/>
    <tableColumn id="24" name="Alerta_Logistica"/>
    <tableColumn id="25" name="Ticket"/>
    <tableColumn id="26" name="Pos_Origen"/>
    <tableColumn id="27" name="Control_ETL"/>
    <tableColumn id="28" name="Fecha_Origen"/>
    <tableColumn id="29" name="Unidades_Origen"/>
    <tableColumn id="30" name="Ciudad_Orige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Relationship Id="rId2" Type="http://schemas.microsoft.com/office/2007/relationships/slicer" Target="../slicers/slicer1.xml"/>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pivotTable" Target="../pivotTables/pivotTable6.xml"/><Relationship Id="rId3" Type="http://schemas.openxmlformats.org/officeDocument/2006/relationships/pivotTable" Target="../pivotTables/pivotTable7.xml"/><Relationship Id="rId4" Type="http://schemas.openxmlformats.org/officeDocument/2006/relationships/pivotTable" Target="../pivotTables/pivotTable8.xml"/><Relationship Id="rId5" Type="http://schemas.openxmlformats.org/officeDocument/2006/relationships/pivotTable" Target="../pivotTables/pivotTable9.xml"/><Relationship Id="rId6" Type="http://schemas.openxmlformats.org/officeDocument/2006/relationships/pivotTable" Target="../pivotTables/pivotTable10.xml"/><Relationship Id="rId7" Type="http://schemas.openxmlformats.org/officeDocument/2006/relationships/pivotTable" Target="../pivotTables/pivotTable11.xml"/><Relationship Id="rId8" Type="http://schemas.openxmlformats.org/officeDocument/2006/relationships/pivotTable" Target="../pivotTables/pivotTable12.xml"/><Relationship Id="rId9" Type="http://schemas.openxmlformats.org/officeDocument/2006/relationships/pivotTable" Target="../pivotTables/pivotTable13.xml"/><Relationship Id="rId10" Type="http://schemas.openxmlformats.org/officeDocument/2006/relationships/pivotTable" Target="../pivotTables/pivotTable14.xml"/><Relationship Id="rId11" Type="http://schemas.openxmlformats.org/officeDocument/2006/relationships/pivotTable" Target="../pivotTables/pivotTable15.xml"/><Relationship Id="rId12" Type="http://schemas.openxmlformats.org/officeDocument/2006/relationships/pivotTable" Target="../pivotTables/pivotTable16.xml"/><Relationship Id="rId13" Type="http://schemas.openxmlformats.org/officeDocument/2006/relationships/pivotTable" Target="../pivotTables/pivotTable1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94"/>
  <sheetViews>
    <sheetView showFormulas="false" showGridLines="0" showRowColHeaders="0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2"/>
    <col collapsed="false" customWidth="true" hidden="false" outlineLevel="0" max="17" min="2" style="0" width="9.4"/>
    <col collapsed="false" customWidth="true" hidden="false" outlineLevel="0" max="18" min="18" style="0" width="2.2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5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3" t="s">
        <v>1</v>
      </c>
      <c r="M2" s="3"/>
      <c r="N2" s="3"/>
      <c r="O2" s="3"/>
      <c r="P2" s="3"/>
      <c r="Q2" s="3"/>
      <c r="R2" s="1"/>
    </row>
    <row r="3" customFormat="false" ht="15" hidden="false" customHeight="true" outlineLevel="0" collapsed="false">
      <c r="A3" s="1"/>
      <c r="B3" s="4" t="s">
        <v>2</v>
      </c>
      <c r="C3" s="4"/>
      <c r="D3" s="4"/>
      <c r="E3" s="4"/>
      <c r="F3" s="4"/>
      <c r="G3" s="4"/>
      <c r="H3" s="4"/>
      <c r="I3" s="4"/>
      <c r="J3" s="4"/>
      <c r="K3" s="4"/>
      <c r="L3" s="3"/>
      <c r="M3" s="3"/>
      <c r="N3" s="3"/>
      <c r="O3" s="3"/>
      <c r="P3" s="3"/>
      <c r="Q3" s="3"/>
      <c r="R3" s="1"/>
    </row>
    <row r="4" customFormat="false" ht="7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customFormat="false" ht="6" hidden="false" customHeight="true" outlineLevel="0" collapsed="false"/>
    <row r="6" customFormat="false" ht="21.75" hidden="false" customHeight="true" outlineLevel="0" collapsed="false">
      <c r="B6" s="5" t="str">
        <f aca="false">Calculos!$B$85</f>
        <v>Las ventas crecen 17.8% y el margen cae 2.4 p.p.: el costo de compra y la logistica del e-commerce se reparten el deterioro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customFormat="false" ht="15.75" hidden="false" customHeight="true" outlineLevel="0" collapsed="false">
      <c r="B7" s="6" t="str">
        <f aca="false">Calculos!$B$86</f>
        <v>El margen bruto pasa de 35.8% a 33.3%. La logistica explica 32% del mayor costo y el resto es precio de compra: son dos causas, no una.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customFormat="false" ht="7.5" hidden="false" customHeight="true" outlineLevel="0" collapsed="false"/>
    <row r="9" customFormat="false" ht="13.5" hidden="false" customHeight="true" outlineLevel="0" collapsed="false">
      <c r="B9" s="7" t="s">
        <v>3</v>
      </c>
      <c r="C9" s="7"/>
      <c r="D9" s="7"/>
      <c r="E9" s="7"/>
      <c r="F9" s="7" t="s">
        <v>4</v>
      </c>
      <c r="G9" s="7"/>
      <c r="H9" s="7"/>
      <c r="I9" s="7"/>
      <c r="J9" s="7" t="s">
        <v>5</v>
      </c>
      <c r="K9" s="7"/>
      <c r="L9" s="7"/>
      <c r="M9" s="7"/>
      <c r="N9" s="7" t="s">
        <v>6</v>
      </c>
      <c r="O9" s="7"/>
      <c r="P9" s="7"/>
      <c r="Q9" s="7"/>
    </row>
    <row r="10" customFormat="false" ht="24" hidden="false" customHeight="true" outlineLevel="0" collapsed="false">
      <c r="B10" s="8" t="n">
        <f aca="false">Calculos!$B$17</f>
        <v>5566045.6</v>
      </c>
      <c r="C10" s="8"/>
      <c r="D10" s="8"/>
      <c r="E10" s="8"/>
      <c r="F10" s="9" t="n">
        <f aca="false">Calculos!$B$18</f>
        <v>0.333035774985386</v>
      </c>
      <c r="G10" s="9"/>
      <c r="H10" s="9"/>
      <c r="I10" s="9"/>
      <c r="J10" s="9" t="n">
        <f aca="false">Calculos!$B$19</f>
        <v>0.1776714144251</v>
      </c>
      <c r="K10" s="9"/>
      <c r="L10" s="9"/>
      <c r="M10" s="9"/>
      <c r="N10" s="10" t="n">
        <f aca="false">Calculos!$B$20</f>
        <v>0.0330201930074019</v>
      </c>
      <c r="O10" s="10"/>
      <c r="P10" s="10"/>
      <c r="Q10" s="10"/>
    </row>
    <row r="11" customFormat="false" ht="12" hidden="false" customHeight="true" outlineLevel="0" collapsed="false">
      <c r="B11" s="8"/>
      <c r="C11" s="8"/>
      <c r="D11" s="8"/>
      <c r="E11" s="8"/>
      <c r="F11" s="9"/>
      <c r="G11" s="9"/>
      <c r="H11" s="9"/>
      <c r="I11" s="9"/>
      <c r="J11" s="9"/>
      <c r="K11" s="9"/>
      <c r="L11" s="9"/>
      <c r="M11" s="9"/>
      <c r="N11" s="10"/>
      <c r="O11" s="10"/>
      <c r="P11" s="10"/>
      <c r="Q11" s="10"/>
    </row>
    <row r="12" customFormat="false" ht="13.5" hidden="false" customHeight="true" outlineLevel="0" collapsed="false">
      <c r="B12" s="11" t="str">
        <f aca="false">"vs meta "&amp;TEXT(Calculos!$C$17,"$#,##0")&amp;"   "&amp;TEXT(Calculos!$D$17,"+#,##0;-#,##0")&amp;" USD"</f>
        <v>vs meta $5,400,000   +166,046 USD</v>
      </c>
      <c r="C12" s="11"/>
      <c r="D12" s="11"/>
      <c r="E12" s="11"/>
      <c r="F12" s="11" t="str">
        <f aca="false">"vs meta "&amp;TEXT(Calculos!$C$18,"0.0%")&amp;"   "&amp;TEXT(Calculos!$B$21,"+0.0;-0.0")&amp;" p.p. vs 2024"</f>
        <v>vs meta 34.0%   -2.4 p.p. vs 2024</v>
      </c>
      <c r="G12" s="11"/>
      <c r="H12" s="11"/>
      <c r="I12" s="11"/>
      <c r="J12" s="11" t="str">
        <f aca="false">"vs meta "&amp;TEXT(Calculos!$C$19,"0.0%")&amp;"   "&amp;TEXT(Calculos!$D$19*100,"+0.0;-0.0")&amp;" p.p."</f>
        <v>vs meta 15.0%   +2.8 p.p.</v>
      </c>
      <c r="K12" s="11"/>
      <c r="L12" s="11"/>
      <c r="M12" s="11"/>
      <c r="N12" s="11" t="str">
        <f aca="false">"techo "&amp;TEXT(Calculos!$C$20,"0.00%")&amp;"   "&amp;TEXT(Calculos!$B$22,"+0.00;-0.00")&amp;" p.p. vs 2024"</f>
        <v>techo 2.50%   +1.13 p.p. vs 2024</v>
      </c>
      <c r="O12" s="11"/>
      <c r="P12" s="11"/>
      <c r="Q12" s="11"/>
    </row>
    <row r="13" customFormat="false" ht="9.75" hidden="false" customHeight="true" outlineLevel="0" collapsed="false">
      <c r="B13" s="12" t="n">
        <f aca="false">Calculos!$D$17</f>
        <v>166045.600000003</v>
      </c>
      <c r="F13" s="13" t="n">
        <f aca="false">Calculos!$D$18</f>
        <v>-0.0069642250146138</v>
      </c>
      <c r="J13" s="13" t="n">
        <f aca="false">Calculos!$D$19</f>
        <v>0.0276714144251002</v>
      </c>
      <c r="N13" s="14" t="n">
        <f aca="false">Calculos!$D$20</f>
        <v>-0.00802019300740185</v>
      </c>
    </row>
    <row r="14" customFormat="false" ht="15.75" hidden="false" customHeight="true" outlineLevel="0" collapsed="false">
      <c r="B14" s="15" t="s">
        <v>7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customFormat="false" ht="16.5" hidden="false" customHeight="true" outlineLevel="0" collapsed="false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</row>
    <row r="16" customFormat="false" ht="16.5" hidden="false" customHeight="true" outlineLevel="0" collapsed="false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</row>
    <row r="17" customFormat="false" ht="16.5" hidden="false" customHeight="true" outlineLevel="0" collapsed="false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</row>
    <row r="18" customFormat="false" ht="16.5" hidden="false" customHeight="true" outlineLevel="0" collapsed="false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</row>
    <row r="19" customFormat="false" ht="16.5" hidden="false" customHeight="true" outlineLevel="0" collapsed="false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  <row r="20" customFormat="false" ht="16.5" hidden="false" customHeight="true" outlineLevel="0" collapsed="false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</row>
    <row r="21" customFormat="false" ht="16.5" hidden="false" customHeight="true" outlineLevel="0" collapsed="false"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</row>
    <row r="22" customFormat="false" ht="16.5" hidden="false" customHeight="true" outlineLevel="0" collapsed="false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</row>
    <row r="23" customFormat="false" ht="16.5" hidden="false" customHeight="true" outlineLevel="0" collapsed="false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</row>
    <row r="24" customFormat="false" ht="15" hidden="false" customHeight="true" outlineLevel="0" collapsed="false"/>
    <row r="25" customFormat="false" ht="15" hidden="false" customHeight="true" outlineLevel="0" collapsed="false">
      <c r="B25" s="17" t="s">
        <v>8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</row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>
      <c r="B44" s="17" t="s">
        <v>9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</row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>
      <c r="B63" s="17" t="s">
        <v>10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</row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>
      <c r="B82" s="18" t="str">
        <f aca="false">Calculos!$B$95</f>
        <v>Zona de riesgo (margen por debajo de 33%): Laptop Pro 15, PC Gamer Ryzen.  El resto de los productos esta en meta.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</row>
    <row r="83" customFormat="false" ht="15" hidden="false" customHeight="true" outlineLevel="0" collapsed="false"/>
    <row r="84" customFormat="false" ht="15" hidden="false" customHeight="true" outlineLevel="0" collapsed="false">
      <c r="B84" s="17" t="s">
        <v>11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</row>
    <row r="85" customFormat="false" ht="15" hidden="false" customHeight="true" outlineLevel="0" collapsed="false">
      <c r="B85" s="19" t="str">
        <f aca="false">Calculos!$B$92</f>
        <v>EVIDENCIA: las ventas suben 17.8% y las unidades 14.4%.  INSIGHT: el crecimiento es de volumen, no de precio, asi que la demanda es real y conviene sostener el plan comercial.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</row>
    <row r="86" customFormat="false" ht="15" hidden="false" customHeight="true" outlineLevel="0" collapsed="false"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</row>
    <row r="87" customFormat="false" ht="15" hidden="false" customHeight="true" outlineLevel="0" collapsed="false">
      <c r="B87" s="19" t="str">
        <f aca="false">Calculos!$B$93</f>
        <v>EVIDENCIA: el costo de compra resta $172,502 y la logistica $80,921 de margen.  INSIGHT: la caida tiene dos causas, no una; atribuirla solo al e-commerce sobreestima su peso y desviaria el presupuesto de correccion.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</row>
    <row r="88" customFormat="false" ht="15" hidden="false" customHeight="true" outlineLevel="0" collapsed="false"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</row>
    <row r="89" customFormat="false" ht="15" hidden="false" customHeight="true" outlineLevel="0" collapsed="false">
      <c r="B89" s="19" t="str">
        <f aca="false">Calculos!$B$94</f>
        <v>EVIDENCIA: el segundo semestre (34.5%) supera al primero (31.8%) pero sigue por debajo del mismo periodo de 2024 (35.7%).  INSIGHT: la correccion del Q3 funciona pero es parcial; hay que sostenerla en el proximo semestre antes de fijar nuevas metas.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</row>
    <row r="90" customFormat="false" ht="15" hidden="false" customHeight="true" outlineLevel="0" collapsed="false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</row>
    <row r="91" customFormat="false" ht="15" hidden="false" customHeight="true" outlineLevel="0" collapsed="false"/>
    <row r="92" customFormat="false" ht="15" hidden="false" customHeight="true" outlineLevel="0" collapsed="false">
      <c r="B92" s="20" t="s">
        <v>12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</row>
    <row r="93" customFormat="false" ht="15" hidden="false" customHeight="true" outlineLevel="0" collapsed="false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</row>
    <row r="94" customFormat="false" ht="15" hidden="false" customHeight="true" outlineLevel="0" collapsed="false"/>
  </sheetData>
  <mergeCells count="27">
    <mergeCell ref="B2:K2"/>
    <mergeCell ref="L2:Q3"/>
    <mergeCell ref="B3:K3"/>
    <mergeCell ref="B6:Q6"/>
    <mergeCell ref="B7:Q7"/>
    <mergeCell ref="B9:E9"/>
    <mergeCell ref="F9:I9"/>
    <mergeCell ref="J9:M9"/>
    <mergeCell ref="N9:Q9"/>
    <mergeCell ref="B10:E11"/>
    <mergeCell ref="F10:I11"/>
    <mergeCell ref="J10:M11"/>
    <mergeCell ref="N10:Q11"/>
    <mergeCell ref="B12:E12"/>
    <mergeCell ref="F12:I12"/>
    <mergeCell ref="J12:M12"/>
    <mergeCell ref="N12:Q12"/>
    <mergeCell ref="B14:Q14"/>
    <mergeCell ref="B25:Q25"/>
    <mergeCell ref="B44:Q44"/>
    <mergeCell ref="B63:Q63"/>
    <mergeCell ref="B82:Q82"/>
    <mergeCell ref="B84:Q84"/>
    <mergeCell ref="B85:Q86"/>
    <mergeCell ref="B87:Q88"/>
    <mergeCell ref="B89:Q90"/>
    <mergeCell ref="B92:Q93"/>
  </mergeCells>
  <conditionalFormatting sqref="B9:E12">
    <cfRule type="expression" priority="2" aboveAverage="0" equalAverage="0" bottom="0" percent="0" rank="0" text="" dxfId="0">
      <formula>$B$13&lt;0</formula>
    </cfRule>
  </conditionalFormatting>
  <conditionalFormatting sqref="F9:I12">
    <cfRule type="expression" priority="3" aboveAverage="0" equalAverage="0" bottom="0" percent="0" rank="0" text="" dxfId="0">
      <formula>$F$13&lt;0</formula>
    </cfRule>
  </conditionalFormatting>
  <conditionalFormatting sqref="J9:M12">
    <cfRule type="expression" priority="4" aboveAverage="0" equalAverage="0" bottom="0" percent="0" rank="0" text="" dxfId="0">
      <formula>$J$13&lt;0</formula>
    </cfRule>
  </conditionalFormatting>
  <conditionalFormatting sqref="N9:Q12">
    <cfRule type="expression" priority="5" aboveAverage="0" equalAverage="0" bottom="0" percent="0" rank="0" text="" dxfId="0">
      <formula>$N$13&lt;0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A8765BA9-456A-4dab-B4F3-ACF1056F45CD}">
      <x14:slicerList>
        <x14:slicer xmlns:r="http://schemas.openxmlformats.org/officeDocument/2006/relationships"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L42"/>
  <sheetViews>
    <sheetView showFormulas="false" showGridLines="0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6" min="3" style="0" width="17"/>
    <col collapsed="false" customWidth="true" hidden="false" outlineLevel="0" max="7" min="7" style="0" width="24"/>
    <col collapsed="false" customWidth="true" hidden="false" outlineLevel="0" max="10" min="8" style="0" width="17"/>
    <col collapsed="false" customWidth="true" hidden="false" outlineLevel="0" max="11" min="11" style="0" width="3"/>
    <col collapsed="false" customWidth="true" hidden="false" outlineLevel="0" max="12" min="12" style="0" width="52"/>
  </cols>
  <sheetData>
    <row r="2" customFormat="false" ht="18.55" hidden="false" customHeight="false" outlineLevel="0" collapsed="false">
      <c r="B2" s="21" t="s">
        <v>13</v>
      </c>
      <c r="L2" s="22" t="s">
        <v>14</v>
      </c>
    </row>
    <row r="3" customFormat="false" ht="15" hidden="false" customHeight="true" outlineLevel="0" collapsed="false">
      <c r="B3" s="23" t="s">
        <v>15</v>
      </c>
      <c r="C3" s="23"/>
      <c r="D3" s="23"/>
      <c r="E3" s="23"/>
      <c r="F3" s="23"/>
      <c r="G3" s="23"/>
      <c r="H3" s="23"/>
      <c r="I3" s="23"/>
      <c r="J3" s="23"/>
    </row>
    <row r="4" customFormat="false" ht="15" hidden="false" customHeight="true" outlineLevel="0" collapsed="false">
      <c r="B4" s="23"/>
      <c r="C4" s="23"/>
      <c r="D4" s="23"/>
      <c r="E4" s="23"/>
      <c r="F4" s="23"/>
      <c r="G4" s="23"/>
      <c r="H4" s="23"/>
      <c r="I4" s="23"/>
      <c r="J4" s="23"/>
      <c r="L4" s="24" t="s">
        <v>16</v>
      </c>
    </row>
    <row r="5" customFormat="false" ht="15" hidden="false" customHeight="false" outlineLevel="0" collapsed="false">
      <c r="B5" s="25" t="s">
        <v>17</v>
      </c>
      <c r="G5" s="25" t="s">
        <v>18</v>
      </c>
      <c r="L5" s="24"/>
    </row>
    <row r="6" customFormat="false" ht="15" hidden="false" customHeight="false" outlineLevel="0" collapsed="false">
      <c r="B6" s="26"/>
      <c r="C6" s="27" t="inlineStr">
        <is>
          <t>Valores</t>
        </is>
      </c>
      <c r="D6" s="28"/>
      <c r="E6" s="29"/>
      <c r="G6" s="26"/>
      <c r="H6" s="27" t="inlineStr">
        <is>
          <t>Valores</t>
        </is>
      </c>
      <c r="I6" s="28"/>
      <c r="J6" s="29"/>
      <c r="L6" s="24"/>
    </row>
    <row r="7" customFormat="false" ht="15" hidden="false" customHeight="false" outlineLevel="0" collapsed="false">
      <c r="B7" s="30" t="s">
        <v>20</v>
      </c>
      <c r="C7" s="31" t="s">
        <v>21</v>
      </c>
      <c r="D7" s="32" t="s">
        <v>22</v>
      </c>
      <c r="E7" s="33" t="s">
        <v>23</v>
      </c>
      <c r="G7" s="30" t="s">
        <v>24</v>
      </c>
      <c r="H7" s="31" t="s">
        <v>21</v>
      </c>
      <c r="I7" s="32" t="s">
        <v>22</v>
      </c>
      <c r="J7" s="33" t="s">
        <v>23</v>
      </c>
      <c r="L7" s="24"/>
    </row>
    <row r="8" customFormat="false" ht="15" hidden="false" customHeight="false" outlineLevel="0" collapsed="false">
      <c r="B8" s="34" t="s">
        <v>25</v>
      </c>
      <c r="C8" s="35" t="n">
        <v>3896685.07</v>
      </c>
      <c r="D8" s="36" t="n">
        <v>1341318.34</v>
      </c>
      <c r="E8" s="37" t="n">
        <v>20839</v>
      </c>
      <c r="G8" s="34" t="s">
        <v>26</v>
      </c>
      <c r="H8" s="35" t="n">
        <v>6696685.14999999</v>
      </c>
      <c r="I8" s="36" t="n">
        <v>2025842.49</v>
      </c>
      <c r="J8" s="37" t="n">
        <v>6213</v>
      </c>
    </row>
    <row r="9" customFormat="false" ht="15" hidden="false" customHeight="true" outlineLevel="0" collapsed="false">
      <c r="B9" s="38" t="s">
        <v>27</v>
      </c>
      <c r="C9" s="39" t="n">
        <v>2262766.29</v>
      </c>
      <c r="D9" s="40" t="n">
        <v>780708.6</v>
      </c>
      <c r="E9" s="41" t="n">
        <v>12174</v>
      </c>
      <c r="G9" s="38" t="s">
        <v>28</v>
      </c>
      <c r="H9" s="39" t="n">
        <v>1798331.68</v>
      </c>
      <c r="I9" s="40" t="n">
        <v>797730.33</v>
      </c>
      <c r="J9" s="41" t="n">
        <v>28941</v>
      </c>
      <c r="L9" s="24" t="s">
        <v>29</v>
      </c>
    </row>
    <row r="10" customFormat="false" ht="15" hidden="false" customHeight="false" outlineLevel="0" collapsed="false">
      <c r="B10" s="38" t="s">
        <v>30</v>
      </c>
      <c r="C10" s="39" t="n">
        <v>1655093.7</v>
      </c>
      <c r="D10" s="40" t="n">
        <v>569389.84</v>
      </c>
      <c r="E10" s="41" t="n">
        <v>8826</v>
      </c>
      <c r="G10" s="38" t="s">
        <v>31</v>
      </c>
      <c r="H10" s="39" t="n">
        <v>883546.05</v>
      </c>
      <c r="I10" s="40" t="n">
        <v>365080.4</v>
      </c>
      <c r="J10" s="41" t="n">
        <v>8706</v>
      </c>
      <c r="L10" s="24"/>
    </row>
    <row r="11" customFormat="false" ht="15" hidden="false" customHeight="false" outlineLevel="0" collapsed="false">
      <c r="B11" s="38" t="s">
        <v>32</v>
      </c>
      <c r="C11" s="39" t="n">
        <v>1247848.42</v>
      </c>
      <c r="D11" s="40" t="n">
        <v>427843.83</v>
      </c>
      <c r="E11" s="41" t="n">
        <v>6595</v>
      </c>
      <c r="G11" s="38" t="s">
        <v>33</v>
      </c>
      <c r="H11" s="42" t="n">
        <v>913797.32</v>
      </c>
      <c r="I11" s="43" t="n">
        <v>354857.8</v>
      </c>
      <c r="J11" s="44" t="n">
        <v>11200</v>
      </c>
      <c r="L11" s="24"/>
    </row>
    <row r="12" customFormat="false" ht="15" hidden="false" customHeight="false" outlineLevel="0" collapsed="false">
      <c r="B12" s="38" t="s">
        <v>34</v>
      </c>
      <c r="C12" s="42" t="n">
        <v>1229966.72</v>
      </c>
      <c r="D12" s="43" t="n">
        <v>424250.41</v>
      </c>
      <c r="E12" s="44" t="n">
        <v>6626</v>
      </c>
      <c r="G12" s="45" t="inlineStr">
        <is>
          <t>Total general</t>
        </is>
      </c>
      <c r="H12" s="46" t="n">
        <v>10292360.2</v>
      </c>
      <c r="I12" s="47" t="n">
        <v>3543511.01999999</v>
      </c>
      <c r="J12" s="48" t="n">
        <v>55060</v>
      </c>
      <c r="L12" s="24"/>
    </row>
    <row r="13" customFormat="false" ht="15" hidden="false" customHeight="false" outlineLevel="0" collapsed="false">
      <c r="B13" s="45" t="inlineStr">
        <is>
          <t>Total general</t>
        </is>
      </c>
      <c r="C13" s="46" t="n">
        <v>10292360.2</v>
      </c>
      <c r="D13" s="47" t="n">
        <v>3543511.01999999</v>
      </c>
      <c r="E13" s="48" t="n">
        <v>55060</v>
      </c>
    </row>
    <row r="14" customFormat="false" ht="15" hidden="false" customHeight="true" outlineLevel="0" collapsed="false">
      <c r="L14" s="24" t="s">
        <v>36</v>
      </c>
    </row>
    <row r="15" customFormat="false" ht="15" hidden="false" customHeight="false" outlineLevel="0" collapsed="false">
      <c r="B15" s="25" t="s">
        <v>37</v>
      </c>
      <c r="G15" s="25" t="s">
        <v>38</v>
      </c>
      <c r="L15" s="24"/>
    </row>
    <row r="16" customFormat="false" ht="15" hidden="false" customHeight="false" outlineLevel="0" collapsed="false">
      <c r="B16" s="26"/>
      <c r="C16" s="27" t="inlineStr">
        <is>
          <t>Valores</t>
        </is>
      </c>
      <c r="D16" s="28"/>
      <c r="E16" s="29"/>
      <c r="G16" s="26"/>
      <c r="H16" s="27" t="inlineStr">
        <is>
          <t>Valores</t>
        </is>
      </c>
      <c r="I16" s="29"/>
      <c r="L16" s="24"/>
    </row>
    <row r="17" customFormat="false" ht="15" hidden="false" customHeight="false" outlineLevel="0" collapsed="false">
      <c r="B17" s="30" t="s">
        <v>39</v>
      </c>
      <c r="C17" s="31" t="s">
        <v>21</v>
      </c>
      <c r="D17" s="32" t="s">
        <v>22</v>
      </c>
      <c r="E17" s="33" t="s">
        <v>23</v>
      </c>
      <c r="G17" s="30" t="s">
        <v>40</v>
      </c>
      <c r="H17" s="31" t="s">
        <v>21</v>
      </c>
      <c r="I17" s="33" t="s">
        <v>23</v>
      </c>
      <c r="L17" s="24"/>
    </row>
    <row r="18" customFormat="false" ht="15" hidden="false" customHeight="false" outlineLevel="0" collapsed="false">
      <c r="B18" s="34" t="s">
        <v>41</v>
      </c>
      <c r="C18" s="35" t="n">
        <v>2453170.14</v>
      </c>
      <c r="D18" s="36" t="n">
        <v>813067.5</v>
      </c>
      <c r="E18" s="37" t="n">
        <v>2080</v>
      </c>
      <c r="G18" s="34" t="s">
        <v>42</v>
      </c>
      <c r="H18" s="35" t="n">
        <v>3436432.42</v>
      </c>
      <c r="I18" s="37" t="n">
        <v>21127</v>
      </c>
    </row>
    <row r="19" customFormat="false" ht="15" hidden="false" customHeight="false" outlineLevel="0" collapsed="false">
      <c r="B19" s="38" t="s">
        <v>43</v>
      </c>
      <c r="C19" s="39" t="n">
        <v>922212.200000001</v>
      </c>
      <c r="D19" s="40" t="n">
        <v>319601.57</v>
      </c>
      <c r="E19" s="41" t="n">
        <v>2085</v>
      </c>
      <c r="G19" s="38" t="s">
        <v>44</v>
      </c>
      <c r="H19" s="39" t="n">
        <v>4927827.43</v>
      </c>
      <c r="I19" s="41" t="n">
        <v>32390</v>
      </c>
    </row>
    <row r="20" customFormat="false" ht="15" hidden="false" customHeight="false" outlineLevel="0" collapsed="false">
      <c r="B20" s="38" t="s">
        <v>45</v>
      </c>
      <c r="C20" s="39" t="n">
        <v>3321302.81</v>
      </c>
      <c r="D20" s="40" t="n">
        <v>893173.42</v>
      </c>
      <c r="E20" s="41" t="n">
        <v>2048</v>
      </c>
      <c r="G20" s="38" t="s">
        <v>46</v>
      </c>
      <c r="H20" s="42" t="n">
        <v>1928100.35</v>
      </c>
      <c r="I20" s="44" t="n">
        <v>1543</v>
      </c>
    </row>
    <row r="21" customFormat="false" ht="15" hidden="false" customHeight="false" outlineLevel="0" collapsed="false">
      <c r="B21" s="38" t="s">
        <v>47</v>
      </c>
      <c r="C21" s="39" t="n">
        <v>266495.76</v>
      </c>
      <c r="D21" s="40" t="n">
        <v>127912.83</v>
      </c>
      <c r="E21" s="41" t="n">
        <v>9612</v>
      </c>
      <c r="G21" s="45" t="inlineStr">
        <is>
          <t>Total general</t>
        </is>
      </c>
      <c r="H21" s="46" t="n">
        <v>10292360.2</v>
      </c>
      <c r="I21" s="48" t="n">
        <v>55060</v>
      </c>
    </row>
    <row r="22" customFormat="false" ht="15" hidden="false" customHeight="false" outlineLevel="0" collapsed="false">
      <c r="B22" s="38" t="s">
        <v>48</v>
      </c>
      <c r="C22" s="39" t="n">
        <v>911123.2</v>
      </c>
      <c r="D22" s="40" t="n">
        <v>413486.14</v>
      </c>
      <c r="E22" s="41" t="n">
        <v>9685</v>
      </c>
    </row>
    <row r="23" customFormat="false" ht="15" hidden="false" customHeight="false" outlineLevel="0" collapsed="false">
      <c r="B23" s="38" t="s">
        <v>49</v>
      </c>
      <c r="C23" s="39" t="n">
        <v>620712.72</v>
      </c>
      <c r="D23" s="40" t="n">
        <v>256331.36</v>
      </c>
      <c r="E23" s="41" t="n">
        <v>9644</v>
      </c>
    </row>
    <row r="24" customFormat="false" ht="15" hidden="false" customHeight="false" outlineLevel="0" collapsed="false">
      <c r="B24" s="38" t="s">
        <v>50</v>
      </c>
      <c r="C24" s="39" t="n">
        <v>516529.41</v>
      </c>
      <c r="D24" s="40" t="n">
        <v>221197.49</v>
      </c>
      <c r="E24" s="41" t="n">
        <v>4346</v>
      </c>
    </row>
    <row r="25" customFormat="false" ht="15" hidden="false" customHeight="false" outlineLevel="0" collapsed="false">
      <c r="B25" s="38" t="s">
        <v>51</v>
      </c>
      <c r="C25" s="39" t="n">
        <v>367016.64</v>
      </c>
      <c r="D25" s="40" t="n">
        <v>143882.91</v>
      </c>
      <c r="E25" s="41" t="n">
        <v>4360</v>
      </c>
    </row>
    <row r="26" customFormat="false" ht="15" hidden="false" customHeight="false" outlineLevel="0" collapsed="false">
      <c r="B26" s="38" t="s">
        <v>52</v>
      </c>
      <c r="C26" s="39" t="n">
        <v>719241.260000001</v>
      </c>
      <c r="D26" s="40" t="n">
        <v>267534.87</v>
      </c>
      <c r="E26" s="41" t="n">
        <v>5587</v>
      </c>
    </row>
    <row r="27" customFormat="false" ht="15" hidden="false" customHeight="false" outlineLevel="0" collapsed="false">
      <c r="B27" s="38" t="s">
        <v>53</v>
      </c>
      <c r="C27" s="42" t="n">
        <v>194556.06</v>
      </c>
      <c r="D27" s="43" t="n">
        <v>87322.93</v>
      </c>
      <c r="E27" s="44" t="n">
        <v>5613</v>
      </c>
    </row>
    <row r="28" customFormat="false" ht="15" hidden="false" customHeight="false" outlineLevel="0" collapsed="false">
      <c r="B28" s="45" t="inlineStr">
        <is>
          <t>Total general</t>
        </is>
      </c>
      <c r="C28" s="46" t="n">
        <v>10292360.2</v>
      </c>
      <c r="D28" s="47" t="n">
        <v>3543511.01999999</v>
      </c>
      <c r="E28" s="48" t="n">
        <v>55060</v>
      </c>
    </row>
    <row r="31" customFormat="false" ht="15" hidden="false" customHeight="false" outlineLevel="0" collapsed="false">
      <c r="B31" s="49" t="s">
        <v>54</v>
      </c>
      <c r="C31" s="1"/>
      <c r="D31" s="1"/>
      <c r="E31" s="1"/>
      <c r="F31" s="1"/>
    </row>
    <row r="32" customFormat="false" ht="15" hidden="false" customHeight="true" outlineLevel="0" collapsed="false">
      <c r="B32" s="50" t="s">
        <v>55</v>
      </c>
      <c r="C32" s="50"/>
      <c r="D32" s="50"/>
      <c r="E32" s="50"/>
      <c r="F32" s="50"/>
    </row>
    <row r="33" customFormat="false" ht="15" hidden="false" customHeight="false" outlineLevel="0" collapsed="false">
      <c r="B33" s="50"/>
      <c r="C33" s="50"/>
      <c r="D33" s="50"/>
      <c r="E33" s="50"/>
      <c r="F33" s="50"/>
    </row>
    <row r="35" customFormat="false" ht="15" hidden="false" customHeight="false" outlineLevel="0" collapsed="false">
      <c r="B35" s="51" t="s">
        <v>20</v>
      </c>
      <c r="C35" s="52" t="s">
        <v>25</v>
      </c>
      <c r="D35" s="53" t="s">
        <v>21</v>
      </c>
      <c r="E35" s="54" t="n">
        <f aca="false">SUMIFS(Datos_Limpios!$R$2:$R$2401,Datos_Limpios!$H$2:$H$2401,$C$35,Datos_Limpios!$K$2:$K$2401,$C$36,Datos_Limpios!$C$2:$C$2401,$F$35)</f>
        <v>2537006.08</v>
      </c>
      <c r="F35" s="55" t="str">
        <f aca="false">IF($C$37="Todos","&gt;0","="&amp;$C$37)</f>
        <v>&gt;0</v>
      </c>
    </row>
    <row r="36" customFormat="false" ht="15" hidden="false" customHeight="false" outlineLevel="0" collapsed="false">
      <c r="B36" s="51" t="s">
        <v>24</v>
      </c>
      <c r="C36" s="52" t="s">
        <v>26</v>
      </c>
      <c r="D36" s="53" t="s">
        <v>56</v>
      </c>
      <c r="E36" s="54" t="n">
        <f aca="false">SUMIFS(Datos_Limpios!$U$2:$U$2401,Datos_Limpios!$H$2:$H$2401,$C$35,Datos_Limpios!$K$2:$K$2401,$C$36,Datos_Limpios!$C$2:$C$2401,$F$35)</f>
        <v>767191.43</v>
      </c>
    </row>
    <row r="37" customFormat="false" ht="15" hidden="false" customHeight="false" outlineLevel="0" collapsed="false">
      <c r="B37" s="51" t="s">
        <v>57</v>
      </c>
      <c r="C37" s="52" t="s">
        <v>58</v>
      </c>
      <c r="D37" s="53" t="s">
        <v>23</v>
      </c>
      <c r="E37" s="56" t="n">
        <f aca="false">SUMIFS(Datos_Limpios!$O$2:$O$2401,Datos_Limpios!$H$2:$H$2401,$C$35,Datos_Limpios!$K$2:$K$2401,$C$36,Datos_Limpios!$C$2:$C$2401,$F$35)</f>
        <v>2366</v>
      </c>
    </row>
    <row r="38" customFormat="false" ht="15" hidden="false" customHeight="false" outlineLevel="0" collapsed="false">
      <c r="D38" s="53" t="s">
        <v>59</v>
      </c>
      <c r="E38" s="57" t="n">
        <f aca="false">IFERROR(E36/E35,0)</f>
        <v>0.302400311945646</v>
      </c>
    </row>
    <row r="39" customFormat="false" ht="15" hidden="false" customHeight="false" outlineLevel="0" collapsed="false">
      <c r="D39" s="53" t="s">
        <v>60</v>
      </c>
      <c r="E39" s="56" t="n">
        <f aca="false">COUNTIFS(Datos_Limpios!$H$2:$H$2401,$C$35,Datos_Limpios!$K$2:$K$2401,$C$36,Datos_Limpios!$C$2:$C$2401,$F$35)</f>
        <v>144</v>
      </c>
    </row>
    <row r="41" customFormat="false" ht="15" hidden="false" customHeight="true" outlineLevel="0" collapsed="false">
      <c r="B41" s="58" t="s">
        <v>61</v>
      </c>
      <c r="C41" s="58"/>
      <c r="D41" s="58"/>
      <c r="E41" s="58"/>
      <c r="F41" s="58"/>
    </row>
    <row r="42" customFormat="false" ht="15" hidden="false" customHeight="false" outlineLevel="0" collapsed="false">
      <c r="B42" s="58"/>
      <c r="C42" s="58"/>
      <c r="D42" s="58"/>
      <c r="E42" s="58"/>
      <c r="F42" s="58"/>
    </row>
  </sheetData>
  <mergeCells count="6">
    <mergeCell ref="B3:J4"/>
    <mergeCell ref="L4:L7"/>
    <mergeCell ref="L9:L12"/>
    <mergeCell ref="L14:L17"/>
    <mergeCell ref="B32:F33"/>
    <mergeCell ref="B41:F42"/>
  </mergeCells>
  <dataValidations count="3">
    <dataValidation allowBlank="false" error="Usa la lista desplegable para elegir Region." errorStyle="stop" errorTitle="Valor no permitido" operator="between" prompt="Usa la lista desplegable para elegir Region." promptTitle="Elegi Region" showDropDown="false" showErrorMessage="true" showInputMessage="true" sqref="C35" type="list">
      <formula1>Lista_Region</formula1>
      <formula2>0</formula2>
    </dataValidation>
    <dataValidation allowBlank="false" error="Usa la lista desplegable para elegir Categoria." errorStyle="stop" errorTitle="Valor no permitido" operator="between" prompt="Usa la lista desplegable para elegir Categoria." promptTitle="Elegi Categoria" showDropDown="false" showErrorMessage="true" showInputMessage="true" sqref="C36" type="list">
      <formula1>Lista_Categoria</formula1>
      <formula2>0</formula2>
    </dataValidation>
    <dataValidation allowBlank="false" error="Usa la lista desplegable para elegir Anio." errorStyle="stop" errorTitle="Valor no permitido" operator="between" prompt="Usa la lista desplegable para elegir Anio." promptTitle="Elegi Anio" showDropDown="false" showErrorMessage="true" showInputMessage="true" sqref="C37" type="list">
      <formula1>Lista_Anio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401"/>
  <sheetViews>
    <sheetView showFormulas="false" showGridLines="true" showRowColHeaders="fals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7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10" min="9" style="0" width="14"/>
    <col collapsed="false" customWidth="true" hidden="false" outlineLevel="0" max="11" min="11" style="0" width="15"/>
    <col collapsed="false" customWidth="true" hidden="false" outlineLevel="0" max="12" min="12" style="0" width="19"/>
    <col collapsed="false" customWidth="true" hidden="false" outlineLevel="0" max="13" min="13" style="0" width="20"/>
    <col collapsed="false" customWidth="true" hidden="false" outlineLevel="0" max="14" min="14" style="0" width="24"/>
    <col collapsed="false" customWidth="true" hidden="false" outlineLevel="0" max="15" min="15" style="0" width="10"/>
    <col collapsed="false" customWidth="true" hidden="false" outlineLevel="0" max="17" min="16" style="0" width="15"/>
    <col collapsed="false" customWidth="true" hidden="false" outlineLevel="0" max="18" min="18" style="0" width="13"/>
    <col collapsed="false" customWidth="true" hidden="false" outlineLevel="0" max="20" min="19" style="0" width="15"/>
    <col collapsed="false" customWidth="true" hidden="false" outlineLevel="0" max="21" min="21" style="0" width="14"/>
    <col collapsed="false" customWidth="true" hidden="false" outlineLevel="0" max="22" min="22" style="0" width="11"/>
    <col collapsed="false" customWidth="true" hidden="false" outlineLevel="0" max="23" min="23" style="0" width="20"/>
    <col collapsed="false" customWidth="true" hidden="false" outlineLevel="0" max="24" min="24" style="0" width="16"/>
    <col collapsed="false" customWidth="true" hidden="false" outlineLevel="0" max="25" min="25" style="0" width="9"/>
    <col collapsed="false" customWidth="true" hidden="false" outlineLevel="0" max="26" min="26" style="0" width="11"/>
    <col collapsed="false" customWidth="true" hidden="false" outlineLevel="0" max="27" min="27" style="0" width="12"/>
    <col collapsed="false" customWidth="true" hidden="false" outlineLevel="0" max="28" min="28" style="0" width="13"/>
    <col collapsed="false" customWidth="true" hidden="false" outlineLevel="0" max="29" min="29" style="0" width="15"/>
    <col collapsed="false" customWidth="true" hidden="false" outlineLevel="0" max="30" min="30" style="0" width="14"/>
  </cols>
  <sheetData>
    <row r="1" customFormat="false" ht="15" hidden="false" customHeight="false" outlineLevel="0" collapsed="false">
      <c r="A1" s="59" t="s">
        <v>62</v>
      </c>
      <c r="B1" s="59" t="s">
        <v>63</v>
      </c>
      <c r="C1" s="59" t="s">
        <v>57</v>
      </c>
      <c r="D1" s="59" t="s">
        <v>64</v>
      </c>
      <c r="E1" s="59" t="s">
        <v>65</v>
      </c>
      <c r="F1" s="59" t="s">
        <v>66</v>
      </c>
      <c r="G1" s="59" t="s">
        <v>67</v>
      </c>
      <c r="H1" s="59" t="s">
        <v>20</v>
      </c>
      <c r="I1" s="59" t="s">
        <v>68</v>
      </c>
      <c r="J1" s="59" t="s">
        <v>69</v>
      </c>
      <c r="K1" s="59" t="s">
        <v>24</v>
      </c>
      <c r="L1" s="59" t="s">
        <v>70</v>
      </c>
      <c r="M1" s="59" t="s">
        <v>39</v>
      </c>
      <c r="N1" s="59" t="s">
        <v>71</v>
      </c>
      <c r="O1" s="59" t="s">
        <v>23</v>
      </c>
      <c r="P1" s="59" t="s">
        <v>72</v>
      </c>
      <c r="Q1" s="59" t="s">
        <v>73</v>
      </c>
      <c r="R1" s="59" t="s">
        <v>21</v>
      </c>
      <c r="S1" s="59" t="s">
        <v>74</v>
      </c>
      <c r="T1" s="59" t="s">
        <v>75</v>
      </c>
      <c r="U1" s="59" t="s">
        <v>76</v>
      </c>
      <c r="V1" s="59" t="s">
        <v>77</v>
      </c>
      <c r="W1" s="59" t="s">
        <v>40</v>
      </c>
      <c r="X1" s="59" t="s">
        <v>78</v>
      </c>
      <c r="Y1" s="59" t="s">
        <v>79</v>
      </c>
      <c r="Z1" s="60" t="s">
        <v>80</v>
      </c>
      <c r="AA1" s="60" t="s">
        <v>81</v>
      </c>
      <c r="AB1" s="60" t="s">
        <v>82</v>
      </c>
      <c r="AC1" s="60" t="s">
        <v>83</v>
      </c>
      <c r="AD1" s="60" t="s">
        <v>84</v>
      </c>
    </row>
    <row r="2" customFormat="false" ht="15" hidden="false" customHeight="false" outlineLevel="0" collapsed="false">
      <c r="A2" s="61" t="n">
        <f aca="false">INDEX(Datos_Origen!$A$2:$A$2459,$Z2)</f>
        <v>1</v>
      </c>
      <c r="B2" s="62" t="n">
        <f aca="false">IF(ISNUMBER($AB2),$AB2,IF(MID($AB2,5,1)="-",DATE(VALUE(LEFT($AB2,4)),VALUE(MID($AB2,6,2)),VALUE(RIGHT($AB2,2))),DATE(VALUE(RIGHT($AB2,4)),VALUE(MID($AB2,4,2)),VALUE(LEFT($AB2,2)))))</f>
        <v>45299</v>
      </c>
      <c r="C2" s="61" t="n">
        <f aca="false">YEAR($B2)</f>
        <v>2024</v>
      </c>
      <c r="D2" s="61" t="str">
        <f aca="false">"Q"&amp;ROUNDUP(MONTH($B2)/3,0)</f>
        <v>Q1</v>
      </c>
      <c r="E2" s="61" t="n">
        <f aca="false">MONTH($B2)</f>
        <v>1</v>
      </c>
      <c r="F2" s="61" t="str">
        <f aca="false">INDEX(Parametros!$I$5:$I$16,$E2)</f>
        <v>Ene</v>
      </c>
      <c r="G2" s="61" t="str">
        <f aca="false">TEXT($C2,"0000")&amp;"-"&amp;TEXT($E2,"00")</f>
        <v>2024-01</v>
      </c>
      <c r="H2" s="61" t="str">
        <f aca="false">INDEX(Parametros!$C$71:$C$91,MATCH(TRIM(INDEX(Datos_Origen!$C$2:$C$2459,$Z2)),Parametros!$B$71:$B$91,0))</f>
        <v>AMBA</v>
      </c>
      <c r="I2" s="61" t="str">
        <f aca="false">IF(TRIM($AD2)="",INDEX(Parametros!$I$20:$I$24,MATCH($H2,Parametros!$H$20:$H$24,0)),TRIM($AD2))</f>
        <v>Buenos Aires</v>
      </c>
      <c r="J2" s="61" t="str">
        <f aca="false">INDEX(Parametros!$C$95:$C$106,MATCH(TRIM(INDEX(Datos_Origen!$E$2:$E$2459,$Z2)),Parametros!$B$95:$B$106,0))</f>
        <v>Tienda fisica</v>
      </c>
      <c r="K2" s="61" t="str">
        <f aca="false">INDEX(Parametros!$C$48:$C$67,MATCH(TRIM(INDEX(Datos_Origen!$F$2:$F$2459,$Z2)),Parametros!$B$48:$B$67,0))</f>
        <v>Computacion</v>
      </c>
      <c r="L2" s="61" t="str">
        <f aca="false">$K2&amp;" "&amp;$C2</f>
        <v>Computacion 2024</v>
      </c>
      <c r="M2" s="61" t="str">
        <f aca="false">TRIM(INDEX(Datos_Origen!$G$2:$G$2459,$Z2))</f>
        <v>Laptop Pro 15</v>
      </c>
      <c r="N2" s="61" t="str">
        <f aca="false">$M2&amp;" "&amp;$C2</f>
        <v>Laptop Pro 15 2024</v>
      </c>
      <c r="O2" s="63" t="n">
        <f aca="false">IF(ISTEXT($AC2),VALUE($AC2),$AC2)</f>
        <v>21</v>
      </c>
      <c r="P2" s="64" t="n">
        <f aca="false">INDEX(Datos_Origen!$I$2:$I$2459,$Z2)</f>
        <v>1176</v>
      </c>
      <c r="Q2" s="64" t="n">
        <f aca="false">INDEX(Datos_Origen!$J$2:$J$2459,$Z2)</f>
        <v>744</v>
      </c>
      <c r="R2" s="65" t="n">
        <f aca="false">ROUND($O2*$P2,2)</f>
        <v>24696</v>
      </c>
      <c r="S2" s="65" t="n">
        <f aca="false">ROUND($O2*$Q2,2)</f>
        <v>15624</v>
      </c>
      <c r="T2" s="65" t="n">
        <f aca="false">ROUND($R2*SUMIFS(Parametros!$E$28:$E$43,Parametros!$B$28:$B$43,$J2,Parametros!$C$28:$C$43,$C2,Parametros!$D$28:$D$43,$D2),2)</f>
        <v>296.35</v>
      </c>
      <c r="U2" s="65" t="n">
        <f aca="false">$R2-$S2-$T2</f>
        <v>8775.65</v>
      </c>
      <c r="V2" s="66" t="n">
        <f aca="false">IFERROR($U2/$R2,0)</f>
        <v>0.355347019760285</v>
      </c>
      <c r="W2" s="67" t="str">
        <f aca="false">IF(AND($V2&gt;=Parametros!$C$8,$R2&gt;=Parametros!$C$12),"Alta rentabilidad",IF(OR($V2&lt;Parametros!$C$11,$R2&lt;Parametros!$C$13),"Revisar","Estandar"))</f>
        <v>Alta rentabilidad</v>
      </c>
      <c r="X2" s="67" t="str">
        <f aca="false">IF(AND($J2="E-commerce",IFERROR($T2/$R2,0)&gt;Parametros!$C$14),"Alerta","OK")</f>
        <v>OK</v>
      </c>
      <c r="Y2" s="61" t="str">
        <f aca="false">IF($R2&gt;=Parametros!$C$12,"Alto",IF($R2&lt;Parametros!$C$13,"Bajo","Medio"))</f>
        <v>Alto</v>
      </c>
      <c r="Z2" s="61" t="n">
        <v>2024</v>
      </c>
      <c r="AA2" s="61" t="str">
        <f aca="false">IF(MATCH($A2,Datos_Origen!$A$2:$A$2459,0)=$Z2,"OK","REVISAR")</f>
        <v>OK</v>
      </c>
      <c r="AB2" s="61" t="str">
        <f aca="false">INDEX(Datos_Origen!$B$2:$B$2459,$Z2)</f>
        <v>08/01/2024</v>
      </c>
      <c r="AC2" s="61" t="n">
        <f aca="false">INDEX(Datos_Origen!$H$2:$H$2459,$Z2)</f>
        <v>21</v>
      </c>
      <c r="AD2" s="61" t="str">
        <f aca="false">INDEX(Datos_Origen!$D$2:$D$2459,$Z2)&amp;""</f>
        <v>Buenos Aires</v>
      </c>
    </row>
    <row r="3" customFormat="false" ht="15" hidden="false" customHeight="false" outlineLevel="0" collapsed="false">
      <c r="A3" s="61" t="n">
        <f aca="false">INDEX(Datos_Origen!$A$2:$A$2459,$Z3)</f>
        <v>2</v>
      </c>
      <c r="B3" s="62" t="n">
        <f aca="false">IF(ISNUMBER($AB3),$AB3,IF(MID($AB3,5,1)="-",DATE(VALUE(LEFT($AB3,4)),VALUE(MID($AB3,6,2)),VALUE(RIGHT($AB3,2))),DATE(VALUE(RIGHT($AB3,4)),VALUE(MID($AB3,4,2)),VALUE(LEFT($AB3,2)))))</f>
        <v>45306</v>
      </c>
      <c r="C3" s="61" t="n">
        <f aca="false">YEAR($B3)</f>
        <v>2024</v>
      </c>
      <c r="D3" s="61" t="str">
        <f aca="false">"Q"&amp;ROUNDUP(MONTH($B3)/3,0)</f>
        <v>Q1</v>
      </c>
      <c r="E3" s="61" t="n">
        <f aca="false">MONTH($B3)</f>
        <v>1</v>
      </c>
      <c r="F3" s="61" t="str">
        <f aca="false">INDEX(Parametros!$I$5:$I$16,$E3)</f>
        <v>Ene</v>
      </c>
      <c r="G3" s="61" t="str">
        <f aca="false">TEXT($C3,"0000")&amp;"-"&amp;TEXT($E3,"00")</f>
        <v>2024-01</v>
      </c>
      <c r="H3" s="61" t="str">
        <f aca="false">INDEX(Parametros!$C$71:$C$91,MATCH(TRIM(INDEX(Datos_Origen!$C$2:$C$2459,$Z3)),Parametros!$B$71:$B$91,0))</f>
        <v>AMBA</v>
      </c>
      <c r="I3" s="61" t="str">
        <f aca="false">IF(TRIM($AD3)="",INDEX(Parametros!$I$20:$I$24,MATCH($H3,Parametros!$H$20:$H$24,0)),TRIM($AD3))</f>
        <v>Buenos Aires</v>
      </c>
      <c r="J3" s="61" t="str">
        <f aca="false">INDEX(Parametros!$C$95:$C$106,MATCH(TRIM(INDEX(Datos_Origen!$E$2:$E$2459,$Z3)),Parametros!$B$95:$B$106,0))</f>
        <v>E-commerce</v>
      </c>
      <c r="K3" s="61" t="str">
        <f aca="false">INDEX(Parametros!$C$48:$C$67,MATCH(TRIM(INDEX(Datos_Origen!$F$2:$F$2459,$Z3)),Parametros!$B$48:$B$67,0))</f>
        <v>Computacion</v>
      </c>
      <c r="L3" s="61" t="str">
        <f aca="false">$K3&amp;" "&amp;$C3</f>
        <v>Computacion 2024</v>
      </c>
      <c r="M3" s="61" t="str">
        <f aca="false">TRIM(INDEX(Datos_Origen!$G$2:$G$2459,$Z3))</f>
        <v>Laptop Pro 15</v>
      </c>
      <c r="N3" s="61" t="str">
        <f aca="false">$M3&amp;" "&amp;$C3</f>
        <v>Laptop Pro 15 2024</v>
      </c>
      <c r="O3" s="63" t="n">
        <f aca="false">IF(ISTEXT($AC3),VALUE($AC3),$AC3)</f>
        <v>8</v>
      </c>
      <c r="P3" s="64" t="n">
        <f aca="false">INDEX(Datos_Origen!$I$2:$I$2459,$Z3)</f>
        <v>1176</v>
      </c>
      <c r="Q3" s="64" t="n">
        <f aca="false">INDEX(Datos_Origen!$J$2:$J$2459,$Z3)</f>
        <v>744</v>
      </c>
      <c r="R3" s="65" t="n">
        <f aca="false">ROUND($O3*$P3,2)</f>
        <v>9408</v>
      </c>
      <c r="S3" s="65" t="n">
        <f aca="false">ROUND($O3*$Q3,2)</f>
        <v>5952</v>
      </c>
      <c r="T3" s="65" t="n">
        <f aca="false">ROUND($R3*SUMIFS(Parametros!$E$28:$E$43,Parametros!$B$28:$B$43,$J3,Parametros!$C$28:$C$43,$C3,Parametros!$D$28:$D$43,$D3),2)</f>
        <v>395.14</v>
      </c>
      <c r="U3" s="65" t="n">
        <f aca="false">$R3-$S3-$T3</f>
        <v>3060.86</v>
      </c>
      <c r="V3" s="66" t="n">
        <f aca="false">IFERROR($U3/$R3,0)</f>
        <v>0.325346513605442</v>
      </c>
      <c r="W3" s="67" t="str">
        <f aca="false">IF(AND($V3&gt;=Parametros!$C$8,$R3&gt;=Parametros!$C$12),"Alta rentabilidad",IF(OR($V3&lt;Parametros!$C$11,$R3&lt;Parametros!$C$13),"Revisar","Estandar"))</f>
        <v>Estandar</v>
      </c>
      <c r="X3" s="67" t="str">
        <f aca="false">IF(AND($J3="E-commerce",IFERROR($T3/$R3,0)&gt;Parametros!$C$14),"Alerta","OK")</f>
        <v>OK</v>
      </c>
      <c r="Y3" s="61" t="str">
        <f aca="false">IF($R3&gt;=Parametros!$C$12,"Alto",IF($R3&lt;Parametros!$C$13,"Bajo","Medio"))</f>
        <v>Alto</v>
      </c>
      <c r="Z3" s="61" t="n">
        <v>1401</v>
      </c>
      <c r="AA3" s="61" t="str">
        <f aca="false">IF(MATCH($A3,Datos_Origen!$A$2:$A$2459,0)=$Z3,"OK","REVISAR")</f>
        <v>OK</v>
      </c>
      <c r="AB3" s="61" t="str">
        <f aca="false">INDEX(Datos_Origen!$B$2:$B$2459,$Z3)</f>
        <v>2024-01-15</v>
      </c>
      <c r="AC3" s="61" t="n">
        <f aca="false">INDEX(Datos_Origen!$H$2:$H$2459,$Z3)</f>
        <v>8</v>
      </c>
      <c r="AD3" s="61" t="str">
        <f aca="false">INDEX(Datos_Origen!$D$2:$D$2459,$Z3)&amp;""</f>
        <v>Buenos Aires</v>
      </c>
    </row>
    <row r="4" customFormat="false" ht="15" hidden="false" customHeight="false" outlineLevel="0" collapsed="false">
      <c r="A4" s="61" t="n">
        <f aca="false">INDEX(Datos_Origen!$A$2:$A$2459,$Z4)</f>
        <v>3</v>
      </c>
      <c r="B4" s="62" t="n">
        <f aca="false">IF(ISNUMBER($AB4),$AB4,IF(MID($AB4,5,1)="-",DATE(VALUE(LEFT($AB4,4)),VALUE(MID($AB4,6,2)),VALUE(RIGHT($AB4,2))),DATE(VALUE(RIGHT($AB4,4)),VALUE(MID($AB4,4,2)),VALUE(LEFT($AB4,2)))))</f>
        <v>45313</v>
      </c>
      <c r="C4" s="61" t="n">
        <f aca="false">YEAR($B4)</f>
        <v>2024</v>
      </c>
      <c r="D4" s="61" t="str">
        <f aca="false">"Q"&amp;ROUNDUP(MONTH($B4)/3,0)</f>
        <v>Q1</v>
      </c>
      <c r="E4" s="61" t="n">
        <f aca="false">MONTH($B4)</f>
        <v>1</v>
      </c>
      <c r="F4" s="61" t="str">
        <f aca="false">INDEX(Parametros!$I$5:$I$16,$E4)</f>
        <v>Ene</v>
      </c>
      <c r="G4" s="61" t="str">
        <f aca="false">TEXT($C4,"0000")&amp;"-"&amp;TEXT($E4,"00")</f>
        <v>2024-01</v>
      </c>
      <c r="H4" s="61" t="str">
        <f aca="false">INDEX(Parametros!$C$71:$C$91,MATCH(TRIM(INDEX(Datos_Origen!$C$2:$C$2459,$Z4)),Parametros!$B$71:$B$91,0))</f>
        <v>AMBA</v>
      </c>
      <c r="I4" s="61" t="str">
        <f aca="false">IF(TRIM($AD4)="",INDEX(Parametros!$I$20:$I$24,MATCH($H4,Parametros!$H$20:$H$24,0)),TRIM($AD4))</f>
        <v>Buenos Aires</v>
      </c>
      <c r="J4" s="61" t="str">
        <f aca="false">INDEX(Parametros!$C$95:$C$106,MATCH(TRIM(INDEX(Datos_Origen!$E$2:$E$2459,$Z4)),Parametros!$B$95:$B$106,0))</f>
        <v>Tienda fisica</v>
      </c>
      <c r="K4" s="61" t="str">
        <f aca="false">INDEX(Parametros!$C$48:$C$67,MATCH(TRIM(INDEX(Datos_Origen!$F$2:$F$2459,$Z4)),Parametros!$B$48:$B$67,0))</f>
        <v>Computacion</v>
      </c>
      <c r="L4" s="61" t="str">
        <f aca="false">$K4&amp;" "&amp;$C4</f>
        <v>Computacion 2024</v>
      </c>
      <c r="M4" s="61" t="str">
        <f aca="false">TRIM(INDEX(Datos_Origen!$G$2:$G$2459,$Z4))</f>
        <v>Monitor 4K 27</v>
      </c>
      <c r="N4" s="61" t="str">
        <f aca="false">$M4&amp;" "&amp;$C4</f>
        <v>Monitor 4K 27 2024</v>
      </c>
      <c r="O4" s="63" t="n">
        <f aca="false">IF(ISTEXT($AC4),VALUE($AC4),$AC4)</f>
        <v>18</v>
      </c>
      <c r="P4" s="64" t="n">
        <f aca="false">INDEX(Datos_Origen!$I$2:$I$2459,$Z4)</f>
        <v>441</v>
      </c>
      <c r="Q4" s="64" t="n">
        <f aca="false">INDEX(Datos_Origen!$J$2:$J$2459,$Z4)</f>
        <v>272.25</v>
      </c>
      <c r="R4" s="65" t="n">
        <f aca="false">ROUND($O4*$P4,2)</f>
        <v>7938</v>
      </c>
      <c r="S4" s="65" t="n">
        <f aca="false">ROUND($O4*$Q4,2)</f>
        <v>4900.5</v>
      </c>
      <c r="T4" s="65" t="n">
        <f aca="false">ROUND($R4*SUMIFS(Parametros!$E$28:$E$43,Parametros!$B$28:$B$43,$J4,Parametros!$C$28:$C$43,$C4,Parametros!$D$28:$D$43,$D4),2)</f>
        <v>95.26</v>
      </c>
      <c r="U4" s="65" t="n">
        <f aca="false">$R4-$S4-$T4</f>
        <v>2942.24</v>
      </c>
      <c r="V4" s="66" t="n">
        <f aca="false">IFERROR($U4/$R4,0)</f>
        <v>0.370652557319224</v>
      </c>
      <c r="W4" s="67" t="str">
        <f aca="false">IF(AND($V4&gt;=Parametros!$C$8,$R4&gt;=Parametros!$C$12),"Alta rentabilidad",IF(OR($V4&lt;Parametros!$C$11,$R4&lt;Parametros!$C$13),"Revisar","Estandar"))</f>
        <v>Alta rentabilidad</v>
      </c>
      <c r="X4" s="67" t="str">
        <f aca="false">IF(AND($J4="E-commerce",IFERROR($T4/$R4,0)&gt;Parametros!$C$14),"Alerta","OK")</f>
        <v>OK</v>
      </c>
      <c r="Y4" s="61" t="str">
        <f aca="false">IF($R4&gt;=Parametros!$C$12,"Alto",IF($R4&lt;Parametros!$C$13,"Bajo","Medio"))</f>
        <v>Alto</v>
      </c>
      <c r="Z4" s="61" t="n">
        <v>1921</v>
      </c>
      <c r="AA4" s="61" t="str">
        <f aca="false">IF(MATCH($A4,Datos_Origen!$A$2:$A$2459,0)=$Z4,"OK","REVISAR")</f>
        <v>OK</v>
      </c>
      <c r="AB4" s="61" t="str">
        <f aca="false">INDEX(Datos_Origen!$B$2:$B$2459,$Z4)</f>
        <v>2024-01-22</v>
      </c>
      <c r="AC4" s="61" t="n">
        <f aca="false">INDEX(Datos_Origen!$H$2:$H$2459,$Z4)</f>
        <v>18</v>
      </c>
      <c r="AD4" s="61" t="str">
        <f aca="false">INDEX(Datos_Origen!$D$2:$D$2459,$Z4)&amp;""</f>
        <v/>
      </c>
    </row>
    <row r="5" customFormat="false" ht="15" hidden="false" customHeight="false" outlineLevel="0" collapsed="false">
      <c r="A5" s="61" t="n">
        <f aca="false">INDEX(Datos_Origen!$A$2:$A$2459,$Z5)</f>
        <v>4</v>
      </c>
      <c r="B5" s="62" t="n">
        <f aca="false">IF(ISNUMBER($AB5),$AB5,IF(MID($AB5,5,1)="-",DATE(VALUE(LEFT($AB5,4)),VALUE(MID($AB5,6,2)),VALUE(RIGHT($AB5,2))),DATE(VALUE(RIGHT($AB5,4)),VALUE(MID($AB5,4,2)),VALUE(LEFT($AB5,2)))))</f>
        <v>45293</v>
      </c>
      <c r="C5" s="61" t="n">
        <f aca="false">YEAR($B5)</f>
        <v>2024</v>
      </c>
      <c r="D5" s="61" t="str">
        <f aca="false">"Q"&amp;ROUNDUP(MONTH($B5)/3,0)</f>
        <v>Q1</v>
      </c>
      <c r="E5" s="61" t="n">
        <f aca="false">MONTH($B5)</f>
        <v>1</v>
      </c>
      <c r="F5" s="61" t="str">
        <f aca="false">INDEX(Parametros!$I$5:$I$16,$E5)</f>
        <v>Ene</v>
      </c>
      <c r="G5" s="61" t="str">
        <f aca="false">TEXT($C5,"0000")&amp;"-"&amp;TEXT($E5,"00")</f>
        <v>2024-01</v>
      </c>
      <c r="H5" s="61" t="str">
        <f aca="false">INDEX(Parametros!$C$71:$C$91,MATCH(TRIM(INDEX(Datos_Origen!$C$2:$C$2459,$Z5)),Parametros!$B$71:$B$91,0))</f>
        <v>AMBA</v>
      </c>
      <c r="I5" s="61" t="str">
        <f aca="false">IF(TRIM($AD5)="",INDEX(Parametros!$I$20:$I$24,MATCH($H5,Parametros!$H$20:$H$24,0)),TRIM($AD5))</f>
        <v>Buenos Aires</v>
      </c>
      <c r="J5" s="61" t="str">
        <f aca="false">INDEX(Parametros!$C$95:$C$106,MATCH(TRIM(INDEX(Datos_Origen!$E$2:$E$2459,$Z5)),Parametros!$B$95:$B$106,0))</f>
        <v>E-commerce</v>
      </c>
      <c r="K5" s="61" t="str">
        <f aca="false">INDEX(Parametros!$C$48:$C$67,MATCH(TRIM(INDEX(Datos_Origen!$F$2:$F$2459,$Z5)),Parametros!$B$48:$B$67,0))</f>
        <v>Computacion</v>
      </c>
      <c r="L5" s="61" t="str">
        <f aca="false">$K5&amp;" "&amp;$C5</f>
        <v>Computacion 2024</v>
      </c>
      <c r="M5" s="61" t="str">
        <f aca="false">TRIM(INDEX(Datos_Origen!$G$2:$G$2459,$Z5))</f>
        <v>Monitor 4K 27</v>
      </c>
      <c r="N5" s="61" t="str">
        <f aca="false">$M5&amp;" "&amp;$C5</f>
        <v>Monitor 4K 27 2024</v>
      </c>
      <c r="O5" s="63" t="n">
        <f aca="false">IF(ISTEXT($AC5),VALUE($AC5),$AC5)</f>
        <v>8</v>
      </c>
      <c r="P5" s="64" t="n">
        <f aca="false">INDEX(Datos_Origen!$I$2:$I$2459,$Z5)</f>
        <v>441</v>
      </c>
      <c r="Q5" s="64" t="n">
        <f aca="false">INDEX(Datos_Origen!$J$2:$J$2459,$Z5)</f>
        <v>272.25</v>
      </c>
      <c r="R5" s="65" t="n">
        <f aca="false">ROUND($O5*$P5,2)</f>
        <v>3528</v>
      </c>
      <c r="S5" s="65" t="n">
        <f aca="false">ROUND($O5*$Q5,2)</f>
        <v>2178</v>
      </c>
      <c r="T5" s="65" t="n">
        <f aca="false">ROUND($R5*SUMIFS(Parametros!$E$28:$E$43,Parametros!$B$28:$B$43,$J5,Parametros!$C$28:$C$43,$C5,Parametros!$D$28:$D$43,$D5),2)</f>
        <v>148.18</v>
      </c>
      <c r="U5" s="65" t="n">
        <f aca="false">$R5-$S5-$T5</f>
        <v>1201.82</v>
      </c>
      <c r="V5" s="66" t="n">
        <f aca="false">IFERROR($U5/$R5,0)</f>
        <v>0.340651927437642</v>
      </c>
      <c r="W5" s="67" t="str">
        <f aca="false">IF(AND($V5&gt;=Parametros!$C$8,$R5&gt;=Parametros!$C$12),"Alta rentabilidad",IF(OR($V5&lt;Parametros!$C$11,$R5&lt;Parametros!$C$13),"Revisar","Estandar"))</f>
        <v>Alta rentabilidad</v>
      </c>
      <c r="X5" s="67" t="str">
        <f aca="false">IF(AND($J5="E-commerce",IFERROR($T5/$R5,0)&gt;Parametros!$C$14),"Alerta","OK")</f>
        <v>OK</v>
      </c>
      <c r="Y5" s="61" t="str">
        <f aca="false">IF($R5&gt;=Parametros!$C$12,"Alto",IF($R5&lt;Parametros!$C$13,"Bajo","Medio"))</f>
        <v>Alto</v>
      </c>
      <c r="Z5" s="61" t="n">
        <v>2435</v>
      </c>
      <c r="AA5" s="61" t="str">
        <f aca="false">IF(MATCH($A5,Datos_Origen!$A$2:$A$2459,0)=$Z5,"OK","REVISAR")</f>
        <v>OK</v>
      </c>
      <c r="AB5" s="62" t="n">
        <f aca="false">INDEX(Datos_Origen!$B$2:$B$2459,$Z5)</f>
        <v>45293</v>
      </c>
      <c r="AC5" s="61" t="n">
        <f aca="false">INDEX(Datos_Origen!$H$2:$H$2459,$Z5)</f>
        <v>8</v>
      </c>
      <c r="AD5" s="61" t="str">
        <f aca="false">INDEX(Datos_Origen!$D$2:$D$2459,$Z5)&amp;""</f>
        <v>Buenos Aires</v>
      </c>
    </row>
    <row r="6" customFormat="false" ht="15" hidden="false" customHeight="false" outlineLevel="0" collapsed="false">
      <c r="A6" s="61" t="n">
        <f aca="false">INDEX(Datos_Origen!$A$2:$A$2459,$Z6)</f>
        <v>5</v>
      </c>
      <c r="B6" s="62" t="n">
        <f aca="false">IF(ISNUMBER($AB6),$AB6,IF(MID($AB6,5,1)="-",DATE(VALUE(LEFT($AB6,4)),VALUE(MID($AB6,6,2)),VALUE(RIGHT($AB6,2))),DATE(VALUE(RIGHT($AB6,4)),VALUE(MID($AB6,4,2)),VALUE(LEFT($AB6,2)))))</f>
        <v>45300</v>
      </c>
      <c r="C6" s="61" t="n">
        <f aca="false">YEAR($B6)</f>
        <v>2024</v>
      </c>
      <c r="D6" s="61" t="str">
        <f aca="false">"Q"&amp;ROUNDUP(MONTH($B6)/3,0)</f>
        <v>Q1</v>
      </c>
      <c r="E6" s="61" t="n">
        <f aca="false">MONTH($B6)</f>
        <v>1</v>
      </c>
      <c r="F6" s="61" t="str">
        <f aca="false">INDEX(Parametros!$I$5:$I$16,$E6)</f>
        <v>Ene</v>
      </c>
      <c r="G6" s="61" t="str">
        <f aca="false">TEXT($C6,"0000")&amp;"-"&amp;TEXT($E6,"00")</f>
        <v>2024-01</v>
      </c>
      <c r="H6" s="61" t="str">
        <f aca="false">INDEX(Parametros!$C$71:$C$91,MATCH(TRIM(INDEX(Datos_Origen!$C$2:$C$2459,$Z6)),Parametros!$B$71:$B$91,0))</f>
        <v>AMBA</v>
      </c>
      <c r="I6" s="61" t="str">
        <f aca="false">IF(TRIM($AD6)="",INDEX(Parametros!$I$20:$I$24,MATCH($H6,Parametros!$H$20:$H$24,0)),TRIM($AD6))</f>
        <v>Buenos Aires</v>
      </c>
      <c r="J6" s="61" t="str">
        <f aca="false">INDEX(Parametros!$C$95:$C$106,MATCH(TRIM(INDEX(Datos_Origen!$E$2:$E$2459,$Z6)),Parametros!$B$95:$B$106,0))</f>
        <v>Tienda fisica</v>
      </c>
      <c r="K6" s="61" t="str">
        <f aca="false">INDEX(Parametros!$C$48:$C$67,MATCH(TRIM(INDEX(Datos_Origen!$F$2:$F$2459,$Z6)),Parametros!$B$48:$B$67,0))</f>
        <v>Computacion</v>
      </c>
      <c r="L6" s="61" t="str">
        <f aca="false">$K6&amp;" "&amp;$C6</f>
        <v>Computacion 2024</v>
      </c>
      <c r="M6" s="61" t="str">
        <f aca="false">TRIM(INDEX(Datos_Origen!$G$2:$G$2459,$Z6))</f>
        <v>PC Gamer Ryzen</v>
      </c>
      <c r="N6" s="61" t="str">
        <f aca="false">$M6&amp;" "&amp;$C6</f>
        <v>PC Gamer Ryzen 2024</v>
      </c>
      <c r="O6" s="63" t="n">
        <f aca="false">IF(ISTEXT($AC6),VALUE($AC6),$AC6)</f>
        <v>19</v>
      </c>
      <c r="P6" s="64" t="n">
        <f aca="false">INDEX(Datos_Origen!$I$2:$I$2459,$Z6)</f>
        <v>1617</v>
      </c>
      <c r="Q6" s="64" t="n">
        <f aca="false">INDEX(Datos_Origen!$J$2:$J$2459,$Z6)</f>
        <v>1122</v>
      </c>
      <c r="R6" s="65" t="n">
        <f aca="false">ROUND($O6*$P6,2)</f>
        <v>30723</v>
      </c>
      <c r="S6" s="65" t="n">
        <f aca="false">ROUND($O6*$Q6,2)</f>
        <v>21318</v>
      </c>
      <c r="T6" s="65" t="n">
        <f aca="false">ROUND($R6*SUMIFS(Parametros!$E$28:$E$43,Parametros!$B$28:$B$43,$J6,Parametros!$C$28:$C$43,$C6,Parametros!$D$28:$D$43,$D6),2)</f>
        <v>368.68</v>
      </c>
      <c r="U6" s="65" t="n">
        <f aca="false">$R6-$S6-$T6</f>
        <v>9036.32</v>
      </c>
      <c r="V6" s="66" t="n">
        <f aca="false">IFERROR($U6/$R6,0)</f>
        <v>0.294122318783973</v>
      </c>
      <c r="W6" s="67" t="str">
        <f aca="false">IF(AND($V6&gt;=Parametros!$C$8,$R6&gt;=Parametros!$C$12),"Alta rentabilidad",IF(OR($V6&lt;Parametros!$C$11,$R6&lt;Parametros!$C$13),"Revisar","Estandar"))</f>
        <v>Estandar</v>
      </c>
      <c r="X6" s="67" t="str">
        <f aca="false">IF(AND($J6="E-commerce",IFERROR($T6/$R6,0)&gt;Parametros!$C$14),"Alerta","OK")</f>
        <v>OK</v>
      </c>
      <c r="Y6" s="61" t="str">
        <f aca="false">IF($R6&gt;=Parametros!$C$12,"Alto",IF($R6&lt;Parametros!$C$13,"Bajo","Medio"))</f>
        <v>Alto</v>
      </c>
      <c r="Z6" s="61" t="n">
        <v>242</v>
      </c>
      <c r="AA6" s="61" t="str">
        <f aca="false">IF(MATCH($A6,Datos_Origen!$A$2:$A$2459,0)=$Z6,"OK","REVISAR")</f>
        <v>OK</v>
      </c>
      <c r="AB6" s="62" t="n">
        <f aca="false">INDEX(Datos_Origen!$B$2:$B$2459,$Z6)</f>
        <v>45300</v>
      </c>
      <c r="AC6" s="61" t="n">
        <f aca="false">INDEX(Datos_Origen!$H$2:$H$2459,$Z6)</f>
        <v>19</v>
      </c>
      <c r="AD6" s="61" t="str">
        <f aca="false">INDEX(Datos_Origen!$D$2:$D$2459,$Z6)&amp;""</f>
        <v>Buenos Aires</v>
      </c>
    </row>
    <row r="7" customFormat="false" ht="15" hidden="false" customHeight="false" outlineLevel="0" collapsed="false">
      <c r="A7" s="61" t="n">
        <f aca="false">INDEX(Datos_Origen!$A$2:$A$2459,$Z7)</f>
        <v>6</v>
      </c>
      <c r="B7" s="62" t="n">
        <f aca="false">IF(ISNUMBER($AB7),$AB7,IF(MID($AB7,5,1)="-",DATE(VALUE(LEFT($AB7,4)),VALUE(MID($AB7,6,2)),VALUE(RIGHT($AB7,2))),DATE(VALUE(RIGHT($AB7,4)),VALUE(MID($AB7,4,2)),VALUE(LEFT($AB7,2)))))</f>
        <v>45307</v>
      </c>
      <c r="C7" s="61" t="n">
        <f aca="false">YEAR($B7)</f>
        <v>2024</v>
      </c>
      <c r="D7" s="61" t="str">
        <f aca="false">"Q"&amp;ROUNDUP(MONTH($B7)/3,0)</f>
        <v>Q1</v>
      </c>
      <c r="E7" s="61" t="n">
        <f aca="false">MONTH($B7)</f>
        <v>1</v>
      </c>
      <c r="F7" s="61" t="str">
        <f aca="false">INDEX(Parametros!$I$5:$I$16,$E7)</f>
        <v>Ene</v>
      </c>
      <c r="G7" s="61" t="str">
        <f aca="false">TEXT($C7,"0000")&amp;"-"&amp;TEXT($E7,"00")</f>
        <v>2024-01</v>
      </c>
      <c r="H7" s="61" t="str">
        <f aca="false">INDEX(Parametros!$C$71:$C$91,MATCH(TRIM(INDEX(Datos_Origen!$C$2:$C$2459,$Z7)),Parametros!$B$71:$B$91,0))</f>
        <v>AMBA</v>
      </c>
      <c r="I7" s="61" t="str">
        <f aca="false">IF(TRIM($AD7)="",INDEX(Parametros!$I$20:$I$24,MATCH($H7,Parametros!$H$20:$H$24,0)),TRIM($AD7))</f>
        <v>Buenos Aires</v>
      </c>
      <c r="J7" s="61" t="str">
        <f aca="false">INDEX(Parametros!$C$95:$C$106,MATCH(TRIM(INDEX(Datos_Origen!$E$2:$E$2459,$Z7)),Parametros!$B$95:$B$106,0))</f>
        <v>E-commerce</v>
      </c>
      <c r="K7" s="61" t="str">
        <f aca="false">INDEX(Parametros!$C$48:$C$67,MATCH(TRIM(INDEX(Datos_Origen!$F$2:$F$2459,$Z7)),Parametros!$B$48:$B$67,0))</f>
        <v>Computacion</v>
      </c>
      <c r="L7" s="61" t="str">
        <f aca="false">$K7&amp;" "&amp;$C7</f>
        <v>Computacion 2024</v>
      </c>
      <c r="M7" s="61" t="str">
        <f aca="false">TRIM(INDEX(Datos_Origen!$G$2:$G$2459,$Z7))</f>
        <v>PC Gamer Ryzen</v>
      </c>
      <c r="N7" s="61" t="str">
        <f aca="false">$M7&amp;" "&amp;$C7</f>
        <v>PC Gamer Ryzen 2024</v>
      </c>
      <c r="O7" s="63" t="n">
        <f aca="false">IF(ISTEXT($AC7),VALUE($AC7),$AC7)</f>
        <v>8</v>
      </c>
      <c r="P7" s="64" t="n">
        <f aca="false">INDEX(Datos_Origen!$I$2:$I$2459,$Z7)</f>
        <v>1617</v>
      </c>
      <c r="Q7" s="64" t="n">
        <f aca="false">INDEX(Datos_Origen!$J$2:$J$2459,$Z7)</f>
        <v>1122</v>
      </c>
      <c r="R7" s="65" t="n">
        <f aca="false">ROUND($O7*$P7,2)</f>
        <v>12936</v>
      </c>
      <c r="S7" s="65" t="n">
        <f aca="false">ROUND($O7*$Q7,2)</f>
        <v>8976</v>
      </c>
      <c r="T7" s="65" t="n">
        <f aca="false">ROUND($R7*SUMIFS(Parametros!$E$28:$E$43,Parametros!$B$28:$B$43,$J7,Parametros!$C$28:$C$43,$C7,Parametros!$D$28:$D$43,$D7),2)</f>
        <v>543.31</v>
      </c>
      <c r="U7" s="65" t="n">
        <f aca="false">$R7-$S7-$T7</f>
        <v>3416.69</v>
      </c>
      <c r="V7" s="66" t="n">
        <f aca="false">IFERROR($U7/$R7,0)</f>
        <v>0.264122603586889</v>
      </c>
      <c r="W7" s="67" t="str">
        <f aca="false">IF(AND($V7&gt;=Parametros!$C$8,$R7&gt;=Parametros!$C$12),"Alta rentabilidad",IF(OR($V7&lt;Parametros!$C$11,$R7&lt;Parametros!$C$13),"Revisar","Estandar"))</f>
        <v>Revisar</v>
      </c>
      <c r="X7" s="67" t="str">
        <f aca="false">IF(AND($J7="E-commerce",IFERROR($T7/$R7,0)&gt;Parametros!$C$14),"Alerta","OK")</f>
        <v>OK</v>
      </c>
      <c r="Y7" s="61" t="str">
        <f aca="false">IF($R7&gt;=Parametros!$C$12,"Alto",IF($R7&lt;Parametros!$C$13,"Bajo","Medio"))</f>
        <v>Alto</v>
      </c>
      <c r="Z7" s="61" t="n">
        <v>134</v>
      </c>
      <c r="AA7" s="61" t="str">
        <f aca="false">IF(MATCH($A7,Datos_Origen!$A$2:$A$2459,0)=$Z7,"OK","REVISAR")</f>
        <v>OK</v>
      </c>
      <c r="AB7" s="62" t="n">
        <f aca="false">INDEX(Datos_Origen!$B$2:$B$2459,$Z7)</f>
        <v>45307</v>
      </c>
      <c r="AC7" s="61" t="n">
        <f aca="false">INDEX(Datos_Origen!$H$2:$H$2459,$Z7)</f>
        <v>8</v>
      </c>
      <c r="AD7" s="61" t="str">
        <f aca="false">INDEX(Datos_Origen!$D$2:$D$2459,$Z7)&amp;""</f>
        <v>Buenos Aires</v>
      </c>
    </row>
    <row r="8" customFormat="false" ht="15" hidden="false" customHeight="false" outlineLevel="0" collapsed="false">
      <c r="A8" s="61" t="n">
        <f aca="false">INDEX(Datos_Origen!$A$2:$A$2459,$Z8)</f>
        <v>7</v>
      </c>
      <c r="B8" s="62" t="n">
        <f aca="false">IF(ISNUMBER($AB8),$AB8,IF(MID($AB8,5,1)="-",DATE(VALUE(LEFT($AB8,4)),VALUE(MID($AB8,6,2)),VALUE(RIGHT($AB8,2))),DATE(VALUE(RIGHT($AB8,4)),VALUE(MID($AB8,4,2)),VALUE(LEFT($AB8,2)))))</f>
        <v>45314</v>
      </c>
      <c r="C8" s="61" t="n">
        <f aca="false">YEAR($B8)</f>
        <v>2024</v>
      </c>
      <c r="D8" s="61" t="str">
        <f aca="false">"Q"&amp;ROUNDUP(MONTH($B8)/3,0)</f>
        <v>Q1</v>
      </c>
      <c r="E8" s="61" t="n">
        <f aca="false">MONTH($B8)</f>
        <v>1</v>
      </c>
      <c r="F8" s="61" t="str">
        <f aca="false">INDEX(Parametros!$I$5:$I$16,$E8)</f>
        <v>Ene</v>
      </c>
      <c r="G8" s="61" t="str">
        <f aca="false">TEXT($C8,"0000")&amp;"-"&amp;TEXT($E8,"00")</f>
        <v>2024-01</v>
      </c>
      <c r="H8" s="61" t="str">
        <f aca="false">INDEX(Parametros!$C$71:$C$91,MATCH(TRIM(INDEX(Datos_Origen!$C$2:$C$2459,$Z8)),Parametros!$B$71:$B$91,0))</f>
        <v>AMBA</v>
      </c>
      <c r="I8" s="61" t="str">
        <f aca="false">IF(TRIM($AD8)="",INDEX(Parametros!$I$20:$I$24,MATCH($H8,Parametros!$H$20:$H$24,0)),TRIM($AD8))</f>
        <v>Buenos Aires</v>
      </c>
      <c r="J8" s="61" t="str">
        <f aca="false">INDEX(Parametros!$C$95:$C$106,MATCH(TRIM(INDEX(Datos_Origen!$E$2:$E$2459,$Z8)),Parametros!$B$95:$B$106,0))</f>
        <v>Tienda fisica</v>
      </c>
      <c r="K8" s="61" t="str">
        <f aca="false">INDEX(Parametros!$C$48:$C$67,MATCH(TRIM(INDEX(Datos_Origen!$F$2:$F$2459,$Z8)),Parametros!$B$48:$B$67,0))</f>
        <v>Accesorios</v>
      </c>
      <c r="L8" s="61" t="str">
        <f aca="false">$K8&amp;" "&amp;$C8</f>
        <v>Accesorios 2024</v>
      </c>
      <c r="M8" s="61" t="str">
        <f aca="false">TRIM(INDEX(Datos_Origen!$G$2:$G$2459,$Z8))</f>
        <v>Mouse Inalambrico</v>
      </c>
      <c r="N8" s="61" t="str">
        <f aca="false">$M8&amp;" "&amp;$C8</f>
        <v>Mouse Inalambrico 2024</v>
      </c>
      <c r="O8" s="63" t="n">
        <f aca="false">IF(ISTEXT($AC8),VALUE($AC8),$AC8)</f>
        <v>91</v>
      </c>
      <c r="P8" s="64" t="n">
        <f aca="false">INDEX(Datos_Origen!$I$2:$I$2459,$Z8)</f>
        <v>27.44</v>
      </c>
      <c r="Q8" s="64" t="n">
        <f aca="false">INDEX(Datos_Origen!$J$2:$J$2459,$Z8)</f>
        <v>13.44</v>
      </c>
      <c r="R8" s="65" t="n">
        <f aca="false">ROUND($O8*$P8,2)</f>
        <v>2497.04</v>
      </c>
      <c r="S8" s="65" t="n">
        <f aca="false">ROUND($O8*$Q8,2)</f>
        <v>1223.04</v>
      </c>
      <c r="T8" s="65" t="n">
        <f aca="false">ROUND($R8*SUMIFS(Parametros!$E$28:$E$43,Parametros!$B$28:$B$43,$J8,Parametros!$C$28:$C$43,$C8,Parametros!$D$28:$D$43,$D8),2)</f>
        <v>29.96</v>
      </c>
      <c r="U8" s="65" t="n">
        <f aca="false">$R8-$S8-$T8</f>
        <v>1244.04</v>
      </c>
      <c r="V8" s="66" t="n">
        <f aca="false">IFERROR($U8/$R8,0)</f>
        <v>0.498205875756896</v>
      </c>
      <c r="W8" s="67" t="str">
        <f aca="false">IF(AND($V8&gt;=Parametros!$C$8,$R8&gt;=Parametros!$C$12),"Alta rentabilidad",IF(OR($V8&lt;Parametros!$C$11,$R8&lt;Parametros!$C$13),"Revisar","Estandar"))</f>
        <v>Estandar</v>
      </c>
      <c r="X8" s="67" t="str">
        <f aca="false">IF(AND($J8="E-commerce",IFERROR($T8/$R8,0)&gt;Parametros!$C$14),"Alerta","OK")</f>
        <v>OK</v>
      </c>
      <c r="Y8" s="61" t="str">
        <f aca="false">IF($R8&gt;=Parametros!$C$12,"Alto",IF($R8&lt;Parametros!$C$13,"Bajo","Medio"))</f>
        <v>Medio</v>
      </c>
      <c r="Z8" s="61" t="n">
        <v>1285</v>
      </c>
      <c r="AA8" s="61" t="str">
        <f aca="false">IF(MATCH($A8,Datos_Origen!$A$2:$A$2459,0)=$Z8,"OK","REVISAR")</f>
        <v>OK</v>
      </c>
      <c r="AB8" s="62" t="n">
        <f aca="false">INDEX(Datos_Origen!$B$2:$B$2459,$Z8)</f>
        <v>45314</v>
      </c>
      <c r="AC8" s="61" t="n">
        <f aca="false">INDEX(Datos_Origen!$H$2:$H$2459,$Z8)</f>
        <v>91</v>
      </c>
      <c r="AD8" s="61" t="str">
        <f aca="false">INDEX(Datos_Origen!$D$2:$D$2459,$Z8)&amp;""</f>
        <v>Buenos Aires</v>
      </c>
    </row>
    <row r="9" customFormat="false" ht="15" hidden="false" customHeight="false" outlineLevel="0" collapsed="false">
      <c r="A9" s="61" t="n">
        <f aca="false">INDEX(Datos_Origen!$A$2:$A$2459,$Z9)</f>
        <v>8</v>
      </c>
      <c r="B9" s="62" t="n">
        <f aca="false">IF(ISNUMBER($AB9),$AB9,IF(MID($AB9,5,1)="-",DATE(VALUE(LEFT($AB9,4)),VALUE(MID($AB9,6,2)),VALUE(RIGHT($AB9,2))),DATE(VALUE(RIGHT($AB9,4)),VALUE(MID($AB9,4,2)),VALUE(LEFT($AB9,2)))))</f>
        <v>45294</v>
      </c>
      <c r="C9" s="61" t="n">
        <f aca="false">YEAR($B9)</f>
        <v>2024</v>
      </c>
      <c r="D9" s="61" t="str">
        <f aca="false">"Q"&amp;ROUNDUP(MONTH($B9)/3,0)</f>
        <v>Q1</v>
      </c>
      <c r="E9" s="61" t="n">
        <f aca="false">MONTH($B9)</f>
        <v>1</v>
      </c>
      <c r="F9" s="61" t="str">
        <f aca="false">INDEX(Parametros!$I$5:$I$16,$E9)</f>
        <v>Ene</v>
      </c>
      <c r="G9" s="61" t="str">
        <f aca="false">TEXT($C9,"0000")&amp;"-"&amp;TEXT($E9,"00")</f>
        <v>2024-01</v>
      </c>
      <c r="H9" s="61" t="str">
        <f aca="false">INDEX(Parametros!$C$71:$C$91,MATCH(TRIM(INDEX(Datos_Origen!$C$2:$C$2459,$Z9)),Parametros!$B$71:$B$91,0))</f>
        <v>AMBA</v>
      </c>
      <c r="I9" s="61" t="str">
        <f aca="false">IF(TRIM($AD9)="",INDEX(Parametros!$I$20:$I$24,MATCH($H9,Parametros!$H$20:$H$24,0)),TRIM($AD9))</f>
        <v>Buenos Aires</v>
      </c>
      <c r="J9" s="61" t="str">
        <f aca="false">INDEX(Parametros!$C$95:$C$106,MATCH(TRIM(INDEX(Datos_Origen!$E$2:$E$2459,$Z9)),Parametros!$B$95:$B$106,0))</f>
        <v>E-commerce</v>
      </c>
      <c r="K9" s="61" t="str">
        <f aca="false">INDEX(Parametros!$C$48:$C$67,MATCH(TRIM(INDEX(Datos_Origen!$F$2:$F$2459,$Z9)),Parametros!$B$48:$B$67,0))</f>
        <v>Accesorios</v>
      </c>
      <c r="L9" s="61" t="str">
        <f aca="false">$K9&amp;" "&amp;$C9</f>
        <v>Accesorios 2024</v>
      </c>
      <c r="M9" s="61" t="str">
        <f aca="false">TRIM(INDEX(Datos_Origen!$G$2:$G$2459,$Z9))</f>
        <v>Mouse Inalambrico</v>
      </c>
      <c r="N9" s="61" t="str">
        <f aca="false">$M9&amp;" "&amp;$C9</f>
        <v>Mouse Inalambrico 2024</v>
      </c>
      <c r="O9" s="63" t="n">
        <f aca="false">IF(ISTEXT($AC9),VALUE($AC9),$AC9)</f>
        <v>30</v>
      </c>
      <c r="P9" s="64" t="n">
        <f aca="false">INDEX(Datos_Origen!$I$2:$I$2459,$Z9)</f>
        <v>27.44</v>
      </c>
      <c r="Q9" s="64" t="n">
        <f aca="false">INDEX(Datos_Origen!$J$2:$J$2459,$Z9)</f>
        <v>13.44</v>
      </c>
      <c r="R9" s="65" t="n">
        <f aca="false">ROUND($O9*$P9,2)</f>
        <v>823.2</v>
      </c>
      <c r="S9" s="65" t="n">
        <f aca="false">ROUND($O9*$Q9,2)</f>
        <v>403.2</v>
      </c>
      <c r="T9" s="65" t="n">
        <f aca="false">ROUND($R9*SUMIFS(Parametros!$E$28:$E$43,Parametros!$B$28:$B$43,$J9,Parametros!$C$28:$C$43,$C9,Parametros!$D$28:$D$43,$D9),2)</f>
        <v>34.57</v>
      </c>
      <c r="U9" s="65" t="n">
        <f aca="false">$R9-$S9-$T9</f>
        <v>385.43</v>
      </c>
      <c r="V9" s="66" t="n">
        <f aca="false">IFERROR($U9/$R9,0)</f>
        <v>0.468209426627794</v>
      </c>
      <c r="W9" s="67" t="str">
        <f aca="false">IF(AND($V9&gt;=Parametros!$C$8,$R9&gt;=Parametros!$C$12),"Alta rentabilidad",IF(OR($V9&lt;Parametros!$C$11,$R9&lt;Parametros!$C$13),"Revisar","Estandar"))</f>
        <v>Estandar</v>
      </c>
      <c r="X9" s="67" t="str">
        <f aca="false">IF(AND($J9="E-commerce",IFERROR($T9/$R9,0)&gt;Parametros!$C$14),"Alerta","OK")</f>
        <v>OK</v>
      </c>
      <c r="Y9" s="61" t="str">
        <f aca="false">IF($R9&gt;=Parametros!$C$12,"Alto",IF($R9&lt;Parametros!$C$13,"Bajo","Medio"))</f>
        <v>Medio</v>
      </c>
      <c r="Z9" s="61" t="n">
        <v>3</v>
      </c>
      <c r="AA9" s="61" t="str">
        <f aca="false">IF(MATCH($A9,Datos_Origen!$A$2:$A$2459,0)=$Z9,"OK","REVISAR")</f>
        <v>OK</v>
      </c>
      <c r="AB9" s="61" t="str">
        <f aca="false">INDEX(Datos_Origen!$B$2:$B$2459,$Z9)</f>
        <v>03/01/2024</v>
      </c>
      <c r="AC9" s="61" t="n">
        <f aca="false">INDEX(Datos_Origen!$H$2:$H$2459,$Z9)</f>
        <v>30</v>
      </c>
      <c r="AD9" s="61" t="str">
        <f aca="false">INDEX(Datos_Origen!$D$2:$D$2459,$Z9)&amp;""</f>
        <v>Buenos Aires</v>
      </c>
    </row>
    <row r="10" customFormat="false" ht="15" hidden="false" customHeight="false" outlineLevel="0" collapsed="false">
      <c r="A10" s="61" t="n">
        <f aca="false">INDEX(Datos_Origen!$A$2:$A$2459,$Z10)</f>
        <v>9</v>
      </c>
      <c r="B10" s="62" t="n">
        <f aca="false">IF(ISNUMBER($AB10),$AB10,IF(MID($AB10,5,1)="-",DATE(VALUE(LEFT($AB10,4)),VALUE(MID($AB10,6,2)),VALUE(RIGHT($AB10,2))),DATE(VALUE(RIGHT($AB10,4)),VALUE(MID($AB10,4,2)),VALUE(LEFT($AB10,2)))))</f>
        <v>45301</v>
      </c>
      <c r="C10" s="61" t="n">
        <f aca="false">YEAR($B10)</f>
        <v>2024</v>
      </c>
      <c r="D10" s="61" t="str">
        <f aca="false">"Q"&amp;ROUNDUP(MONTH($B10)/3,0)</f>
        <v>Q1</v>
      </c>
      <c r="E10" s="61" t="n">
        <f aca="false">MONTH($B10)</f>
        <v>1</v>
      </c>
      <c r="F10" s="61" t="str">
        <f aca="false">INDEX(Parametros!$I$5:$I$16,$E10)</f>
        <v>Ene</v>
      </c>
      <c r="G10" s="61" t="str">
        <f aca="false">TEXT($C10,"0000")&amp;"-"&amp;TEXT($E10,"00")</f>
        <v>2024-01</v>
      </c>
      <c r="H10" s="61" t="str">
        <f aca="false">INDEX(Parametros!$C$71:$C$91,MATCH(TRIM(INDEX(Datos_Origen!$C$2:$C$2459,$Z10)),Parametros!$B$71:$B$91,0))</f>
        <v>AMBA</v>
      </c>
      <c r="I10" s="61" t="str">
        <f aca="false">IF(TRIM($AD10)="",INDEX(Parametros!$I$20:$I$24,MATCH($H10,Parametros!$H$20:$H$24,0)),TRIM($AD10))</f>
        <v>Buenos Aires</v>
      </c>
      <c r="J10" s="61" t="str">
        <f aca="false">INDEX(Parametros!$C$95:$C$106,MATCH(TRIM(INDEX(Datos_Origen!$E$2:$E$2459,$Z10)),Parametros!$B$95:$B$106,0))</f>
        <v>Tienda fisica</v>
      </c>
      <c r="K10" s="61" t="str">
        <f aca="false">INDEX(Parametros!$C$48:$C$67,MATCH(TRIM(INDEX(Datos_Origen!$F$2:$F$2459,$Z10)),Parametros!$B$48:$B$67,0))</f>
        <v>Accesorios</v>
      </c>
      <c r="L10" s="61" t="str">
        <f aca="false">$K10&amp;" "&amp;$C10</f>
        <v>Accesorios 2024</v>
      </c>
      <c r="M10" s="61" t="str">
        <f aca="false">TRIM(INDEX(Datos_Origen!$G$2:$G$2459,$Z10))</f>
        <v>Teclado Mecanico</v>
      </c>
      <c r="N10" s="61" t="str">
        <f aca="false">$M10&amp;" "&amp;$C10</f>
        <v>Teclado Mecanico 2024</v>
      </c>
      <c r="O10" s="63" t="n">
        <f aca="false">IF(ISTEXT($AC10),VALUE($AC10),$AC10)</f>
        <v>95</v>
      </c>
      <c r="P10" s="64" t="n">
        <f aca="false">INDEX(Datos_Origen!$I$2:$I$2459,$Z10)</f>
        <v>93.1</v>
      </c>
      <c r="Q10" s="64" t="n">
        <f aca="false">INDEX(Datos_Origen!$J$2:$J$2459,$Z10)</f>
        <v>47.98</v>
      </c>
      <c r="R10" s="65" t="n">
        <f aca="false">ROUND($O10*$P10,2)</f>
        <v>8844.5</v>
      </c>
      <c r="S10" s="65" t="n">
        <f aca="false">ROUND($O10*$Q10,2)</f>
        <v>4558.1</v>
      </c>
      <c r="T10" s="65" t="n">
        <f aca="false">ROUND($R10*SUMIFS(Parametros!$E$28:$E$43,Parametros!$B$28:$B$43,$J10,Parametros!$C$28:$C$43,$C10,Parametros!$D$28:$D$43,$D10),2)</f>
        <v>106.13</v>
      </c>
      <c r="U10" s="65" t="n">
        <f aca="false">$R10-$S10-$T10</f>
        <v>4180.27</v>
      </c>
      <c r="V10" s="66" t="n">
        <f aca="false">IFERROR($U10/$R10,0)</f>
        <v>0.472640624116683</v>
      </c>
      <c r="W10" s="67" t="str">
        <f aca="false">IF(AND($V10&gt;=Parametros!$C$8,$R10&gt;=Parametros!$C$12),"Alta rentabilidad",IF(OR($V10&lt;Parametros!$C$11,$R10&lt;Parametros!$C$13),"Revisar","Estandar"))</f>
        <v>Alta rentabilidad</v>
      </c>
      <c r="X10" s="67" t="str">
        <f aca="false">IF(AND($J10="E-commerce",IFERROR($T10/$R10,0)&gt;Parametros!$C$14),"Alerta","OK")</f>
        <v>OK</v>
      </c>
      <c r="Y10" s="61" t="str">
        <f aca="false">IF($R10&gt;=Parametros!$C$12,"Alto",IF($R10&lt;Parametros!$C$13,"Bajo","Medio"))</f>
        <v>Alto</v>
      </c>
      <c r="Z10" s="61" t="n">
        <v>1967</v>
      </c>
      <c r="AA10" s="61" t="str">
        <f aca="false">IF(MATCH($A10,Datos_Origen!$A$2:$A$2459,0)=$Z10,"OK","REVISAR")</f>
        <v>OK</v>
      </c>
      <c r="AB10" s="61" t="str">
        <f aca="false">INDEX(Datos_Origen!$B$2:$B$2459,$Z10)</f>
        <v>2024-01-10</v>
      </c>
      <c r="AC10" s="61" t="n">
        <f aca="false">INDEX(Datos_Origen!$H$2:$H$2459,$Z10)</f>
        <v>95</v>
      </c>
      <c r="AD10" s="61" t="str">
        <f aca="false">INDEX(Datos_Origen!$D$2:$D$2459,$Z10)&amp;""</f>
        <v>Buenos Aires</v>
      </c>
    </row>
    <row r="11" customFormat="false" ht="15" hidden="false" customHeight="false" outlineLevel="0" collapsed="false">
      <c r="A11" s="61" t="n">
        <f aca="false">INDEX(Datos_Origen!$A$2:$A$2459,$Z11)</f>
        <v>10</v>
      </c>
      <c r="B11" s="62" t="n">
        <f aca="false">IF(ISNUMBER($AB11),$AB11,IF(MID($AB11,5,1)="-",DATE(VALUE(LEFT($AB11,4)),VALUE(MID($AB11,6,2)),VALUE(RIGHT($AB11,2))),DATE(VALUE(RIGHT($AB11,4)),VALUE(MID($AB11,4,2)),VALUE(LEFT($AB11,2)))))</f>
        <v>45308</v>
      </c>
      <c r="C11" s="61" t="n">
        <f aca="false">YEAR($B11)</f>
        <v>2024</v>
      </c>
      <c r="D11" s="61" t="str">
        <f aca="false">"Q"&amp;ROUNDUP(MONTH($B11)/3,0)</f>
        <v>Q1</v>
      </c>
      <c r="E11" s="61" t="n">
        <f aca="false">MONTH($B11)</f>
        <v>1</v>
      </c>
      <c r="F11" s="61" t="str">
        <f aca="false">INDEX(Parametros!$I$5:$I$16,$E11)</f>
        <v>Ene</v>
      </c>
      <c r="G11" s="61" t="str">
        <f aca="false">TEXT($C11,"0000")&amp;"-"&amp;TEXT($E11,"00")</f>
        <v>2024-01</v>
      </c>
      <c r="H11" s="61" t="str">
        <f aca="false">INDEX(Parametros!$C$71:$C$91,MATCH(TRIM(INDEX(Datos_Origen!$C$2:$C$2459,$Z11)),Parametros!$B$71:$B$91,0))</f>
        <v>AMBA</v>
      </c>
      <c r="I11" s="61" t="str">
        <f aca="false">IF(TRIM($AD11)="",INDEX(Parametros!$I$20:$I$24,MATCH($H11,Parametros!$H$20:$H$24,0)),TRIM($AD11))</f>
        <v>Buenos Aires</v>
      </c>
      <c r="J11" s="61" t="str">
        <f aca="false">INDEX(Parametros!$C$95:$C$106,MATCH(TRIM(INDEX(Datos_Origen!$E$2:$E$2459,$Z11)),Parametros!$B$95:$B$106,0))</f>
        <v>E-commerce</v>
      </c>
      <c r="K11" s="61" t="str">
        <f aca="false">INDEX(Parametros!$C$48:$C$67,MATCH(TRIM(INDEX(Datos_Origen!$F$2:$F$2459,$Z11)),Parametros!$B$48:$B$67,0))</f>
        <v>Accesorios</v>
      </c>
      <c r="L11" s="61" t="str">
        <f aca="false">$K11&amp;" "&amp;$C11</f>
        <v>Accesorios 2024</v>
      </c>
      <c r="M11" s="61" t="str">
        <f aca="false">TRIM(INDEX(Datos_Origen!$G$2:$G$2459,$Z11))</f>
        <v>Teclado Mecanico</v>
      </c>
      <c r="N11" s="61" t="str">
        <f aca="false">$M11&amp;" "&amp;$C11</f>
        <v>Teclado Mecanico 2024</v>
      </c>
      <c r="O11" s="63" t="n">
        <f aca="false">IF(ISTEXT($AC11),VALUE($AC11),$AC11)</f>
        <v>35</v>
      </c>
      <c r="P11" s="64" t="n">
        <f aca="false">INDEX(Datos_Origen!$I$2:$I$2459,$Z11)</f>
        <v>93.1</v>
      </c>
      <c r="Q11" s="64" t="n">
        <f aca="false">INDEX(Datos_Origen!$J$2:$J$2459,$Z11)</f>
        <v>47.98</v>
      </c>
      <c r="R11" s="65" t="n">
        <f aca="false">ROUND($O11*$P11,2)</f>
        <v>3258.5</v>
      </c>
      <c r="S11" s="65" t="n">
        <f aca="false">ROUND($O11*$Q11,2)</f>
        <v>1679.3</v>
      </c>
      <c r="T11" s="65" t="n">
        <f aca="false">ROUND($R11*SUMIFS(Parametros!$E$28:$E$43,Parametros!$B$28:$B$43,$J11,Parametros!$C$28:$C$43,$C11,Parametros!$D$28:$D$43,$D11),2)</f>
        <v>136.86</v>
      </c>
      <c r="U11" s="65" t="n">
        <f aca="false">$R11-$S11-$T11</f>
        <v>1442.34</v>
      </c>
      <c r="V11" s="66" t="n">
        <f aca="false">IFERROR($U11/$R11,0)</f>
        <v>0.442639251189198</v>
      </c>
      <c r="W11" s="67" t="str">
        <f aca="false">IF(AND($V11&gt;=Parametros!$C$8,$R11&gt;=Parametros!$C$12),"Alta rentabilidad",IF(OR($V11&lt;Parametros!$C$11,$R11&lt;Parametros!$C$13),"Revisar","Estandar"))</f>
        <v>Alta rentabilidad</v>
      </c>
      <c r="X11" s="67" t="str">
        <f aca="false">IF(AND($J11="E-commerce",IFERROR($T11/$R11,0)&gt;Parametros!$C$14),"Alerta","OK")</f>
        <v>OK</v>
      </c>
      <c r="Y11" s="61" t="str">
        <f aca="false">IF($R11&gt;=Parametros!$C$12,"Alto",IF($R11&lt;Parametros!$C$13,"Bajo","Medio"))</f>
        <v>Alto</v>
      </c>
      <c r="Z11" s="61" t="n">
        <v>1971</v>
      </c>
      <c r="AA11" s="61" t="str">
        <f aca="false">IF(MATCH($A11,Datos_Origen!$A$2:$A$2459,0)=$Z11,"OK","REVISAR")</f>
        <v>OK</v>
      </c>
      <c r="AB11" s="62" t="n">
        <f aca="false">INDEX(Datos_Origen!$B$2:$B$2459,$Z11)</f>
        <v>45308</v>
      </c>
      <c r="AC11" s="61" t="n">
        <f aca="false">INDEX(Datos_Origen!$H$2:$H$2459,$Z11)</f>
        <v>35</v>
      </c>
      <c r="AD11" s="61" t="str">
        <f aca="false">INDEX(Datos_Origen!$D$2:$D$2459,$Z11)&amp;""</f>
        <v>Buenos Aires</v>
      </c>
    </row>
    <row r="12" customFormat="false" ht="15" hidden="false" customHeight="false" outlineLevel="0" collapsed="false">
      <c r="A12" s="61" t="n">
        <f aca="false">INDEX(Datos_Origen!$A$2:$A$2459,$Z12)</f>
        <v>11</v>
      </c>
      <c r="B12" s="62" t="n">
        <f aca="false">IF(ISNUMBER($AB12),$AB12,IF(MID($AB12,5,1)="-",DATE(VALUE(LEFT($AB12,4)),VALUE(MID($AB12,6,2)),VALUE(RIGHT($AB12,2))),DATE(VALUE(RIGHT($AB12,4)),VALUE(MID($AB12,4,2)),VALUE(LEFT($AB12,2)))))</f>
        <v>45315</v>
      </c>
      <c r="C12" s="61" t="n">
        <f aca="false">YEAR($B12)</f>
        <v>2024</v>
      </c>
      <c r="D12" s="61" t="str">
        <f aca="false">"Q"&amp;ROUNDUP(MONTH($B12)/3,0)</f>
        <v>Q1</v>
      </c>
      <c r="E12" s="61" t="n">
        <f aca="false">MONTH($B12)</f>
        <v>1</v>
      </c>
      <c r="F12" s="61" t="str">
        <f aca="false">INDEX(Parametros!$I$5:$I$16,$E12)</f>
        <v>Ene</v>
      </c>
      <c r="G12" s="61" t="str">
        <f aca="false">TEXT($C12,"0000")&amp;"-"&amp;TEXT($E12,"00")</f>
        <v>2024-01</v>
      </c>
      <c r="H12" s="61" t="str">
        <f aca="false">INDEX(Parametros!$C$71:$C$91,MATCH(TRIM(INDEX(Datos_Origen!$C$2:$C$2459,$Z12)),Parametros!$B$71:$B$91,0))</f>
        <v>AMBA</v>
      </c>
      <c r="I12" s="61" t="str">
        <f aca="false">IF(TRIM($AD12)="",INDEX(Parametros!$I$20:$I$24,MATCH($H12,Parametros!$H$20:$H$24,0)),TRIM($AD12))</f>
        <v>Buenos Aires</v>
      </c>
      <c r="J12" s="61" t="str">
        <f aca="false">INDEX(Parametros!$C$95:$C$106,MATCH(TRIM(INDEX(Datos_Origen!$E$2:$E$2459,$Z12)),Parametros!$B$95:$B$106,0))</f>
        <v>Tienda fisica</v>
      </c>
      <c r="K12" s="61" t="str">
        <f aca="false">INDEX(Parametros!$C$48:$C$67,MATCH(TRIM(INDEX(Datos_Origen!$F$2:$F$2459,$Z12)),Parametros!$B$48:$B$67,0))</f>
        <v>Accesorios</v>
      </c>
      <c r="L12" s="61" t="str">
        <f aca="false">$K12&amp;" "&amp;$C12</f>
        <v>Accesorios 2024</v>
      </c>
      <c r="M12" s="61" t="str">
        <f aca="false">TRIM(INDEX(Datos_Origen!$G$2:$G$2459,$Z12))</f>
        <v>Webcam Full HD</v>
      </c>
      <c r="N12" s="61" t="str">
        <f aca="false">$M12&amp;" "&amp;$C12</f>
        <v>Webcam Full HD 2024</v>
      </c>
      <c r="O12" s="63" t="n">
        <f aca="false">IF(ISTEXT($AC12),VALUE($AC12),$AC12)</f>
        <v>98</v>
      </c>
      <c r="P12" s="64" t="n">
        <f aca="false">INDEX(Datos_Origen!$I$2:$I$2459,$Z12)</f>
        <v>63.7</v>
      </c>
      <c r="Q12" s="64" t="n">
        <f aca="false">INDEX(Datos_Origen!$J$2:$J$2459,$Z12)</f>
        <v>35.43</v>
      </c>
      <c r="R12" s="65" t="n">
        <f aca="false">ROUND($O12*$P12,2)</f>
        <v>6242.6</v>
      </c>
      <c r="S12" s="65" t="n">
        <f aca="false">ROUND($O12*$Q12,2)</f>
        <v>3472.14</v>
      </c>
      <c r="T12" s="65" t="n">
        <f aca="false">ROUND($R12*SUMIFS(Parametros!$E$28:$E$43,Parametros!$B$28:$B$43,$J12,Parametros!$C$28:$C$43,$C12,Parametros!$D$28:$D$43,$D12),2)</f>
        <v>74.91</v>
      </c>
      <c r="U12" s="65" t="n">
        <f aca="false">$R12-$S12-$T12</f>
        <v>2695.55</v>
      </c>
      <c r="V12" s="66" t="n">
        <f aca="false">IFERROR($U12/$R12,0)</f>
        <v>0.43179925031237</v>
      </c>
      <c r="W12" s="67" t="str">
        <f aca="false">IF(AND($V12&gt;=Parametros!$C$8,$R12&gt;=Parametros!$C$12),"Alta rentabilidad",IF(OR($V12&lt;Parametros!$C$11,$R12&lt;Parametros!$C$13),"Revisar","Estandar"))</f>
        <v>Alta rentabilidad</v>
      </c>
      <c r="X12" s="67" t="str">
        <f aca="false">IF(AND($J12="E-commerce",IFERROR($T12/$R12,0)&gt;Parametros!$C$14),"Alerta","OK")</f>
        <v>OK</v>
      </c>
      <c r="Y12" s="61" t="str">
        <f aca="false">IF($R12&gt;=Parametros!$C$12,"Alto",IF($R12&lt;Parametros!$C$13,"Bajo","Medio"))</f>
        <v>Alto</v>
      </c>
      <c r="Z12" s="61" t="n">
        <v>1546</v>
      </c>
      <c r="AA12" s="61" t="str">
        <f aca="false">IF(MATCH($A12,Datos_Origen!$A$2:$A$2459,0)=$Z12,"OK","REVISAR")</f>
        <v>OK</v>
      </c>
      <c r="AB12" s="62" t="n">
        <f aca="false">INDEX(Datos_Origen!$B$2:$B$2459,$Z12)</f>
        <v>45315</v>
      </c>
      <c r="AC12" s="61" t="n">
        <f aca="false">INDEX(Datos_Origen!$H$2:$H$2459,$Z12)</f>
        <v>98</v>
      </c>
      <c r="AD12" s="61" t="str">
        <f aca="false">INDEX(Datos_Origen!$D$2:$D$2459,$Z12)&amp;""</f>
        <v>Buenos Aires</v>
      </c>
    </row>
    <row r="13" customFormat="false" ht="15" hidden="false" customHeight="false" outlineLevel="0" collapsed="false">
      <c r="A13" s="61" t="n">
        <f aca="false">INDEX(Datos_Origen!$A$2:$A$2459,$Z13)</f>
        <v>12</v>
      </c>
      <c r="B13" s="62" t="n">
        <f aca="false">IF(ISNUMBER($AB13),$AB13,IF(MID($AB13,5,1)="-",DATE(VALUE(LEFT($AB13,4)),VALUE(MID($AB13,6,2)),VALUE(RIGHT($AB13,2))),DATE(VALUE(RIGHT($AB13,4)),VALUE(MID($AB13,4,2)),VALUE(LEFT($AB13,2)))))</f>
        <v>45295</v>
      </c>
      <c r="C13" s="61" t="n">
        <f aca="false">YEAR($B13)</f>
        <v>2024</v>
      </c>
      <c r="D13" s="61" t="str">
        <f aca="false">"Q"&amp;ROUNDUP(MONTH($B13)/3,0)</f>
        <v>Q1</v>
      </c>
      <c r="E13" s="61" t="n">
        <f aca="false">MONTH($B13)</f>
        <v>1</v>
      </c>
      <c r="F13" s="61" t="str">
        <f aca="false">INDEX(Parametros!$I$5:$I$16,$E13)</f>
        <v>Ene</v>
      </c>
      <c r="G13" s="61" t="str">
        <f aca="false">TEXT($C13,"0000")&amp;"-"&amp;TEXT($E13,"00")</f>
        <v>2024-01</v>
      </c>
      <c r="H13" s="61" t="str">
        <f aca="false">INDEX(Parametros!$C$71:$C$91,MATCH(TRIM(INDEX(Datos_Origen!$C$2:$C$2459,$Z13)),Parametros!$B$71:$B$91,0))</f>
        <v>AMBA</v>
      </c>
      <c r="I13" s="61" t="str">
        <f aca="false">IF(TRIM($AD13)="",INDEX(Parametros!$I$20:$I$24,MATCH($H13,Parametros!$H$20:$H$24,0)),TRIM($AD13))</f>
        <v>Buenos Aires</v>
      </c>
      <c r="J13" s="61" t="str">
        <f aca="false">INDEX(Parametros!$C$95:$C$106,MATCH(TRIM(INDEX(Datos_Origen!$E$2:$E$2459,$Z13)),Parametros!$B$95:$B$106,0))</f>
        <v>E-commerce</v>
      </c>
      <c r="K13" s="61" t="str">
        <f aca="false">INDEX(Parametros!$C$48:$C$67,MATCH(TRIM(INDEX(Datos_Origen!$F$2:$F$2459,$Z13)),Parametros!$B$48:$B$67,0))</f>
        <v>Accesorios</v>
      </c>
      <c r="L13" s="61" t="str">
        <f aca="false">$K13&amp;" "&amp;$C13</f>
        <v>Accesorios 2024</v>
      </c>
      <c r="M13" s="61" t="str">
        <f aca="false">TRIM(INDEX(Datos_Origen!$G$2:$G$2459,$Z13))</f>
        <v>Webcam Full HD</v>
      </c>
      <c r="N13" s="61" t="str">
        <f aca="false">$M13&amp;" "&amp;$C13</f>
        <v>Webcam Full HD 2024</v>
      </c>
      <c r="O13" s="63" t="n">
        <f aca="false">IF(ISTEXT($AC13),VALUE($AC13),$AC13)</f>
        <v>32</v>
      </c>
      <c r="P13" s="64" t="n">
        <f aca="false">INDEX(Datos_Origen!$I$2:$I$2459,$Z13)</f>
        <v>63.7</v>
      </c>
      <c r="Q13" s="64" t="n">
        <f aca="false">INDEX(Datos_Origen!$J$2:$J$2459,$Z13)</f>
        <v>35.43</v>
      </c>
      <c r="R13" s="65" t="n">
        <f aca="false">ROUND($O13*$P13,2)</f>
        <v>2038.4</v>
      </c>
      <c r="S13" s="65" t="n">
        <f aca="false">ROUND($O13*$Q13,2)</f>
        <v>1133.76</v>
      </c>
      <c r="T13" s="65" t="n">
        <f aca="false">ROUND($R13*SUMIFS(Parametros!$E$28:$E$43,Parametros!$B$28:$B$43,$J13,Parametros!$C$28:$C$43,$C13,Parametros!$D$28:$D$43,$D13),2)</f>
        <v>85.61</v>
      </c>
      <c r="U13" s="65" t="n">
        <f aca="false">$R13-$S13-$T13</f>
        <v>819.03</v>
      </c>
      <c r="V13" s="66" t="n">
        <f aca="false">IFERROR($U13/$R13,0)</f>
        <v>0.401800431711146</v>
      </c>
      <c r="W13" s="67" t="str">
        <f aca="false">IF(AND($V13&gt;=Parametros!$C$8,$R13&gt;=Parametros!$C$12),"Alta rentabilidad",IF(OR($V13&lt;Parametros!$C$11,$R13&lt;Parametros!$C$13),"Revisar","Estandar"))</f>
        <v>Estandar</v>
      </c>
      <c r="X13" s="67" t="str">
        <f aca="false">IF(AND($J13="E-commerce",IFERROR($T13/$R13,0)&gt;Parametros!$C$14),"Alerta","OK")</f>
        <v>OK</v>
      </c>
      <c r="Y13" s="61" t="str">
        <f aca="false">IF($R13&gt;=Parametros!$C$12,"Alto",IF($R13&lt;Parametros!$C$13,"Bajo","Medio"))</f>
        <v>Medio</v>
      </c>
      <c r="Z13" s="61" t="n">
        <v>303</v>
      </c>
      <c r="AA13" s="61" t="str">
        <f aca="false">IF(MATCH($A13,Datos_Origen!$A$2:$A$2459,0)=$Z13,"OK","REVISAR")</f>
        <v>OK</v>
      </c>
      <c r="AB13" s="62" t="n">
        <f aca="false">INDEX(Datos_Origen!$B$2:$B$2459,$Z13)</f>
        <v>45295</v>
      </c>
      <c r="AC13" s="61" t="n">
        <f aca="false">INDEX(Datos_Origen!$H$2:$H$2459,$Z13)</f>
        <v>32</v>
      </c>
      <c r="AD13" s="61" t="str">
        <f aca="false">INDEX(Datos_Origen!$D$2:$D$2459,$Z13)&amp;""</f>
        <v>Buenos Aires</v>
      </c>
    </row>
    <row r="14" customFormat="false" ht="15" hidden="false" customHeight="false" outlineLevel="0" collapsed="false">
      <c r="A14" s="61" t="n">
        <f aca="false">INDEX(Datos_Origen!$A$2:$A$2459,$Z14)</f>
        <v>13</v>
      </c>
      <c r="B14" s="62" t="n">
        <f aca="false">IF(ISNUMBER($AB14),$AB14,IF(MID($AB14,5,1)="-",DATE(VALUE(LEFT($AB14,4)),VALUE(MID($AB14,6,2)),VALUE(RIGHT($AB14,2))),DATE(VALUE(RIGHT($AB14,4)),VALUE(MID($AB14,4,2)),VALUE(LEFT($AB14,2)))))</f>
        <v>45302</v>
      </c>
      <c r="C14" s="61" t="n">
        <f aca="false">YEAR($B14)</f>
        <v>2024</v>
      </c>
      <c r="D14" s="61" t="str">
        <f aca="false">"Q"&amp;ROUNDUP(MONTH($B14)/3,0)</f>
        <v>Q1</v>
      </c>
      <c r="E14" s="61" t="n">
        <f aca="false">MONTH($B14)</f>
        <v>1</v>
      </c>
      <c r="F14" s="61" t="str">
        <f aca="false">INDEX(Parametros!$I$5:$I$16,$E14)</f>
        <v>Ene</v>
      </c>
      <c r="G14" s="61" t="str">
        <f aca="false">TEXT($C14,"0000")&amp;"-"&amp;TEXT($E14,"00")</f>
        <v>2024-01</v>
      </c>
      <c r="H14" s="61" t="str">
        <f aca="false">INDEX(Parametros!$C$71:$C$91,MATCH(TRIM(INDEX(Datos_Origen!$C$2:$C$2459,$Z14)),Parametros!$B$71:$B$91,0))</f>
        <v>AMBA</v>
      </c>
      <c r="I14" s="61" t="str">
        <f aca="false">IF(TRIM($AD14)="",INDEX(Parametros!$I$20:$I$24,MATCH($H14,Parametros!$H$20:$H$24,0)),TRIM($AD14))</f>
        <v>Buenos Aires</v>
      </c>
      <c r="J14" s="61" t="str">
        <f aca="false">INDEX(Parametros!$C$95:$C$106,MATCH(TRIM(INDEX(Datos_Origen!$E$2:$E$2459,$Z14)),Parametros!$B$95:$B$106,0))</f>
        <v>Tienda fisica</v>
      </c>
      <c r="K14" s="61" t="str">
        <f aca="false">INDEX(Parametros!$C$48:$C$67,MATCH(TRIM(INDEX(Datos_Origen!$F$2:$F$2459,$Z14)),Parametros!$B$48:$B$67,0))</f>
        <v>Audio</v>
      </c>
      <c r="L14" s="61" t="str">
        <f aca="false">$K14&amp;" "&amp;$C14</f>
        <v>Audio 2024</v>
      </c>
      <c r="M14" s="61" t="str">
        <f aca="false">TRIM(INDEX(Datos_Origen!$G$2:$G$2459,$Z14))</f>
        <v>Auriculares BT Pro</v>
      </c>
      <c r="N14" s="61" t="str">
        <f aca="false">$M14&amp;" "&amp;$C14</f>
        <v>Auriculares BT Pro 2024</v>
      </c>
      <c r="O14" s="63" t="n">
        <f aca="false">IF(ISTEXT($AC14),VALUE($AC14),$AC14)</f>
        <v>32</v>
      </c>
      <c r="P14" s="64" t="n">
        <f aca="false">INDEX(Datos_Origen!$I$2:$I$2459,$Z14)</f>
        <v>117.6</v>
      </c>
      <c r="Q14" s="64" t="n">
        <f aca="false">INDEX(Datos_Origen!$J$2:$J$2459,$Z14)</f>
        <v>63.6</v>
      </c>
      <c r="R14" s="65" t="n">
        <f aca="false">ROUND($O14*$P14,2)</f>
        <v>3763.2</v>
      </c>
      <c r="S14" s="65" t="n">
        <f aca="false">ROUND($O14*$Q14,2)</f>
        <v>2035.2</v>
      </c>
      <c r="T14" s="65" t="n">
        <f aca="false">ROUND($R14*SUMIFS(Parametros!$E$28:$E$43,Parametros!$B$28:$B$43,$J14,Parametros!$C$28:$C$43,$C14,Parametros!$D$28:$D$43,$D14),2)</f>
        <v>45.16</v>
      </c>
      <c r="U14" s="65" t="n">
        <f aca="false">$R14-$S14-$T14</f>
        <v>1682.84</v>
      </c>
      <c r="V14" s="66" t="n">
        <f aca="false">IFERROR($U14/$R14,0)</f>
        <v>0.44718324829932</v>
      </c>
      <c r="W14" s="67" t="str">
        <f aca="false">IF(AND($V14&gt;=Parametros!$C$8,$R14&gt;=Parametros!$C$12),"Alta rentabilidad",IF(OR($V14&lt;Parametros!$C$11,$R14&lt;Parametros!$C$13),"Revisar","Estandar"))</f>
        <v>Alta rentabilidad</v>
      </c>
      <c r="X14" s="67" t="str">
        <f aca="false">IF(AND($J14="E-commerce",IFERROR($T14/$R14,0)&gt;Parametros!$C$14),"Alerta","OK")</f>
        <v>OK</v>
      </c>
      <c r="Y14" s="61" t="str">
        <f aca="false">IF($R14&gt;=Parametros!$C$12,"Alto",IF($R14&lt;Parametros!$C$13,"Bajo","Medio"))</f>
        <v>Alto</v>
      </c>
      <c r="Z14" s="61" t="n">
        <v>1320</v>
      </c>
      <c r="AA14" s="61" t="str">
        <f aca="false">IF(MATCH($A14,Datos_Origen!$A$2:$A$2459,0)=$Z14,"OK","REVISAR")</f>
        <v>OK</v>
      </c>
      <c r="AB14" s="62" t="n">
        <f aca="false">INDEX(Datos_Origen!$B$2:$B$2459,$Z14)</f>
        <v>45302</v>
      </c>
      <c r="AC14" s="61" t="str">
        <f aca="false">INDEX(Datos_Origen!$H$2:$H$2459,$Z14)</f>
        <v>32</v>
      </c>
      <c r="AD14" s="61" t="str">
        <f aca="false">INDEX(Datos_Origen!$D$2:$D$2459,$Z14)&amp;""</f>
        <v>Buenos Aires</v>
      </c>
    </row>
    <row r="15" customFormat="false" ht="15" hidden="false" customHeight="false" outlineLevel="0" collapsed="false">
      <c r="A15" s="61" t="n">
        <f aca="false">INDEX(Datos_Origen!$A$2:$A$2459,$Z15)</f>
        <v>14</v>
      </c>
      <c r="B15" s="62" t="n">
        <f aca="false">IF(ISNUMBER($AB15),$AB15,IF(MID($AB15,5,1)="-",DATE(VALUE(LEFT($AB15,4)),VALUE(MID($AB15,6,2)),VALUE(RIGHT($AB15,2))),DATE(VALUE(RIGHT($AB15,4)),VALUE(MID($AB15,4,2)),VALUE(LEFT($AB15,2)))))</f>
        <v>45309</v>
      </c>
      <c r="C15" s="61" t="n">
        <f aca="false">YEAR($B15)</f>
        <v>2024</v>
      </c>
      <c r="D15" s="61" t="str">
        <f aca="false">"Q"&amp;ROUNDUP(MONTH($B15)/3,0)</f>
        <v>Q1</v>
      </c>
      <c r="E15" s="61" t="n">
        <f aca="false">MONTH($B15)</f>
        <v>1</v>
      </c>
      <c r="F15" s="61" t="str">
        <f aca="false">INDEX(Parametros!$I$5:$I$16,$E15)</f>
        <v>Ene</v>
      </c>
      <c r="G15" s="61" t="str">
        <f aca="false">TEXT($C15,"0000")&amp;"-"&amp;TEXT($E15,"00")</f>
        <v>2024-01</v>
      </c>
      <c r="H15" s="61" t="str">
        <f aca="false">INDEX(Parametros!$C$71:$C$91,MATCH(TRIM(INDEX(Datos_Origen!$C$2:$C$2459,$Z15)),Parametros!$B$71:$B$91,0))</f>
        <v>AMBA</v>
      </c>
      <c r="I15" s="61" t="str">
        <f aca="false">IF(TRIM($AD15)="",INDEX(Parametros!$I$20:$I$24,MATCH($H15,Parametros!$H$20:$H$24,0)),TRIM($AD15))</f>
        <v>Buenos Aires</v>
      </c>
      <c r="J15" s="61" t="str">
        <f aca="false">INDEX(Parametros!$C$95:$C$106,MATCH(TRIM(INDEX(Datos_Origen!$E$2:$E$2459,$Z15)),Parametros!$B$95:$B$106,0))</f>
        <v>E-commerce</v>
      </c>
      <c r="K15" s="61" t="str">
        <f aca="false">INDEX(Parametros!$C$48:$C$67,MATCH(TRIM(INDEX(Datos_Origen!$F$2:$F$2459,$Z15)),Parametros!$B$48:$B$67,0))</f>
        <v>Audio</v>
      </c>
      <c r="L15" s="61" t="str">
        <f aca="false">$K15&amp;" "&amp;$C15</f>
        <v>Audio 2024</v>
      </c>
      <c r="M15" s="61" t="str">
        <f aca="false">TRIM(INDEX(Datos_Origen!$G$2:$G$2459,$Z15))</f>
        <v>Auriculares BT Pro</v>
      </c>
      <c r="N15" s="61" t="str">
        <f aca="false">$M15&amp;" "&amp;$C15</f>
        <v>Auriculares BT Pro 2024</v>
      </c>
      <c r="O15" s="63" t="n">
        <f aca="false">IF(ISTEXT($AC15),VALUE($AC15),$AC15)</f>
        <v>14</v>
      </c>
      <c r="P15" s="64" t="n">
        <f aca="false">INDEX(Datos_Origen!$I$2:$I$2459,$Z15)</f>
        <v>117.6</v>
      </c>
      <c r="Q15" s="64" t="n">
        <f aca="false">INDEX(Datos_Origen!$J$2:$J$2459,$Z15)</f>
        <v>63.6</v>
      </c>
      <c r="R15" s="65" t="n">
        <f aca="false">ROUND($O15*$P15,2)</f>
        <v>1646.4</v>
      </c>
      <c r="S15" s="65" t="n">
        <f aca="false">ROUND($O15*$Q15,2)</f>
        <v>890.4</v>
      </c>
      <c r="T15" s="65" t="n">
        <f aca="false">ROUND($R15*SUMIFS(Parametros!$E$28:$E$43,Parametros!$B$28:$B$43,$J15,Parametros!$C$28:$C$43,$C15,Parametros!$D$28:$D$43,$D15),2)</f>
        <v>69.15</v>
      </c>
      <c r="U15" s="65" t="n">
        <f aca="false">$R15-$S15-$T15</f>
        <v>686.85</v>
      </c>
      <c r="V15" s="66" t="n">
        <f aca="false">IFERROR($U15/$R15,0)</f>
        <v>0.417182944606414</v>
      </c>
      <c r="W15" s="67" t="str">
        <f aca="false">IF(AND($V15&gt;=Parametros!$C$8,$R15&gt;=Parametros!$C$12),"Alta rentabilidad",IF(OR($V15&lt;Parametros!$C$11,$R15&lt;Parametros!$C$13),"Revisar","Estandar"))</f>
        <v>Estandar</v>
      </c>
      <c r="X15" s="67" t="str">
        <f aca="false">IF(AND($J15="E-commerce",IFERROR($T15/$R15,0)&gt;Parametros!$C$14),"Alerta","OK")</f>
        <v>OK</v>
      </c>
      <c r="Y15" s="61" t="str">
        <f aca="false">IF($R15&gt;=Parametros!$C$12,"Alto",IF($R15&lt;Parametros!$C$13,"Bajo","Medio"))</f>
        <v>Medio</v>
      </c>
      <c r="Z15" s="61" t="n">
        <v>768</v>
      </c>
      <c r="AA15" s="61" t="str">
        <f aca="false">IF(MATCH($A15,Datos_Origen!$A$2:$A$2459,0)=$Z15,"OK","REVISAR")</f>
        <v>OK</v>
      </c>
      <c r="AB15" s="62" t="n">
        <f aca="false">INDEX(Datos_Origen!$B$2:$B$2459,$Z15)</f>
        <v>45309</v>
      </c>
      <c r="AC15" s="61" t="n">
        <f aca="false">INDEX(Datos_Origen!$H$2:$H$2459,$Z15)</f>
        <v>14</v>
      </c>
      <c r="AD15" s="61" t="str">
        <f aca="false">INDEX(Datos_Origen!$D$2:$D$2459,$Z15)&amp;""</f>
        <v>Buenos Aires</v>
      </c>
    </row>
    <row r="16" customFormat="false" ht="15" hidden="false" customHeight="false" outlineLevel="0" collapsed="false">
      <c r="A16" s="61" t="n">
        <f aca="false">INDEX(Datos_Origen!$A$2:$A$2459,$Z16)</f>
        <v>15</v>
      </c>
      <c r="B16" s="62" t="n">
        <f aca="false">IF(ISNUMBER($AB16),$AB16,IF(MID($AB16,5,1)="-",DATE(VALUE(LEFT($AB16,4)),VALUE(MID($AB16,6,2)),VALUE(RIGHT($AB16,2))),DATE(VALUE(RIGHT($AB16,4)),VALUE(MID($AB16,4,2)),VALUE(LEFT($AB16,2)))))</f>
        <v>45316</v>
      </c>
      <c r="C16" s="61" t="n">
        <f aca="false">YEAR($B16)</f>
        <v>2024</v>
      </c>
      <c r="D16" s="61" t="str">
        <f aca="false">"Q"&amp;ROUNDUP(MONTH($B16)/3,0)</f>
        <v>Q1</v>
      </c>
      <c r="E16" s="61" t="n">
        <f aca="false">MONTH($B16)</f>
        <v>1</v>
      </c>
      <c r="F16" s="61" t="str">
        <f aca="false">INDEX(Parametros!$I$5:$I$16,$E16)</f>
        <v>Ene</v>
      </c>
      <c r="G16" s="61" t="str">
        <f aca="false">TEXT($C16,"0000")&amp;"-"&amp;TEXT($E16,"00")</f>
        <v>2024-01</v>
      </c>
      <c r="H16" s="61" t="str">
        <f aca="false">INDEX(Parametros!$C$71:$C$91,MATCH(TRIM(INDEX(Datos_Origen!$C$2:$C$2459,$Z16)),Parametros!$B$71:$B$91,0))</f>
        <v>AMBA</v>
      </c>
      <c r="I16" s="61" t="str">
        <f aca="false">IF(TRIM($AD16)="",INDEX(Parametros!$I$20:$I$24,MATCH($H16,Parametros!$H$20:$H$24,0)),TRIM($AD16))</f>
        <v>Buenos Aires</v>
      </c>
      <c r="J16" s="61" t="str">
        <f aca="false">INDEX(Parametros!$C$95:$C$106,MATCH(TRIM(INDEX(Datos_Origen!$E$2:$E$2459,$Z16)),Parametros!$B$95:$B$106,0))</f>
        <v>Tienda fisica</v>
      </c>
      <c r="K16" s="61" t="str">
        <f aca="false">INDEX(Parametros!$C$48:$C$67,MATCH(TRIM(INDEX(Datos_Origen!$F$2:$F$2459,$Z16)),Parametros!$B$48:$B$67,0))</f>
        <v>Audio</v>
      </c>
      <c r="L16" s="61" t="str">
        <f aca="false">$K16&amp;" "&amp;$C16</f>
        <v>Audio 2024</v>
      </c>
      <c r="M16" s="61" t="str">
        <f aca="false">TRIM(INDEX(Datos_Origen!$G$2:$G$2459,$Z16))</f>
        <v>Parlante Bluetooth</v>
      </c>
      <c r="N16" s="61" t="str">
        <f aca="false">$M16&amp;" "&amp;$C16</f>
        <v>Parlante Bluetooth 2024</v>
      </c>
      <c r="O16" s="63" t="n">
        <f aca="false">IF(ISTEXT($AC16),VALUE($AC16),$AC16)</f>
        <v>43</v>
      </c>
      <c r="P16" s="64" t="n">
        <f aca="false">INDEX(Datos_Origen!$I$2:$I$2459,$Z16)</f>
        <v>83.3</v>
      </c>
      <c r="Q16" s="64" t="n">
        <f aca="false">INDEX(Datos_Origen!$J$2:$J$2459,$Z16)</f>
        <v>48.03</v>
      </c>
      <c r="R16" s="65" t="n">
        <f aca="false">ROUND($O16*$P16,2)</f>
        <v>3581.9</v>
      </c>
      <c r="S16" s="65" t="n">
        <f aca="false">ROUND($O16*$Q16,2)</f>
        <v>2065.29</v>
      </c>
      <c r="T16" s="65" t="n">
        <f aca="false">ROUND($R16*SUMIFS(Parametros!$E$28:$E$43,Parametros!$B$28:$B$43,$J16,Parametros!$C$28:$C$43,$C16,Parametros!$D$28:$D$43,$D16),2)</f>
        <v>42.98</v>
      </c>
      <c r="U16" s="65" t="n">
        <f aca="false">$R16-$S16-$T16</f>
        <v>1473.63</v>
      </c>
      <c r="V16" s="66" t="n">
        <f aca="false">IFERROR($U16/$R16,0)</f>
        <v>0.41141014545353</v>
      </c>
      <c r="W16" s="67" t="str">
        <f aca="false">IF(AND($V16&gt;=Parametros!$C$8,$R16&gt;=Parametros!$C$12),"Alta rentabilidad",IF(OR($V16&lt;Parametros!$C$11,$R16&lt;Parametros!$C$13),"Revisar","Estandar"))</f>
        <v>Alta rentabilidad</v>
      </c>
      <c r="X16" s="67" t="str">
        <f aca="false">IF(AND($J16="E-commerce",IFERROR($T16/$R16,0)&gt;Parametros!$C$14),"Alerta","OK")</f>
        <v>OK</v>
      </c>
      <c r="Y16" s="61" t="str">
        <f aca="false">IF($R16&gt;=Parametros!$C$12,"Alto",IF($R16&lt;Parametros!$C$13,"Bajo","Medio"))</f>
        <v>Alto</v>
      </c>
      <c r="Z16" s="61" t="n">
        <v>1667</v>
      </c>
      <c r="AA16" s="61" t="str">
        <f aca="false">IF(MATCH($A16,Datos_Origen!$A$2:$A$2459,0)=$Z16,"OK","REVISAR")</f>
        <v>OK</v>
      </c>
      <c r="AB16" s="62" t="n">
        <f aca="false">INDEX(Datos_Origen!$B$2:$B$2459,$Z16)</f>
        <v>45316</v>
      </c>
      <c r="AC16" s="61" t="n">
        <f aca="false">INDEX(Datos_Origen!$H$2:$H$2459,$Z16)</f>
        <v>43</v>
      </c>
      <c r="AD16" s="61" t="str">
        <f aca="false">INDEX(Datos_Origen!$D$2:$D$2459,$Z16)&amp;""</f>
        <v/>
      </c>
    </row>
    <row r="17" customFormat="false" ht="15" hidden="false" customHeight="false" outlineLevel="0" collapsed="false">
      <c r="A17" s="61" t="n">
        <f aca="false">INDEX(Datos_Origen!$A$2:$A$2459,$Z17)</f>
        <v>16</v>
      </c>
      <c r="B17" s="62" t="n">
        <f aca="false">IF(ISNUMBER($AB17),$AB17,IF(MID($AB17,5,1)="-",DATE(VALUE(LEFT($AB17,4)),VALUE(MID($AB17,6,2)),VALUE(RIGHT($AB17,2))),DATE(VALUE(RIGHT($AB17,4)),VALUE(MID($AB17,4,2)),VALUE(LEFT($AB17,2)))))</f>
        <v>45296</v>
      </c>
      <c r="C17" s="61" t="n">
        <f aca="false">YEAR($B17)</f>
        <v>2024</v>
      </c>
      <c r="D17" s="61" t="str">
        <f aca="false">"Q"&amp;ROUNDUP(MONTH($B17)/3,0)</f>
        <v>Q1</v>
      </c>
      <c r="E17" s="61" t="n">
        <f aca="false">MONTH($B17)</f>
        <v>1</v>
      </c>
      <c r="F17" s="61" t="str">
        <f aca="false">INDEX(Parametros!$I$5:$I$16,$E17)</f>
        <v>Ene</v>
      </c>
      <c r="G17" s="61" t="str">
        <f aca="false">TEXT($C17,"0000")&amp;"-"&amp;TEXT($E17,"00")</f>
        <v>2024-01</v>
      </c>
      <c r="H17" s="61" t="str">
        <f aca="false">INDEX(Parametros!$C$71:$C$91,MATCH(TRIM(INDEX(Datos_Origen!$C$2:$C$2459,$Z17)),Parametros!$B$71:$B$91,0))</f>
        <v>AMBA</v>
      </c>
      <c r="I17" s="61" t="str">
        <f aca="false">IF(TRIM($AD17)="",INDEX(Parametros!$I$20:$I$24,MATCH($H17,Parametros!$H$20:$H$24,0)),TRIM($AD17))</f>
        <v>Buenos Aires</v>
      </c>
      <c r="J17" s="61" t="str">
        <f aca="false">INDEX(Parametros!$C$95:$C$106,MATCH(TRIM(INDEX(Datos_Origen!$E$2:$E$2459,$Z17)),Parametros!$B$95:$B$106,0))</f>
        <v>E-commerce</v>
      </c>
      <c r="K17" s="61" t="str">
        <f aca="false">INDEX(Parametros!$C$48:$C$67,MATCH(TRIM(INDEX(Datos_Origen!$F$2:$F$2459,$Z17)),Parametros!$B$48:$B$67,0))</f>
        <v>Audio</v>
      </c>
      <c r="L17" s="61" t="str">
        <f aca="false">$K17&amp;" "&amp;$C17</f>
        <v>Audio 2024</v>
      </c>
      <c r="M17" s="61" t="str">
        <f aca="false">TRIM(INDEX(Datos_Origen!$G$2:$G$2459,$Z17))</f>
        <v>Parlante Bluetooth</v>
      </c>
      <c r="N17" s="61" t="str">
        <f aca="false">$M17&amp;" "&amp;$C17</f>
        <v>Parlante Bluetooth 2024</v>
      </c>
      <c r="O17" s="63" t="n">
        <f aca="false">IF(ISTEXT($AC17),VALUE($AC17),$AC17)</f>
        <v>16</v>
      </c>
      <c r="P17" s="64" t="n">
        <f aca="false">INDEX(Datos_Origen!$I$2:$I$2459,$Z17)</f>
        <v>83.3</v>
      </c>
      <c r="Q17" s="64" t="n">
        <f aca="false">INDEX(Datos_Origen!$J$2:$J$2459,$Z17)</f>
        <v>48.03</v>
      </c>
      <c r="R17" s="65" t="n">
        <f aca="false">ROUND($O17*$P17,2)</f>
        <v>1332.8</v>
      </c>
      <c r="S17" s="65" t="n">
        <f aca="false">ROUND($O17*$Q17,2)</f>
        <v>768.48</v>
      </c>
      <c r="T17" s="65" t="n">
        <f aca="false">ROUND($R17*SUMIFS(Parametros!$E$28:$E$43,Parametros!$B$28:$B$43,$J17,Parametros!$C$28:$C$43,$C17,Parametros!$D$28:$D$43,$D17),2)</f>
        <v>55.98</v>
      </c>
      <c r="U17" s="65" t="n">
        <f aca="false">$R17-$S17-$T17</f>
        <v>508.34</v>
      </c>
      <c r="V17" s="66" t="n">
        <f aca="false">IFERROR($U17/$R17,0)</f>
        <v>0.38140756302521</v>
      </c>
      <c r="W17" s="67" t="str">
        <f aca="false">IF(AND($V17&gt;=Parametros!$C$8,$R17&gt;=Parametros!$C$12),"Alta rentabilidad",IF(OR($V17&lt;Parametros!$C$11,$R17&lt;Parametros!$C$13),"Revisar","Estandar"))</f>
        <v>Estandar</v>
      </c>
      <c r="X17" s="67" t="str">
        <f aca="false">IF(AND($J17="E-commerce",IFERROR($T17/$R17,0)&gt;Parametros!$C$14),"Alerta","OK")</f>
        <v>OK</v>
      </c>
      <c r="Y17" s="61" t="str">
        <f aca="false">IF($R17&gt;=Parametros!$C$12,"Alto",IF($R17&lt;Parametros!$C$13,"Bajo","Medio"))</f>
        <v>Medio</v>
      </c>
      <c r="Z17" s="61" t="n">
        <v>939</v>
      </c>
      <c r="AA17" s="61" t="str">
        <f aca="false">IF(MATCH($A17,Datos_Origen!$A$2:$A$2459,0)=$Z17,"OK","REVISAR")</f>
        <v>OK</v>
      </c>
      <c r="AB17" s="61" t="str">
        <f aca="false">INDEX(Datos_Origen!$B$2:$B$2459,$Z17)</f>
        <v>2024-01-05</v>
      </c>
      <c r="AC17" s="61" t="n">
        <f aca="false">INDEX(Datos_Origen!$H$2:$H$2459,$Z17)</f>
        <v>16</v>
      </c>
      <c r="AD17" s="61" t="str">
        <f aca="false">INDEX(Datos_Origen!$D$2:$D$2459,$Z17)&amp;""</f>
        <v>Buenos Aires</v>
      </c>
    </row>
    <row r="18" customFormat="false" ht="15" hidden="false" customHeight="false" outlineLevel="0" collapsed="false">
      <c r="A18" s="61" t="n">
        <f aca="false">INDEX(Datos_Origen!$A$2:$A$2459,$Z18)</f>
        <v>17</v>
      </c>
      <c r="B18" s="62" t="n">
        <f aca="false">IF(ISNUMBER($AB18),$AB18,IF(MID($AB18,5,1)="-",DATE(VALUE(LEFT($AB18,4)),VALUE(MID($AB18,6,2)),VALUE(RIGHT($AB18,2))),DATE(VALUE(RIGHT($AB18,4)),VALUE(MID($AB18,4,2)),VALUE(LEFT($AB18,2)))))</f>
        <v>45303</v>
      </c>
      <c r="C18" s="61" t="n">
        <f aca="false">YEAR($B18)</f>
        <v>2024</v>
      </c>
      <c r="D18" s="61" t="str">
        <f aca="false">"Q"&amp;ROUNDUP(MONTH($B18)/3,0)</f>
        <v>Q1</v>
      </c>
      <c r="E18" s="61" t="n">
        <f aca="false">MONTH($B18)</f>
        <v>1</v>
      </c>
      <c r="F18" s="61" t="str">
        <f aca="false">INDEX(Parametros!$I$5:$I$16,$E18)</f>
        <v>Ene</v>
      </c>
      <c r="G18" s="61" t="str">
        <f aca="false">TEXT($C18,"0000")&amp;"-"&amp;TEXT($E18,"00")</f>
        <v>2024-01</v>
      </c>
      <c r="H18" s="61" t="str">
        <f aca="false">INDEX(Parametros!$C$71:$C$91,MATCH(TRIM(INDEX(Datos_Origen!$C$2:$C$2459,$Z18)),Parametros!$B$71:$B$91,0))</f>
        <v>AMBA</v>
      </c>
      <c r="I18" s="61" t="str">
        <f aca="false">IF(TRIM($AD18)="",INDEX(Parametros!$I$20:$I$24,MATCH($H18,Parametros!$H$20:$H$24,0)),TRIM($AD18))</f>
        <v>Buenos Aires</v>
      </c>
      <c r="J18" s="61" t="str">
        <f aca="false">INDEX(Parametros!$C$95:$C$106,MATCH(TRIM(INDEX(Datos_Origen!$E$2:$E$2459,$Z18)),Parametros!$B$95:$B$106,0))</f>
        <v>Tienda fisica</v>
      </c>
      <c r="K18" s="61" t="str">
        <f aca="false">INDEX(Parametros!$C$48:$C$67,MATCH(TRIM(INDEX(Datos_Origen!$F$2:$F$2459,$Z18)),Parametros!$B$48:$B$67,0))</f>
        <v>Almacenamiento</v>
      </c>
      <c r="L18" s="61" t="str">
        <f aca="false">$K18&amp;" "&amp;$C18</f>
        <v>Almacenamiento 2024</v>
      </c>
      <c r="M18" s="61" t="str">
        <f aca="false">TRIM(INDEX(Datos_Origen!$G$2:$G$2459,$Z18))</f>
        <v>SSD Externo 1TB</v>
      </c>
      <c r="N18" s="61" t="str">
        <f aca="false">$M18&amp;" "&amp;$C18</f>
        <v>SSD Externo 1TB 2024</v>
      </c>
      <c r="O18" s="63" t="n">
        <f aca="false">IF(ISTEXT($AC18),VALUE($AC18),$AC18)</f>
        <v>49</v>
      </c>
      <c r="P18" s="64" t="n">
        <f aca="false">INDEX(Datos_Origen!$I$2:$I$2459,$Z18)</f>
        <v>127.4</v>
      </c>
      <c r="Q18" s="64" t="n">
        <f aca="false">INDEX(Datos_Origen!$J$2:$J$2459,$Z18)</f>
        <v>76.05</v>
      </c>
      <c r="R18" s="65" t="n">
        <f aca="false">ROUND($O18*$P18,2)</f>
        <v>6242.6</v>
      </c>
      <c r="S18" s="65" t="n">
        <f aca="false">ROUND($O18*$Q18,2)</f>
        <v>3726.45</v>
      </c>
      <c r="T18" s="65" t="n">
        <f aca="false">ROUND($R18*SUMIFS(Parametros!$E$28:$E$43,Parametros!$B$28:$B$43,$J18,Parametros!$C$28:$C$43,$C18,Parametros!$D$28:$D$43,$D18),2)</f>
        <v>74.91</v>
      </c>
      <c r="U18" s="65" t="n">
        <f aca="false">$R18-$S18-$T18</f>
        <v>2441.24</v>
      </c>
      <c r="V18" s="66" t="n">
        <f aca="false">IFERROR($U18/$R18,0)</f>
        <v>0.391061416717394</v>
      </c>
      <c r="W18" s="67" t="str">
        <f aca="false">IF(AND($V18&gt;=Parametros!$C$8,$R18&gt;=Parametros!$C$12),"Alta rentabilidad",IF(OR($V18&lt;Parametros!$C$11,$R18&lt;Parametros!$C$13),"Revisar","Estandar"))</f>
        <v>Alta rentabilidad</v>
      </c>
      <c r="X18" s="67" t="str">
        <f aca="false">IF(AND($J18="E-commerce",IFERROR($T18/$R18,0)&gt;Parametros!$C$14),"Alerta","OK")</f>
        <v>OK</v>
      </c>
      <c r="Y18" s="61" t="str">
        <f aca="false">IF($R18&gt;=Parametros!$C$12,"Alto",IF($R18&lt;Parametros!$C$13,"Bajo","Medio"))</f>
        <v>Alto</v>
      </c>
      <c r="Z18" s="61" t="n">
        <v>853</v>
      </c>
      <c r="AA18" s="61" t="str">
        <f aca="false">IF(MATCH($A18,Datos_Origen!$A$2:$A$2459,0)=$Z18,"OK","REVISAR")</f>
        <v>OK</v>
      </c>
      <c r="AB18" s="62" t="n">
        <f aca="false">INDEX(Datos_Origen!$B$2:$B$2459,$Z18)</f>
        <v>45303</v>
      </c>
      <c r="AC18" s="61" t="n">
        <f aca="false">INDEX(Datos_Origen!$H$2:$H$2459,$Z18)</f>
        <v>49</v>
      </c>
      <c r="AD18" s="61" t="str">
        <f aca="false">INDEX(Datos_Origen!$D$2:$D$2459,$Z18)&amp;""</f>
        <v>Buenos Aires</v>
      </c>
    </row>
    <row r="19" customFormat="false" ht="15" hidden="false" customHeight="false" outlineLevel="0" collapsed="false">
      <c r="A19" s="61" t="n">
        <f aca="false">INDEX(Datos_Origen!$A$2:$A$2459,$Z19)</f>
        <v>18</v>
      </c>
      <c r="B19" s="62" t="n">
        <f aca="false">IF(ISNUMBER($AB19),$AB19,IF(MID($AB19,5,1)="-",DATE(VALUE(LEFT($AB19,4)),VALUE(MID($AB19,6,2)),VALUE(RIGHT($AB19,2))),DATE(VALUE(RIGHT($AB19,4)),VALUE(MID($AB19,4,2)),VALUE(LEFT($AB19,2)))))</f>
        <v>45310</v>
      </c>
      <c r="C19" s="61" t="n">
        <f aca="false">YEAR($B19)</f>
        <v>2024</v>
      </c>
      <c r="D19" s="61" t="str">
        <f aca="false">"Q"&amp;ROUNDUP(MONTH($B19)/3,0)</f>
        <v>Q1</v>
      </c>
      <c r="E19" s="61" t="n">
        <f aca="false">MONTH($B19)</f>
        <v>1</v>
      </c>
      <c r="F19" s="61" t="str">
        <f aca="false">INDEX(Parametros!$I$5:$I$16,$E19)</f>
        <v>Ene</v>
      </c>
      <c r="G19" s="61" t="str">
        <f aca="false">TEXT($C19,"0000")&amp;"-"&amp;TEXT($E19,"00")</f>
        <v>2024-01</v>
      </c>
      <c r="H19" s="61" t="str">
        <f aca="false">INDEX(Parametros!$C$71:$C$91,MATCH(TRIM(INDEX(Datos_Origen!$C$2:$C$2459,$Z19)),Parametros!$B$71:$B$91,0))</f>
        <v>AMBA</v>
      </c>
      <c r="I19" s="61" t="str">
        <f aca="false">IF(TRIM($AD19)="",INDEX(Parametros!$I$20:$I$24,MATCH($H19,Parametros!$H$20:$H$24,0)),TRIM($AD19))</f>
        <v>Buenos Aires</v>
      </c>
      <c r="J19" s="61" t="str">
        <f aca="false">INDEX(Parametros!$C$95:$C$106,MATCH(TRIM(INDEX(Datos_Origen!$E$2:$E$2459,$Z19)),Parametros!$B$95:$B$106,0))</f>
        <v>E-commerce</v>
      </c>
      <c r="K19" s="61" t="str">
        <f aca="false">INDEX(Parametros!$C$48:$C$67,MATCH(TRIM(INDEX(Datos_Origen!$F$2:$F$2459,$Z19)),Parametros!$B$48:$B$67,0))</f>
        <v>Almacenamiento</v>
      </c>
      <c r="L19" s="61" t="str">
        <f aca="false">$K19&amp;" "&amp;$C19</f>
        <v>Almacenamiento 2024</v>
      </c>
      <c r="M19" s="61" t="str">
        <f aca="false">TRIM(INDEX(Datos_Origen!$G$2:$G$2459,$Z19))</f>
        <v>SSD Externo 1TB</v>
      </c>
      <c r="N19" s="61" t="str">
        <f aca="false">$M19&amp;" "&amp;$C19</f>
        <v>SSD Externo 1TB 2024</v>
      </c>
      <c r="O19" s="63" t="n">
        <f aca="false">IF(ISTEXT($AC19),VALUE($AC19),$AC19)</f>
        <v>21</v>
      </c>
      <c r="P19" s="64" t="n">
        <f aca="false">INDEX(Datos_Origen!$I$2:$I$2459,$Z19)</f>
        <v>127.4</v>
      </c>
      <c r="Q19" s="64" t="n">
        <f aca="false">INDEX(Datos_Origen!$J$2:$J$2459,$Z19)</f>
        <v>76.05</v>
      </c>
      <c r="R19" s="65" t="n">
        <f aca="false">ROUND($O19*$P19,2)</f>
        <v>2675.4</v>
      </c>
      <c r="S19" s="65" t="n">
        <f aca="false">ROUND($O19*$Q19,2)</f>
        <v>1597.05</v>
      </c>
      <c r="T19" s="65" t="n">
        <f aca="false">ROUND($R19*SUMIFS(Parametros!$E$28:$E$43,Parametros!$B$28:$B$43,$J19,Parametros!$C$28:$C$43,$C19,Parametros!$D$28:$D$43,$D19),2)</f>
        <v>112.37</v>
      </c>
      <c r="U19" s="65" t="n">
        <f aca="false">$R19-$S19-$T19</f>
        <v>965.98</v>
      </c>
      <c r="V19" s="66" t="n">
        <f aca="false">IFERROR($U19/$R19,0)</f>
        <v>0.361060028406967</v>
      </c>
      <c r="W19" s="67" t="str">
        <f aca="false">IF(AND($V19&gt;=Parametros!$C$8,$R19&gt;=Parametros!$C$12),"Alta rentabilidad",IF(OR($V19&lt;Parametros!$C$11,$R19&lt;Parametros!$C$13),"Revisar","Estandar"))</f>
        <v>Estandar</v>
      </c>
      <c r="X19" s="67" t="str">
        <f aca="false">IF(AND($J19="E-commerce",IFERROR($T19/$R19,0)&gt;Parametros!$C$14),"Alerta","OK")</f>
        <v>OK</v>
      </c>
      <c r="Y19" s="61" t="str">
        <f aca="false">IF($R19&gt;=Parametros!$C$12,"Alto",IF($R19&lt;Parametros!$C$13,"Bajo","Medio"))</f>
        <v>Medio</v>
      </c>
      <c r="Z19" s="61" t="n">
        <v>889</v>
      </c>
      <c r="AA19" s="61" t="str">
        <f aca="false">IF(MATCH($A19,Datos_Origen!$A$2:$A$2459,0)=$Z19,"OK","REVISAR")</f>
        <v>OK</v>
      </c>
      <c r="AB19" s="62" t="n">
        <f aca="false">INDEX(Datos_Origen!$B$2:$B$2459,$Z19)</f>
        <v>45310</v>
      </c>
      <c r="AC19" s="61" t="n">
        <f aca="false">INDEX(Datos_Origen!$H$2:$H$2459,$Z19)</f>
        <v>21</v>
      </c>
      <c r="AD19" s="61" t="str">
        <f aca="false">INDEX(Datos_Origen!$D$2:$D$2459,$Z19)&amp;""</f>
        <v>Buenos Aires</v>
      </c>
    </row>
    <row r="20" customFormat="false" ht="15" hidden="false" customHeight="false" outlineLevel="0" collapsed="false">
      <c r="A20" s="61" t="n">
        <f aca="false">INDEX(Datos_Origen!$A$2:$A$2459,$Z20)</f>
        <v>19</v>
      </c>
      <c r="B20" s="62" t="n">
        <f aca="false">IF(ISNUMBER($AB20),$AB20,IF(MID($AB20,5,1)="-",DATE(VALUE(LEFT($AB20,4)),VALUE(MID($AB20,6,2)),VALUE(RIGHT($AB20,2))),DATE(VALUE(RIGHT($AB20,4)),VALUE(MID($AB20,4,2)),VALUE(LEFT($AB20,2)))))</f>
        <v>45317</v>
      </c>
      <c r="C20" s="61" t="n">
        <f aca="false">YEAR($B20)</f>
        <v>2024</v>
      </c>
      <c r="D20" s="61" t="str">
        <f aca="false">"Q"&amp;ROUNDUP(MONTH($B20)/3,0)</f>
        <v>Q1</v>
      </c>
      <c r="E20" s="61" t="n">
        <f aca="false">MONTH($B20)</f>
        <v>1</v>
      </c>
      <c r="F20" s="61" t="str">
        <f aca="false">INDEX(Parametros!$I$5:$I$16,$E20)</f>
        <v>Ene</v>
      </c>
      <c r="G20" s="61" t="str">
        <f aca="false">TEXT($C20,"0000")&amp;"-"&amp;TEXT($E20,"00")</f>
        <v>2024-01</v>
      </c>
      <c r="H20" s="61" t="str">
        <f aca="false">INDEX(Parametros!$C$71:$C$91,MATCH(TRIM(INDEX(Datos_Origen!$C$2:$C$2459,$Z20)),Parametros!$B$71:$B$91,0))</f>
        <v>AMBA</v>
      </c>
      <c r="I20" s="61" t="str">
        <f aca="false">IF(TRIM($AD20)="",INDEX(Parametros!$I$20:$I$24,MATCH($H20,Parametros!$H$20:$H$24,0)),TRIM($AD20))</f>
        <v>Buenos Aires</v>
      </c>
      <c r="J20" s="61" t="str">
        <f aca="false">INDEX(Parametros!$C$95:$C$106,MATCH(TRIM(INDEX(Datos_Origen!$E$2:$E$2459,$Z20)),Parametros!$B$95:$B$106,0))</f>
        <v>Tienda fisica</v>
      </c>
      <c r="K20" s="61" t="str">
        <f aca="false">INDEX(Parametros!$C$48:$C$67,MATCH(TRIM(INDEX(Datos_Origen!$F$2:$F$2459,$Z20)),Parametros!$B$48:$B$67,0))</f>
        <v>Almacenamiento</v>
      </c>
      <c r="L20" s="61" t="str">
        <f aca="false">$K20&amp;" "&amp;$C20</f>
        <v>Almacenamiento 2024</v>
      </c>
      <c r="M20" s="61" t="str">
        <f aca="false">TRIM(INDEX(Datos_Origen!$G$2:$G$2459,$Z20))</f>
        <v>Pendrive 256GB</v>
      </c>
      <c r="N20" s="61" t="str">
        <f aca="false">$M20&amp;" "&amp;$C20</f>
        <v>Pendrive 256GB 2024</v>
      </c>
      <c r="O20" s="63" t="n">
        <f aca="false">IF(ISTEXT($AC20),VALUE($AC20),$AC20)</f>
        <v>52</v>
      </c>
      <c r="P20" s="64" t="n">
        <f aca="false">INDEX(Datos_Origen!$I$2:$I$2459,$Z20)</f>
        <v>34.3</v>
      </c>
      <c r="Q20" s="64" t="n">
        <f aca="false">INDEX(Datos_Origen!$J$2:$J$2459,$Z20)</f>
        <v>17.85</v>
      </c>
      <c r="R20" s="65" t="n">
        <f aca="false">ROUND($O20*$P20,2)</f>
        <v>1783.6</v>
      </c>
      <c r="S20" s="65" t="n">
        <f aca="false">ROUND($O20*$Q20,2)</f>
        <v>928.2</v>
      </c>
      <c r="T20" s="65" t="n">
        <f aca="false">ROUND($R20*SUMIFS(Parametros!$E$28:$E$43,Parametros!$B$28:$B$43,$J20,Parametros!$C$28:$C$43,$C20,Parametros!$D$28:$D$43,$D20),2)</f>
        <v>21.4</v>
      </c>
      <c r="U20" s="65" t="n">
        <f aca="false">$R20-$S20-$T20</f>
        <v>834</v>
      </c>
      <c r="V20" s="66" t="n">
        <f aca="false">IFERROR($U20/$R20,0)</f>
        <v>0.467593630858937</v>
      </c>
      <c r="W20" s="67" t="str">
        <f aca="false">IF(AND($V20&gt;=Parametros!$C$8,$R20&gt;=Parametros!$C$12),"Alta rentabilidad",IF(OR($V20&lt;Parametros!$C$11,$R20&lt;Parametros!$C$13),"Revisar","Estandar"))</f>
        <v>Estandar</v>
      </c>
      <c r="X20" s="67" t="str">
        <f aca="false">IF(AND($J20="E-commerce",IFERROR($T20/$R20,0)&gt;Parametros!$C$14),"Alerta","OK")</f>
        <v>OK</v>
      </c>
      <c r="Y20" s="61" t="str">
        <f aca="false">IF($R20&gt;=Parametros!$C$12,"Alto",IF($R20&lt;Parametros!$C$13,"Bajo","Medio"))</f>
        <v>Medio</v>
      </c>
      <c r="Z20" s="61" t="n">
        <v>2181</v>
      </c>
      <c r="AA20" s="61" t="str">
        <f aca="false">IF(MATCH($A20,Datos_Origen!$A$2:$A$2459,0)=$Z20,"OK","REVISAR")</f>
        <v>OK</v>
      </c>
      <c r="AB20" s="62" t="n">
        <f aca="false">INDEX(Datos_Origen!$B$2:$B$2459,$Z20)</f>
        <v>45317</v>
      </c>
      <c r="AC20" s="61" t="n">
        <f aca="false">INDEX(Datos_Origen!$H$2:$H$2459,$Z20)</f>
        <v>52</v>
      </c>
      <c r="AD20" s="61" t="str">
        <f aca="false">INDEX(Datos_Origen!$D$2:$D$2459,$Z20)&amp;""</f>
        <v>Buenos Aires</v>
      </c>
    </row>
    <row r="21" customFormat="false" ht="15" hidden="false" customHeight="false" outlineLevel="0" collapsed="false">
      <c r="A21" s="61" t="n">
        <f aca="false">INDEX(Datos_Origen!$A$2:$A$2459,$Z21)</f>
        <v>20</v>
      </c>
      <c r="B21" s="62" t="n">
        <f aca="false">IF(ISNUMBER($AB21),$AB21,IF(MID($AB21,5,1)="-",DATE(VALUE(LEFT($AB21,4)),VALUE(MID($AB21,6,2)),VALUE(RIGHT($AB21,2))),DATE(VALUE(RIGHT($AB21,4)),VALUE(MID($AB21,4,2)),VALUE(LEFT($AB21,2)))))</f>
        <v>45297</v>
      </c>
      <c r="C21" s="61" t="n">
        <f aca="false">YEAR($B21)</f>
        <v>2024</v>
      </c>
      <c r="D21" s="61" t="str">
        <f aca="false">"Q"&amp;ROUNDUP(MONTH($B21)/3,0)</f>
        <v>Q1</v>
      </c>
      <c r="E21" s="61" t="n">
        <f aca="false">MONTH($B21)</f>
        <v>1</v>
      </c>
      <c r="F21" s="61" t="str">
        <f aca="false">INDEX(Parametros!$I$5:$I$16,$E21)</f>
        <v>Ene</v>
      </c>
      <c r="G21" s="61" t="str">
        <f aca="false">TEXT($C21,"0000")&amp;"-"&amp;TEXT($E21,"00")</f>
        <v>2024-01</v>
      </c>
      <c r="H21" s="61" t="str">
        <f aca="false">INDEX(Parametros!$C$71:$C$91,MATCH(TRIM(INDEX(Datos_Origen!$C$2:$C$2459,$Z21)),Parametros!$B$71:$B$91,0))</f>
        <v>AMBA</v>
      </c>
      <c r="I21" s="61" t="str">
        <f aca="false">IF(TRIM($AD21)="",INDEX(Parametros!$I$20:$I$24,MATCH($H21,Parametros!$H$20:$H$24,0)),TRIM($AD21))</f>
        <v>Buenos Aires</v>
      </c>
      <c r="J21" s="61" t="str">
        <f aca="false">INDEX(Parametros!$C$95:$C$106,MATCH(TRIM(INDEX(Datos_Origen!$E$2:$E$2459,$Z21)),Parametros!$B$95:$B$106,0))</f>
        <v>E-commerce</v>
      </c>
      <c r="K21" s="61" t="str">
        <f aca="false">INDEX(Parametros!$C$48:$C$67,MATCH(TRIM(INDEX(Datos_Origen!$F$2:$F$2459,$Z21)),Parametros!$B$48:$B$67,0))</f>
        <v>Almacenamiento</v>
      </c>
      <c r="L21" s="61" t="str">
        <f aca="false">$K21&amp;" "&amp;$C21</f>
        <v>Almacenamiento 2024</v>
      </c>
      <c r="M21" s="61" t="str">
        <f aca="false">TRIM(INDEX(Datos_Origen!$G$2:$G$2459,$Z21))</f>
        <v>Pendrive 256GB</v>
      </c>
      <c r="N21" s="61" t="str">
        <f aca="false">$M21&amp;" "&amp;$C21</f>
        <v>Pendrive 256GB 2024</v>
      </c>
      <c r="O21" s="63" t="n">
        <f aca="false">IF(ISTEXT($AC21),VALUE($AC21),$AC21)</f>
        <v>17</v>
      </c>
      <c r="P21" s="64" t="n">
        <f aca="false">INDEX(Datos_Origen!$I$2:$I$2459,$Z21)</f>
        <v>34.3</v>
      </c>
      <c r="Q21" s="64" t="n">
        <f aca="false">INDEX(Datos_Origen!$J$2:$J$2459,$Z21)</f>
        <v>17.85</v>
      </c>
      <c r="R21" s="65" t="n">
        <f aca="false">ROUND($O21*$P21,2)</f>
        <v>583.1</v>
      </c>
      <c r="S21" s="65" t="n">
        <f aca="false">ROUND($O21*$Q21,2)</f>
        <v>303.45</v>
      </c>
      <c r="T21" s="65" t="n">
        <f aca="false">ROUND($R21*SUMIFS(Parametros!$E$28:$E$43,Parametros!$B$28:$B$43,$J21,Parametros!$C$28:$C$43,$C21,Parametros!$D$28:$D$43,$D21),2)</f>
        <v>24.49</v>
      </c>
      <c r="U21" s="65" t="n">
        <f aca="false">$R21-$S21-$T21</f>
        <v>255.16</v>
      </c>
      <c r="V21" s="66" t="n">
        <f aca="false">IFERROR($U21/$R21,0)</f>
        <v>0.437592179729034</v>
      </c>
      <c r="W21" s="67" t="str">
        <f aca="false">IF(AND($V21&gt;=Parametros!$C$8,$R21&gt;=Parametros!$C$12),"Alta rentabilidad",IF(OR($V21&lt;Parametros!$C$11,$R21&lt;Parametros!$C$13),"Revisar","Estandar"))</f>
        <v>Estandar</v>
      </c>
      <c r="X21" s="67" t="str">
        <f aca="false">IF(AND($J21="E-commerce",IFERROR($T21/$R21,0)&gt;Parametros!$C$14),"Alerta","OK")</f>
        <v>OK</v>
      </c>
      <c r="Y21" s="61" t="str">
        <f aca="false">IF($R21&gt;=Parametros!$C$12,"Alto",IF($R21&lt;Parametros!$C$13,"Bajo","Medio"))</f>
        <v>Medio</v>
      </c>
      <c r="Z21" s="61" t="n">
        <v>2090</v>
      </c>
      <c r="AA21" s="61" t="str">
        <f aca="false">IF(MATCH($A21,Datos_Origen!$A$2:$A$2459,0)=$Z21,"OK","REVISAR")</f>
        <v>OK</v>
      </c>
      <c r="AB21" s="62" t="n">
        <f aca="false">INDEX(Datos_Origen!$B$2:$B$2459,$Z21)</f>
        <v>45297</v>
      </c>
      <c r="AC21" s="61" t="n">
        <f aca="false">INDEX(Datos_Origen!$H$2:$H$2459,$Z21)</f>
        <v>17</v>
      </c>
      <c r="AD21" s="61" t="str">
        <f aca="false">INDEX(Datos_Origen!$D$2:$D$2459,$Z21)&amp;""</f>
        <v>Buenos Aires</v>
      </c>
    </row>
    <row r="22" customFormat="false" ht="15" hidden="false" customHeight="false" outlineLevel="0" collapsed="false">
      <c r="A22" s="61" t="n">
        <f aca="false">INDEX(Datos_Origen!$A$2:$A$2459,$Z22)</f>
        <v>21</v>
      </c>
      <c r="B22" s="62" t="n">
        <f aca="false">IF(ISNUMBER($AB22),$AB22,IF(MID($AB22,5,1)="-",DATE(VALUE(LEFT($AB22,4)),VALUE(MID($AB22,6,2)),VALUE(RIGHT($AB22,2))),DATE(VALUE(RIGHT($AB22,4)),VALUE(MID($AB22,4,2)),VALUE(LEFT($AB22,2)))))</f>
        <v>45304</v>
      </c>
      <c r="C22" s="61" t="n">
        <f aca="false">YEAR($B22)</f>
        <v>2024</v>
      </c>
      <c r="D22" s="61" t="str">
        <f aca="false">"Q"&amp;ROUNDUP(MONTH($B22)/3,0)</f>
        <v>Q1</v>
      </c>
      <c r="E22" s="61" t="n">
        <f aca="false">MONTH($B22)</f>
        <v>1</v>
      </c>
      <c r="F22" s="61" t="str">
        <f aca="false">INDEX(Parametros!$I$5:$I$16,$E22)</f>
        <v>Ene</v>
      </c>
      <c r="G22" s="61" t="str">
        <f aca="false">TEXT($C22,"0000")&amp;"-"&amp;TEXT($E22,"00")</f>
        <v>2024-01</v>
      </c>
      <c r="H22" s="61" t="str">
        <f aca="false">INDEX(Parametros!$C$71:$C$91,MATCH(TRIM(INDEX(Datos_Origen!$C$2:$C$2459,$Z22)),Parametros!$B$71:$B$91,0))</f>
        <v>Centro</v>
      </c>
      <c r="I22" s="61" t="str">
        <f aca="false">IF(TRIM($AD22)="",INDEX(Parametros!$I$20:$I$24,MATCH($H22,Parametros!$H$20:$H$24,0)),TRIM($AD22))</f>
        <v>Cordoba</v>
      </c>
      <c r="J22" s="61" t="str">
        <f aca="false">INDEX(Parametros!$C$95:$C$106,MATCH(TRIM(INDEX(Datos_Origen!$E$2:$E$2459,$Z22)),Parametros!$B$95:$B$106,0))</f>
        <v>Tienda fisica</v>
      </c>
      <c r="K22" s="61" t="str">
        <f aca="false">INDEX(Parametros!$C$48:$C$67,MATCH(TRIM(INDEX(Datos_Origen!$F$2:$F$2459,$Z22)),Parametros!$B$48:$B$67,0))</f>
        <v>Computacion</v>
      </c>
      <c r="L22" s="61" t="str">
        <f aca="false">$K22&amp;" "&amp;$C22</f>
        <v>Computacion 2024</v>
      </c>
      <c r="M22" s="61" t="str">
        <f aca="false">TRIM(INDEX(Datos_Origen!$G$2:$G$2459,$Z22))</f>
        <v>Laptop Pro 15</v>
      </c>
      <c r="N22" s="61" t="str">
        <f aca="false">$M22&amp;" "&amp;$C22</f>
        <v>Laptop Pro 15 2024</v>
      </c>
      <c r="O22" s="63" t="n">
        <f aca="false">IF(ISTEXT($AC22),VALUE($AC22),$AC22)</f>
        <v>12</v>
      </c>
      <c r="P22" s="64" t="n">
        <f aca="false">INDEX(Datos_Origen!$I$2:$I$2459,$Z22)</f>
        <v>1176</v>
      </c>
      <c r="Q22" s="64" t="n">
        <f aca="false">INDEX(Datos_Origen!$J$2:$J$2459,$Z22)</f>
        <v>744</v>
      </c>
      <c r="R22" s="65" t="n">
        <f aca="false">ROUND($O22*$P22,2)</f>
        <v>14112</v>
      </c>
      <c r="S22" s="65" t="n">
        <f aca="false">ROUND($O22*$Q22,2)</f>
        <v>8928</v>
      </c>
      <c r="T22" s="65" t="n">
        <f aca="false">ROUND($R22*SUMIFS(Parametros!$E$28:$E$43,Parametros!$B$28:$B$43,$J22,Parametros!$C$28:$C$43,$C22,Parametros!$D$28:$D$43,$D22),2)</f>
        <v>169.34</v>
      </c>
      <c r="U22" s="65" t="n">
        <f aca="false">$R22-$S22-$T22</f>
        <v>5014.66</v>
      </c>
      <c r="V22" s="66" t="n">
        <f aca="false">IFERROR($U22/$R22,0)</f>
        <v>0.355347222222222</v>
      </c>
      <c r="W22" s="67" t="str">
        <f aca="false">IF(AND($V22&gt;=Parametros!$C$8,$R22&gt;=Parametros!$C$12),"Alta rentabilidad",IF(OR($V22&lt;Parametros!$C$11,$R22&lt;Parametros!$C$13),"Revisar","Estandar"))</f>
        <v>Alta rentabilidad</v>
      </c>
      <c r="X22" s="67" t="str">
        <f aca="false">IF(AND($J22="E-commerce",IFERROR($T22/$R22,0)&gt;Parametros!$C$14),"Alerta","OK")</f>
        <v>OK</v>
      </c>
      <c r="Y22" s="61" t="str">
        <f aca="false">IF($R22&gt;=Parametros!$C$12,"Alto",IF($R22&lt;Parametros!$C$13,"Bajo","Medio"))</f>
        <v>Alto</v>
      </c>
      <c r="Z22" s="61" t="n">
        <v>2330</v>
      </c>
      <c r="AA22" s="61" t="str">
        <f aca="false">IF(MATCH($A22,Datos_Origen!$A$2:$A$2459,0)=$Z22,"OK","REVISAR")</f>
        <v>OK</v>
      </c>
      <c r="AB22" s="61" t="str">
        <f aca="false">INDEX(Datos_Origen!$B$2:$B$2459,$Z22)</f>
        <v>13/01/2024</v>
      </c>
      <c r="AC22" s="61" t="n">
        <f aca="false">INDEX(Datos_Origen!$H$2:$H$2459,$Z22)</f>
        <v>12</v>
      </c>
      <c r="AD22" s="61" t="str">
        <f aca="false">INDEX(Datos_Origen!$D$2:$D$2459,$Z22)&amp;""</f>
        <v>Cordoba</v>
      </c>
    </row>
    <row r="23" customFormat="false" ht="15" hidden="false" customHeight="false" outlineLevel="0" collapsed="false">
      <c r="A23" s="61" t="n">
        <f aca="false">INDEX(Datos_Origen!$A$2:$A$2459,$Z23)</f>
        <v>22</v>
      </c>
      <c r="B23" s="62" t="n">
        <f aca="false">IF(ISNUMBER($AB23),$AB23,IF(MID($AB23,5,1)="-",DATE(VALUE(LEFT($AB23,4)),VALUE(MID($AB23,6,2)),VALUE(RIGHT($AB23,2))),DATE(VALUE(RIGHT($AB23,4)),VALUE(MID($AB23,4,2)),VALUE(LEFT($AB23,2)))))</f>
        <v>45311</v>
      </c>
      <c r="C23" s="61" t="n">
        <f aca="false">YEAR($B23)</f>
        <v>2024</v>
      </c>
      <c r="D23" s="61" t="str">
        <f aca="false">"Q"&amp;ROUNDUP(MONTH($B23)/3,0)</f>
        <v>Q1</v>
      </c>
      <c r="E23" s="61" t="n">
        <f aca="false">MONTH($B23)</f>
        <v>1</v>
      </c>
      <c r="F23" s="61" t="str">
        <f aca="false">INDEX(Parametros!$I$5:$I$16,$E23)</f>
        <v>Ene</v>
      </c>
      <c r="G23" s="61" t="str">
        <f aca="false">TEXT($C23,"0000")&amp;"-"&amp;TEXT($E23,"00")</f>
        <v>2024-01</v>
      </c>
      <c r="H23" s="61" t="str">
        <f aca="false">INDEX(Parametros!$C$71:$C$91,MATCH(TRIM(INDEX(Datos_Origen!$C$2:$C$2459,$Z23)),Parametros!$B$71:$B$91,0))</f>
        <v>Centro</v>
      </c>
      <c r="I23" s="61" t="str">
        <f aca="false">IF(TRIM($AD23)="",INDEX(Parametros!$I$20:$I$24,MATCH($H23,Parametros!$H$20:$H$24,0)),TRIM($AD23))</f>
        <v>Cordoba</v>
      </c>
      <c r="J23" s="61" t="str">
        <f aca="false">INDEX(Parametros!$C$95:$C$106,MATCH(TRIM(INDEX(Datos_Origen!$E$2:$E$2459,$Z23)),Parametros!$B$95:$B$106,0))</f>
        <v>E-commerce</v>
      </c>
      <c r="K23" s="61" t="str">
        <f aca="false">INDEX(Parametros!$C$48:$C$67,MATCH(TRIM(INDEX(Datos_Origen!$F$2:$F$2459,$Z23)),Parametros!$B$48:$B$67,0))</f>
        <v>Computacion</v>
      </c>
      <c r="L23" s="61" t="str">
        <f aca="false">$K23&amp;" "&amp;$C23</f>
        <v>Computacion 2024</v>
      </c>
      <c r="M23" s="61" t="str">
        <f aca="false">TRIM(INDEX(Datos_Origen!$G$2:$G$2459,$Z23))</f>
        <v>Laptop Pro 15</v>
      </c>
      <c r="N23" s="61" t="str">
        <f aca="false">$M23&amp;" "&amp;$C23</f>
        <v>Laptop Pro 15 2024</v>
      </c>
      <c r="O23" s="63" t="n">
        <f aca="false">IF(ISTEXT($AC23),VALUE($AC23),$AC23)</f>
        <v>4</v>
      </c>
      <c r="P23" s="64" t="n">
        <f aca="false">INDEX(Datos_Origen!$I$2:$I$2459,$Z23)</f>
        <v>1176</v>
      </c>
      <c r="Q23" s="64" t="n">
        <f aca="false">INDEX(Datos_Origen!$J$2:$J$2459,$Z23)</f>
        <v>744</v>
      </c>
      <c r="R23" s="65" t="n">
        <f aca="false">ROUND($O23*$P23,2)</f>
        <v>4704</v>
      </c>
      <c r="S23" s="65" t="n">
        <f aca="false">ROUND($O23*$Q23,2)</f>
        <v>2976</v>
      </c>
      <c r="T23" s="65" t="n">
        <f aca="false">ROUND($R23*SUMIFS(Parametros!$E$28:$E$43,Parametros!$B$28:$B$43,$J23,Parametros!$C$28:$C$43,$C23,Parametros!$D$28:$D$43,$D23),2)</f>
        <v>197.57</v>
      </c>
      <c r="U23" s="65" t="n">
        <f aca="false">$R23-$S23-$T23</f>
        <v>1530.43</v>
      </c>
      <c r="V23" s="66" t="n">
        <f aca="false">IFERROR($U23/$R23,0)</f>
        <v>0.325346513605442</v>
      </c>
      <c r="W23" s="67" t="str">
        <f aca="false">IF(AND($V23&gt;=Parametros!$C$8,$R23&gt;=Parametros!$C$12),"Alta rentabilidad",IF(OR($V23&lt;Parametros!$C$11,$R23&lt;Parametros!$C$13),"Revisar","Estandar"))</f>
        <v>Estandar</v>
      </c>
      <c r="X23" s="67" t="str">
        <f aca="false">IF(AND($J23="E-commerce",IFERROR($T23/$R23,0)&gt;Parametros!$C$14),"Alerta","OK")</f>
        <v>OK</v>
      </c>
      <c r="Y23" s="61" t="str">
        <f aca="false">IF($R23&gt;=Parametros!$C$12,"Alto",IF($R23&lt;Parametros!$C$13,"Bajo","Medio"))</f>
        <v>Alto</v>
      </c>
      <c r="Z23" s="61" t="n">
        <v>1976</v>
      </c>
      <c r="AA23" s="61" t="str">
        <f aca="false">IF(MATCH($A23,Datos_Origen!$A$2:$A$2459,0)=$Z23,"OK","REVISAR")</f>
        <v>OK</v>
      </c>
      <c r="AB23" s="62" t="n">
        <f aca="false">INDEX(Datos_Origen!$B$2:$B$2459,$Z23)</f>
        <v>45311</v>
      </c>
      <c r="AC23" s="61" t="n">
        <f aca="false">INDEX(Datos_Origen!$H$2:$H$2459,$Z23)</f>
        <v>4</v>
      </c>
      <c r="AD23" s="61" t="str">
        <f aca="false">INDEX(Datos_Origen!$D$2:$D$2459,$Z23)&amp;""</f>
        <v/>
      </c>
    </row>
    <row r="24" customFormat="false" ht="15" hidden="false" customHeight="false" outlineLevel="0" collapsed="false">
      <c r="A24" s="61" t="n">
        <f aca="false">INDEX(Datos_Origen!$A$2:$A$2459,$Z24)</f>
        <v>23</v>
      </c>
      <c r="B24" s="62" t="n">
        <f aca="false">IF(ISNUMBER($AB24),$AB24,IF(MID($AB24,5,1)="-",DATE(VALUE(LEFT($AB24,4)),VALUE(MID($AB24,6,2)),VALUE(RIGHT($AB24,2))),DATE(VALUE(RIGHT($AB24,4)),VALUE(MID($AB24,4,2)),VALUE(LEFT($AB24,2)))))</f>
        <v>45318</v>
      </c>
      <c r="C24" s="61" t="n">
        <f aca="false">YEAR($B24)</f>
        <v>2024</v>
      </c>
      <c r="D24" s="61" t="str">
        <f aca="false">"Q"&amp;ROUNDUP(MONTH($B24)/3,0)</f>
        <v>Q1</v>
      </c>
      <c r="E24" s="61" t="n">
        <f aca="false">MONTH($B24)</f>
        <v>1</v>
      </c>
      <c r="F24" s="61" t="str">
        <f aca="false">INDEX(Parametros!$I$5:$I$16,$E24)</f>
        <v>Ene</v>
      </c>
      <c r="G24" s="61" t="str">
        <f aca="false">TEXT($C24,"0000")&amp;"-"&amp;TEXT($E24,"00")</f>
        <v>2024-01</v>
      </c>
      <c r="H24" s="61" t="str">
        <f aca="false">INDEX(Parametros!$C$71:$C$91,MATCH(TRIM(INDEX(Datos_Origen!$C$2:$C$2459,$Z24)),Parametros!$B$71:$B$91,0))</f>
        <v>Centro</v>
      </c>
      <c r="I24" s="61" t="str">
        <f aca="false">IF(TRIM($AD24)="",INDEX(Parametros!$I$20:$I$24,MATCH($H24,Parametros!$H$20:$H$24,0)),TRIM($AD24))</f>
        <v>Cordoba</v>
      </c>
      <c r="J24" s="61" t="str">
        <f aca="false">INDEX(Parametros!$C$95:$C$106,MATCH(TRIM(INDEX(Datos_Origen!$E$2:$E$2459,$Z24)),Parametros!$B$95:$B$106,0))</f>
        <v>Tienda fisica</v>
      </c>
      <c r="K24" s="61" t="str">
        <f aca="false">INDEX(Parametros!$C$48:$C$67,MATCH(TRIM(INDEX(Datos_Origen!$F$2:$F$2459,$Z24)),Parametros!$B$48:$B$67,0))</f>
        <v>Computacion</v>
      </c>
      <c r="L24" s="61" t="str">
        <f aca="false">$K24&amp;" "&amp;$C24</f>
        <v>Computacion 2024</v>
      </c>
      <c r="M24" s="61" t="str">
        <f aca="false">TRIM(INDEX(Datos_Origen!$G$2:$G$2459,$Z24))</f>
        <v>Monitor 4K 27</v>
      </c>
      <c r="N24" s="61" t="str">
        <f aca="false">$M24&amp;" "&amp;$C24</f>
        <v>Monitor 4K 27 2024</v>
      </c>
      <c r="O24" s="63" t="n">
        <f aca="false">IF(ISTEXT($AC24),VALUE($AC24),$AC24)</f>
        <v>9</v>
      </c>
      <c r="P24" s="64" t="n">
        <f aca="false">INDEX(Datos_Origen!$I$2:$I$2459,$Z24)</f>
        <v>441</v>
      </c>
      <c r="Q24" s="64" t="n">
        <f aca="false">INDEX(Datos_Origen!$J$2:$J$2459,$Z24)</f>
        <v>272.25</v>
      </c>
      <c r="R24" s="65" t="n">
        <f aca="false">ROUND($O24*$P24,2)</f>
        <v>3969</v>
      </c>
      <c r="S24" s="65" t="n">
        <f aca="false">ROUND($O24*$Q24,2)</f>
        <v>2450.25</v>
      </c>
      <c r="T24" s="65" t="n">
        <f aca="false">ROUND($R24*SUMIFS(Parametros!$E$28:$E$43,Parametros!$B$28:$B$43,$J24,Parametros!$C$28:$C$43,$C24,Parametros!$D$28:$D$43,$D24),2)</f>
        <v>47.63</v>
      </c>
      <c r="U24" s="65" t="n">
        <f aca="false">$R24-$S24-$T24</f>
        <v>1471.12</v>
      </c>
      <c r="V24" s="66" t="n">
        <f aca="false">IFERROR($U24/$R24,0)</f>
        <v>0.370652557319224</v>
      </c>
      <c r="W24" s="67" t="str">
        <f aca="false">IF(AND($V24&gt;=Parametros!$C$8,$R24&gt;=Parametros!$C$12),"Alta rentabilidad",IF(OR($V24&lt;Parametros!$C$11,$R24&lt;Parametros!$C$13),"Revisar","Estandar"))</f>
        <v>Alta rentabilidad</v>
      </c>
      <c r="X24" s="67" t="str">
        <f aca="false">IF(AND($J24="E-commerce",IFERROR($T24/$R24,0)&gt;Parametros!$C$14),"Alerta","OK")</f>
        <v>OK</v>
      </c>
      <c r="Y24" s="61" t="str">
        <f aca="false">IF($R24&gt;=Parametros!$C$12,"Alto",IF($R24&lt;Parametros!$C$13,"Bajo","Medio"))</f>
        <v>Alto</v>
      </c>
      <c r="Z24" s="61" t="n">
        <v>29</v>
      </c>
      <c r="AA24" s="61" t="str">
        <f aca="false">IF(MATCH($A24,Datos_Origen!$A$2:$A$2459,0)=$Z24,"OK","REVISAR")</f>
        <v>OK</v>
      </c>
      <c r="AB24" s="61" t="str">
        <f aca="false">INDEX(Datos_Origen!$B$2:$B$2459,$Z24)</f>
        <v>27/01/2024</v>
      </c>
      <c r="AC24" s="61" t="n">
        <f aca="false">INDEX(Datos_Origen!$H$2:$H$2459,$Z24)</f>
        <v>9</v>
      </c>
      <c r="AD24" s="61" t="str">
        <f aca="false">INDEX(Datos_Origen!$D$2:$D$2459,$Z24)&amp;""</f>
        <v>Cordoba</v>
      </c>
    </row>
    <row r="25" customFormat="false" ht="15" hidden="false" customHeight="false" outlineLevel="0" collapsed="false">
      <c r="A25" s="61" t="n">
        <f aca="false">INDEX(Datos_Origen!$A$2:$A$2459,$Z25)</f>
        <v>24</v>
      </c>
      <c r="B25" s="62" t="n">
        <f aca="false">IF(ISNUMBER($AB25),$AB25,IF(MID($AB25,5,1)="-",DATE(VALUE(LEFT($AB25,4)),VALUE(MID($AB25,6,2)),VALUE(RIGHT($AB25,2))),DATE(VALUE(RIGHT($AB25,4)),VALUE(MID($AB25,4,2)),VALUE(LEFT($AB25,2)))))</f>
        <v>45298</v>
      </c>
      <c r="C25" s="61" t="n">
        <f aca="false">YEAR($B25)</f>
        <v>2024</v>
      </c>
      <c r="D25" s="61" t="str">
        <f aca="false">"Q"&amp;ROUNDUP(MONTH($B25)/3,0)</f>
        <v>Q1</v>
      </c>
      <c r="E25" s="61" t="n">
        <f aca="false">MONTH($B25)</f>
        <v>1</v>
      </c>
      <c r="F25" s="61" t="str">
        <f aca="false">INDEX(Parametros!$I$5:$I$16,$E25)</f>
        <v>Ene</v>
      </c>
      <c r="G25" s="61" t="str">
        <f aca="false">TEXT($C25,"0000")&amp;"-"&amp;TEXT($E25,"00")</f>
        <v>2024-01</v>
      </c>
      <c r="H25" s="61" t="str">
        <f aca="false">INDEX(Parametros!$C$71:$C$91,MATCH(TRIM(INDEX(Datos_Origen!$C$2:$C$2459,$Z25)),Parametros!$B$71:$B$91,0))</f>
        <v>Centro</v>
      </c>
      <c r="I25" s="61" t="str">
        <f aca="false">IF(TRIM($AD25)="",INDEX(Parametros!$I$20:$I$24,MATCH($H25,Parametros!$H$20:$H$24,0)),TRIM($AD25))</f>
        <v>Cordoba</v>
      </c>
      <c r="J25" s="61" t="str">
        <f aca="false">INDEX(Parametros!$C$95:$C$106,MATCH(TRIM(INDEX(Datos_Origen!$E$2:$E$2459,$Z25)),Parametros!$B$95:$B$106,0))</f>
        <v>E-commerce</v>
      </c>
      <c r="K25" s="61" t="str">
        <f aca="false">INDEX(Parametros!$C$48:$C$67,MATCH(TRIM(INDEX(Datos_Origen!$F$2:$F$2459,$Z25)),Parametros!$B$48:$B$67,0))</f>
        <v>Computacion</v>
      </c>
      <c r="L25" s="61" t="str">
        <f aca="false">$K25&amp;" "&amp;$C25</f>
        <v>Computacion 2024</v>
      </c>
      <c r="M25" s="61" t="str">
        <f aca="false">TRIM(INDEX(Datos_Origen!$G$2:$G$2459,$Z25))</f>
        <v>Monitor 4K 27</v>
      </c>
      <c r="N25" s="61" t="str">
        <f aca="false">$M25&amp;" "&amp;$C25</f>
        <v>Monitor 4K 27 2024</v>
      </c>
      <c r="O25" s="63" t="n">
        <f aca="false">IF(ISTEXT($AC25),VALUE($AC25),$AC25)</f>
        <v>3</v>
      </c>
      <c r="P25" s="64" t="n">
        <f aca="false">INDEX(Datos_Origen!$I$2:$I$2459,$Z25)</f>
        <v>441</v>
      </c>
      <c r="Q25" s="64" t="n">
        <f aca="false">INDEX(Datos_Origen!$J$2:$J$2459,$Z25)</f>
        <v>272.25</v>
      </c>
      <c r="R25" s="65" t="n">
        <f aca="false">ROUND($O25*$P25,2)</f>
        <v>1323</v>
      </c>
      <c r="S25" s="65" t="n">
        <f aca="false">ROUND($O25*$Q25,2)</f>
        <v>816.75</v>
      </c>
      <c r="T25" s="65" t="n">
        <f aca="false">ROUND($R25*SUMIFS(Parametros!$E$28:$E$43,Parametros!$B$28:$B$43,$J25,Parametros!$C$28:$C$43,$C25,Parametros!$D$28:$D$43,$D25),2)</f>
        <v>55.57</v>
      </c>
      <c r="U25" s="65" t="n">
        <f aca="false">$R25-$S25-$T25</f>
        <v>450.68</v>
      </c>
      <c r="V25" s="66" t="n">
        <f aca="false">IFERROR($U25/$R25,0)</f>
        <v>0.340650037792895</v>
      </c>
      <c r="W25" s="67" t="str">
        <f aca="false">IF(AND($V25&gt;=Parametros!$C$8,$R25&gt;=Parametros!$C$12),"Alta rentabilidad",IF(OR($V25&lt;Parametros!$C$11,$R25&lt;Parametros!$C$13),"Revisar","Estandar"))</f>
        <v>Estandar</v>
      </c>
      <c r="X25" s="67" t="str">
        <f aca="false">IF(AND($J25="E-commerce",IFERROR($T25/$R25,0)&gt;Parametros!$C$14),"Alerta","OK")</f>
        <v>OK</v>
      </c>
      <c r="Y25" s="61" t="str">
        <f aca="false">IF($R25&gt;=Parametros!$C$12,"Alto",IF($R25&lt;Parametros!$C$13,"Bajo","Medio"))</f>
        <v>Medio</v>
      </c>
      <c r="Z25" s="61" t="n">
        <v>1070</v>
      </c>
      <c r="AA25" s="61" t="str">
        <f aca="false">IF(MATCH($A25,Datos_Origen!$A$2:$A$2459,0)=$Z25,"OK","REVISAR")</f>
        <v>OK</v>
      </c>
      <c r="AB25" s="62" t="n">
        <f aca="false">INDEX(Datos_Origen!$B$2:$B$2459,$Z25)</f>
        <v>45298</v>
      </c>
      <c r="AC25" s="61" t="n">
        <f aca="false">INDEX(Datos_Origen!$H$2:$H$2459,$Z25)</f>
        <v>3</v>
      </c>
      <c r="AD25" s="61" t="str">
        <f aca="false">INDEX(Datos_Origen!$D$2:$D$2459,$Z25)&amp;""</f>
        <v>Cordoba</v>
      </c>
    </row>
    <row r="26" customFormat="false" ht="15" hidden="false" customHeight="false" outlineLevel="0" collapsed="false">
      <c r="A26" s="61" t="n">
        <f aca="false">INDEX(Datos_Origen!$A$2:$A$2459,$Z26)</f>
        <v>25</v>
      </c>
      <c r="B26" s="62" t="n">
        <f aca="false">IF(ISNUMBER($AB26),$AB26,IF(MID($AB26,5,1)="-",DATE(VALUE(LEFT($AB26,4)),VALUE(MID($AB26,6,2)),VALUE(RIGHT($AB26,2))),DATE(VALUE(RIGHT($AB26,4)),VALUE(MID($AB26,4,2)),VALUE(LEFT($AB26,2)))))</f>
        <v>45305</v>
      </c>
      <c r="C26" s="61" t="n">
        <f aca="false">YEAR($B26)</f>
        <v>2024</v>
      </c>
      <c r="D26" s="61" t="str">
        <f aca="false">"Q"&amp;ROUNDUP(MONTH($B26)/3,0)</f>
        <v>Q1</v>
      </c>
      <c r="E26" s="61" t="n">
        <f aca="false">MONTH($B26)</f>
        <v>1</v>
      </c>
      <c r="F26" s="61" t="str">
        <f aca="false">INDEX(Parametros!$I$5:$I$16,$E26)</f>
        <v>Ene</v>
      </c>
      <c r="G26" s="61" t="str">
        <f aca="false">TEXT($C26,"0000")&amp;"-"&amp;TEXT($E26,"00")</f>
        <v>2024-01</v>
      </c>
      <c r="H26" s="61" t="str">
        <f aca="false">INDEX(Parametros!$C$71:$C$91,MATCH(TRIM(INDEX(Datos_Origen!$C$2:$C$2459,$Z26)),Parametros!$B$71:$B$91,0))</f>
        <v>Centro</v>
      </c>
      <c r="I26" s="61" t="str">
        <f aca="false">IF(TRIM($AD26)="",INDEX(Parametros!$I$20:$I$24,MATCH($H26,Parametros!$H$20:$H$24,0)),TRIM($AD26))</f>
        <v>Cordoba</v>
      </c>
      <c r="J26" s="61" t="str">
        <f aca="false">INDEX(Parametros!$C$95:$C$106,MATCH(TRIM(INDEX(Datos_Origen!$E$2:$E$2459,$Z26)),Parametros!$B$95:$B$106,0))</f>
        <v>Tienda fisica</v>
      </c>
      <c r="K26" s="61" t="str">
        <f aca="false">INDEX(Parametros!$C$48:$C$67,MATCH(TRIM(INDEX(Datos_Origen!$F$2:$F$2459,$Z26)),Parametros!$B$48:$B$67,0))</f>
        <v>Computacion</v>
      </c>
      <c r="L26" s="61" t="str">
        <f aca="false">$K26&amp;" "&amp;$C26</f>
        <v>Computacion 2024</v>
      </c>
      <c r="M26" s="61" t="str">
        <f aca="false">TRIM(INDEX(Datos_Origen!$G$2:$G$2459,$Z26))</f>
        <v>PC Gamer Ryzen</v>
      </c>
      <c r="N26" s="61" t="str">
        <f aca="false">$M26&amp;" "&amp;$C26</f>
        <v>PC Gamer Ryzen 2024</v>
      </c>
      <c r="O26" s="63" t="n">
        <f aca="false">IF(ISTEXT($AC26),VALUE($AC26),$AC26)</f>
        <v>11</v>
      </c>
      <c r="P26" s="64" t="n">
        <f aca="false">INDEX(Datos_Origen!$I$2:$I$2459,$Z26)</f>
        <v>1617</v>
      </c>
      <c r="Q26" s="64" t="n">
        <f aca="false">INDEX(Datos_Origen!$J$2:$J$2459,$Z26)</f>
        <v>1122</v>
      </c>
      <c r="R26" s="65" t="n">
        <f aca="false">ROUND($O26*$P26,2)</f>
        <v>17787</v>
      </c>
      <c r="S26" s="65" t="n">
        <f aca="false">ROUND($O26*$Q26,2)</f>
        <v>12342</v>
      </c>
      <c r="T26" s="65" t="n">
        <f aca="false">ROUND($R26*SUMIFS(Parametros!$E$28:$E$43,Parametros!$B$28:$B$43,$J26,Parametros!$C$28:$C$43,$C26,Parametros!$D$28:$D$43,$D26),2)</f>
        <v>213.44</v>
      </c>
      <c r="U26" s="65" t="n">
        <f aca="false">$R26-$S26-$T26</f>
        <v>5231.56</v>
      </c>
      <c r="V26" s="66" t="n">
        <f aca="false">IFERROR($U26/$R26,0)</f>
        <v>0.294122673862934</v>
      </c>
      <c r="W26" s="67" t="str">
        <f aca="false">IF(AND($V26&gt;=Parametros!$C$8,$R26&gt;=Parametros!$C$12),"Alta rentabilidad",IF(OR($V26&lt;Parametros!$C$11,$R26&lt;Parametros!$C$13),"Revisar","Estandar"))</f>
        <v>Estandar</v>
      </c>
      <c r="X26" s="67" t="str">
        <f aca="false">IF(AND($J26="E-commerce",IFERROR($T26/$R26,0)&gt;Parametros!$C$14),"Alerta","OK")</f>
        <v>OK</v>
      </c>
      <c r="Y26" s="61" t="str">
        <f aca="false">IF($R26&gt;=Parametros!$C$12,"Alto",IF($R26&lt;Parametros!$C$13,"Bajo","Medio"))</f>
        <v>Alto</v>
      </c>
      <c r="Z26" s="61" t="n">
        <v>1313</v>
      </c>
      <c r="AA26" s="61" t="str">
        <f aca="false">IF(MATCH($A26,Datos_Origen!$A$2:$A$2459,0)=$Z26,"OK","REVISAR")</f>
        <v>OK</v>
      </c>
      <c r="AB26" s="61" t="str">
        <f aca="false">INDEX(Datos_Origen!$B$2:$B$2459,$Z26)</f>
        <v>14/01/2024</v>
      </c>
      <c r="AC26" s="61" t="n">
        <f aca="false">INDEX(Datos_Origen!$H$2:$H$2459,$Z26)</f>
        <v>11</v>
      </c>
      <c r="AD26" s="61" t="str">
        <f aca="false">INDEX(Datos_Origen!$D$2:$D$2459,$Z26)&amp;""</f>
        <v>Cordoba</v>
      </c>
    </row>
    <row r="27" customFormat="false" ht="15" hidden="false" customHeight="false" outlineLevel="0" collapsed="false">
      <c r="A27" s="61" t="n">
        <f aca="false">INDEX(Datos_Origen!$A$2:$A$2459,$Z27)</f>
        <v>26</v>
      </c>
      <c r="B27" s="62" t="n">
        <f aca="false">IF(ISNUMBER($AB27),$AB27,IF(MID($AB27,5,1)="-",DATE(VALUE(LEFT($AB27,4)),VALUE(MID($AB27,6,2)),VALUE(RIGHT($AB27,2))),DATE(VALUE(RIGHT($AB27,4)),VALUE(MID($AB27,4,2)),VALUE(LEFT($AB27,2)))))</f>
        <v>45312</v>
      </c>
      <c r="C27" s="61" t="n">
        <f aca="false">YEAR($B27)</f>
        <v>2024</v>
      </c>
      <c r="D27" s="61" t="str">
        <f aca="false">"Q"&amp;ROUNDUP(MONTH($B27)/3,0)</f>
        <v>Q1</v>
      </c>
      <c r="E27" s="61" t="n">
        <f aca="false">MONTH($B27)</f>
        <v>1</v>
      </c>
      <c r="F27" s="61" t="str">
        <f aca="false">INDEX(Parametros!$I$5:$I$16,$E27)</f>
        <v>Ene</v>
      </c>
      <c r="G27" s="61" t="str">
        <f aca="false">TEXT($C27,"0000")&amp;"-"&amp;TEXT($E27,"00")</f>
        <v>2024-01</v>
      </c>
      <c r="H27" s="61" t="str">
        <f aca="false">INDEX(Parametros!$C$71:$C$91,MATCH(TRIM(INDEX(Datos_Origen!$C$2:$C$2459,$Z27)),Parametros!$B$71:$B$91,0))</f>
        <v>Centro</v>
      </c>
      <c r="I27" s="61" t="str">
        <f aca="false">IF(TRIM($AD27)="",INDEX(Parametros!$I$20:$I$24,MATCH($H27,Parametros!$H$20:$H$24,0)),TRIM($AD27))</f>
        <v>Cordoba</v>
      </c>
      <c r="J27" s="61" t="str">
        <f aca="false">INDEX(Parametros!$C$95:$C$106,MATCH(TRIM(INDEX(Datos_Origen!$E$2:$E$2459,$Z27)),Parametros!$B$95:$B$106,0))</f>
        <v>E-commerce</v>
      </c>
      <c r="K27" s="61" t="str">
        <f aca="false">INDEX(Parametros!$C$48:$C$67,MATCH(TRIM(INDEX(Datos_Origen!$F$2:$F$2459,$Z27)),Parametros!$B$48:$B$67,0))</f>
        <v>Computacion</v>
      </c>
      <c r="L27" s="61" t="str">
        <f aca="false">$K27&amp;" "&amp;$C27</f>
        <v>Computacion 2024</v>
      </c>
      <c r="M27" s="61" t="str">
        <f aca="false">TRIM(INDEX(Datos_Origen!$G$2:$G$2459,$Z27))</f>
        <v>PC Gamer Ryzen</v>
      </c>
      <c r="N27" s="61" t="str">
        <f aca="false">$M27&amp;" "&amp;$C27</f>
        <v>PC Gamer Ryzen 2024</v>
      </c>
      <c r="O27" s="63" t="n">
        <f aca="false">IF(ISTEXT($AC27),VALUE($AC27),$AC27)</f>
        <v>3</v>
      </c>
      <c r="P27" s="64" t="n">
        <f aca="false">INDEX(Datos_Origen!$I$2:$I$2459,$Z27)</f>
        <v>1617</v>
      </c>
      <c r="Q27" s="64" t="n">
        <f aca="false">INDEX(Datos_Origen!$J$2:$J$2459,$Z27)</f>
        <v>1122</v>
      </c>
      <c r="R27" s="65" t="n">
        <f aca="false">ROUND($O27*$P27,2)</f>
        <v>4851</v>
      </c>
      <c r="S27" s="65" t="n">
        <f aca="false">ROUND($O27*$Q27,2)</f>
        <v>3366</v>
      </c>
      <c r="T27" s="65" t="n">
        <f aca="false">ROUND($R27*SUMIFS(Parametros!$E$28:$E$43,Parametros!$B$28:$B$43,$J27,Parametros!$C$28:$C$43,$C27,Parametros!$D$28:$D$43,$D27),2)</f>
        <v>203.74</v>
      </c>
      <c r="U27" s="65" t="n">
        <f aca="false">$R27-$S27-$T27</f>
        <v>1281.26</v>
      </c>
      <c r="V27" s="66" t="n">
        <f aca="false">IFERROR($U27/$R27,0)</f>
        <v>0.264122861265718</v>
      </c>
      <c r="W27" s="67" t="str">
        <f aca="false">IF(AND($V27&gt;=Parametros!$C$8,$R27&gt;=Parametros!$C$12),"Alta rentabilidad",IF(OR($V27&lt;Parametros!$C$11,$R27&lt;Parametros!$C$13),"Revisar","Estandar"))</f>
        <v>Revisar</v>
      </c>
      <c r="X27" s="67" t="str">
        <f aca="false">IF(AND($J27="E-commerce",IFERROR($T27/$R27,0)&gt;Parametros!$C$14),"Alerta","OK")</f>
        <v>OK</v>
      </c>
      <c r="Y27" s="61" t="str">
        <f aca="false">IF($R27&gt;=Parametros!$C$12,"Alto",IF($R27&lt;Parametros!$C$13,"Bajo","Medio"))</f>
        <v>Alto</v>
      </c>
      <c r="Z27" s="61" t="n">
        <v>744</v>
      </c>
      <c r="AA27" s="61" t="str">
        <f aca="false">IF(MATCH($A27,Datos_Origen!$A$2:$A$2459,0)=$Z27,"OK","REVISAR")</f>
        <v>OK</v>
      </c>
      <c r="AB27" s="62" t="n">
        <f aca="false">INDEX(Datos_Origen!$B$2:$B$2459,$Z27)</f>
        <v>45312</v>
      </c>
      <c r="AC27" s="61" t="n">
        <f aca="false">INDEX(Datos_Origen!$H$2:$H$2459,$Z27)</f>
        <v>3</v>
      </c>
      <c r="AD27" s="61" t="str">
        <f aca="false">INDEX(Datos_Origen!$D$2:$D$2459,$Z27)&amp;""</f>
        <v>Cordoba</v>
      </c>
    </row>
    <row r="28" customFormat="false" ht="15" hidden="false" customHeight="false" outlineLevel="0" collapsed="false">
      <c r="A28" s="61" t="n">
        <f aca="false">INDEX(Datos_Origen!$A$2:$A$2459,$Z28)</f>
        <v>27</v>
      </c>
      <c r="B28" s="62" t="n">
        <f aca="false">IF(ISNUMBER($AB28),$AB28,IF(MID($AB28,5,1)="-",DATE(VALUE(LEFT($AB28,4)),VALUE(MID($AB28,6,2)),VALUE(RIGHT($AB28,2))),DATE(VALUE(RIGHT($AB28,4)),VALUE(MID($AB28,4,2)),VALUE(LEFT($AB28,2)))))</f>
        <v>45292</v>
      </c>
      <c r="C28" s="61" t="n">
        <f aca="false">YEAR($B28)</f>
        <v>2024</v>
      </c>
      <c r="D28" s="61" t="str">
        <f aca="false">"Q"&amp;ROUNDUP(MONTH($B28)/3,0)</f>
        <v>Q1</v>
      </c>
      <c r="E28" s="61" t="n">
        <f aca="false">MONTH($B28)</f>
        <v>1</v>
      </c>
      <c r="F28" s="61" t="str">
        <f aca="false">INDEX(Parametros!$I$5:$I$16,$E28)</f>
        <v>Ene</v>
      </c>
      <c r="G28" s="61" t="str">
        <f aca="false">TEXT($C28,"0000")&amp;"-"&amp;TEXT($E28,"00")</f>
        <v>2024-01</v>
      </c>
      <c r="H28" s="61" t="str">
        <f aca="false">INDEX(Parametros!$C$71:$C$91,MATCH(TRIM(INDEX(Datos_Origen!$C$2:$C$2459,$Z28)),Parametros!$B$71:$B$91,0))</f>
        <v>Centro</v>
      </c>
      <c r="I28" s="61" t="str">
        <f aca="false">IF(TRIM($AD28)="",INDEX(Parametros!$I$20:$I$24,MATCH($H28,Parametros!$H$20:$H$24,0)),TRIM($AD28))</f>
        <v>Cordoba</v>
      </c>
      <c r="J28" s="61" t="str">
        <f aca="false">INDEX(Parametros!$C$95:$C$106,MATCH(TRIM(INDEX(Datos_Origen!$E$2:$E$2459,$Z28)),Parametros!$B$95:$B$106,0))</f>
        <v>Tienda fisica</v>
      </c>
      <c r="K28" s="61" t="str">
        <f aca="false">INDEX(Parametros!$C$48:$C$67,MATCH(TRIM(INDEX(Datos_Origen!$F$2:$F$2459,$Z28)),Parametros!$B$48:$B$67,0))</f>
        <v>Accesorios</v>
      </c>
      <c r="L28" s="61" t="str">
        <f aca="false">$K28&amp;" "&amp;$C28</f>
        <v>Accesorios 2024</v>
      </c>
      <c r="M28" s="61" t="str">
        <f aca="false">TRIM(INDEX(Datos_Origen!$G$2:$G$2459,$Z28))</f>
        <v>Mouse Inalambrico</v>
      </c>
      <c r="N28" s="61" t="str">
        <f aca="false">$M28&amp;" "&amp;$C28</f>
        <v>Mouse Inalambrico 2024</v>
      </c>
      <c r="O28" s="63" t="n">
        <f aca="false">IF(ISTEXT($AC28),VALUE($AC28),$AC28)</f>
        <v>57</v>
      </c>
      <c r="P28" s="64" t="n">
        <f aca="false">INDEX(Datos_Origen!$I$2:$I$2459,$Z28)</f>
        <v>27.44</v>
      </c>
      <c r="Q28" s="64" t="n">
        <f aca="false">INDEX(Datos_Origen!$J$2:$J$2459,$Z28)</f>
        <v>13.44</v>
      </c>
      <c r="R28" s="65" t="n">
        <f aca="false">ROUND($O28*$P28,2)</f>
        <v>1564.08</v>
      </c>
      <c r="S28" s="65" t="n">
        <f aca="false">ROUND($O28*$Q28,2)</f>
        <v>766.08</v>
      </c>
      <c r="T28" s="65" t="n">
        <f aca="false">ROUND($R28*SUMIFS(Parametros!$E$28:$E$43,Parametros!$B$28:$B$43,$J28,Parametros!$C$28:$C$43,$C28,Parametros!$D$28:$D$43,$D28),2)</f>
        <v>18.77</v>
      </c>
      <c r="U28" s="65" t="n">
        <f aca="false">$R28-$S28-$T28</f>
        <v>779.23</v>
      </c>
      <c r="V28" s="66" t="n">
        <f aca="false">IFERROR($U28/$R28,0)</f>
        <v>0.498203416705028</v>
      </c>
      <c r="W28" s="67" t="str">
        <f aca="false">IF(AND($V28&gt;=Parametros!$C$8,$R28&gt;=Parametros!$C$12),"Alta rentabilidad",IF(OR($V28&lt;Parametros!$C$11,$R28&lt;Parametros!$C$13),"Revisar","Estandar"))</f>
        <v>Estandar</v>
      </c>
      <c r="X28" s="67" t="str">
        <f aca="false">IF(AND($J28="E-commerce",IFERROR($T28/$R28,0)&gt;Parametros!$C$14),"Alerta","OK")</f>
        <v>OK</v>
      </c>
      <c r="Y28" s="61" t="str">
        <f aca="false">IF($R28&gt;=Parametros!$C$12,"Alto",IF($R28&lt;Parametros!$C$13,"Bajo","Medio"))</f>
        <v>Medio</v>
      </c>
      <c r="Z28" s="61" t="n">
        <v>948</v>
      </c>
      <c r="AA28" s="61" t="str">
        <f aca="false">IF(MATCH($A28,Datos_Origen!$A$2:$A$2459,0)=$Z28,"OK","REVISAR")</f>
        <v>OK</v>
      </c>
      <c r="AB28" s="62" t="n">
        <f aca="false">INDEX(Datos_Origen!$B$2:$B$2459,$Z28)</f>
        <v>45292</v>
      </c>
      <c r="AC28" s="61" t="n">
        <f aca="false">INDEX(Datos_Origen!$H$2:$H$2459,$Z28)</f>
        <v>57</v>
      </c>
      <c r="AD28" s="61" t="str">
        <f aca="false">INDEX(Datos_Origen!$D$2:$D$2459,$Z28)&amp;""</f>
        <v>Cordoba</v>
      </c>
    </row>
    <row r="29" customFormat="false" ht="15" hidden="false" customHeight="false" outlineLevel="0" collapsed="false">
      <c r="A29" s="61" t="n">
        <f aca="false">INDEX(Datos_Origen!$A$2:$A$2459,$Z29)</f>
        <v>28</v>
      </c>
      <c r="B29" s="62" t="n">
        <f aca="false">IF(ISNUMBER($AB29),$AB29,IF(MID($AB29,5,1)="-",DATE(VALUE(LEFT($AB29,4)),VALUE(MID($AB29,6,2)),VALUE(RIGHT($AB29,2))),DATE(VALUE(RIGHT($AB29,4)),VALUE(MID($AB29,4,2)),VALUE(LEFT($AB29,2)))))</f>
        <v>45299</v>
      </c>
      <c r="C29" s="61" t="n">
        <f aca="false">YEAR($B29)</f>
        <v>2024</v>
      </c>
      <c r="D29" s="61" t="str">
        <f aca="false">"Q"&amp;ROUNDUP(MONTH($B29)/3,0)</f>
        <v>Q1</v>
      </c>
      <c r="E29" s="61" t="n">
        <f aca="false">MONTH($B29)</f>
        <v>1</v>
      </c>
      <c r="F29" s="61" t="str">
        <f aca="false">INDEX(Parametros!$I$5:$I$16,$E29)</f>
        <v>Ene</v>
      </c>
      <c r="G29" s="61" t="str">
        <f aca="false">TEXT($C29,"0000")&amp;"-"&amp;TEXT($E29,"00")</f>
        <v>2024-01</v>
      </c>
      <c r="H29" s="61" t="str">
        <f aca="false">INDEX(Parametros!$C$71:$C$91,MATCH(TRIM(INDEX(Datos_Origen!$C$2:$C$2459,$Z29)),Parametros!$B$71:$B$91,0))</f>
        <v>Centro</v>
      </c>
      <c r="I29" s="61" t="str">
        <f aca="false">IF(TRIM($AD29)="",INDEX(Parametros!$I$20:$I$24,MATCH($H29,Parametros!$H$20:$H$24,0)),TRIM($AD29))</f>
        <v>Cordoba</v>
      </c>
      <c r="J29" s="61" t="str">
        <f aca="false">INDEX(Parametros!$C$95:$C$106,MATCH(TRIM(INDEX(Datos_Origen!$E$2:$E$2459,$Z29)),Parametros!$B$95:$B$106,0))</f>
        <v>E-commerce</v>
      </c>
      <c r="K29" s="61" t="str">
        <f aca="false">INDEX(Parametros!$C$48:$C$67,MATCH(TRIM(INDEX(Datos_Origen!$F$2:$F$2459,$Z29)),Parametros!$B$48:$B$67,0))</f>
        <v>Accesorios</v>
      </c>
      <c r="L29" s="61" t="str">
        <f aca="false">$K29&amp;" "&amp;$C29</f>
        <v>Accesorios 2024</v>
      </c>
      <c r="M29" s="61" t="str">
        <f aca="false">TRIM(INDEX(Datos_Origen!$G$2:$G$2459,$Z29))</f>
        <v>Mouse Inalambrico</v>
      </c>
      <c r="N29" s="61" t="str">
        <f aca="false">$M29&amp;" "&amp;$C29</f>
        <v>Mouse Inalambrico 2024</v>
      </c>
      <c r="O29" s="63" t="n">
        <f aca="false">IF(ISTEXT($AC29),VALUE($AC29),$AC29)</f>
        <v>22</v>
      </c>
      <c r="P29" s="64" t="n">
        <f aca="false">INDEX(Datos_Origen!$I$2:$I$2459,$Z29)</f>
        <v>27.44</v>
      </c>
      <c r="Q29" s="64" t="n">
        <f aca="false">INDEX(Datos_Origen!$J$2:$J$2459,$Z29)</f>
        <v>13.44</v>
      </c>
      <c r="R29" s="65" t="n">
        <f aca="false">ROUND($O29*$P29,2)</f>
        <v>603.68</v>
      </c>
      <c r="S29" s="65" t="n">
        <f aca="false">ROUND($O29*$Q29,2)</f>
        <v>295.68</v>
      </c>
      <c r="T29" s="65" t="n">
        <f aca="false">ROUND($R29*SUMIFS(Parametros!$E$28:$E$43,Parametros!$B$28:$B$43,$J29,Parametros!$C$28:$C$43,$C29,Parametros!$D$28:$D$43,$D29),2)</f>
        <v>25.35</v>
      </c>
      <c r="U29" s="65" t="n">
        <f aca="false">$R29-$S29-$T29</f>
        <v>282.65</v>
      </c>
      <c r="V29" s="66" t="n">
        <f aca="false">IFERROR($U29/$R29,0)</f>
        <v>0.468211635303472</v>
      </c>
      <c r="W29" s="67" t="str">
        <f aca="false">IF(AND($V29&gt;=Parametros!$C$8,$R29&gt;=Parametros!$C$12),"Alta rentabilidad",IF(OR($V29&lt;Parametros!$C$11,$R29&lt;Parametros!$C$13),"Revisar","Estandar"))</f>
        <v>Estandar</v>
      </c>
      <c r="X29" s="67" t="str">
        <f aca="false">IF(AND($J29="E-commerce",IFERROR($T29/$R29,0)&gt;Parametros!$C$14),"Alerta","OK")</f>
        <v>OK</v>
      </c>
      <c r="Y29" s="61" t="str">
        <f aca="false">IF($R29&gt;=Parametros!$C$12,"Alto",IF($R29&lt;Parametros!$C$13,"Bajo","Medio"))</f>
        <v>Medio</v>
      </c>
      <c r="Z29" s="61" t="n">
        <v>1991</v>
      </c>
      <c r="AA29" s="61" t="str">
        <f aca="false">IF(MATCH($A29,Datos_Origen!$A$2:$A$2459,0)=$Z29,"OK","REVISAR")</f>
        <v>OK</v>
      </c>
      <c r="AB29" s="62" t="n">
        <f aca="false">INDEX(Datos_Origen!$B$2:$B$2459,$Z29)</f>
        <v>45299</v>
      </c>
      <c r="AC29" s="61" t="n">
        <f aca="false">INDEX(Datos_Origen!$H$2:$H$2459,$Z29)</f>
        <v>22</v>
      </c>
      <c r="AD29" s="61" t="str">
        <f aca="false">INDEX(Datos_Origen!$D$2:$D$2459,$Z29)&amp;""</f>
        <v>Cordoba</v>
      </c>
    </row>
    <row r="30" customFormat="false" ht="15" hidden="false" customHeight="false" outlineLevel="0" collapsed="false">
      <c r="A30" s="61" t="n">
        <f aca="false">INDEX(Datos_Origen!$A$2:$A$2459,$Z30)</f>
        <v>29</v>
      </c>
      <c r="B30" s="62" t="n">
        <f aca="false">IF(ISNUMBER($AB30),$AB30,IF(MID($AB30,5,1)="-",DATE(VALUE(LEFT($AB30,4)),VALUE(MID($AB30,6,2)),VALUE(RIGHT($AB30,2))),DATE(VALUE(RIGHT($AB30,4)),VALUE(MID($AB30,4,2)),VALUE(LEFT($AB30,2)))))</f>
        <v>45306</v>
      </c>
      <c r="C30" s="61" t="n">
        <f aca="false">YEAR($B30)</f>
        <v>2024</v>
      </c>
      <c r="D30" s="61" t="str">
        <f aca="false">"Q"&amp;ROUNDUP(MONTH($B30)/3,0)</f>
        <v>Q1</v>
      </c>
      <c r="E30" s="61" t="n">
        <f aca="false">MONTH($B30)</f>
        <v>1</v>
      </c>
      <c r="F30" s="61" t="str">
        <f aca="false">INDEX(Parametros!$I$5:$I$16,$E30)</f>
        <v>Ene</v>
      </c>
      <c r="G30" s="61" t="str">
        <f aca="false">TEXT($C30,"0000")&amp;"-"&amp;TEXT($E30,"00")</f>
        <v>2024-01</v>
      </c>
      <c r="H30" s="61" t="str">
        <f aca="false">INDEX(Parametros!$C$71:$C$91,MATCH(TRIM(INDEX(Datos_Origen!$C$2:$C$2459,$Z30)),Parametros!$B$71:$B$91,0))</f>
        <v>Centro</v>
      </c>
      <c r="I30" s="61" t="str">
        <f aca="false">IF(TRIM($AD30)="",INDEX(Parametros!$I$20:$I$24,MATCH($H30,Parametros!$H$20:$H$24,0)),TRIM($AD30))</f>
        <v>Cordoba</v>
      </c>
      <c r="J30" s="61" t="str">
        <f aca="false">INDEX(Parametros!$C$95:$C$106,MATCH(TRIM(INDEX(Datos_Origen!$E$2:$E$2459,$Z30)),Parametros!$B$95:$B$106,0))</f>
        <v>Tienda fisica</v>
      </c>
      <c r="K30" s="61" t="str">
        <f aca="false">INDEX(Parametros!$C$48:$C$67,MATCH(TRIM(INDEX(Datos_Origen!$F$2:$F$2459,$Z30)),Parametros!$B$48:$B$67,0))</f>
        <v>Accesorios</v>
      </c>
      <c r="L30" s="61" t="str">
        <f aca="false">$K30&amp;" "&amp;$C30</f>
        <v>Accesorios 2024</v>
      </c>
      <c r="M30" s="61" t="str">
        <f aca="false">TRIM(INDEX(Datos_Origen!$G$2:$G$2459,$Z30))</f>
        <v>Teclado Mecanico</v>
      </c>
      <c r="N30" s="61" t="str">
        <f aca="false">$M30&amp;" "&amp;$C30</f>
        <v>Teclado Mecanico 2024</v>
      </c>
      <c r="O30" s="63" t="n">
        <f aca="false">IF(ISTEXT($AC30),VALUE($AC30),$AC30)</f>
        <v>45</v>
      </c>
      <c r="P30" s="64" t="n">
        <f aca="false">INDEX(Datos_Origen!$I$2:$I$2459,$Z30)</f>
        <v>93.1</v>
      </c>
      <c r="Q30" s="64" t="n">
        <f aca="false">INDEX(Datos_Origen!$J$2:$J$2459,$Z30)</f>
        <v>47.98</v>
      </c>
      <c r="R30" s="65" t="n">
        <f aca="false">ROUND($O30*$P30,2)</f>
        <v>4189.5</v>
      </c>
      <c r="S30" s="65" t="n">
        <f aca="false">ROUND($O30*$Q30,2)</f>
        <v>2159.1</v>
      </c>
      <c r="T30" s="65" t="n">
        <f aca="false">ROUND($R30*SUMIFS(Parametros!$E$28:$E$43,Parametros!$B$28:$B$43,$J30,Parametros!$C$28:$C$43,$C30,Parametros!$D$28:$D$43,$D30),2)</f>
        <v>50.27</v>
      </c>
      <c r="U30" s="65" t="n">
        <f aca="false">$R30-$S30-$T30</f>
        <v>1980.13</v>
      </c>
      <c r="V30" s="66" t="n">
        <f aca="false">IFERROR($U30/$R30,0)</f>
        <v>0.472641126626089</v>
      </c>
      <c r="W30" s="67" t="str">
        <f aca="false">IF(AND($V30&gt;=Parametros!$C$8,$R30&gt;=Parametros!$C$12),"Alta rentabilidad",IF(OR($V30&lt;Parametros!$C$11,$R30&lt;Parametros!$C$13),"Revisar","Estandar"))</f>
        <v>Alta rentabilidad</v>
      </c>
      <c r="X30" s="67" t="str">
        <f aca="false">IF(AND($J30="E-commerce",IFERROR($T30/$R30,0)&gt;Parametros!$C$14),"Alerta","OK")</f>
        <v>OK</v>
      </c>
      <c r="Y30" s="61" t="str">
        <f aca="false">IF($R30&gt;=Parametros!$C$12,"Alto",IF($R30&lt;Parametros!$C$13,"Bajo","Medio"))</f>
        <v>Alto</v>
      </c>
      <c r="Z30" s="61" t="n">
        <v>1502</v>
      </c>
      <c r="AA30" s="61" t="str">
        <f aca="false">IF(MATCH($A30,Datos_Origen!$A$2:$A$2459,0)=$Z30,"OK","REVISAR")</f>
        <v>OK</v>
      </c>
      <c r="AB30" s="62" t="n">
        <f aca="false">INDEX(Datos_Origen!$B$2:$B$2459,$Z30)</f>
        <v>45306</v>
      </c>
      <c r="AC30" s="61" t="n">
        <f aca="false">INDEX(Datos_Origen!$H$2:$H$2459,$Z30)</f>
        <v>45</v>
      </c>
      <c r="AD30" s="61" t="str">
        <f aca="false">INDEX(Datos_Origen!$D$2:$D$2459,$Z30)&amp;""</f>
        <v>Cordoba</v>
      </c>
    </row>
    <row r="31" customFormat="false" ht="15" hidden="false" customHeight="false" outlineLevel="0" collapsed="false">
      <c r="A31" s="61" t="n">
        <f aca="false">INDEX(Datos_Origen!$A$2:$A$2459,$Z31)</f>
        <v>30</v>
      </c>
      <c r="B31" s="62" t="n">
        <f aca="false">IF(ISNUMBER($AB31),$AB31,IF(MID($AB31,5,1)="-",DATE(VALUE(LEFT($AB31,4)),VALUE(MID($AB31,6,2)),VALUE(RIGHT($AB31,2))),DATE(VALUE(RIGHT($AB31,4)),VALUE(MID($AB31,4,2)),VALUE(LEFT($AB31,2)))))</f>
        <v>45313</v>
      </c>
      <c r="C31" s="61" t="n">
        <f aca="false">YEAR($B31)</f>
        <v>2024</v>
      </c>
      <c r="D31" s="61" t="str">
        <f aca="false">"Q"&amp;ROUNDUP(MONTH($B31)/3,0)</f>
        <v>Q1</v>
      </c>
      <c r="E31" s="61" t="n">
        <f aca="false">MONTH($B31)</f>
        <v>1</v>
      </c>
      <c r="F31" s="61" t="str">
        <f aca="false">INDEX(Parametros!$I$5:$I$16,$E31)</f>
        <v>Ene</v>
      </c>
      <c r="G31" s="61" t="str">
        <f aca="false">TEXT($C31,"0000")&amp;"-"&amp;TEXT($E31,"00")</f>
        <v>2024-01</v>
      </c>
      <c r="H31" s="61" t="str">
        <f aca="false">INDEX(Parametros!$C$71:$C$91,MATCH(TRIM(INDEX(Datos_Origen!$C$2:$C$2459,$Z31)),Parametros!$B$71:$B$91,0))</f>
        <v>Centro</v>
      </c>
      <c r="I31" s="61" t="str">
        <f aca="false">IF(TRIM($AD31)="",INDEX(Parametros!$I$20:$I$24,MATCH($H31,Parametros!$H$20:$H$24,0)),TRIM($AD31))</f>
        <v>Cordoba</v>
      </c>
      <c r="J31" s="61" t="str">
        <f aca="false">INDEX(Parametros!$C$95:$C$106,MATCH(TRIM(INDEX(Datos_Origen!$E$2:$E$2459,$Z31)),Parametros!$B$95:$B$106,0))</f>
        <v>E-commerce</v>
      </c>
      <c r="K31" s="61" t="str">
        <f aca="false">INDEX(Parametros!$C$48:$C$67,MATCH(TRIM(INDEX(Datos_Origen!$F$2:$F$2459,$Z31)),Parametros!$B$48:$B$67,0))</f>
        <v>Accesorios</v>
      </c>
      <c r="L31" s="61" t="str">
        <f aca="false">$K31&amp;" "&amp;$C31</f>
        <v>Accesorios 2024</v>
      </c>
      <c r="M31" s="61" t="str">
        <f aca="false">TRIM(INDEX(Datos_Origen!$G$2:$G$2459,$Z31))</f>
        <v>Teclado Mecanico</v>
      </c>
      <c r="N31" s="61" t="str">
        <f aca="false">$M31&amp;" "&amp;$C31</f>
        <v>Teclado Mecanico 2024</v>
      </c>
      <c r="O31" s="63" t="n">
        <f aca="false">IF(ISTEXT($AC31),VALUE($AC31),$AC31)</f>
        <v>17</v>
      </c>
      <c r="P31" s="64" t="n">
        <f aca="false">INDEX(Datos_Origen!$I$2:$I$2459,$Z31)</f>
        <v>93.1</v>
      </c>
      <c r="Q31" s="64" t="n">
        <f aca="false">INDEX(Datos_Origen!$J$2:$J$2459,$Z31)</f>
        <v>47.98</v>
      </c>
      <c r="R31" s="65" t="n">
        <f aca="false">ROUND($O31*$P31,2)</f>
        <v>1582.7</v>
      </c>
      <c r="S31" s="65" t="n">
        <f aca="false">ROUND($O31*$Q31,2)</f>
        <v>815.66</v>
      </c>
      <c r="T31" s="65" t="n">
        <f aca="false">ROUND($R31*SUMIFS(Parametros!$E$28:$E$43,Parametros!$B$28:$B$43,$J31,Parametros!$C$28:$C$43,$C31,Parametros!$D$28:$D$43,$D31),2)</f>
        <v>66.47</v>
      </c>
      <c r="U31" s="65" t="n">
        <f aca="false">$R31-$S31-$T31</f>
        <v>700.57</v>
      </c>
      <c r="V31" s="66" t="n">
        <f aca="false">IFERROR($U31/$R31,0)</f>
        <v>0.442642320085929</v>
      </c>
      <c r="W31" s="67" t="str">
        <f aca="false">IF(AND($V31&gt;=Parametros!$C$8,$R31&gt;=Parametros!$C$12),"Alta rentabilidad",IF(OR($V31&lt;Parametros!$C$11,$R31&lt;Parametros!$C$13),"Revisar","Estandar"))</f>
        <v>Estandar</v>
      </c>
      <c r="X31" s="67" t="str">
        <f aca="false">IF(AND($J31="E-commerce",IFERROR($T31/$R31,0)&gt;Parametros!$C$14),"Alerta","OK")</f>
        <v>OK</v>
      </c>
      <c r="Y31" s="61" t="str">
        <f aca="false">IF($R31&gt;=Parametros!$C$12,"Alto",IF($R31&lt;Parametros!$C$13,"Bajo","Medio"))</f>
        <v>Medio</v>
      </c>
      <c r="Z31" s="61" t="n">
        <v>1520</v>
      </c>
      <c r="AA31" s="61" t="str">
        <f aca="false">IF(MATCH($A31,Datos_Origen!$A$2:$A$2459,0)=$Z31,"OK","REVISAR")</f>
        <v>OK</v>
      </c>
      <c r="AB31" s="61" t="str">
        <f aca="false">INDEX(Datos_Origen!$B$2:$B$2459,$Z31)</f>
        <v>22/01/2024</v>
      </c>
      <c r="AC31" s="61" t="n">
        <f aca="false">INDEX(Datos_Origen!$H$2:$H$2459,$Z31)</f>
        <v>17</v>
      </c>
      <c r="AD31" s="61" t="str">
        <f aca="false">INDEX(Datos_Origen!$D$2:$D$2459,$Z31)&amp;""</f>
        <v>Cordoba</v>
      </c>
    </row>
    <row r="32" customFormat="false" ht="15" hidden="false" customHeight="false" outlineLevel="0" collapsed="false">
      <c r="A32" s="61" t="n">
        <f aca="false">INDEX(Datos_Origen!$A$2:$A$2459,$Z32)</f>
        <v>31</v>
      </c>
      <c r="B32" s="62" t="n">
        <f aca="false">IF(ISNUMBER($AB32),$AB32,IF(MID($AB32,5,1)="-",DATE(VALUE(LEFT($AB32,4)),VALUE(MID($AB32,6,2)),VALUE(RIGHT($AB32,2))),DATE(VALUE(RIGHT($AB32,4)),VALUE(MID($AB32,4,2)),VALUE(LEFT($AB32,2)))))</f>
        <v>45293</v>
      </c>
      <c r="C32" s="61" t="n">
        <f aca="false">YEAR($B32)</f>
        <v>2024</v>
      </c>
      <c r="D32" s="61" t="str">
        <f aca="false">"Q"&amp;ROUNDUP(MONTH($B32)/3,0)</f>
        <v>Q1</v>
      </c>
      <c r="E32" s="61" t="n">
        <f aca="false">MONTH($B32)</f>
        <v>1</v>
      </c>
      <c r="F32" s="61" t="str">
        <f aca="false">INDEX(Parametros!$I$5:$I$16,$E32)</f>
        <v>Ene</v>
      </c>
      <c r="G32" s="61" t="str">
        <f aca="false">TEXT($C32,"0000")&amp;"-"&amp;TEXT($E32,"00")</f>
        <v>2024-01</v>
      </c>
      <c r="H32" s="61" t="str">
        <f aca="false">INDEX(Parametros!$C$71:$C$91,MATCH(TRIM(INDEX(Datos_Origen!$C$2:$C$2459,$Z32)),Parametros!$B$71:$B$91,0))</f>
        <v>Centro</v>
      </c>
      <c r="I32" s="61" t="str">
        <f aca="false">IF(TRIM($AD32)="",INDEX(Parametros!$I$20:$I$24,MATCH($H32,Parametros!$H$20:$H$24,0)),TRIM($AD32))</f>
        <v>Cordoba</v>
      </c>
      <c r="J32" s="61" t="str">
        <f aca="false">INDEX(Parametros!$C$95:$C$106,MATCH(TRIM(INDEX(Datos_Origen!$E$2:$E$2459,$Z32)),Parametros!$B$95:$B$106,0))</f>
        <v>Tienda fisica</v>
      </c>
      <c r="K32" s="61" t="str">
        <f aca="false">INDEX(Parametros!$C$48:$C$67,MATCH(TRIM(INDEX(Datos_Origen!$F$2:$F$2459,$Z32)),Parametros!$B$48:$B$67,0))</f>
        <v>Accesorios</v>
      </c>
      <c r="L32" s="61" t="str">
        <f aca="false">$K32&amp;" "&amp;$C32</f>
        <v>Accesorios 2024</v>
      </c>
      <c r="M32" s="61" t="str">
        <f aca="false">TRIM(INDEX(Datos_Origen!$G$2:$G$2459,$Z32))</f>
        <v>Webcam Full HD</v>
      </c>
      <c r="N32" s="61" t="str">
        <f aca="false">$M32&amp;" "&amp;$C32</f>
        <v>Webcam Full HD 2024</v>
      </c>
      <c r="O32" s="63" t="n">
        <f aca="false">IF(ISTEXT($AC32),VALUE($AC32),$AC32)</f>
        <v>57</v>
      </c>
      <c r="P32" s="64" t="n">
        <f aca="false">INDEX(Datos_Origen!$I$2:$I$2459,$Z32)</f>
        <v>63.7</v>
      </c>
      <c r="Q32" s="64" t="n">
        <f aca="false">INDEX(Datos_Origen!$J$2:$J$2459,$Z32)</f>
        <v>35.43</v>
      </c>
      <c r="R32" s="65" t="n">
        <f aca="false">ROUND($O32*$P32,2)</f>
        <v>3630.9</v>
      </c>
      <c r="S32" s="65" t="n">
        <f aca="false">ROUND($O32*$Q32,2)</f>
        <v>2019.51</v>
      </c>
      <c r="T32" s="65" t="n">
        <f aca="false">ROUND($R32*SUMIFS(Parametros!$E$28:$E$43,Parametros!$B$28:$B$43,$J32,Parametros!$C$28:$C$43,$C32,Parametros!$D$28:$D$43,$D32),2)</f>
        <v>43.57</v>
      </c>
      <c r="U32" s="65" t="n">
        <f aca="false">$R32-$S32-$T32</f>
        <v>1567.82</v>
      </c>
      <c r="V32" s="66" t="n">
        <f aca="false">IFERROR($U32/$R32,0)</f>
        <v>0.43179927841582</v>
      </c>
      <c r="W32" s="67" t="str">
        <f aca="false">IF(AND($V32&gt;=Parametros!$C$8,$R32&gt;=Parametros!$C$12),"Alta rentabilidad",IF(OR($V32&lt;Parametros!$C$11,$R32&lt;Parametros!$C$13),"Revisar","Estandar"))</f>
        <v>Alta rentabilidad</v>
      </c>
      <c r="X32" s="67" t="str">
        <f aca="false">IF(AND($J32="E-commerce",IFERROR($T32/$R32,0)&gt;Parametros!$C$14),"Alerta","OK")</f>
        <v>OK</v>
      </c>
      <c r="Y32" s="61" t="str">
        <f aca="false">IF($R32&gt;=Parametros!$C$12,"Alto",IF($R32&lt;Parametros!$C$13,"Bajo","Medio"))</f>
        <v>Alto</v>
      </c>
      <c r="Z32" s="61" t="n">
        <v>435</v>
      </c>
      <c r="AA32" s="61" t="str">
        <f aca="false">IF(MATCH($A32,Datos_Origen!$A$2:$A$2459,0)=$Z32,"OK","REVISAR")</f>
        <v>OK</v>
      </c>
      <c r="AB32" s="62" t="n">
        <f aca="false">INDEX(Datos_Origen!$B$2:$B$2459,$Z32)</f>
        <v>45293</v>
      </c>
      <c r="AC32" s="61" t="n">
        <f aca="false">INDEX(Datos_Origen!$H$2:$H$2459,$Z32)</f>
        <v>57</v>
      </c>
      <c r="AD32" s="61" t="str">
        <f aca="false">INDEX(Datos_Origen!$D$2:$D$2459,$Z32)&amp;""</f>
        <v>Cordoba</v>
      </c>
    </row>
    <row r="33" customFormat="false" ht="15" hidden="false" customHeight="false" outlineLevel="0" collapsed="false">
      <c r="A33" s="61" t="n">
        <f aca="false">INDEX(Datos_Origen!$A$2:$A$2459,$Z33)</f>
        <v>32</v>
      </c>
      <c r="B33" s="62" t="n">
        <f aca="false">IF(ISNUMBER($AB33),$AB33,IF(MID($AB33,5,1)="-",DATE(VALUE(LEFT($AB33,4)),VALUE(MID($AB33,6,2)),VALUE(RIGHT($AB33,2))),DATE(VALUE(RIGHT($AB33,4)),VALUE(MID($AB33,4,2)),VALUE(LEFT($AB33,2)))))</f>
        <v>45300</v>
      </c>
      <c r="C33" s="61" t="n">
        <f aca="false">YEAR($B33)</f>
        <v>2024</v>
      </c>
      <c r="D33" s="61" t="str">
        <f aca="false">"Q"&amp;ROUNDUP(MONTH($B33)/3,0)</f>
        <v>Q1</v>
      </c>
      <c r="E33" s="61" t="n">
        <f aca="false">MONTH($B33)</f>
        <v>1</v>
      </c>
      <c r="F33" s="61" t="str">
        <f aca="false">INDEX(Parametros!$I$5:$I$16,$E33)</f>
        <v>Ene</v>
      </c>
      <c r="G33" s="61" t="str">
        <f aca="false">TEXT($C33,"0000")&amp;"-"&amp;TEXT($E33,"00")</f>
        <v>2024-01</v>
      </c>
      <c r="H33" s="61" t="str">
        <f aca="false">INDEX(Parametros!$C$71:$C$91,MATCH(TRIM(INDEX(Datos_Origen!$C$2:$C$2459,$Z33)),Parametros!$B$71:$B$91,0))</f>
        <v>Centro</v>
      </c>
      <c r="I33" s="61" t="str">
        <f aca="false">IF(TRIM($AD33)="",INDEX(Parametros!$I$20:$I$24,MATCH($H33,Parametros!$H$20:$H$24,0)),TRIM($AD33))</f>
        <v>Cordoba</v>
      </c>
      <c r="J33" s="61" t="str">
        <f aca="false">INDEX(Parametros!$C$95:$C$106,MATCH(TRIM(INDEX(Datos_Origen!$E$2:$E$2459,$Z33)),Parametros!$B$95:$B$106,0))</f>
        <v>E-commerce</v>
      </c>
      <c r="K33" s="61" t="str">
        <f aca="false">INDEX(Parametros!$C$48:$C$67,MATCH(TRIM(INDEX(Datos_Origen!$F$2:$F$2459,$Z33)),Parametros!$B$48:$B$67,0))</f>
        <v>Accesorios</v>
      </c>
      <c r="L33" s="61" t="str">
        <f aca="false">$K33&amp;" "&amp;$C33</f>
        <v>Accesorios 2024</v>
      </c>
      <c r="M33" s="61" t="str">
        <f aca="false">TRIM(INDEX(Datos_Origen!$G$2:$G$2459,$Z33))</f>
        <v>Webcam Full HD</v>
      </c>
      <c r="N33" s="61" t="str">
        <f aca="false">$M33&amp;" "&amp;$C33</f>
        <v>Webcam Full HD 2024</v>
      </c>
      <c r="O33" s="63" t="n">
        <f aca="false">IF(ISTEXT($AC33),VALUE($AC33),$AC33)</f>
        <v>18</v>
      </c>
      <c r="P33" s="64" t="n">
        <f aca="false">INDEX(Datos_Origen!$I$2:$I$2459,$Z33)</f>
        <v>63.7</v>
      </c>
      <c r="Q33" s="64" t="n">
        <f aca="false">INDEX(Datos_Origen!$J$2:$J$2459,$Z33)</f>
        <v>35.43</v>
      </c>
      <c r="R33" s="65" t="n">
        <f aca="false">ROUND($O33*$P33,2)</f>
        <v>1146.6</v>
      </c>
      <c r="S33" s="65" t="n">
        <f aca="false">ROUND($O33*$Q33,2)</f>
        <v>637.74</v>
      </c>
      <c r="T33" s="65" t="n">
        <f aca="false">ROUND($R33*SUMIFS(Parametros!$E$28:$E$43,Parametros!$B$28:$B$43,$J33,Parametros!$C$28:$C$43,$C33,Parametros!$D$28:$D$43,$D33),2)</f>
        <v>48.16</v>
      </c>
      <c r="U33" s="65" t="n">
        <f aca="false">$R33-$S33-$T33</f>
        <v>460.7</v>
      </c>
      <c r="V33" s="66" t="n">
        <f aca="false">IFERROR($U33/$R33,0)</f>
        <v>0.40179661608233</v>
      </c>
      <c r="W33" s="67" t="str">
        <f aca="false">IF(AND($V33&gt;=Parametros!$C$8,$R33&gt;=Parametros!$C$12),"Alta rentabilidad",IF(OR($V33&lt;Parametros!$C$11,$R33&lt;Parametros!$C$13),"Revisar","Estandar"))</f>
        <v>Estandar</v>
      </c>
      <c r="X33" s="67" t="str">
        <f aca="false">IF(AND($J33="E-commerce",IFERROR($T33/$R33,0)&gt;Parametros!$C$14),"Alerta","OK")</f>
        <v>OK</v>
      </c>
      <c r="Y33" s="61" t="str">
        <f aca="false">IF($R33&gt;=Parametros!$C$12,"Alto",IF($R33&lt;Parametros!$C$13,"Bajo","Medio"))</f>
        <v>Medio</v>
      </c>
      <c r="Z33" s="61" t="n">
        <v>1938</v>
      </c>
      <c r="AA33" s="61" t="str">
        <f aca="false">IF(MATCH($A33,Datos_Origen!$A$2:$A$2459,0)=$Z33,"OK","REVISAR")</f>
        <v>OK</v>
      </c>
      <c r="AB33" s="62" t="n">
        <f aca="false">INDEX(Datos_Origen!$B$2:$B$2459,$Z33)</f>
        <v>45300</v>
      </c>
      <c r="AC33" s="61" t="n">
        <f aca="false">INDEX(Datos_Origen!$H$2:$H$2459,$Z33)</f>
        <v>18</v>
      </c>
      <c r="AD33" s="61" t="str">
        <f aca="false">INDEX(Datos_Origen!$D$2:$D$2459,$Z33)&amp;""</f>
        <v>Cordoba</v>
      </c>
    </row>
    <row r="34" customFormat="false" ht="15" hidden="false" customHeight="false" outlineLevel="0" collapsed="false">
      <c r="A34" s="61" t="n">
        <f aca="false">INDEX(Datos_Origen!$A$2:$A$2459,$Z34)</f>
        <v>33</v>
      </c>
      <c r="B34" s="62" t="n">
        <f aca="false">IF(ISNUMBER($AB34),$AB34,IF(MID($AB34,5,1)="-",DATE(VALUE(LEFT($AB34,4)),VALUE(MID($AB34,6,2)),VALUE(RIGHT($AB34,2))),DATE(VALUE(RIGHT($AB34,4)),VALUE(MID($AB34,4,2)),VALUE(LEFT($AB34,2)))))</f>
        <v>45307</v>
      </c>
      <c r="C34" s="61" t="n">
        <f aca="false">YEAR($B34)</f>
        <v>2024</v>
      </c>
      <c r="D34" s="61" t="str">
        <f aca="false">"Q"&amp;ROUNDUP(MONTH($B34)/3,0)</f>
        <v>Q1</v>
      </c>
      <c r="E34" s="61" t="n">
        <f aca="false">MONTH($B34)</f>
        <v>1</v>
      </c>
      <c r="F34" s="61" t="str">
        <f aca="false">INDEX(Parametros!$I$5:$I$16,$E34)</f>
        <v>Ene</v>
      </c>
      <c r="G34" s="61" t="str">
        <f aca="false">TEXT($C34,"0000")&amp;"-"&amp;TEXT($E34,"00")</f>
        <v>2024-01</v>
      </c>
      <c r="H34" s="61" t="str">
        <f aca="false">INDEX(Parametros!$C$71:$C$91,MATCH(TRIM(INDEX(Datos_Origen!$C$2:$C$2459,$Z34)),Parametros!$B$71:$B$91,0))</f>
        <v>Centro</v>
      </c>
      <c r="I34" s="61" t="str">
        <f aca="false">IF(TRIM($AD34)="",INDEX(Parametros!$I$20:$I$24,MATCH($H34,Parametros!$H$20:$H$24,0)),TRIM($AD34))</f>
        <v>Cordoba</v>
      </c>
      <c r="J34" s="61" t="str">
        <f aca="false">INDEX(Parametros!$C$95:$C$106,MATCH(TRIM(INDEX(Datos_Origen!$E$2:$E$2459,$Z34)),Parametros!$B$95:$B$106,0))</f>
        <v>Tienda fisica</v>
      </c>
      <c r="K34" s="61" t="str">
        <f aca="false">INDEX(Parametros!$C$48:$C$67,MATCH(TRIM(INDEX(Datos_Origen!$F$2:$F$2459,$Z34)),Parametros!$B$48:$B$67,0))</f>
        <v>Audio</v>
      </c>
      <c r="L34" s="61" t="str">
        <f aca="false">$K34&amp;" "&amp;$C34</f>
        <v>Audio 2024</v>
      </c>
      <c r="M34" s="61" t="str">
        <f aca="false">TRIM(INDEX(Datos_Origen!$G$2:$G$2459,$Z34))</f>
        <v>Auriculares BT Pro</v>
      </c>
      <c r="N34" s="61" t="str">
        <f aca="false">$M34&amp;" "&amp;$C34</f>
        <v>Auriculares BT Pro 2024</v>
      </c>
      <c r="O34" s="63" t="n">
        <f aca="false">IF(ISTEXT($AC34),VALUE($AC34),$AC34)</f>
        <v>23</v>
      </c>
      <c r="P34" s="64" t="n">
        <f aca="false">INDEX(Datos_Origen!$I$2:$I$2459,$Z34)</f>
        <v>117.6</v>
      </c>
      <c r="Q34" s="64" t="n">
        <f aca="false">INDEX(Datos_Origen!$J$2:$J$2459,$Z34)</f>
        <v>63.6</v>
      </c>
      <c r="R34" s="65" t="n">
        <f aca="false">ROUND($O34*$P34,2)</f>
        <v>2704.8</v>
      </c>
      <c r="S34" s="65" t="n">
        <f aca="false">ROUND($O34*$Q34,2)</f>
        <v>1462.8</v>
      </c>
      <c r="T34" s="65" t="n">
        <f aca="false">ROUND($R34*SUMIFS(Parametros!$E$28:$E$43,Parametros!$B$28:$B$43,$J34,Parametros!$C$28:$C$43,$C34,Parametros!$D$28:$D$43,$D34),2)</f>
        <v>32.46</v>
      </c>
      <c r="U34" s="65" t="n">
        <f aca="false">$R34-$S34-$T34</f>
        <v>1209.54</v>
      </c>
      <c r="V34" s="66" t="n">
        <f aca="false">IFERROR($U34/$R34,0)</f>
        <v>0.447182786157942</v>
      </c>
      <c r="W34" s="67" t="str">
        <f aca="false">IF(AND($V34&gt;=Parametros!$C$8,$R34&gt;=Parametros!$C$12),"Alta rentabilidad",IF(OR($V34&lt;Parametros!$C$11,$R34&lt;Parametros!$C$13),"Revisar","Estandar"))</f>
        <v>Estandar</v>
      </c>
      <c r="X34" s="67" t="str">
        <f aca="false">IF(AND($J34="E-commerce",IFERROR($T34/$R34,0)&gt;Parametros!$C$14),"Alerta","OK")</f>
        <v>OK</v>
      </c>
      <c r="Y34" s="61" t="str">
        <f aca="false">IF($R34&gt;=Parametros!$C$12,"Alto",IF($R34&lt;Parametros!$C$13,"Bajo","Medio"))</f>
        <v>Medio</v>
      </c>
      <c r="Z34" s="61" t="n">
        <v>1262</v>
      </c>
      <c r="AA34" s="61" t="str">
        <f aca="false">IF(MATCH($A34,Datos_Origen!$A$2:$A$2459,0)=$Z34,"OK","REVISAR")</f>
        <v>OK</v>
      </c>
      <c r="AB34" s="62" t="n">
        <f aca="false">INDEX(Datos_Origen!$B$2:$B$2459,$Z34)</f>
        <v>45307</v>
      </c>
      <c r="AC34" s="61" t="n">
        <f aca="false">INDEX(Datos_Origen!$H$2:$H$2459,$Z34)</f>
        <v>23</v>
      </c>
      <c r="AD34" s="61" t="str">
        <f aca="false">INDEX(Datos_Origen!$D$2:$D$2459,$Z34)&amp;""</f>
        <v>Cordoba</v>
      </c>
    </row>
    <row r="35" customFormat="false" ht="15" hidden="false" customHeight="false" outlineLevel="0" collapsed="false">
      <c r="A35" s="61" t="n">
        <f aca="false">INDEX(Datos_Origen!$A$2:$A$2459,$Z35)</f>
        <v>34</v>
      </c>
      <c r="B35" s="62" t="n">
        <f aca="false">IF(ISNUMBER($AB35),$AB35,IF(MID($AB35,5,1)="-",DATE(VALUE(LEFT($AB35,4)),VALUE(MID($AB35,6,2)),VALUE(RIGHT($AB35,2))),DATE(VALUE(RIGHT($AB35,4)),VALUE(MID($AB35,4,2)),VALUE(LEFT($AB35,2)))))</f>
        <v>45314</v>
      </c>
      <c r="C35" s="61" t="n">
        <f aca="false">YEAR($B35)</f>
        <v>2024</v>
      </c>
      <c r="D35" s="61" t="str">
        <f aca="false">"Q"&amp;ROUNDUP(MONTH($B35)/3,0)</f>
        <v>Q1</v>
      </c>
      <c r="E35" s="61" t="n">
        <f aca="false">MONTH($B35)</f>
        <v>1</v>
      </c>
      <c r="F35" s="61" t="str">
        <f aca="false">INDEX(Parametros!$I$5:$I$16,$E35)</f>
        <v>Ene</v>
      </c>
      <c r="G35" s="61" t="str">
        <f aca="false">TEXT($C35,"0000")&amp;"-"&amp;TEXT($E35,"00")</f>
        <v>2024-01</v>
      </c>
      <c r="H35" s="61" t="str">
        <f aca="false">INDEX(Parametros!$C$71:$C$91,MATCH(TRIM(INDEX(Datos_Origen!$C$2:$C$2459,$Z35)),Parametros!$B$71:$B$91,0))</f>
        <v>Centro</v>
      </c>
      <c r="I35" s="61" t="str">
        <f aca="false">IF(TRIM($AD35)="",INDEX(Parametros!$I$20:$I$24,MATCH($H35,Parametros!$H$20:$H$24,0)),TRIM($AD35))</f>
        <v>Cordoba</v>
      </c>
      <c r="J35" s="61" t="str">
        <f aca="false">INDEX(Parametros!$C$95:$C$106,MATCH(TRIM(INDEX(Datos_Origen!$E$2:$E$2459,$Z35)),Parametros!$B$95:$B$106,0))</f>
        <v>E-commerce</v>
      </c>
      <c r="K35" s="61" t="str">
        <f aca="false">INDEX(Parametros!$C$48:$C$67,MATCH(TRIM(INDEX(Datos_Origen!$F$2:$F$2459,$Z35)),Parametros!$B$48:$B$67,0))</f>
        <v>Audio</v>
      </c>
      <c r="L35" s="61" t="str">
        <f aca="false">$K35&amp;" "&amp;$C35</f>
        <v>Audio 2024</v>
      </c>
      <c r="M35" s="61" t="str">
        <f aca="false">TRIM(INDEX(Datos_Origen!$G$2:$G$2459,$Z35))</f>
        <v>Auriculares BT Pro</v>
      </c>
      <c r="N35" s="61" t="str">
        <f aca="false">$M35&amp;" "&amp;$C35</f>
        <v>Auriculares BT Pro 2024</v>
      </c>
      <c r="O35" s="63" t="n">
        <f aca="false">IF(ISTEXT($AC35),VALUE($AC35),$AC35)</f>
        <v>9</v>
      </c>
      <c r="P35" s="64" t="n">
        <f aca="false">INDEX(Datos_Origen!$I$2:$I$2459,$Z35)</f>
        <v>117.6</v>
      </c>
      <c r="Q35" s="64" t="n">
        <f aca="false">INDEX(Datos_Origen!$J$2:$J$2459,$Z35)</f>
        <v>63.6</v>
      </c>
      <c r="R35" s="65" t="n">
        <f aca="false">ROUND($O35*$P35,2)</f>
        <v>1058.4</v>
      </c>
      <c r="S35" s="65" t="n">
        <f aca="false">ROUND($O35*$Q35,2)</f>
        <v>572.4</v>
      </c>
      <c r="T35" s="65" t="n">
        <f aca="false">ROUND($R35*SUMIFS(Parametros!$E$28:$E$43,Parametros!$B$28:$B$43,$J35,Parametros!$C$28:$C$43,$C35,Parametros!$D$28:$D$43,$D35),2)</f>
        <v>44.45</v>
      </c>
      <c r="U35" s="65" t="n">
        <f aca="false">$R35-$S35-$T35</f>
        <v>441.55</v>
      </c>
      <c r="V35" s="66" t="n">
        <f aca="false">IFERROR($U35/$R35,0)</f>
        <v>0.417186318972033</v>
      </c>
      <c r="W35" s="67" t="str">
        <f aca="false">IF(AND($V35&gt;=Parametros!$C$8,$R35&gt;=Parametros!$C$12),"Alta rentabilidad",IF(OR($V35&lt;Parametros!$C$11,$R35&lt;Parametros!$C$13),"Revisar","Estandar"))</f>
        <v>Estandar</v>
      </c>
      <c r="X35" s="67" t="str">
        <f aca="false">IF(AND($J35="E-commerce",IFERROR($T35/$R35,0)&gt;Parametros!$C$14),"Alerta","OK")</f>
        <v>OK</v>
      </c>
      <c r="Y35" s="61" t="str">
        <f aca="false">IF($R35&gt;=Parametros!$C$12,"Alto",IF($R35&lt;Parametros!$C$13,"Bajo","Medio"))</f>
        <v>Medio</v>
      </c>
      <c r="Z35" s="61" t="n">
        <v>2255</v>
      </c>
      <c r="AA35" s="61" t="str">
        <f aca="false">IF(MATCH($A35,Datos_Origen!$A$2:$A$2459,0)=$Z35,"OK","REVISAR")</f>
        <v>OK</v>
      </c>
      <c r="AB35" s="62" t="n">
        <f aca="false">INDEX(Datos_Origen!$B$2:$B$2459,$Z35)</f>
        <v>45314</v>
      </c>
      <c r="AC35" s="61" t="n">
        <f aca="false">INDEX(Datos_Origen!$H$2:$H$2459,$Z35)</f>
        <v>9</v>
      </c>
      <c r="AD35" s="61" t="str">
        <f aca="false">INDEX(Datos_Origen!$D$2:$D$2459,$Z35)&amp;""</f>
        <v>Cordoba</v>
      </c>
    </row>
    <row r="36" customFormat="false" ht="15" hidden="false" customHeight="false" outlineLevel="0" collapsed="false">
      <c r="A36" s="61" t="n">
        <f aca="false">INDEX(Datos_Origen!$A$2:$A$2459,$Z36)</f>
        <v>35</v>
      </c>
      <c r="B36" s="62" t="n">
        <f aca="false">IF(ISNUMBER($AB36),$AB36,IF(MID($AB36,5,1)="-",DATE(VALUE(LEFT($AB36,4)),VALUE(MID($AB36,6,2)),VALUE(RIGHT($AB36,2))),DATE(VALUE(RIGHT($AB36,4)),VALUE(MID($AB36,4,2)),VALUE(LEFT($AB36,2)))))</f>
        <v>45294</v>
      </c>
      <c r="C36" s="61" t="n">
        <f aca="false">YEAR($B36)</f>
        <v>2024</v>
      </c>
      <c r="D36" s="61" t="str">
        <f aca="false">"Q"&amp;ROUNDUP(MONTH($B36)/3,0)</f>
        <v>Q1</v>
      </c>
      <c r="E36" s="61" t="n">
        <f aca="false">MONTH($B36)</f>
        <v>1</v>
      </c>
      <c r="F36" s="61" t="str">
        <f aca="false">INDEX(Parametros!$I$5:$I$16,$E36)</f>
        <v>Ene</v>
      </c>
      <c r="G36" s="61" t="str">
        <f aca="false">TEXT($C36,"0000")&amp;"-"&amp;TEXT($E36,"00")</f>
        <v>2024-01</v>
      </c>
      <c r="H36" s="61" t="str">
        <f aca="false">INDEX(Parametros!$C$71:$C$91,MATCH(TRIM(INDEX(Datos_Origen!$C$2:$C$2459,$Z36)),Parametros!$B$71:$B$91,0))</f>
        <v>Centro</v>
      </c>
      <c r="I36" s="61" t="str">
        <f aca="false">IF(TRIM($AD36)="",INDEX(Parametros!$I$20:$I$24,MATCH($H36,Parametros!$H$20:$H$24,0)),TRIM($AD36))</f>
        <v>Cordoba</v>
      </c>
      <c r="J36" s="61" t="str">
        <f aca="false">INDEX(Parametros!$C$95:$C$106,MATCH(TRIM(INDEX(Datos_Origen!$E$2:$E$2459,$Z36)),Parametros!$B$95:$B$106,0))</f>
        <v>Tienda fisica</v>
      </c>
      <c r="K36" s="61" t="str">
        <f aca="false">INDEX(Parametros!$C$48:$C$67,MATCH(TRIM(INDEX(Datos_Origen!$F$2:$F$2459,$Z36)),Parametros!$B$48:$B$67,0))</f>
        <v>Audio</v>
      </c>
      <c r="L36" s="61" t="str">
        <f aca="false">$K36&amp;" "&amp;$C36</f>
        <v>Audio 2024</v>
      </c>
      <c r="M36" s="61" t="str">
        <f aca="false">TRIM(INDEX(Datos_Origen!$G$2:$G$2459,$Z36))</f>
        <v>Parlante Bluetooth</v>
      </c>
      <c r="N36" s="61" t="str">
        <f aca="false">$M36&amp;" "&amp;$C36</f>
        <v>Parlante Bluetooth 2024</v>
      </c>
      <c r="O36" s="63" t="n">
        <f aca="false">IF(ISTEXT($AC36),VALUE($AC36),$AC36)</f>
        <v>20</v>
      </c>
      <c r="P36" s="64" t="n">
        <f aca="false">INDEX(Datos_Origen!$I$2:$I$2459,$Z36)</f>
        <v>83.3</v>
      </c>
      <c r="Q36" s="64" t="n">
        <f aca="false">INDEX(Datos_Origen!$J$2:$J$2459,$Z36)</f>
        <v>48.03</v>
      </c>
      <c r="R36" s="65" t="n">
        <f aca="false">ROUND($O36*$P36,2)</f>
        <v>1666</v>
      </c>
      <c r="S36" s="65" t="n">
        <f aca="false">ROUND($O36*$Q36,2)</f>
        <v>960.6</v>
      </c>
      <c r="T36" s="65" t="n">
        <f aca="false">ROUND($R36*SUMIFS(Parametros!$E$28:$E$43,Parametros!$B$28:$B$43,$J36,Parametros!$C$28:$C$43,$C36,Parametros!$D$28:$D$43,$D36),2)</f>
        <v>19.99</v>
      </c>
      <c r="U36" s="65" t="n">
        <f aca="false">$R36-$S36-$T36</f>
        <v>685.41</v>
      </c>
      <c r="V36" s="66" t="n">
        <f aca="false">IFERROR($U36/$R36,0)</f>
        <v>0.41141056422569</v>
      </c>
      <c r="W36" s="67" t="str">
        <f aca="false">IF(AND($V36&gt;=Parametros!$C$8,$R36&gt;=Parametros!$C$12),"Alta rentabilidad",IF(OR($V36&lt;Parametros!$C$11,$R36&lt;Parametros!$C$13),"Revisar","Estandar"))</f>
        <v>Estandar</v>
      </c>
      <c r="X36" s="67" t="str">
        <f aca="false">IF(AND($J36="E-commerce",IFERROR($T36/$R36,0)&gt;Parametros!$C$14),"Alerta","OK")</f>
        <v>OK</v>
      </c>
      <c r="Y36" s="61" t="str">
        <f aca="false">IF($R36&gt;=Parametros!$C$12,"Alto",IF($R36&lt;Parametros!$C$13,"Bajo","Medio"))</f>
        <v>Medio</v>
      </c>
      <c r="Z36" s="61" t="n">
        <v>66</v>
      </c>
      <c r="AA36" s="61" t="str">
        <f aca="false">IF(MATCH($A36,Datos_Origen!$A$2:$A$2459,0)=$Z36,"OK","REVISAR")</f>
        <v>OK</v>
      </c>
      <c r="AB36" s="61" t="str">
        <f aca="false">INDEX(Datos_Origen!$B$2:$B$2459,$Z36)</f>
        <v>2024-01-03</v>
      </c>
      <c r="AC36" s="61" t="n">
        <f aca="false">INDEX(Datos_Origen!$H$2:$H$2459,$Z36)</f>
        <v>20</v>
      </c>
      <c r="AD36" s="61" t="str">
        <f aca="false">INDEX(Datos_Origen!$D$2:$D$2459,$Z36)&amp;""</f>
        <v>Cordoba</v>
      </c>
    </row>
    <row r="37" customFormat="false" ht="15" hidden="false" customHeight="false" outlineLevel="0" collapsed="false">
      <c r="A37" s="61" t="n">
        <f aca="false">INDEX(Datos_Origen!$A$2:$A$2459,$Z37)</f>
        <v>36</v>
      </c>
      <c r="B37" s="62" t="n">
        <f aca="false">IF(ISNUMBER($AB37),$AB37,IF(MID($AB37,5,1)="-",DATE(VALUE(LEFT($AB37,4)),VALUE(MID($AB37,6,2)),VALUE(RIGHT($AB37,2))),DATE(VALUE(RIGHT($AB37,4)),VALUE(MID($AB37,4,2)),VALUE(LEFT($AB37,2)))))</f>
        <v>45301</v>
      </c>
      <c r="C37" s="61" t="n">
        <f aca="false">YEAR($B37)</f>
        <v>2024</v>
      </c>
      <c r="D37" s="61" t="str">
        <f aca="false">"Q"&amp;ROUNDUP(MONTH($B37)/3,0)</f>
        <v>Q1</v>
      </c>
      <c r="E37" s="61" t="n">
        <f aca="false">MONTH($B37)</f>
        <v>1</v>
      </c>
      <c r="F37" s="61" t="str">
        <f aca="false">INDEX(Parametros!$I$5:$I$16,$E37)</f>
        <v>Ene</v>
      </c>
      <c r="G37" s="61" t="str">
        <f aca="false">TEXT($C37,"0000")&amp;"-"&amp;TEXT($E37,"00")</f>
        <v>2024-01</v>
      </c>
      <c r="H37" s="61" t="str">
        <f aca="false">INDEX(Parametros!$C$71:$C$91,MATCH(TRIM(INDEX(Datos_Origen!$C$2:$C$2459,$Z37)),Parametros!$B$71:$B$91,0))</f>
        <v>Centro</v>
      </c>
      <c r="I37" s="61" t="str">
        <f aca="false">IF(TRIM($AD37)="",INDEX(Parametros!$I$20:$I$24,MATCH($H37,Parametros!$H$20:$H$24,0)),TRIM($AD37))</f>
        <v>Cordoba</v>
      </c>
      <c r="J37" s="61" t="str">
        <f aca="false">INDEX(Parametros!$C$95:$C$106,MATCH(TRIM(INDEX(Datos_Origen!$E$2:$E$2459,$Z37)),Parametros!$B$95:$B$106,0))</f>
        <v>E-commerce</v>
      </c>
      <c r="K37" s="61" t="str">
        <f aca="false">INDEX(Parametros!$C$48:$C$67,MATCH(TRIM(INDEX(Datos_Origen!$F$2:$F$2459,$Z37)),Parametros!$B$48:$B$67,0))</f>
        <v>Audio</v>
      </c>
      <c r="L37" s="61" t="str">
        <f aca="false">$K37&amp;" "&amp;$C37</f>
        <v>Audio 2024</v>
      </c>
      <c r="M37" s="61" t="str">
        <f aca="false">TRIM(INDEX(Datos_Origen!$G$2:$G$2459,$Z37))</f>
        <v>Parlante Bluetooth</v>
      </c>
      <c r="N37" s="61" t="str">
        <f aca="false">$M37&amp;" "&amp;$C37</f>
        <v>Parlante Bluetooth 2024</v>
      </c>
      <c r="O37" s="63" t="n">
        <f aca="false">IF(ISTEXT($AC37),VALUE($AC37),$AC37)</f>
        <v>10</v>
      </c>
      <c r="P37" s="64" t="n">
        <f aca="false">INDEX(Datos_Origen!$I$2:$I$2459,$Z37)</f>
        <v>83.3</v>
      </c>
      <c r="Q37" s="64" t="n">
        <f aca="false">INDEX(Datos_Origen!$J$2:$J$2459,$Z37)</f>
        <v>48.03</v>
      </c>
      <c r="R37" s="65" t="n">
        <f aca="false">ROUND($O37*$P37,2)</f>
        <v>833</v>
      </c>
      <c r="S37" s="65" t="n">
        <f aca="false">ROUND($O37*$Q37,2)</f>
        <v>480.3</v>
      </c>
      <c r="T37" s="65" t="n">
        <f aca="false">ROUND($R37*SUMIFS(Parametros!$E$28:$E$43,Parametros!$B$28:$B$43,$J37,Parametros!$C$28:$C$43,$C37,Parametros!$D$28:$D$43,$D37),2)</f>
        <v>34.99</v>
      </c>
      <c r="U37" s="65" t="n">
        <f aca="false">$R37-$S37-$T37</f>
        <v>317.71</v>
      </c>
      <c r="V37" s="66" t="n">
        <f aca="false">IFERROR($U37/$R37,0)</f>
        <v>0.38140456182473</v>
      </c>
      <c r="W37" s="67" t="str">
        <f aca="false">IF(AND($V37&gt;=Parametros!$C$8,$R37&gt;=Parametros!$C$12),"Alta rentabilidad",IF(OR($V37&lt;Parametros!$C$11,$R37&lt;Parametros!$C$13),"Revisar","Estandar"))</f>
        <v>Estandar</v>
      </c>
      <c r="X37" s="67" t="str">
        <f aca="false">IF(AND($J37="E-commerce",IFERROR($T37/$R37,0)&gt;Parametros!$C$14),"Alerta","OK")</f>
        <v>OK</v>
      </c>
      <c r="Y37" s="61" t="str">
        <f aca="false">IF($R37&gt;=Parametros!$C$12,"Alto",IF($R37&lt;Parametros!$C$13,"Bajo","Medio"))</f>
        <v>Medio</v>
      </c>
      <c r="Z37" s="61" t="n">
        <v>1363</v>
      </c>
      <c r="AA37" s="61" t="str">
        <f aca="false">IF(MATCH($A37,Datos_Origen!$A$2:$A$2459,0)=$Z37,"OK","REVISAR")</f>
        <v>OK</v>
      </c>
      <c r="AB37" s="62" t="n">
        <f aca="false">INDEX(Datos_Origen!$B$2:$B$2459,$Z37)</f>
        <v>45301</v>
      </c>
      <c r="AC37" s="61" t="n">
        <f aca="false">INDEX(Datos_Origen!$H$2:$H$2459,$Z37)</f>
        <v>10</v>
      </c>
      <c r="AD37" s="61" t="str">
        <f aca="false">INDEX(Datos_Origen!$D$2:$D$2459,$Z37)&amp;""</f>
        <v>Cordoba</v>
      </c>
    </row>
    <row r="38" customFormat="false" ht="15" hidden="false" customHeight="false" outlineLevel="0" collapsed="false">
      <c r="A38" s="61" t="n">
        <f aca="false">INDEX(Datos_Origen!$A$2:$A$2459,$Z38)</f>
        <v>37</v>
      </c>
      <c r="B38" s="62" t="n">
        <f aca="false">IF(ISNUMBER($AB38),$AB38,IF(MID($AB38,5,1)="-",DATE(VALUE(LEFT($AB38,4)),VALUE(MID($AB38,6,2)),VALUE(RIGHT($AB38,2))),DATE(VALUE(RIGHT($AB38,4)),VALUE(MID($AB38,4,2)),VALUE(LEFT($AB38,2)))))</f>
        <v>45308</v>
      </c>
      <c r="C38" s="61" t="n">
        <f aca="false">YEAR($B38)</f>
        <v>2024</v>
      </c>
      <c r="D38" s="61" t="str">
        <f aca="false">"Q"&amp;ROUNDUP(MONTH($B38)/3,0)</f>
        <v>Q1</v>
      </c>
      <c r="E38" s="61" t="n">
        <f aca="false">MONTH($B38)</f>
        <v>1</v>
      </c>
      <c r="F38" s="61" t="str">
        <f aca="false">INDEX(Parametros!$I$5:$I$16,$E38)</f>
        <v>Ene</v>
      </c>
      <c r="G38" s="61" t="str">
        <f aca="false">TEXT($C38,"0000")&amp;"-"&amp;TEXT($E38,"00")</f>
        <v>2024-01</v>
      </c>
      <c r="H38" s="61" t="str">
        <f aca="false">INDEX(Parametros!$C$71:$C$91,MATCH(TRIM(INDEX(Datos_Origen!$C$2:$C$2459,$Z38)),Parametros!$B$71:$B$91,0))</f>
        <v>Centro</v>
      </c>
      <c r="I38" s="61" t="str">
        <f aca="false">IF(TRIM($AD38)="",INDEX(Parametros!$I$20:$I$24,MATCH($H38,Parametros!$H$20:$H$24,0)),TRIM($AD38))</f>
        <v>Cordoba</v>
      </c>
      <c r="J38" s="61" t="str">
        <f aca="false">INDEX(Parametros!$C$95:$C$106,MATCH(TRIM(INDEX(Datos_Origen!$E$2:$E$2459,$Z38)),Parametros!$B$95:$B$106,0))</f>
        <v>Tienda fisica</v>
      </c>
      <c r="K38" s="61" t="str">
        <f aca="false">INDEX(Parametros!$C$48:$C$67,MATCH(TRIM(INDEX(Datos_Origen!$F$2:$F$2459,$Z38)),Parametros!$B$48:$B$67,0))</f>
        <v>Almacenamiento</v>
      </c>
      <c r="L38" s="61" t="str">
        <f aca="false">$K38&amp;" "&amp;$C38</f>
        <v>Almacenamiento 2024</v>
      </c>
      <c r="M38" s="61" t="str">
        <f aca="false">TRIM(INDEX(Datos_Origen!$G$2:$G$2459,$Z38))</f>
        <v>SSD Externo 1TB</v>
      </c>
      <c r="N38" s="61" t="str">
        <f aca="false">$M38&amp;" "&amp;$C38</f>
        <v>SSD Externo 1TB 2024</v>
      </c>
      <c r="O38" s="63" t="n">
        <f aca="false">IF(ISTEXT($AC38),VALUE($AC38),$AC38)</f>
        <v>27</v>
      </c>
      <c r="P38" s="64" t="n">
        <f aca="false">INDEX(Datos_Origen!$I$2:$I$2459,$Z38)</f>
        <v>127.4</v>
      </c>
      <c r="Q38" s="64" t="n">
        <f aca="false">INDEX(Datos_Origen!$J$2:$J$2459,$Z38)</f>
        <v>76.05</v>
      </c>
      <c r="R38" s="65" t="n">
        <f aca="false">ROUND($O38*$P38,2)</f>
        <v>3439.8</v>
      </c>
      <c r="S38" s="65" t="n">
        <f aca="false">ROUND($O38*$Q38,2)</f>
        <v>2053.35</v>
      </c>
      <c r="T38" s="65" t="n">
        <f aca="false">ROUND($R38*SUMIFS(Parametros!$E$28:$E$43,Parametros!$B$28:$B$43,$J38,Parametros!$C$28:$C$43,$C38,Parametros!$D$28:$D$43,$D38),2)</f>
        <v>41.28</v>
      </c>
      <c r="U38" s="65" t="n">
        <f aca="false">$R38-$S38-$T38</f>
        <v>1345.17</v>
      </c>
      <c r="V38" s="66" t="n">
        <f aca="false">IFERROR($U38/$R38,0)</f>
        <v>0.391060526774813</v>
      </c>
      <c r="W38" s="67" t="str">
        <f aca="false">IF(AND($V38&gt;=Parametros!$C$8,$R38&gt;=Parametros!$C$12),"Alta rentabilidad",IF(OR($V38&lt;Parametros!$C$11,$R38&lt;Parametros!$C$13),"Revisar","Estandar"))</f>
        <v>Alta rentabilidad</v>
      </c>
      <c r="X38" s="67" t="str">
        <f aca="false">IF(AND($J38="E-commerce",IFERROR($T38/$R38,0)&gt;Parametros!$C$14),"Alerta","OK")</f>
        <v>OK</v>
      </c>
      <c r="Y38" s="61" t="str">
        <f aca="false">IF($R38&gt;=Parametros!$C$12,"Alto",IF($R38&lt;Parametros!$C$13,"Bajo","Medio"))</f>
        <v>Alto</v>
      </c>
      <c r="Z38" s="61" t="n">
        <v>1723</v>
      </c>
      <c r="AA38" s="61" t="str">
        <f aca="false">IF(MATCH($A38,Datos_Origen!$A$2:$A$2459,0)=$Z38,"OK","REVISAR")</f>
        <v>OK</v>
      </c>
      <c r="AB38" s="62" t="n">
        <f aca="false">INDEX(Datos_Origen!$B$2:$B$2459,$Z38)</f>
        <v>45308</v>
      </c>
      <c r="AC38" s="61" t="str">
        <f aca="false">INDEX(Datos_Origen!$H$2:$H$2459,$Z38)</f>
        <v>27</v>
      </c>
      <c r="AD38" s="61" t="str">
        <f aca="false">INDEX(Datos_Origen!$D$2:$D$2459,$Z38)&amp;""</f>
        <v>Cordoba</v>
      </c>
    </row>
    <row r="39" customFormat="false" ht="15" hidden="false" customHeight="false" outlineLevel="0" collapsed="false">
      <c r="A39" s="61" t="n">
        <f aca="false">INDEX(Datos_Origen!$A$2:$A$2459,$Z39)</f>
        <v>38</v>
      </c>
      <c r="B39" s="62" t="n">
        <f aca="false">IF(ISNUMBER($AB39),$AB39,IF(MID($AB39,5,1)="-",DATE(VALUE(LEFT($AB39,4)),VALUE(MID($AB39,6,2)),VALUE(RIGHT($AB39,2))),DATE(VALUE(RIGHT($AB39,4)),VALUE(MID($AB39,4,2)),VALUE(LEFT($AB39,2)))))</f>
        <v>45315</v>
      </c>
      <c r="C39" s="61" t="n">
        <f aca="false">YEAR($B39)</f>
        <v>2024</v>
      </c>
      <c r="D39" s="61" t="str">
        <f aca="false">"Q"&amp;ROUNDUP(MONTH($B39)/3,0)</f>
        <v>Q1</v>
      </c>
      <c r="E39" s="61" t="n">
        <f aca="false">MONTH($B39)</f>
        <v>1</v>
      </c>
      <c r="F39" s="61" t="str">
        <f aca="false">INDEX(Parametros!$I$5:$I$16,$E39)</f>
        <v>Ene</v>
      </c>
      <c r="G39" s="61" t="str">
        <f aca="false">TEXT($C39,"0000")&amp;"-"&amp;TEXT($E39,"00")</f>
        <v>2024-01</v>
      </c>
      <c r="H39" s="61" t="str">
        <f aca="false">INDEX(Parametros!$C$71:$C$91,MATCH(TRIM(INDEX(Datos_Origen!$C$2:$C$2459,$Z39)),Parametros!$B$71:$B$91,0))</f>
        <v>Centro</v>
      </c>
      <c r="I39" s="61" t="str">
        <f aca="false">IF(TRIM($AD39)="",INDEX(Parametros!$I$20:$I$24,MATCH($H39,Parametros!$H$20:$H$24,0)),TRIM($AD39))</f>
        <v>Cordoba</v>
      </c>
      <c r="J39" s="61" t="str">
        <f aca="false">INDEX(Parametros!$C$95:$C$106,MATCH(TRIM(INDEX(Datos_Origen!$E$2:$E$2459,$Z39)),Parametros!$B$95:$B$106,0))</f>
        <v>E-commerce</v>
      </c>
      <c r="K39" s="61" t="str">
        <f aca="false">INDEX(Parametros!$C$48:$C$67,MATCH(TRIM(INDEX(Datos_Origen!$F$2:$F$2459,$Z39)),Parametros!$B$48:$B$67,0))</f>
        <v>Almacenamiento</v>
      </c>
      <c r="L39" s="61" t="str">
        <f aca="false">$K39&amp;" "&amp;$C39</f>
        <v>Almacenamiento 2024</v>
      </c>
      <c r="M39" s="61" t="str">
        <f aca="false">TRIM(INDEX(Datos_Origen!$G$2:$G$2459,$Z39))</f>
        <v>SSD Externo 1TB</v>
      </c>
      <c r="N39" s="61" t="str">
        <f aca="false">$M39&amp;" "&amp;$C39</f>
        <v>SSD Externo 1TB 2024</v>
      </c>
      <c r="O39" s="63" t="n">
        <f aca="false">IF(ISTEXT($AC39),VALUE($AC39),$AC39)</f>
        <v>12</v>
      </c>
      <c r="P39" s="64" t="n">
        <f aca="false">INDEX(Datos_Origen!$I$2:$I$2459,$Z39)</f>
        <v>127.4</v>
      </c>
      <c r="Q39" s="64" t="n">
        <f aca="false">INDEX(Datos_Origen!$J$2:$J$2459,$Z39)</f>
        <v>76.05</v>
      </c>
      <c r="R39" s="65" t="n">
        <f aca="false">ROUND($O39*$P39,2)</f>
        <v>1528.8</v>
      </c>
      <c r="S39" s="65" t="n">
        <f aca="false">ROUND($O39*$Q39,2)</f>
        <v>912.6</v>
      </c>
      <c r="T39" s="65" t="n">
        <f aca="false">ROUND($R39*SUMIFS(Parametros!$E$28:$E$43,Parametros!$B$28:$B$43,$J39,Parametros!$C$28:$C$43,$C39,Parametros!$D$28:$D$43,$D39),2)</f>
        <v>64.21</v>
      </c>
      <c r="U39" s="65" t="n">
        <f aca="false">$R39-$S39-$T39</f>
        <v>551.99</v>
      </c>
      <c r="V39" s="66" t="n">
        <f aca="false">IFERROR($U39/$R39,0)</f>
        <v>0.361060962846677</v>
      </c>
      <c r="W39" s="67" t="str">
        <f aca="false">IF(AND($V39&gt;=Parametros!$C$8,$R39&gt;=Parametros!$C$12),"Alta rentabilidad",IF(OR($V39&lt;Parametros!$C$11,$R39&lt;Parametros!$C$13),"Revisar","Estandar"))</f>
        <v>Estandar</v>
      </c>
      <c r="X39" s="67" t="str">
        <f aca="false">IF(AND($J39="E-commerce",IFERROR($T39/$R39,0)&gt;Parametros!$C$14),"Alerta","OK")</f>
        <v>OK</v>
      </c>
      <c r="Y39" s="61" t="str">
        <f aca="false">IF($R39&gt;=Parametros!$C$12,"Alto",IF($R39&lt;Parametros!$C$13,"Bajo","Medio"))</f>
        <v>Medio</v>
      </c>
      <c r="Z39" s="61" t="n">
        <v>291</v>
      </c>
      <c r="AA39" s="61" t="str">
        <f aca="false">IF(MATCH($A39,Datos_Origen!$A$2:$A$2459,0)=$Z39,"OK","REVISAR")</f>
        <v>OK</v>
      </c>
      <c r="AB39" s="61" t="str">
        <f aca="false">INDEX(Datos_Origen!$B$2:$B$2459,$Z39)</f>
        <v>2024-01-24</v>
      </c>
      <c r="AC39" s="61" t="n">
        <f aca="false">INDEX(Datos_Origen!$H$2:$H$2459,$Z39)</f>
        <v>12</v>
      </c>
      <c r="AD39" s="61" t="str">
        <f aca="false">INDEX(Datos_Origen!$D$2:$D$2459,$Z39)&amp;""</f>
        <v>Cordoba</v>
      </c>
    </row>
    <row r="40" customFormat="false" ht="15" hidden="false" customHeight="false" outlineLevel="0" collapsed="false">
      <c r="A40" s="61" t="n">
        <f aca="false">INDEX(Datos_Origen!$A$2:$A$2459,$Z40)</f>
        <v>39</v>
      </c>
      <c r="B40" s="62" t="n">
        <f aca="false">IF(ISNUMBER($AB40),$AB40,IF(MID($AB40,5,1)="-",DATE(VALUE(LEFT($AB40,4)),VALUE(MID($AB40,6,2)),VALUE(RIGHT($AB40,2))),DATE(VALUE(RIGHT($AB40,4)),VALUE(MID($AB40,4,2)),VALUE(LEFT($AB40,2)))))</f>
        <v>45295</v>
      </c>
      <c r="C40" s="61" t="n">
        <f aca="false">YEAR($B40)</f>
        <v>2024</v>
      </c>
      <c r="D40" s="61" t="str">
        <f aca="false">"Q"&amp;ROUNDUP(MONTH($B40)/3,0)</f>
        <v>Q1</v>
      </c>
      <c r="E40" s="61" t="n">
        <f aca="false">MONTH($B40)</f>
        <v>1</v>
      </c>
      <c r="F40" s="61" t="str">
        <f aca="false">INDEX(Parametros!$I$5:$I$16,$E40)</f>
        <v>Ene</v>
      </c>
      <c r="G40" s="61" t="str">
        <f aca="false">TEXT($C40,"0000")&amp;"-"&amp;TEXT($E40,"00")</f>
        <v>2024-01</v>
      </c>
      <c r="H40" s="61" t="str">
        <f aca="false">INDEX(Parametros!$C$71:$C$91,MATCH(TRIM(INDEX(Datos_Origen!$C$2:$C$2459,$Z40)),Parametros!$B$71:$B$91,0))</f>
        <v>Centro</v>
      </c>
      <c r="I40" s="61" t="str">
        <f aca="false">IF(TRIM($AD40)="",INDEX(Parametros!$I$20:$I$24,MATCH($H40,Parametros!$H$20:$H$24,0)),TRIM($AD40))</f>
        <v>Cordoba</v>
      </c>
      <c r="J40" s="61" t="str">
        <f aca="false">INDEX(Parametros!$C$95:$C$106,MATCH(TRIM(INDEX(Datos_Origen!$E$2:$E$2459,$Z40)),Parametros!$B$95:$B$106,0))</f>
        <v>Tienda fisica</v>
      </c>
      <c r="K40" s="61" t="str">
        <f aca="false">INDEX(Parametros!$C$48:$C$67,MATCH(TRIM(INDEX(Datos_Origen!$F$2:$F$2459,$Z40)),Parametros!$B$48:$B$67,0))</f>
        <v>Almacenamiento</v>
      </c>
      <c r="L40" s="61" t="str">
        <f aca="false">$K40&amp;" "&amp;$C40</f>
        <v>Almacenamiento 2024</v>
      </c>
      <c r="M40" s="61" t="str">
        <f aca="false">TRIM(INDEX(Datos_Origen!$G$2:$G$2459,$Z40))</f>
        <v>Pendrive 256GB</v>
      </c>
      <c r="N40" s="61" t="str">
        <f aca="false">$M40&amp;" "&amp;$C40</f>
        <v>Pendrive 256GB 2024</v>
      </c>
      <c r="O40" s="63" t="n">
        <f aca="false">IF(ISTEXT($AC40),VALUE($AC40),$AC40)</f>
        <v>28</v>
      </c>
      <c r="P40" s="64" t="n">
        <f aca="false">INDEX(Datos_Origen!$I$2:$I$2459,$Z40)</f>
        <v>34.3</v>
      </c>
      <c r="Q40" s="64" t="n">
        <f aca="false">INDEX(Datos_Origen!$J$2:$J$2459,$Z40)</f>
        <v>17.85</v>
      </c>
      <c r="R40" s="65" t="n">
        <f aca="false">ROUND($O40*$P40,2)</f>
        <v>960.4</v>
      </c>
      <c r="S40" s="65" t="n">
        <f aca="false">ROUND($O40*$Q40,2)</f>
        <v>499.8</v>
      </c>
      <c r="T40" s="65" t="n">
        <f aca="false">ROUND($R40*SUMIFS(Parametros!$E$28:$E$43,Parametros!$B$28:$B$43,$J40,Parametros!$C$28:$C$43,$C40,Parametros!$D$28:$D$43,$D40),2)</f>
        <v>11.52</v>
      </c>
      <c r="U40" s="65" t="n">
        <f aca="false">$R40-$S40-$T40</f>
        <v>449.08</v>
      </c>
      <c r="V40" s="66" t="n">
        <f aca="false">IFERROR($U40/$R40,0)</f>
        <v>0.467596834652228</v>
      </c>
      <c r="W40" s="67" t="str">
        <f aca="false">IF(AND($V40&gt;=Parametros!$C$8,$R40&gt;=Parametros!$C$12),"Alta rentabilidad",IF(OR($V40&lt;Parametros!$C$11,$R40&lt;Parametros!$C$13),"Revisar","Estandar"))</f>
        <v>Estandar</v>
      </c>
      <c r="X40" s="67" t="str">
        <f aca="false">IF(AND($J40="E-commerce",IFERROR($T40/$R40,0)&gt;Parametros!$C$14),"Alerta","OK")</f>
        <v>OK</v>
      </c>
      <c r="Y40" s="61" t="str">
        <f aca="false">IF($R40&gt;=Parametros!$C$12,"Alto",IF($R40&lt;Parametros!$C$13,"Bajo","Medio"))</f>
        <v>Medio</v>
      </c>
      <c r="Z40" s="61" t="n">
        <v>1008</v>
      </c>
      <c r="AA40" s="61" t="str">
        <f aca="false">IF(MATCH($A40,Datos_Origen!$A$2:$A$2459,0)=$Z40,"OK","REVISAR")</f>
        <v>OK</v>
      </c>
      <c r="AB40" s="62" t="n">
        <f aca="false">INDEX(Datos_Origen!$B$2:$B$2459,$Z40)</f>
        <v>45295</v>
      </c>
      <c r="AC40" s="61" t="n">
        <f aca="false">INDEX(Datos_Origen!$H$2:$H$2459,$Z40)</f>
        <v>28</v>
      </c>
      <c r="AD40" s="61" t="str">
        <f aca="false">INDEX(Datos_Origen!$D$2:$D$2459,$Z40)&amp;""</f>
        <v>Cordoba</v>
      </c>
    </row>
    <row r="41" customFormat="false" ht="15" hidden="false" customHeight="false" outlineLevel="0" collapsed="false">
      <c r="A41" s="61" t="n">
        <f aca="false">INDEX(Datos_Origen!$A$2:$A$2459,$Z41)</f>
        <v>40</v>
      </c>
      <c r="B41" s="62" t="n">
        <f aca="false">IF(ISNUMBER($AB41),$AB41,IF(MID($AB41,5,1)="-",DATE(VALUE(LEFT($AB41,4)),VALUE(MID($AB41,6,2)),VALUE(RIGHT($AB41,2))),DATE(VALUE(RIGHT($AB41,4)),VALUE(MID($AB41,4,2)),VALUE(LEFT($AB41,2)))))</f>
        <v>45302</v>
      </c>
      <c r="C41" s="61" t="n">
        <f aca="false">YEAR($B41)</f>
        <v>2024</v>
      </c>
      <c r="D41" s="61" t="str">
        <f aca="false">"Q"&amp;ROUNDUP(MONTH($B41)/3,0)</f>
        <v>Q1</v>
      </c>
      <c r="E41" s="61" t="n">
        <f aca="false">MONTH($B41)</f>
        <v>1</v>
      </c>
      <c r="F41" s="61" t="str">
        <f aca="false">INDEX(Parametros!$I$5:$I$16,$E41)</f>
        <v>Ene</v>
      </c>
      <c r="G41" s="61" t="str">
        <f aca="false">TEXT($C41,"0000")&amp;"-"&amp;TEXT($E41,"00")</f>
        <v>2024-01</v>
      </c>
      <c r="H41" s="61" t="str">
        <f aca="false">INDEX(Parametros!$C$71:$C$91,MATCH(TRIM(INDEX(Datos_Origen!$C$2:$C$2459,$Z41)),Parametros!$B$71:$B$91,0))</f>
        <v>Centro</v>
      </c>
      <c r="I41" s="61" t="str">
        <f aca="false">IF(TRIM($AD41)="",INDEX(Parametros!$I$20:$I$24,MATCH($H41,Parametros!$H$20:$H$24,0)),TRIM($AD41))</f>
        <v>Cordoba</v>
      </c>
      <c r="J41" s="61" t="str">
        <f aca="false">INDEX(Parametros!$C$95:$C$106,MATCH(TRIM(INDEX(Datos_Origen!$E$2:$E$2459,$Z41)),Parametros!$B$95:$B$106,0))</f>
        <v>E-commerce</v>
      </c>
      <c r="K41" s="61" t="str">
        <f aca="false">INDEX(Parametros!$C$48:$C$67,MATCH(TRIM(INDEX(Datos_Origen!$F$2:$F$2459,$Z41)),Parametros!$B$48:$B$67,0))</f>
        <v>Almacenamiento</v>
      </c>
      <c r="L41" s="61" t="str">
        <f aca="false">$K41&amp;" "&amp;$C41</f>
        <v>Almacenamiento 2024</v>
      </c>
      <c r="M41" s="61" t="str">
        <f aca="false">TRIM(INDEX(Datos_Origen!$G$2:$G$2459,$Z41))</f>
        <v>Pendrive 256GB</v>
      </c>
      <c r="N41" s="61" t="str">
        <f aca="false">$M41&amp;" "&amp;$C41</f>
        <v>Pendrive 256GB 2024</v>
      </c>
      <c r="O41" s="63" t="n">
        <f aca="false">IF(ISTEXT($AC41),VALUE($AC41),$AC41)</f>
        <v>11</v>
      </c>
      <c r="P41" s="64" t="n">
        <f aca="false">INDEX(Datos_Origen!$I$2:$I$2459,$Z41)</f>
        <v>34.3</v>
      </c>
      <c r="Q41" s="64" t="n">
        <f aca="false">INDEX(Datos_Origen!$J$2:$J$2459,$Z41)</f>
        <v>17.85</v>
      </c>
      <c r="R41" s="65" t="n">
        <f aca="false">ROUND($O41*$P41,2)</f>
        <v>377.3</v>
      </c>
      <c r="S41" s="65" t="n">
        <f aca="false">ROUND($O41*$Q41,2)</f>
        <v>196.35</v>
      </c>
      <c r="T41" s="65" t="n">
        <f aca="false">ROUND($R41*SUMIFS(Parametros!$E$28:$E$43,Parametros!$B$28:$B$43,$J41,Parametros!$C$28:$C$43,$C41,Parametros!$D$28:$D$43,$D41),2)</f>
        <v>15.85</v>
      </c>
      <c r="U41" s="65" t="n">
        <f aca="false">$R41-$S41-$T41</f>
        <v>165.1</v>
      </c>
      <c r="V41" s="66" t="n">
        <f aca="false">IFERROR($U41/$R41,0)</f>
        <v>0.437582825337927</v>
      </c>
      <c r="W41" s="67" t="str">
        <f aca="false">IF(AND($V41&gt;=Parametros!$C$8,$R41&gt;=Parametros!$C$12),"Alta rentabilidad",IF(OR($V41&lt;Parametros!$C$11,$R41&lt;Parametros!$C$13),"Revisar","Estandar"))</f>
        <v>Estandar</v>
      </c>
      <c r="X41" s="67" t="str">
        <f aca="false">IF(AND($J41="E-commerce",IFERROR($T41/$R41,0)&gt;Parametros!$C$14),"Alerta","OK")</f>
        <v>OK</v>
      </c>
      <c r="Y41" s="61" t="str">
        <f aca="false">IF($R41&gt;=Parametros!$C$12,"Alto",IF($R41&lt;Parametros!$C$13,"Bajo","Medio"))</f>
        <v>Medio</v>
      </c>
      <c r="Z41" s="61" t="n">
        <v>306</v>
      </c>
      <c r="AA41" s="61" t="str">
        <f aca="false">IF(MATCH($A41,Datos_Origen!$A$2:$A$2459,0)=$Z41,"OK","REVISAR")</f>
        <v>OK</v>
      </c>
      <c r="AB41" s="62" t="n">
        <f aca="false">INDEX(Datos_Origen!$B$2:$B$2459,$Z41)</f>
        <v>45302</v>
      </c>
      <c r="AC41" s="61" t="n">
        <f aca="false">INDEX(Datos_Origen!$H$2:$H$2459,$Z41)</f>
        <v>11</v>
      </c>
      <c r="AD41" s="61" t="str">
        <f aca="false">INDEX(Datos_Origen!$D$2:$D$2459,$Z41)&amp;""</f>
        <v>Cordoba</v>
      </c>
    </row>
    <row r="42" customFormat="false" ht="15" hidden="false" customHeight="false" outlineLevel="0" collapsed="false">
      <c r="A42" s="61" t="n">
        <f aca="false">INDEX(Datos_Origen!$A$2:$A$2459,$Z42)</f>
        <v>41</v>
      </c>
      <c r="B42" s="62" t="n">
        <f aca="false">IF(ISNUMBER($AB42),$AB42,IF(MID($AB42,5,1)="-",DATE(VALUE(LEFT($AB42,4)),VALUE(MID($AB42,6,2)),VALUE(RIGHT($AB42,2))),DATE(VALUE(RIGHT($AB42,4)),VALUE(MID($AB42,4,2)),VALUE(LEFT($AB42,2)))))</f>
        <v>45309</v>
      </c>
      <c r="C42" s="61" t="n">
        <f aca="false">YEAR($B42)</f>
        <v>2024</v>
      </c>
      <c r="D42" s="61" t="str">
        <f aca="false">"Q"&amp;ROUNDUP(MONTH($B42)/3,0)</f>
        <v>Q1</v>
      </c>
      <c r="E42" s="61" t="n">
        <f aca="false">MONTH($B42)</f>
        <v>1</v>
      </c>
      <c r="F42" s="61" t="str">
        <f aca="false">INDEX(Parametros!$I$5:$I$16,$E42)</f>
        <v>Ene</v>
      </c>
      <c r="G42" s="61" t="str">
        <f aca="false">TEXT($C42,"0000")&amp;"-"&amp;TEXT($E42,"00")</f>
        <v>2024-01</v>
      </c>
      <c r="H42" s="61" t="str">
        <f aca="false">INDEX(Parametros!$C$71:$C$91,MATCH(TRIM(INDEX(Datos_Origen!$C$2:$C$2459,$Z42)),Parametros!$B$71:$B$91,0))</f>
        <v>Litoral</v>
      </c>
      <c r="I42" s="61" t="str">
        <f aca="false">IF(TRIM($AD42)="",INDEX(Parametros!$I$20:$I$24,MATCH($H42,Parametros!$H$20:$H$24,0)),TRIM($AD42))</f>
        <v>Rosario</v>
      </c>
      <c r="J42" s="61" t="str">
        <f aca="false">INDEX(Parametros!$C$95:$C$106,MATCH(TRIM(INDEX(Datos_Origen!$E$2:$E$2459,$Z42)),Parametros!$B$95:$B$106,0))</f>
        <v>Tienda fisica</v>
      </c>
      <c r="K42" s="61" t="str">
        <f aca="false">INDEX(Parametros!$C$48:$C$67,MATCH(TRIM(INDEX(Datos_Origen!$F$2:$F$2459,$Z42)),Parametros!$B$48:$B$67,0))</f>
        <v>Computacion</v>
      </c>
      <c r="L42" s="61" t="str">
        <f aca="false">$K42&amp;" "&amp;$C42</f>
        <v>Computacion 2024</v>
      </c>
      <c r="M42" s="61" t="str">
        <f aca="false">TRIM(INDEX(Datos_Origen!$G$2:$G$2459,$Z42))</f>
        <v>Laptop Pro 15</v>
      </c>
      <c r="N42" s="61" t="str">
        <f aca="false">$M42&amp;" "&amp;$C42</f>
        <v>Laptop Pro 15 2024</v>
      </c>
      <c r="O42" s="63" t="n">
        <f aca="false">IF(ISTEXT($AC42),VALUE($AC42),$AC42)</f>
        <v>6</v>
      </c>
      <c r="P42" s="64" t="n">
        <f aca="false">INDEX(Datos_Origen!$I$2:$I$2459,$Z42)</f>
        <v>1176</v>
      </c>
      <c r="Q42" s="64" t="n">
        <f aca="false">INDEX(Datos_Origen!$J$2:$J$2459,$Z42)</f>
        <v>744</v>
      </c>
      <c r="R42" s="65" t="n">
        <f aca="false">ROUND($O42*$P42,2)</f>
        <v>7056</v>
      </c>
      <c r="S42" s="65" t="n">
        <f aca="false">ROUND($O42*$Q42,2)</f>
        <v>4464</v>
      </c>
      <c r="T42" s="65" t="n">
        <f aca="false">ROUND($R42*SUMIFS(Parametros!$E$28:$E$43,Parametros!$B$28:$B$43,$J42,Parametros!$C$28:$C$43,$C42,Parametros!$D$28:$D$43,$D42),2)</f>
        <v>84.67</v>
      </c>
      <c r="U42" s="65" t="n">
        <f aca="false">$R42-$S42-$T42</f>
        <v>2507.33</v>
      </c>
      <c r="V42" s="66" t="n">
        <f aca="false">IFERROR($U42/$R42,0)</f>
        <v>0.355347222222222</v>
      </c>
      <c r="W42" s="67" t="str">
        <f aca="false">IF(AND($V42&gt;=Parametros!$C$8,$R42&gt;=Parametros!$C$12),"Alta rentabilidad",IF(OR($V42&lt;Parametros!$C$11,$R42&lt;Parametros!$C$13),"Revisar","Estandar"))</f>
        <v>Alta rentabilidad</v>
      </c>
      <c r="X42" s="67" t="str">
        <f aca="false">IF(AND($J42="E-commerce",IFERROR($T42/$R42,0)&gt;Parametros!$C$14),"Alerta","OK")</f>
        <v>OK</v>
      </c>
      <c r="Y42" s="61" t="str">
        <f aca="false">IF($R42&gt;=Parametros!$C$12,"Alto",IF($R42&lt;Parametros!$C$13,"Bajo","Medio"))</f>
        <v>Alto</v>
      </c>
      <c r="Z42" s="61" t="n">
        <v>1457</v>
      </c>
      <c r="AA42" s="61" t="str">
        <f aca="false">IF(MATCH($A42,Datos_Origen!$A$2:$A$2459,0)=$Z42,"OK","REVISAR")</f>
        <v>OK</v>
      </c>
      <c r="AB42" s="62" t="n">
        <f aca="false">INDEX(Datos_Origen!$B$2:$B$2459,$Z42)</f>
        <v>45309</v>
      </c>
      <c r="AC42" s="61" t="n">
        <f aca="false">INDEX(Datos_Origen!$H$2:$H$2459,$Z42)</f>
        <v>6</v>
      </c>
      <c r="AD42" s="61" t="str">
        <f aca="false">INDEX(Datos_Origen!$D$2:$D$2459,$Z42)&amp;""</f>
        <v>Rosario</v>
      </c>
    </row>
    <row r="43" customFormat="false" ht="15" hidden="false" customHeight="false" outlineLevel="0" collapsed="false">
      <c r="A43" s="61" t="n">
        <f aca="false">INDEX(Datos_Origen!$A$2:$A$2459,$Z43)</f>
        <v>42</v>
      </c>
      <c r="B43" s="62" t="n">
        <f aca="false">IF(ISNUMBER($AB43),$AB43,IF(MID($AB43,5,1)="-",DATE(VALUE(LEFT($AB43,4)),VALUE(MID($AB43,6,2)),VALUE(RIGHT($AB43,2))),DATE(VALUE(RIGHT($AB43,4)),VALUE(MID($AB43,4,2)),VALUE(LEFT($AB43,2)))))</f>
        <v>45316</v>
      </c>
      <c r="C43" s="61" t="n">
        <f aca="false">YEAR($B43)</f>
        <v>2024</v>
      </c>
      <c r="D43" s="61" t="str">
        <f aca="false">"Q"&amp;ROUNDUP(MONTH($B43)/3,0)</f>
        <v>Q1</v>
      </c>
      <c r="E43" s="61" t="n">
        <f aca="false">MONTH($B43)</f>
        <v>1</v>
      </c>
      <c r="F43" s="61" t="str">
        <f aca="false">INDEX(Parametros!$I$5:$I$16,$E43)</f>
        <v>Ene</v>
      </c>
      <c r="G43" s="61" t="str">
        <f aca="false">TEXT($C43,"0000")&amp;"-"&amp;TEXT($E43,"00")</f>
        <v>2024-01</v>
      </c>
      <c r="H43" s="61" t="str">
        <f aca="false">INDEX(Parametros!$C$71:$C$91,MATCH(TRIM(INDEX(Datos_Origen!$C$2:$C$2459,$Z43)),Parametros!$B$71:$B$91,0))</f>
        <v>Litoral</v>
      </c>
      <c r="I43" s="61" t="str">
        <f aca="false">IF(TRIM($AD43)="",INDEX(Parametros!$I$20:$I$24,MATCH($H43,Parametros!$H$20:$H$24,0)),TRIM($AD43))</f>
        <v>Rosario</v>
      </c>
      <c r="J43" s="61" t="str">
        <f aca="false">INDEX(Parametros!$C$95:$C$106,MATCH(TRIM(INDEX(Datos_Origen!$E$2:$E$2459,$Z43)),Parametros!$B$95:$B$106,0))</f>
        <v>E-commerce</v>
      </c>
      <c r="K43" s="61" t="str">
        <f aca="false">INDEX(Parametros!$C$48:$C$67,MATCH(TRIM(INDEX(Datos_Origen!$F$2:$F$2459,$Z43)),Parametros!$B$48:$B$67,0))</f>
        <v>Computacion</v>
      </c>
      <c r="L43" s="61" t="str">
        <f aca="false">$K43&amp;" "&amp;$C43</f>
        <v>Computacion 2024</v>
      </c>
      <c r="M43" s="61" t="str">
        <f aca="false">TRIM(INDEX(Datos_Origen!$G$2:$G$2459,$Z43))</f>
        <v>Laptop Pro 15</v>
      </c>
      <c r="N43" s="61" t="str">
        <f aca="false">$M43&amp;" "&amp;$C43</f>
        <v>Laptop Pro 15 2024</v>
      </c>
      <c r="O43" s="63" t="n">
        <f aca="false">IF(ISTEXT($AC43),VALUE($AC43),$AC43)</f>
        <v>3</v>
      </c>
      <c r="P43" s="64" t="n">
        <f aca="false">INDEX(Datos_Origen!$I$2:$I$2459,$Z43)</f>
        <v>1176</v>
      </c>
      <c r="Q43" s="64" t="n">
        <f aca="false">INDEX(Datos_Origen!$J$2:$J$2459,$Z43)</f>
        <v>744</v>
      </c>
      <c r="R43" s="65" t="n">
        <f aca="false">ROUND($O43*$P43,2)</f>
        <v>3528</v>
      </c>
      <c r="S43" s="65" t="n">
        <f aca="false">ROUND($O43*$Q43,2)</f>
        <v>2232</v>
      </c>
      <c r="T43" s="65" t="n">
        <f aca="false">ROUND($R43*SUMIFS(Parametros!$E$28:$E$43,Parametros!$B$28:$B$43,$J43,Parametros!$C$28:$C$43,$C43,Parametros!$D$28:$D$43,$D43),2)</f>
        <v>148.18</v>
      </c>
      <c r="U43" s="65" t="n">
        <f aca="false">$R43-$S43-$T43</f>
        <v>1147.82</v>
      </c>
      <c r="V43" s="66" t="n">
        <f aca="false">IFERROR($U43/$R43,0)</f>
        <v>0.325345804988662</v>
      </c>
      <c r="W43" s="67" t="str">
        <f aca="false">IF(AND($V43&gt;=Parametros!$C$8,$R43&gt;=Parametros!$C$12),"Alta rentabilidad",IF(OR($V43&lt;Parametros!$C$11,$R43&lt;Parametros!$C$13),"Revisar","Estandar"))</f>
        <v>Estandar</v>
      </c>
      <c r="X43" s="67" t="str">
        <f aca="false">IF(AND($J43="E-commerce",IFERROR($T43/$R43,0)&gt;Parametros!$C$14),"Alerta","OK")</f>
        <v>OK</v>
      </c>
      <c r="Y43" s="61" t="str">
        <f aca="false">IF($R43&gt;=Parametros!$C$12,"Alto",IF($R43&lt;Parametros!$C$13,"Bajo","Medio"))</f>
        <v>Alto</v>
      </c>
      <c r="Z43" s="61" t="n">
        <v>416</v>
      </c>
      <c r="AA43" s="61" t="str">
        <f aca="false">IF(MATCH($A43,Datos_Origen!$A$2:$A$2459,0)=$Z43,"OK","REVISAR")</f>
        <v>OK</v>
      </c>
      <c r="AB43" s="62" t="n">
        <f aca="false">INDEX(Datos_Origen!$B$2:$B$2459,$Z43)</f>
        <v>45316</v>
      </c>
      <c r="AC43" s="61" t="n">
        <f aca="false">INDEX(Datos_Origen!$H$2:$H$2459,$Z43)</f>
        <v>3</v>
      </c>
      <c r="AD43" s="61" t="str">
        <f aca="false">INDEX(Datos_Origen!$D$2:$D$2459,$Z43)&amp;""</f>
        <v>Rosario</v>
      </c>
    </row>
    <row r="44" customFormat="false" ht="15" hidden="false" customHeight="false" outlineLevel="0" collapsed="false">
      <c r="A44" s="61" t="n">
        <f aca="false">INDEX(Datos_Origen!$A$2:$A$2459,$Z44)</f>
        <v>43</v>
      </c>
      <c r="B44" s="62" t="n">
        <f aca="false">IF(ISNUMBER($AB44),$AB44,IF(MID($AB44,5,1)="-",DATE(VALUE(LEFT($AB44,4)),VALUE(MID($AB44,6,2)),VALUE(RIGHT($AB44,2))),DATE(VALUE(RIGHT($AB44,4)),VALUE(MID($AB44,4,2)),VALUE(LEFT($AB44,2)))))</f>
        <v>45296</v>
      </c>
      <c r="C44" s="61" t="n">
        <f aca="false">YEAR($B44)</f>
        <v>2024</v>
      </c>
      <c r="D44" s="61" t="str">
        <f aca="false">"Q"&amp;ROUNDUP(MONTH($B44)/3,0)</f>
        <v>Q1</v>
      </c>
      <c r="E44" s="61" t="n">
        <f aca="false">MONTH($B44)</f>
        <v>1</v>
      </c>
      <c r="F44" s="61" t="str">
        <f aca="false">INDEX(Parametros!$I$5:$I$16,$E44)</f>
        <v>Ene</v>
      </c>
      <c r="G44" s="61" t="str">
        <f aca="false">TEXT($C44,"0000")&amp;"-"&amp;TEXT($E44,"00")</f>
        <v>2024-01</v>
      </c>
      <c r="H44" s="61" t="str">
        <f aca="false">INDEX(Parametros!$C$71:$C$91,MATCH(TRIM(INDEX(Datos_Origen!$C$2:$C$2459,$Z44)),Parametros!$B$71:$B$91,0))</f>
        <v>Litoral</v>
      </c>
      <c r="I44" s="61" t="str">
        <f aca="false">IF(TRIM($AD44)="",INDEX(Parametros!$I$20:$I$24,MATCH($H44,Parametros!$H$20:$H$24,0)),TRIM($AD44))</f>
        <v>Rosario</v>
      </c>
      <c r="J44" s="61" t="str">
        <f aca="false">INDEX(Parametros!$C$95:$C$106,MATCH(TRIM(INDEX(Datos_Origen!$E$2:$E$2459,$Z44)),Parametros!$B$95:$B$106,0))</f>
        <v>Tienda fisica</v>
      </c>
      <c r="K44" s="61" t="str">
        <f aca="false">INDEX(Parametros!$C$48:$C$67,MATCH(TRIM(INDEX(Datos_Origen!$F$2:$F$2459,$Z44)),Parametros!$B$48:$B$67,0))</f>
        <v>Computacion</v>
      </c>
      <c r="L44" s="61" t="str">
        <f aca="false">$K44&amp;" "&amp;$C44</f>
        <v>Computacion 2024</v>
      </c>
      <c r="M44" s="61" t="str">
        <f aca="false">TRIM(INDEX(Datos_Origen!$G$2:$G$2459,$Z44))</f>
        <v>Monitor 4K 27</v>
      </c>
      <c r="N44" s="61" t="str">
        <f aca="false">$M44&amp;" "&amp;$C44</f>
        <v>Monitor 4K 27 2024</v>
      </c>
      <c r="O44" s="63" t="n">
        <f aca="false">IF(ISTEXT($AC44),VALUE($AC44),$AC44)</f>
        <v>7</v>
      </c>
      <c r="P44" s="64" t="n">
        <f aca="false">INDEX(Datos_Origen!$I$2:$I$2459,$Z44)</f>
        <v>441</v>
      </c>
      <c r="Q44" s="64" t="n">
        <f aca="false">INDEX(Datos_Origen!$J$2:$J$2459,$Z44)</f>
        <v>272.25</v>
      </c>
      <c r="R44" s="65" t="n">
        <f aca="false">ROUND($O44*$P44,2)</f>
        <v>3087</v>
      </c>
      <c r="S44" s="65" t="n">
        <f aca="false">ROUND($O44*$Q44,2)</f>
        <v>1905.75</v>
      </c>
      <c r="T44" s="65" t="n">
        <f aca="false">ROUND($R44*SUMIFS(Parametros!$E$28:$E$43,Parametros!$B$28:$B$43,$J44,Parametros!$C$28:$C$43,$C44,Parametros!$D$28:$D$43,$D44),2)</f>
        <v>37.04</v>
      </c>
      <c r="U44" s="65" t="n">
        <f aca="false">$R44-$S44-$T44</f>
        <v>1144.21</v>
      </c>
      <c r="V44" s="66" t="n">
        <f aca="false">IFERROR($U44/$R44,0)</f>
        <v>0.370654356980888</v>
      </c>
      <c r="W44" s="67" t="str">
        <f aca="false">IF(AND($V44&gt;=Parametros!$C$8,$R44&gt;=Parametros!$C$12),"Alta rentabilidad",IF(OR($V44&lt;Parametros!$C$11,$R44&lt;Parametros!$C$13),"Revisar","Estandar"))</f>
        <v>Alta rentabilidad</v>
      </c>
      <c r="X44" s="67" t="str">
        <f aca="false">IF(AND($J44="E-commerce",IFERROR($T44/$R44,0)&gt;Parametros!$C$14),"Alerta","OK")</f>
        <v>OK</v>
      </c>
      <c r="Y44" s="61" t="str">
        <f aca="false">IF($R44&gt;=Parametros!$C$12,"Alto",IF($R44&lt;Parametros!$C$13,"Bajo","Medio"))</f>
        <v>Alto</v>
      </c>
      <c r="Z44" s="61" t="n">
        <v>2273</v>
      </c>
      <c r="AA44" s="61" t="str">
        <f aca="false">IF(MATCH($A44,Datos_Origen!$A$2:$A$2459,0)=$Z44,"OK","REVISAR")</f>
        <v>OK</v>
      </c>
      <c r="AB44" s="62" t="n">
        <f aca="false">INDEX(Datos_Origen!$B$2:$B$2459,$Z44)</f>
        <v>45296</v>
      </c>
      <c r="AC44" s="61" t="n">
        <f aca="false">INDEX(Datos_Origen!$H$2:$H$2459,$Z44)</f>
        <v>7</v>
      </c>
      <c r="AD44" s="61" t="str">
        <f aca="false">INDEX(Datos_Origen!$D$2:$D$2459,$Z44)&amp;""</f>
        <v>Rosario</v>
      </c>
    </row>
    <row r="45" customFormat="false" ht="15" hidden="false" customHeight="false" outlineLevel="0" collapsed="false">
      <c r="A45" s="61" t="n">
        <f aca="false">INDEX(Datos_Origen!$A$2:$A$2459,$Z45)</f>
        <v>44</v>
      </c>
      <c r="B45" s="62" t="n">
        <f aca="false">IF(ISNUMBER($AB45),$AB45,IF(MID($AB45,5,1)="-",DATE(VALUE(LEFT($AB45,4)),VALUE(MID($AB45,6,2)),VALUE(RIGHT($AB45,2))),DATE(VALUE(RIGHT($AB45,4)),VALUE(MID($AB45,4,2)),VALUE(LEFT($AB45,2)))))</f>
        <v>45303</v>
      </c>
      <c r="C45" s="61" t="n">
        <f aca="false">YEAR($B45)</f>
        <v>2024</v>
      </c>
      <c r="D45" s="61" t="str">
        <f aca="false">"Q"&amp;ROUNDUP(MONTH($B45)/3,0)</f>
        <v>Q1</v>
      </c>
      <c r="E45" s="61" t="n">
        <f aca="false">MONTH($B45)</f>
        <v>1</v>
      </c>
      <c r="F45" s="61" t="str">
        <f aca="false">INDEX(Parametros!$I$5:$I$16,$E45)</f>
        <v>Ene</v>
      </c>
      <c r="G45" s="61" t="str">
        <f aca="false">TEXT($C45,"0000")&amp;"-"&amp;TEXT($E45,"00")</f>
        <v>2024-01</v>
      </c>
      <c r="H45" s="61" t="str">
        <f aca="false">INDEX(Parametros!$C$71:$C$91,MATCH(TRIM(INDEX(Datos_Origen!$C$2:$C$2459,$Z45)),Parametros!$B$71:$B$91,0))</f>
        <v>Litoral</v>
      </c>
      <c r="I45" s="61" t="str">
        <f aca="false">IF(TRIM($AD45)="",INDEX(Parametros!$I$20:$I$24,MATCH($H45,Parametros!$H$20:$H$24,0)),TRIM($AD45))</f>
        <v>Rosario</v>
      </c>
      <c r="J45" s="61" t="str">
        <f aca="false">INDEX(Parametros!$C$95:$C$106,MATCH(TRIM(INDEX(Datos_Origen!$E$2:$E$2459,$Z45)),Parametros!$B$95:$B$106,0))</f>
        <v>E-commerce</v>
      </c>
      <c r="K45" s="61" t="str">
        <f aca="false">INDEX(Parametros!$C$48:$C$67,MATCH(TRIM(INDEX(Datos_Origen!$F$2:$F$2459,$Z45)),Parametros!$B$48:$B$67,0))</f>
        <v>Computacion</v>
      </c>
      <c r="L45" s="61" t="str">
        <f aca="false">$K45&amp;" "&amp;$C45</f>
        <v>Computacion 2024</v>
      </c>
      <c r="M45" s="61" t="str">
        <f aca="false">TRIM(INDEX(Datos_Origen!$G$2:$G$2459,$Z45))</f>
        <v>Monitor 4K 27</v>
      </c>
      <c r="N45" s="61" t="str">
        <f aca="false">$M45&amp;" "&amp;$C45</f>
        <v>Monitor 4K 27 2024</v>
      </c>
      <c r="O45" s="63" t="n">
        <f aca="false">IF(ISTEXT($AC45),VALUE($AC45),$AC45)</f>
        <v>3</v>
      </c>
      <c r="P45" s="64" t="n">
        <f aca="false">INDEX(Datos_Origen!$I$2:$I$2459,$Z45)</f>
        <v>441</v>
      </c>
      <c r="Q45" s="64" t="n">
        <f aca="false">INDEX(Datos_Origen!$J$2:$J$2459,$Z45)</f>
        <v>272.25</v>
      </c>
      <c r="R45" s="65" t="n">
        <f aca="false">ROUND($O45*$P45,2)</f>
        <v>1323</v>
      </c>
      <c r="S45" s="65" t="n">
        <f aca="false">ROUND($O45*$Q45,2)</f>
        <v>816.75</v>
      </c>
      <c r="T45" s="65" t="n">
        <f aca="false">ROUND($R45*SUMIFS(Parametros!$E$28:$E$43,Parametros!$B$28:$B$43,$J45,Parametros!$C$28:$C$43,$C45,Parametros!$D$28:$D$43,$D45),2)</f>
        <v>55.57</v>
      </c>
      <c r="U45" s="65" t="n">
        <f aca="false">$R45-$S45-$T45</f>
        <v>450.68</v>
      </c>
      <c r="V45" s="66" t="n">
        <f aca="false">IFERROR($U45/$R45,0)</f>
        <v>0.340650037792895</v>
      </c>
      <c r="W45" s="67" t="str">
        <f aca="false">IF(AND($V45&gt;=Parametros!$C$8,$R45&gt;=Parametros!$C$12),"Alta rentabilidad",IF(OR($V45&lt;Parametros!$C$11,$R45&lt;Parametros!$C$13),"Revisar","Estandar"))</f>
        <v>Estandar</v>
      </c>
      <c r="X45" s="67" t="str">
        <f aca="false">IF(AND($J45="E-commerce",IFERROR($T45/$R45,0)&gt;Parametros!$C$14),"Alerta","OK")</f>
        <v>OK</v>
      </c>
      <c r="Y45" s="61" t="str">
        <f aca="false">IF($R45&gt;=Parametros!$C$12,"Alto",IF($R45&lt;Parametros!$C$13,"Bajo","Medio"))</f>
        <v>Medio</v>
      </c>
      <c r="Z45" s="61" t="n">
        <v>1475</v>
      </c>
      <c r="AA45" s="61" t="str">
        <f aca="false">IF(MATCH($A45,Datos_Origen!$A$2:$A$2459,0)=$Z45,"OK","REVISAR")</f>
        <v>OK</v>
      </c>
      <c r="AB45" s="62" t="n">
        <f aca="false">INDEX(Datos_Origen!$B$2:$B$2459,$Z45)</f>
        <v>45303</v>
      </c>
      <c r="AC45" s="61" t="n">
        <f aca="false">INDEX(Datos_Origen!$H$2:$H$2459,$Z45)</f>
        <v>3</v>
      </c>
      <c r="AD45" s="61" t="str">
        <f aca="false">INDEX(Datos_Origen!$D$2:$D$2459,$Z45)&amp;""</f>
        <v>Rosario</v>
      </c>
    </row>
    <row r="46" customFormat="false" ht="15" hidden="false" customHeight="false" outlineLevel="0" collapsed="false">
      <c r="A46" s="61" t="n">
        <f aca="false">INDEX(Datos_Origen!$A$2:$A$2459,$Z46)</f>
        <v>45</v>
      </c>
      <c r="B46" s="62" t="n">
        <f aca="false">IF(ISNUMBER($AB46),$AB46,IF(MID($AB46,5,1)="-",DATE(VALUE(LEFT($AB46,4)),VALUE(MID($AB46,6,2)),VALUE(RIGHT($AB46,2))),DATE(VALUE(RIGHT($AB46,4)),VALUE(MID($AB46,4,2)),VALUE(LEFT($AB46,2)))))</f>
        <v>45310</v>
      </c>
      <c r="C46" s="61" t="n">
        <f aca="false">YEAR($B46)</f>
        <v>2024</v>
      </c>
      <c r="D46" s="61" t="str">
        <f aca="false">"Q"&amp;ROUNDUP(MONTH($B46)/3,0)</f>
        <v>Q1</v>
      </c>
      <c r="E46" s="61" t="n">
        <f aca="false">MONTH($B46)</f>
        <v>1</v>
      </c>
      <c r="F46" s="61" t="str">
        <f aca="false">INDEX(Parametros!$I$5:$I$16,$E46)</f>
        <v>Ene</v>
      </c>
      <c r="G46" s="61" t="str">
        <f aca="false">TEXT($C46,"0000")&amp;"-"&amp;TEXT($E46,"00")</f>
        <v>2024-01</v>
      </c>
      <c r="H46" s="61" t="str">
        <f aca="false">INDEX(Parametros!$C$71:$C$91,MATCH(TRIM(INDEX(Datos_Origen!$C$2:$C$2459,$Z46)),Parametros!$B$71:$B$91,0))</f>
        <v>Litoral</v>
      </c>
      <c r="I46" s="61" t="str">
        <f aca="false">IF(TRIM($AD46)="",INDEX(Parametros!$I$20:$I$24,MATCH($H46,Parametros!$H$20:$H$24,0)),TRIM($AD46))</f>
        <v>Rosario</v>
      </c>
      <c r="J46" s="61" t="str">
        <f aca="false">INDEX(Parametros!$C$95:$C$106,MATCH(TRIM(INDEX(Datos_Origen!$E$2:$E$2459,$Z46)),Parametros!$B$95:$B$106,0))</f>
        <v>Tienda fisica</v>
      </c>
      <c r="K46" s="61" t="str">
        <f aca="false">INDEX(Parametros!$C$48:$C$67,MATCH(TRIM(INDEX(Datos_Origen!$F$2:$F$2459,$Z46)),Parametros!$B$48:$B$67,0))</f>
        <v>Computacion</v>
      </c>
      <c r="L46" s="61" t="str">
        <f aca="false">$K46&amp;" "&amp;$C46</f>
        <v>Computacion 2024</v>
      </c>
      <c r="M46" s="61" t="str">
        <f aca="false">TRIM(INDEX(Datos_Origen!$G$2:$G$2459,$Z46))</f>
        <v>PC Gamer Ryzen</v>
      </c>
      <c r="N46" s="61" t="str">
        <f aca="false">$M46&amp;" "&amp;$C46</f>
        <v>PC Gamer Ryzen 2024</v>
      </c>
      <c r="O46" s="63" t="n">
        <f aca="false">IF(ISTEXT($AC46),VALUE($AC46),$AC46)</f>
        <v>7</v>
      </c>
      <c r="P46" s="64" t="n">
        <f aca="false">INDEX(Datos_Origen!$I$2:$I$2459,$Z46)</f>
        <v>1617</v>
      </c>
      <c r="Q46" s="64" t="n">
        <f aca="false">INDEX(Datos_Origen!$J$2:$J$2459,$Z46)</f>
        <v>1122</v>
      </c>
      <c r="R46" s="65" t="n">
        <f aca="false">ROUND($O46*$P46,2)</f>
        <v>11319</v>
      </c>
      <c r="S46" s="65" t="n">
        <f aca="false">ROUND($O46*$Q46,2)</f>
        <v>7854</v>
      </c>
      <c r="T46" s="65" t="n">
        <f aca="false">ROUND($R46*SUMIFS(Parametros!$E$28:$E$43,Parametros!$B$28:$B$43,$J46,Parametros!$C$28:$C$43,$C46,Parametros!$D$28:$D$43,$D46),2)</f>
        <v>135.83</v>
      </c>
      <c r="U46" s="65" t="n">
        <f aca="false">$R46-$S46-$T46</f>
        <v>3329.17</v>
      </c>
      <c r="V46" s="66" t="n">
        <f aca="false">IFERROR($U46/$R46,0)</f>
        <v>0.294122272285538</v>
      </c>
      <c r="W46" s="67" t="str">
        <f aca="false">IF(AND($V46&gt;=Parametros!$C$8,$R46&gt;=Parametros!$C$12),"Alta rentabilidad",IF(OR($V46&lt;Parametros!$C$11,$R46&lt;Parametros!$C$13),"Revisar","Estandar"))</f>
        <v>Estandar</v>
      </c>
      <c r="X46" s="67" t="str">
        <f aca="false">IF(AND($J46="E-commerce",IFERROR($T46/$R46,0)&gt;Parametros!$C$14),"Alerta","OK")</f>
        <v>OK</v>
      </c>
      <c r="Y46" s="61" t="str">
        <f aca="false">IF($R46&gt;=Parametros!$C$12,"Alto",IF($R46&lt;Parametros!$C$13,"Bajo","Medio"))</f>
        <v>Alto</v>
      </c>
      <c r="Z46" s="61" t="n">
        <v>1851</v>
      </c>
      <c r="AA46" s="61" t="str">
        <f aca="false">IF(MATCH($A46,Datos_Origen!$A$2:$A$2459,0)=$Z46,"OK","REVISAR")</f>
        <v>OK</v>
      </c>
      <c r="AB46" s="62" t="n">
        <f aca="false">INDEX(Datos_Origen!$B$2:$B$2459,$Z46)</f>
        <v>45310</v>
      </c>
      <c r="AC46" s="61" t="n">
        <f aca="false">INDEX(Datos_Origen!$H$2:$H$2459,$Z46)</f>
        <v>7</v>
      </c>
      <c r="AD46" s="61" t="str">
        <f aca="false">INDEX(Datos_Origen!$D$2:$D$2459,$Z46)&amp;""</f>
        <v>Rosario</v>
      </c>
    </row>
    <row r="47" customFormat="false" ht="15" hidden="false" customHeight="false" outlineLevel="0" collapsed="false">
      <c r="A47" s="61" t="n">
        <f aca="false">INDEX(Datos_Origen!$A$2:$A$2459,$Z47)</f>
        <v>46</v>
      </c>
      <c r="B47" s="62" t="n">
        <f aca="false">IF(ISNUMBER($AB47),$AB47,IF(MID($AB47,5,1)="-",DATE(VALUE(LEFT($AB47,4)),VALUE(MID($AB47,6,2)),VALUE(RIGHT($AB47,2))),DATE(VALUE(RIGHT($AB47,4)),VALUE(MID($AB47,4,2)),VALUE(LEFT($AB47,2)))))</f>
        <v>45317</v>
      </c>
      <c r="C47" s="61" t="n">
        <f aca="false">YEAR($B47)</f>
        <v>2024</v>
      </c>
      <c r="D47" s="61" t="str">
        <f aca="false">"Q"&amp;ROUNDUP(MONTH($B47)/3,0)</f>
        <v>Q1</v>
      </c>
      <c r="E47" s="61" t="n">
        <f aca="false">MONTH($B47)</f>
        <v>1</v>
      </c>
      <c r="F47" s="61" t="str">
        <f aca="false">INDEX(Parametros!$I$5:$I$16,$E47)</f>
        <v>Ene</v>
      </c>
      <c r="G47" s="61" t="str">
        <f aca="false">TEXT($C47,"0000")&amp;"-"&amp;TEXT($E47,"00")</f>
        <v>2024-01</v>
      </c>
      <c r="H47" s="61" t="str">
        <f aca="false">INDEX(Parametros!$C$71:$C$91,MATCH(TRIM(INDEX(Datos_Origen!$C$2:$C$2459,$Z47)),Parametros!$B$71:$B$91,0))</f>
        <v>Litoral</v>
      </c>
      <c r="I47" s="61" t="str">
        <f aca="false">IF(TRIM($AD47)="",INDEX(Parametros!$I$20:$I$24,MATCH($H47,Parametros!$H$20:$H$24,0)),TRIM($AD47))</f>
        <v>Rosario</v>
      </c>
      <c r="J47" s="61" t="str">
        <f aca="false">INDEX(Parametros!$C$95:$C$106,MATCH(TRIM(INDEX(Datos_Origen!$E$2:$E$2459,$Z47)),Parametros!$B$95:$B$106,0))</f>
        <v>E-commerce</v>
      </c>
      <c r="K47" s="61" t="str">
        <f aca="false">INDEX(Parametros!$C$48:$C$67,MATCH(TRIM(INDEX(Datos_Origen!$F$2:$F$2459,$Z47)),Parametros!$B$48:$B$67,0))</f>
        <v>Computacion</v>
      </c>
      <c r="L47" s="61" t="str">
        <f aca="false">$K47&amp;" "&amp;$C47</f>
        <v>Computacion 2024</v>
      </c>
      <c r="M47" s="61" t="str">
        <f aca="false">TRIM(INDEX(Datos_Origen!$G$2:$G$2459,$Z47))</f>
        <v>PC Gamer Ryzen</v>
      </c>
      <c r="N47" s="61" t="str">
        <f aca="false">$M47&amp;" "&amp;$C47</f>
        <v>PC Gamer Ryzen 2024</v>
      </c>
      <c r="O47" s="63" t="n">
        <f aca="false">IF(ISTEXT($AC47),VALUE($AC47),$AC47)</f>
        <v>3</v>
      </c>
      <c r="P47" s="64" t="n">
        <f aca="false">INDEX(Datos_Origen!$I$2:$I$2459,$Z47)</f>
        <v>1617</v>
      </c>
      <c r="Q47" s="64" t="n">
        <f aca="false">INDEX(Datos_Origen!$J$2:$J$2459,$Z47)</f>
        <v>1122</v>
      </c>
      <c r="R47" s="65" t="n">
        <f aca="false">ROUND($O47*$P47,2)</f>
        <v>4851</v>
      </c>
      <c r="S47" s="65" t="n">
        <f aca="false">ROUND($O47*$Q47,2)</f>
        <v>3366</v>
      </c>
      <c r="T47" s="65" t="n">
        <f aca="false">ROUND($R47*SUMIFS(Parametros!$E$28:$E$43,Parametros!$B$28:$B$43,$J47,Parametros!$C$28:$C$43,$C47,Parametros!$D$28:$D$43,$D47),2)</f>
        <v>203.74</v>
      </c>
      <c r="U47" s="65" t="n">
        <f aca="false">$R47-$S47-$T47</f>
        <v>1281.26</v>
      </c>
      <c r="V47" s="66" t="n">
        <f aca="false">IFERROR($U47/$R47,0)</f>
        <v>0.264122861265718</v>
      </c>
      <c r="W47" s="67" t="str">
        <f aca="false">IF(AND($V47&gt;=Parametros!$C$8,$R47&gt;=Parametros!$C$12),"Alta rentabilidad",IF(OR($V47&lt;Parametros!$C$11,$R47&lt;Parametros!$C$13),"Revisar","Estandar"))</f>
        <v>Revisar</v>
      </c>
      <c r="X47" s="67" t="str">
        <f aca="false">IF(AND($J47="E-commerce",IFERROR($T47/$R47,0)&gt;Parametros!$C$14),"Alerta","OK")</f>
        <v>OK</v>
      </c>
      <c r="Y47" s="61" t="str">
        <f aca="false">IF($R47&gt;=Parametros!$C$12,"Alto",IF($R47&lt;Parametros!$C$13,"Bajo","Medio"))</f>
        <v>Alto</v>
      </c>
      <c r="Z47" s="61" t="n">
        <v>1309</v>
      </c>
      <c r="AA47" s="61" t="str">
        <f aca="false">IF(MATCH($A47,Datos_Origen!$A$2:$A$2459,0)=$Z47,"OK","REVISAR")</f>
        <v>OK</v>
      </c>
      <c r="AB47" s="62" t="n">
        <f aca="false">INDEX(Datos_Origen!$B$2:$B$2459,$Z47)</f>
        <v>45317</v>
      </c>
      <c r="AC47" s="61" t="n">
        <f aca="false">INDEX(Datos_Origen!$H$2:$H$2459,$Z47)</f>
        <v>3</v>
      </c>
      <c r="AD47" s="61" t="str">
        <f aca="false">INDEX(Datos_Origen!$D$2:$D$2459,$Z47)&amp;""</f>
        <v>Rosario</v>
      </c>
    </row>
    <row r="48" customFormat="false" ht="15" hidden="false" customHeight="false" outlineLevel="0" collapsed="false">
      <c r="A48" s="61" t="n">
        <f aca="false">INDEX(Datos_Origen!$A$2:$A$2459,$Z48)</f>
        <v>47</v>
      </c>
      <c r="B48" s="62" t="n">
        <f aca="false">IF(ISNUMBER($AB48),$AB48,IF(MID($AB48,5,1)="-",DATE(VALUE(LEFT($AB48,4)),VALUE(MID($AB48,6,2)),VALUE(RIGHT($AB48,2))),DATE(VALUE(RIGHT($AB48,4)),VALUE(MID($AB48,4,2)),VALUE(LEFT($AB48,2)))))</f>
        <v>45297</v>
      </c>
      <c r="C48" s="61" t="n">
        <f aca="false">YEAR($B48)</f>
        <v>2024</v>
      </c>
      <c r="D48" s="61" t="str">
        <f aca="false">"Q"&amp;ROUNDUP(MONTH($B48)/3,0)</f>
        <v>Q1</v>
      </c>
      <c r="E48" s="61" t="n">
        <f aca="false">MONTH($B48)</f>
        <v>1</v>
      </c>
      <c r="F48" s="61" t="str">
        <f aca="false">INDEX(Parametros!$I$5:$I$16,$E48)</f>
        <v>Ene</v>
      </c>
      <c r="G48" s="61" t="str">
        <f aca="false">TEXT($C48,"0000")&amp;"-"&amp;TEXT($E48,"00")</f>
        <v>2024-01</v>
      </c>
      <c r="H48" s="61" t="str">
        <f aca="false">INDEX(Parametros!$C$71:$C$91,MATCH(TRIM(INDEX(Datos_Origen!$C$2:$C$2459,$Z48)),Parametros!$B$71:$B$91,0))</f>
        <v>Litoral</v>
      </c>
      <c r="I48" s="61" t="str">
        <f aca="false">IF(TRIM($AD48)="",INDEX(Parametros!$I$20:$I$24,MATCH($H48,Parametros!$H$20:$H$24,0)),TRIM($AD48))</f>
        <v>Rosario</v>
      </c>
      <c r="J48" s="61" t="str">
        <f aca="false">INDEX(Parametros!$C$95:$C$106,MATCH(TRIM(INDEX(Datos_Origen!$E$2:$E$2459,$Z48)),Parametros!$B$95:$B$106,0))</f>
        <v>Tienda fisica</v>
      </c>
      <c r="K48" s="61" t="str">
        <f aca="false">INDEX(Parametros!$C$48:$C$67,MATCH(TRIM(INDEX(Datos_Origen!$F$2:$F$2459,$Z48)),Parametros!$B$48:$B$67,0))</f>
        <v>Accesorios</v>
      </c>
      <c r="L48" s="61" t="str">
        <f aca="false">$K48&amp;" "&amp;$C48</f>
        <v>Accesorios 2024</v>
      </c>
      <c r="M48" s="61" t="str">
        <f aca="false">TRIM(INDEX(Datos_Origen!$G$2:$G$2459,$Z48))</f>
        <v>Mouse Inalambrico</v>
      </c>
      <c r="N48" s="61" t="str">
        <f aca="false">$M48&amp;" "&amp;$C48</f>
        <v>Mouse Inalambrico 2024</v>
      </c>
      <c r="O48" s="63" t="n">
        <f aca="false">IF(ISTEXT($AC48),VALUE($AC48),$AC48)</f>
        <v>32</v>
      </c>
      <c r="P48" s="64" t="n">
        <f aca="false">INDEX(Datos_Origen!$I$2:$I$2459,$Z48)</f>
        <v>27.44</v>
      </c>
      <c r="Q48" s="64" t="n">
        <f aca="false">INDEX(Datos_Origen!$J$2:$J$2459,$Z48)</f>
        <v>13.44</v>
      </c>
      <c r="R48" s="65" t="n">
        <f aca="false">ROUND($O48*$P48,2)</f>
        <v>878.08</v>
      </c>
      <c r="S48" s="65" t="n">
        <f aca="false">ROUND($O48*$Q48,2)</f>
        <v>430.08</v>
      </c>
      <c r="T48" s="65" t="n">
        <f aca="false">ROUND($R48*SUMIFS(Parametros!$E$28:$E$43,Parametros!$B$28:$B$43,$J48,Parametros!$C$28:$C$43,$C48,Parametros!$D$28:$D$43,$D48),2)</f>
        <v>10.54</v>
      </c>
      <c r="U48" s="65" t="n">
        <f aca="false">$R48-$S48-$T48</f>
        <v>437.46</v>
      </c>
      <c r="V48" s="66" t="n">
        <f aca="false">IFERROR($U48/$R48,0)</f>
        <v>0.498200619533528</v>
      </c>
      <c r="W48" s="67" t="str">
        <f aca="false">IF(AND($V48&gt;=Parametros!$C$8,$R48&gt;=Parametros!$C$12),"Alta rentabilidad",IF(OR($V48&lt;Parametros!$C$11,$R48&lt;Parametros!$C$13),"Revisar","Estandar"))</f>
        <v>Estandar</v>
      </c>
      <c r="X48" s="67" t="str">
        <f aca="false">IF(AND($J48="E-commerce",IFERROR($T48/$R48,0)&gt;Parametros!$C$14),"Alerta","OK")</f>
        <v>OK</v>
      </c>
      <c r="Y48" s="61" t="str">
        <f aca="false">IF($R48&gt;=Parametros!$C$12,"Alto",IF($R48&lt;Parametros!$C$13,"Bajo","Medio"))</f>
        <v>Medio</v>
      </c>
      <c r="Z48" s="61" t="n">
        <v>1383</v>
      </c>
      <c r="AA48" s="61" t="str">
        <f aca="false">IF(MATCH($A48,Datos_Origen!$A$2:$A$2459,0)=$Z48,"OK","REVISAR")</f>
        <v>OK</v>
      </c>
      <c r="AB48" s="61" t="str">
        <f aca="false">INDEX(Datos_Origen!$B$2:$B$2459,$Z48)</f>
        <v>06/01/2024</v>
      </c>
      <c r="AC48" s="61" t="n">
        <f aca="false">INDEX(Datos_Origen!$H$2:$H$2459,$Z48)</f>
        <v>32</v>
      </c>
      <c r="AD48" s="61" t="str">
        <f aca="false">INDEX(Datos_Origen!$D$2:$D$2459,$Z48)&amp;""</f>
        <v>Rosario</v>
      </c>
    </row>
    <row r="49" customFormat="false" ht="15" hidden="false" customHeight="false" outlineLevel="0" collapsed="false">
      <c r="A49" s="61" t="n">
        <f aca="false">INDEX(Datos_Origen!$A$2:$A$2459,$Z49)</f>
        <v>48</v>
      </c>
      <c r="B49" s="62" t="n">
        <f aca="false">IF(ISNUMBER($AB49),$AB49,IF(MID($AB49,5,1)="-",DATE(VALUE(LEFT($AB49,4)),VALUE(MID($AB49,6,2)),VALUE(RIGHT($AB49,2))),DATE(VALUE(RIGHT($AB49,4)),VALUE(MID($AB49,4,2)),VALUE(LEFT($AB49,2)))))</f>
        <v>45304</v>
      </c>
      <c r="C49" s="61" t="n">
        <f aca="false">YEAR($B49)</f>
        <v>2024</v>
      </c>
      <c r="D49" s="61" t="str">
        <f aca="false">"Q"&amp;ROUNDUP(MONTH($B49)/3,0)</f>
        <v>Q1</v>
      </c>
      <c r="E49" s="61" t="n">
        <f aca="false">MONTH($B49)</f>
        <v>1</v>
      </c>
      <c r="F49" s="61" t="str">
        <f aca="false">INDEX(Parametros!$I$5:$I$16,$E49)</f>
        <v>Ene</v>
      </c>
      <c r="G49" s="61" t="str">
        <f aca="false">TEXT($C49,"0000")&amp;"-"&amp;TEXT($E49,"00")</f>
        <v>2024-01</v>
      </c>
      <c r="H49" s="61" t="str">
        <f aca="false">INDEX(Parametros!$C$71:$C$91,MATCH(TRIM(INDEX(Datos_Origen!$C$2:$C$2459,$Z49)),Parametros!$B$71:$B$91,0))</f>
        <v>Litoral</v>
      </c>
      <c r="I49" s="61" t="str">
        <f aca="false">IF(TRIM($AD49)="",INDEX(Parametros!$I$20:$I$24,MATCH($H49,Parametros!$H$20:$H$24,0)),TRIM($AD49))</f>
        <v>Rosario</v>
      </c>
      <c r="J49" s="61" t="str">
        <f aca="false">INDEX(Parametros!$C$95:$C$106,MATCH(TRIM(INDEX(Datos_Origen!$E$2:$E$2459,$Z49)),Parametros!$B$95:$B$106,0))</f>
        <v>E-commerce</v>
      </c>
      <c r="K49" s="61" t="str">
        <f aca="false">INDEX(Parametros!$C$48:$C$67,MATCH(TRIM(INDEX(Datos_Origen!$F$2:$F$2459,$Z49)),Parametros!$B$48:$B$67,0))</f>
        <v>Accesorios</v>
      </c>
      <c r="L49" s="61" t="str">
        <f aca="false">$K49&amp;" "&amp;$C49</f>
        <v>Accesorios 2024</v>
      </c>
      <c r="M49" s="61" t="str">
        <f aca="false">TRIM(INDEX(Datos_Origen!$G$2:$G$2459,$Z49))</f>
        <v>Mouse Inalambrico</v>
      </c>
      <c r="N49" s="61" t="str">
        <f aca="false">$M49&amp;" "&amp;$C49</f>
        <v>Mouse Inalambrico 2024</v>
      </c>
      <c r="O49" s="63" t="n">
        <f aca="false">IF(ISTEXT($AC49),VALUE($AC49),$AC49)</f>
        <v>12</v>
      </c>
      <c r="P49" s="64" t="n">
        <f aca="false">INDEX(Datos_Origen!$I$2:$I$2459,$Z49)</f>
        <v>27.44</v>
      </c>
      <c r="Q49" s="64" t="n">
        <f aca="false">INDEX(Datos_Origen!$J$2:$J$2459,$Z49)</f>
        <v>13.44</v>
      </c>
      <c r="R49" s="65" t="n">
        <f aca="false">ROUND($O49*$P49,2)</f>
        <v>329.28</v>
      </c>
      <c r="S49" s="65" t="n">
        <f aca="false">ROUND($O49*$Q49,2)</f>
        <v>161.28</v>
      </c>
      <c r="T49" s="65" t="n">
        <f aca="false">ROUND($R49*SUMIFS(Parametros!$E$28:$E$43,Parametros!$B$28:$B$43,$J49,Parametros!$C$28:$C$43,$C49,Parametros!$D$28:$D$43,$D49),2)</f>
        <v>13.83</v>
      </c>
      <c r="U49" s="65" t="n">
        <f aca="false">$R49-$S49-$T49</f>
        <v>154.17</v>
      </c>
      <c r="V49" s="66" t="n">
        <f aca="false">IFERROR($U49/$R49,0)</f>
        <v>0.468203352769679</v>
      </c>
      <c r="W49" s="67" t="str">
        <f aca="false">IF(AND($V49&gt;=Parametros!$C$8,$R49&gt;=Parametros!$C$12),"Alta rentabilidad",IF(OR($V49&lt;Parametros!$C$11,$R49&lt;Parametros!$C$13),"Revisar","Estandar"))</f>
        <v>Estandar</v>
      </c>
      <c r="X49" s="67" t="str">
        <f aca="false">IF(AND($J49="E-commerce",IFERROR($T49/$R49,0)&gt;Parametros!$C$14),"Alerta","OK")</f>
        <v>OK</v>
      </c>
      <c r="Y49" s="61" t="str">
        <f aca="false">IF($R49&gt;=Parametros!$C$12,"Alto",IF($R49&lt;Parametros!$C$13,"Bajo","Medio"))</f>
        <v>Medio</v>
      </c>
      <c r="Z49" s="61" t="n">
        <v>423</v>
      </c>
      <c r="AA49" s="61" t="str">
        <f aca="false">IF(MATCH($A49,Datos_Origen!$A$2:$A$2459,0)=$Z49,"OK","REVISAR")</f>
        <v>OK</v>
      </c>
      <c r="AB49" s="62" t="n">
        <f aca="false">INDEX(Datos_Origen!$B$2:$B$2459,$Z49)</f>
        <v>45304</v>
      </c>
      <c r="AC49" s="61" t="str">
        <f aca="false">INDEX(Datos_Origen!$H$2:$H$2459,$Z49)</f>
        <v>12</v>
      </c>
      <c r="AD49" s="61" t="str">
        <f aca="false">INDEX(Datos_Origen!$D$2:$D$2459,$Z49)&amp;""</f>
        <v>Rosario</v>
      </c>
    </row>
    <row r="50" customFormat="false" ht="15" hidden="false" customHeight="false" outlineLevel="0" collapsed="false">
      <c r="A50" s="61" t="n">
        <f aca="false">INDEX(Datos_Origen!$A$2:$A$2459,$Z50)</f>
        <v>49</v>
      </c>
      <c r="B50" s="62" t="n">
        <f aca="false">IF(ISNUMBER($AB50),$AB50,IF(MID($AB50,5,1)="-",DATE(VALUE(LEFT($AB50,4)),VALUE(MID($AB50,6,2)),VALUE(RIGHT($AB50,2))),DATE(VALUE(RIGHT($AB50,4)),VALUE(MID($AB50,4,2)),VALUE(LEFT($AB50,2)))))</f>
        <v>45311</v>
      </c>
      <c r="C50" s="61" t="n">
        <f aca="false">YEAR($B50)</f>
        <v>2024</v>
      </c>
      <c r="D50" s="61" t="str">
        <f aca="false">"Q"&amp;ROUNDUP(MONTH($B50)/3,0)</f>
        <v>Q1</v>
      </c>
      <c r="E50" s="61" t="n">
        <f aca="false">MONTH($B50)</f>
        <v>1</v>
      </c>
      <c r="F50" s="61" t="str">
        <f aca="false">INDEX(Parametros!$I$5:$I$16,$E50)</f>
        <v>Ene</v>
      </c>
      <c r="G50" s="61" t="str">
        <f aca="false">TEXT($C50,"0000")&amp;"-"&amp;TEXT($E50,"00")</f>
        <v>2024-01</v>
      </c>
      <c r="H50" s="61" t="str">
        <f aca="false">INDEX(Parametros!$C$71:$C$91,MATCH(TRIM(INDEX(Datos_Origen!$C$2:$C$2459,$Z50)),Parametros!$B$71:$B$91,0))</f>
        <v>Litoral</v>
      </c>
      <c r="I50" s="61" t="str">
        <f aca="false">IF(TRIM($AD50)="",INDEX(Parametros!$I$20:$I$24,MATCH($H50,Parametros!$H$20:$H$24,0)),TRIM($AD50))</f>
        <v>Rosario</v>
      </c>
      <c r="J50" s="61" t="str">
        <f aca="false">INDEX(Parametros!$C$95:$C$106,MATCH(TRIM(INDEX(Datos_Origen!$E$2:$E$2459,$Z50)),Parametros!$B$95:$B$106,0))</f>
        <v>Tienda fisica</v>
      </c>
      <c r="K50" s="61" t="str">
        <f aca="false">INDEX(Parametros!$C$48:$C$67,MATCH(TRIM(INDEX(Datos_Origen!$F$2:$F$2459,$Z50)),Parametros!$B$48:$B$67,0))</f>
        <v>Accesorios</v>
      </c>
      <c r="L50" s="61" t="str">
        <f aca="false">$K50&amp;" "&amp;$C50</f>
        <v>Accesorios 2024</v>
      </c>
      <c r="M50" s="61" t="str">
        <f aca="false">TRIM(INDEX(Datos_Origen!$G$2:$G$2459,$Z50))</f>
        <v>Teclado Mecanico</v>
      </c>
      <c r="N50" s="61" t="str">
        <f aca="false">$M50&amp;" "&amp;$C50</f>
        <v>Teclado Mecanico 2024</v>
      </c>
      <c r="O50" s="63" t="n">
        <f aca="false">IF(ISTEXT($AC50),VALUE($AC50),$AC50)</f>
        <v>36</v>
      </c>
      <c r="P50" s="64" t="n">
        <f aca="false">INDEX(Datos_Origen!$I$2:$I$2459,$Z50)</f>
        <v>93.1</v>
      </c>
      <c r="Q50" s="64" t="n">
        <f aca="false">INDEX(Datos_Origen!$J$2:$J$2459,$Z50)</f>
        <v>47.98</v>
      </c>
      <c r="R50" s="65" t="n">
        <f aca="false">ROUND($O50*$P50,2)</f>
        <v>3351.6</v>
      </c>
      <c r="S50" s="65" t="n">
        <f aca="false">ROUND($O50*$Q50,2)</f>
        <v>1727.28</v>
      </c>
      <c r="T50" s="65" t="n">
        <f aca="false">ROUND($R50*SUMIFS(Parametros!$E$28:$E$43,Parametros!$B$28:$B$43,$J50,Parametros!$C$28:$C$43,$C50,Parametros!$D$28:$D$43,$D50),2)</f>
        <v>40.22</v>
      </c>
      <c r="U50" s="65" t="n">
        <f aca="false">$R50-$S50-$T50</f>
        <v>1584.1</v>
      </c>
      <c r="V50" s="66" t="n">
        <f aca="false">IFERROR($U50/$R50,0)</f>
        <v>0.472639933166249</v>
      </c>
      <c r="W50" s="67" t="str">
        <f aca="false">IF(AND($V50&gt;=Parametros!$C$8,$R50&gt;=Parametros!$C$12),"Alta rentabilidad",IF(OR($V50&lt;Parametros!$C$11,$R50&lt;Parametros!$C$13),"Revisar","Estandar"))</f>
        <v>Alta rentabilidad</v>
      </c>
      <c r="X50" s="67" t="str">
        <f aca="false">IF(AND($J50="E-commerce",IFERROR($T50/$R50,0)&gt;Parametros!$C$14),"Alerta","OK")</f>
        <v>OK</v>
      </c>
      <c r="Y50" s="61" t="str">
        <f aca="false">IF($R50&gt;=Parametros!$C$12,"Alto",IF($R50&lt;Parametros!$C$13,"Bajo","Medio"))</f>
        <v>Alto</v>
      </c>
      <c r="Z50" s="61" t="n">
        <v>137</v>
      </c>
      <c r="AA50" s="61" t="str">
        <f aca="false">IF(MATCH($A50,Datos_Origen!$A$2:$A$2459,0)=$Z50,"OK","REVISAR")</f>
        <v>OK</v>
      </c>
      <c r="AB50" s="62" t="n">
        <f aca="false">INDEX(Datos_Origen!$B$2:$B$2459,$Z50)</f>
        <v>45311</v>
      </c>
      <c r="AC50" s="61" t="n">
        <f aca="false">INDEX(Datos_Origen!$H$2:$H$2459,$Z50)</f>
        <v>36</v>
      </c>
      <c r="AD50" s="61" t="str">
        <f aca="false">INDEX(Datos_Origen!$D$2:$D$2459,$Z50)&amp;""</f>
        <v>Rosario</v>
      </c>
    </row>
    <row r="51" customFormat="false" ht="15" hidden="false" customHeight="false" outlineLevel="0" collapsed="false">
      <c r="A51" s="61" t="n">
        <f aca="false">INDEX(Datos_Origen!$A$2:$A$2459,$Z51)</f>
        <v>50</v>
      </c>
      <c r="B51" s="62" t="n">
        <f aca="false">IF(ISNUMBER($AB51),$AB51,IF(MID($AB51,5,1)="-",DATE(VALUE(LEFT($AB51,4)),VALUE(MID($AB51,6,2)),VALUE(RIGHT($AB51,2))),DATE(VALUE(RIGHT($AB51,4)),VALUE(MID($AB51,4,2)),VALUE(LEFT($AB51,2)))))</f>
        <v>45318</v>
      </c>
      <c r="C51" s="61" t="n">
        <f aca="false">YEAR($B51)</f>
        <v>2024</v>
      </c>
      <c r="D51" s="61" t="str">
        <f aca="false">"Q"&amp;ROUNDUP(MONTH($B51)/3,0)</f>
        <v>Q1</v>
      </c>
      <c r="E51" s="61" t="n">
        <f aca="false">MONTH($B51)</f>
        <v>1</v>
      </c>
      <c r="F51" s="61" t="str">
        <f aca="false">INDEX(Parametros!$I$5:$I$16,$E51)</f>
        <v>Ene</v>
      </c>
      <c r="G51" s="61" t="str">
        <f aca="false">TEXT($C51,"0000")&amp;"-"&amp;TEXT($E51,"00")</f>
        <v>2024-01</v>
      </c>
      <c r="H51" s="61" t="str">
        <f aca="false">INDEX(Parametros!$C$71:$C$91,MATCH(TRIM(INDEX(Datos_Origen!$C$2:$C$2459,$Z51)),Parametros!$B$71:$B$91,0))</f>
        <v>Litoral</v>
      </c>
      <c r="I51" s="61" t="str">
        <f aca="false">IF(TRIM($AD51)="",INDEX(Parametros!$I$20:$I$24,MATCH($H51,Parametros!$H$20:$H$24,0)),TRIM($AD51))</f>
        <v>Rosario</v>
      </c>
      <c r="J51" s="61" t="str">
        <f aca="false">INDEX(Parametros!$C$95:$C$106,MATCH(TRIM(INDEX(Datos_Origen!$E$2:$E$2459,$Z51)),Parametros!$B$95:$B$106,0))</f>
        <v>E-commerce</v>
      </c>
      <c r="K51" s="61" t="str">
        <f aca="false">INDEX(Parametros!$C$48:$C$67,MATCH(TRIM(INDEX(Datos_Origen!$F$2:$F$2459,$Z51)),Parametros!$B$48:$B$67,0))</f>
        <v>Accesorios</v>
      </c>
      <c r="L51" s="61" t="str">
        <f aca="false">$K51&amp;" "&amp;$C51</f>
        <v>Accesorios 2024</v>
      </c>
      <c r="M51" s="61" t="str">
        <f aca="false">TRIM(INDEX(Datos_Origen!$G$2:$G$2459,$Z51))</f>
        <v>Teclado Mecanico</v>
      </c>
      <c r="N51" s="61" t="str">
        <f aca="false">$M51&amp;" "&amp;$C51</f>
        <v>Teclado Mecanico 2024</v>
      </c>
      <c r="O51" s="63" t="n">
        <f aca="false">IF(ISTEXT($AC51),VALUE($AC51),$AC51)</f>
        <v>13</v>
      </c>
      <c r="P51" s="64" t="n">
        <f aca="false">INDEX(Datos_Origen!$I$2:$I$2459,$Z51)</f>
        <v>93.1</v>
      </c>
      <c r="Q51" s="64" t="n">
        <f aca="false">INDEX(Datos_Origen!$J$2:$J$2459,$Z51)</f>
        <v>47.98</v>
      </c>
      <c r="R51" s="65" t="n">
        <f aca="false">ROUND($O51*$P51,2)</f>
        <v>1210.3</v>
      </c>
      <c r="S51" s="65" t="n">
        <f aca="false">ROUND($O51*$Q51,2)</f>
        <v>623.74</v>
      </c>
      <c r="T51" s="65" t="n">
        <f aca="false">ROUND($R51*SUMIFS(Parametros!$E$28:$E$43,Parametros!$B$28:$B$43,$J51,Parametros!$C$28:$C$43,$C51,Parametros!$D$28:$D$43,$D51),2)</f>
        <v>50.83</v>
      </c>
      <c r="U51" s="65" t="n">
        <f aca="false">$R51-$S51-$T51</f>
        <v>535.73</v>
      </c>
      <c r="V51" s="66" t="n">
        <f aca="false">IFERROR($U51/$R51,0)</f>
        <v>0.442642320085929</v>
      </c>
      <c r="W51" s="67" t="str">
        <f aca="false">IF(AND($V51&gt;=Parametros!$C$8,$R51&gt;=Parametros!$C$12),"Alta rentabilidad",IF(OR($V51&lt;Parametros!$C$11,$R51&lt;Parametros!$C$13),"Revisar","Estandar"))</f>
        <v>Estandar</v>
      </c>
      <c r="X51" s="67" t="str">
        <f aca="false">IF(AND($J51="E-commerce",IFERROR($T51/$R51,0)&gt;Parametros!$C$14),"Alerta","OK")</f>
        <v>OK</v>
      </c>
      <c r="Y51" s="61" t="str">
        <f aca="false">IF($R51&gt;=Parametros!$C$12,"Alto",IF($R51&lt;Parametros!$C$13,"Bajo","Medio"))</f>
        <v>Medio</v>
      </c>
      <c r="Z51" s="61" t="n">
        <v>562</v>
      </c>
      <c r="AA51" s="61" t="str">
        <f aca="false">IF(MATCH($A51,Datos_Origen!$A$2:$A$2459,0)=$Z51,"OK","REVISAR")</f>
        <v>OK</v>
      </c>
      <c r="AB51" s="62" t="n">
        <f aca="false">INDEX(Datos_Origen!$B$2:$B$2459,$Z51)</f>
        <v>45318</v>
      </c>
      <c r="AC51" s="61" t="n">
        <f aca="false">INDEX(Datos_Origen!$H$2:$H$2459,$Z51)</f>
        <v>13</v>
      </c>
      <c r="AD51" s="61" t="str">
        <f aca="false">INDEX(Datos_Origen!$D$2:$D$2459,$Z51)&amp;""</f>
        <v>Rosario</v>
      </c>
    </row>
    <row r="52" customFormat="false" ht="15" hidden="false" customHeight="false" outlineLevel="0" collapsed="false">
      <c r="A52" s="61" t="n">
        <f aca="false">INDEX(Datos_Origen!$A$2:$A$2459,$Z52)</f>
        <v>51</v>
      </c>
      <c r="B52" s="62" t="n">
        <f aca="false">IF(ISNUMBER($AB52),$AB52,IF(MID($AB52,5,1)="-",DATE(VALUE(LEFT($AB52,4)),VALUE(MID($AB52,6,2)),VALUE(RIGHT($AB52,2))),DATE(VALUE(RIGHT($AB52,4)),VALUE(MID($AB52,4,2)),VALUE(LEFT($AB52,2)))))</f>
        <v>45298</v>
      </c>
      <c r="C52" s="61" t="n">
        <f aca="false">YEAR($B52)</f>
        <v>2024</v>
      </c>
      <c r="D52" s="61" t="str">
        <f aca="false">"Q"&amp;ROUNDUP(MONTH($B52)/3,0)</f>
        <v>Q1</v>
      </c>
      <c r="E52" s="61" t="n">
        <f aca="false">MONTH($B52)</f>
        <v>1</v>
      </c>
      <c r="F52" s="61" t="str">
        <f aca="false">INDEX(Parametros!$I$5:$I$16,$E52)</f>
        <v>Ene</v>
      </c>
      <c r="G52" s="61" t="str">
        <f aca="false">TEXT($C52,"0000")&amp;"-"&amp;TEXT($E52,"00")</f>
        <v>2024-01</v>
      </c>
      <c r="H52" s="61" t="str">
        <f aca="false">INDEX(Parametros!$C$71:$C$91,MATCH(TRIM(INDEX(Datos_Origen!$C$2:$C$2459,$Z52)),Parametros!$B$71:$B$91,0))</f>
        <v>Litoral</v>
      </c>
      <c r="I52" s="61" t="str">
        <f aca="false">IF(TRIM($AD52)="",INDEX(Parametros!$I$20:$I$24,MATCH($H52,Parametros!$H$20:$H$24,0)),TRIM($AD52))</f>
        <v>Rosario</v>
      </c>
      <c r="J52" s="61" t="str">
        <f aca="false">INDEX(Parametros!$C$95:$C$106,MATCH(TRIM(INDEX(Datos_Origen!$E$2:$E$2459,$Z52)),Parametros!$B$95:$B$106,0))</f>
        <v>Tienda fisica</v>
      </c>
      <c r="K52" s="61" t="str">
        <f aca="false">INDEX(Parametros!$C$48:$C$67,MATCH(TRIM(INDEX(Datos_Origen!$F$2:$F$2459,$Z52)),Parametros!$B$48:$B$67,0))</f>
        <v>Accesorios</v>
      </c>
      <c r="L52" s="61" t="str">
        <f aca="false">$K52&amp;" "&amp;$C52</f>
        <v>Accesorios 2024</v>
      </c>
      <c r="M52" s="61" t="str">
        <f aca="false">TRIM(INDEX(Datos_Origen!$G$2:$G$2459,$Z52))</f>
        <v>Webcam Full HD</v>
      </c>
      <c r="N52" s="61" t="str">
        <f aca="false">$M52&amp;" "&amp;$C52</f>
        <v>Webcam Full HD 2024</v>
      </c>
      <c r="O52" s="63" t="n">
        <f aca="false">IF(ISTEXT($AC52),VALUE($AC52),$AC52)</f>
        <v>33</v>
      </c>
      <c r="P52" s="64" t="n">
        <f aca="false">INDEX(Datos_Origen!$I$2:$I$2459,$Z52)</f>
        <v>63.7</v>
      </c>
      <c r="Q52" s="64" t="n">
        <f aca="false">INDEX(Datos_Origen!$J$2:$J$2459,$Z52)</f>
        <v>35.43</v>
      </c>
      <c r="R52" s="65" t="n">
        <f aca="false">ROUND($O52*$P52,2)</f>
        <v>2102.1</v>
      </c>
      <c r="S52" s="65" t="n">
        <f aca="false">ROUND($O52*$Q52,2)</f>
        <v>1169.19</v>
      </c>
      <c r="T52" s="65" t="n">
        <f aca="false">ROUND($R52*SUMIFS(Parametros!$E$28:$E$43,Parametros!$B$28:$B$43,$J52,Parametros!$C$28:$C$43,$C52,Parametros!$D$28:$D$43,$D52),2)</f>
        <v>25.23</v>
      </c>
      <c r="U52" s="65" t="n">
        <f aca="false">$R52-$S52-$T52</f>
        <v>907.68</v>
      </c>
      <c r="V52" s="66" t="n">
        <f aca="false">IFERROR($U52/$R52,0)</f>
        <v>0.431796774653917</v>
      </c>
      <c r="W52" s="67" t="str">
        <f aca="false">IF(AND($V52&gt;=Parametros!$C$8,$R52&gt;=Parametros!$C$12),"Alta rentabilidad",IF(OR($V52&lt;Parametros!$C$11,$R52&lt;Parametros!$C$13),"Revisar","Estandar"))</f>
        <v>Estandar</v>
      </c>
      <c r="X52" s="67" t="str">
        <f aca="false">IF(AND($J52="E-commerce",IFERROR($T52/$R52,0)&gt;Parametros!$C$14),"Alerta","OK")</f>
        <v>OK</v>
      </c>
      <c r="Y52" s="61" t="str">
        <f aca="false">IF($R52&gt;=Parametros!$C$12,"Alto",IF($R52&lt;Parametros!$C$13,"Bajo","Medio"))</f>
        <v>Medio</v>
      </c>
      <c r="Z52" s="61" t="n">
        <v>598</v>
      </c>
      <c r="AA52" s="61" t="str">
        <f aca="false">IF(MATCH($A52,Datos_Origen!$A$2:$A$2459,0)=$Z52,"OK","REVISAR")</f>
        <v>OK</v>
      </c>
      <c r="AB52" s="61" t="str">
        <f aca="false">INDEX(Datos_Origen!$B$2:$B$2459,$Z52)</f>
        <v>07/01/2024</v>
      </c>
      <c r="AC52" s="61" t="n">
        <f aca="false">INDEX(Datos_Origen!$H$2:$H$2459,$Z52)</f>
        <v>33</v>
      </c>
      <c r="AD52" s="61" t="str">
        <f aca="false">INDEX(Datos_Origen!$D$2:$D$2459,$Z52)&amp;""</f>
        <v>Rosario</v>
      </c>
    </row>
    <row r="53" customFormat="false" ht="15" hidden="false" customHeight="false" outlineLevel="0" collapsed="false">
      <c r="A53" s="61" t="n">
        <f aca="false">INDEX(Datos_Origen!$A$2:$A$2459,$Z53)</f>
        <v>52</v>
      </c>
      <c r="B53" s="62" t="n">
        <f aca="false">IF(ISNUMBER($AB53),$AB53,IF(MID($AB53,5,1)="-",DATE(VALUE(LEFT($AB53,4)),VALUE(MID($AB53,6,2)),VALUE(RIGHT($AB53,2))),DATE(VALUE(RIGHT($AB53,4)),VALUE(MID($AB53,4,2)),VALUE(LEFT($AB53,2)))))</f>
        <v>45305</v>
      </c>
      <c r="C53" s="61" t="n">
        <f aca="false">YEAR($B53)</f>
        <v>2024</v>
      </c>
      <c r="D53" s="61" t="str">
        <f aca="false">"Q"&amp;ROUNDUP(MONTH($B53)/3,0)</f>
        <v>Q1</v>
      </c>
      <c r="E53" s="61" t="n">
        <f aca="false">MONTH($B53)</f>
        <v>1</v>
      </c>
      <c r="F53" s="61" t="str">
        <f aca="false">INDEX(Parametros!$I$5:$I$16,$E53)</f>
        <v>Ene</v>
      </c>
      <c r="G53" s="61" t="str">
        <f aca="false">TEXT($C53,"0000")&amp;"-"&amp;TEXT($E53,"00")</f>
        <v>2024-01</v>
      </c>
      <c r="H53" s="61" t="str">
        <f aca="false">INDEX(Parametros!$C$71:$C$91,MATCH(TRIM(INDEX(Datos_Origen!$C$2:$C$2459,$Z53)),Parametros!$B$71:$B$91,0))</f>
        <v>Litoral</v>
      </c>
      <c r="I53" s="61" t="str">
        <f aca="false">IF(TRIM($AD53)="",INDEX(Parametros!$I$20:$I$24,MATCH($H53,Parametros!$H$20:$H$24,0)),TRIM($AD53))</f>
        <v>Rosario</v>
      </c>
      <c r="J53" s="61" t="str">
        <f aca="false">INDEX(Parametros!$C$95:$C$106,MATCH(TRIM(INDEX(Datos_Origen!$E$2:$E$2459,$Z53)),Parametros!$B$95:$B$106,0))</f>
        <v>E-commerce</v>
      </c>
      <c r="K53" s="61" t="str">
        <f aca="false">INDEX(Parametros!$C$48:$C$67,MATCH(TRIM(INDEX(Datos_Origen!$F$2:$F$2459,$Z53)),Parametros!$B$48:$B$67,0))</f>
        <v>Accesorios</v>
      </c>
      <c r="L53" s="61" t="str">
        <f aca="false">$K53&amp;" "&amp;$C53</f>
        <v>Accesorios 2024</v>
      </c>
      <c r="M53" s="61" t="str">
        <f aca="false">TRIM(INDEX(Datos_Origen!$G$2:$G$2459,$Z53))</f>
        <v>Webcam Full HD</v>
      </c>
      <c r="N53" s="61" t="str">
        <f aca="false">$M53&amp;" "&amp;$C53</f>
        <v>Webcam Full HD 2024</v>
      </c>
      <c r="O53" s="63" t="n">
        <f aca="false">IF(ISTEXT($AC53),VALUE($AC53),$AC53)</f>
        <v>13</v>
      </c>
      <c r="P53" s="64" t="n">
        <f aca="false">INDEX(Datos_Origen!$I$2:$I$2459,$Z53)</f>
        <v>63.7</v>
      </c>
      <c r="Q53" s="64" t="n">
        <f aca="false">INDEX(Datos_Origen!$J$2:$J$2459,$Z53)</f>
        <v>35.43</v>
      </c>
      <c r="R53" s="65" t="n">
        <f aca="false">ROUND($O53*$P53,2)</f>
        <v>828.1</v>
      </c>
      <c r="S53" s="65" t="n">
        <f aca="false">ROUND($O53*$Q53,2)</f>
        <v>460.59</v>
      </c>
      <c r="T53" s="65" t="n">
        <f aca="false">ROUND($R53*SUMIFS(Parametros!$E$28:$E$43,Parametros!$B$28:$B$43,$J53,Parametros!$C$28:$C$43,$C53,Parametros!$D$28:$D$43,$D53),2)</f>
        <v>34.78</v>
      </c>
      <c r="U53" s="65" t="n">
        <f aca="false">$R53-$S53-$T53</f>
        <v>332.73</v>
      </c>
      <c r="V53" s="66" t="n">
        <f aca="false">IFERROR($U53/$R53,0)</f>
        <v>0.401799299601497</v>
      </c>
      <c r="W53" s="67" t="str">
        <f aca="false">IF(AND($V53&gt;=Parametros!$C$8,$R53&gt;=Parametros!$C$12),"Alta rentabilidad",IF(OR($V53&lt;Parametros!$C$11,$R53&lt;Parametros!$C$13),"Revisar","Estandar"))</f>
        <v>Estandar</v>
      </c>
      <c r="X53" s="67" t="str">
        <f aca="false">IF(AND($J53="E-commerce",IFERROR($T53/$R53,0)&gt;Parametros!$C$14),"Alerta","OK")</f>
        <v>OK</v>
      </c>
      <c r="Y53" s="61" t="str">
        <f aca="false">IF($R53&gt;=Parametros!$C$12,"Alto",IF($R53&lt;Parametros!$C$13,"Bajo","Medio"))</f>
        <v>Medio</v>
      </c>
      <c r="Z53" s="61" t="n">
        <v>1848</v>
      </c>
      <c r="AA53" s="61" t="str">
        <f aca="false">IF(MATCH($A53,Datos_Origen!$A$2:$A$2459,0)=$Z53,"OK","REVISAR")</f>
        <v>OK</v>
      </c>
      <c r="AB53" s="62" t="n">
        <f aca="false">INDEX(Datos_Origen!$B$2:$B$2459,$Z53)</f>
        <v>45305</v>
      </c>
      <c r="AC53" s="61" t="n">
        <f aca="false">INDEX(Datos_Origen!$H$2:$H$2459,$Z53)</f>
        <v>13</v>
      </c>
      <c r="AD53" s="61" t="str">
        <f aca="false">INDEX(Datos_Origen!$D$2:$D$2459,$Z53)&amp;""</f>
        <v>Rosario</v>
      </c>
    </row>
    <row r="54" customFormat="false" ht="15" hidden="false" customHeight="false" outlineLevel="0" collapsed="false">
      <c r="A54" s="61" t="n">
        <f aca="false">INDEX(Datos_Origen!$A$2:$A$2459,$Z54)</f>
        <v>53</v>
      </c>
      <c r="B54" s="62" t="n">
        <f aca="false">IF(ISNUMBER($AB54),$AB54,IF(MID($AB54,5,1)="-",DATE(VALUE(LEFT($AB54,4)),VALUE(MID($AB54,6,2)),VALUE(RIGHT($AB54,2))),DATE(VALUE(RIGHT($AB54,4)),VALUE(MID($AB54,4,2)),VALUE(LEFT($AB54,2)))))</f>
        <v>45312</v>
      </c>
      <c r="C54" s="61" t="n">
        <f aca="false">YEAR($B54)</f>
        <v>2024</v>
      </c>
      <c r="D54" s="61" t="str">
        <f aca="false">"Q"&amp;ROUNDUP(MONTH($B54)/3,0)</f>
        <v>Q1</v>
      </c>
      <c r="E54" s="61" t="n">
        <f aca="false">MONTH($B54)</f>
        <v>1</v>
      </c>
      <c r="F54" s="61" t="str">
        <f aca="false">INDEX(Parametros!$I$5:$I$16,$E54)</f>
        <v>Ene</v>
      </c>
      <c r="G54" s="61" t="str">
        <f aca="false">TEXT($C54,"0000")&amp;"-"&amp;TEXT($E54,"00")</f>
        <v>2024-01</v>
      </c>
      <c r="H54" s="61" t="str">
        <f aca="false">INDEX(Parametros!$C$71:$C$91,MATCH(TRIM(INDEX(Datos_Origen!$C$2:$C$2459,$Z54)),Parametros!$B$71:$B$91,0))</f>
        <v>Litoral</v>
      </c>
      <c r="I54" s="61" t="str">
        <f aca="false">IF(TRIM($AD54)="",INDEX(Parametros!$I$20:$I$24,MATCH($H54,Parametros!$H$20:$H$24,0)),TRIM($AD54))</f>
        <v>Rosario</v>
      </c>
      <c r="J54" s="61" t="str">
        <f aca="false">INDEX(Parametros!$C$95:$C$106,MATCH(TRIM(INDEX(Datos_Origen!$E$2:$E$2459,$Z54)),Parametros!$B$95:$B$106,0))</f>
        <v>Tienda fisica</v>
      </c>
      <c r="K54" s="61" t="str">
        <f aca="false">INDEX(Parametros!$C$48:$C$67,MATCH(TRIM(INDEX(Datos_Origen!$F$2:$F$2459,$Z54)),Parametros!$B$48:$B$67,0))</f>
        <v>Audio</v>
      </c>
      <c r="L54" s="61" t="str">
        <f aca="false">$K54&amp;" "&amp;$C54</f>
        <v>Audio 2024</v>
      </c>
      <c r="M54" s="61" t="str">
        <f aca="false">TRIM(INDEX(Datos_Origen!$G$2:$G$2459,$Z54))</f>
        <v>Auriculares BT Pro</v>
      </c>
      <c r="N54" s="61" t="str">
        <f aca="false">$M54&amp;" "&amp;$C54</f>
        <v>Auriculares BT Pro 2024</v>
      </c>
      <c r="O54" s="63" t="n">
        <f aca="false">IF(ISTEXT($AC54),VALUE($AC54),$AC54)</f>
        <v>17</v>
      </c>
      <c r="P54" s="64" t="n">
        <f aca="false">INDEX(Datos_Origen!$I$2:$I$2459,$Z54)</f>
        <v>117.6</v>
      </c>
      <c r="Q54" s="64" t="n">
        <f aca="false">INDEX(Datos_Origen!$J$2:$J$2459,$Z54)</f>
        <v>63.6</v>
      </c>
      <c r="R54" s="65" t="n">
        <f aca="false">ROUND($O54*$P54,2)</f>
        <v>1999.2</v>
      </c>
      <c r="S54" s="65" t="n">
        <f aca="false">ROUND($O54*$Q54,2)</f>
        <v>1081.2</v>
      </c>
      <c r="T54" s="65" t="n">
        <f aca="false">ROUND($R54*SUMIFS(Parametros!$E$28:$E$43,Parametros!$B$28:$B$43,$J54,Parametros!$C$28:$C$43,$C54,Parametros!$D$28:$D$43,$D54),2)</f>
        <v>23.99</v>
      </c>
      <c r="U54" s="65" t="n">
        <f aca="false">$R54-$S54-$T54</f>
        <v>894.01</v>
      </c>
      <c r="V54" s="66" t="n">
        <f aca="false">IFERROR($U54/$R54,0)</f>
        <v>0.44718387354942</v>
      </c>
      <c r="W54" s="67" t="str">
        <f aca="false">IF(AND($V54&gt;=Parametros!$C$8,$R54&gt;=Parametros!$C$12),"Alta rentabilidad",IF(OR($V54&lt;Parametros!$C$11,$R54&lt;Parametros!$C$13),"Revisar","Estandar"))</f>
        <v>Estandar</v>
      </c>
      <c r="X54" s="67" t="str">
        <f aca="false">IF(AND($J54="E-commerce",IFERROR($T54/$R54,0)&gt;Parametros!$C$14),"Alerta","OK")</f>
        <v>OK</v>
      </c>
      <c r="Y54" s="61" t="str">
        <f aca="false">IF($R54&gt;=Parametros!$C$12,"Alto",IF($R54&lt;Parametros!$C$13,"Bajo","Medio"))</f>
        <v>Medio</v>
      </c>
      <c r="Z54" s="61" t="n">
        <v>1986</v>
      </c>
      <c r="AA54" s="61" t="str">
        <f aca="false">IF(MATCH($A54,Datos_Origen!$A$2:$A$2459,0)=$Z54,"OK","REVISAR")</f>
        <v>OK</v>
      </c>
      <c r="AB54" s="62" t="n">
        <f aca="false">INDEX(Datos_Origen!$B$2:$B$2459,$Z54)</f>
        <v>45312</v>
      </c>
      <c r="AC54" s="61" t="n">
        <f aca="false">INDEX(Datos_Origen!$H$2:$H$2459,$Z54)</f>
        <v>17</v>
      </c>
      <c r="AD54" s="61" t="str">
        <f aca="false">INDEX(Datos_Origen!$D$2:$D$2459,$Z54)&amp;""</f>
        <v>Rosario</v>
      </c>
    </row>
    <row r="55" customFormat="false" ht="15" hidden="false" customHeight="false" outlineLevel="0" collapsed="false">
      <c r="A55" s="61" t="n">
        <f aca="false">INDEX(Datos_Origen!$A$2:$A$2459,$Z55)</f>
        <v>54</v>
      </c>
      <c r="B55" s="62" t="n">
        <f aca="false">IF(ISNUMBER($AB55),$AB55,IF(MID($AB55,5,1)="-",DATE(VALUE(LEFT($AB55,4)),VALUE(MID($AB55,6,2)),VALUE(RIGHT($AB55,2))),DATE(VALUE(RIGHT($AB55,4)),VALUE(MID($AB55,4,2)),VALUE(LEFT($AB55,2)))))</f>
        <v>45292</v>
      </c>
      <c r="C55" s="61" t="n">
        <f aca="false">YEAR($B55)</f>
        <v>2024</v>
      </c>
      <c r="D55" s="61" t="str">
        <f aca="false">"Q"&amp;ROUNDUP(MONTH($B55)/3,0)</f>
        <v>Q1</v>
      </c>
      <c r="E55" s="61" t="n">
        <f aca="false">MONTH($B55)</f>
        <v>1</v>
      </c>
      <c r="F55" s="61" t="str">
        <f aca="false">INDEX(Parametros!$I$5:$I$16,$E55)</f>
        <v>Ene</v>
      </c>
      <c r="G55" s="61" t="str">
        <f aca="false">TEXT($C55,"0000")&amp;"-"&amp;TEXT($E55,"00")</f>
        <v>2024-01</v>
      </c>
      <c r="H55" s="61" t="str">
        <f aca="false">INDEX(Parametros!$C$71:$C$91,MATCH(TRIM(INDEX(Datos_Origen!$C$2:$C$2459,$Z55)),Parametros!$B$71:$B$91,0))</f>
        <v>Litoral</v>
      </c>
      <c r="I55" s="61" t="str">
        <f aca="false">IF(TRIM($AD55)="",INDEX(Parametros!$I$20:$I$24,MATCH($H55,Parametros!$H$20:$H$24,0)),TRIM($AD55))</f>
        <v>Rosario</v>
      </c>
      <c r="J55" s="61" t="str">
        <f aca="false">INDEX(Parametros!$C$95:$C$106,MATCH(TRIM(INDEX(Datos_Origen!$E$2:$E$2459,$Z55)),Parametros!$B$95:$B$106,0))</f>
        <v>E-commerce</v>
      </c>
      <c r="K55" s="61" t="str">
        <f aca="false">INDEX(Parametros!$C$48:$C$67,MATCH(TRIM(INDEX(Datos_Origen!$F$2:$F$2459,$Z55)),Parametros!$B$48:$B$67,0))</f>
        <v>Audio</v>
      </c>
      <c r="L55" s="61" t="str">
        <f aca="false">$K55&amp;" "&amp;$C55</f>
        <v>Audio 2024</v>
      </c>
      <c r="M55" s="61" t="str">
        <f aca="false">TRIM(INDEX(Datos_Origen!$G$2:$G$2459,$Z55))</f>
        <v>Auriculares BT Pro</v>
      </c>
      <c r="N55" s="61" t="str">
        <f aca="false">$M55&amp;" "&amp;$C55</f>
        <v>Auriculares BT Pro 2024</v>
      </c>
      <c r="O55" s="63" t="n">
        <f aca="false">IF(ISTEXT($AC55),VALUE($AC55),$AC55)</f>
        <v>6</v>
      </c>
      <c r="P55" s="64" t="n">
        <f aca="false">INDEX(Datos_Origen!$I$2:$I$2459,$Z55)</f>
        <v>117.6</v>
      </c>
      <c r="Q55" s="64" t="n">
        <f aca="false">INDEX(Datos_Origen!$J$2:$J$2459,$Z55)</f>
        <v>63.6</v>
      </c>
      <c r="R55" s="65" t="n">
        <f aca="false">ROUND($O55*$P55,2)</f>
        <v>705.6</v>
      </c>
      <c r="S55" s="65" t="n">
        <f aca="false">ROUND($O55*$Q55,2)</f>
        <v>381.6</v>
      </c>
      <c r="T55" s="65" t="n">
        <f aca="false">ROUND($R55*SUMIFS(Parametros!$E$28:$E$43,Parametros!$B$28:$B$43,$J55,Parametros!$C$28:$C$43,$C55,Parametros!$D$28:$D$43,$D55),2)</f>
        <v>29.64</v>
      </c>
      <c r="U55" s="65" t="n">
        <f aca="false">$R55-$S55-$T55</f>
        <v>294.36</v>
      </c>
      <c r="V55" s="66" t="n">
        <f aca="false">IFERROR($U55/$R55,0)</f>
        <v>0.417176870748299</v>
      </c>
      <c r="W55" s="67" t="str">
        <f aca="false">IF(AND($V55&gt;=Parametros!$C$8,$R55&gt;=Parametros!$C$12),"Alta rentabilidad",IF(OR($V55&lt;Parametros!$C$11,$R55&lt;Parametros!$C$13),"Revisar","Estandar"))</f>
        <v>Estandar</v>
      </c>
      <c r="X55" s="67" t="str">
        <f aca="false">IF(AND($J55="E-commerce",IFERROR($T55/$R55,0)&gt;Parametros!$C$14),"Alerta","OK")</f>
        <v>OK</v>
      </c>
      <c r="Y55" s="61" t="str">
        <f aca="false">IF($R55&gt;=Parametros!$C$12,"Alto",IF($R55&lt;Parametros!$C$13,"Bajo","Medio"))</f>
        <v>Medio</v>
      </c>
      <c r="Z55" s="61" t="n">
        <v>112</v>
      </c>
      <c r="AA55" s="61" t="str">
        <f aca="false">IF(MATCH($A55,Datos_Origen!$A$2:$A$2459,0)=$Z55,"OK","REVISAR")</f>
        <v>OK</v>
      </c>
      <c r="AB55" s="62" t="n">
        <f aca="false">INDEX(Datos_Origen!$B$2:$B$2459,$Z55)</f>
        <v>45292</v>
      </c>
      <c r="AC55" s="61" t="str">
        <f aca="false">INDEX(Datos_Origen!$H$2:$H$2459,$Z55)</f>
        <v>6</v>
      </c>
      <c r="AD55" s="61" t="str">
        <f aca="false">INDEX(Datos_Origen!$D$2:$D$2459,$Z55)&amp;""</f>
        <v>Rosario</v>
      </c>
    </row>
    <row r="56" customFormat="false" ht="15" hidden="false" customHeight="false" outlineLevel="0" collapsed="false">
      <c r="A56" s="61" t="n">
        <f aca="false">INDEX(Datos_Origen!$A$2:$A$2459,$Z56)</f>
        <v>55</v>
      </c>
      <c r="B56" s="62" t="n">
        <f aca="false">IF(ISNUMBER($AB56),$AB56,IF(MID($AB56,5,1)="-",DATE(VALUE(LEFT($AB56,4)),VALUE(MID($AB56,6,2)),VALUE(RIGHT($AB56,2))),DATE(VALUE(RIGHT($AB56,4)),VALUE(MID($AB56,4,2)),VALUE(LEFT($AB56,2)))))</f>
        <v>45299</v>
      </c>
      <c r="C56" s="61" t="n">
        <f aca="false">YEAR($B56)</f>
        <v>2024</v>
      </c>
      <c r="D56" s="61" t="str">
        <f aca="false">"Q"&amp;ROUNDUP(MONTH($B56)/3,0)</f>
        <v>Q1</v>
      </c>
      <c r="E56" s="61" t="n">
        <f aca="false">MONTH($B56)</f>
        <v>1</v>
      </c>
      <c r="F56" s="61" t="str">
        <f aca="false">INDEX(Parametros!$I$5:$I$16,$E56)</f>
        <v>Ene</v>
      </c>
      <c r="G56" s="61" t="str">
        <f aca="false">TEXT($C56,"0000")&amp;"-"&amp;TEXT($E56,"00")</f>
        <v>2024-01</v>
      </c>
      <c r="H56" s="61" t="str">
        <f aca="false">INDEX(Parametros!$C$71:$C$91,MATCH(TRIM(INDEX(Datos_Origen!$C$2:$C$2459,$Z56)),Parametros!$B$71:$B$91,0))</f>
        <v>Litoral</v>
      </c>
      <c r="I56" s="61" t="str">
        <f aca="false">IF(TRIM($AD56)="",INDEX(Parametros!$I$20:$I$24,MATCH($H56,Parametros!$H$20:$H$24,0)),TRIM($AD56))</f>
        <v>Rosario</v>
      </c>
      <c r="J56" s="61" t="str">
        <f aca="false">INDEX(Parametros!$C$95:$C$106,MATCH(TRIM(INDEX(Datos_Origen!$E$2:$E$2459,$Z56)),Parametros!$B$95:$B$106,0))</f>
        <v>Tienda fisica</v>
      </c>
      <c r="K56" s="61" t="str">
        <f aca="false">INDEX(Parametros!$C$48:$C$67,MATCH(TRIM(INDEX(Datos_Origen!$F$2:$F$2459,$Z56)),Parametros!$B$48:$B$67,0))</f>
        <v>Audio</v>
      </c>
      <c r="L56" s="61" t="str">
        <f aca="false">$K56&amp;" "&amp;$C56</f>
        <v>Audio 2024</v>
      </c>
      <c r="M56" s="61" t="str">
        <f aca="false">TRIM(INDEX(Datos_Origen!$G$2:$G$2459,$Z56))</f>
        <v>Parlante Bluetooth</v>
      </c>
      <c r="N56" s="61" t="str">
        <f aca="false">$M56&amp;" "&amp;$C56</f>
        <v>Parlante Bluetooth 2024</v>
      </c>
      <c r="O56" s="63" t="n">
        <f aca="false">IF(ISTEXT($AC56),VALUE($AC56),$AC56)</f>
        <v>16</v>
      </c>
      <c r="P56" s="64" t="n">
        <f aca="false">INDEX(Datos_Origen!$I$2:$I$2459,$Z56)</f>
        <v>83.3</v>
      </c>
      <c r="Q56" s="64" t="n">
        <f aca="false">INDEX(Datos_Origen!$J$2:$J$2459,$Z56)</f>
        <v>48.03</v>
      </c>
      <c r="R56" s="65" t="n">
        <f aca="false">ROUND($O56*$P56,2)</f>
        <v>1332.8</v>
      </c>
      <c r="S56" s="65" t="n">
        <f aca="false">ROUND($O56*$Q56,2)</f>
        <v>768.48</v>
      </c>
      <c r="T56" s="65" t="n">
        <f aca="false">ROUND($R56*SUMIFS(Parametros!$E$28:$E$43,Parametros!$B$28:$B$43,$J56,Parametros!$C$28:$C$43,$C56,Parametros!$D$28:$D$43,$D56),2)</f>
        <v>15.99</v>
      </c>
      <c r="U56" s="65" t="n">
        <f aca="false">$R56-$S56-$T56</f>
        <v>548.33</v>
      </c>
      <c r="V56" s="66" t="n">
        <f aca="false">IFERROR($U56/$R56,0)</f>
        <v>0.41141206482593</v>
      </c>
      <c r="W56" s="67" t="str">
        <f aca="false">IF(AND($V56&gt;=Parametros!$C$8,$R56&gt;=Parametros!$C$12),"Alta rentabilidad",IF(OR($V56&lt;Parametros!$C$11,$R56&lt;Parametros!$C$13),"Revisar","Estandar"))</f>
        <v>Estandar</v>
      </c>
      <c r="X56" s="67" t="str">
        <f aca="false">IF(AND($J56="E-commerce",IFERROR($T56/$R56,0)&gt;Parametros!$C$14),"Alerta","OK")</f>
        <v>OK</v>
      </c>
      <c r="Y56" s="61" t="str">
        <f aca="false">IF($R56&gt;=Parametros!$C$12,"Alto",IF($R56&lt;Parametros!$C$13,"Bajo","Medio"))</f>
        <v>Medio</v>
      </c>
      <c r="Z56" s="61" t="n">
        <v>1685</v>
      </c>
      <c r="AA56" s="61" t="str">
        <f aca="false">IF(MATCH($A56,Datos_Origen!$A$2:$A$2459,0)=$Z56,"OK","REVISAR")</f>
        <v>OK</v>
      </c>
      <c r="AB56" s="61" t="str">
        <f aca="false">INDEX(Datos_Origen!$B$2:$B$2459,$Z56)</f>
        <v>08/01/2024</v>
      </c>
      <c r="AC56" s="61" t="n">
        <f aca="false">INDEX(Datos_Origen!$H$2:$H$2459,$Z56)</f>
        <v>16</v>
      </c>
      <c r="AD56" s="61" t="str">
        <f aca="false">INDEX(Datos_Origen!$D$2:$D$2459,$Z56)&amp;""</f>
        <v>Rosario</v>
      </c>
    </row>
    <row r="57" customFormat="false" ht="15" hidden="false" customHeight="false" outlineLevel="0" collapsed="false">
      <c r="A57" s="61" t="n">
        <f aca="false">INDEX(Datos_Origen!$A$2:$A$2459,$Z57)</f>
        <v>56</v>
      </c>
      <c r="B57" s="62" t="n">
        <f aca="false">IF(ISNUMBER($AB57),$AB57,IF(MID($AB57,5,1)="-",DATE(VALUE(LEFT($AB57,4)),VALUE(MID($AB57,6,2)),VALUE(RIGHT($AB57,2))),DATE(VALUE(RIGHT($AB57,4)),VALUE(MID($AB57,4,2)),VALUE(LEFT($AB57,2)))))</f>
        <v>45306</v>
      </c>
      <c r="C57" s="61" t="n">
        <f aca="false">YEAR($B57)</f>
        <v>2024</v>
      </c>
      <c r="D57" s="61" t="str">
        <f aca="false">"Q"&amp;ROUNDUP(MONTH($B57)/3,0)</f>
        <v>Q1</v>
      </c>
      <c r="E57" s="61" t="n">
        <f aca="false">MONTH($B57)</f>
        <v>1</v>
      </c>
      <c r="F57" s="61" t="str">
        <f aca="false">INDEX(Parametros!$I$5:$I$16,$E57)</f>
        <v>Ene</v>
      </c>
      <c r="G57" s="61" t="str">
        <f aca="false">TEXT($C57,"0000")&amp;"-"&amp;TEXT($E57,"00")</f>
        <v>2024-01</v>
      </c>
      <c r="H57" s="61" t="str">
        <f aca="false">INDEX(Parametros!$C$71:$C$91,MATCH(TRIM(INDEX(Datos_Origen!$C$2:$C$2459,$Z57)),Parametros!$B$71:$B$91,0))</f>
        <v>Litoral</v>
      </c>
      <c r="I57" s="61" t="str">
        <f aca="false">IF(TRIM($AD57)="",INDEX(Parametros!$I$20:$I$24,MATCH($H57,Parametros!$H$20:$H$24,0)),TRIM($AD57))</f>
        <v>Rosario</v>
      </c>
      <c r="J57" s="61" t="str">
        <f aca="false">INDEX(Parametros!$C$95:$C$106,MATCH(TRIM(INDEX(Datos_Origen!$E$2:$E$2459,$Z57)),Parametros!$B$95:$B$106,0))</f>
        <v>E-commerce</v>
      </c>
      <c r="K57" s="61" t="str">
        <f aca="false">INDEX(Parametros!$C$48:$C$67,MATCH(TRIM(INDEX(Datos_Origen!$F$2:$F$2459,$Z57)),Parametros!$B$48:$B$67,0))</f>
        <v>Audio</v>
      </c>
      <c r="L57" s="61" t="str">
        <f aca="false">$K57&amp;" "&amp;$C57</f>
        <v>Audio 2024</v>
      </c>
      <c r="M57" s="61" t="str">
        <f aca="false">TRIM(INDEX(Datos_Origen!$G$2:$G$2459,$Z57))</f>
        <v>Parlante Bluetooth</v>
      </c>
      <c r="N57" s="61" t="str">
        <f aca="false">$M57&amp;" "&amp;$C57</f>
        <v>Parlante Bluetooth 2024</v>
      </c>
      <c r="O57" s="63" t="n">
        <f aca="false">IF(ISTEXT($AC57),VALUE($AC57),$AC57)</f>
        <v>5</v>
      </c>
      <c r="P57" s="64" t="n">
        <f aca="false">INDEX(Datos_Origen!$I$2:$I$2459,$Z57)</f>
        <v>83.3</v>
      </c>
      <c r="Q57" s="64" t="n">
        <f aca="false">INDEX(Datos_Origen!$J$2:$J$2459,$Z57)</f>
        <v>48.03</v>
      </c>
      <c r="R57" s="65" t="n">
        <f aca="false">ROUND($O57*$P57,2)</f>
        <v>416.5</v>
      </c>
      <c r="S57" s="65" t="n">
        <f aca="false">ROUND($O57*$Q57,2)</f>
        <v>240.15</v>
      </c>
      <c r="T57" s="65" t="n">
        <f aca="false">ROUND($R57*SUMIFS(Parametros!$E$28:$E$43,Parametros!$B$28:$B$43,$J57,Parametros!$C$28:$C$43,$C57,Parametros!$D$28:$D$43,$D57),2)</f>
        <v>17.49</v>
      </c>
      <c r="U57" s="65" t="n">
        <f aca="false">$R57-$S57-$T57</f>
        <v>158.86</v>
      </c>
      <c r="V57" s="66" t="n">
        <f aca="false">IFERROR($U57/$R57,0)</f>
        <v>0.381416566626651</v>
      </c>
      <c r="W57" s="67" t="str">
        <f aca="false">IF(AND($V57&gt;=Parametros!$C$8,$R57&gt;=Parametros!$C$12),"Alta rentabilidad",IF(OR($V57&lt;Parametros!$C$11,$R57&lt;Parametros!$C$13),"Revisar","Estandar"))</f>
        <v>Estandar</v>
      </c>
      <c r="X57" s="67" t="str">
        <f aca="false">IF(AND($J57="E-commerce",IFERROR($T57/$R57,0)&gt;Parametros!$C$14),"Alerta","OK")</f>
        <v>OK</v>
      </c>
      <c r="Y57" s="61" t="str">
        <f aca="false">IF($R57&gt;=Parametros!$C$12,"Alto",IF($R57&lt;Parametros!$C$13,"Bajo","Medio"))</f>
        <v>Medio</v>
      </c>
      <c r="Z57" s="61" t="n">
        <v>167</v>
      </c>
      <c r="AA57" s="61" t="str">
        <f aca="false">IF(MATCH($A57,Datos_Origen!$A$2:$A$2459,0)=$Z57,"OK","REVISAR")</f>
        <v>OK</v>
      </c>
      <c r="AB57" s="62" t="n">
        <f aca="false">INDEX(Datos_Origen!$B$2:$B$2459,$Z57)</f>
        <v>45306</v>
      </c>
      <c r="AC57" s="61" t="n">
        <f aca="false">INDEX(Datos_Origen!$H$2:$H$2459,$Z57)</f>
        <v>5</v>
      </c>
      <c r="AD57" s="61" t="str">
        <f aca="false">INDEX(Datos_Origen!$D$2:$D$2459,$Z57)&amp;""</f>
        <v>Rosario</v>
      </c>
    </row>
    <row r="58" customFormat="false" ht="15" hidden="false" customHeight="false" outlineLevel="0" collapsed="false">
      <c r="A58" s="61" t="n">
        <f aca="false">INDEX(Datos_Origen!$A$2:$A$2459,$Z58)</f>
        <v>57</v>
      </c>
      <c r="B58" s="62" t="n">
        <f aca="false">IF(ISNUMBER($AB58),$AB58,IF(MID($AB58,5,1)="-",DATE(VALUE(LEFT($AB58,4)),VALUE(MID($AB58,6,2)),VALUE(RIGHT($AB58,2))),DATE(VALUE(RIGHT($AB58,4)),VALUE(MID($AB58,4,2)),VALUE(LEFT($AB58,2)))))</f>
        <v>45313</v>
      </c>
      <c r="C58" s="61" t="n">
        <f aca="false">YEAR($B58)</f>
        <v>2024</v>
      </c>
      <c r="D58" s="61" t="str">
        <f aca="false">"Q"&amp;ROUNDUP(MONTH($B58)/3,0)</f>
        <v>Q1</v>
      </c>
      <c r="E58" s="61" t="n">
        <f aca="false">MONTH($B58)</f>
        <v>1</v>
      </c>
      <c r="F58" s="61" t="str">
        <f aca="false">INDEX(Parametros!$I$5:$I$16,$E58)</f>
        <v>Ene</v>
      </c>
      <c r="G58" s="61" t="str">
        <f aca="false">TEXT($C58,"0000")&amp;"-"&amp;TEXT($E58,"00")</f>
        <v>2024-01</v>
      </c>
      <c r="H58" s="61" t="str">
        <f aca="false">INDEX(Parametros!$C$71:$C$91,MATCH(TRIM(INDEX(Datos_Origen!$C$2:$C$2459,$Z58)),Parametros!$B$71:$B$91,0))</f>
        <v>Litoral</v>
      </c>
      <c r="I58" s="61" t="str">
        <f aca="false">IF(TRIM($AD58)="",INDEX(Parametros!$I$20:$I$24,MATCH($H58,Parametros!$H$20:$H$24,0)),TRIM($AD58))</f>
        <v>Rosario</v>
      </c>
      <c r="J58" s="61" t="str">
        <f aca="false">INDEX(Parametros!$C$95:$C$106,MATCH(TRIM(INDEX(Datos_Origen!$E$2:$E$2459,$Z58)),Parametros!$B$95:$B$106,0))</f>
        <v>Tienda fisica</v>
      </c>
      <c r="K58" s="61" t="str">
        <f aca="false">INDEX(Parametros!$C$48:$C$67,MATCH(TRIM(INDEX(Datos_Origen!$F$2:$F$2459,$Z58)),Parametros!$B$48:$B$67,0))</f>
        <v>Almacenamiento</v>
      </c>
      <c r="L58" s="61" t="str">
        <f aca="false">$K58&amp;" "&amp;$C58</f>
        <v>Almacenamiento 2024</v>
      </c>
      <c r="M58" s="61" t="str">
        <f aca="false">TRIM(INDEX(Datos_Origen!$G$2:$G$2459,$Z58))</f>
        <v>SSD Externo 1TB</v>
      </c>
      <c r="N58" s="61" t="str">
        <f aca="false">$M58&amp;" "&amp;$C58</f>
        <v>SSD Externo 1TB 2024</v>
      </c>
      <c r="O58" s="63" t="n">
        <f aca="false">IF(ISTEXT($AC58),VALUE($AC58),$AC58)</f>
        <v>23</v>
      </c>
      <c r="P58" s="64" t="n">
        <f aca="false">INDEX(Datos_Origen!$I$2:$I$2459,$Z58)</f>
        <v>127.4</v>
      </c>
      <c r="Q58" s="64" t="n">
        <f aca="false">INDEX(Datos_Origen!$J$2:$J$2459,$Z58)</f>
        <v>76.05</v>
      </c>
      <c r="R58" s="65" t="n">
        <f aca="false">ROUND($O58*$P58,2)</f>
        <v>2930.2</v>
      </c>
      <c r="S58" s="65" t="n">
        <f aca="false">ROUND($O58*$Q58,2)</f>
        <v>1749.15</v>
      </c>
      <c r="T58" s="65" t="n">
        <f aca="false">ROUND($R58*SUMIFS(Parametros!$E$28:$E$43,Parametros!$B$28:$B$43,$J58,Parametros!$C$28:$C$43,$C58,Parametros!$D$28:$D$43,$D58),2)</f>
        <v>35.16</v>
      </c>
      <c r="U58" s="65" t="n">
        <f aca="false">$R58-$S58-$T58</f>
        <v>1145.89</v>
      </c>
      <c r="V58" s="66" t="n">
        <f aca="false">IFERROR($U58/$R58,0)</f>
        <v>0.391062043546516</v>
      </c>
      <c r="W58" s="67" t="str">
        <f aca="false">IF(AND($V58&gt;=Parametros!$C$8,$R58&gt;=Parametros!$C$12),"Alta rentabilidad",IF(OR($V58&lt;Parametros!$C$11,$R58&lt;Parametros!$C$13),"Revisar","Estandar"))</f>
        <v>Estandar</v>
      </c>
      <c r="X58" s="67" t="str">
        <f aca="false">IF(AND($J58="E-commerce",IFERROR($T58/$R58,0)&gt;Parametros!$C$14),"Alerta","OK")</f>
        <v>OK</v>
      </c>
      <c r="Y58" s="61" t="str">
        <f aca="false">IF($R58&gt;=Parametros!$C$12,"Alto",IF($R58&lt;Parametros!$C$13,"Bajo","Medio"))</f>
        <v>Medio</v>
      </c>
      <c r="Z58" s="61" t="n">
        <v>1121</v>
      </c>
      <c r="AA58" s="61" t="str">
        <f aca="false">IF(MATCH($A58,Datos_Origen!$A$2:$A$2459,0)=$Z58,"OK","REVISAR")</f>
        <v>OK</v>
      </c>
      <c r="AB58" s="62" t="n">
        <f aca="false">INDEX(Datos_Origen!$B$2:$B$2459,$Z58)</f>
        <v>45313</v>
      </c>
      <c r="AC58" s="61" t="n">
        <f aca="false">INDEX(Datos_Origen!$H$2:$H$2459,$Z58)</f>
        <v>23</v>
      </c>
      <c r="AD58" s="61" t="str">
        <f aca="false">INDEX(Datos_Origen!$D$2:$D$2459,$Z58)&amp;""</f>
        <v>Rosario</v>
      </c>
    </row>
    <row r="59" customFormat="false" ht="15" hidden="false" customHeight="false" outlineLevel="0" collapsed="false">
      <c r="A59" s="61" t="n">
        <f aca="false">INDEX(Datos_Origen!$A$2:$A$2459,$Z59)</f>
        <v>58</v>
      </c>
      <c r="B59" s="62" t="n">
        <f aca="false">IF(ISNUMBER($AB59),$AB59,IF(MID($AB59,5,1)="-",DATE(VALUE(LEFT($AB59,4)),VALUE(MID($AB59,6,2)),VALUE(RIGHT($AB59,2))),DATE(VALUE(RIGHT($AB59,4)),VALUE(MID($AB59,4,2)),VALUE(LEFT($AB59,2)))))</f>
        <v>45293</v>
      </c>
      <c r="C59" s="61" t="n">
        <f aca="false">YEAR($B59)</f>
        <v>2024</v>
      </c>
      <c r="D59" s="61" t="str">
        <f aca="false">"Q"&amp;ROUNDUP(MONTH($B59)/3,0)</f>
        <v>Q1</v>
      </c>
      <c r="E59" s="61" t="n">
        <f aca="false">MONTH($B59)</f>
        <v>1</v>
      </c>
      <c r="F59" s="61" t="str">
        <f aca="false">INDEX(Parametros!$I$5:$I$16,$E59)</f>
        <v>Ene</v>
      </c>
      <c r="G59" s="61" t="str">
        <f aca="false">TEXT($C59,"0000")&amp;"-"&amp;TEXT($E59,"00")</f>
        <v>2024-01</v>
      </c>
      <c r="H59" s="61" t="str">
        <f aca="false">INDEX(Parametros!$C$71:$C$91,MATCH(TRIM(INDEX(Datos_Origen!$C$2:$C$2459,$Z59)),Parametros!$B$71:$B$91,0))</f>
        <v>Litoral</v>
      </c>
      <c r="I59" s="61" t="str">
        <f aca="false">IF(TRIM($AD59)="",INDEX(Parametros!$I$20:$I$24,MATCH($H59,Parametros!$H$20:$H$24,0)),TRIM($AD59))</f>
        <v>Rosario</v>
      </c>
      <c r="J59" s="61" t="str">
        <f aca="false">INDEX(Parametros!$C$95:$C$106,MATCH(TRIM(INDEX(Datos_Origen!$E$2:$E$2459,$Z59)),Parametros!$B$95:$B$106,0))</f>
        <v>E-commerce</v>
      </c>
      <c r="K59" s="61" t="str">
        <f aca="false">INDEX(Parametros!$C$48:$C$67,MATCH(TRIM(INDEX(Datos_Origen!$F$2:$F$2459,$Z59)),Parametros!$B$48:$B$67,0))</f>
        <v>Almacenamiento</v>
      </c>
      <c r="L59" s="61" t="str">
        <f aca="false">$K59&amp;" "&amp;$C59</f>
        <v>Almacenamiento 2024</v>
      </c>
      <c r="M59" s="61" t="str">
        <f aca="false">TRIM(INDEX(Datos_Origen!$G$2:$G$2459,$Z59))</f>
        <v>SSD Externo 1TB</v>
      </c>
      <c r="N59" s="61" t="str">
        <f aca="false">$M59&amp;" "&amp;$C59</f>
        <v>SSD Externo 1TB 2024</v>
      </c>
      <c r="O59" s="63" t="n">
        <f aca="false">IF(ISTEXT($AC59),VALUE($AC59),$AC59)</f>
        <v>7</v>
      </c>
      <c r="P59" s="64" t="n">
        <f aca="false">INDEX(Datos_Origen!$I$2:$I$2459,$Z59)</f>
        <v>127.4</v>
      </c>
      <c r="Q59" s="64" t="n">
        <f aca="false">INDEX(Datos_Origen!$J$2:$J$2459,$Z59)</f>
        <v>76.05</v>
      </c>
      <c r="R59" s="65" t="n">
        <f aca="false">ROUND($O59*$P59,2)</f>
        <v>891.8</v>
      </c>
      <c r="S59" s="65" t="n">
        <f aca="false">ROUND($O59*$Q59,2)</f>
        <v>532.35</v>
      </c>
      <c r="T59" s="65" t="n">
        <f aca="false">ROUND($R59*SUMIFS(Parametros!$E$28:$E$43,Parametros!$B$28:$B$43,$J59,Parametros!$C$28:$C$43,$C59,Parametros!$D$28:$D$43,$D59),2)</f>
        <v>37.46</v>
      </c>
      <c r="U59" s="65" t="n">
        <f aca="false">$R59-$S59-$T59</f>
        <v>321.99</v>
      </c>
      <c r="V59" s="66" t="n">
        <f aca="false">IFERROR($U59/$R59,0)</f>
        <v>0.361056290648127</v>
      </c>
      <c r="W59" s="67" t="str">
        <f aca="false">IF(AND($V59&gt;=Parametros!$C$8,$R59&gt;=Parametros!$C$12),"Alta rentabilidad",IF(OR($V59&lt;Parametros!$C$11,$R59&lt;Parametros!$C$13),"Revisar","Estandar"))</f>
        <v>Estandar</v>
      </c>
      <c r="X59" s="67" t="str">
        <f aca="false">IF(AND($J59="E-commerce",IFERROR($T59/$R59,0)&gt;Parametros!$C$14),"Alerta","OK")</f>
        <v>OK</v>
      </c>
      <c r="Y59" s="61" t="str">
        <f aca="false">IF($R59&gt;=Parametros!$C$12,"Alto",IF($R59&lt;Parametros!$C$13,"Bajo","Medio"))</f>
        <v>Medio</v>
      </c>
      <c r="Z59" s="61" t="n">
        <v>446</v>
      </c>
      <c r="AA59" s="61" t="str">
        <f aca="false">IF(MATCH($A59,Datos_Origen!$A$2:$A$2459,0)=$Z59,"OK","REVISAR")</f>
        <v>OK</v>
      </c>
      <c r="AB59" s="61" t="str">
        <f aca="false">INDEX(Datos_Origen!$B$2:$B$2459,$Z59)</f>
        <v>02/01/2024</v>
      </c>
      <c r="AC59" s="61" t="n">
        <f aca="false">INDEX(Datos_Origen!$H$2:$H$2459,$Z59)</f>
        <v>7</v>
      </c>
      <c r="AD59" s="61" t="str">
        <f aca="false">INDEX(Datos_Origen!$D$2:$D$2459,$Z59)&amp;""</f>
        <v>Rosario</v>
      </c>
    </row>
    <row r="60" customFormat="false" ht="15" hidden="false" customHeight="false" outlineLevel="0" collapsed="false">
      <c r="A60" s="61" t="n">
        <f aca="false">INDEX(Datos_Origen!$A$2:$A$2459,$Z60)</f>
        <v>59</v>
      </c>
      <c r="B60" s="62" t="n">
        <f aca="false">IF(ISNUMBER($AB60),$AB60,IF(MID($AB60,5,1)="-",DATE(VALUE(LEFT($AB60,4)),VALUE(MID($AB60,6,2)),VALUE(RIGHT($AB60,2))),DATE(VALUE(RIGHT($AB60,4)),VALUE(MID($AB60,4,2)),VALUE(LEFT($AB60,2)))))</f>
        <v>45300</v>
      </c>
      <c r="C60" s="61" t="n">
        <f aca="false">YEAR($B60)</f>
        <v>2024</v>
      </c>
      <c r="D60" s="61" t="str">
        <f aca="false">"Q"&amp;ROUNDUP(MONTH($B60)/3,0)</f>
        <v>Q1</v>
      </c>
      <c r="E60" s="61" t="n">
        <f aca="false">MONTH($B60)</f>
        <v>1</v>
      </c>
      <c r="F60" s="61" t="str">
        <f aca="false">INDEX(Parametros!$I$5:$I$16,$E60)</f>
        <v>Ene</v>
      </c>
      <c r="G60" s="61" t="str">
        <f aca="false">TEXT($C60,"0000")&amp;"-"&amp;TEXT($E60,"00")</f>
        <v>2024-01</v>
      </c>
      <c r="H60" s="61" t="str">
        <f aca="false">INDEX(Parametros!$C$71:$C$91,MATCH(TRIM(INDEX(Datos_Origen!$C$2:$C$2459,$Z60)),Parametros!$B$71:$B$91,0))</f>
        <v>Litoral</v>
      </c>
      <c r="I60" s="61" t="str">
        <f aca="false">IF(TRIM($AD60)="",INDEX(Parametros!$I$20:$I$24,MATCH($H60,Parametros!$H$20:$H$24,0)),TRIM($AD60))</f>
        <v>Rosario</v>
      </c>
      <c r="J60" s="61" t="str">
        <f aca="false">INDEX(Parametros!$C$95:$C$106,MATCH(TRIM(INDEX(Datos_Origen!$E$2:$E$2459,$Z60)),Parametros!$B$95:$B$106,0))</f>
        <v>Tienda fisica</v>
      </c>
      <c r="K60" s="61" t="str">
        <f aca="false">INDEX(Parametros!$C$48:$C$67,MATCH(TRIM(INDEX(Datos_Origen!$F$2:$F$2459,$Z60)),Parametros!$B$48:$B$67,0))</f>
        <v>Almacenamiento</v>
      </c>
      <c r="L60" s="61" t="str">
        <f aca="false">$K60&amp;" "&amp;$C60</f>
        <v>Almacenamiento 2024</v>
      </c>
      <c r="M60" s="61" t="str">
        <f aca="false">TRIM(INDEX(Datos_Origen!$G$2:$G$2459,$Z60))</f>
        <v>Pendrive 256GB</v>
      </c>
      <c r="N60" s="61" t="str">
        <f aca="false">$M60&amp;" "&amp;$C60</f>
        <v>Pendrive 256GB 2024</v>
      </c>
      <c r="O60" s="63" t="n">
        <f aca="false">IF(ISTEXT($AC60),VALUE($AC60),$AC60)</f>
        <v>18</v>
      </c>
      <c r="P60" s="64" t="n">
        <f aca="false">INDEX(Datos_Origen!$I$2:$I$2459,$Z60)</f>
        <v>34.3</v>
      </c>
      <c r="Q60" s="64" t="n">
        <f aca="false">INDEX(Datos_Origen!$J$2:$J$2459,$Z60)</f>
        <v>17.85</v>
      </c>
      <c r="R60" s="65" t="n">
        <f aca="false">ROUND($O60*$P60,2)</f>
        <v>617.4</v>
      </c>
      <c r="S60" s="65" t="n">
        <f aca="false">ROUND($O60*$Q60,2)</f>
        <v>321.3</v>
      </c>
      <c r="T60" s="65" t="n">
        <f aca="false">ROUND($R60*SUMIFS(Parametros!$E$28:$E$43,Parametros!$B$28:$B$43,$J60,Parametros!$C$28:$C$43,$C60,Parametros!$D$28:$D$43,$D60),2)</f>
        <v>7.41</v>
      </c>
      <c r="U60" s="65" t="n">
        <f aca="false">$R60-$S60-$T60</f>
        <v>288.69</v>
      </c>
      <c r="V60" s="66" t="n">
        <f aca="false">IFERROR($U60/$R60,0)</f>
        <v>0.467589893100097</v>
      </c>
      <c r="W60" s="67" t="str">
        <f aca="false">IF(AND($V60&gt;=Parametros!$C$8,$R60&gt;=Parametros!$C$12),"Alta rentabilidad",IF(OR($V60&lt;Parametros!$C$11,$R60&lt;Parametros!$C$13),"Revisar","Estandar"))</f>
        <v>Estandar</v>
      </c>
      <c r="X60" s="67" t="str">
        <f aca="false">IF(AND($J60="E-commerce",IFERROR($T60/$R60,0)&gt;Parametros!$C$14),"Alerta","OK")</f>
        <v>OK</v>
      </c>
      <c r="Y60" s="61" t="str">
        <f aca="false">IF($R60&gt;=Parametros!$C$12,"Alto",IF($R60&lt;Parametros!$C$13,"Bajo","Medio"))</f>
        <v>Medio</v>
      </c>
      <c r="Z60" s="61" t="n">
        <v>101</v>
      </c>
      <c r="AA60" s="61" t="str">
        <f aca="false">IF(MATCH($A60,Datos_Origen!$A$2:$A$2459,0)=$Z60,"OK","REVISAR")</f>
        <v>OK</v>
      </c>
      <c r="AB60" s="62" t="n">
        <f aca="false">INDEX(Datos_Origen!$B$2:$B$2459,$Z60)</f>
        <v>45300</v>
      </c>
      <c r="AC60" s="61" t="str">
        <f aca="false">INDEX(Datos_Origen!$H$2:$H$2459,$Z60)</f>
        <v>18</v>
      </c>
      <c r="AD60" s="61" t="str">
        <f aca="false">INDEX(Datos_Origen!$D$2:$D$2459,$Z60)&amp;""</f>
        <v>Rosario</v>
      </c>
    </row>
    <row r="61" customFormat="false" ht="15" hidden="false" customHeight="false" outlineLevel="0" collapsed="false">
      <c r="A61" s="61" t="n">
        <f aca="false">INDEX(Datos_Origen!$A$2:$A$2459,$Z61)</f>
        <v>60</v>
      </c>
      <c r="B61" s="62" t="n">
        <f aca="false">IF(ISNUMBER($AB61),$AB61,IF(MID($AB61,5,1)="-",DATE(VALUE(LEFT($AB61,4)),VALUE(MID($AB61,6,2)),VALUE(RIGHT($AB61,2))),DATE(VALUE(RIGHT($AB61,4)),VALUE(MID($AB61,4,2)),VALUE(LEFT($AB61,2)))))</f>
        <v>45307</v>
      </c>
      <c r="C61" s="61" t="n">
        <f aca="false">YEAR($B61)</f>
        <v>2024</v>
      </c>
      <c r="D61" s="61" t="str">
        <f aca="false">"Q"&amp;ROUNDUP(MONTH($B61)/3,0)</f>
        <v>Q1</v>
      </c>
      <c r="E61" s="61" t="n">
        <f aca="false">MONTH($B61)</f>
        <v>1</v>
      </c>
      <c r="F61" s="61" t="str">
        <f aca="false">INDEX(Parametros!$I$5:$I$16,$E61)</f>
        <v>Ene</v>
      </c>
      <c r="G61" s="61" t="str">
        <f aca="false">TEXT($C61,"0000")&amp;"-"&amp;TEXT($E61,"00")</f>
        <v>2024-01</v>
      </c>
      <c r="H61" s="61" t="str">
        <f aca="false">INDEX(Parametros!$C$71:$C$91,MATCH(TRIM(INDEX(Datos_Origen!$C$2:$C$2459,$Z61)),Parametros!$B$71:$B$91,0))</f>
        <v>Litoral</v>
      </c>
      <c r="I61" s="61" t="str">
        <f aca="false">IF(TRIM($AD61)="",INDEX(Parametros!$I$20:$I$24,MATCH($H61,Parametros!$H$20:$H$24,0)),TRIM($AD61))</f>
        <v>Rosario</v>
      </c>
      <c r="J61" s="61" t="str">
        <f aca="false">INDEX(Parametros!$C$95:$C$106,MATCH(TRIM(INDEX(Datos_Origen!$E$2:$E$2459,$Z61)),Parametros!$B$95:$B$106,0))</f>
        <v>E-commerce</v>
      </c>
      <c r="K61" s="61" t="str">
        <f aca="false">INDEX(Parametros!$C$48:$C$67,MATCH(TRIM(INDEX(Datos_Origen!$F$2:$F$2459,$Z61)),Parametros!$B$48:$B$67,0))</f>
        <v>Almacenamiento</v>
      </c>
      <c r="L61" s="61" t="str">
        <f aca="false">$K61&amp;" "&amp;$C61</f>
        <v>Almacenamiento 2024</v>
      </c>
      <c r="M61" s="61" t="str">
        <f aca="false">TRIM(INDEX(Datos_Origen!$G$2:$G$2459,$Z61))</f>
        <v>Pendrive 256GB</v>
      </c>
      <c r="N61" s="61" t="str">
        <f aca="false">$M61&amp;" "&amp;$C61</f>
        <v>Pendrive 256GB 2024</v>
      </c>
      <c r="O61" s="63" t="n">
        <f aca="false">IF(ISTEXT($AC61),VALUE($AC61),$AC61)</f>
        <v>8</v>
      </c>
      <c r="P61" s="64" t="n">
        <f aca="false">INDEX(Datos_Origen!$I$2:$I$2459,$Z61)</f>
        <v>34.3</v>
      </c>
      <c r="Q61" s="64" t="n">
        <f aca="false">INDEX(Datos_Origen!$J$2:$J$2459,$Z61)</f>
        <v>17.85</v>
      </c>
      <c r="R61" s="65" t="n">
        <f aca="false">ROUND($O61*$P61,2)</f>
        <v>274.4</v>
      </c>
      <c r="S61" s="65" t="n">
        <f aca="false">ROUND($O61*$Q61,2)</f>
        <v>142.8</v>
      </c>
      <c r="T61" s="65" t="n">
        <f aca="false">ROUND($R61*SUMIFS(Parametros!$E$28:$E$43,Parametros!$B$28:$B$43,$J61,Parametros!$C$28:$C$43,$C61,Parametros!$D$28:$D$43,$D61),2)</f>
        <v>11.52</v>
      </c>
      <c r="U61" s="65" t="n">
        <f aca="false">$R61-$S61-$T61</f>
        <v>120.08</v>
      </c>
      <c r="V61" s="66" t="n">
        <f aca="false">IFERROR($U61/$R61,0)</f>
        <v>0.437609329446064</v>
      </c>
      <c r="W61" s="67" t="str">
        <f aca="false">IF(AND($V61&gt;=Parametros!$C$8,$R61&gt;=Parametros!$C$12),"Alta rentabilidad",IF(OR($V61&lt;Parametros!$C$11,$R61&lt;Parametros!$C$13),"Revisar","Estandar"))</f>
        <v>Revisar</v>
      </c>
      <c r="X61" s="67" t="str">
        <f aca="false">IF(AND($J61="E-commerce",IFERROR($T61/$R61,0)&gt;Parametros!$C$14),"Alerta","OK")</f>
        <v>OK</v>
      </c>
      <c r="Y61" s="61" t="str">
        <f aca="false">IF($R61&gt;=Parametros!$C$12,"Alto",IF($R61&lt;Parametros!$C$13,"Bajo","Medio"))</f>
        <v>Bajo</v>
      </c>
      <c r="Z61" s="61" t="n">
        <v>730</v>
      </c>
      <c r="AA61" s="61" t="str">
        <f aca="false">IF(MATCH($A61,Datos_Origen!$A$2:$A$2459,0)=$Z61,"OK","REVISAR")</f>
        <v>OK</v>
      </c>
      <c r="AB61" s="62" t="n">
        <f aca="false">INDEX(Datos_Origen!$B$2:$B$2459,$Z61)</f>
        <v>45307</v>
      </c>
      <c r="AC61" s="61" t="n">
        <f aca="false">INDEX(Datos_Origen!$H$2:$H$2459,$Z61)</f>
        <v>8</v>
      </c>
      <c r="AD61" s="61" t="str">
        <f aca="false">INDEX(Datos_Origen!$D$2:$D$2459,$Z61)&amp;""</f>
        <v/>
      </c>
    </row>
    <row r="62" customFormat="false" ht="15" hidden="false" customHeight="false" outlineLevel="0" collapsed="false">
      <c r="A62" s="61" t="n">
        <f aca="false">INDEX(Datos_Origen!$A$2:$A$2459,$Z62)</f>
        <v>61</v>
      </c>
      <c r="B62" s="62" t="n">
        <f aca="false">IF(ISNUMBER($AB62),$AB62,IF(MID($AB62,5,1)="-",DATE(VALUE(LEFT($AB62,4)),VALUE(MID($AB62,6,2)),VALUE(RIGHT($AB62,2))),DATE(VALUE(RIGHT($AB62,4)),VALUE(MID($AB62,4,2)),VALUE(LEFT($AB62,2)))))</f>
        <v>45314</v>
      </c>
      <c r="C62" s="61" t="n">
        <f aca="false">YEAR($B62)</f>
        <v>2024</v>
      </c>
      <c r="D62" s="61" t="str">
        <f aca="false">"Q"&amp;ROUNDUP(MONTH($B62)/3,0)</f>
        <v>Q1</v>
      </c>
      <c r="E62" s="61" t="n">
        <f aca="false">MONTH($B62)</f>
        <v>1</v>
      </c>
      <c r="F62" s="61" t="str">
        <f aca="false">INDEX(Parametros!$I$5:$I$16,$E62)</f>
        <v>Ene</v>
      </c>
      <c r="G62" s="61" t="str">
        <f aca="false">TEXT($C62,"0000")&amp;"-"&amp;TEXT($E62,"00")</f>
        <v>2024-01</v>
      </c>
      <c r="H62" s="61" t="str">
        <f aca="false">INDEX(Parametros!$C$71:$C$91,MATCH(TRIM(INDEX(Datos_Origen!$C$2:$C$2459,$Z62)),Parametros!$B$71:$B$91,0))</f>
        <v>Cuyo</v>
      </c>
      <c r="I62" s="61" t="str">
        <f aca="false">IF(TRIM($AD62)="",INDEX(Parametros!$I$20:$I$24,MATCH($H62,Parametros!$H$20:$H$24,0)),TRIM($AD62))</f>
        <v>Mendoza</v>
      </c>
      <c r="J62" s="61" t="str">
        <f aca="false">INDEX(Parametros!$C$95:$C$106,MATCH(TRIM(INDEX(Datos_Origen!$E$2:$E$2459,$Z62)),Parametros!$B$95:$B$106,0))</f>
        <v>Tienda fisica</v>
      </c>
      <c r="K62" s="61" t="str">
        <f aca="false">INDEX(Parametros!$C$48:$C$67,MATCH(TRIM(INDEX(Datos_Origen!$F$2:$F$2459,$Z62)),Parametros!$B$48:$B$67,0))</f>
        <v>Computacion</v>
      </c>
      <c r="L62" s="61" t="str">
        <f aca="false">$K62&amp;" "&amp;$C62</f>
        <v>Computacion 2024</v>
      </c>
      <c r="M62" s="61" t="str">
        <f aca="false">TRIM(INDEX(Datos_Origen!$G$2:$G$2459,$Z62))</f>
        <v>Laptop Pro 15</v>
      </c>
      <c r="N62" s="61" t="str">
        <f aca="false">$M62&amp;" "&amp;$C62</f>
        <v>Laptop Pro 15 2024</v>
      </c>
      <c r="O62" s="63" t="n">
        <f aca="false">IF(ISTEXT($AC62),VALUE($AC62),$AC62)</f>
        <v>5</v>
      </c>
      <c r="P62" s="64" t="n">
        <f aca="false">INDEX(Datos_Origen!$I$2:$I$2459,$Z62)</f>
        <v>1176</v>
      </c>
      <c r="Q62" s="64" t="n">
        <f aca="false">INDEX(Datos_Origen!$J$2:$J$2459,$Z62)</f>
        <v>744</v>
      </c>
      <c r="R62" s="65" t="n">
        <f aca="false">ROUND($O62*$P62,2)</f>
        <v>5880</v>
      </c>
      <c r="S62" s="65" t="n">
        <f aca="false">ROUND($O62*$Q62,2)</f>
        <v>3720</v>
      </c>
      <c r="T62" s="65" t="n">
        <f aca="false">ROUND($R62*SUMIFS(Parametros!$E$28:$E$43,Parametros!$B$28:$B$43,$J62,Parametros!$C$28:$C$43,$C62,Parametros!$D$28:$D$43,$D62),2)</f>
        <v>70.56</v>
      </c>
      <c r="U62" s="65" t="n">
        <f aca="false">$R62-$S62-$T62</f>
        <v>2089.44</v>
      </c>
      <c r="V62" s="66" t="n">
        <f aca="false">IFERROR($U62/$R62,0)</f>
        <v>0.35534693877551</v>
      </c>
      <c r="W62" s="67" t="str">
        <f aca="false">IF(AND($V62&gt;=Parametros!$C$8,$R62&gt;=Parametros!$C$12),"Alta rentabilidad",IF(OR($V62&lt;Parametros!$C$11,$R62&lt;Parametros!$C$13),"Revisar","Estandar"))</f>
        <v>Alta rentabilidad</v>
      </c>
      <c r="X62" s="67" t="str">
        <f aca="false">IF(AND($J62="E-commerce",IFERROR($T62/$R62,0)&gt;Parametros!$C$14),"Alerta","OK")</f>
        <v>OK</v>
      </c>
      <c r="Y62" s="61" t="str">
        <f aca="false">IF($R62&gt;=Parametros!$C$12,"Alto",IF($R62&lt;Parametros!$C$13,"Bajo","Medio"))</f>
        <v>Alto</v>
      </c>
      <c r="Z62" s="61" t="n">
        <v>644</v>
      </c>
      <c r="AA62" s="61" t="str">
        <f aca="false">IF(MATCH($A62,Datos_Origen!$A$2:$A$2459,0)=$Z62,"OK","REVISAR")</f>
        <v>OK</v>
      </c>
      <c r="AB62" s="61" t="str">
        <f aca="false">INDEX(Datos_Origen!$B$2:$B$2459,$Z62)</f>
        <v>23/01/2024</v>
      </c>
      <c r="AC62" s="61" t="n">
        <f aca="false">INDEX(Datos_Origen!$H$2:$H$2459,$Z62)</f>
        <v>5</v>
      </c>
      <c r="AD62" s="61" t="str">
        <f aca="false">INDEX(Datos_Origen!$D$2:$D$2459,$Z62)&amp;""</f>
        <v>Mendoza</v>
      </c>
    </row>
    <row r="63" customFormat="false" ht="15" hidden="false" customHeight="false" outlineLevel="0" collapsed="false">
      <c r="A63" s="61" t="n">
        <f aca="false">INDEX(Datos_Origen!$A$2:$A$2459,$Z63)</f>
        <v>62</v>
      </c>
      <c r="B63" s="62" t="n">
        <f aca="false">IF(ISNUMBER($AB63),$AB63,IF(MID($AB63,5,1)="-",DATE(VALUE(LEFT($AB63,4)),VALUE(MID($AB63,6,2)),VALUE(RIGHT($AB63,2))),DATE(VALUE(RIGHT($AB63,4)),VALUE(MID($AB63,4,2)),VALUE(LEFT($AB63,2)))))</f>
        <v>45294</v>
      </c>
      <c r="C63" s="61" t="n">
        <f aca="false">YEAR($B63)</f>
        <v>2024</v>
      </c>
      <c r="D63" s="61" t="str">
        <f aca="false">"Q"&amp;ROUNDUP(MONTH($B63)/3,0)</f>
        <v>Q1</v>
      </c>
      <c r="E63" s="61" t="n">
        <f aca="false">MONTH($B63)</f>
        <v>1</v>
      </c>
      <c r="F63" s="61" t="str">
        <f aca="false">INDEX(Parametros!$I$5:$I$16,$E63)</f>
        <v>Ene</v>
      </c>
      <c r="G63" s="61" t="str">
        <f aca="false">TEXT($C63,"0000")&amp;"-"&amp;TEXT($E63,"00")</f>
        <v>2024-01</v>
      </c>
      <c r="H63" s="61" t="str">
        <f aca="false">INDEX(Parametros!$C$71:$C$91,MATCH(TRIM(INDEX(Datos_Origen!$C$2:$C$2459,$Z63)),Parametros!$B$71:$B$91,0))</f>
        <v>Cuyo</v>
      </c>
      <c r="I63" s="61" t="str">
        <f aca="false">IF(TRIM($AD63)="",INDEX(Parametros!$I$20:$I$24,MATCH($H63,Parametros!$H$20:$H$24,0)),TRIM($AD63))</f>
        <v>Mendoza</v>
      </c>
      <c r="J63" s="61" t="str">
        <f aca="false">INDEX(Parametros!$C$95:$C$106,MATCH(TRIM(INDEX(Datos_Origen!$E$2:$E$2459,$Z63)),Parametros!$B$95:$B$106,0))</f>
        <v>E-commerce</v>
      </c>
      <c r="K63" s="61" t="str">
        <f aca="false">INDEX(Parametros!$C$48:$C$67,MATCH(TRIM(INDEX(Datos_Origen!$F$2:$F$2459,$Z63)),Parametros!$B$48:$B$67,0))</f>
        <v>Computacion</v>
      </c>
      <c r="L63" s="61" t="str">
        <f aca="false">$K63&amp;" "&amp;$C63</f>
        <v>Computacion 2024</v>
      </c>
      <c r="M63" s="61" t="str">
        <f aca="false">TRIM(INDEX(Datos_Origen!$G$2:$G$2459,$Z63))</f>
        <v>Laptop Pro 15</v>
      </c>
      <c r="N63" s="61" t="str">
        <f aca="false">$M63&amp;" "&amp;$C63</f>
        <v>Laptop Pro 15 2024</v>
      </c>
      <c r="O63" s="63" t="n">
        <f aca="false">IF(ISTEXT($AC63),VALUE($AC63),$AC63)</f>
        <v>2</v>
      </c>
      <c r="P63" s="64" t="n">
        <f aca="false">INDEX(Datos_Origen!$I$2:$I$2459,$Z63)</f>
        <v>1176</v>
      </c>
      <c r="Q63" s="64" t="n">
        <f aca="false">INDEX(Datos_Origen!$J$2:$J$2459,$Z63)</f>
        <v>744</v>
      </c>
      <c r="R63" s="65" t="n">
        <f aca="false">ROUND($O63*$P63,2)</f>
        <v>2352</v>
      </c>
      <c r="S63" s="65" t="n">
        <f aca="false">ROUND($O63*$Q63,2)</f>
        <v>1488</v>
      </c>
      <c r="T63" s="65" t="n">
        <f aca="false">ROUND($R63*SUMIFS(Parametros!$E$28:$E$43,Parametros!$B$28:$B$43,$J63,Parametros!$C$28:$C$43,$C63,Parametros!$D$28:$D$43,$D63),2)</f>
        <v>98.78</v>
      </c>
      <c r="U63" s="65" t="n">
        <f aca="false">$R63-$S63-$T63</f>
        <v>765.22</v>
      </c>
      <c r="V63" s="66" t="n">
        <f aca="false">IFERROR($U63/$R63,0)</f>
        <v>0.325348639455782</v>
      </c>
      <c r="W63" s="67" t="str">
        <f aca="false">IF(AND($V63&gt;=Parametros!$C$8,$R63&gt;=Parametros!$C$12),"Alta rentabilidad",IF(OR($V63&lt;Parametros!$C$11,$R63&lt;Parametros!$C$13),"Revisar","Estandar"))</f>
        <v>Estandar</v>
      </c>
      <c r="X63" s="67" t="str">
        <f aca="false">IF(AND($J63="E-commerce",IFERROR($T63/$R63,0)&gt;Parametros!$C$14),"Alerta","OK")</f>
        <v>OK</v>
      </c>
      <c r="Y63" s="61" t="str">
        <f aca="false">IF($R63&gt;=Parametros!$C$12,"Alto",IF($R63&lt;Parametros!$C$13,"Bajo","Medio"))</f>
        <v>Medio</v>
      </c>
      <c r="Z63" s="61" t="n">
        <v>1439</v>
      </c>
      <c r="AA63" s="61" t="str">
        <f aca="false">IF(MATCH($A63,Datos_Origen!$A$2:$A$2459,0)=$Z63,"OK","REVISAR")</f>
        <v>OK</v>
      </c>
      <c r="AB63" s="62" t="n">
        <f aca="false">INDEX(Datos_Origen!$B$2:$B$2459,$Z63)</f>
        <v>45294</v>
      </c>
      <c r="AC63" s="61" t="n">
        <f aca="false">INDEX(Datos_Origen!$H$2:$H$2459,$Z63)</f>
        <v>2</v>
      </c>
      <c r="AD63" s="61" t="str">
        <f aca="false">INDEX(Datos_Origen!$D$2:$D$2459,$Z63)&amp;""</f>
        <v>Mendoza</v>
      </c>
    </row>
    <row r="64" customFormat="false" ht="15" hidden="false" customHeight="false" outlineLevel="0" collapsed="false">
      <c r="A64" s="61" t="n">
        <f aca="false">INDEX(Datos_Origen!$A$2:$A$2459,$Z64)</f>
        <v>63</v>
      </c>
      <c r="B64" s="62" t="n">
        <f aca="false">IF(ISNUMBER($AB64),$AB64,IF(MID($AB64,5,1)="-",DATE(VALUE(LEFT($AB64,4)),VALUE(MID($AB64,6,2)),VALUE(RIGHT($AB64,2))),DATE(VALUE(RIGHT($AB64,4)),VALUE(MID($AB64,4,2)),VALUE(LEFT($AB64,2)))))</f>
        <v>45301</v>
      </c>
      <c r="C64" s="61" t="n">
        <f aca="false">YEAR($B64)</f>
        <v>2024</v>
      </c>
      <c r="D64" s="61" t="str">
        <f aca="false">"Q"&amp;ROUNDUP(MONTH($B64)/3,0)</f>
        <v>Q1</v>
      </c>
      <c r="E64" s="61" t="n">
        <f aca="false">MONTH($B64)</f>
        <v>1</v>
      </c>
      <c r="F64" s="61" t="str">
        <f aca="false">INDEX(Parametros!$I$5:$I$16,$E64)</f>
        <v>Ene</v>
      </c>
      <c r="G64" s="61" t="str">
        <f aca="false">TEXT($C64,"0000")&amp;"-"&amp;TEXT($E64,"00")</f>
        <v>2024-01</v>
      </c>
      <c r="H64" s="61" t="str">
        <f aca="false">INDEX(Parametros!$C$71:$C$91,MATCH(TRIM(INDEX(Datos_Origen!$C$2:$C$2459,$Z64)),Parametros!$B$71:$B$91,0))</f>
        <v>Cuyo</v>
      </c>
      <c r="I64" s="61" t="str">
        <f aca="false">IF(TRIM($AD64)="",INDEX(Parametros!$I$20:$I$24,MATCH($H64,Parametros!$H$20:$H$24,0)),TRIM($AD64))</f>
        <v>Mendoza</v>
      </c>
      <c r="J64" s="61" t="str">
        <f aca="false">INDEX(Parametros!$C$95:$C$106,MATCH(TRIM(INDEX(Datos_Origen!$E$2:$E$2459,$Z64)),Parametros!$B$95:$B$106,0))</f>
        <v>Tienda fisica</v>
      </c>
      <c r="K64" s="61" t="str">
        <f aca="false">INDEX(Parametros!$C$48:$C$67,MATCH(TRIM(INDEX(Datos_Origen!$F$2:$F$2459,$Z64)),Parametros!$B$48:$B$67,0))</f>
        <v>Computacion</v>
      </c>
      <c r="L64" s="61" t="str">
        <f aca="false">$K64&amp;" "&amp;$C64</f>
        <v>Computacion 2024</v>
      </c>
      <c r="M64" s="61" t="str">
        <f aca="false">TRIM(INDEX(Datos_Origen!$G$2:$G$2459,$Z64))</f>
        <v>Monitor 4K 27</v>
      </c>
      <c r="N64" s="61" t="str">
        <f aca="false">$M64&amp;" "&amp;$C64</f>
        <v>Monitor 4K 27 2024</v>
      </c>
      <c r="O64" s="63" t="n">
        <f aca="false">IF(ISTEXT($AC64),VALUE($AC64),$AC64)</f>
        <v>5</v>
      </c>
      <c r="P64" s="64" t="n">
        <f aca="false">INDEX(Datos_Origen!$I$2:$I$2459,$Z64)</f>
        <v>441</v>
      </c>
      <c r="Q64" s="64" t="n">
        <f aca="false">INDEX(Datos_Origen!$J$2:$J$2459,$Z64)</f>
        <v>272.25</v>
      </c>
      <c r="R64" s="65" t="n">
        <f aca="false">ROUND($O64*$P64,2)</f>
        <v>2205</v>
      </c>
      <c r="S64" s="65" t="n">
        <f aca="false">ROUND($O64*$Q64,2)</f>
        <v>1361.25</v>
      </c>
      <c r="T64" s="65" t="n">
        <f aca="false">ROUND($R64*SUMIFS(Parametros!$E$28:$E$43,Parametros!$B$28:$B$43,$J64,Parametros!$C$28:$C$43,$C64,Parametros!$D$28:$D$43,$D64),2)</f>
        <v>26.46</v>
      </c>
      <c r="U64" s="65" t="n">
        <f aca="false">$R64-$S64-$T64</f>
        <v>817.29</v>
      </c>
      <c r="V64" s="66" t="n">
        <f aca="false">IFERROR($U64/$R64,0)</f>
        <v>0.37065306122449</v>
      </c>
      <c r="W64" s="67" t="str">
        <f aca="false">IF(AND($V64&gt;=Parametros!$C$8,$R64&gt;=Parametros!$C$12),"Alta rentabilidad",IF(OR($V64&lt;Parametros!$C$11,$R64&lt;Parametros!$C$13),"Revisar","Estandar"))</f>
        <v>Estandar</v>
      </c>
      <c r="X64" s="67" t="str">
        <f aca="false">IF(AND($J64="E-commerce",IFERROR($T64/$R64,0)&gt;Parametros!$C$14),"Alerta","OK")</f>
        <v>OK</v>
      </c>
      <c r="Y64" s="61" t="str">
        <f aca="false">IF($R64&gt;=Parametros!$C$12,"Alto",IF($R64&lt;Parametros!$C$13,"Bajo","Medio"))</f>
        <v>Medio</v>
      </c>
      <c r="Z64" s="61" t="n">
        <v>1062</v>
      </c>
      <c r="AA64" s="61" t="str">
        <f aca="false">IF(MATCH($A64,Datos_Origen!$A$2:$A$2459,0)=$Z64,"OK","REVISAR")</f>
        <v>OK</v>
      </c>
      <c r="AB64" s="62" t="n">
        <f aca="false">INDEX(Datos_Origen!$B$2:$B$2459,$Z64)</f>
        <v>45301</v>
      </c>
      <c r="AC64" s="61" t="n">
        <f aca="false">INDEX(Datos_Origen!$H$2:$H$2459,$Z64)</f>
        <v>5</v>
      </c>
      <c r="AD64" s="61" t="str">
        <f aca="false">INDEX(Datos_Origen!$D$2:$D$2459,$Z64)&amp;""</f>
        <v>Mendoza</v>
      </c>
    </row>
    <row r="65" customFormat="false" ht="15" hidden="false" customHeight="false" outlineLevel="0" collapsed="false">
      <c r="A65" s="61" t="n">
        <f aca="false">INDEX(Datos_Origen!$A$2:$A$2459,$Z65)</f>
        <v>64</v>
      </c>
      <c r="B65" s="62" t="n">
        <f aca="false">IF(ISNUMBER($AB65),$AB65,IF(MID($AB65,5,1)="-",DATE(VALUE(LEFT($AB65,4)),VALUE(MID($AB65,6,2)),VALUE(RIGHT($AB65,2))),DATE(VALUE(RIGHT($AB65,4)),VALUE(MID($AB65,4,2)),VALUE(LEFT($AB65,2)))))</f>
        <v>45308</v>
      </c>
      <c r="C65" s="61" t="n">
        <f aca="false">YEAR($B65)</f>
        <v>2024</v>
      </c>
      <c r="D65" s="61" t="str">
        <f aca="false">"Q"&amp;ROUNDUP(MONTH($B65)/3,0)</f>
        <v>Q1</v>
      </c>
      <c r="E65" s="61" t="n">
        <f aca="false">MONTH($B65)</f>
        <v>1</v>
      </c>
      <c r="F65" s="61" t="str">
        <f aca="false">INDEX(Parametros!$I$5:$I$16,$E65)</f>
        <v>Ene</v>
      </c>
      <c r="G65" s="61" t="str">
        <f aca="false">TEXT($C65,"0000")&amp;"-"&amp;TEXT($E65,"00")</f>
        <v>2024-01</v>
      </c>
      <c r="H65" s="61" t="str">
        <f aca="false">INDEX(Parametros!$C$71:$C$91,MATCH(TRIM(INDEX(Datos_Origen!$C$2:$C$2459,$Z65)),Parametros!$B$71:$B$91,0))</f>
        <v>Cuyo</v>
      </c>
      <c r="I65" s="61" t="str">
        <f aca="false">IF(TRIM($AD65)="",INDEX(Parametros!$I$20:$I$24,MATCH($H65,Parametros!$H$20:$H$24,0)),TRIM($AD65))</f>
        <v>Mendoza</v>
      </c>
      <c r="J65" s="61" t="str">
        <f aca="false">INDEX(Parametros!$C$95:$C$106,MATCH(TRIM(INDEX(Datos_Origen!$E$2:$E$2459,$Z65)),Parametros!$B$95:$B$106,0))</f>
        <v>E-commerce</v>
      </c>
      <c r="K65" s="61" t="str">
        <f aca="false">INDEX(Parametros!$C$48:$C$67,MATCH(TRIM(INDEX(Datos_Origen!$F$2:$F$2459,$Z65)),Parametros!$B$48:$B$67,0))</f>
        <v>Computacion</v>
      </c>
      <c r="L65" s="61" t="str">
        <f aca="false">$K65&amp;" "&amp;$C65</f>
        <v>Computacion 2024</v>
      </c>
      <c r="M65" s="61" t="str">
        <f aca="false">TRIM(INDEX(Datos_Origen!$G$2:$G$2459,$Z65))</f>
        <v>Monitor 4K 27</v>
      </c>
      <c r="N65" s="61" t="str">
        <f aca="false">$M65&amp;" "&amp;$C65</f>
        <v>Monitor 4K 27 2024</v>
      </c>
      <c r="O65" s="63" t="n">
        <f aca="false">IF(ISTEXT($AC65),VALUE($AC65),$AC65)</f>
        <v>2</v>
      </c>
      <c r="P65" s="64" t="n">
        <f aca="false">INDEX(Datos_Origen!$I$2:$I$2459,$Z65)</f>
        <v>441</v>
      </c>
      <c r="Q65" s="64" t="n">
        <f aca="false">INDEX(Datos_Origen!$J$2:$J$2459,$Z65)</f>
        <v>272.25</v>
      </c>
      <c r="R65" s="65" t="n">
        <f aca="false">ROUND($O65*$P65,2)</f>
        <v>882</v>
      </c>
      <c r="S65" s="65" t="n">
        <f aca="false">ROUND($O65*$Q65,2)</f>
        <v>544.5</v>
      </c>
      <c r="T65" s="65" t="n">
        <f aca="false">ROUND($R65*SUMIFS(Parametros!$E$28:$E$43,Parametros!$B$28:$B$43,$J65,Parametros!$C$28:$C$43,$C65,Parametros!$D$28:$D$43,$D65),2)</f>
        <v>37.04</v>
      </c>
      <c r="U65" s="65" t="n">
        <f aca="false">$R65-$S65-$T65</f>
        <v>300.46</v>
      </c>
      <c r="V65" s="66" t="n">
        <f aca="false">IFERROR($U65/$R65,0)</f>
        <v>0.340657596371882</v>
      </c>
      <c r="W65" s="67" t="str">
        <f aca="false">IF(AND($V65&gt;=Parametros!$C$8,$R65&gt;=Parametros!$C$12),"Alta rentabilidad",IF(OR($V65&lt;Parametros!$C$11,$R65&lt;Parametros!$C$13),"Revisar","Estandar"))</f>
        <v>Estandar</v>
      </c>
      <c r="X65" s="67" t="str">
        <f aca="false">IF(AND($J65="E-commerce",IFERROR($T65/$R65,0)&gt;Parametros!$C$14),"Alerta","OK")</f>
        <v>OK</v>
      </c>
      <c r="Y65" s="61" t="str">
        <f aca="false">IF($R65&gt;=Parametros!$C$12,"Alto",IF($R65&lt;Parametros!$C$13,"Bajo","Medio"))</f>
        <v>Medio</v>
      </c>
      <c r="Z65" s="61" t="n">
        <v>2444</v>
      </c>
      <c r="AA65" s="61" t="str">
        <f aca="false">IF(MATCH($A65,Datos_Origen!$A$2:$A$2459,0)=$Z65,"OK","REVISAR")</f>
        <v>OK</v>
      </c>
      <c r="AB65" s="62" t="n">
        <f aca="false">INDEX(Datos_Origen!$B$2:$B$2459,$Z65)</f>
        <v>45308</v>
      </c>
      <c r="AC65" s="61" t="n">
        <f aca="false">INDEX(Datos_Origen!$H$2:$H$2459,$Z65)</f>
        <v>2</v>
      </c>
      <c r="AD65" s="61" t="str">
        <f aca="false">INDEX(Datos_Origen!$D$2:$D$2459,$Z65)&amp;""</f>
        <v/>
      </c>
    </row>
    <row r="66" customFormat="false" ht="15" hidden="false" customHeight="false" outlineLevel="0" collapsed="false">
      <c r="A66" s="61" t="n">
        <f aca="false">INDEX(Datos_Origen!$A$2:$A$2459,$Z66)</f>
        <v>65</v>
      </c>
      <c r="B66" s="62" t="n">
        <f aca="false">IF(ISNUMBER($AB66),$AB66,IF(MID($AB66,5,1)="-",DATE(VALUE(LEFT($AB66,4)),VALUE(MID($AB66,6,2)),VALUE(RIGHT($AB66,2))),DATE(VALUE(RIGHT($AB66,4)),VALUE(MID($AB66,4,2)),VALUE(LEFT($AB66,2)))))</f>
        <v>45315</v>
      </c>
      <c r="C66" s="61" t="n">
        <f aca="false">YEAR($B66)</f>
        <v>2024</v>
      </c>
      <c r="D66" s="61" t="str">
        <f aca="false">"Q"&amp;ROUNDUP(MONTH($B66)/3,0)</f>
        <v>Q1</v>
      </c>
      <c r="E66" s="61" t="n">
        <f aca="false">MONTH($B66)</f>
        <v>1</v>
      </c>
      <c r="F66" s="61" t="str">
        <f aca="false">INDEX(Parametros!$I$5:$I$16,$E66)</f>
        <v>Ene</v>
      </c>
      <c r="G66" s="61" t="str">
        <f aca="false">TEXT($C66,"0000")&amp;"-"&amp;TEXT($E66,"00")</f>
        <v>2024-01</v>
      </c>
      <c r="H66" s="61" t="str">
        <f aca="false">INDEX(Parametros!$C$71:$C$91,MATCH(TRIM(INDEX(Datos_Origen!$C$2:$C$2459,$Z66)),Parametros!$B$71:$B$91,0))</f>
        <v>Cuyo</v>
      </c>
      <c r="I66" s="61" t="str">
        <f aca="false">IF(TRIM($AD66)="",INDEX(Parametros!$I$20:$I$24,MATCH($H66,Parametros!$H$20:$H$24,0)),TRIM($AD66))</f>
        <v>Mendoza</v>
      </c>
      <c r="J66" s="61" t="str">
        <f aca="false">INDEX(Parametros!$C$95:$C$106,MATCH(TRIM(INDEX(Datos_Origen!$E$2:$E$2459,$Z66)),Parametros!$B$95:$B$106,0))</f>
        <v>Tienda fisica</v>
      </c>
      <c r="K66" s="61" t="str">
        <f aca="false">INDEX(Parametros!$C$48:$C$67,MATCH(TRIM(INDEX(Datos_Origen!$F$2:$F$2459,$Z66)),Parametros!$B$48:$B$67,0))</f>
        <v>Computacion</v>
      </c>
      <c r="L66" s="61" t="str">
        <f aca="false">$K66&amp;" "&amp;$C66</f>
        <v>Computacion 2024</v>
      </c>
      <c r="M66" s="61" t="str">
        <f aca="false">TRIM(INDEX(Datos_Origen!$G$2:$G$2459,$Z66))</f>
        <v>PC Gamer Ryzen</v>
      </c>
      <c r="N66" s="61" t="str">
        <f aca="false">$M66&amp;" "&amp;$C66</f>
        <v>PC Gamer Ryzen 2024</v>
      </c>
      <c r="O66" s="63" t="n">
        <f aca="false">IF(ISTEXT($AC66),VALUE($AC66),$AC66)</f>
        <v>7</v>
      </c>
      <c r="P66" s="64" t="n">
        <f aca="false">INDEX(Datos_Origen!$I$2:$I$2459,$Z66)</f>
        <v>1617</v>
      </c>
      <c r="Q66" s="64" t="n">
        <f aca="false">INDEX(Datos_Origen!$J$2:$J$2459,$Z66)</f>
        <v>1122</v>
      </c>
      <c r="R66" s="65" t="n">
        <f aca="false">ROUND($O66*$P66,2)</f>
        <v>11319</v>
      </c>
      <c r="S66" s="65" t="n">
        <f aca="false">ROUND($O66*$Q66,2)</f>
        <v>7854</v>
      </c>
      <c r="T66" s="65" t="n">
        <f aca="false">ROUND($R66*SUMIFS(Parametros!$E$28:$E$43,Parametros!$B$28:$B$43,$J66,Parametros!$C$28:$C$43,$C66,Parametros!$D$28:$D$43,$D66),2)</f>
        <v>135.83</v>
      </c>
      <c r="U66" s="65" t="n">
        <f aca="false">$R66-$S66-$T66</f>
        <v>3329.17</v>
      </c>
      <c r="V66" s="66" t="n">
        <f aca="false">IFERROR($U66/$R66,0)</f>
        <v>0.294122272285538</v>
      </c>
      <c r="W66" s="67" t="str">
        <f aca="false">IF(AND($V66&gt;=Parametros!$C$8,$R66&gt;=Parametros!$C$12),"Alta rentabilidad",IF(OR($V66&lt;Parametros!$C$11,$R66&lt;Parametros!$C$13),"Revisar","Estandar"))</f>
        <v>Estandar</v>
      </c>
      <c r="X66" s="67" t="str">
        <f aca="false">IF(AND($J66="E-commerce",IFERROR($T66/$R66,0)&gt;Parametros!$C$14),"Alerta","OK")</f>
        <v>OK</v>
      </c>
      <c r="Y66" s="61" t="str">
        <f aca="false">IF($R66&gt;=Parametros!$C$12,"Alto",IF($R66&lt;Parametros!$C$13,"Bajo","Medio"))</f>
        <v>Alto</v>
      </c>
      <c r="Z66" s="61" t="n">
        <v>1368</v>
      </c>
      <c r="AA66" s="61" t="str">
        <f aca="false">IF(MATCH($A66,Datos_Origen!$A$2:$A$2459,0)=$Z66,"OK","REVISAR")</f>
        <v>OK</v>
      </c>
      <c r="AB66" s="62" t="n">
        <f aca="false">INDEX(Datos_Origen!$B$2:$B$2459,$Z66)</f>
        <v>45315</v>
      </c>
      <c r="AC66" s="61" t="n">
        <f aca="false">INDEX(Datos_Origen!$H$2:$H$2459,$Z66)</f>
        <v>7</v>
      </c>
      <c r="AD66" s="61" t="str">
        <f aca="false">INDEX(Datos_Origen!$D$2:$D$2459,$Z66)&amp;""</f>
        <v>Mendoza</v>
      </c>
    </row>
    <row r="67" customFormat="false" ht="15" hidden="false" customHeight="false" outlineLevel="0" collapsed="false">
      <c r="A67" s="61" t="n">
        <f aca="false">INDEX(Datos_Origen!$A$2:$A$2459,$Z67)</f>
        <v>66</v>
      </c>
      <c r="B67" s="62" t="n">
        <f aca="false">IF(ISNUMBER($AB67),$AB67,IF(MID($AB67,5,1)="-",DATE(VALUE(LEFT($AB67,4)),VALUE(MID($AB67,6,2)),VALUE(RIGHT($AB67,2))),DATE(VALUE(RIGHT($AB67,4)),VALUE(MID($AB67,4,2)),VALUE(LEFT($AB67,2)))))</f>
        <v>45295</v>
      </c>
      <c r="C67" s="61" t="n">
        <f aca="false">YEAR($B67)</f>
        <v>2024</v>
      </c>
      <c r="D67" s="61" t="str">
        <f aca="false">"Q"&amp;ROUNDUP(MONTH($B67)/3,0)</f>
        <v>Q1</v>
      </c>
      <c r="E67" s="61" t="n">
        <f aca="false">MONTH($B67)</f>
        <v>1</v>
      </c>
      <c r="F67" s="61" t="str">
        <f aca="false">INDEX(Parametros!$I$5:$I$16,$E67)</f>
        <v>Ene</v>
      </c>
      <c r="G67" s="61" t="str">
        <f aca="false">TEXT($C67,"0000")&amp;"-"&amp;TEXT($E67,"00")</f>
        <v>2024-01</v>
      </c>
      <c r="H67" s="61" t="str">
        <f aca="false">INDEX(Parametros!$C$71:$C$91,MATCH(TRIM(INDEX(Datos_Origen!$C$2:$C$2459,$Z67)),Parametros!$B$71:$B$91,0))</f>
        <v>Cuyo</v>
      </c>
      <c r="I67" s="61" t="str">
        <f aca="false">IF(TRIM($AD67)="",INDEX(Parametros!$I$20:$I$24,MATCH($H67,Parametros!$H$20:$H$24,0)),TRIM($AD67))</f>
        <v>Mendoza</v>
      </c>
      <c r="J67" s="61" t="str">
        <f aca="false">INDEX(Parametros!$C$95:$C$106,MATCH(TRIM(INDEX(Datos_Origen!$E$2:$E$2459,$Z67)),Parametros!$B$95:$B$106,0))</f>
        <v>E-commerce</v>
      </c>
      <c r="K67" s="61" t="str">
        <f aca="false">INDEX(Parametros!$C$48:$C$67,MATCH(TRIM(INDEX(Datos_Origen!$F$2:$F$2459,$Z67)),Parametros!$B$48:$B$67,0))</f>
        <v>Computacion</v>
      </c>
      <c r="L67" s="61" t="str">
        <f aca="false">$K67&amp;" "&amp;$C67</f>
        <v>Computacion 2024</v>
      </c>
      <c r="M67" s="61" t="str">
        <f aca="false">TRIM(INDEX(Datos_Origen!$G$2:$G$2459,$Z67))</f>
        <v>PC Gamer Ryzen</v>
      </c>
      <c r="N67" s="61" t="str">
        <f aca="false">$M67&amp;" "&amp;$C67</f>
        <v>PC Gamer Ryzen 2024</v>
      </c>
      <c r="O67" s="63" t="n">
        <f aca="false">IF(ISTEXT($AC67),VALUE($AC67),$AC67)</f>
        <v>2</v>
      </c>
      <c r="P67" s="64" t="n">
        <f aca="false">INDEX(Datos_Origen!$I$2:$I$2459,$Z67)</f>
        <v>1617</v>
      </c>
      <c r="Q67" s="64" t="n">
        <f aca="false">INDEX(Datos_Origen!$J$2:$J$2459,$Z67)</f>
        <v>1122</v>
      </c>
      <c r="R67" s="65" t="n">
        <f aca="false">ROUND($O67*$P67,2)</f>
        <v>3234</v>
      </c>
      <c r="S67" s="65" t="n">
        <f aca="false">ROUND($O67*$Q67,2)</f>
        <v>2244</v>
      </c>
      <c r="T67" s="65" t="n">
        <f aca="false">ROUND($R67*SUMIFS(Parametros!$E$28:$E$43,Parametros!$B$28:$B$43,$J67,Parametros!$C$28:$C$43,$C67,Parametros!$D$28:$D$43,$D67),2)</f>
        <v>135.83</v>
      </c>
      <c r="U67" s="65" t="n">
        <f aca="false">$R67-$S67-$T67</f>
        <v>854.17</v>
      </c>
      <c r="V67" s="66" t="n">
        <f aca="false">IFERROR($U67/$R67,0)</f>
        <v>0.264121830550402</v>
      </c>
      <c r="W67" s="67" t="str">
        <f aca="false">IF(AND($V67&gt;=Parametros!$C$8,$R67&gt;=Parametros!$C$12),"Alta rentabilidad",IF(OR($V67&lt;Parametros!$C$11,$R67&lt;Parametros!$C$13),"Revisar","Estandar"))</f>
        <v>Revisar</v>
      </c>
      <c r="X67" s="67" t="str">
        <f aca="false">IF(AND($J67="E-commerce",IFERROR($T67/$R67,0)&gt;Parametros!$C$14),"Alerta","OK")</f>
        <v>OK</v>
      </c>
      <c r="Y67" s="61" t="str">
        <f aca="false">IF($R67&gt;=Parametros!$C$12,"Alto",IF($R67&lt;Parametros!$C$13,"Bajo","Medio"))</f>
        <v>Alto</v>
      </c>
      <c r="Z67" s="61" t="n">
        <v>944</v>
      </c>
      <c r="AA67" s="61" t="str">
        <f aca="false">IF(MATCH($A67,Datos_Origen!$A$2:$A$2459,0)=$Z67,"OK","REVISAR")</f>
        <v>OK</v>
      </c>
      <c r="AB67" s="62" t="n">
        <f aca="false">INDEX(Datos_Origen!$B$2:$B$2459,$Z67)</f>
        <v>45295</v>
      </c>
      <c r="AC67" s="61" t="n">
        <f aca="false">INDEX(Datos_Origen!$H$2:$H$2459,$Z67)</f>
        <v>2</v>
      </c>
      <c r="AD67" s="61" t="str">
        <f aca="false">INDEX(Datos_Origen!$D$2:$D$2459,$Z67)&amp;""</f>
        <v>Mendoza</v>
      </c>
    </row>
    <row r="68" customFormat="false" ht="15" hidden="false" customHeight="false" outlineLevel="0" collapsed="false">
      <c r="A68" s="61" t="n">
        <f aca="false">INDEX(Datos_Origen!$A$2:$A$2459,$Z68)</f>
        <v>67</v>
      </c>
      <c r="B68" s="62" t="n">
        <f aca="false">IF(ISNUMBER($AB68),$AB68,IF(MID($AB68,5,1)="-",DATE(VALUE(LEFT($AB68,4)),VALUE(MID($AB68,6,2)),VALUE(RIGHT($AB68,2))),DATE(VALUE(RIGHT($AB68,4)),VALUE(MID($AB68,4,2)),VALUE(LEFT($AB68,2)))))</f>
        <v>45302</v>
      </c>
      <c r="C68" s="61" t="n">
        <f aca="false">YEAR($B68)</f>
        <v>2024</v>
      </c>
      <c r="D68" s="61" t="str">
        <f aca="false">"Q"&amp;ROUNDUP(MONTH($B68)/3,0)</f>
        <v>Q1</v>
      </c>
      <c r="E68" s="61" t="n">
        <f aca="false">MONTH($B68)</f>
        <v>1</v>
      </c>
      <c r="F68" s="61" t="str">
        <f aca="false">INDEX(Parametros!$I$5:$I$16,$E68)</f>
        <v>Ene</v>
      </c>
      <c r="G68" s="61" t="str">
        <f aca="false">TEXT($C68,"0000")&amp;"-"&amp;TEXT($E68,"00")</f>
        <v>2024-01</v>
      </c>
      <c r="H68" s="61" t="str">
        <f aca="false">INDEX(Parametros!$C$71:$C$91,MATCH(TRIM(INDEX(Datos_Origen!$C$2:$C$2459,$Z68)),Parametros!$B$71:$B$91,0))</f>
        <v>Cuyo</v>
      </c>
      <c r="I68" s="61" t="str">
        <f aca="false">IF(TRIM($AD68)="",INDEX(Parametros!$I$20:$I$24,MATCH($H68,Parametros!$H$20:$H$24,0)),TRIM($AD68))</f>
        <v>Mendoza</v>
      </c>
      <c r="J68" s="61" t="str">
        <f aca="false">INDEX(Parametros!$C$95:$C$106,MATCH(TRIM(INDEX(Datos_Origen!$E$2:$E$2459,$Z68)),Parametros!$B$95:$B$106,0))</f>
        <v>Tienda fisica</v>
      </c>
      <c r="K68" s="61" t="str">
        <f aca="false">INDEX(Parametros!$C$48:$C$67,MATCH(TRIM(INDEX(Datos_Origen!$F$2:$F$2459,$Z68)),Parametros!$B$48:$B$67,0))</f>
        <v>Accesorios</v>
      </c>
      <c r="L68" s="61" t="str">
        <f aca="false">$K68&amp;" "&amp;$C68</f>
        <v>Accesorios 2024</v>
      </c>
      <c r="M68" s="61" t="str">
        <f aca="false">TRIM(INDEX(Datos_Origen!$G$2:$G$2459,$Z68))</f>
        <v>Mouse Inalambrico</v>
      </c>
      <c r="N68" s="61" t="str">
        <f aca="false">$M68&amp;" "&amp;$C68</f>
        <v>Mouse Inalambrico 2024</v>
      </c>
      <c r="O68" s="63" t="n">
        <f aca="false">IF(ISTEXT($AC68),VALUE($AC68),$AC68)</f>
        <v>29</v>
      </c>
      <c r="P68" s="64" t="n">
        <f aca="false">INDEX(Datos_Origen!$I$2:$I$2459,$Z68)</f>
        <v>27.44</v>
      </c>
      <c r="Q68" s="64" t="n">
        <f aca="false">INDEX(Datos_Origen!$J$2:$J$2459,$Z68)</f>
        <v>13.44</v>
      </c>
      <c r="R68" s="65" t="n">
        <f aca="false">ROUND($O68*$P68,2)</f>
        <v>795.76</v>
      </c>
      <c r="S68" s="65" t="n">
        <f aca="false">ROUND($O68*$Q68,2)</f>
        <v>389.76</v>
      </c>
      <c r="T68" s="65" t="n">
        <f aca="false">ROUND($R68*SUMIFS(Parametros!$E$28:$E$43,Parametros!$B$28:$B$43,$J68,Parametros!$C$28:$C$43,$C68,Parametros!$D$28:$D$43,$D68),2)</f>
        <v>9.55</v>
      </c>
      <c r="U68" s="65" t="n">
        <f aca="false">$R68-$S68-$T68</f>
        <v>396.45</v>
      </c>
      <c r="V68" s="66" t="n">
        <f aca="false">IFERROR($U68/$R68,0)</f>
        <v>0.498202975771589</v>
      </c>
      <c r="W68" s="67" t="str">
        <f aca="false">IF(AND($V68&gt;=Parametros!$C$8,$R68&gt;=Parametros!$C$12),"Alta rentabilidad",IF(OR($V68&lt;Parametros!$C$11,$R68&lt;Parametros!$C$13),"Revisar","Estandar"))</f>
        <v>Estandar</v>
      </c>
      <c r="X68" s="67" t="str">
        <f aca="false">IF(AND($J68="E-commerce",IFERROR($T68/$R68,0)&gt;Parametros!$C$14),"Alerta","OK")</f>
        <v>OK</v>
      </c>
      <c r="Y68" s="61" t="str">
        <f aca="false">IF($R68&gt;=Parametros!$C$12,"Alto",IF($R68&lt;Parametros!$C$13,"Bajo","Medio"))</f>
        <v>Medio</v>
      </c>
      <c r="Z68" s="61" t="n">
        <v>2384</v>
      </c>
      <c r="AA68" s="61" t="str">
        <f aca="false">IF(MATCH($A68,Datos_Origen!$A$2:$A$2459,0)=$Z68,"OK","REVISAR")</f>
        <v>OK</v>
      </c>
      <c r="AB68" s="62" t="n">
        <f aca="false">INDEX(Datos_Origen!$B$2:$B$2459,$Z68)</f>
        <v>45302</v>
      </c>
      <c r="AC68" s="61" t="n">
        <f aca="false">INDEX(Datos_Origen!$H$2:$H$2459,$Z68)</f>
        <v>29</v>
      </c>
      <c r="AD68" s="61" t="str">
        <f aca="false">INDEX(Datos_Origen!$D$2:$D$2459,$Z68)&amp;""</f>
        <v>Mendoza</v>
      </c>
    </row>
    <row r="69" customFormat="false" ht="15" hidden="false" customHeight="false" outlineLevel="0" collapsed="false">
      <c r="A69" s="61" t="n">
        <f aca="false">INDEX(Datos_Origen!$A$2:$A$2459,$Z69)</f>
        <v>68</v>
      </c>
      <c r="B69" s="62" t="n">
        <f aca="false">IF(ISNUMBER($AB69),$AB69,IF(MID($AB69,5,1)="-",DATE(VALUE(LEFT($AB69,4)),VALUE(MID($AB69,6,2)),VALUE(RIGHT($AB69,2))),DATE(VALUE(RIGHT($AB69,4)),VALUE(MID($AB69,4,2)),VALUE(LEFT($AB69,2)))))</f>
        <v>45309</v>
      </c>
      <c r="C69" s="61" t="n">
        <f aca="false">YEAR($B69)</f>
        <v>2024</v>
      </c>
      <c r="D69" s="61" t="str">
        <f aca="false">"Q"&amp;ROUNDUP(MONTH($B69)/3,0)</f>
        <v>Q1</v>
      </c>
      <c r="E69" s="61" t="n">
        <f aca="false">MONTH($B69)</f>
        <v>1</v>
      </c>
      <c r="F69" s="61" t="str">
        <f aca="false">INDEX(Parametros!$I$5:$I$16,$E69)</f>
        <v>Ene</v>
      </c>
      <c r="G69" s="61" t="str">
        <f aca="false">TEXT($C69,"0000")&amp;"-"&amp;TEXT($E69,"00")</f>
        <v>2024-01</v>
      </c>
      <c r="H69" s="61" t="str">
        <f aca="false">INDEX(Parametros!$C$71:$C$91,MATCH(TRIM(INDEX(Datos_Origen!$C$2:$C$2459,$Z69)),Parametros!$B$71:$B$91,0))</f>
        <v>Cuyo</v>
      </c>
      <c r="I69" s="61" t="str">
        <f aca="false">IF(TRIM($AD69)="",INDEX(Parametros!$I$20:$I$24,MATCH($H69,Parametros!$H$20:$H$24,0)),TRIM($AD69))</f>
        <v>Mendoza</v>
      </c>
      <c r="J69" s="61" t="str">
        <f aca="false">INDEX(Parametros!$C$95:$C$106,MATCH(TRIM(INDEX(Datos_Origen!$E$2:$E$2459,$Z69)),Parametros!$B$95:$B$106,0))</f>
        <v>E-commerce</v>
      </c>
      <c r="K69" s="61" t="str">
        <f aca="false">INDEX(Parametros!$C$48:$C$67,MATCH(TRIM(INDEX(Datos_Origen!$F$2:$F$2459,$Z69)),Parametros!$B$48:$B$67,0))</f>
        <v>Accesorios</v>
      </c>
      <c r="L69" s="61" t="str">
        <f aca="false">$K69&amp;" "&amp;$C69</f>
        <v>Accesorios 2024</v>
      </c>
      <c r="M69" s="61" t="str">
        <f aca="false">TRIM(INDEX(Datos_Origen!$G$2:$G$2459,$Z69))</f>
        <v>Mouse Inalambrico</v>
      </c>
      <c r="N69" s="61" t="str">
        <f aca="false">$M69&amp;" "&amp;$C69</f>
        <v>Mouse Inalambrico 2024</v>
      </c>
      <c r="O69" s="63" t="n">
        <f aca="false">IF(ISTEXT($AC69),VALUE($AC69),$AC69)</f>
        <v>11</v>
      </c>
      <c r="P69" s="64" t="n">
        <f aca="false">INDEX(Datos_Origen!$I$2:$I$2459,$Z69)</f>
        <v>27.44</v>
      </c>
      <c r="Q69" s="64" t="n">
        <f aca="false">INDEX(Datos_Origen!$J$2:$J$2459,$Z69)</f>
        <v>13.44</v>
      </c>
      <c r="R69" s="65" t="n">
        <f aca="false">ROUND($O69*$P69,2)</f>
        <v>301.84</v>
      </c>
      <c r="S69" s="65" t="n">
        <f aca="false">ROUND($O69*$Q69,2)</f>
        <v>147.84</v>
      </c>
      <c r="T69" s="65" t="n">
        <f aca="false">ROUND($R69*SUMIFS(Parametros!$E$28:$E$43,Parametros!$B$28:$B$43,$J69,Parametros!$C$28:$C$43,$C69,Parametros!$D$28:$D$43,$D69),2)</f>
        <v>12.68</v>
      </c>
      <c r="U69" s="65" t="n">
        <f aca="false">$R69-$S69-$T69</f>
        <v>141.32</v>
      </c>
      <c r="V69" s="66" t="n">
        <f aca="false">IFERROR($U69/$R69,0)</f>
        <v>0.468195070235886</v>
      </c>
      <c r="W69" s="67" t="str">
        <f aca="false">IF(AND($V69&gt;=Parametros!$C$8,$R69&gt;=Parametros!$C$12),"Alta rentabilidad",IF(OR($V69&lt;Parametros!$C$11,$R69&lt;Parametros!$C$13),"Revisar","Estandar"))</f>
        <v>Estandar</v>
      </c>
      <c r="X69" s="67" t="str">
        <f aca="false">IF(AND($J69="E-commerce",IFERROR($T69/$R69,0)&gt;Parametros!$C$14),"Alerta","OK")</f>
        <v>OK</v>
      </c>
      <c r="Y69" s="61" t="str">
        <f aca="false">IF($R69&gt;=Parametros!$C$12,"Alto",IF($R69&lt;Parametros!$C$13,"Bajo","Medio"))</f>
        <v>Medio</v>
      </c>
      <c r="Z69" s="61" t="n">
        <v>555</v>
      </c>
      <c r="AA69" s="61" t="str">
        <f aca="false">IF(MATCH($A69,Datos_Origen!$A$2:$A$2459,0)=$Z69,"OK","REVISAR")</f>
        <v>OK</v>
      </c>
      <c r="AB69" s="61" t="str">
        <f aca="false">INDEX(Datos_Origen!$B$2:$B$2459,$Z69)</f>
        <v>18/01/2024</v>
      </c>
      <c r="AC69" s="61" t="n">
        <f aca="false">INDEX(Datos_Origen!$H$2:$H$2459,$Z69)</f>
        <v>11</v>
      </c>
      <c r="AD69" s="61" t="str">
        <f aca="false">INDEX(Datos_Origen!$D$2:$D$2459,$Z69)&amp;""</f>
        <v>Mendoza</v>
      </c>
    </row>
    <row r="70" customFormat="false" ht="15" hidden="false" customHeight="false" outlineLevel="0" collapsed="false">
      <c r="A70" s="61" t="n">
        <f aca="false">INDEX(Datos_Origen!$A$2:$A$2459,$Z70)</f>
        <v>69</v>
      </c>
      <c r="B70" s="62" t="n">
        <f aca="false">IF(ISNUMBER($AB70),$AB70,IF(MID($AB70,5,1)="-",DATE(VALUE(LEFT($AB70,4)),VALUE(MID($AB70,6,2)),VALUE(RIGHT($AB70,2))),DATE(VALUE(RIGHT($AB70,4)),VALUE(MID($AB70,4,2)),VALUE(LEFT($AB70,2)))))</f>
        <v>45316</v>
      </c>
      <c r="C70" s="61" t="n">
        <f aca="false">YEAR($B70)</f>
        <v>2024</v>
      </c>
      <c r="D70" s="61" t="str">
        <f aca="false">"Q"&amp;ROUNDUP(MONTH($B70)/3,0)</f>
        <v>Q1</v>
      </c>
      <c r="E70" s="61" t="n">
        <f aca="false">MONTH($B70)</f>
        <v>1</v>
      </c>
      <c r="F70" s="61" t="str">
        <f aca="false">INDEX(Parametros!$I$5:$I$16,$E70)</f>
        <v>Ene</v>
      </c>
      <c r="G70" s="61" t="str">
        <f aca="false">TEXT($C70,"0000")&amp;"-"&amp;TEXT($E70,"00")</f>
        <v>2024-01</v>
      </c>
      <c r="H70" s="61" t="str">
        <f aca="false">INDEX(Parametros!$C$71:$C$91,MATCH(TRIM(INDEX(Datos_Origen!$C$2:$C$2459,$Z70)),Parametros!$B$71:$B$91,0))</f>
        <v>Cuyo</v>
      </c>
      <c r="I70" s="61" t="str">
        <f aca="false">IF(TRIM($AD70)="",INDEX(Parametros!$I$20:$I$24,MATCH($H70,Parametros!$H$20:$H$24,0)),TRIM($AD70))</f>
        <v>Mendoza</v>
      </c>
      <c r="J70" s="61" t="str">
        <f aca="false">INDEX(Parametros!$C$95:$C$106,MATCH(TRIM(INDEX(Datos_Origen!$E$2:$E$2459,$Z70)),Parametros!$B$95:$B$106,0))</f>
        <v>Tienda fisica</v>
      </c>
      <c r="K70" s="61" t="str">
        <f aca="false">INDEX(Parametros!$C$48:$C$67,MATCH(TRIM(INDEX(Datos_Origen!$F$2:$F$2459,$Z70)),Parametros!$B$48:$B$67,0))</f>
        <v>Accesorios</v>
      </c>
      <c r="L70" s="61" t="str">
        <f aca="false">$K70&amp;" "&amp;$C70</f>
        <v>Accesorios 2024</v>
      </c>
      <c r="M70" s="61" t="str">
        <f aca="false">TRIM(INDEX(Datos_Origen!$G$2:$G$2459,$Z70))</f>
        <v>Teclado Mecanico</v>
      </c>
      <c r="N70" s="61" t="str">
        <f aca="false">$M70&amp;" "&amp;$C70</f>
        <v>Teclado Mecanico 2024</v>
      </c>
      <c r="O70" s="63" t="n">
        <f aca="false">IF(ISTEXT($AC70),VALUE($AC70),$AC70)</f>
        <v>30</v>
      </c>
      <c r="P70" s="64" t="n">
        <f aca="false">INDEX(Datos_Origen!$I$2:$I$2459,$Z70)</f>
        <v>93.1</v>
      </c>
      <c r="Q70" s="64" t="n">
        <f aca="false">INDEX(Datos_Origen!$J$2:$J$2459,$Z70)</f>
        <v>47.98</v>
      </c>
      <c r="R70" s="65" t="n">
        <f aca="false">ROUND($O70*$P70,2)</f>
        <v>2793</v>
      </c>
      <c r="S70" s="65" t="n">
        <f aca="false">ROUND($O70*$Q70,2)</f>
        <v>1439.4</v>
      </c>
      <c r="T70" s="65" t="n">
        <f aca="false">ROUND($R70*SUMIFS(Parametros!$E$28:$E$43,Parametros!$B$28:$B$43,$J70,Parametros!$C$28:$C$43,$C70,Parametros!$D$28:$D$43,$D70),2)</f>
        <v>33.52</v>
      </c>
      <c r="U70" s="65" t="n">
        <f aca="false">$R70-$S70-$T70</f>
        <v>1320.08</v>
      </c>
      <c r="V70" s="66" t="n">
        <f aca="false">IFERROR($U70/$R70,0)</f>
        <v>0.472638739706409</v>
      </c>
      <c r="W70" s="67" t="str">
        <f aca="false">IF(AND($V70&gt;=Parametros!$C$8,$R70&gt;=Parametros!$C$12),"Alta rentabilidad",IF(OR($V70&lt;Parametros!$C$11,$R70&lt;Parametros!$C$13),"Revisar","Estandar"))</f>
        <v>Estandar</v>
      </c>
      <c r="X70" s="67" t="str">
        <f aca="false">IF(AND($J70="E-commerce",IFERROR($T70/$R70,0)&gt;Parametros!$C$14),"Alerta","OK")</f>
        <v>OK</v>
      </c>
      <c r="Y70" s="61" t="str">
        <f aca="false">IF($R70&gt;=Parametros!$C$12,"Alto",IF($R70&lt;Parametros!$C$13,"Bajo","Medio"))</f>
        <v>Medio</v>
      </c>
      <c r="Z70" s="61" t="n">
        <v>1478</v>
      </c>
      <c r="AA70" s="61" t="str">
        <f aca="false">IF(MATCH($A70,Datos_Origen!$A$2:$A$2459,0)=$Z70,"OK","REVISAR")</f>
        <v>OK</v>
      </c>
      <c r="AB70" s="62" t="n">
        <f aca="false">INDEX(Datos_Origen!$B$2:$B$2459,$Z70)</f>
        <v>45316</v>
      </c>
      <c r="AC70" s="61" t="n">
        <f aca="false">INDEX(Datos_Origen!$H$2:$H$2459,$Z70)</f>
        <v>30</v>
      </c>
      <c r="AD70" s="61" t="str">
        <f aca="false">INDEX(Datos_Origen!$D$2:$D$2459,$Z70)&amp;""</f>
        <v>Mendoza</v>
      </c>
    </row>
    <row r="71" customFormat="false" ht="15" hidden="false" customHeight="false" outlineLevel="0" collapsed="false">
      <c r="A71" s="61" t="n">
        <f aca="false">INDEX(Datos_Origen!$A$2:$A$2459,$Z71)</f>
        <v>70</v>
      </c>
      <c r="B71" s="62" t="n">
        <f aca="false">IF(ISNUMBER($AB71),$AB71,IF(MID($AB71,5,1)="-",DATE(VALUE(LEFT($AB71,4)),VALUE(MID($AB71,6,2)),VALUE(RIGHT($AB71,2))),DATE(VALUE(RIGHT($AB71,4)),VALUE(MID($AB71,4,2)),VALUE(LEFT($AB71,2)))))</f>
        <v>45296</v>
      </c>
      <c r="C71" s="61" t="n">
        <f aca="false">YEAR($B71)</f>
        <v>2024</v>
      </c>
      <c r="D71" s="61" t="str">
        <f aca="false">"Q"&amp;ROUNDUP(MONTH($B71)/3,0)</f>
        <v>Q1</v>
      </c>
      <c r="E71" s="61" t="n">
        <f aca="false">MONTH($B71)</f>
        <v>1</v>
      </c>
      <c r="F71" s="61" t="str">
        <f aca="false">INDEX(Parametros!$I$5:$I$16,$E71)</f>
        <v>Ene</v>
      </c>
      <c r="G71" s="61" t="str">
        <f aca="false">TEXT($C71,"0000")&amp;"-"&amp;TEXT($E71,"00")</f>
        <v>2024-01</v>
      </c>
      <c r="H71" s="61" t="str">
        <f aca="false">INDEX(Parametros!$C$71:$C$91,MATCH(TRIM(INDEX(Datos_Origen!$C$2:$C$2459,$Z71)),Parametros!$B$71:$B$91,0))</f>
        <v>Cuyo</v>
      </c>
      <c r="I71" s="61" t="str">
        <f aca="false">IF(TRIM($AD71)="",INDEX(Parametros!$I$20:$I$24,MATCH($H71,Parametros!$H$20:$H$24,0)),TRIM($AD71))</f>
        <v>Mendoza</v>
      </c>
      <c r="J71" s="61" t="str">
        <f aca="false">INDEX(Parametros!$C$95:$C$106,MATCH(TRIM(INDEX(Datos_Origen!$E$2:$E$2459,$Z71)),Parametros!$B$95:$B$106,0))</f>
        <v>E-commerce</v>
      </c>
      <c r="K71" s="61" t="str">
        <f aca="false">INDEX(Parametros!$C$48:$C$67,MATCH(TRIM(INDEX(Datos_Origen!$F$2:$F$2459,$Z71)),Parametros!$B$48:$B$67,0))</f>
        <v>Accesorios</v>
      </c>
      <c r="L71" s="61" t="str">
        <f aca="false">$K71&amp;" "&amp;$C71</f>
        <v>Accesorios 2024</v>
      </c>
      <c r="M71" s="61" t="str">
        <f aca="false">TRIM(INDEX(Datos_Origen!$G$2:$G$2459,$Z71))</f>
        <v>Teclado Mecanico</v>
      </c>
      <c r="N71" s="61" t="str">
        <f aca="false">$M71&amp;" "&amp;$C71</f>
        <v>Teclado Mecanico 2024</v>
      </c>
      <c r="O71" s="63" t="n">
        <f aca="false">IF(ISTEXT($AC71),VALUE($AC71),$AC71)</f>
        <v>9</v>
      </c>
      <c r="P71" s="64" t="n">
        <f aca="false">INDEX(Datos_Origen!$I$2:$I$2459,$Z71)</f>
        <v>93.1</v>
      </c>
      <c r="Q71" s="64" t="n">
        <f aca="false">INDEX(Datos_Origen!$J$2:$J$2459,$Z71)</f>
        <v>47.98</v>
      </c>
      <c r="R71" s="65" t="n">
        <f aca="false">ROUND($O71*$P71,2)</f>
        <v>837.9</v>
      </c>
      <c r="S71" s="65" t="n">
        <f aca="false">ROUND($O71*$Q71,2)</f>
        <v>431.82</v>
      </c>
      <c r="T71" s="65" t="n">
        <f aca="false">ROUND($R71*SUMIFS(Parametros!$E$28:$E$43,Parametros!$B$28:$B$43,$J71,Parametros!$C$28:$C$43,$C71,Parametros!$D$28:$D$43,$D71),2)</f>
        <v>35.19</v>
      </c>
      <c r="U71" s="65" t="n">
        <f aca="false">$R71-$S71-$T71</f>
        <v>370.89</v>
      </c>
      <c r="V71" s="66" t="n">
        <f aca="false">IFERROR($U71/$R71,0)</f>
        <v>0.442642320085929</v>
      </c>
      <c r="W71" s="67" t="str">
        <f aca="false">IF(AND($V71&gt;=Parametros!$C$8,$R71&gt;=Parametros!$C$12),"Alta rentabilidad",IF(OR($V71&lt;Parametros!$C$11,$R71&lt;Parametros!$C$13),"Revisar","Estandar"))</f>
        <v>Estandar</v>
      </c>
      <c r="X71" s="67" t="str">
        <f aca="false">IF(AND($J71="E-commerce",IFERROR($T71/$R71,0)&gt;Parametros!$C$14),"Alerta","OK")</f>
        <v>OK</v>
      </c>
      <c r="Y71" s="61" t="str">
        <f aca="false">IF($R71&gt;=Parametros!$C$12,"Alto",IF($R71&lt;Parametros!$C$13,"Bajo","Medio"))</f>
        <v>Medio</v>
      </c>
      <c r="Z71" s="61" t="n">
        <v>1000</v>
      </c>
      <c r="AA71" s="61" t="str">
        <f aca="false">IF(MATCH($A71,Datos_Origen!$A$2:$A$2459,0)=$Z71,"OK","REVISAR")</f>
        <v>OK</v>
      </c>
      <c r="AB71" s="62" t="n">
        <f aca="false">INDEX(Datos_Origen!$B$2:$B$2459,$Z71)</f>
        <v>45296</v>
      </c>
      <c r="AC71" s="61" t="n">
        <f aca="false">INDEX(Datos_Origen!$H$2:$H$2459,$Z71)</f>
        <v>9</v>
      </c>
      <c r="AD71" s="61" t="str">
        <f aca="false">INDEX(Datos_Origen!$D$2:$D$2459,$Z71)&amp;""</f>
        <v>Mendoza</v>
      </c>
    </row>
    <row r="72" customFormat="false" ht="15" hidden="false" customHeight="false" outlineLevel="0" collapsed="false">
      <c r="A72" s="61" t="n">
        <f aca="false">INDEX(Datos_Origen!$A$2:$A$2459,$Z72)</f>
        <v>71</v>
      </c>
      <c r="B72" s="62" t="n">
        <f aca="false">IF(ISNUMBER($AB72),$AB72,IF(MID($AB72,5,1)="-",DATE(VALUE(LEFT($AB72,4)),VALUE(MID($AB72,6,2)),VALUE(RIGHT($AB72,2))),DATE(VALUE(RIGHT($AB72,4)),VALUE(MID($AB72,4,2)),VALUE(LEFT($AB72,2)))))</f>
        <v>45303</v>
      </c>
      <c r="C72" s="61" t="n">
        <f aca="false">YEAR($B72)</f>
        <v>2024</v>
      </c>
      <c r="D72" s="61" t="str">
        <f aca="false">"Q"&amp;ROUNDUP(MONTH($B72)/3,0)</f>
        <v>Q1</v>
      </c>
      <c r="E72" s="61" t="n">
        <f aca="false">MONTH($B72)</f>
        <v>1</v>
      </c>
      <c r="F72" s="61" t="str">
        <f aca="false">INDEX(Parametros!$I$5:$I$16,$E72)</f>
        <v>Ene</v>
      </c>
      <c r="G72" s="61" t="str">
        <f aca="false">TEXT($C72,"0000")&amp;"-"&amp;TEXT($E72,"00")</f>
        <v>2024-01</v>
      </c>
      <c r="H72" s="61" t="str">
        <f aca="false">INDEX(Parametros!$C$71:$C$91,MATCH(TRIM(INDEX(Datos_Origen!$C$2:$C$2459,$Z72)),Parametros!$B$71:$B$91,0))</f>
        <v>Cuyo</v>
      </c>
      <c r="I72" s="61" t="str">
        <f aca="false">IF(TRIM($AD72)="",INDEX(Parametros!$I$20:$I$24,MATCH($H72,Parametros!$H$20:$H$24,0)),TRIM($AD72))</f>
        <v>Mendoza</v>
      </c>
      <c r="J72" s="61" t="str">
        <f aca="false">INDEX(Parametros!$C$95:$C$106,MATCH(TRIM(INDEX(Datos_Origen!$E$2:$E$2459,$Z72)),Parametros!$B$95:$B$106,0))</f>
        <v>Tienda fisica</v>
      </c>
      <c r="K72" s="61" t="str">
        <f aca="false">INDEX(Parametros!$C$48:$C$67,MATCH(TRIM(INDEX(Datos_Origen!$F$2:$F$2459,$Z72)),Parametros!$B$48:$B$67,0))</f>
        <v>Accesorios</v>
      </c>
      <c r="L72" s="61" t="str">
        <f aca="false">$K72&amp;" "&amp;$C72</f>
        <v>Accesorios 2024</v>
      </c>
      <c r="M72" s="61" t="str">
        <f aca="false">TRIM(INDEX(Datos_Origen!$G$2:$G$2459,$Z72))</f>
        <v>Webcam Full HD</v>
      </c>
      <c r="N72" s="61" t="str">
        <f aca="false">$M72&amp;" "&amp;$C72</f>
        <v>Webcam Full HD 2024</v>
      </c>
      <c r="O72" s="63" t="n">
        <f aca="false">IF(ISTEXT($AC72),VALUE($AC72),$AC72)</f>
        <v>28</v>
      </c>
      <c r="P72" s="64" t="n">
        <f aca="false">INDEX(Datos_Origen!$I$2:$I$2459,$Z72)</f>
        <v>63.7</v>
      </c>
      <c r="Q72" s="64" t="n">
        <f aca="false">INDEX(Datos_Origen!$J$2:$J$2459,$Z72)</f>
        <v>35.43</v>
      </c>
      <c r="R72" s="65" t="n">
        <f aca="false">ROUND($O72*$P72,2)</f>
        <v>1783.6</v>
      </c>
      <c r="S72" s="65" t="n">
        <f aca="false">ROUND($O72*$Q72,2)</f>
        <v>992.04</v>
      </c>
      <c r="T72" s="65" t="n">
        <f aca="false">ROUND($R72*SUMIFS(Parametros!$E$28:$E$43,Parametros!$B$28:$B$43,$J72,Parametros!$C$28:$C$43,$C72,Parametros!$D$28:$D$43,$D72),2)</f>
        <v>21.4</v>
      </c>
      <c r="U72" s="65" t="n">
        <f aca="false">$R72-$S72-$T72</f>
        <v>770.16</v>
      </c>
      <c r="V72" s="66" t="n">
        <f aca="false">IFERROR($U72/$R72,0)</f>
        <v>0.431800852209016</v>
      </c>
      <c r="W72" s="67" t="str">
        <f aca="false">IF(AND($V72&gt;=Parametros!$C$8,$R72&gt;=Parametros!$C$12),"Alta rentabilidad",IF(OR($V72&lt;Parametros!$C$11,$R72&lt;Parametros!$C$13),"Revisar","Estandar"))</f>
        <v>Estandar</v>
      </c>
      <c r="X72" s="67" t="str">
        <f aca="false">IF(AND($J72="E-commerce",IFERROR($T72/$R72,0)&gt;Parametros!$C$14),"Alerta","OK")</f>
        <v>OK</v>
      </c>
      <c r="Y72" s="61" t="str">
        <f aca="false">IF($R72&gt;=Parametros!$C$12,"Alto",IF($R72&lt;Parametros!$C$13,"Bajo","Medio"))</f>
        <v>Medio</v>
      </c>
      <c r="Z72" s="61" t="n">
        <v>1511</v>
      </c>
      <c r="AA72" s="61" t="str">
        <f aca="false">IF(MATCH($A72,Datos_Origen!$A$2:$A$2459,0)=$Z72,"OK","REVISAR")</f>
        <v>OK</v>
      </c>
      <c r="AB72" s="62" t="n">
        <f aca="false">INDEX(Datos_Origen!$B$2:$B$2459,$Z72)</f>
        <v>45303</v>
      </c>
      <c r="AC72" s="61" t="n">
        <f aca="false">INDEX(Datos_Origen!$H$2:$H$2459,$Z72)</f>
        <v>28</v>
      </c>
      <c r="AD72" s="61" t="str">
        <f aca="false">INDEX(Datos_Origen!$D$2:$D$2459,$Z72)&amp;""</f>
        <v>Mendoza</v>
      </c>
    </row>
    <row r="73" customFormat="false" ht="15" hidden="false" customHeight="false" outlineLevel="0" collapsed="false">
      <c r="A73" s="61" t="n">
        <f aca="false">INDEX(Datos_Origen!$A$2:$A$2459,$Z73)</f>
        <v>72</v>
      </c>
      <c r="B73" s="62" t="n">
        <f aca="false">IF(ISNUMBER($AB73),$AB73,IF(MID($AB73,5,1)="-",DATE(VALUE(LEFT($AB73,4)),VALUE(MID($AB73,6,2)),VALUE(RIGHT($AB73,2))),DATE(VALUE(RIGHT($AB73,4)),VALUE(MID($AB73,4,2)),VALUE(LEFT($AB73,2)))))</f>
        <v>45310</v>
      </c>
      <c r="C73" s="61" t="n">
        <f aca="false">YEAR($B73)</f>
        <v>2024</v>
      </c>
      <c r="D73" s="61" t="str">
        <f aca="false">"Q"&amp;ROUNDUP(MONTH($B73)/3,0)</f>
        <v>Q1</v>
      </c>
      <c r="E73" s="61" t="n">
        <f aca="false">MONTH($B73)</f>
        <v>1</v>
      </c>
      <c r="F73" s="61" t="str">
        <f aca="false">INDEX(Parametros!$I$5:$I$16,$E73)</f>
        <v>Ene</v>
      </c>
      <c r="G73" s="61" t="str">
        <f aca="false">TEXT($C73,"0000")&amp;"-"&amp;TEXT($E73,"00")</f>
        <v>2024-01</v>
      </c>
      <c r="H73" s="61" t="str">
        <f aca="false">INDEX(Parametros!$C$71:$C$91,MATCH(TRIM(INDEX(Datos_Origen!$C$2:$C$2459,$Z73)),Parametros!$B$71:$B$91,0))</f>
        <v>Cuyo</v>
      </c>
      <c r="I73" s="61" t="str">
        <f aca="false">IF(TRIM($AD73)="",INDEX(Parametros!$I$20:$I$24,MATCH($H73,Parametros!$H$20:$H$24,0)),TRIM($AD73))</f>
        <v>Mendoza</v>
      </c>
      <c r="J73" s="61" t="str">
        <f aca="false">INDEX(Parametros!$C$95:$C$106,MATCH(TRIM(INDEX(Datos_Origen!$E$2:$E$2459,$Z73)),Parametros!$B$95:$B$106,0))</f>
        <v>E-commerce</v>
      </c>
      <c r="K73" s="61" t="str">
        <f aca="false">INDEX(Parametros!$C$48:$C$67,MATCH(TRIM(INDEX(Datos_Origen!$F$2:$F$2459,$Z73)),Parametros!$B$48:$B$67,0))</f>
        <v>Accesorios</v>
      </c>
      <c r="L73" s="61" t="str">
        <f aca="false">$K73&amp;" "&amp;$C73</f>
        <v>Accesorios 2024</v>
      </c>
      <c r="M73" s="61" t="str">
        <f aca="false">TRIM(INDEX(Datos_Origen!$G$2:$G$2459,$Z73))</f>
        <v>Webcam Full HD</v>
      </c>
      <c r="N73" s="61" t="str">
        <f aca="false">$M73&amp;" "&amp;$C73</f>
        <v>Webcam Full HD 2024</v>
      </c>
      <c r="O73" s="63" t="n">
        <f aca="false">IF(ISTEXT($AC73),VALUE($AC73),$AC73)</f>
        <v>12</v>
      </c>
      <c r="P73" s="64" t="n">
        <f aca="false">INDEX(Datos_Origen!$I$2:$I$2459,$Z73)</f>
        <v>63.7</v>
      </c>
      <c r="Q73" s="64" t="n">
        <f aca="false">INDEX(Datos_Origen!$J$2:$J$2459,$Z73)</f>
        <v>35.43</v>
      </c>
      <c r="R73" s="65" t="n">
        <f aca="false">ROUND($O73*$P73,2)</f>
        <v>764.4</v>
      </c>
      <c r="S73" s="65" t="n">
        <f aca="false">ROUND($O73*$Q73,2)</f>
        <v>425.16</v>
      </c>
      <c r="T73" s="65" t="n">
        <f aca="false">ROUND($R73*SUMIFS(Parametros!$E$28:$E$43,Parametros!$B$28:$B$43,$J73,Parametros!$C$28:$C$43,$C73,Parametros!$D$28:$D$43,$D73),2)</f>
        <v>32.1</v>
      </c>
      <c r="U73" s="65" t="n">
        <f aca="false">$R73-$S73-$T73</f>
        <v>307.14</v>
      </c>
      <c r="V73" s="66" t="n">
        <f aca="false">IFERROR($U73/$R73,0)</f>
        <v>0.401805337519623</v>
      </c>
      <c r="W73" s="67" t="str">
        <f aca="false">IF(AND($V73&gt;=Parametros!$C$8,$R73&gt;=Parametros!$C$12),"Alta rentabilidad",IF(OR($V73&lt;Parametros!$C$11,$R73&lt;Parametros!$C$13),"Revisar","Estandar"))</f>
        <v>Estandar</v>
      </c>
      <c r="X73" s="67" t="str">
        <f aca="false">IF(AND($J73="E-commerce",IFERROR($T73/$R73,0)&gt;Parametros!$C$14),"Alerta","OK")</f>
        <v>OK</v>
      </c>
      <c r="Y73" s="61" t="str">
        <f aca="false">IF($R73&gt;=Parametros!$C$12,"Alto",IF($R73&lt;Parametros!$C$13,"Bajo","Medio"))</f>
        <v>Medio</v>
      </c>
      <c r="Z73" s="61" t="n">
        <v>276</v>
      </c>
      <c r="AA73" s="61" t="str">
        <f aca="false">IF(MATCH($A73,Datos_Origen!$A$2:$A$2459,0)=$Z73,"OK","REVISAR")</f>
        <v>OK</v>
      </c>
      <c r="AB73" s="62" t="n">
        <f aca="false">INDEX(Datos_Origen!$B$2:$B$2459,$Z73)</f>
        <v>45310</v>
      </c>
      <c r="AC73" s="61" t="n">
        <f aca="false">INDEX(Datos_Origen!$H$2:$H$2459,$Z73)</f>
        <v>12</v>
      </c>
      <c r="AD73" s="61" t="str">
        <f aca="false">INDEX(Datos_Origen!$D$2:$D$2459,$Z73)&amp;""</f>
        <v>Mendoza</v>
      </c>
    </row>
    <row r="74" customFormat="false" ht="15" hidden="false" customHeight="false" outlineLevel="0" collapsed="false">
      <c r="A74" s="61" t="n">
        <f aca="false">INDEX(Datos_Origen!$A$2:$A$2459,$Z74)</f>
        <v>73</v>
      </c>
      <c r="B74" s="62" t="n">
        <f aca="false">IF(ISNUMBER($AB74),$AB74,IF(MID($AB74,5,1)="-",DATE(VALUE(LEFT($AB74,4)),VALUE(MID($AB74,6,2)),VALUE(RIGHT($AB74,2))),DATE(VALUE(RIGHT($AB74,4)),VALUE(MID($AB74,4,2)),VALUE(LEFT($AB74,2)))))</f>
        <v>45317</v>
      </c>
      <c r="C74" s="61" t="n">
        <f aca="false">YEAR($B74)</f>
        <v>2024</v>
      </c>
      <c r="D74" s="61" t="str">
        <f aca="false">"Q"&amp;ROUNDUP(MONTH($B74)/3,0)</f>
        <v>Q1</v>
      </c>
      <c r="E74" s="61" t="n">
        <f aca="false">MONTH($B74)</f>
        <v>1</v>
      </c>
      <c r="F74" s="61" t="str">
        <f aca="false">INDEX(Parametros!$I$5:$I$16,$E74)</f>
        <v>Ene</v>
      </c>
      <c r="G74" s="61" t="str">
        <f aca="false">TEXT($C74,"0000")&amp;"-"&amp;TEXT($E74,"00")</f>
        <v>2024-01</v>
      </c>
      <c r="H74" s="61" t="str">
        <f aca="false">INDEX(Parametros!$C$71:$C$91,MATCH(TRIM(INDEX(Datos_Origen!$C$2:$C$2459,$Z74)),Parametros!$B$71:$B$91,0))</f>
        <v>Cuyo</v>
      </c>
      <c r="I74" s="61" t="str">
        <f aca="false">IF(TRIM($AD74)="",INDEX(Parametros!$I$20:$I$24,MATCH($H74,Parametros!$H$20:$H$24,0)),TRIM($AD74))</f>
        <v>Mendoza</v>
      </c>
      <c r="J74" s="61" t="str">
        <f aca="false">INDEX(Parametros!$C$95:$C$106,MATCH(TRIM(INDEX(Datos_Origen!$E$2:$E$2459,$Z74)),Parametros!$B$95:$B$106,0))</f>
        <v>Tienda fisica</v>
      </c>
      <c r="K74" s="61" t="str">
        <f aca="false">INDEX(Parametros!$C$48:$C$67,MATCH(TRIM(INDEX(Datos_Origen!$F$2:$F$2459,$Z74)),Parametros!$B$48:$B$67,0))</f>
        <v>Audio</v>
      </c>
      <c r="L74" s="61" t="str">
        <f aca="false">$K74&amp;" "&amp;$C74</f>
        <v>Audio 2024</v>
      </c>
      <c r="M74" s="61" t="str">
        <f aca="false">TRIM(INDEX(Datos_Origen!$G$2:$G$2459,$Z74))</f>
        <v>Auriculares BT Pro</v>
      </c>
      <c r="N74" s="61" t="str">
        <f aca="false">$M74&amp;" "&amp;$C74</f>
        <v>Auriculares BT Pro 2024</v>
      </c>
      <c r="O74" s="63" t="n">
        <f aca="false">IF(ISTEXT($AC74),VALUE($AC74),$AC74)</f>
        <v>11</v>
      </c>
      <c r="P74" s="64" t="n">
        <f aca="false">INDEX(Datos_Origen!$I$2:$I$2459,$Z74)</f>
        <v>117.6</v>
      </c>
      <c r="Q74" s="64" t="n">
        <f aca="false">INDEX(Datos_Origen!$J$2:$J$2459,$Z74)</f>
        <v>63.6</v>
      </c>
      <c r="R74" s="65" t="n">
        <f aca="false">ROUND($O74*$P74,2)</f>
        <v>1293.6</v>
      </c>
      <c r="S74" s="65" t="n">
        <f aca="false">ROUND($O74*$Q74,2)</f>
        <v>699.6</v>
      </c>
      <c r="T74" s="65" t="n">
        <f aca="false">ROUND($R74*SUMIFS(Parametros!$E$28:$E$43,Parametros!$B$28:$B$43,$J74,Parametros!$C$28:$C$43,$C74,Parametros!$D$28:$D$43,$D74),2)</f>
        <v>15.52</v>
      </c>
      <c r="U74" s="65" t="n">
        <f aca="false">$R74-$S74-$T74</f>
        <v>578.48</v>
      </c>
      <c r="V74" s="66" t="n">
        <f aca="false">IFERROR($U74/$R74,0)</f>
        <v>0.447186147186147</v>
      </c>
      <c r="W74" s="67" t="str">
        <f aca="false">IF(AND($V74&gt;=Parametros!$C$8,$R74&gt;=Parametros!$C$12),"Alta rentabilidad",IF(OR($V74&lt;Parametros!$C$11,$R74&lt;Parametros!$C$13),"Revisar","Estandar"))</f>
        <v>Estandar</v>
      </c>
      <c r="X74" s="67" t="str">
        <f aca="false">IF(AND($J74="E-commerce",IFERROR($T74/$R74,0)&gt;Parametros!$C$14),"Alerta","OK")</f>
        <v>OK</v>
      </c>
      <c r="Y74" s="61" t="str">
        <f aca="false">IF($R74&gt;=Parametros!$C$12,"Alto",IF($R74&lt;Parametros!$C$13,"Bajo","Medio"))</f>
        <v>Medio</v>
      </c>
      <c r="Z74" s="61" t="n">
        <v>1571</v>
      </c>
      <c r="AA74" s="61" t="str">
        <f aca="false">IF(MATCH($A74,Datos_Origen!$A$2:$A$2459,0)=$Z74,"OK","REVISAR")</f>
        <v>OK</v>
      </c>
      <c r="AB74" s="62" t="n">
        <f aca="false">INDEX(Datos_Origen!$B$2:$B$2459,$Z74)</f>
        <v>45317</v>
      </c>
      <c r="AC74" s="61" t="n">
        <f aca="false">INDEX(Datos_Origen!$H$2:$H$2459,$Z74)</f>
        <v>11</v>
      </c>
      <c r="AD74" s="61" t="str">
        <f aca="false">INDEX(Datos_Origen!$D$2:$D$2459,$Z74)&amp;""</f>
        <v>Mendoza</v>
      </c>
    </row>
    <row r="75" customFormat="false" ht="15" hidden="false" customHeight="false" outlineLevel="0" collapsed="false">
      <c r="A75" s="61" t="n">
        <f aca="false">INDEX(Datos_Origen!$A$2:$A$2459,$Z75)</f>
        <v>74</v>
      </c>
      <c r="B75" s="62" t="n">
        <f aca="false">IF(ISNUMBER($AB75),$AB75,IF(MID($AB75,5,1)="-",DATE(VALUE(LEFT($AB75,4)),VALUE(MID($AB75,6,2)),VALUE(RIGHT($AB75,2))),DATE(VALUE(RIGHT($AB75,4)),VALUE(MID($AB75,4,2)),VALUE(LEFT($AB75,2)))))</f>
        <v>45297</v>
      </c>
      <c r="C75" s="61" t="n">
        <f aca="false">YEAR($B75)</f>
        <v>2024</v>
      </c>
      <c r="D75" s="61" t="str">
        <f aca="false">"Q"&amp;ROUNDUP(MONTH($B75)/3,0)</f>
        <v>Q1</v>
      </c>
      <c r="E75" s="61" t="n">
        <f aca="false">MONTH($B75)</f>
        <v>1</v>
      </c>
      <c r="F75" s="61" t="str">
        <f aca="false">INDEX(Parametros!$I$5:$I$16,$E75)</f>
        <v>Ene</v>
      </c>
      <c r="G75" s="61" t="str">
        <f aca="false">TEXT($C75,"0000")&amp;"-"&amp;TEXT($E75,"00")</f>
        <v>2024-01</v>
      </c>
      <c r="H75" s="61" t="str">
        <f aca="false">INDEX(Parametros!$C$71:$C$91,MATCH(TRIM(INDEX(Datos_Origen!$C$2:$C$2459,$Z75)),Parametros!$B$71:$B$91,0))</f>
        <v>Cuyo</v>
      </c>
      <c r="I75" s="61" t="str">
        <f aca="false">IF(TRIM($AD75)="",INDEX(Parametros!$I$20:$I$24,MATCH($H75,Parametros!$H$20:$H$24,0)),TRIM($AD75))</f>
        <v>Mendoza</v>
      </c>
      <c r="J75" s="61" t="str">
        <f aca="false">INDEX(Parametros!$C$95:$C$106,MATCH(TRIM(INDEX(Datos_Origen!$E$2:$E$2459,$Z75)),Parametros!$B$95:$B$106,0))</f>
        <v>E-commerce</v>
      </c>
      <c r="K75" s="61" t="str">
        <f aca="false">INDEX(Parametros!$C$48:$C$67,MATCH(TRIM(INDEX(Datos_Origen!$F$2:$F$2459,$Z75)),Parametros!$B$48:$B$67,0))</f>
        <v>Audio</v>
      </c>
      <c r="L75" s="61" t="str">
        <f aca="false">$K75&amp;" "&amp;$C75</f>
        <v>Audio 2024</v>
      </c>
      <c r="M75" s="61" t="str">
        <f aca="false">TRIM(INDEX(Datos_Origen!$G$2:$G$2459,$Z75))</f>
        <v>Auriculares BT Pro</v>
      </c>
      <c r="N75" s="61" t="str">
        <f aca="false">$M75&amp;" "&amp;$C75</f>
        <v>Auriculares BT Pro 2024</v>
      </c>
      <c r="O75" s="63" t="n">
        <f aca="false">IF(ISTEXT($AC75),VALUE($AC75),$AC75)</f>
        <v>4</v>
      </c>
      <c r="P75" s="64" t="n">
        <f aca="false">INDEX(Datos_Origen!$I$2:$I$2459,$Z75)</f>
        <v>117.6</v>
      </c>
      <c r="Q75" s="64" t="n">
        <f aca="false">INDEX(Datos_Origen!$J$2:$J$2459,$Z75)</f>
        <v>63.6</v>
      </c>
      <c r="R75" s="65" t="n">
        <f aca="false">ROUND($O75*$P75,2)</f>
        <v>470.4</v>
      </c>
      <c r="S75" s="65" t="n">
        <f aca="false">ROUND($O75*$Q75,2)</f>
        <v>254.4</v>
      </c>
      <c r="T75" s="65" t="n">
        <f aca="false">ROUND($R75*SUMIFS(Parametros!$E$28:$E$43,Parametros!$B$28:$B$43,$J75,Parametros!$C$28:$C$43,$C75,Parametros!$D$28:$D$43,$D75),2)</f>
        <v>19.76</v>
      </c>
      <c r="U75" s="65" t="n">
        <f aca="false">$R75-$S75-$T75</f>
        <v>196.24</v>
      </c>
      <c r="V75" s="66" t="n">
        <f aca="false">IFERROR($U75/$R75,0)</f>
        <v>0.417176870748299</v>
      </c>
      <c r="W75" s="67" t="str">
        <f aca="false">IF(AND($V75&gt;=Parametros!$C$8,$R75&gt;=Parametros!$C$12),"Alta rentabilidad",IF(OR($V75&lt;Parametros!$C$11,$R75&lt;Parametros!$C$13),"Revisar","Estandar"))</f>
        <v>Estandar</v>
      </c>
      <c r="X75" s="67" t="str">
        <f aca="false">IF(AND($J75="E-commerce",IFERROR($T75/$R75,0)&gt;Parametros!$C$14),"Alerta","OK")</f>
        <v>OK</v>
      </c>
      <c r="Y75" s="61" t="str">
        <f aca="false">IF($R75&gt;=Parametros!$C$12,"Alto",IF($R75&lt;Parametros!$C$13,"Bajo","Medio"))</f>
        <v>Medio</v>
      </c>
      <c r="Z75" s="61" t="n">
        <v>2157</v>
      </c>
      <c r="AA75" s="61" t="str">
        <f aca="false">IF(MATCH($A75,Datos_Origen!$A$2:$A$2459,0)=$Z75,"OK","REVISAR")</f>
        <v>OK</v>
      </c>
      <c r="AB75" s="62" t="n">
        <f aca="false">INDEX(Datos_Origen!$B$2:$B$2459,$Z75)</f>
        <v>45297</v>
      </c>
      <c r="AC75" s="61" t="n">
        <f aca="false">INDEX(Datos_Origen!$H$2:$H$2459,$Z75)</f>
        <v>4</v>
      </c>
      <c r="AD75" s="61" t="str">
        <f aca="false">INDEX(Datos_Origen!$D$2:$D$2459,$Z75)&amp;""</f>
        <v>Mendoza</v>
      </c>
    </row>
    <row r="76" customFormat="false" ht="15" hidden="false" customHeight="false" outlineLevel="0" collapsed="false">
      <c r="A76" s="61" t="n">
        <f aca="false">INDEX(Datos_Origen!$A$2:$A$2459,$Z76)</f>
        <v>75</v>
      </c>
      <c r="B76" s="62" t="n">
        <f aca="false">IF(ISNUMBER($AB76),$AB76,IF(MID($AB76,5,1)="-",DATE(VALUE(LEFT($AB76,4)),VALUE(MID($AB76,6,2)),VALUE(RIGHT($AB76,2))),DATE(VALUE(RIGHT($AB76,4)),VALUE(MID($AB76,4,2)),VALUE(LEFT($AB76,2)))))</f>
        <v>45304</v>
      </c>
      <c r="C76" s="61" t="n">
        <f aca="false">YEAR($B76)</f>
        <v>2024</v>
      </c>
      <c r="D76" s="61" t="str">
        <f aca="false">"Q"&amp;ROUNDUP(MONTH($B76)/3,0)</f>
        <v>Q1</v>
      </c>
      <c r="E76" s="61" t="n">
        <f aca="false">MONTH($B76)</f>
        <v>1</v>
      </c>
      <c r="F76" s="61" t="str">
        <f aca="false">INDEX(Parametros!$I$5:$I$16,$E76)</f>
        <v>Ene</v>
      </c>
      <c r="G76" s="61" t="str">
        <f aca="false">TEXT($C76,"0000")&amp;"-"&amp;TEXT($E76,"00")</f>
        <v>2024-01</v>
      </c>
      <c r="H76" s="61" t="str">
        <f aca="false">INDEX(Parametros!$C$71:$C$91,MATCH(TRIM(INDEX(Datos_Origen!$C$2:$C$2459,$Z76)),Parametros!$B$71:$B$91,0))</f>
        <v>Cuyo</v>
      </c>
      <c r="I76" s="61" t="str">
        <f aca="false">IF(TRIM($AD76)="",INDEX(Parametros!$I$20:$I$24,MATCH($H76,Parametros!$H$20:$H$24,0)),TRIM($AD76))</f>
        <v>Mendoza</v>
      </c>
      <c r="J76" s="61" t="str">
        <f aca="false">INDEX(Parametros!$C$95:$C$106,MATCH(TRIM(INDEX(Datos_Origen!$E$2:$E$2459,$Z76)),Parametros!$B$95:$B$106,0))</f>
        <v>Tienda fisica</v>
      </c>
      <c r="K76" s="61" t="str">
        <f aca="false">INDEX(Parametros!$C$48:$C$67,MATCH(TRIM(INDEX(Datos_Origen!$F$2:$F$2459,$Z76)),Parametros!$B$48:$B$67,0))</f>
        <v>Audio</v>
      </c>
      <c r="L76" s="61" t="str">
        <f aca="false">$K76&amp;" "&amp;$C76</f>
        <v>Audio 2024</v>
      </c>
      <c r="M76" s="61" t="str">
        <f aca="false">TRIM(INDEX(Datos_Origen!$G$2:$G$2459,$Z76))</f>
        <v>Parlante Bluetooth</v>
      </c>
      <c r="N76" s="61" t="str">
        <f aca="false">$M76&amp;" "&amp;$C76</f>
        <v>Parlante Bluetooth 2024</v>
      </c>
      <c r="O76" s="63" t="n">
        <f aca="false">IF(ISTEXT($AC76),VALUE($AC76),$AC76)</f>
        <v>11</v>
      </c>
      <c r="P76" s="64" t="n">
        <f aca="false">INDEX(Datos_Origen!$I$2:$I$2459,$Z76)</f>
        <v>83.3</v>
      </c>
      <c r="Q76" s="64" t="n">
        <f aca="false">INDEX(Datos_Origen!$J$2:$J$2459,$Z76)</f>
        <v>48.03</v>
      </c>
      <c r="R76" s="65" t="n">
        <f aca="false">ROUND($O76*$P76,2)</f>
        <v>916.3</v>
      </c>
      <c r="S76" s="65" t="n">
        <f aca="false">ROUND($O76*$Q76,2)</f>
        <v>528.33</v>
      </c>
      <c r="T76" s="65" t="n">
        <f aca="false">ROUND($R76*SUMIFS(Parametros!$E$28:$E$43,Parametros!$B$28:$B$43,$J76,Parametros!$C$28:$C$43,$C76,Parametros!$D$28:$D$43,$D76),2)</f>
        <v>11</v>
      </c>
      <c r="U76" s="65" t="n">
        <f aca="false">$R76-$S76-$T76</f>
        <v>376.97</v>
      </c>
      <c r="V76" s="66" t="n">
        <f aca="false">IFERROR($U76/$R76,0)</f>
        <v>0.41140456182473</v>
      </c>
      <c r="W76" s="67" t="str">
        <f aca="false">IF(AND($V76&gt;=Parametros!$C$8,$R76&gt;=Parametros!$C$12),"Alta rentabilidad",IF(OR($V76&lt;Parametros!$C$11,$R76&lt;Parametros!$C$13),"Revisar","Estandar"))</f>
        <v>Estandar</v>
      </c>
      <c r="X76" s="67" t="str">
        <f aca="false">IF(AND($J76="E-commerce",IFERROR($T76/$R76,0)&gt;Parametros!$C$14),"Alerta","OK")</f>
        <v>OK</v>
      </c>
      <c r="Y76" s="61" t="str">
        <f aca="false">IF($R76&gt;=Parametros!$C$12,"Alto",IF($R76&lt;Parametros!$C$13,"Bajo","Medio"))</f>
        <v>Medio</v>
      </c>
      <c r="Z76" s="61" t="n">
        <v>1605</v>
      </c>
      <c r="AA76" s="61" t="str">
        <f aca="false">IF(MATCH($A76,Datos_Origen!$A$2:$A$2459,0)=$Z76,"OK","REVISAR")</f>
        <v>OK</v>
      </c>
      <c r="AB76" s="61" t="str">
        <f aca="false">INDEX(Datos_Origen!$B$2:$B$2459,$Z76)</f>
        <v>2024-01-13</v>
      </c>
      <c r="AC76" s="61" t="n">
        <f aca="false">INDEX(Datos_Origen!$H$2:$H$2459,$Z76)</f>
        <v>11</v>
      </c>
      <c r="AD76" s="61" t="str">
        <f aca="false">INDEX(Datos_Origen!$D$2:$D$2459,$Z76)&amp;""</f>
        <v>Mendoza</v>
      </c>
    </row>
    <row r="77" customFormat="false" ht="15" hidden="false" customHeight="false" outlineLevel="0" collapsed="false">
      <c r="A77" s="61" t="n">
        <f aca="false">INDEX(Datos_Origen!$A$2:$A$2459,$Z77)</f>
        <v>76</v>
      </c>
      <c r="B77" s="62" t="n">
        <f aca="false">IF(ISNUMBER($AB77),$AB77,IF(MID($AB77,5,1)="-",DATE(VALUE(LEFT($AB77,4)),VALUE(MID($AB77,6,2)),VALUE(RIGHT($AB77,2))),DATE(VALUE(RIGHT($AB77,4)),VALUE(MID($AB77,4,2)),VALUE(LEFT($AB77,2)))))</f>
        <v>45311</v>
      </c>
      <c r="C77" s="61" t="n">
        <f aca="false">YEAR($B77)</f>
        <v>2024</v>
      </c>
      <c r="D77" s="61" t="str">
        <f aca="false">"Q"&amp;ROUNDUP(MONTH($B77)/3,0)</f>
        <v>Q1</v>
      </c>
      <c r="E77" s="61" t="n">
        <f aca="false">MONTH($B77)</f>
        <v>1</v>
      </c>
      <c r="F77" s="61" t="str">
        <f aca="false">INDEX(Parametros!$I$5:$I$16,$E77)</f>
        <v>Ene</v>
      </c>
      <c r="G77" s="61" t="str">
        <f aca="false">TEXT($C77,"0000")&amp;"-"&amp;TEXT($E77,"00")</f>
        <v>2024-01</v>
      </c>
      <c r="H77" s="61" t="str">
        <f aca="false">INDEX(Parametros!$C$71:$C$91,MATCH(TRIM(INDEX(Datos_Origen!$C$2:$C$2459,$Z77)),Parametros!$B$71:$B$91,0))</f>
        <v>Cuyo</v>
      </c>
      <c r="I77" s="61" t="str">
        <f aca="false">IF(TRIM($AD77)="",INDEX(Parametros!$I$20:$I$24,MATCH($H77,Parametros!$H$20:$H$24,0)),TRIM($AD77))</f>
        <v>Mendoza</v>
      </c>
      <c r="J77" s="61" t="str">
        <f aca="false">INDEX(Parametros!$C$95:$C$106,MATCH(TRIM(INDEX(Datos_Origen!$E$2:$E$2459,$Z77)),Parametros!$B$95:$B$106,0))</f>
        <v>E-commerce</v>
      </c>
      <c r="K77" s="61" t="str">
        <f aca="false">INDEX(Parametros!$C$48:$C$67,MATCH(TRIM(INDEX(Datos_Origen!$F$2:$F$2459,$Z77)),Parametros!$B$48:$B$67,0))</f>
        <v>Audio</v>
      </c>
      <c r="L77" s="61" t="str">
        <f aca="false">$K77&amp;" "&amp;$C77</f>
        <v>Audio 2024</v>
      </c>
      <c r="M77" s="61" t="str">
        <f aca="false">TRIM(INDEX(Datos_Origen!$G$2:$G$2459,$Z77))</f>
        <v>Parlante Bluetooth</v>
      </c>
      <c r="N77" s="61" t="str">
        <f aca="false">$M77&amp;" "&amp;$C77</f>
        <v>Parlante Bluetooth 2024</v>
      </c>
      <c r="O77" s="63" t="n">
        <f aca="false">IF(ISTEXT($AC77),VALUE($AC77),$AC77)</f>
        <v>5</v>
      </c>
      <c r="P77" s="64" t="n">
        <f aca="false">INDEX(Datos_Origen!$I$2:$I$2459,$Z77)</f>
        <v>83.3</v>
      </c>
      <c r="Q77" s="64" t="n">
        <f aca="false">INDEX(Datos_Origen!$J$2:$J$2459,$Z77)</f>
        <v>48.03</v>
      </c>
      <c r="R77" s="65" t="n">
        <f aca="false">ROUND($O77*$P77,2)</f>
        <v>416.5</v>
      </c>
      <c r="S77" s="65" t="n">
        <f aca="false">ROUND($O77*$Q77,2)</f>
        <v>240.15</v>
      </c>
      <c r="T77" s="65" t="n">
        <f aca="false">ROUND($R77*SUMIFS(Parametros!$E$28:$E$43,Parametros!$B$28:$B$43,$J77,Parametros!$C$28:$C$43,$C77,Parametros!$D$28:$D$43,$D77),2)</f>
        <v>17.49</v>
      </c>
      <c r="U77" s="65" t="n">
        <f aca="false">$R77-$S77-$T77</f>
        <v>158.86</v>
      </c>
      <c r="V77" s="66" t="n">
        <f aca="false">IFERROR($U77/$R77,0)</f>
        <v>0.381416566626651</v>
      </c>
      <c r="W77" s="67" t="str">
        <f aca="false">IF(AND($V77&gt;=Parametros!$C$8,$R77&gt;=Parametros!$C$12),"Alta rentabilidad",IF(OR($V77&lt;Parametros!$C$11,$R77&lt;Parametros!$C$13),"Revisar","Estandar"))</f>
        <v>Estandar</v>
      </c>
      <c r="X77" s="67" t="str">
        <f aca="false">IF(AND($J77="E-commerce",IFERROR($T77/$R77,0)&gt;Parametros!$C$14),"Alerta","OK")</f>
        <v>OK</v>
      </c>
      <c r="Y77" s="61" t="str">
        <f aca="false">IF($R77&gt;=Parametros!$C$12,"Alto",IF($R77&lt;Parametros!$C$13,"Bajo","Medio"))</f>
        <v>Medio</v>
      </c>
      <c r="Z77" s="61" t="n">
        <v>1245</v>
      </c>
      <c r="AA77" s="61" t="str">
        <f aca="false">IF(MATCH($A77,Datos_Origen!$A$2:$A$2459,0)=$Z77,"OK","REVISAR")</f>
        <v>OK</v>
      </c>
      <c r="AB77" s="61" t="str">
        <f aca="false">INDEX(Datos_Origen!$B$2:$B$2459,$Z77)</f>
        <v>20/01/2024</v>
      </c>
      <c r="AC77" s="61" t="n">
        <f aca="false">INDEX(Datos_Origen!$H$2:$H$2459,$Z77)</f>
        <v>5</v>
      </c>
      <c r="AD77" s="61" t="str">
        <f aca="false">INDEX(Datos_Origen!$D$2:$D$2459,$Z77)&amp;""</f>
        <v>Mendoza</v>
      </c>
    </row>
    <row r="78" customFormat="false" ht="15" hidden="false" customHeight="false" outlineLevel="0" collapsed="false">
      <c r="A78" s="61" t="n">
        <f aca="false">INDEX(Datos_Origen!$A$2:$A$2459,$Z78)</f>
        <v>77</v>
      </c>
      <c r="B78" s="62" t="n">
        <f aca="false">IF(ISNUMBER($AB78),$AB78,IF(MID($AB78,5,1)="-",DATE(VALUE(LEFT($AB78,4)),VALUE(MID($AB78,6,2)),VALUE(RIGHT($AB78,2))),DATE(VALUE(RIGHT($AB78,4)),VALUE(MID($AB78,4,2)),VALUE(LEFT($AB78,2)))))</f>
        <v>45318</v>
      </c>
      <c r="C78" s="61" t="n">
        <f aca="false">YEAR($B78)</f>
        <v>2024</v>
      </c>
      <c r="D78" s="61" t="str">
        <f aca="false">"Q"&amp;ROUNDUP(MONTH($B78)/3,0)</f>
        <v>Q1</v>
      </c>
      <c r="E78" s="61" t="n">
        <f aca="false">MONTH($B78)</f>
        <v>1</v>
      </c>
      <c r="F78" s="61" t="str">
        <f aca="false">INDEX(Parametros!$I$5:$I$16,$E78)</f>
        <v>Ene</v>
      </c>
      <c r="G78" s="61" t="str">
        <f aca="false">TEXT($C78,"0000")&amp;"-"&amp;TEXT($E78,"00")</f>
        <v>2024-01</v>
      </c>
      <c r="H78" s="61" t="str">
        <f aca="false">INDEX(Parametros!$C$71:$C$91,MATCH(TRIM(INDEX(Datos_Origen!$C$2:$C$2459,$Z78)),Parametros!$B$71:$B$91,0))</f>
        <v>Cuyo</v>
      </c>
      <c r="I78" s="61" t="str">
        <f aca="false">IF(TRIM($AD78)="",INDEX(Parametros!$I$20:$I$24,MATCH($H78,Parametros!$H$20:$H$24,0)),TRIM($AD78))</f>
        <v>Mendoza</v>
      </c>
      <c r="J78" s="61" t="str">
        <f aca="false">INDEX(Parametros!$C$95:$C$106,MATCH(TRIM(INDEX(Datos_Origen!$E$2:$E$2459,$Z78)),Parametros!$B$95:$B$106,0))</f>
        <v>Tienda fisica</v>
      </c>
      <c r="K78" s="61" t="str">
        <f aca="false">INDEX(Parametros!$C$48:$C$67,MATCH(TRIM(INDEX(Datos_Origen!$F$2:$F$2459,$Z78)),Parametros!$B$48:$B$67,0))</f>
        <v>Almacenamiento</v>
      </c>
      <c r="L78" s="61" t="str">
        <f aca="false">$K78&amp;" "&amp;$C78</f>
        <v>Almacenamiento 2024</v>
      </c>
      <c r="M78" s="61" t="str">
        <f aca="false">TRIM(INDEX(Datos_Origen!$G$2:$G$2459,$Z78))</f>
        <v>SSD Externo 1TB</v>
      </c>
      <c r="N78" s="61" t="str">
        <f aca="false">$M78&amp;" "&amp;$C78</f>
        <v>SSD Externo 1TB 2024</v>
      </c>
      <c r="O78" s="63" t="n">
        <f aca="false">IF(ISTEXT($AC78),VALUE($AC78),$AC78)</f>
        <v>15</v>
      </c>
      <c r="P78" s="64" t="n">
        <f aca="false">INDEX(Datos_Origen!$I$2:$I$2459,$Z78)</f>
        <v>127.4</v>
      </c>
      <c r="Q78" s="64" t="n">
        <f aca="false">INDEX(Datos_Origen!$J$2:$J$2459,$Z78)</f>
        <v>76.05</v>
      </c>
      <c r="R78" s="65" t="n">
        <f aca="false">ROUND($O78*$P78,2)</f>
        <v>1911</v>
      </c>
      <c r="S78" s="65" t="n">
        <f aca="false">ROUND($O78*$Q78,2)</f>
        <v>1140.75</v>
      </c>
      <c r="T78" s="65" t="n">
        <f aca="false">ROUND($R78*SUMIFS(Parametros!$E$28:$E$43,Parametros!$B$28:$B$43,$J78,Parametros!$C$28:$C$43,$C78,Parametros!$D$28:$D$43,$D78),2)</f>
        <v>22.93</v>
      </c>
      <c r="U78" s="65" t="n">
        <f aca="false">$R78-$S78-$T78</f>
        <v>747.32</v>
      </c>
      <c r="V78" s="66" t="n">
        <f aca="false">IFERROR($U78/$R78,0)</f>
        <v>0.391062271062271</v>
      </c>
      <c r="W78" s="67" t="str">
        <f aca="false">IF(AND($V78&gt;=Parametros!$C$8,$R78&gt;=Parametros!$C$12),"Alta rentabilidad",IF(OR($V78&lt;Parametros!$C$11,$R78&lt;Parametros!$C$13),"Revisar","Estandar"))</f>
        <v>Estandar</v>
      </c>
      <c r="X78" s="67" t="str">
        <f aca="false">IF(AND($J78="E-commerce",IFERROR($T78/$R78,0)&gt;Parametros!$C$14),"Alerta","OK")</f>
        <v>OK</v>
      </c>
      <c r="Y78" s="61" t="str">
        <f aca="false">IF($R78&gt;=Parametros!$C$12,"Alto",IF($R78&lt;Parametros!$C$13,"Bajo","Medio"))</f>
        <v>Medio</v>
      </c>
      <c r="Z78" s="61" t="n">
        <v>1082</v>
      </c>
      <c r="AA78" s="61" t="str">
        <f aca="false">IF(MATCH($A78,Datos_Origen!$A$2:$A$2459,0)=$Z78,"OK","REVISAR")</f>
        <v>OK</v>
      </c>
      <c r="AB78" s="62" t="n">
        <f aca="false">INDEX(Datos_Origen!$B$2:$B$2459,$Z78)</f>
        <v>45318</v>
      </c>
      <c r="AC78" s="61" t="str">
        <f aca="false">INDEX(Datos_Origen!$H$2:$H$2459,$Z78)</f>
        <v>15</v>
      </c>
      <c r="AD78" s="61" t="str">
        <f aca="false">INDEX(Datos_Origen!$D$2:$D$2459,$Z78)&amp;""</f>
        <v>Mendoza</v>
      </c>
    </row>
    <row r="79" customFormat="false" ht="15" hidden="false" customHeight="false" outlineLevel="0" collapsed="false">
      <c r="A79" s="61" t="n">
        <f aca="false">INDEX(Datos_Origen!$A$2:$A$2459,$Z79)</f>
        <v>78</v>
      </c>
      <c r="B79" s="62" t="n">
        <f aca="false">IF(ISNUMBER($AB79),$AB79,IF(MID($AB79,5,1)="-",DATE(VALUE(LEFT($AB79,4)),VALUE(MID($AB79,6,2)),VALUE(RIGHT($AB79,2))),DATE(VALUE(RIGHT($AB79,4)),VALUE(MID($AB79,4,2)),VALUE(LEFT($AB79,2)))))</f>
        <v>45298</v>
      </c>
      <c r="C79" s="61" t="n">
        <f aca="false">YEAR($B79)</f>
        <v>2024</v>
      </c>
      <c r="D79" s="61" t="str">
        <f aca="false">"Q"&amp;ROUNDUP(MONTH($B79)/3,0)</f>
        <v>Q1</v>
      </c>
      <c r="E79" s="61" t="n">
        <f aca="false">MONTH($B79)</f>
        <v>1</v>
      </c>
      <c r="F79" s="61" t="str">
        <f aca="false">INDEX(Parametros!$I$5:$I$16,$E79)</f>
        <v>Ene</v>
      </c>
      <c r="G79" s="61" t="str">
        <f aca="false">TEXT($C79,"0000")&amp;"-"&amp;TEXT($E79,"00")</f>
        <v>2024-01</v>
      </c>
      <c r="H79" s="61" t="str">
        <f aca="false">INDEX(Parametros!$C$71:$C$91,MATCH(TRIM(INDEX(Datos_Origen!$C$2:$C$2459,$Z79)),Parametros!$B$71:$B$91,0))</f>
        <v>Cuyo</v>
      </c>
      <c r="I79" s="61" t="str">
        <f aca="false">IF(TRIM($AD79)="",INDEX(Parametros!$I$20:$I$24,MATCH($H79,Parametros!$H$20:$H$24,0)),TRIM($AD79))</f>
        <v>Mendoza</v>
      </c>
      <c r="J79" s="61" t="str">
        <f aca="false">INDEX(Parametros!$C$95:$C$106,MATCH(TRIM(INDEX(Datos_Origen!$E$2:$E$2459,$Z79)),Parametros!$B$95:$B$106,0))</f>
        <v>E-commerce</v>
      </c>
      <c r="K79" s="61" t="str">
        <f aca="false">INDEX(Parametros!$C$48:$C$67,MATCH(TRIM(INDEX(Datos_Origen!$F$2:$F$2459,$Z79)),Parametros!$B$48:$B$67,0))</f>
        <v>Almacenamiento</v>
      </c>
      <c r="L79" s="61" t="str">
        <f aca="false">$K79&amp;" "&amp;$C79</f>
        <v>Almacenamiento 2024</v>
      </c>
      <c r="M79" s="61" t="str">
        <f aca="false">TRIM(INDEX(Datos_Origen!$G$2:$G$2459,$Z79))</f>
        <v>SSD Externo 1TB</v>
      </c>
      <c r="N79" s="61" t="str">
        <f aca="false">$M79&amp;" "&amp;$C79</f>
        <v>SSD Externo 1TB 2024</v>
      </c>
      <c r="O79" s="63" t="n">
        <f aca="false">IF(ISTEXT($AC79),VALUE($AC79),$AC79)</f>
        <v>6</v>
      </c>
      <c r="P79" s="64" t="n">
        <f aca="false">INDEX(Datos_Origen!$I$2:$I$2459,$Z79)</f>
        <v>127.4</v>
      </c>
      <c r="Q79" s="64" t="n">
        <f aca="false">INDEX(Datos_Origen!$J$2:$J$2459,$Z79)</f>
        <v>76.05</v>
      </c>
      <c r="R79" s="65" t="n">
        <f aca="false">ROUND($O79*$P79,2)</f>
        <v>764.4</v>
      </c>
      <c r="S79" s="65" t="n">
        <f aca="false">ROUND($O79*$Q79,2)</f>
        <v>456.3</v>
      </c>
      <c r="T79" s="65" t="n">
        <f aca="false">ROUND($R79*SUMIFS(Parametros!$E$28:$E$43,Parametros!$B$28:$B$43,$J79,Parametros!$C$28:$C$43,$C79,Parametros!$D$28:$D$43,$D79),2)</f>
        <v>32.1</v>
      </c>
      <c r="U79" s="65" t="n">
        <f aca="false">$R79-$S79-$T79</f>
        <v>276</v>
      </c>
      <c r="V79" s="66" t="n">
        <f aca="false">IFERROR($U79/$R79,0)</f>
        <v>0.361067503924647</v>
      </c>
      <c r="W79" s="67" t="str">
        <f aca="false">IF(AND($V79&gt;=Parametros!$C$8,$R79&gt;=Parametros!$C$12),"Alta rentabilidad",IF(OR($V79&lt;Parametros!$C$11,$R79&lt;Parametros!$C$13),"Revisar","Estandar"))</f>
        <v>Estandar</v>
      </c>
      <c r="X79" s="67" t="str">
        <f aca="false">IF(AND($J79="E-commerce",IFERROR($T79/$R79,0)&gt;Parametros!$C$14),"Alerta","OK")</f>
        <v>OK</v>
      </c>
      <c r="Y79" s="61" t="str">
        <f aca="false">IF($R79&gt;=Parametros!$C$12,"Alto",IF($R79&lt;Parametros!$C$13,"Bajo","Medio"))</f>
        <v>Medio</v>
      </c>
      <c r="Z79" s="61" t="n">
        <v>536</v>
      </c>
      <c r="AA79" s="61" t="str">
        <f aca="false">IF(MATCH($A79,Datos_Origen!$A$2:$A$2459,0)=$Z79,"OK","REVISAR")</f>
        <v>OK</v>
      </c>
      <c r="AB79" s="62" t="n">
        <f aca="false">INDEX(Datos_Origen!$B$2:$B$2459,$Z79)</f>
        <v>45298</v>
      </c>
      <c r="AC79" s="61" t="n">
        <f aca="false">INDEX(Datos_Origen!$H$2:$H$2459,$Z79)</f>
        <v>6</v>
      </c>
      <c r="AD79" s="61" t="str">
        <f aca="false">INDEX(Datos_Origen!$D$2:$D$2459,$Z79)&amp;""</f>
        <v>Mendoza</v>
      </c>
    </row>
    <row r="80" customFormat="false" ht="15" hidden="false" customHeight="false" outlineLevel="0" collapsed="false">
      <c r="A80" s="61" t="n">
        <f aca="false">INDEX(Datos_Origen!$A$2:$A$2459,$Z80)</f>
        <v>79</v>
      </c>
      <c r="B80" s="62" t="n">
        <f aca="false">IF(ISNUMBER($AB80),$AB80,IF(MID($AB80,5,1)="-",DATE(VALUE(LEFT($AB80,4)),VALUE(MID($AB80,6,2)),VALUE(RIGHT($AB80,2))),DATE(VALUE(RIGHT($AB80,4)),VALUE(MID($AB80,4,2)),VALUE(LEFT($AB80,2)))))</f>
        <v>45305</v>
      </c>
      <c r="C80" s="61" t="n">
        <f aca="false">YEAR($B80)</f>
        <v>2024</v>
      </c>
      <c r="D80" s="61" t="str">
        <f aca="false">"Q"&amp;ROUNDUP(MONTH($B80)/3,0)</f>
        <v>Q1</v>
      </c>
      <c r="E80" s="61" t="n">
        <f aca="false">MONTH($B80)</f>
        <v>1</v>
      </c>
      <c r="F80" s="61" t="str">
        <f aca="false">INDEX(Parametros!$I$5:$I$16,$E80)</f>
        <v>Ene</v>
      </c>
      <c r="G80" s="61" t="str">
        <f aca="false">TEXT($C80,"0000")&amp;"-"&amp;TEXT($E80,"00")</f>
        <v>2024-01</v>
      </c>
      <c r="H80" s="61" t="str">
        <f aca="false">INDEX(Parametros!$C$71:$C$91,MATCH(TRIM(INDEX(Datos_Origen!$C$2:$C$2459,$Z80)),Parametros!$B$71:$B$91,0))</f>
        <v>Cuyo</v>
      </c>
      <c r="I80" s="61" t="str">
        <f aca="false">IF(TRIM($AD80)="",INDEX(Parametros!$I$20:$I$24,MATCH($H80,Parametros!$H$20:$H$24,0)),TRIM($AD80))</f>
        <v>Mendoza</v>
      </c>
      <c r="J80" s="61" t="str">
        <f aca="false">INDEX(Parametros!$C$95:$C$106,MATCH(TRIM(INDEX(Datos_Origen!$E$2:$E$2459,$Z80)),Parametros!$B$95:$B$106,0))</f>
        <v>Tienda fisica</v>
      </c>
      <c r="K80" s="61" t="str">
        <f aca="false">INDEX(Parametros!$C$48:$C$67,MATCH(TRIM(INDEX(Datos_Origen!$F$2:$F$2459,$Z80)),Parametros!$B$48:$B$67,0))</f>
        <v>Almacenamiento</v>
      </c>
      <c r="L80" s="61" t="str">
        <f aca="false">$K80&amp;" "&amp;$C80</f>
        <v>Almacenamiento 2024</v>
      </c>
      <c r="M80" s="61" t="str">
        <f aca="false">TRIM(INDEX(Datos_Origen!$G$2:$G$2459,$Z80))</f>
        <v>Pendrive 256GB</v>
      </c>
      <c r="N80" s="61" t="str">
        <f aca="false">$M80&amp;" "&amp;$C80</f>
        <v>Pendrive 256GB 2024</v>
      </c>
      <c r="O80" s="63" t="n">
        <f aca="false">IF(ISTEXT($AC80),VALUE($AC80),$AC80)</f>
        <v>18</v>
      </c>
      <c r="P80" s="64" t="n">
        <f aca="false">INDEX(Datos_Origen!$I$2:$I$2459,$Z80)</f>
        <v>34.3</v>
      </c>
      <c r="Q80" s="64" t="n">
        <f aca="false">INDEX(Datos_Origen!$J$2:$J$2459,$Z80)</f>
        <v>17.85</v>
      </c>
      <c r="R80" s="65" t="n">
        <f aca="false">ROUND($O80*$P80,2)</f>
        <v>617.4</v>
      </c>
      <c r="S80" s="65" t="n">
        <f aca="false">ROUND($O80*$Q80,2)</f>
        <v>321.3</v>
      </c>
      <c r="T80" s="65" t="n">
        <f aca="false">ROUND($R80*SUMIFS(Parametros!$E$28:$E$43,Parametros!$B$28:$B$43,$J80,Parametros!$C$28:$C$43,$C80,Parametros!$D$28:$D$43,$D80),2)</f>
        <v>7.41</v>
      </c>
      <c r="U80" s="65" t="n">
        <f aca="false">$R80-$S80-$T80</f>
        <v>288.69</v>
      </c>
      <c r="V80" s="66" t="n">
        <f aca="false">IFERROR($U80/$R80,0)</f>
        <v>0.467589893100097</v>
      </c>
      <c r="W80" s="67" t="str">
        <f aca="false">IF(AND($V80&gt;=Parametros!$C$8,$R80&gt;=Parametros!$C$12),"Alta rentabilidad",IF(OR($V80&lt;Parametros!$C$11,$R80&lt;Parametros!$C$13),"Revisar","Estandar"))</f>
        <v>Estandar</v>
      </c>
      <c r="X80" s="67" t="str">
        <f aca="false">IF(AND($J80="E-commerce",IFERROR($T80/$R80,0)&gt;Parametros!$C$14),"Alerta","OK")</f>
        <v>OK</v>
      </c>
      <c r="Y80" s="61" t="str">
        <f aca="false">IF($R80&gt;=Parametros!$C$12,"Alto",IF($R80&lt;Parametros!$C$13,"Bajo","Medio"))</f>
        <v>Medio</v>
      </c>
      <c r="Z80" s="61" t="n">
        <v>162</v>
      </c>
      <c r="AA80" s="61" t="str">
        <f aca="false">IF(MATCH($A80,Datos_Origen!$A$2:$A$2459,0)=$Z80,"OK","REVISAR")</f>
        <v>OK</v>
      </c>
      <c r="AB80" s="62" t="n">
        <f aca="false">INDEX(Datos_Origen!$B$2:$B$2459,$Z80)</f>
        <v>45305</v>
      </c>
      <c r="AC80" s="61" t="n">
        <f aca="false">INDEX(Datos_Origen!$H$2:$H$2459,$Z80)</f>
        <v>18</v>
      </c>
      <c r="AD80" s="61" t="str">
        <f aca="false">INDEX(Datos_Origen!$D$2:$D$2459,$Z80)&amp;""</f>
        <v>Mendoza</v>
      </c>
    </row>
    <row r="81" customFormat="false" ht="15" hidden="false" customHeight="false" outlineLevel="0" collapsed="false">
      <c r="A81" s="61" t="n">
        <f aca="false">INDEX(Datos_Origen!$A$2:$A$2459,$Z81)</f>
        <v>80</v>
      </c>
      <c r="B81" s="62" t="n">
        <f aca="false">IF(ISNUMBER($AB81),$AB81,IF(MID($AB81,5,1)="-",DATE(VALUE(LEFT($AB81,4)),VALUE(MID($AB81,6,2)),VALUE(RIGHT($AB81,2))),DATE(VALUE(RIGHT($AB81,4)),VALUE(MID($AB81,4,2)),VALUE(LEFT($AB81,2)))))</f>
        <v>45312</v>
      </c>
      <c r="C81" s="61" t="n">
        <f aca="false">YEAR($B81)</f>
        <v>2024</v>
      </c>
      <c r="D81" s="61" t="str">
        <f aca="false">"Q"&amp;ROUNDUP(MONTH($B81)/3,0)</f>
        <v>Q1</v>
      </c>
      <c r="E81" s="61" t="n">
        <f aca="false">MONTH($B81)</f>
        <v>1</v>
      </c>
      <c r="F81" s="61" t="str">
        <f aca="false">INDEX(Parametros!$I$5:$I$16,$E81)</f>
        <v>Ene</v>
      </c>
      <c r="G81" s="61" t="str">
        <f aca="false">TEXT($C81,"0000")&amp;"-"&amp;TEXT($E81,"00")</f>
        <v>2024-01</v>
      </c>
      <c r="H81" s="61" t="str">
        <f aca="false">INDEX(Parametros!$C$71:$C$91,MATCH(TRIM(INDEX(Datos_Origen!$C$2:$C$2459,$Z81)),Parametros!$B$71:$B$91,0))</f>
        <v>Cuyo</v>
      </c>
      <c r="I81" s="61" t="str">
        <f aca="false">IF(TRIM($AD81)="",INDEX(Parametros!$I$20:$I$24,MATCH($H81,Parametros!$H$20:$H$24,0)),TRIM($AD81))</f>
        <v>Mendoza</v>
      </c>
      <c r="J81" s="61" t="str">
        <f aca="false">INDEX(Parametros!$C$95:$C$106,MATCH(TRIM(INDEX(Datos_Origen!$E$2:$E$2459,$Z81)),Parametros!$B$95:$B$106,0))</f>
        <v>E-commerce</v>
      </c>
      <c r="K81" s="61" t="str">
        <f aca="false">INDEX(Parametros!$C$48:$C$67,MATCH(TRIM(INDEX(Datos_Origen!$F$2:$F$2459,$Z81)),Parametros!$B$48:$B$67,0))</f>
        <v>Almacenamiento</v>
      </c>
      <c r="L81" s="61" t="str">
        <f aca="false">$K81&amp;" "&amp;$C81</f>
        <v>Almacenamiento 2024</v>
      </c>
      <c r="M81" s="61" t="str">
        <f aca="false">TRIM(INDEX(Datos_Origen!$G$2:$G$2459,$Z81))</f>
        <v>Pendrive 256GB</v>
      </c>
      <c r="N81" s="61" t="str">
        <f aca="false">$M81&amp;" "&amp;$C81</f>
        <v>Pendrive 256GB 2024</v>
      </c>
      <c r="O81" s="63" t="n">
        <f aca="false">IF(ISTEXT($AC81),VALUE($AC81),$AC81)</f>
        <v>6</v>
      </c>
      <c r="P81" s="64" t="n">
        <f aca="false">INDEX(Datos_Origen!$I$2:$I$2459,$Z81)</f>
        <v>34.3</v>
      </c>
      <c r="Q81" s="64" t="n">
        <f aca="false">INDEX(Datos_Origen!$J$2:$J$2459,$Z81)</f>
        <v>17.85</v>
      </c>
      <c r="R81" s="65" t="n">
        <f aca="false">ROUND($O81*$P81,2)</f>
        <v>205.8</v>
      </c>
      <c r="S81" s="65" t="n">
        <f aca="false">ROUND($O81*$Q81,2)</f>
        <v>107.1</v>
      </c>
      <c r="T81" s="65" t="n">
        <f aca="false">ROUND($R81*SUMIFS(Parametros!$E$28:$E$43,Parametros!$B$28:$B$43,$J81,Parametros!$C$28:$C$43,$C81,Parametros!$D$28:$D$43,$D81),2)</f>
        <v>8.64</v>
      </c>
      <c r="U81" s="65" t="n">
        <f aca="false">$R81-$S81-$T81</f>
        <v>90.06</v>
      </c>
      <c r="V81" s="66" t="n">
        <f aca="false">IFERROR($U81/$R81,0)</f>
        <v>0.437609329446064</v>
      </c>
      <c r="W81" s="67" t="str">
        <f aca="false">IF(AND($V81&gt;=Parametros!$C$8,$R81&gt;=Parametros!$C$12),"Alta rentabilidad",IF(OR($V81&lt;Parametros!$C$11,$R81&lt;Parametros!$C$13),"Revisar","Estandar"))</f>
        <v>Revisar</v>
      </c>
      <c r="X81" s="67" t="str">
        <f aca="false">IF(AND($J81="E-commerce",IFERROR($T81/$R81,0)&gt;Parametros!$C$14),"Alerta","OK")</f>
        <v>OK</v>
      </c>
      <c r="Y81" s="61" t="str">
        <f aca="false">IF($R81&gt;=Parametros!$C$12,"Alto",IF($R81&lt;Parametros!$C$13,"Bajo","Medio"))</f>
        <v>Bajo</v>
      </c>
      <c r="Z81" s="61" t="n">
        <v>496</v>
      </c>
      <c r="AA81" s="61" t="str">
        <f aca="false">IF(MATCH($A81,Datos_Origen!$A$2:$A$2459,0)=$Z81,"OK","REVISAR")</f>
        <v>OK</v>
      </c>
      <c r="AB81" s="61" t="str">
        <f aca="false">INDEX(Datos_Origen!$B$2:$B$2459,$Z81)</f>
        <v>21/01/2024</v>
      </c>
      <c r="AC81" s="61" t="n">
        <f aca="false">INDEX(Datos_Origen!$H$2:$H$2459,$Z81)</f>
        <v>6</v>
      </c>
      <c r="AD81" s="61" t="str">
        <f aca="false">INDEX(Datos_Origen!$D$2:$D$2459,$Z81)&amp;""</f>
        <v>Mendoza</v>
      </c>
    </row>
    <row r="82" customFormat="false" ht="15" hidden="false" customHeight="false" outlineLevel="0" collapsed="false">
      <c r="A82" s="61" t="n">
        <f aca="false">INDEX(Datos_Origen!$A$2:$A$2459,$Z82)</f>
        <v>81</v>
      </c>
      <c r="B82" s="62" t="n">
        <f aca="false">IF(ISNUMBER($AB82),$AB82,IF(MID($AB82,5,1)="-",DATE(VALUE(LEFT($AB82,4)),VALUE(MID($AB82,6,2)),VALUE(RIGHT($AB82,2))),DATE(VALUE(RIGHT($AB82,4)),VALUE(MID($AB82,4,2)),VALUE(LEFT($AB82,2)))))</f>
        <v>45292</v>
      </c>
      <c r="C82" s="61" t="n">
        <f aca="false">YEAR($B82)</f>
        <v>2024</v>
      </c>
      <c r="D82" s="61" t="str">
        <f aca="false">"Q"&amp;ROUNDUP(MONTH($B82)/3,0)</f>
        <v>Q1</v>
      </c>
      <c r="E82" s="61" t="n">
        <f aca="false">MONTH($B82)</f>
        <v>1</v>
      </c>
      <c r="F82" s="61" t="str">
        <f aca="false">INDEX(Parametros!$I$5:$I$16,$E82)</f>
        <v>Ene</v>
      </c>
      <c r="G82" s="61" t="str">
        <f aca="false">TEXT($C82,"0000")&amp;"-"&amp;TEXT($E82,"00")</f>
        <v>2024-01</v>
      </c>
      <c r="H82" s="61" t="str">
        <f aca="false">INDEX(Parametros!$C$71:$C$91,MATCH(TRIM(INDEX(Datos_Origen!$C$2:$C$2459,$Z82)),Parametros!$B$71:$B$91,0))</f>
        <v>NOA</v>
      </c>
      <c r="I82" s="61" t="str">
        <f aca="false">IF(TRIM($AD82)="",INDEX(Parametros!$I$20:$I$24,MATCH($H82,Parametros!$H$20:$H$24,0)),TRIM($AD82))</f>
        <v>Tucuman</v>
      </c>
      <c r="J82" s="61" t="str">
        <f aca="false">INDEX(Parametros!$C$95:$C$106,MATCH(TRIM(INDEX(Datos_Origen!$E$2:$E$2459,$Z82)),Parametros!$B$95:$B$106,0))</f>
        <v>Tienda fisica</v>
      </c>
      <c r="K82" s="61" t="str">
        <f aca="false">INDEX(Parametros!$C$48:$C$67,MATCH(TRIM(INDEX(Datos_Origen!$F$2:$F$2459,$Z82)),Parametros!$B$48:$B$67,0))</f>
        <v>Computacion</v>
      </c>
      <c r="L82" s="61" t="str">
        <f aca="false">$K82&amp;" "&amp;$C82</f>
        <v>Computacion 2024</v>
      </c>
      <c r="M82" s="61" t="str">
        <f aca="false">TRIM(INDEX(Datos_Origen!$G$2:$G$2459,$Z82))</f>
        <v>Laptop Pro 15</v>
      </c>
      <c r="N82" s="61" t="str">
        <f aca="false">$M82&amp;" "&amp;$C82</f>
        <v>Laptop Pro 15 2024</v>
      </c>
      <c r="O82" s="63" t="n">
        <f aca="false">IF(ISTEXT($AC82),VALUE($AC82),$AC82)</f>
        <v>6</v>
      </c>
      <c r="P82" s="64" t="n">
        <f aca="false">INDEX(Datos_Origen!$I$2:$I$2459,$Z82)</f>
        <v>1176</v>
      </c>
      <c r="Q82" s="64" t="n">
        <f aca="false">INDEX(Datos_Origen!$J$2:$J$2459,$Z82)</f>
        <v>744</v>
      </c>
      <c r="R82" s="65" t="n">
        <f aca="false">ROUND($O82*$P82,2)</f>
        <v>7056</v>
      </c>
      <c r="S82" s="65" t="n">
        <f aca="false">ROUND($O82*$Q82,2)</f>
        <v>4464</v>
      </c>
      <c r="T82" s="65" t="n">
        <f aca="false">ROUND($R82*SUMIFS(Parametros!$E$28:$E$43,Parametros!$B$28:$B$43,$J82,Parametros!$C$28:$C$43,$C82,Parametros!$D$28:$D$43,$D82),2)</f>
        <v>84.67</v>
      </c>
      <c r="U82" s="65" t="n">
        <f aca="false">$R82-$S82-$T82</f>
        <v>2507.33</v>
      </c>
      <c r="V82" s="66" t="n">
        <f aca="false">IFERROR($U82/$R82,0)</f>
        <v>0.355347222222222</v>
      </c>
      <c r="W82" s="67" t="str">
        <f aca="false">IF(AND($V82&gt;=Parametros!$C$8,$R82&gt;=Parametros!$C$12),"Alta rentabilidad",IF(OR($V82&lt;Parametros!$C$11,$R82&lt;Parametros!$C$13),"Revisar","Estandar"))</f>
        <v>Alta rentabilidad</v>
      </c>
      <c r="X82" s="67" t="str">
        <f aca="false">IF(AND($J82="E-commerce",IFERROR($T82/$R82,0)&gt;Parametros!$C$14),"Alerta","OK")</f>
        <v>OK</v>
      </c>
      <c r="Y82" s="61" t="str">
        <f aca="false">IF($R82&gt;=Parametros!$C$12,"Alto",IF($R82&lt;Parametros!$C$13,"Bajo","Medio"))</f>
        <v>Alto</v>
      </c>
      <c r="Z82" s="61" t="n">
        <v>1332</v>
      </c>
      <c r="AA82" s="61" t="str">
        <f aca="false">IF(MATCH($A82,Datos_Origen!$A$2:$A$2459,0)=$Z82,"OK","REVISAR")</f>
        <v>OK</v>
      </c>
      <c r="AB82" s="61" t="str">
        <f aca="false">INDEX(Datos_Origen!$B$2:$B$2459,$Z82)</f>
        <v>2024-01-01</v>
      </c>
      <c r="AC82" s="61" t="n">
        <f aca="false">INDEX(Datos_Origen!$H$2:$H$2459,$Z82)</f>
        <v>6</v>
      </c>
      <c r="AD82" s="61" t="str">
        <f aca="false">INDEX(Datos_Origen!$D$2:$D$2459,$Z82)&amp;""</f>
        <v>Tucuman</v>
      </c>
    </row>
    <row r="83" customFormat="false" ht="15" hidden="false" customHeight="false" outlineLevel="0" collapsed="false">
      <c r="A83" s="61" t="n">
        <f aca="false">INDEX(Datos_Origen!$A$2:$A$2459,$Z83)</f>
        <v>82</v>
      </c>
      <c r="B83" s="62" t="n">
        <f aca="false">IF(ISNUMBER($AB83),$AB83,IF(MID($AB83,5,1)="-",DATE(VALUE(LEFT($AB83,4)),VALUE(MID($AB83,6,2)),VALUE(RIGHT($AB83,2))),DATE(VALUE(RIGHT($AB83,4)),VALUE(MID($AB83,4,2)),VALUE(LEFT($AB83,2)))))</f>
        <v>45299</v>
      </c>
      <c r="C83" s="61" t="n">
        <f aca="false">YEAR($B83)</f>
        <v>2024</v>
      </c>
      <c r="D83" s="61" t="str">
        <f aca="false">"Q"&amp;ROUNDUP(MONTH($B83)/3,0)</f>
        <v>Q1</v>
      </c>
      <c r="E83" s="61" t="n">
        <f aca="false">MONTH($B83)</f>
        <v>1</v>
      </c>
      <c r="F83" s="61" t="str">
        <f aca="false">INDEX(Parametros!$I$5:$I$16,$E83)</f>
        <v>Ene</v>
      </c>
      <c r="G83" s="61" t="str">
        <f aca="false">TEXT($C83,"0000")&amp;"-"&amp;TEXT($E83,"00")</f>
        <v>2024-01</v>
      </c>
      <c r="H83" s="61" t="str">
        <f aca="false">INDEX(Parametros!$C$71:$C$91,MATCH(TRIM(INDEX(Datos_Origen!$C$2:$C$2459,$Z83)),Parametros!$B$71:$B$91,0))</f>
        <v>NOA</v>
      </c>
      <c r="I83" s="61" t="str">
        <f aca="false">IF(TRIM($AD83)="",INDEX(Parametros!$I$20:$I$24,MATCH($H83,Parametros!$H$20:$H$24,0)),TRIM($AD83))</f>
        <v>Tucuman</v>
      </c>
      <c r="J83" s="61" t="str">
        <f aca="false">INDEX(Parametros!$C$95:$C$106,MATCH(TRIM(INDEX(Datos_Origen!$E$2:$E$2459,$Z83)),Parametros!$B$95:$B$106,0))</f>
        <v>E-commerce</v>
      </c>
      <c r="K83" s="61" t="str">
        <f aca="false">INDEX(Parametros!$C$48:$C$67,MATCH(TRIM(INDEX(Datos_Origen!$F$2:$F$2459,$Z83)),Parametros!$B$48:$B$67,0))</f>
        <v>Computacion</v>
      </c>
      <c r="L83" s="61" t="str">
        <f aca="false">$K83&amp;" "&amp;$C83</f>
        <v>Computacion 2024</v>
      </c>
      <c r="M83" s="61" t="str">
        <f aca="false">TRIM(INDEX(Datos_Origen!$G$2:$G$2459,$Z83))</f>
        <v>Laptop Pro 15</v>
      </c>
      <c r="N83" s="61" t="str">
        <f aca="false">$M83&amp;" "&amp;$C83</f>
        <v>Laptop Pro 15 2024</v>
      </c>
      <c r="O83" s="63" t="n">
        <f aca="false">IF(ISTEXT($AC83),VALUE($AC83),$AC83)</f>
        <v>2</v>
      </c>
      <c r="P83" s="64" t="n">
        <f aca="false">INDEX(Datos_Origen!$I$2:$I$2459,$Z83)</f>
        <v>1176</v>
      </c>
      <c r="Q83" s="64" t="n">
        <f aca="false">INDEX(Datos_Origen!$J$2:$J$2459,$Z83)</f>
        <v>744</v>
      </c>
      <c r="R83" s="65" t="n">
        <f aca="false">ROUND($O83*$P83,2)</f>
        <v>2352</v>
      </c>
      <c r="S83" s="65" t="n">
        <f aca="false">ROUND($O83*$Q83,2)</f>
        <v>1488</v>
      </c>
      <c r="T83" s="65" t="n">
        <f aca="false">ROUND($R83*SUMIFS(Parametros!$E$28:$E$43,Parametros!$B$28:$B$43,$J83,Parametros!$C$28:$C$43,$C83,Parametros!$D$28:$D$43,$D83),2)</f>
        <v>98.78</v>
      </c>
      <c r="U83" s="65" t="n">
        <f aca="false">$R83-$S83-$T83</f>
        <v>765.22</v>
      </c>
      <c r="V83" s="66" t="n">
        <f aca="false">IFERROR($U83/$R83,0)</f>
        <v>0.325348639455782</v>
      </c>
      <c r="W83" s="67" t="str">
        <f aca="false">IF(AND($V83&gt;=Parametros!$C$8,$R83&gt;=Parametros!$C$12),"Alta rentabilidad",IF(OR($V83&lt;Parametros!$C$11,$R83&lt;Parametros!$C$13),"Revisar","Estandar"))</f>
        <v>Estandar</v>
      </c>
      <c r="X83" s="67" t="str">
        <f aca="false">IF(AND($J83="E-commerce",IFERROR($T83/$R83,0)&gt;Parametros!$C$14),"Alerta","OK")</f>
        <v>OK</v>
      </c>
      <c r="Y83" s="61" t="str">
        <f aca="false">IF($R83&gt;=Parametros!$C$12,"Alto",IF($R83&lt;Parametros!$C$13,"Bajo","Medio"))</f>
        <v>Medio</v>
      </c>
      <c r="Z83" s="61" t="n">
        <v>1588</v>
      </c>
      <c r="AA83" s="61" t="str">
        <f aca="false">IF(MATCH($A83,Datos_Origen!$A$2:$A$2459,0)=$Z83,"OK","REVISAR")</f>
        <v>OK</v>
      </c>
      <c r="AB83" s="61" t="str">
        <f aca="false">INDEX(Datos_Origen!$B$2:$B$2459,$Z83)</f>
        <v>08/01/2024</v>
      </c>
      <c r="AC83" s="61" t="str">
        <f aca="false">INDEX(Datos_Origen!$H$2:$H$2459,$Z83)</f>
        <v>2</v>
      </c>
      <c r="AD83" s="61" t="str">
        <f aca="false">INDEX(Datos_Origen!$D$2:$D$2459,$Z83)&amp;""</f>
        <v>Tucuman</v>
      </c>
    </row>
    <row r="84" customFormat="false" ht="15" hidden="false" customHeight="false" outlineLevel="0" collapsed="false">
      <c r="A84" s="61" t="n">
        <f aca="false">INDEX(Datos_Origen!$A$2:$A$2459,$Z84)</f>
        <v>83</v>
      </c>
      <c r="B84" s="62" t="n">
        <f aca="false">IF(ISNUMBER($AB84),$AB84,IF(MID($AB84,5,1)="-",DATE(VALUE(LEFT($AB84,4)),VALUE(MID($AB84,6,2)),VALUE(RIGHT($AB84,2))),DATE(VALUE(RIGHT($AB84,4)),VALUE(MID($AB84,4,2)),VALUE(LEFT($AB84,2)))))</f>
        <v>45306</v>
      </c>
      <c r="C84" s="61" t="n">
        <f aca="false">YEAR($B84)</f>
        <v>2024</v>
      </c>
      <c r="D84" s="61" t="str">
        <f aca="false">"Q"&amp;ROUNDUP(MONTH($B84)/3,0)</f>
        <v>Q1</v>
      </c>
      <c r="E84" s="61" t="n">
        <f aca="false">MONTH($B84)</f>
        <v>1</v>
      </c>
      <c r="F84" s="61" t="str">
        <f aca="false">INDEX(Parametros!$I$5:$I$16,$E84)</f>
        <v>Ene</v>
      </c>
      <c r="G84" s="61" t="str">
        <f aca="false">TEXT($C84,"0000")&amp;"-"&amp;TEXT($E84,"00")</f>
        <v>2024-01</v>
      </c>
      <c r="H84" s="61" t="str">
        <f aca="false">INDEX(Parametros!$C$71:$C$91,MATCH(TRIM(INDEX(Datos_Origen!$C$2:$C$2459,$Z84)),Parametros!$B$71:$B$91,0))</f>
        <v>NOA</v>
      </c>
      <c r="I84" s="61" t="str">
        <f aca="false">IF(TRIM($AD84)="",INDEX(Parametros!$I$20:$I$24,MATCH($H84,Parametros!$H$20:$H$24,0)),TRIM($AD84))</f>
        <v>Tucuman</v>
      </c>
      <c r="J84" s="61" t="str">
        <f aca="false">INDEX(Parametros!$C$95:$C$106,MATCH(TRIM(INDEX(Datos_Origen!$E$2:$E$2459,$Z84)),Parametros!$B$95:$B$106,0))</f>
        <v>Tienda fisica</v>
      </c>
      <c r="K84" s="61" t="str">
        <f aca="false">INDEX(Parametros!$C$48:$C$67,MATCH(TRIM(INDEX(Datos_Origen!$F$2:$F$2459,$Z84)),Parametros!$B$48:$B$67,0))</f>
        <v>Computacion</v>
      </c>
      <c r="L84" s="61" t="str">
        <f aca="false">$K84&amp;" "&amp;$C84</f>
        <v>Computacion 2024</v>
      </c>
      <c r="M84" s="61" t="str">
        <f aca="false">TRIM(INDEX(Datos_Origen!$G$2:$G$2459,$Z84))</f>
        <v>Monitor 4K 27</v>
      </c>
      <c r="N84" s="61" t="str">
        <f aca="false">$M84&amp;" "&amp;$C84</f>
        <v>Monitor 4K 27 2024</v>
      </c>
      <c r="O84" s="63" t="n">
        <f aca="false">IF(ISTEXT($AC84),VALUE($AC84),$AC84)</f>
        <v>5</v>
      </c>
      <c r="P84" s="64" t="n">
        <f aca="false">INDEX(Datos_Origen!$I$2:$I$2459,$Z84)</f>
        <v>441</v>
      </c>
      <c r="Q84" s="64" t="n">
        <f aca="false">INDEX(Datos_Origen!$J$2:$J$2459,$Z84)</f>
        <v>272.25</v>
      </c>
      <c r="R84" s="65" t="n">
        <f aca="false">ROUND($O84*$P84,2)</f>
        <v>2205</v>
      </c>
      <c r="S84" s="65" t="n">
        <f aca="false">ROUND($O84*$Q84,2)</f>
        <v>1361.25</v>
      </c>
      <c r="T84" s="65" t="n">
        <f aca="false">ROUND($R84*SUMIFS(Parametros!$E$28:$E$43,Parametros!$B$28:$B$43,$J84,Parametros!$C$28:$C$43,$C84,Parametros!$D$28:$D$43,$D84),2)</f>
        <v>26.46</v>
      </c>
      <c r="U84" s="65" t="n">
        <f aca="false">$R84-$S84-$T84</f>
        <v>817.29</v>
      </c>
      <c r="V84" s="66" t="n">
        <f aca="false">IFERROR($U84/$R84,0)</f>
        <v>0.37065306122449</v>
      </c>
      <c r="W84" s="67" t="str">
        <f aca="false">IF(AND($V84&gt;=Parametros!$C$8,$R84&gt;=Parametros!$C$12),"Alta rentabilidad",IF(OR($V84&lt;Parametros!$C$11,$R84&lt;Parametros!$C$13),"Revisar","Estandar"))</f>
        <v>Estandar</v>
      </c>
      <c r="X84" s="67" t="str">
        <f aca="false">IF(AND($J84="E-commerce",IFERROR($T84/$R84,0)&gt;Parametros!$C$14),"Alerta","OK")</f>
        <v>OK</v>
      </c>
      <c r="Y84" s="61" t="str">
        <f aca="false">IF($R84&gt;=Parametros!$C$12,"Alto",IF($R84&lt;Parametros!$C$13,"Bajo","Medio"))</f>
        <v>Medio</v>
      </c>
      <c r="Z84" s="61" t="n">
        <v>2314</v>
      </c>
      <c r="AA84" s="61" t="str">
        <f aca="false">IF(MATCH($A84,Datos_Origen!$A$2:$A$2459,0)=$Z84,"OK","REVISAR")</f>
        <v>OK</v>
      </c>
      <c r="AB84" s="61" t="str">
        <f aca="false">INDEX(Datos_Origen!$B$2:$B$2459,$Z84)</f>
        <v>2024-01-15</v>
      </c>
      <c r="AC84" s="61" t="n">
        <f aca="false">INDEX(Datos_Origen!$H$2:$H$2459,$Z84)</f>
        <v>5</v>
      </c>
      <c r="AD84" s="61" t="str">
        <f aca="false">INDEX(Datos_Origen!$D$2:$D$2459,$Z84)&amp;""</f>
        <v>Tucuman</v>
      </c>
    </row>
    <row r="85" customFormat="false" ht="15" hidden="false" customHeight="false" outlineLevel="0" collapsed="false">
      <c r="A85" s="61" t="n">
        <f aca="false">INDEX(Datos_Origen!$A$2:$A$2459,$Z85)</f>
        <v>84</v>
      </c>
      <c r="B85" s="62" t="n">
        <f aca="false">IF(ISNUMBER($AB85),$AB85,IF(MID($AB85,5,1)="-",DATE(VALUE(LEFT($AB85,4)),VALUE(MID($AB85,6,2)),VALUE(RIGHT($AB85,2))),DATE(VALUE(RIGHT($AB85,4)),VALUE(MID($AB85,4,2)),VALUE(LEFT($AB85,2)))))</f>
        <v>45313</v>
      </c>
      <c r="C85" s="61" t="n">
        <f aca="false">YEAR($B85)</f>
        <v>2024</v>
      </c>
      <c r="D85" s="61" t="str">
        <f aca="false">"Q"&amp;ROUNDUP(MONTH($B85)/3,0)</f>
        <v>Q1</v>
      </c>
      <c r="E85" s="61" t="n">
        <f aca="false">MONTH($B85)</f>
        <v>1</v>
      </c>
      <c r="F85" s="61" t="str">
        <f aca="false">INDEX(Parametros!$I$5:$I$16,$E85)</f>
        <v>Ene</v>
      </c>
      <c r="G85" s="61" t="str">
        <f aca="false">TEXT($C85,"0000")&amp;"-"&amp;TEXT($E85,"00")</f>
        <v>2024-01</v>
      </c>
      <c r="H85" s="61" t="str">
        <f aca="false">INDEX(Parametros!$C$71:$C$91,MATCH(TRIM(INDEX(Datos_Origen!$C$2:$C$2459,$Z85)),Parametros!$B$71:$B$91,0))</f>
        <v>NOA</v>
      </c>
      <c r="I85" s="61" t="str">
        <f aca="false">IF(TRIM($AD85)="",INDEX(Parametros!$I$20:$I$24,MATCH($H85,Parametros!$H$20:$H$24,0)),TRIM($AD85))</f>
        <v>Tucuman</v>
      </c>
      <c r="J85" s="61" t="str">
        <f aca="false">INDEX(Parametros!$C$95:$C$106,MATCH(TRIM(INDEX(Datos_Origen!$E$2:$E$2459,$Z85)),Parametros!$B$95:$B$106,0))</f>
        <v>E-commerce</v>
      </c>
      <c r="K85" s="61" t="str">
        <f aca="false">INDEX(Parametros!$C$48:$C$67,MATCH(TRIM(INDEX(Datos_Origen!$F$2:$F$2459,$Z85)),Parametros!$B$48:$B$67,0))</f>
        <v>Computacion</v>
      </c>
      <c r="L85" s="61" t="str">
        <f aca="false">$K85&amp;" "&amp;$C85</f>
        <v>Computacion 2024</v>
      </c>
      <c r="M85" s="61" t="str">
        <f aca="false">TRIM(INDEX(Datos_Origen!$G$2:$G$2459,$Z85))</f>
        <v>Monitor 4K 27</v>
      </c>
      <c r="N85" s="61" t="str">
        <f aca="false">$M85&amp;" "&amp;$C85</f>
        <v>Monitor 4K 27 2024</v>
      </c>
      <c r="O85" s="63" t="n">
        <f aca="false">IF(ISTEXT($AC85),VALUE($AC85),$AC85)</f>
        <v>2</v>
      </c>
      <c r="P85" s="64" t="n">
        <f aca="false">INDEX(Datos_Origen!$I$2:$I$2459,$Z85)</f>
        <v>441</v>
      </c>
      <c r="Q85" s="64" t="n">
        <f aca="false">INDEX(Datos_Origen!$J$2:$J$2459,$Z85)</f>
        <v>272.25</v>
      </c>
      <c r="R85" s="65" t="n">
        <f aca="false">ROUND($O85*$P85,2)</f>
        <v>882</v>
      </c>
      <c r="S85" s="65" t="n">
        <f aca="false">ROUND($O85*$Q85,2)</f>
        <v>544.5</v>
      </c>
      <c r="T85" s="65" t="n">
        <f aca="false">ROUND($R85*SUMIFS(Parametros!$E$28:$E$43,Parametros!$B$28:$B$43,$J85,Parametros!$C$28:$C$43,$C85,Parametros!$D$28:$D$43,$D85),2)</f>
        <v>37.04</v>
      </c>
      <c r="U85" s="65" t="n">
        <f aca="false">$R85-$S85-$T85</f>
        <v>300.46</v>
      </c>
      <c r="V85" s="66" t="n">
        <f aca="false">IFERROR($U85/$R85,0)</f>
        <v>0.340657596371882</v>
      </c>
      <c r="W85" s="67" t="str">
        <f aca="false">IF(AND($V85&gt;=Parametros!$C$8,$R85&gt;=Parametros!$C$12),"Alta rentabilidad",IF(OR($V85&lt;Parametros!$C$11,$R85&lt;Parametros!$C$13),"Revisar","Estandar"))</f>
        <v>Estandar</v>
      </c>
      <c r="X85" s="67" t="str">
        <f aca="false">IF(AND($J85="E-commerce",IFERROR($T85/$R85,0)&gt;Parametros!$C$14),"Alerta","OK")</f>
        <v>OK</v>
      </c>
      <c r="Y85" s="61" t="str">
        <f aca="false">IF($R85&gt;=Parametros!$C$12,"Alto",IF($R85&lt;Parametros!$C$13,"Bajo","Medio"))</f>
        <v>Medio</v>
      </c>
      <c r="Z85" s="61" t="n">
        <v>1032</v>
      </c>
      <c r="AA85" s="61" t="str">
        <f aca="false">IF(MATCH($A85,Datos_Origen!$A$2:$A$2459,0)=$Z85,"OK","REVISAR")</f>
        <v>OK</v>
      </c>
      <c r="AB85" s="62" t="n">
        <f aca="false">INDEX(Datos_Origen!$B$2:$B$2459,$Z85)</f>
        <v>45313</v>
      </c>
      <c r="AC85" s="61" t="n">
        <f aca="false">INDEX(Datos_Origen!$H$2:$H$2459,$Z85)</f>
        <v>2</v>
      </c>
      <c r="AD85" s="61" t="str">
        <f aca="false">INDEX(Datos_Origen!$D$2:$D$2459,$Z85)&amp;""</f>
        <v>Tucuman</v>
      </c>
    </row>
    <row r="86" customFormat="false" ht="15" hidden="false" customHeight="false" outlineLevel="0" collapsed="false">
      <c r="A86" s="61" t="n">
        <f aca="false">INDEX(Datos_Origen!$A$2:$A$2459,$Z86)</f>
        <v>85</v>
      </c>
      <c r="B86" s="62" t="n">
        <f aca="false">IF(ISNUMBER($AB86),$AB86,IF(MID($AB86,5,1)="-",DATE(VALUE(LEFT($AB86,4)),VALUE(MID($AB86,6,2)),VALUE(RIGHT($AB86,2))),DATE(VALUE(RIGHT($AB86,4)),VALUE(MID($AB86,4,2)),VALUE(LEFT($AB86,2)))))</f>
        <v>45293</v>
      </c>
      <c r="C86" s="61" t="n">
        <f aca="false">YEAR($B86)</f>
        <v>2024</v>
      </c>
      <c r="D86" s="61" t="str">
        <f aca="false">"Q"&amp;ROUNDUP(MONTH($B86)/3,0)</f>
        <v>Q1</v>
      </c>
      <c r="E86" s="61" t="n">
        <f aca="false">MONTH($B86)</f>
        <v>1</v>
      </c>
      <c r="F86" s="61" t="str">
        <f aca="false">INDEX(Parametros!$I$5:$I$16,$E86)</f>
        <v>Ene</v>
      </c>
      <c r="G86" s="61" t="str">
        <f aca="false">TEXT($C86,"0000")&amp;"-"&amp;TEXT($E86,"00")</f>
        <v>2024-01</v>
      </c>
      <c r="H86" s="61" t="str">
        <f aca="false">INDEX(Parametros!$C$71:$C$91,MATCH(TRIM(INDEX(Datos_Origen!$C$2:$C$2459,$Z86)),Parametros!$B$71:$B$91,0))</f>
        <v>NOA</v>
      </c>
      <c r="I86" s="61" t="str">
        <f aca="false">IF(TRIM($AD86)="",INDEX(Parametros!$I$20:$I$24,MATCH($H86,Parametros!$H$20:$H$24,0)),TRIM($AD86))</f>
        <v>Tucuman</v>
      </c>
      <c r="J86" s="61" t="str">
        <f aca="false">INDEX(Parametros!$C$95:$C$106,MATCH(TRIM(INDEX(Datos_Origen!$E$2:$E$2459,$Z86)),Parametros!$B$95:$B$106,0))</f>
        <v>Tienda fisica</v>
      </c>
      <c r="K86" s="61" t="str">
        <f aca="false">INDEX(Parametros!$C$48:$C$67,MATCH(TRIM(INDEX(Datos_Origen!$F$2:$F$2459,$Z86)),Parametros!$B$48:$B$67,0))</f>
        <v>Computacion</v>
      </c>
      <c r="L86" s="61" t="str">
        <f aca="false">$K86&amp;" "&amp;$C86</f>
        <v>Computacion 2024</v>
      </c>
      <c r="M86" s="61" t="str">
        <f aca="false">TRIM(INDEX(Datos_Origen!$G$2:$G$2459,$Z86))</f>
        <v>PC Gamer Ryzen</v>
      </c>
      <c r="N86" s="61" t="str">
        <f aca="false">$M86&amp;" "&amp;$C86</f>
        <v>PC Gamer Ryzen 2024</v>
      </c>
      <c r="O86" s="63" t="n">
        <f aca="false">IF(ISTEXT($AC86),VALUE($AC86),$AC86)</f>
        <v>7</v>
      </c>
      <c r="P86" s="64" t="n">
        <f aca="false">INDEX(Datos_Origen!$I$2:$I$2459,$Z86)</f>
        <v>1617</v>
      </c>
      <c r="Q86" s="64" t="n">
        <f aca="false">INDEX(Datos_Origen!$J$2:$J$2459,$Z86)</f>
        <v>1122</v>
      </c>
      <c r="R86" s="65" t="n">
        <f aca="false">ROUND($O86*$P86,2)</f>
        <v>11319</v>
      </c>
      <c r="S86" s="65" t="n">
        <f aca="false">ROUND($O86*$Q86,2)</f>
        <v>7854</v>
      </c>
      <c r="T86" s="65" t="n">
        <f aca="false">ROUND($R86*SUMIFS(Parametros!$E$28:$E$43,Parametros!$B$28:$B$43,$J86,Parametros!$C$28:$C$43,$C86,Parametros!$D$28:$D$43,$D86),2)</f>
        <v>135.83</v>
      </c>
      <c r="U86" s="65" t="n">
        <f aca="false">$R86-$S86-$T86</f>
        <v>3329.17</v>
      </c>
      <c r="V86" s="66" t="n">
        <f aca="false">IFERROR($U86/$R86,0)</f>
        <v>0.294122272285538</v>
      </c>
      <c r="W86" s="67" t="str">
        <f aca="false">IF(AND($V86&gt;=Parametros!$C$8,$R86&gt;=Parametros!$C$12),"Alta rentabilidad",IF(OR($V86&lt;Parametros!$C$11,$R86&lt;Parametros!$C$13),"Revisar","Estandar"))</f>
        <v>Estandar</v>
      </c>
      <c r="X86" s="67" t="str">
        <f aca="false">IF(AND($J86="E-commerce",IFERROR($T86/$R86,0)&gt;Parametros!$C$14),"Alerta","OK")</f>
        <v>OK</v>
      </c>
      <c r="Y86" s="61" t="str">
        <f aca="false">IF($R86&gt;=Parametros!$C$12,"Alto",IF($R86&lt;Parametros!$C$13,"Bajo","Medio"))</f>
        <v>Alto</v>
      </c>
      <c r="Z86" s="61" t="n">
        <v>957</v>
      </c>
      <c r="AA86" s="61" t="str">
        <f aca="false">IF(MATCH($A86,Datos_Origen!$A$2:$A$2459,0)=$Z86,"OK","REVISAR")</f>
        <v>OK</v>
      </c>
      <c r="AB86" s="61" t="str">
        <f aca="false">INDEX(Datos_Origen!$B$2:$B$2459,$Z86)</f>
        <v>02/01/2024</v>
      </c>
      <c r="AC86" s="61" t="str">
        <f aca="false">INDEX(Datos_Origen!$H$2:$H$2459,$Z86)</f>
        <v>7</v>
      </c>
      <c r="AD86" s="61" t="str">
        <f aca="false">INDEX(Datos_Origen!$D$2:$D$2459,$Z86)&amp;""</f>
        <v>Tucuman</v>
      </c>
    </row>
    <row r="87" customFormat="false" ht="15" hidden="false" customHeight="false" outlineLevel="0" collapsed="false">
      <c r="A87" s="61" t="n">
        <f aca="false">INDEX(Datos_Origen!$A$2:$A$2459,$Z87)</f>
        <v>86</v>
      </c>
      <c r="B87" s="62" t="n">
        <f aca="false">IF(ISNUMBER($AB87),$AB87,IF(MID($AB87,5,1)="-",DATE(VALUE(LEFT($AB87,4)),VALUE(MID($AB87,6,2)),VALUE(RIGHT($AB87,2))),DATE(VALUE(RIGHT($AB87,4)),VALUE(MID($AB87,4,2)),VALUE(LEFT($AB87,2)))))</f>
        <v>45300</v>
      </c>
      <c r="C87" s="61" t="n">
        <f aca="false">YEAR($B87)</f>
        <v>2024</v>
      </c>
      <c r="D87" s="61" t="str">
        <f aca="false">"Q"&amp;ROUNDUP(MONTH($B87)/3,0)</f>
        <v>Q1</v>
      </c>
      <c r="E87" s="61" t="n">
        <f aca="false">MONTH($B87)</f>
        <v>1</v>
      </c>
      <c r="F87" s="61" t="str">
        <f aca="false">INDEX(Parametros!$I$5:$I$16,$E87)</f>
        <v>Ene</v>
      </c>
      <c r="G87" s="61" t="str">
        <f aca="false">TEXT($C87,"0000")&amp;"-"&amp;TEXT($E87,"00")</f>
        <v>2024-01</v>
      </c>
      <c r="H87" s="61" t="str">
        <f aca="false">INDEX(Parametros!$C$71:$C$91,MATCH(TRIM(INDEX(Datos_Origen!$C$2:$C$2459,$Z87)),Parametros!$B$71:$B$91,0))</f>
        <v>NOA</v>
      </c>
      <c r="I87" s="61" t="str">
        <f aca="false">IF(TRIM($AD87)="",INDEX(Parametros!$I$20:$I$24,MATCH($H87,Parametros!$H$20:$H$24,0)),TRIM($AD87))</f>
        <v>Tucuman</v>
      </c>
      <c r="J87" s="61" t="str">
        <f aca="false">INDEX(Parametros!$C$95:$C$106,MATCH(TRIM(INDEX(Datos_Origen!$E$2:$E$2459,$Z87)),Parametros!$B$95:$B$106,0))</f>
        <v>E-commerce</v>
      </c>
      <c r="K87" s="61" t="str">
        <f aca="false">INDEX(Parametros!$C$48:$C$67,MATCH(TRIM(INDEX(Datos_Origen!$F$2:$F$2459,$Z87)),Parametros!$B$48:$B$67,0))</f>
        <v>Computacion</v>
      </c>
      <c r="L87" s="61" t="str">
        <f aca="false">$K87&amp;" "&amp;$C87</f>
        <v>Computacion 2024</v>
      </c>
      <c r="M87" s="61" t="str">
        <f aca="false">TRIM(INDEX(Datos_Origen!$G$2:$G$2459,$Z87))</f>
        <v>PC Gamer Ryzen</v>
      </c>
      <c r="N87" s="61" t="str">
        <f aca="false">$M87&amp;" "&amp;$C87</f>
        <v>PC Gamer Ryzen 2024</v>
      </c>
      <c r="O87" s="63" t="n">
        <f aca="false">IF(ISTEXT($AC87),VALUE($AC87),$AC87)</f>
        <v>2</v>
      </c>
      <c r="P87" s="64" t="n">
        <f aca="false">INDEX(Datos_Origen!$I$2:$I$2459,$Z87)</f>
        <v>1617</v>
      </c>
      <c r="Q87" s="64" t="n">
        <f aca="false">INDEX(Datos_Origen!$J$2:$J$2459,$Z87)</f>
        <v>1122</v>
      </c>
      <c r="R87" s="65" t="n">
        <f aca="false">ROUND($O87*$P87,2)</f>
        <v>3234</v>
      </c>
      <c r="S87" s="65" t="n">
        <f aca="false">ROUND($O87*$Q87,2)</f>
        <v>2244</v>
      </c>
      <c r="T87" s="65" t="n">
        <f aca="false">ROUND($R87*SUMIFS(Parametros!$E$28:$E$43,Parametros!$B$28:$B$43,$J87,Parametros!$C$28:$C$43,$C87,Parametros!$D$28:$D$43,$D87),2)</f>
        <v>135.83</v>
      </c>
      <c r="U87" s="65" t="n">
        <f aca="false">$R87-$S87-$T87</f>
        <v>854.17</v>
      </c>
      <c r="V87" s="66" t="n">
        <f aca="false">IFERROR($U87/$R87,0)</f>
        <v>0.264121830550402</v>
      </c>
      <c r="W87" s="67" t="str">
        <f aca="false">IF(AND($V87&gt;=Parametros!$C$8,$R87&gt;=Parametros!$C$12),"Alta rentabilidad",IF(OR($V87&lt;Parametros!$C$11,$R87&lt;Parametros!$C$13),"Revisar","Estandar"))</f>
        <v>Revisar</v>
      </c>
      <c r="X87" s="67" t="str">
        <f aca="false">IF(AND($J87="E-commerce",IFERROR($T87/$R87,0)&gt;Parametros!$C$14),"Alerta","OK")</f>
        <v>OK</v>
      </c>
      <c r="Y87" s="61" t="str">
        <f aca="false">IF($R87&gt;=Parametros!$C$12,"Alto",IF($R87&lt;Parametros!$C$13,"Bajo","Medio"))</f>
        <v>Alto</v>
      </c>
      <c r="Z87" s="61" t="n">
        <v>2383</v>
      </c>
      <c r="AA87" s="61" t="str">
        <f aca="false">IF(MATCH($A87,Datos_Origen!$A$2:$A$2459,0)=$Z87,"OK","REVISAR")</f>
        <v>OK</v>
      </c>
      <c r="AB87" s="61" t="str">
        <f aca="false">INDEX(Datos_Origen!$B$2:$B$2459,$Z87)</f>
        <v>09/01/2024</v>
      </c>
      <c r="AC87" s="61" t="n">
        <f aca="false">INDEX(Datos_Origen!$H$2:$H$2459,$Z87)</f>
        <v>2</v>
      </c>
      <c r="AD87" s="61" t="str">
        <f aca="false">INDEX(Datos_Origen!$D$2:$D$2459,$Z87)&amp;""</f>
        <v>Tucuman</v>
      </c>
    </row>
    <row r="88" customFormat="false" ht="15" hidden="false" customHeight="false" outlineLevel="0" collapsed="false">
      <c r="A88" s="61" t="n">
        <f aca="false">INDEX(Datos_Origen!$A$2:$A$2459,$Z88)</f>
        <v>87</v>
      </c>
      <c r="B88" s="62" t="n">
        <f aca="false">IF(ISNUMBER($AB88),$AB88,IF(MID($AB88,5,1)="-",DATE(VALUE(LEFT($AB88,4)),VALUE(MID($AB88,6,2)),VALUE(RIGHT($AB88,2))),DATE(VALUE(RIGHT($AB88,4)),VALUE(MID($AB88,4,2)),VALUE(LEFT($AB88,2)))))</f>
        <v>45307</v>
      </c>
      <c r="C88" s="61" t="n">
        <f aca="false">YEAR($B88)</f>
        <v>2024</v>
      </c>
      <c r="D88" s="61" t="str">
        <f aca="false">"Q"&amp;ROUNDUP(MONTH($B88)/3,0)</f>
        <v>Q1</v>
      </c>
      <c r="E88" s="61" t="n">
        <f aca="false">MONTH($B88)</f>
        <v>1</v>
      </c>
      <c r="F88" s="61" t="str">
        <f aca="false">INDEX(Parametros!$I$5:$I$16,$E88)</f>
        <v>Ene</v>
      </c>
      <c r="G88" s="61" t="str">
        <f aca="false">TEXT($C88,"0000")&amp;"-"&amp;TEXT($E88,"00")</f>
        <v>2024-01</v>
      </c>
      <c r="H88" s="61" t="str">
        <f aca="false">INDEX(Parametros!$C$71:$C$91,MATCH(TRIM(INDEX(Datos_Origen!$C$2:$C$2459,$Z88)),Parametros!$B$71:$B$91,0))</f>
        <v>NOA</v>
      </c>
      <c r="I88" s="61" t="str">
        <f aca="false">IF(TRIM($AD88)="",INDEX(Parametros!$I$20:$I$24,MATCH($H88,Parametros!$H$20:$H$24,0)),TRIM($AD88))</f>
        <v>Tucuman</v>
      </c>
      <c r="J88" s="61" t="str">
        <f aca="false">INDEX(Parametros!$C$95:$C$106,MATCH(TRIM(INDEX(Datos_Origen!$E$2:$E$2459,$Z88)),Parametros!$B$95:$B$106,0))</f>
        <v>Tienda fisica</v>
      </c>
      <c r="K88" s="61" t="str">
        <f aca="false">INDEX(Parametros!$C$48:$C$67,MATCH(TRIM(INDEX(Datos_Origen!$F$2:$F$2459,$Z88)),Parametros!$B$48:$B$67,0))</f>
        <v>Accesorios</v>
      </c>
      <c r="L88" s="61" t="str">
        <f aca="false">$K88&amp;" "&amp;$C88</f>
        <v>Accesorios 2024</v>
      </c>
      <c r="M88" s="61" t="str">
        <f aca="false">TRIM(INDEX(Datos_Origen!$G$2:$G$2459,$Z88))</f>
        <v>Mouse Inalambrico</v>
      </c>
      <c r="N88" s="61" t="str">
        <f aca="false">$M88&amp;" "&amp;$C88</f>
        <v>Mouse Inalambrico 2024</v>
      </c>
      <c r="O88" s="63" t="n">
        <f aca="false">IF(ISTEXT($AC88),VALUE($AC88),$AC88)</f>
        <v>23</v>
      </c>
      <c r="P88" s="64" t="n">
        <f aca="false">INDEX(Datos_Origen!$I$2:$I$2459,$Z88)</f>
        <v>27.44</v>
      </c>
      <c r="Q88" s="64" t="n">
        <f aca="false">INDEX(Datos_Origen!$J$2:$J$2459,$Z88)</f>
        <v>13.44</v>
      </c>
      <c r="R88" s="65" t="n">
        <f aca="false">ROUND($O88*$P88,2)</f>
        <v>631.12</v>
      </c>
      <c r="S88" s="65" t="n">
        <f aca="false">ROUND($O88*$Q88,2)</f>
        <v>309.12</v>
      </c>
      <c r="T88" s="65" t="n">
        <f aca="false">ROUND($R88*SUMIFS(Parametros!$E$28:$E$43,Parametros!$B$28:$B$43,$J88,Parametros!$C$28:$C$43,$C88,Parametros!$D$28:$D$43,$D88),2)</f>
        <v>7.57</v>
      </c>
      <c r="U88" s="65" t="n">
        <f aca="false">$R88-$S88-$T88</f>
        <v>314.43</v>
      </c>
      <c r="V88" s="66" t="n">
        <f aca="false">IFERROR($U88/$R88,0)</f>
        <v>0.498209532260109</v>
      </c>
      <c r="W88" s="67" t="str">
        <f aca="false">IF(AND($V88&gt;=Parametros!$C$8,$R88&gt;=Parametros!$C$12),"Alta rentabilidad",IF(OR($V88&lt;Parametros!$C$11,$R88&lt;Parametros!$C$13),"Revisar","Estandar"))</f>
        <v>Estandar</v>
      </c>
      <c r="X88" s="67" t="str">
        <f aca="false">IF(AND($J88="E-commerce",IFERROR($T88/$R88,0)&gt;Parametros!$C$14),"Alerta","OK")</f>
        <v>OK</v>
      </c>
      <c r="Y88" s="61" t="str">
        <f aca="false">IF($R88&gt;=Parametros!$C$12,"Alto",IF($R88&lt;Parametros!$C$13,"Bajo","Medio"))</f>
        <v>Medio</v>
      </c>
      <c r="Z88" s="61" t="n">
        <v>1970</v>
      </c>
      <c r="AA88" s="61" t="str">
        <f aca="false">IF(MATCH($A88,Datos_Origen!$A$2:$A$2459,0)=$Z88,"OK","REVISAR")</f>
        <v>OK</v>
      </c>
      <c r="AB88" s="62" t="n">
        <f aca="false">INDEX(Datos_Origen!$B$2:$B$2459,$Z88)</f>
        <v>45307</v>
      </c>
      <c r="AC88" s="61" t="n">
        <f aca="false">INDEX(Datos_Origen!$H$2:$H$2459,$Z88)</f>
        <v>23</v>
      </c>
      <c r="AD88" s="61" t="str">
        <f aca="false">INDEX(Datos_Origen!$D$2:$D$2459,$Z88)&amp;""</f>
        <v>Tucuman</v>
      </c>
    </row>
    <row r="89" customFormat="false" ht="15" hidden="false" customHeight="false" outlineLevel="0" collapsed="false">
      <c r="A89" s="61" t="n">
        <f aca="false">INDEX(Datos_Origen!$A$2:$A$2459,$Z89)</f>
        <v>88</v>
      </c>
      <c r="B89" s="62" t="n">
        <f aca="false">IF(ISNUMBER($AB89),$AB89,IF(MID($AB89,5,1)="-",DATE(VALUE(LEFT($AB89,4)),VALUE(MID($AB89,6,2)),VALUE(RIGHT($AB89,2))),DATE(VALUE(RIGHT($AB89,4)),VALUE(MID($AB89,4,2)),VALUE(LEFT($AB89,2)))))</f>
        <v>45314</v>
      </c>
      <c r="C89" s="61" t="n">
        <f aca="false">YEAR($B89)</f>
        <v>2024</v>
      </c>
      <c r="D89" s="61" t="str">
        <f aca="false">"Q"&amp;ROUNDUP(MONTH($B89)/3,0)</f>
        <v>Q1</v>
      </c>
      <c r="E89" s="61" t="n">
        <f aca="false">MONTH($B89)</f>
        <v>1</v>
      </c>
      <c r="F89" s="61" t="str">
        <f aca="false">INDEX(Parametros!$I$5:$I$16,$E89)</f>
        <v>Ene</v>
      </c>
      <c r="G89" s="61" t="str">
        <f aca="false">TEXT($C89,"0000")&amp;"-"&amp;TEXT($E89,"00")</f>
        <v>2024-01</v>
      </c>
      <c r="H89" s="61" t="str">
        <f aca="false">INDEX(Parametros!$C$71:$C$91,MATCH(TRIM(INDEX(Datos_Origen!$C$2:$C$2459,$Z89)),Parametros!$B$71:$B$91,0))</f>
        <v>NOA</v>
      </c>
      <c r="I89" s="61" t="str">
        <f aca="false">IF(TRIM($AD89)="",INDEX(Parametros!$I$20:$I$24,MATCH($H89,Parametros!$H$20:$H$24,0)),TRIM($AD89))</f>
        <v>Tucuman</v>
      </c>
      <c r="J89" s="61" t="str">
        <f aca="false">INDEX(Parametros!$C$95:$C$106,MATCH(TRIM(INDEX(Datos_Origen!$E$2:$E$2459,$Z89)),Parametros!$B$95:$B$106,0))</f>
        <v>E-commerce</v>
      </c>
      <c r="K89" s="61" t="str">
        <f aca="false">INDEX(Parametros!$C$48:$C$67,MATCH(TRIM(INDEX(Datos_Origen!$F$2:$F$2459,$Z89)),Parametros!$B$48:$B$67,0))</f>
        <v>Accesorios</v>
      </c>
      <c r="L89" s="61" t="str">
        <f aca="false">$K89&amp;" "&amp;$C89</f>
        <v>Accesorios 2024</v>
      </c>
      <c r="M89" s="61" t="str">
        <f aca="false">TRIM(INDEX(Datos_Origen!$G$2:$G$2459,$Z89))</f>
        <v>Mouse Inalambrico</v>
      </c>
      <c r="N89" s="61" t="str">
        <f aca="false">$M89&amp;" "&amp;$C89</f>
        <v>Mouse Inalambrico 2024</v>
      </c>
      <c r="O89" s="63" t="n">
        <f aca="false">IF(ISTEXT($AC89),VALUE($AC89),$AC89)</f>
        <v>10</v>
      </c>
      <c r="P89" s="64" t="n">
        <f aca="false">INDEX(Datos_Origen!$I$2:$I$2459,$Z89)</f>
        <v>27.44</v>
      </c>
      <c r="Q89" s="64" t="n">
        <f aca="false">INDEX(Datos_Origen!$J$2:$J$2459,$Z89)</f>
        <v>13.44</v>
      </c>
      <c r="R89" s="65" t="n">
        <f aca="false">ROUND($O89*$P89,2)</f>
        <v>274.4</v>
      </c>
      <c r="S89" s="65" t="n">
        <f aca="false">ROUND($O89*$Q89,2)</f>
        <v>134.4</v>
      </c>
      <c r="T89" s="65" t="n">
        <f aca="false">ROUND($R89*SUMIFS(Parametros!$E$28:$E$43,Parametros!$B$28:$B$43,$J89,Parametros!$C$28:$C$43,$C89,Parametros!$D$28:$D$43,$D89),2)</f>
        <v>11.52</v>
      </c>
      <c r="U89" s="65" t="n">
        <f aca="false">$R89-$S89-$T89</f>
        <v>128.48</v>
      </c>
      <c r="V89" s="66" t="n">
        <f aca="false">IFERROR($U89/$R89,0)</f>
        <v>0.468221574344023</v>
      </c>
      <c r="W89" s="67" t="str">
        <f aca="false">IF(AND($V89&gt;=Parametros!$C$8,$R89&gt;=Parametros!$C$12),"Alta rentabilidad",IF(OR($V89&lt;Parametros!$C$11,$R89&lt;Parametros!$C$13),"Revisar","Estandar"))</f>
        <v>Revisar</v>
      </c>
      <c r="X89" s="67" t="str">
        <f aca="false">IF(AND($J89="E-commerce",IFERROR($T89/$R89,0)&gt;Parametros!$C$14),"Alerta","OK")</f>
        <v>OK</v>
      </c>
      <c r="Y89" s="61" t="str">
        <f aca="false">IF($R89&gt;=Parametros!$C$12,"Alto",IF($R89&lt;Parametros!$C$13,"Bajo","Medio"))</f>
        <v>Bajo</v>
      </c>
      <c r="Z89" s="61" t="n">
        <v>1150</v>
      </c>
      <c r="AA89" s="61" t="str">
        <f aca="false">IF(MATCH($A89,Datos_Origen!$A$2:$A$2459,0)=$Z89,"OK","REVISAR")</f>
        <v>OK</v>
      </c>
      <c r="AB89" s="62" t="n">
        <f aca="false">INDEX(Datos_Origen!$B$2:$B$2459,$Z89)</f>
        <v>45314</v>
      </c>
      <c r="AC89" s="61" t="n">
        <f aca="false">INDEX(Datos_Origen!$H$2:$H$2459,$Z89)</f>
        <v>10</v>
      </c>
      <c r="AD89" s="61" t="str">
        <f aca="false">INDEX(Datos_Origen!$D$2:$D$2459,$Z89)&amp;""</f>
        <v>Tucuman</v>
      </c>
    </row>
    <row r="90" customFormat="false" ht="15" hidden="false" customHeight="false" outlineLevel="0" collapsed="false">
      <c r="A90" s="61" t="n">
        <f aca="false">INDEX(Datos_Origen!$A$2:$A$2459,$Z90)</f>
        <v>89</v>
      </c>
      <c r="B90" s="62" t="n">
        <f aca="false">IF(ISNUMBER($AB90),$AB90,IF(MID($AB90,5,1)="-",DATE(VALUE(LEFT($AB90,4)),VALUE(MID($AB90,6,2)),VALUE(RIGHT($AB90,2))),DATE(VALUE(RIGHT($AB90,4)),VALUE(MID($AB90,4,2)),VALUE(LEFT($AB90,2)))))</f>
        <v>45294</v>
      </c>
      <c r="C90" s="61" t="n">
        <f aca="false">YEAR($B90)</f>
        <v>2024</v>
      </c>
      <c r="D90" s="61" t="str">
        <f aca="false">"Q"&amp;ROUNDUP(MONTH($B90)/3,0)</f>
        <v>Q1</v>
      </c>
      <c r="E90" s="61" t="n">
        <f aca="false">MONTH($B90)</f>
        <v>1</v>
      </c>
      <c r="F90" s="61" t="str">
        <f aca="false">INDEX(Parametros!$I$5:$I$16,$E90)</f>
        <v>Ene</v>
      </c>
      <c r="G90" s="61" t="str">
        <f aca="false">TEXT($C90,"0000")&amp;"-"&amp;TEXT($E90,"00")</f>
        <v>2024-01</v>
      </c>
      <c r="H90" s="61" t="str">
        <f aca="false">INDEX(Parametros!$C$71:$C$91,MATCH(TRIM(INDEX(Datos_Origen!$C$2:$C$2459,$Z90)),Parametros!$B$71:$B$91,0))</f>
        <v>NOA</v>
      </c>
      <c r="I90" s="61" t="str">
        <f aca="false">IF(TRIM($AD90)="",INDEX(Parametros!$I$20:$I$24,MATCH($H90,Parametros!$H$20:$H$24,0)),TRIM($AD90))</f>
        <v>Tucuman</v>
      </c>
      <c r="J90" s="61" t="str">
        <f aca="false">INDEX(Parametros!$C$95:$C$106,MATCH(TRIM(INDEX(Datos_Origen!$E$2:$E$2459,$Z90)),Parametros!$B$95:$B$106,0))</f>
        <v>Tienda fisica</v>
      </c>
      <c r="K90" s="61" t="str">
        <f aca="false">INDEX(Parametros!$C$48:$C$67,MATCH(TRIM(INDEX(Datos_Origen!$F$2:$F$2459,$Z90)),Parametros!$B$48:$B$67,0))</f>
        <v>Accesorios</v>
      </c>
      <c r="L90" s="61" t="str">
        <f aca="false">$K90&amp;" "&amp;$C90</f>
        <v>Accesorios 2024</v>
      </c>
      <c r="M90" s="61" t="str">
        <f aca="false">TRIM(INDEX(Datos_Origen!$G$2:$G$2459,$Z90))</f>
        <v>Teclado Mecanico</v>
      </c>
      <c r="N90" s="61" t="str">
        <f aca="false">$M90&amp;" "&amp;$C90</f>
        <v>Teclado Mecanico 2024</v>
      </c>
      <c r="O90" s="63" t="n">
        <f aca="false">IF(ISTEXT($AC90),VALUE($AC90),$AC90)</f>
        <v>29</v>
      </c>
      <c r="P90" s="64" t="n">
        <f aca="false">INDEX(Datos_Origen!$I$2:$I$2459,$Z90)</f>
        <v>93.1</v>
      </c>
      <c r="Q90" s="64" t="n">
        <f aca="false">INDEX(Datos_Origen!$J$2:$J$2459,$Z90)</f>
        <v>47.98</v>
      </c>
      <c r="R90" s="65" t="n">
        <f aca="false">ROUND($O90*$P90,2)</f>
        <v>2699.9</v>
      </c>
      <c r="S90" s="65" t="n">
        <f aca="false">ROUND($O90*$Q90,2)</f>
        <v>1391.42</v>
      </c>
      <c r="T90" s="65" t="n">
        <f aca="false">ROUND($R90*SUMIFS(Parametros!$E$28:$E$43,Parametros!$B$28:$B$43,$J90,Parametros!$C$28:$C$43,$C90,Parametros!$D$28:$D$43,$D90),2)</f>
        <v>32.4</v>
      </c>
      <c r="U90" s="65" t="n">
        <f aca="false">$R90-$S90-$T90</f>
        <v>1276.08</v>
      </c>
      <c r="V90" s="66" t="n">
        <f aca="false">IFERROR($U90/$R90,0)</f>
        <v>0.472639727397311</v>
      </c>
      <c r="W90" s="67" t="str">
        <f aca="false">IF(AND($V90&gt;=Parametros!$C$8,$R90&gt;=Parametros!$C$12),"Alta rentabilidad",IF(OR($V90&lt;Parametros!$C$11,$R90&lt;Parametros!$C$13),"Revisar","Estandar"))</f>
        <v>Estandar</v>
      </c>
      <c r="X90" s="67" t="str">
        <f aca="false">IF(AND($J90="E-commerce",IFERROR($T90/$R90,0)&gt;Parametros!$C$14),"Alerta","OK")</f>
        <v>OK</v>
      </c>
      <c r="Y90" s="61" t="str">
        <f aca="false">IF($R90&gt;=Parametros!$C$12,"Alto",IF($R90&lt;Parametros!$C$13,"Bajo","Medio"))</f>
        <v>Medio</v>
      </c>
      <c r="Z90" s="61" t="n">
        <v>921</v>
      </c>
      <c r="AA90" s="61" t="str">
        <f aca="false">IF(MATCH($A90,Datos_Origen!$A$2:$A$2459,0)=$Z90,"OK","REVISAR")</f>
        <v>OK</v>
      </c>
      <c r="AB90" s="62" t="n">
        <f aca="false">INDEX(Datos_Origen!$B$2:$B$2459,$Z90)</f>
        <v>45294</v>
      </c>
      <c r="AC90" s="61" t="n">
        <f aca="false">INDEX(Datos_Origen!$H$2:$H$2459,$Z90)</f>
        <v>29</v>
      </c>
      <c r="AD90" s="61" t="str">
        <f aca="false">INDEX(Datos_Origen!$D$2:$D$2459,$Z90)&amp;""</f>
        <v>Tucuman</v>
      </c>
    </row>
    <row r="91" customFormat="false" ht="15" hidden="false" customHeight="false" outlineLevel="0" collapsed="false">
      <c r="A91" s="61" t="n">
        <f aca="false">INDEX(Datos_Origen!$A$2:$A$2459,$Z91)</f>
        <v>90</v>
      </c>
      <c r="B91" s="62" t="n">
        <f aca="false">IF(ISNUMBER($AB91),$AB91,IF(MID($AB91,5,1)="-",DATE(VALUE(LEFT($AB91,4)),VALUE(MID($AB91,6,2)),VALUE(RIGHT($AB91,2))),DATE(VALUE(RIGHT($AB91,4)),VALUE(MID($AB91,4,2)),VALUE(LEFT($AB91,2)))))</f>
        <v>45301</v>
      </c>
      <c r="C91" s="61" t="n">
        <f aca="false">YEAR($B91)</f>
        <v>2024</v>
      </c>
      <c r="D91" s="61" t="str">
        <f aca="false">"Q"&amp;ROUNDUP(MONTH($B91)/3,0)</f>
        <v>Q1</v>
      </c>
      <c r="E91" s="61" t="n">
        <f aca="false">MONTH($B91)</f>
        <v>1</v>
      </c>
      <c r="F91" s="61" t="str">
        <f aca="false">INDEX(Parametros!$I$5:$I$16,$E91)</f>
        <v>Ene</v>
      </c>
      <c r="G91" s="61" t="str">
        <f aca="false">TEXT($C91,"0000")&amp;"-"&amp;TEXT($E91,"00")</f>
        <v>2024-01</v>
      </c>
      <c r="H91" s="61" t="str">
        <f aca="false">INDEX(Parametros!$C$71:$C$91,MATCH(TRIM(INDEX(Datos_Origen!$C$2:$C$2459,$Z91)),Parametros!$B$71:$B$91,0))</f>
        <v>NOA</v>
      </c>
      <c r="I91" s="61" t="str">
        <f aca="false">IF(TRIM($AD91)="",INDEX(Parametros!$I$20:$I$24,MATCH($H91,Parametros!$H$20:$H$24,0)),TRIM($AD91))</f>
        <v>Tucuman</v>
      </c>
      <c r="J91" s="61" t="str">
        <f aca="false">INDEX(Parametros!$C$95:$C$106,MATCH(TRIM(INDEX(Datos_Origen!$E$2:$E$2459,$Z91)),Parametros!$B$95:$B$106,0))</f>
        <v>E-commerce</v>
      </c>
      <c r="K91" s="61" t="str">
        <f aca="false">INDEX(Parametros!$C$48:$C$67,MATCH(TRIM(INDEX(Datos_Origen!$F$2:$F$2459,$Z91)),Parametros!$B$48:$B$67,0))</f>
        <v>Accesorios</v>
      </c>
      <c r="L91" s="61" t="str">
        <f aca="false">$K91&amp;" "&amp;$C91</f>
        <v>Accesorios 2024</v>
      </c>
      <c r="M91" s="61" t="str">
        <f aca="false">TRIM(INDEX(Datos_Origen!$G$2:$G$2459,$Z91))</f>
        <v>Teclado Mecanico</v>
      </c>
      <c r="N91" s="61" t="str">
        <f aca="false">$M91&amp;" "&amp;$C91</f>
        <v>Teclado Mecanico 2024</v>
      </c>
      <c r="O91" s="63" t="n">
        <f aca="false">IF(ISTEXT($AC91),VALUE($AC91),$AC91)</f>
        <v>10</v>
      </c>
      <c r="P91" s="64" t="n">
        <f aca="false">INDEX(Datos_Origen!$I$2:$I$2459,$Z91)</f>
        <v>93.1</v>
      </c>
      <c r="Q91" s="64" t="n">
        <f aca="false">INDEX(Datos_Origen!$J$2:$J$2459,$Z91)</f>
        <v>47.98</v>
      </c>
      <c r="R91" s="65" t="n">
        <f aca="false">ROUND($O91*$P91,2)</f>
        <v>931</v>
      </c>
      <c r="S91" s="65" t="n">
        <f aca="false">ROUND($O91*$Q91,2)</f>
        <v>479.8</v>
      </c>
      <c r="T91" s="65" t="n">
        <f aca="false">ROUND($R91*SUMIFS(Parametros!$E$28:$E$43,Parametros!$B$28:$B$43,$J91,Parametros!$C$28:$C$43,$C91,Parametros!$D$28:$D$43,$D91),2)</f>
        <v>39.1</v>
      </c>
      <c r="U91" s="65" t="n">
        <f aca="false">$R91-$S91-$T91</f>
        <v>412.1</v>
      </c>
      <c r="V91" s="66" t="n">
        <f aca="false">IFERROR($U91/$R91,0)</f>
        <v>0.442642320085929</v>
      </c>
      <c r="W91" s="67" t="str">
        <f aca="false">IF(AND($V91&gt;=Parametros!$C$8,$R91&gt;=Parametros!$C$12),"Alta rentabilidad",IF(OR($V91&lt;Parametros!$C$11,$R91&lt;Parametros!$C$13),"Revisar","Estandar"))</f>
        <v>Estandar</v>
      </c>
      <c r="X91" s="67" t="str">
        <f aca="false">IF(AND($J91="E-commerce",IFERROR($T91/$R91,0)&gt;Parametros!$C$14),"Alerta","OK")</f>
        <v>OK</v>
      </c>
      <c r="Y91" s="61" t="str">
        <f aca="false">IF($R91&gt;=Parametros!$C$12,"Alto",IF($R91&lt;Parametros!$C$13,"Bajo","Medio"))</f>
        <v>Medio</v>
      </c>
      <c r="Z91" s="61" t="n">
        <v>1645</v>
      </c>
      <c r="AA91" s="61" t="str">
        <f aca="false">IF(MATCH($A91,Datos_Origen!$A$2:$A$2459,0)=$Z91,"OK","REVISAR")</f>
        <v>OK</v>
      </c>
      <c r="AB91" s="61" t="str">
        <f aca="false">INDEX(Datos_Origen!$B$2:$B$2459,$Z91)</f>
        <v>10/01/2024</v>
      </c>
      <c r="AC91" s="61" t="n">
        <f aca="false">INDEX(Datos_Origen!$H$2:$H$2459,$Z91)</f>
        <v>10</v>
      </c>
      <c r="AD91" s="61" t="str">
        <f aca="false">INDEX(Datos_Origen!$D$2:$D$2459,$Z91)&amp;""</f>
        <v>Tucuman</v>
      </c>
    </row>
    <row r="92" customFormat="false" ht="15" hidden="false" customHeight="false" outlineLevel="0" collapsed="false">
      <c r="A92" s="61" t="n">
        <f aca="false">INDEX(Datos_Origen!$A$2:$A$2459,$Z92)</f>
        <v>91</v>
      </c>
      <c r="B92" s="62" t="n">
        <f aca="false">IF(ISNUMBER($AB92),$AB92,IF(MID($AB92,5,1)="-",DATE(VALUE(LEFT($AB92,4)),VALUE(MID($AB92,6,2)),VALUE(RIGHT($AB92,2))),DATE(VALUE(RIGHT($AB92,4)),VALUE(MID($AB92,4,2)),VALUE(LEFT($AB92,2)))))</f>
        <v>45308</v>
      </c>
      <c r="C92" s="61" t="n">
        <f aca="false">YEAR($B92)</f>
        <v>2024</v>
      </c>
      <c r="D92" s="61" t="str">
        <f aca="false">"Q"&amp;ROUNDUP(MONTH($B92)/3,0)</f>
        <v>Q1</v>
      </c>
      <c r="E92" s="61" t="n">
        <f aca="false">MONTH($B92)</f>
        <v>1</v>
      </c>
      <c r="F92" s="61" t="str">
        <f aca="false">INDEX(Parametros!$I$5:$I$16,$E92)</f>
        <v>Ene</v>
      </c>
      <c r="G92" s="61" t="str">
        <f aca="false">TEXT($C92,"0000")&amp;"-"&amp;TEXT($E92,"00")</f>
        <v>2024-01</v>
      </c>
      <c r="H92" s="61" t="str">
        <f aca="false">INDEX(Parametros!$C$71:$C$91,MATCH(TRIM(INDEX(Datos_Origen!$C$2:$C$2459,$Z92)),Parametros!$B$71:$B$91,0))</f>
        <v>NOA</v>
      </c>
      <c r="I92" s="61" t="str">
        <f aca="false">IF(TRIM($AD92)="",INDEX(Parametros!$I$20:$I$24,MATCH($H92,Parametros!$H$20:$H$24,0)),TRIM($AD92))</f>
        <v>Tucuman</v>
      </c>
      <c r="J92" s="61" t="str">
        <f aca="false">INDEX(Parametros!$C$95:$C$106,MATCH(TRIM(INDEX(Datos_Origen!$E$2:$E$2459,$Z92)),Parametros!$B$95:$B$106,0))</f>
        <v>Tienda fisica</v>
      </c>
      <c r="K92" s="61" t="str">
        <f aca="false">INDEX(Parametros!$C$48:$C$67,MATCH(TRIM(INDEX(Datos_Origen!$F$2:$F$2459,$Z92)),Parametros!$B$48:$B$67,0))</f>
        <v>Accesorios</v>
      </c>
      <c r="L92" s="61" t="str">
        <f aca="false">$K92&amp;" "&amp;$C92</f>
        <v>Accesorios 2024</v>
      </c>
      <c r="M92" s="61" t="str">
        <f aca="false">TRIM(INDEX(Datos_Origen!$G$2:$G$2459,$Z92))</f>
        <v>Webcam Full HD</v>
      </c>
      <c r="N92" s="61" t="str">
        <f aca="false">$M92&amp;" "&amp;$C92</f>
        <v>Webcam Full HD 2024</v>
      </c>
      <c r="O92" s="63" t="n">
        <f aca="false">IF(ISTEXT($AC92),VALUE($AC92),$AC92)</f>
        <v>25</v>
      </c>
      <c r="P92" s="64" t="n">
        <f aca="false">INDEX(Datos_Origen!$I$2:$I$2459,$Z92)</f>
        <v>63.7</v>
      </c>
      <c r="Q92" s="64" t="n">
        <f aca="false">INDEX(Datos_Origen!$J$2:$J$2459,$Z92)</f>
        <v>35.43</v>
      </c>
      <c r="R92" s="65" t="n">
        <f aca="false">ROUND($O92*$P92,2)</f>
        <v>1592.5</v>
      </c>
      <c r="S92" s="65" t="n">
        <f aca="false">ROUND($O92*$Q92,2)</f>
        <v>885.75</v>
      </c>
      <c r="T92" s="65" t="n">
        <f aca="false">ROUND($R92*SUMIFS(Parametros!$E$28:$E$43,Parametros!$B$28:$B$43,$J92,Parametros!$C$28:$C$43,$C92,Parametros!$D$28:$D$43,$D92),2)</f>
        <v>19.11</v>
      </c>
      <c r="U92" s="65" t="n">
        <f aca="false">$R92-$S92-$T92</f>
        <v>687.64</v>
      </c>
      <c r="V92" s="66" t="n">
        <f aca="false">IFERROR($U92/$R92,0)</f>
        <v>0.431799058084772</v>
      </c>
      <c r="W92" s="67" t="str">
        <f aca="false">IF(AND($V92&gt;=Parametros!$C$8,$R92&gt;=Parametros!$C$12),"Alta rentabilidad",IF(OR($V92&lt;Parametros!$C$11,$R92&lt;Parametros!$C$13),"Revisar","Estandar"))</f>
        <v>Estandar</v>
      </c>
      <c r="X92" s="67" t="str">
        <f aca="false">IF(AND($J92="E-commerce",IFERROR($T92/$R92,0)&gt;Parametros!$C$14),"Alerta","OK")</f>
        <v>OK</v>
      </c>
      <c r="Y92" s="61" t="str">
        <f aca="false">IF($R92&gt;=Parametros!$C$12,"Alto",IF($R92&lt;Parametros!$C$13,"Bajo","Medio"))</f>
        <v>Medio</v>
      </c>
      <c r="Z92" s="61" t="n">
        <v>55</v>
      </c>
      <c r="AA92" s="61" t="str">
        <f aca="false">IF(MATCH($A92,Datos_Origen!$A$2:$A$2459,0)=$Z92,"OK","REVISAR")</f>
        <v>OK</v>
      </c>
      <c r="AB92" s="62" t="n">
        <f aca="false">INDEX(Datos_Origen!$B$2:$B$2459,$Z92)</f>
        <v>45308</v>
      </c>
      <c r="AC92" s="61" t="n">
        <f aca="false">INDEX(Datos_Origen!$H$2:$H$2459,$Z92)</f>
        <v>25</v>
      </c>
      <c r="AD92" s="61" t="str">
        <f aca="false">INDEX(Datos_Origen!$D$2:$D$2459,$Z92)&amp;""</f>
        <v>Tucuman</v>
      </c>
    </row>
    <row r="93" customFormat="false" ht="15" hidden="false" customHeight="false" outlineLevel="0" collapsed="false">
      <c r="A93" s="61" t="n">
        <f aca="false">INDEX(Datos_Origen!$A$2:$A$2459,$Z93)</f>
        <v>92</v>
      </c>
      <c r="B93" s="62" t="n">
        <f aca="false">IF(ISNUMBER($AB93),$AB93,IF(MID($AB93,5,1)="-",DATE(VALUE(LEFT($AB93,4)),VALUE(MID($AB93,6,2)),VALUE(RIGHT($AB93,2))),DATE(VALUE(RIGHT($AB93,4)),VALUE(MID($AB93,4,2)),VALUE(LEFT($AB93,2)))))</f>
        <v>45315</v>
      </c>
      <c r="C93" s="61" t="n">
        <f aca="false">YEAR($B93)</f>
        <v>2024</v>
      </c>
      <c r="D93" s="61" t="str">
        <f aca="false">"Q"&amp;ROUNDUP(MONTH($B93)/3,0)</f>
        <v>Q1</v>
      </c>
      <c r="E93" s="61" t="n">
        <f aca="false">MONTH($B93)</f>
        <v>1</v>
      </c>
      <c r="F93" s="61" t="str">
        <f aca="false">INDEX(Parametros!$I$5:$I$16,$E93)</f>
        <v>Ene</v>
      </c>
      <c r="G93" s="61" t="str">
        <f aca="false">TEXT($C93,"0000")&amp;"-"&amp;TEXT($E93,"00")</f>
        <v>2024-01</v>
      </c>
      <c r="H93" s="61" t="str">
        <f aca="false">INDEX(Parametros!$C$71:$C$91,MATCH(TRIM(INDEX(Datos_Origen!$C$2:$C$2459,$Z93)),Parametros!$B$71:$B$91,0))</f>
        <v>NOA</v>
      </c>
      <c r="I93" s="61" t="str">
        <f aca="false">IF(TRIM($AD93)="",INDEX(Parametros!$I$20:$I$24,MATCH($H93,Parametros!$H$20:$H$24,0)),TRIM($AD93))</f>
        <v>Tucuman</v>
      </c>
      <c r="J93" s="61" t="str">
        <f aca="false">INDEX(Parametros!$C$95:$C$106,MATCH(TRIM(INDEX(Datos_Origen!$E$2:$E$2459,$Z93)),Parametros!$B$95:$B$106,0))</f>
        <v>E-commerce</v>
      </c>
      <c r="K93" s="61" t="str">
        <f aca="false">INDEX(Parametros!$C$48:$C$67,MATCH(TRIM(INDEX(Datos_Origen!$F$2:$F$2459,$Z93)),Parametros!$B$48:$B$67,0))</f>
        <v>Accesorios</v>
      </c>
      <c r="L93" s="61" t="str">
        <f aca="false">$K93&amp;" "&amp;$C93</f>
        <v>Accesorios 2024</v>
      </c>
      <c r="M93" s="61" t="str">
        <f aca="false">TRIM(INDEX(Datos_Origen!$G$2:$G$2459,$Z93))</f>
        <v>Webcam Full HD</v>
      </c>
      <c r="N93" s="61" t="str">
        <f aca="false">$M93&amp;" "&amp;$C93</f>
        <v>Webcam Full HD 2024</v>
      </c>
      <c r="O93" s="63" t="n">
        <f aca="false">IF(ISTEXT($AC93),VALUE($AC93),$AC93)</f>
        <v>11</v>
      </c>
      <c r="P93" s="64" t="n">
        <f aca="false">INDEX(Datos_Origen!$I$2:$I$2459,$Z93)</f>
        <v>63.7</v>
      </c>
      <c r="Q93" s="64" t="n">
        <f aca="false">INDEX(Datos_Origen!$J$2:$J$2459,$Z93)</f>
        <v>35.43</v>
      </c>
      <c r="R93" s="65" t="n">
        <f aca="false">ROUND($O93*$P93,2)</f>
        <v>700.7</v>
      </c>
      <c r="S93" s="65" t="n">
        <f aca="false">ROUND($O93*$Q93,2)</f>
        <v>389.73</v>
      </c>
      <c r="T93" s="65" t="n">
        <f aca="false">ROUND($R93*SUMIFS(Parametros!$E$28:$E$43,Parametros!$B$28:$B$43,$J93,Parametros!$C$28:$C$43,$C93,Parametros!$D$28:$D$43,$D93),2)</f>
        <v>29.43</v>
      </c>
      <c r="U93" s="65" t="n">
        <f aca="false">$R93-$S93-$T93</f>
        <v>281.54</v>
      </c>
      <c r="V93" s="66" t="n">
        <f aca="false">IFERROR($U93/$R93,0)</f>
        <v>0.401798201798202</v>
      </c>
      <c r="W93" s="67" t="str">
        <f aca="false">IF(AND($V93&gt;=Parametros!$C$8,$R93&gt;=Parametros!$C$12),"Alta rentabilidad",IF(OR($V93&lt;Parametros!$C$11,$R93&lt;Parametros!$C$13),"Revisar","Estandar"))</f>
        <v>Estandar</v>
      </c>
      <c r="X93" s="67" t="str">
        <f aca="false">IF(AND($J93="E-commerce",IFERROR($T93/$R93,0)&gt;Parametros!$C$14),"Alerta","OK")</f>
        <v>OK</v>
      </c>
      <c r="Y93" s="61" t="str">
        <f aca="false">IF($R93&gt;=Parametros!$C$12,"Alto",IF($R93&lt;Parametros!$C$13,"Bajo","Medio"))</f>
        <v>Medio</v>
      </c>
      <c r="Z93" s="61" t="n">
        <v>344</v>
      </c>
      <c r="AA93" s="61" t="str">
        <f aca="false">IF(MATCH($A93,Datos_Origen!$A$2:$A$2459,0)=$Z93,"OK","REVISAR")</f>
        <v>OK</v>
      </c>
      <c r="AB93" s="62" t="n">
        <f aca="false">INDEX(Datos_Origen!$B$2:$B$2459,$Z93)</f>
        <v>45315</v>
      </c>
      <c r="AC93" s="61" t="n">
        <f aca="false">INDEX(Datos_Origen!$H$2:$H$2459,$Z93)</f>
        <v>11</v>
      </c>
      <c r="AD93" s="61" t="str">
        <f aca="false">INDEX(Datos_Origen!$D$2:$D$2459,$Z93)&amp;""</f>
        <v>Tucuman</v>
      </c>
    </row>
    <row r="94" customFormat="false" ht="15" hidden="false" customHeight="false" outlineLevel="0" collapsed="false">
      <c r="A94" s="61" t="n">
        <f aca="false">INDEX(Datos_Origen!$A$2:$A$2459,$Z94)</f>
        <v>93</v>
      </c>
      <c r="B94" s="62" t="n">
        <f aca="false">IF(ISNUMBER($AB94),$AB94,IF(MID($AB94,5,1)="-",DATE(VALUE(LEFT($AB94,4)),VALUE(MID($AB94,6,2)),VALUE(RIGHT($AB94,2))),DATE(VALUE(RIGHT($AB94,4)),VALUE(MID($AB94,4,2)),VALUE(LEFT($AB94,2)))))</f>
        <v>45295</v>
      </c>
      <c r="C94" s="61" t="n">
        <f aca="false">YEAR($B94)</f>
        <v>2024</v>
      </c>
      <c r="D94" s="61" t="str">
        <f aca="false">"Q"&amp;ROUNDUP(MONTH($B94)/3,0)</f>
        <v>Q1</v>
      </c>
      <c r="E94" s="61" t="n">
        <f aca="false">MONTH($B94)</f>
        <v>1</v>
      </c>
      <c r="F94" s="61" t="str">
        <f aca="false">INDEX(Parametros!$I$5:$I$16,$E94)</f>
        <v>Ene</v>
      </c>
      <c r="G94" s="61" t="str">
        <f aca="false">TEXT($C94,"0000")&amp;"-"&amp;TEXT($E94,"00")</f>
        <v>2024-01</v>
      </c>
      <c r="H94" s="61" t="str">
        <f aca="false">INDEX(Parametros!$C$71:$C$91,MATCH(TRIM(INDEX(Datos_Origen!$C$2:$C$2459,$Z94)),Parametros!$B$71:$B$91,0))</f>
        <v>NOA</v>
      </c>
      <c r="I94" s="61" t="str">
        <f aca="false">IF(TRIM($AD94)="",INDEX(Parametros!$I$20:$I$24,MATCH($H94,Parametros!$H$20:$H$24,0)),TRIM($AD94))</f>
        <v>Tucuman</v>
      </c>
      <c r="J94" s="61" t="str">
        <f aca="false">INDEX(Parametros!$C$95:$C$106,MATCH(TRIM(INDEX(Datos_Origen!$E$2:$E$2459,$Z94)),Parametros!$B$95:$B$106,0))</f>
        <v>Tienda fisica</v>
      </c>
      <c r="K94" s="61" t="str">
        <f aca="false">INDEX(Parametros!$C$48:$C$67,MATCH(TRIM(INDEX(Datos_Origen!$F$2:$F$2459,$Z94)),Parametros!$B$48:$B$67,0))</f>
        <v>Audio</v>
      </c>
      <c r="L94" s="61" t="str">
        <f aca="false">$K94&amp;" "&amp;$C94</f>
        <v>Audio 2024</v>
      </c>
      <c r="M94" s="61" t="str">
        <f aca="false">TRIM(INDEX(Datos_Origen!$G$2:$G$2459,$Z94))</f>
        <v>Auriculares BT Pro</v>
      </c>
      <c r="N94" s="61" t="str">
        <f aca="false">$M94&amp;" "&amp;$C94</f>
        <v>Auriculares BT Pro 2024</v>
      </c>
      <c r="O94" s="63" t="n">
        <f aca="false">IF(ISTEXT($AC94),VALUE($AC94),$AC94)</f>
        <v>12</v>
      </c>
      <c r="P94" s="64" t="n">
        <f aca="false">INDEX(Datos_Origen!$I$2:$I$2459,$Z94)</f>
        <v>117.6</v>
      </c>
      <c r="Q94" s="64" t="n">
        <f aca="false">INDEX(Datos_Origen!$J$2:$J$2459,$Z94)</f>
        <v>63.6</v>
      </c>
      <c r="R94" s="65" t="n">
        <f aca="false">ROUND($O94*$P94,2)</f>
        <v>1411.2</v>
      </c>
      <c r="S94" s="65" t="n">
        <f aca="false">ROUND($O94*$Q94,2)</f>
        <v>763.2</v>
      </c>
      <c r="T94" s="65" t="n">
        <f aca="false">ROUND($R94*SUMIFS(Parametros!$E$28:$E$43,Parametros!$B$28:$B$43,$J94,Parametros!$C$28:$C$43,$C94,Parametros!$D$28:$D$43,$D94),2)</f>
        <v>16.93</v>
      </c>
      <c r="U94" s="65" t="n">
        <f aca="false">$R94-$S94-$T94</f>
        <v>631.07</v>
      </c>
      <c r="V94" s="66" t="n">
        <f aca="false">IFERROR($U94/$R94,0)</f>
        <v>0.44718679138322</v>
      </c>
      <c r="W94" s="67" t="str">
        <f aca="false">IF(AND($V94&gt;=Parametros!$C$8,$R94&gt;=Parametros!$C$12),"Alta rentabilidad",IF(OR($V94&lt;Parametros!$C$11,$R94&lt;Parametros!$C$13),"Revisar","Estandar"))</f>
        <v>Estandar</v>
      </c>
      <c r="X94" s="67" t="str">
        <f aca="false">IF(AND($J94="E-commerce",IFERROR($T94/$R94,0)&gt;Parametros!$C$14),"Alerta","OK")</f>
        <v>OK</v>
      </c>
      <c r="Y94" s="61" t="str">
        <f aca="false">IF($R94&gt;=Parametros!$C$12,"Alto",IF($R94&lt;Parametros!$C$13,"Bajo","Medio"))</f>
        <v>Medio</v>
      </c>
      <c r="Z94" s="61" t="n">
        <v>979</v>
      </c>
      <c r="AA94" s="61" t="str">
        <f aca="false">IF(MATCH($A94,Datos_Origen!$A$2:$A$2459,0)=$Z94,"OK","REVISAR")</f>
        <v>OK</v>
      </c>
      <c r="AB94" s="61" t="str">
        <f aca="false">INDEX(Datos_Origen!$B$2:$B$2459,$Z94)</f>
        <v>04/01/2024</v>
      </c>
      <c r="AC94" s="61" t="n">
        <f aca="false">INDEX(Datos_Origen!$H$2:$H$2459,$Z94)</f>
        <v>12</v>
      </c>
      <c r="AD94" s="61" t="str">
        <f aca="false">INDEX(Datos_Origen!$D$2:$D$2459,$Z94)&amp;""</f>
        <v>Tucuman</v>
      </c>
    </row>
    <row r="95" customFormat="false" ht="15" hidden="false" customHeight="false" outlineLevel="0" collapsed="false">
      <c r="A95" s="61" t="n">
        <f aca="false">INDEX(Datos_Origen!$A$2:$A$2459,$Z95)</f>
        <v>94</v>
      </c>
      <c r="B95" s="62" t="n">
        <f aca="false">IF(ISNUMBER($AB95),$AB95,IF(MID($AB95,5,1)="-",DATE(VALUE(LEFT($AB95,4)),VALUE(MID($AB95,6,2)),VALUE(RIGHT($AB95,2))),DATE(VALUE(RIGHT($AB95,4)),VALUE(MID($AB95,4,2)),VALUE(LEFT($AB95,2)))))</f>
        <v>45302</v>
      </c>
      <c r="C95" s="61" t="n">
        <f aca="false">YEAR($B95)</f>
        <v>2024</v>
      </c>
      <c r="D95" s="61" t="str">
        <f aca="false">"Q"&amp;ROUNDUP(MONTH($B95)/3,0)</f>
        <v>Q1</v>
      </c>
      <c r="E95" s="61" t="n">
        <f aca="false">MONTH($B95)</f>
        <v>1</v>
      </c>
      <c r="F95" s="61" t="str">
        <f aca="false">INDEX(Parametros!$I$5:$I$16,$E95)</f>
        <v>Ene</v>
      </c>
      <c r="G95" s="61" t="str">
        <f aca="false">TEXT($C95,"0000")&amp;"-"&amp;TEXT($E95,"00")</f>
        <v>2024-01</v>
      </c>
      <c r="H95" s="61" t="str">
        <f aca="false">INDEX(Parametros!$C$71:$C$91,MATCH(TRIM(INDEX(Datos_Origen!$C$2:$C$2459,$Z95)),Parametros!$B$71:$B$91,0))</f>
        <v>NOA</v>
      </c>
      <c r="I95" s="61" t="str">
        <f aca="false">IF(TRIM($AD95)="",INDEX(Parametros!$I$20:$I$24,MATCH($H95,Parametros!$H$20:$H$24,0)),TRIM($AD95))</f>
        <v>Tucuman</v>
      </c>
      <c r="J95" s="61" t="str">
        <f aca="false">INDEX(Parametros!$C$95:$C$106,MATCH(TRIM(INDEX(Datos_Origen!$E$2:$E$2459,$Z95)),Parametros!$B$95:$B$106,0))</f>
        <v>E-commerce</v>
      </c>
      <c r="K95" s="61" t="str">
        <f aca="false">INDEX(Parametros!$C$48:$C$67,MATCH(TRIM(INDEX(Datos_Origen!$F$2:$F$2459,$Z95)),Parametros!$B$48:$B$67,0))</f>
        <v>Audio</v>
      </c>
      <c r="L95" s="61" t="str">
        <f aca="false">$K95&amp;" "&amp;$C95</f>
        <v>Audio 2024</v>
      </c>
      <c r="M95" s="61" t="str">
        <f aca="false">TRIM(INDEX(Datos_Origen!$G$2:$G$2459,$Z95))</f>
        <v>Auriculares BT Pro</v>
      </c>
      <c r="N95" s="61" t="str">
        <f aca="false">$M95&amp;" "&amp;$C95</f>
        <v>Auriculares BT Pro 2024</v>
      </c>
      <c r="O95" s="63" t="n">
        <f aca="false">IF(ISTEXT($AC95),VALUE($AC95),$AC95)</f>
        <v>5</v>
      </c>
      <c r="P95" s="64" t="n">
        <f aca="false">INDEX(Datos_Origen!$I$2:$I$2459,$Z95)</f>
        <v>117.6</v>
      </c>
      <c r="Q95" s="64" t="n">
        <f aca="false">INDEX(Datos_Origen!$J$2:$J$2459,$Z95)</f>
        <v>63.6</v>
      </c>
      <c r="R95" s="65" t="n">
        <f aca="false">ROUND($O95*$P95,2)</f>
        <v>588</v>
      </c>
      <c r="S95" s="65" t="n">
        <f aca="false">ROUND($O95*$Q95,2)</f>
        <v>318</v>
      </c>
      <c r="T95" s="65" t="n">
        <f aca="false">ROUND($R95*SUMIFS(Parametros!$E$28:$E$43,Parametros!$B$28:$B$43,$J95,Parametros!$C$28:$C$43,$C95,Parametros!$D$28:$D$43,$D95),2)</f>
        <v>24.7</v>
      </c>
      <c r="U95" s="65" t="n">
        <f aca="false">$R95-$S95-$T95</f>
        <v>245.3</v>
      </c>
      <c r="V95" s="66" t="n">
        <f aca="false">IFERROR($U95/$R95,0)</f>
        <v>0.417176870748299</v>
      </c>
      <c r="W95" s="67" t="str">
        <f aca="false">IF(AND($V95&gt;=Parametros!$C$8,$R95&gt;=Parametros!$C$12),"Alta rentabilidad",IF(OR($V95&lt;Parametros!$C$11,$R95&lt;Parametros!$C$13),"Revisar","Estandar"))</f>
        <v>Estandar</v>
      </c>
      <c r="X95" s="67" t="str">
        <f aca="false">IF(AND($J95="E-commerce",IFERROR($T95/$R95,0)&gt;Parametros!$C$14),"Alerta","OK")</f>
        <v>OK</v>
      </c>
      <c r="Y95" s="61" t="str">
        <f aca="false">IF($R95&gt;=Parametros!$C$12,"Alto",IF($R95&lt;Parametros!$C$13,"Bajo","Medio"))</f>
        <v>Medio</v>
      </c>
      <c r="Z95" s="61" t="n">
        <v>1754</v>
      </c>
      <c r="AA95" s="61" t="str">
        <f aca="false">IF(MATCH($A95,Datos_Origen!$A$2:$A$2459,0)=$Z95,"OK","REVISAR")</f>
        <v>OK</v>
      </c>
      <c r="AB95" s="62" t="n">
        <f aca="false">INDEX(Datos_Origen!$B$2:$B$2459,$Z95)</f>
        <v>45302</v>
      </c>
      <c r="AC95" s="61" t="n">
        <f aca="false">INDEX(Datos_Origen!$H$2:$H$2459,$Z95)</f>
        <v>5</v>
      </c>
      <c r="AD95" s="61" t="str">
        <f aca="false">INDEX(Datos_Origen!$D$2:$D$2459,$Z95)&amp;""</f>
        <v>Tucuman</v>
      </c>
    </row>
    <row r="96" customFormat="false" ht="15" hidden="false" customHeight="false" outlineLevel="0" collapsed="false">
      <c r="A96" s="61" t="n">
        <f aca="false">INDEX(Datos_Origen!$A$2:$A$2459,$Z96)</f>
        <v>95</v>
      </c>
      <c r="B96" s="62" t="n">
        <f aca="false">IF(ISNUMBER($AB96),$AB96,IF(MID($AB96,5,1)="-",DATE(VALUE(LEFT($AB96,4)),VALUE(MID($AB96,6,2)),VALUE(RIGHT($AB96,2))),DATE(VALUE(RIGHT($AB96,4)),VALUE(MID($AB96,4,2)),VALUE(LEFT($AB96,2)))))</f>
        <v>45309</v>
      </c>
      <c r="C96" s="61" t="n">
        <f aca="false">YEAR($B96)</f>
        <v>2024</v>
      </c>
      <c r="D96" s="61" t="str">
        <f aca="false">"Q"&amp;ROUNDUP(MONTH($B96)/3,0)</f>
        <v>Q1</v>
      </c>
      <c r="E96" s="61" t="n">
        <f aca="false">MONTH($B96)</f>
        <v>1</v>
      </c>
      <c r="F96" s="61" t="str">
        <f aca="false">INDEX(Parametros!$I$5:$I$16,$E96)</f>
        <v>Ene</v>
      </c>
      <c r="G96" s="61" t="str">
        <f aca="false">TEXT($C96,"0000")&amp;"-"&amp;TEXT($E96,"00")</f>
        <v>2024-01</v>
      </c>
      <c r="H96" s="61" t="str">
        <f aca="false">INDEX(Parametros!$C$71:$C$91,MATCH(TRIM(INDEX(Datos_Origen!$C$2:$C$2459,$Z96)),Parametros!$B$71:$B$91,0))</f>
        <v>NOA</v>
      </c>
      <c r="I96" s="61" t="str">
        <f aca="false">IF(TRIM($AD96)="",INDEX(Parametros!$I$20:$I$24,MATCH($H96,Parametros!$H$20:$H$24,0)),TRIM($AD96))</f>
        <v>Tucuman</v>
      </c>
      <c r="J96" s="61" t="str">
        <f aca="false">INDEX(Parametros!$C$95:$C$106,MATCH(TRIM(INDEX(Datos_Origen!$E$2:$E$2459,$Z96)),Parametros!$B$95:$B$106,0))</f>
        <v>Tienda fisica</v>
      </c>
      <c r="K96" s="61" t="str">
        <f aca="false">INDEX(Parametros!$C$48:$C$67,MATCH(TRIM(INDEX(Datos_Origen!$F$2:$F$2459,$Z96)),Parametros!$B$48:$B$67,0))</f>
        <v>Audio</v>
      </c>
      <c r="L96" s="61" t="str">
        <f aca="false">$K96&amp;" "&amp;$C96</f>
        <v>Audio 2024</v>
      </c>
      <c r="M96" s="61" t="str">
        <f aca="false">TRIM(INDEX(Datos_Origen!$G$2:$G$2459,$Z96))</f>
        <v>Parlante Bluetooth</v>
      </c>
      <c r="N96" s="61" t="str">
        <f aca="false">$M96&amp;" "&amp;$C96</f>
        <v>Parlante Bluetooth 2024</v>
      </c>
      <c r="O96" s="63" t="n">
        <f aca="false">IF(ISTEXT($AC96),VALUE($AC96),$AC96)</f>
        <v>11</v>
      </c>
      <c r="P96" s="64" t="n">
        <f aca="false">INDEX(Datos_Origen!$I$2:$I$2459,$Z96)</f>
        <v>83.3</v>
      </c>
      <c r="Q96" s="64" t="n">
        <f aca="false">INDEX(Datos_Origen!$J$2:$J$2459,$Z96)</f>
        <v>48.03</v>
      </c>
      <c r="R96" s="65" t="n">
        <f aca="false">ROUND($O96*$P96,2)</f>
        <v>916.3</v>
      </c>
      <c r="S96" s="65" t="n">
        <f aca="false">ROUND($O96*$Q96,2)</f>
        <v>528.33</v>
      </c>
      <c r="T96" s="65" t="n">
        <f aca="false">ROUND($R96*SUMIFS(Parametros!$E$28:$E$43,Parametros!$B$28:$B$43,$J96,Parametros!$C$28:$C$43,$C96,Parametros!$D$28:$D$43,$D96),2)</f>
        <v>11</v>
      </c>
      <c r="U96" s="65" t="n">
        <f aca="false">$R96-$S96-$T96</f>
        <v>376.97</v>
      </c>
      <c r="V96" s="66" t="n">
        <f aca="false">IFERROR($U96/$R96,0)</f>
        <v>0.41140456182473</v>
      </c>
      <c r="W96" s="67" t="str">
        <f aca="false">IF(AND($V96&gt;=Parametros!$C$8,$R96&gt;=Parametros!$C$12),"Alta rentabilidad",IF(OR($V96&lt;Parametros!$C$11,$R96&lt;Parametros!$C$13),"Revisar","Estandar"))</f>
        <v>Estandar</v>
      </c>
      <c r="X96" s="67" t="str">
        <f aca="false">IF(AND($J96="E-commerce",IFERROR($T96/$R96,0)&gt;Parametros!$C$14),"Alerta","OK")</f>
        <v>OK</v>
      </c>
      <c r="Y96" s="61" t="str">
        <f aca="false">IF($R96&gt;=Parametros!$C$12,"Alto",IF($R96&lt;Parametros!$C$13,"Bajo","Medio"))</f>
        <v>Medio</v>
      </c>
      <c r="Z96" s="61" t="n">
        <v>962</v>
      </c>
      <c r="AA96" s="61" t="str">
        <f aca="false">IF(MATCH($A96,Datos_Origen!$A$2:$A$2459,0)=$Z96,"OK","REVISAR")</f>
        <v>OK</v>
      </c>
      <c r="AB96" s="61" t="str">
        <f aca="false">INDEX(Datos_Origen!$B$2:$B$2459,$Z96)</f>
        <v>2024-01-18</v>
      </c>
      <c r="AC96" s="61" t="n">
        <f aca="false">INDEX(Datos_Origen!$H$2:$H$2459,$Z96)</f>
        <v>11</v>
      </c>
      <c r="AD96" s="61" t="str">
        <f aca="false">INDEX(Datos_Origen!$D$2:$D$2459,$Z96)&amp;""</f>
        <v>Tucuman</v>
      </c>
    </row>
    <row r="97" customFormat="false" ht="15" hidden="false" customHeight="false" outlineLevel="0" collapsed="false">
      <c r="A97" s="61" t="n">
        <f aca="false">INDEX(Datos_Origen!$A$2:$A$2459,$Z97)</f>
        <v>96</v>
      </c>
      <c r="B97" s="62" t="n">
        <f aca="false">IF(ISNUMBER($AB97),$AB97,IF(MID($AB97,5,1)="-",DATE(VALUE(LEFT($AB97,4)),VALUE(MID($AB97,6,2)),VALUE(RIGHT($AB97,2))),DATE(VALUE(RIGHT($AB97,4)),VALUE(MID($AB97,4,2)),VALUE(LEFT($AB97,2)))))</f>
        <v>45316</v>
      </c>
      <c r="C97" s="61" t="n">
        <f aca="false">YEAR($B97)</f>
        <v>2024</v>
      </c>
      <c r="D97" s="61" t="str">
        <f aca="false">"Q"&amp;ROUNDUP(MONTH($B97)/3,0)</f>
        <v>Q1</v>
      </c>
      <c r="E97" s="61" t="n">
        <f aca="false">MONTH($B97)</f>
        <v>1</v>
      </c>
      <c r="F97" s="61" t="str">
        <f aca="false">INDEX(Parametros!$I$5:$I$16,$E97)</f>
        <v>Ene</v>
      </c>
      <c r="G97" s="61" t="str">
        <f aca="false">TEXT($C97,"0000")&amp;"-"&amp;TEXT($E97,"00")</f>
        <v>2024-01</v>
      </c>
      <c r="H97" s="61" t="str">
        <f aca="false">INDEX(Parametros!$C$71:$C$91,MATCH(TRIM(INDEX(Datos_Origen!$C$2:$C$2459,$Z97)),Parametros!$B$71:$B$91,0))</f>
        <v>NOA</v>
      </c>
      <c r="I97" s="61" t="str">
        <f aca="false">IF(TRIM($AD97)="",INDEX(Parametros!$I$20:$I$24,MATCH($H97,Parametros!$H$20:$H$24,0)),TRIM($AD97))</f>
        <v>Tucuman</v>
      </c>
      <c r="J97" s="61" t="str">
        <f aca="false">INDEX(Parametros!$C$95:$C$106,MATCH(TRIM(INDEX(Datos_Origen!$E$2:$E$2459,$Z97)),Parametros!$B$95:$B$106,0))</f>
        <v>E-commerce</v>
      </c>
      <c r="K97" s="61" t="str">
        <f aca="false">INDEX(Parametros!$C$48:$C$67,MATCH(TRIM(INDEX(Datos_Origen!$F$2:$F$2459,$Z97)),Parametros!$B$48:$B$67,0))</f>
        <v>Audio</v>
      </c>
      <c r="L97" s="61" t="str">
        <f aca="false">$K97&amp;" "&amp;$C97</f>
        <v>Audio 2024</v>
      </c>
      <c r="M97" s="61" t="str">
        <f aca="false">TRIM(INDEX(Datos_Origen!$G$2:$G$2459,$Z97))</f>
        <v>Parlante Bluetooth</v>
      </c>
      <c r="N97" s="61" t="str">
        <f aca="false">$M97&amp;" "&amp;$C97</f>
        <v>Parlante Bluetooth 2024</v>
      </c>
      <c r="O97" s="63" t="n">
        <f aca="false">IF(ISTEXT($AC97),VALUE($AC97),$AC97)</f>
        <v>4</v>
      </c>
      <c r="P97" s="64" t="n">
        <f aca="false">INDEX(Datos_Origen!$I$2:$I$2459,$Z97)</f>
        <v>83.3</v>
      </c>
      <c r="Q97" s="64" t="n">
        <f aca="false">INDEX(Datos_Origen!$J$2:$J$2459,$Z97)</f>
        <v>48.03</v>
      </c>
      <c r="R97" s="65" t="n">
        <f aca="false">ROUND($O97*$P97,2)</f>
        <v>333.2</v>
      </c>
      <c r="S97" s="65" t="n">
        <f aca="false">ROUND($O97*$Q97,2)</f>
        <v>192.12</v>
      </c>
      <c r="T97" s="65" t="n">
        <f aca="false">ROUND($R97*SUMIFS(Parametros!$E$28:$E$43,Parametros!$B$28:$B$43,$J97,Parametros!$C$28:$C$43,$C97,Parametros!$D$28:$D$43,$D97),2)</f>
        <v>13.99</v>
      </c>
      <c r="U97" s="65" t="n">
        <f aca="false">$R97-$S97-$T97</f>
        <v>127.09</v>
      </c>
      <c r="V97" s="66" t="n">
        <f aca="false">IFERROR($U97/$R97,0)</f>
        <v>0.381422569027611</v>
      </c>
      <c r="W97" s="67" t="str">
        <f aca="false">IF(AND($V97&gt;=Parametros!$C$8,$R97&gt;=Parametros!$C$12),"Alta rentabilidad",IF(OR($V97&lt;Parametros!$C$11,$R97&lt;Parametros!$C$13),"Revisar","Estandar"))</f>
        <v>Estandar</v>
      </c>
      <c r="X97" s="67" t="str">
        <f aca="false">IF(AND($J97="E-commerce",IFERROR($T97/$R97,0)&gt;Parametros!$C$14),"Alerta","OK")</f>
        <v>OK</v>
      </c>
      <c r="Y97" s="61" t="str">
        <f aca="false">IF($R97&gt;=Parametros!$C$12,"Alto",IF($R97&lt;Parametros!$C$13,"Bajo","Medio"))</f>
        <v>Medio</v>
      </c>
      <c r="Z97" s="61" t="n">
        <v>1584</v>
      </c>
      <c r="AA97" s="61" t="str">
        <f aca="false">IF(MATCH($A97,Datos_Origen!$A$2:$A$2459,0)=$Z97,"OK","REVISAR")</f>
        <v>OK</v>
      </c>
      <c r="AB97" s="61" t="str">
        <f aca="false">INDEX(Datos_Origen!$B$2:$B$2459,$Z97)</f>
        <v>25/01/2024</v>
      </c>
      <c r="AC97" s="61" t="n">
        <f aca="false">INDEX(Datos_Origen!$H$2:$H$2459,$Z97)</f>
        <v>4</v>
      </c>
      <c r="AD97" s="61" t="str">
        <f aca="false">INDEX(Datos_Origen!$D$2:$D$2459,$Z97)&amp;""</f>
        <v>Tucuman</v>
      </c>
    </row>
    <row r="98" customFormat="false" ht="15" hidden="false" customHeight="false" outlineLevel="0" collapsed="false">
      <c r="A98" s="61" t="n">
        <f aca="false">INDEX(Datos_Origen!$A$2:$A$2459,$Z98)</f>
        <v>97</v>
      </c>
      <c r="B98" s="62" t="n">
        <f aca="false">IF(ISNUMBER($AB98),$AB98,IF(MID($AB98,5,1)="-",DATE(VALUE(LEFT($AB98,4)),VALUE(MID($AB98,6,2)),VALUE(RIGHT($AB98,2))),DATE(VALUE(RIGHT($AB98,4)),VALUE(MID($AB98,4,2)),VALUE(LEFT($AB98,2)))))</f>
        <v>45296</v>
      </c>
      <c r="C98" s="61" t="n">
        <f aca="false">YEAR($B98)</f>
        <v>2024</v>
      </c>
      <c r="D98" s="61" t="str">
        <f aca="false">"Q"&amp;ROUNDUP(MONTH($B98)/3,0)</f>
        <v>Q1</v>
      </c>
      <c r="E98" s="61" t="n">
        <f aca="false">MONTH($B98)</f>
        <v>1</v>
      </c>
      <c r="F98" s="61" t="str">
        <f aca="false">INDEX(Parametros!$I$5:$I$16,$E98)</f>
        <v>Ene</v>
      </c>
      <c r="G98" s="61" t="str">
        <f aca="false">TEXT($C98,"0000")&amp;"-"&amp;TEXT($E98,"00")</f>
        <v>2024-01</v>
      </c>
      <c r="H98" s="61" t="str">
        <f aca="false">INDEX(Parametros!$C$71:$C$91,MATCH(TRIM(INDEX(Datos_Origen!$C$2:$C$2459,$Z98)),Parametros!$B$71:$B$91,0))</f>
        <v>NOA</v>
      </c>
      <c r="I98" s="61" t="str">
        <f aca="false">IF(TRIM($AD98)="",INDEX(Parametros!$I$20:$I$24,MATCH($H98,Parametros!$H$20:$H$24,0)),TRIM($AD98))</f>
        <v>Tucuman</v>
      </c>
      <c r="J98" s="61" t="str">
        <f aca="false">INDEX(Parametros!$C$95:$C$106,MATCH(TRIM(INDEX(Datos_Origen!$E$2:$E$2459,$Z98)),Parametros!$B$95:$B$106,0))</f>
        <v>Tienda fisica</v>
      </c>
      <c r="K98" s="61" t="str">
        <f aca="false">INDEX(Parametros!$C$48:$C$67,MATCH(TRIM(INDEX(Datos_Origen!$F$2:$F$2459,$Z98)),Parametros!$B$48:$B$67,0))</f>
        <v>Almacenamiento</v>
      </c>
      <c r="L98" s="61" t="str">
        <f aca="false">$K98&amp;" "&amp;$C98</f>
        <v>Almacenamiento 2024</v>
      </c>
      <c r="M98" s="61" t="str">
        <f aca="false">TRIM(INDEX(Datos_Origen!$G$2:$G$2459,$Z98))</f>
        <v>SSD Externo 1TB</v>
      </c>
      <c r="N98" s="61" t="str">
        <f aca="false">$M98&amp;" "&amp;$C98</f>
        <v>SSD Externo 1TB 2024</v>
      </c>
      <c r="O98" s="63" t="n">
        <f aca="false">IF(ISTEXT($AC98),VALUE($AC98),$AC98)</f>
        <v>14</v>
      </c>
      <c r="P98" s="64" t="n">
        <f aca="false">INDEX(Datos_Origen!$I$2:$I$2459,$Z98)</f>
        <v>127.4</v>
      </c>
      <c r="Q98" s="64" t="n">
        <f aca="false">INDEX(Datos_Origen!$J$2:$J$2459,$Z98)</f>
        <v>76.05</v>
      </c>
      <c r="R98" s="65" t="n">
        <f aca="false">ROUND($O98*$P98,2)</f>
        <v>1783.6</v>
      </c>
      <c r="S98" s="65" t="n">
        <f aca="false">ROUND($O98*$Q98,2)</f>
        <v>1064.7</v>
      </c>
      <c r="T98" s="65" t="n">
        <f aca="false">ROUND($R98*SUMIFS(Parametros!$E$28:$E$43,Parametros!$B$28:$B$43,$J98,Parametros!$C$28:$C$43,$C98,Parametros!$D$28:$D$43,$D98),2)</f>
        <v>21.4</v>
      </c>
      <c r="U98" s="65" t="n">
        <f aca="false">$R98-$S98-$T98</f>
        <v>697.5</v>
      </c>
      <c r="V98" s="66" t="n">
        <f aca="false">IFERROR($U98/$R98,0)</f>
        <v>0.391063018614039</v>
      </c>
      <c r="W98" s="67" t="str">
        <f aca="false">IF(AND($V98&gt;=Parametros!$C$8,$R98&gt;=Parametros!$C$12),"Alta rentabilidad",IF(OR($V98&lt;Parametros!$C$11,$R98&lt;Parametros!$C$13),"Revisar","Estandar"))</f>
        <v>Estandar</v>
      </c>
      <c r="X98" s="67" t="str">
        <f aca="false">IF(AND($J98="E-commerce",IFERROR($T98/$R98,0)&gt;Parametros!$C$14),"Alerta","OK")</f>
        <v>OK</v>
      </c>
      <c r="Y98" s="61" t="str">
        <f aca="false">IF($R98&gt;=Parametros!$C$12,"Alto",IF($R98&lt;Parametros!$C$13,"Bajo","Medio"))</f>
        <v>Medio</v>
      </c>
      <c r="Z98" s="61" t="n">
        <v>2088</v>
      </c>
      <c r="AA98" s="61" t="str">
        <f aca="false">IF(MATCH($A98,Datos_Origen!$A$2:$A$2459,0)=$Z98,"OK","REVISAR")</f>
        <v>OK</v>
      </c>
      <c r="AB98" s="61" t="str">
        <f aca="false">INDEX(Datos_Origen!$B$2:$B$2459,$Z98)</f>
        <v>2024-01-05</v>
      </c>
      <c r="AC98" s="61" t="str">
        <f aca="false">INDEX(Datos_Origen!$H$2:$H$2459,$Z98)</f>
        <v>14</v>
      </c>
      <c r="AD98" s="61" t="str">
        <f aca="false">INDEX(Datos_Origen!$D$2:$D$2459,$Z98)&amp;""</f>
        <v>Tucuman</v>
      </c>
    </row>
    <row r="99" customFormat="false" ht="15" hidden="false" customHeight="false" outlineLevel="0" collapsed="false">
      <c r="A99" s="61" t="n">
        <f aca="false">INDEX(Datos_Origen!$A$2:$A$2459,$Z99)</f>
        <v>98</v>
      </c>
      <c r="B99" s="62" t="n">
        <f aca="false">IF(ISNUMBER($AB99),$AB99,IF(MID($AB99,5,1)="-",DATE(VALUE(LEFT($AB99,4)),VALUE(MID($AB99,6,2)),VALUE(RIGHT($AB99,2))),DATE(VALUE(RIGHT($AB99,4)),VALUE(MID($AB99,4,2)),VALUE(LEFT($AB99,2)))))</f>
        <v>45303</v>
      </c>
      <c r="C99" s="61" t="n">
        <f aca="false">YEAR($B99)</f>
        <v>2024</v>
      </c>
      <c r="D99" s="61" t="str">
        <f aca="false">"Q"&amp;ROUNDUP(MONTH($B99)/3,0)</f>
        <v>Q1</v>
      </c>
      <c r="E99" s="61" t="n">
        <f aca="false">MONTH($B99)</f>
        <v>1</v>
      </c>
      <c r="F99" s="61" t="str">
        <f aca="false">INDEX(Parametros!$I$5:$I$16,$E99)</f>
        <v>Ene</v>
      </c>
      <c r="G99" s="61" t="str">
        <f aca="false">TEXT($C99,"0000")&amp;"-"&amp;TEXT($E99,"00")</f>
        <v>2024-01</v>
      </c>
      <c r="H99" s="61" t="str">
        <f aca="false">INDEX(Parametros!$C$71:$C$91,MATCH(TRIM(INDEX(Datos_Origen!$C$2:$C$2459,$Z99)),Parametros!$B$71:$B$91,0))</f>
        <v>NOA</v>
      </c>
      <c r="I99" s="61" t="str">
        <f aca="false">IF(TRIM($AD99)="",INDEX(Parametros!$I$20:$I$24,MATCH($H99,Parametros!$H$20:$H$24,0)),TRIM($AD99))</f>
        <v>Tucuman</v>
      </c>
      <c r="J99" s="61" t="str">
        <f aca="false">INDEX(Parametros!$C$95:$C$106,MATCH(TRIM(INDEX(Datos_Origen!$E$2:$E$2459,$Z99)),Parametros!$B$95:$B$106,0))</f>
        <v>E-commerce</v>
      </c>
      <c r="K99" s="61" t="str">
        <f aca="false">INDEX(Parametros!$C$48:$C$67,MATCH(TRIM(INDEX(Datos_Origen!$F$2:$F$2459,$Z99)),Parametros!$B$48:$B$67,0))</f>
        <v>Almacenamiento</v>
      </c>
      <c r="L99" s="61" t="str">
        <f aca="false">$K99&amp;" "&amp;$C99</f>
        <v>Almacenamiento 2024</v>
      </c>
      <c r="M99" s="61" t="str">
        <f aca="false">TRIM(INDEX(Datos_Origen!$G$2:$G$2459,$Z99))</f>
        <v>SSD Externo 1TB</v>
      </c>
      <c r="N99" s="61" t="str">
        <f aca="false">$M99&amp;" "&amp;$C99</f>
        <v>SSD Externo 1TB 2024</v>
      </c>
      <c r="O99" s="63" t="n">
        <f aca="false">IF(ISTEXT($AC99),VALUE($AC99),$AC99)</f>
        <v>6</v>
      </c>
      <c r="P99" s="64" t="n">
        <f aca="false">INDEX(Datos_Origen!$I$2:$I$2459,$Z99)</f>
        <v>127.4</v>
      </c>
      <c r="Q99" s="64" t="n">
        <f aca="false">INDEX(Datos_Origen!$J$2:$J$2459,$Z99)</f>
        <v>76.05</v>
      </c>
      <c r="R99" s="65" t="n">
        <f aca="false">ROUND($O99*$P99,2)</f>
        <v>764.4</v>
      </c>
      <c r="S99" s="65" t="n">
        <f aca="false">ROUND($O99*$Q99,2)</f>
        <v>456.3</v>
      </c>
      <c r="T99" s="65" t="n">
        <f aca="false">ROUND($R99*SUMIFS(Parametros!$E$28:$E$43,Parametros!$B$28:$B$43,$J99,Parametros!$C$28:$C$43,$C99,Parametros!$D$28:$D$43,$D99),2)</f>
        <v>32.1</v>
      </c>
      <c r="U99" s="65" t="n">
        <f aca="false">$R99-$S99-$T99</f>
        <v>276</v>
      </c>
      <c r="V99" s="66" t="n">
        <f aca="false">IFERROR($U99/$R99,0)</f>
        <v>0.361067503924647</v>
      </c>
      <c r="W99" s="67" t="str">
        <f aca="false">IF(AND($V99&gt;=Parametros!$C$8,$R99&gt;=Parametros!$C$12),"Alta rentabilidad",IF(OR($V99&lt;Parametros!$C$11,$R99&lt;Parametros!$C$13),"Revisar","Estandar"))</f>
        <v>Estandar</v>
      </c>
      <c r="X99" s="67" t="str">
        <f aca="false">IF(AND($J99="E-commerce",IFERROR($T99/$R99,0)&gt;Parametros!$C$14),"Alerta","OK")</f>
        <v>OK</v>
      </c>
      <c r="Y99" s="61" t="str">
        <f aca="false">IF($R99&gt;=Parametros!$C$12,"Alto",IF($R99&lt;Parametros!$C$13,"Bajo","Medio"))</f>
        <v>Medio</v>
      </c>
      <c r="Z99" s="61" t="n">
        <v>1792</v>
      </c>
      <c r="AA99" s="61" t="str">
        <f aca="false">IF(MATCH($A99,Datos_Origen!$A$2:$A$2459,0)=$Z99,"OK","REVISAR")</f>
        <v>OK</v>
      </c>
      <c r="AB99" s="62" t="n">
        <f aca="false">INDEX(Datos_Origen!$B$2:$B$2459,$Z99)</f>
        <v>45303</v>
      </c>
      <c r="AC99" s="61" t="n">
        <f aca="false">INDEX(Datos_Origen!$H$2:$H$2459,$Z99)</f>
        <v>6</v>
      </c>
      <c r="AD99" s="61" t="str">
        <f aca="false">INDEX(Datos_Origen!$D$2:$D$2459,$Z99)&amp;""</f>
        <v>Tucuman</v>
      </c>
    </row>
    <row r="100" customFormat="false" ht="15" hidden="false" customHeight="false" outlineLevel="0" collapsed="false">
      <c r="A100" s="61" t="n">
        <f aca="false">INDEX(Datos_Origen!$A$2:$A$2459,$Z100)</f>
        <v>99</v>
      </c>
      <c r="B100" s="62" t="n">
        <f aca="false">IF(ISNUMBER($AB100),$AB100,IF(MID($AB100,5,1)="-",DATE(VALUE(LEFT($AB100,4)),VALUE(MID($AB100,6,2)),VALUE(RIGHT($AB100,2))),DATE(VALUE(RIGHT($AB100,4)),VALUE(MID($AB100,4,2)),VALUE(LEFT($AB100,2)))))</f>
        <v>45310</v>
      </c>
      <c r="C100" s="61" t="n">
        <f aca="false">YEAR($B100)</f>
        <v>2024</v>
      </c>
      <c r="D100" s="61" t="str">
        <f aca="false">"Q"&amp;ROUNDUP(MONTH($B100)/3,0)</f>
        <v>Q1</v>
      </c>
      <c r="E100" s="61" t="n">
        <f aca="false">MONTH($B100)</f>
        <v>1</v>
      </c>
      <c r="F100" s="61" t="str">
        <f aca="false">INDEX(Parametros!$I$5:$I$16,$E100)</f>
        <v>Ene</v>
      </c>
      <c r="G100" s="61" t="str">
        <f aca="false">TEXT($C100,"0000")&amp;"-"&amp;TEXT($E100,"00")</f>
        <v>2024-01</v>
      </c>
      <c r="H100" s="61" t="str">
        <f aca="false">INDEX(Parametros!$C$71:$C$91,MATCH(TRIM(INDEX(Datos_Origen!$C$2:$C$2459,$Z100)),Parametros!$B$71:$B$91,0))</f>
        <v>NOA</v>
      </c>
      <c r="I100" s="61" t="str">
        <f aca="false">IF(TRIM($AD100)="",INDEX(Parametros!$I$20:$I$24,MATCH($H100,Parametros!$H$20:$H$24,0)),TRIM($AD100))</f>
        <v>Tucuman</v>
      </c>
      <c r="J100" s="61" t="str">
        <f aca="false">INDEX(Parametros!$C$95:$C$106,MATCH(TRIM(INDEX(Datos_Origen!$E$2:$E$2459,$Z100)),Parametros!$B$95:$B$106,0))</f>
        <v>Tienda fisica</v>
      </c>
      <c r="K100" s="61" t="str">
        <f aca="false">INDEX(Parametros!$C$48:$C$67,MATCH(TRIM(INDEX(Datos_Origen!$F$2:$F$2459,$Z100)),Parametros!$B$48:$B$67,0))</f>
        <v>Almacenamiento</v>
      </c>
      <c r="L100" s="61" t="str">
        <f aca="false">$K100&amp;" "&amp;$C100</f>
        <v>Almacenamiento 2024</v>
      </c>
      <c r="M100" s="61" t="str">
        <f aca="false">TRIM(INDEX(Datos_Origen!$G$2:$G$2459,$Z100))</f>
        <v>Pendrive 256GB</v>
      </c>
      <c r="N100" s="61" t="str">
        <f aca="false">$M100&amp;" "&amp;$C100</f>
        <v>Pendrive 256GB 2024</v>
      </c>
      <c r="O100" s="63" t="n">
        <f aca="false">IF(ISTEXT($AC100),VALUE($AC100),$AC100)</f>
        <v>14</v>
      </c>
      <c r="P100" s="64" t="n">
        <f aca="false">INDEX(Datos_Origen!$I$2:$I$2459,$Z100)</f>
        <v>34.3</v>
      </c>
      <c r="Q100" s="64" t="n">
        <f aca="false">INDEX(Datos_Origen!$J$2:$J$2459,$Z100)</f>
        <v>17.85</v>
      </c>
      <c r="R100" s="65" t="n">
        <f aca="false">ROUND($O100*$P100,2)</f>
        <v>480.2</v>
      </c>
      <c r="S100" s="65" t="n">
        <f aca="false">ROUND($O100*$Q100,2)</f>
        <v>249.9</v>
      </c>
      <c r="T100" s="65" t="n">
        <f aca="false">ROUND($R100*SUMIFS(Parametros!$E$28:$E$43,Parametros!$B$28:$B$43,$J100,Parametros!$C$28:$C$43,$C100,Parametros!$D$28:$D$43,$D100),2)</f>
        <v>5.76</v>
      </c>
      <c r="U100" s="65" t="n">
        <f aca="false">$R100-$S100-$T100</f>
        <v>224.54</v>
      </c>
      <c r="V100" s="66" t="n">
        <f aca="false">IFERROR($U100/$R100,0)</f>
        <v>0.467596834652228</v>
      </c>
      <c r="W100" s="67" t="str">
        <f aca="false">IF(AND($V100&gt;=Parametros!$C$8,$R100&gt;=Parametros!$C$12),"Alta rentabilidad",IF(OR($V100&lt;Parametros!$C$11,$R100&lt;Parametros!$C$13),"Revisar","Estandar"))</f>
        <v>Estandar</v>
      </c>
      <c r="X100" s="67" t="str">
        <f aca="false">IF(AND($J100="E-commerce",IFERROR($T100/$R100,0)&gt;Parametros!$C$14),"Alerta","OK")</f>
        <v>OK</v>
      </c>
      <c r="Y100" s="61" t="str">
        <f aca="false">IF($R100&gt;=Parametros!$C$12,"Alto",IF($R100&lt;Parametros!$C$13,"Bajo","Medio"))</f>
        <v>Medio</v>
      </c>
      <c r="Z100" s="61" t="n">
        <v>1243</v>
      </c>
      <c r="AA100" s="61" t="str">
        <f aca="false">IF(MATCH($A100,Datos_Origen!$A$2:$A$2459,0)=$Z100,"OK","REVISAR")</f>
        <v>OK</v>
      </c>
      <c r="AB100" s="62" t="n">
        <f aca="false">INDEX(Datos_Origen!$B$2:$B$2459,$Z100)</f>
        <v>45310</v>
      </c>
      <c r="AC100" s="61" t="n">
        <f aca="false">INDEX(Datos_Origen!$H$2:$H$2459,$Z100)</f>
        <v>14</v>
      </c>
      <c r="AD100" s="61" t="str">
        <f aca="false">INDEX(Datos_Origen!$D$2:$D$2459,$Z100)&amp;""</f>
        <v>Tucuman</v>
      </c>
    </row>
    <row r="101" customFormat="false" ht="15" hidden="false" customHeight="false" outlineLevel="0" collapsed="false">
      <c r="A101" s="61" t="n">
        <f aca="false">INDEX(Datos_Origen!$A$2:$A$2459,$Z101)</f>
        <v>100</v>
      </c>
      <c r="B101" s="62" t="n">
        <f aca="false">IF(ISNUMBER($AB101),$AB101,IF(MID($AB101,5,1)="-",DATE(VALUE(LEFT($AB101,4)),VALUE(MID($AB101,6,2)),VALUE(RIGHT($AB101,2))),DATE(VALUE(RIGHT($AB101,4)),VALUE(MID($AB101,4,2)),VALUE(LEFT($AB101,2)))))</f>
        <v>45317</v>
      </c>
      <c r="C101" s="61" t="n">
        <f aca="false">YEAR($B101)</f>
        <v>2024</v>
      </c>
      <c r="D101" s="61" t="str">
        <f aca="false">"Q"&amp;ROUNDUP(MONTH($B101)/3,0)</f>
        <v>Q1</v>
      </c>
      <c r="E101" s="61" t="n">
        <f aca="false">MONTH($B101)</f>
        <v>1</v>
      </c>
      <c r="F101" s="61" t="str">
        <f aca="false">INDEX(Parametros!$I$5:$I$16,$E101)</f>
        <v>Ene</v>
      </c>
      <c r="G101" s="61" t="str">
        <f aca="false">TEXT($C101,"0000")&amp;"-"&amp;TEXT($E101,"00")</f>
        <v>2024-01</v>
      </c>
      <c r="H101" s="61" t="str">
        <f aca="false">INDEX(Parametros!$C$71:$C$91,MATCH(TRIM(INDEX(Datos_Origen!$C$2:$C$2459,$Z101)),Parametros!$B$71:$B$91,0))</f>
        <v>NOA</v>
      </c>
      <c r="I101" s="61" t="str">
        <f aca="false">IF(TRIM($AD101)="",INDEX(Parametros!$I$20:$I$24,MATCH($H101,Parametros!$H$20:$H$24,0)),TRIM($AD101))</f>
        <v>Tucuman</v>
      </c>
      <c r="J101" s="61" t="str">
        <f aca="false">INDEX(Parametros!$C$95:$C$106,MATCH(TRIM(INDEX(Datos_Origen!$E$2:$E$2459,$Z101)),Parametros!$B$95:$B$106,0))</f>
        <v>E-commerce</v>
      </c>
      <c r="K101" s="61" t="str">
        <f aca="false">INDEX(Parametros!$C$48:$C$67,MATCH(TRIM(INDEX(Datos_Origen!$F$2:$F$2459,$Z101)),Parametros!$B$48:$B$67,0))</f>
        <v>Almacenamiento</v>
      </c>
      <c r="L101" s="61" t="str">
        <f aca="false">$K101&amp;" "&amp;$C101</f>
        <v>Almacenamiento 2024</v>
      </c>
      <c r="M101" s="61" t="str">
        <f aca="false">TRIM(INDEX(Datos_Origen!$G$2:$G$2459,$Z101))</f>
        <v>Pendrive 256GB</v>
      </c>
      <c r="N101" s="61" t="str">
        <f aca="false">$M101&amp;" "&amp;$C101</f>
        <v>Pendrive 256GB 2024</v>
      </c>
      <c r="O101" s="63" t="n">
        <f aca="false">IF(ISTEXT($AC101),VALUE($AC101),$AC101)</f>
        <v>6</v>
      </c>
      <c r="P101" s="64" t="n">
        <f aca="false">INDEX(Datos_Origen!$I$2:$I$2459,$Z101)</f>
        <v>34.3</v>
      </c>
      <c r="Q101" s="64" t="n">
        <f aca="false">INDEX(Datos_Origen!$J$2:$J$2459,$Z101)</f>
        <v>17.85</v>
      </c>
      <c r="R101" s="65" t="n">
        <f aca="false">ROUND($O101*$P101,2)</f>
        <v>205.8</v>
      </c>
      <c r="S101" s="65" t="n">
        <f aca="false">ROUND($O101*$Q101,2)</f>
        <v>107.1</v>
      </c>
      <c r="T101" s="65" t="n">
        <f aca="false">ROUND($R101*SUMIFS(Parametros!$E$28:$E$43,Parametros!$B$28:$B$43,$J101,Parametros!$C$28:$C$43,$C101,Parametros!$D$28:$D$43,$D101),2)</f>
        <v>8.64</v>
      </c>
      <c r="U101" s="65" t="n">
        <f aca="false">$R101-$S101-$T101</f>
        <v>90.06</v>
      </c>
      <c r="V101" s="66" t="n">
        <f aca="false">IFERROR($U101/$R101,0)</f>
        <v>0.437609329446064</v>
      </c>
      <c r="W101" s="67" t="str">
        <f aca="false">IF(AND($V101&gt;=Parametros!$C$8,$R101&gt;=Parametros!$C$12),"Alta rentabilidad",IF(OR($V101&lt;Parametros!$C$11,$R101&lt;Parametros!$C$13),"Revisar","Estandar"))</f>
        <v>Revisar</v>
      </c>
      <c r="X101" s="67" t="str">
        <f aca="false">IF(AND($J101="E-commerce",IFERROR($T101/$R101,0)&gt;Parametros!$C$14),"Alerta","OK")</f>
        <v>OK</v>
      </c>
      <c r="Y101" s="61" t="str">
        <f aca="false">IF($R101&gt;=Parametros!$C$12,"Alto",IF($R101&lt;Parametros!$C$13,"Bajo","Medio"))</f>
        <v>Bajo</v>
      </c>
      <c r="Z101" s="61" t="n">
        <v>2381</v>
      </c>
      <c r="AA101" s="61" t="str">
        <f aca="false">IF(MATCH($A101,Datos_Origen!$A$2:$A$2459,0)=$Z101,"OK","REVISAR")</f>
        <v>OK</v>
      </c>
      <c r="AB101" s="62" t="n">
        <f aca="false">INDEX(Datos_Origen!$B$2:$B$2459,$Z101)</f>
        <v>45317</v>
      </c>
      <c r="AC101" s="61" t="n">
        <f aca="false">INDEX(Datos_Origen!$H$2:$H$2459,$Z101)</f>
        <v>6</v>
      </c>
      <c r="AD101" s="61" t="str">
        <f aca="false">INDEX(Datos_Origen!$D$2:$D$2459,$Z101)&amp;""</f>
        <v>Tucuman</v>
      </c>
    </row>
    <row r="102" customFormat="false" ht="15" hidden="false" customHeight="false" outlineLevel="0" collapsed="false">
      <c r="A102" s="61" t="n">
        <f aca="false">INDEX(Datos_Origen!$A$2:$A$2459,$Z102)</f>
        <v>101</v>
      </c>
      <c r="B102" s="62" t="n">
        <f aca="false">IF(ISNUMBER($AB102),$AB102,IF(MID($AB102,5,1)="-",DATE(VALUE(LEFT($AB102,4)),VALUE(MID($AB102,6,2)),VALUE(RIGHT($AB102,2))),DATE(VALUE(RIGHT($AB102,4)),VALUE(MID($AB102,4,2)),VALUE(LEFT($AB102,2)))))</f>
        <v>45328</v>
      </c>
      <c r="C102" s="61" t="n">
        <f aca="false">YEAR($B102)</f>
        <v>2024</v>
      </c>
      <c r="D102" s="61" t="str">
        <f aca="false">"Q"&amp;ROUNDUP(MONTH($B102)/3,0)</f>
        <v>Q1</v>
      </c>
      <c r="E102" s="61" t="n">
        <f aca="false">MONTH($B102)</f>
        <v>2</v>
      </c>
      <c r="F102" s="61" t="str">
        <f aca="false">INDEX(Parametros!$I$5:$I$16,$E102)</f>
        <v>Feb</v>
      </c>
      <c r="G102" s="61" t="str">
        <f aca="false">TEXT($C102,"0000")&amp;"-"&amp;TEXT($E102,"00")</f>
        <v>2024-02</v>
      </c>
      <c r="H102" s="61" t="str">
        <f aca="false">INDEX(Parametros!$C$71:$C$91,MATCH(TRIM(INDEX(Datos_Origen!$C$2:$C$2459,$Z102)),Parametros!$B$71:$B$91,0))</f>
        <v>AMBA</v>
      </c>
      <c r="I102" s="61" t="str">
        <f aca="false">IF(TRIM($AD102)="",INDEX(Parametros!$I$20:$I$24,MATCH($H102,Parametros!$H$20:$H$24,0)),TRIM($AD102))</f>
        <v>Buenos Aires</v>
      </c>
      <c r="J102" s="61" t="str">
        <f aca="false">INDEX(Parametros!$C$95:$C$106,MATCH(TRIM(INDEX(Datos_Origen!$E$2:$E$2459,$Z102)),Parametros!$B$95:$B$106,0))</f>
        <v>Tienda fisica</v>
      </c>
      <c r="K102" s="61" t="str">
        <f aca="false">INDEX(Parametros!$C$48:$C$67,MATCH(TRIM(INDEX(Datos_Origen!$F$2:$F$2459,$Z102)),Parametros!$B$48:$B$67,0))</f>
        <v>Computacion</v>
      </c>
      <c r="L102" s="61" t="str">
        <f aca="false">$K102&amp;" "&amp;$C102</f>
        <v>Computacion 2024</v>
      </c>
      <c r="M102" s="61" t="str">
        <f aca="false">TRIM(INDEX(Datos_Origen!$G$2:$G$2459,$Z102))</f>
        <v>Laptop Pro 15</v>
      </c>
      <c r="N102" s="61" t="str">
        <f aca="false">$M102&amp;" "&amp;$C102</f>
        <v>Laptop Pro 15 2024</v>
      </c>
      <c r="O102" s="63" t="n">
        <f aca="false">IF(ISTEXT($AC102),VALUE($AC102),$AC102)</f>
        <v>18</v>
      </c>
      <c r="P102" s="64" t="n">
        <f aca="false">INDEX(Datos_Origen!$I$2:$I$2459,$Z102)</f>
        <v>1176</v>
      </c>
      <c r="Q102" s="64" t="n">
        <f aca="false">INDEX(Datos_Origen!$J$2:$J$2459,$Z102)</f>
        <v>744</v>
      </c>
      <c r="R102" s="65" t="n">
        <f aca="false">ROUND($O102*$P102,2)</f>
        <v>21168</v>
      </c>
      <c r="S102" s="65" t="n">
        <f aca="false">ROUND($O102*$Q102,2)</f>
        <v>13392</v>
      </c>
      <c r="T102" s="65" t="n">
        <f aca="false">ROUND($R102*SUMIFS(Parametros!$E$28:$E$43,Parametros!$B$28:$B$43,$J102,Parametros!$C$28:$C$43,$C102,Parametros!$D$28:$D$43,$D102),2)</f>
        <v>254.02</v>
      </c>
      <c r="U102" s="65" t="n">
        <f aca="false">$R102-$S102-$T102</f>
        <v>7521.98</v>
      </c>
      <c r="V102" s="66" t="n">
        <f aca="false">IFERROR($U102/$R102,0)</f>
        <v>0.355346749811036</v>
      </c>
      <c r="W102" s="67" t="str">
        <f aca="false">IF(AND($V102&gt;=Parametros!$C$8,$R102&gt;=Parametros!$C$12),"Alta rentabilidad",IF(OR($V102&lt;Parametros!$C$11,$R102&lt;Parametros!$C$13),"Revisar","Estandar"))</f>
        <v>Alta rentabilidad</v>
      </c>
      <c r="X102" s="67" t="str">
        <f aca="false">IF(AND($J102="E-commerce",IFERROR($T102/$R102,0)&gt;Parametros!$C$14),"Alerta","OK")</f>
        <v>OK</v>
      </c>
      <c r="Y102" s="61" t="str">
        <f aca="false">IF($R102&gt;=Parametros!$C$12,"Alto",IF($R102&lt;Parametros!$C$13,"Bajo","Medio"))</f>
        <v>Alto</v>
      </c>
      <c r="Z102" s="61" t="n">
        <v>20</v>
      </c>
      <c r="AA102" s="61" t="str">
        <f aca="false">IF(MATCH($A102,Datos_Origen!$A$2:$A$2459,0)=$Z102,"OK","REVISAR")</f>
        <v>OK</v>
      </c>
      <c r="AB102" s="62" t="n">
        <f aca="false">INDEX(Datos_Origen!$B$2:$B$2459,$Z102)</f>
        <v>45328</v>
      </c>
      <c r="AC102" s="61" t="n">
        <f aca="false">INDEX(Datos_Origen!$H$2:$H$2459,$Z102)</f>
        <v>18</v>
      </c>
      <c r="AD102" s="61" t="str">
        <f aca="false">INDEX(Datos_Origen!$D$2:$D$2459,$Z102)&amp;""</f>
        <v>Buenos Aires</v>
      </c>
    </row>
    <row r="103" customFormat="false" ht="15" hidden="false" customHeight="false" outlineLevel="0" collapsed="false">
      <c r="A103" s="61" t="n">
        <f aca="false">INDEX(Datos_Origen!$A$2:$A$2459,$Z103)</f>
        <v>102</v>
      </c>
      <c r="B103" s="62" t="n">
        <f aca="false">IF(ISNUMBER($AB103),$AB103,IF(MID($AB103,5,1)="-",DATE(VALUE(LEFT($AB103,4)),VALUE(MID($AB103,6,2)),VALUE(RIGHT($AB103,2))),DATE(VALUE(RIGHT($AB103,4)),VALUE(MID($AB103,4,2)),VALUE(LEFT($AB103,2)))))</f>
        <v>45335</v>
      </c>
      <c r="C103" s="61" t="n">
        <f aca="false">YEAR($B103)</f>
        <v>2024</v>
      </c>
      <c r="D103" s="61" t="str">
        <f aca="false">"Q"&amp;ROUNDUP(MONTH($B103)/3,0)</f>
        <v>Q1</v>
      </c>
      <c r="E103" s="61" t="n">
        <f aca="false">MONTH($B103)</f>
        <v>2</v>
      </c>
      <c r="F103" s="61" t="str">
        <f aca="false">INDEX(Parametros!$I$5:$I$16,$E103)</f>
        <v>Feb</v>
      </c>
      <c r="G103" s="61" t="str">
        <f aca="false">TEXT($C103,"0000")&amp;"-"&amp;TEXT($E103,"00")</f>
        <v>2024-02</v>
      </c>
      <c r="H103" s="61" t="str">
        <f aca="false">INDEX(Parametros!$C$71:$C$91,MATCH(TRIM(INDEX(Datos_Origen!$C$2:$C$2459,$Z103)),Parametros!$B$71:$B$91,0))</f>
        <v>AMBA</v>
      </c>
      <c r="I103" s="61" t="str">
        <f aca="false">IF(TRIM($AD103)="",INDEX(Parametros!$I$20:$I$24,MATCH($H103,Parametros!$H$20:$H$24,0)),TRIM($AD103))</f>
        <v>Buenos Aires</v>
      </c>
      <c r="J103" s="61" t="str">
        <f aca="false">INDEX(Parametros!$C$95:$C$106,MATCH(TRIM(INDEX(Datos_Origen!$E$2:$E$2459,$Z103)),Parametros!$B$95:$B$106,0))</f>
        <v>E-commerce</v>
      </c>
      <c r="K103" s="61" t="str">
        <f aca="false">INDEX(Parametros!$C$48:$C$67,MATCH(TRIM(INDEX(Datos_Origen!$F$2:$F$2459,$Z103)),Parametros!$B$48:$B$67,0))</f>
        <v>Computacion</v>
      </c>
      <c r="L103" s="61" t="str">
        <f aca="false">$K103&amp;" "&amp;$C103</f>
        <v>Computacion 2024</v>
      </c>
      <c r="M103" s="61" t="str">
        <f aca="false">TRIM(INDEX(Datos_Origen!$G$2:$G$2459,$Z103))</f>
        <v>Laptop Pro 15</v>
      </c>
      <c r="N103" s="61" t="str">
        <f aca="false">$M103&amp;" "&amp;$C103</f>
        <v>Laptop Pro 15 2024</v>
      </c>
      <c r="O103" s="63" t="n">
        <f aca="false">IF(ISTEXT($AC103),VALUE($AC103),$AC103)</f>
        <v>6</v>
      </c>
      <c r="P103" s="64" t="n">
        <f aca="false">INDEX(Datos_Origen!$I$2:$I$2459,$Z103)</f>
        <v>1176</v>
      </c>
      <c r="Q103" s="64" t="n">
        <f aca="false">INDEX(Datos_Origen!$J$2:$J$2459,$Z103)</f>
        <v>744</v>
      </c>
      <c r="R103" s="65" t="n">
        <f aca="false">ROUND($O103*$P103,2)</f>
        <v>7056</v>
      </c>
      <c r="S103" s="65" t="n">
        <f aca="false">ROUND($O103*$Q103,2)</f>
        <v>4464</v>
      </c>
      <c r="T103" s="65" t="n">
        <f aca="false">ROUND($R103*SUMIFS(Parametros!$E$28:$E$43,Parametros!$B$28:$B$43,$J103,Parametros!$C$28:$C$43,$C103,Parametros!$D$28:$D$43,$D103),2)</f>
        <v>296.35</v>
      </c>
      <c r="U103" s="65" t="n">
        <f aca="false">$R103-$S103-$T103</f>
        <v>2295.65</v>
      </c>
      <c r="V103" s="66" t="n">
        <f aca="false">IFERROR($U103/$R103,0)</f>
        <v>0.325347222222222</v>
      </c>
      <c r="W103" s="67" t="str">
        <f aca="false">IF(AND($V103&gt;=Parametros!$C$8,$R103&gt;=Parametros!$C$12),"Alta rentabilidad",IF(OR($V103&lt;Parametros!$C$11,$R103&lt;Parametros!$C$13),"Revisar","Estandar"))</f>
        <v>Estandar</v>
      </c>
      <c r="X103" s="67" t="str">
        <f aca="false">IF(AND($J103="E-commerce",IFERROR($T103/$R103,0)&gt;Parametros!$C$14),"Alerta","OK")</f>
        <v>OK</v>
      </c>
      <c r="Y103" s="61" t="str">
        <f aca="false">IF($R103&gt;=Parametros!$C$12,"Alto",IF($R103&lt;Parametros!$C$13,"Bajo","Medio"))</f>
        <v>Alto</v>
      </c>
      <c r="Z103" s="61" t="n">
        <v>728</v>
      </c>
      <c r="AA103" s="61" t="str">
        <f aca="false">IF(MATCH($A103,Datos_Origen!$A$2:$A$2459,0)=$Z103,"OK","REVISAR")</f>
        <v>OK</v>
      </c>
      <c r="AB103" s="62" t="n">
        <f aca="false">INDEX(Datos_Origen!$B$2:$B$2459,$Z103)</f>
        <v>45335</v>
      </c>
      <c r="AC103" s="61" t="n">
        <f aca="false">INDEX(Datos_Origen!$H$2:$H$2459,$Z103)</f>
        <v>6</v>
      </c>
      <c r="AD103" s="61" t="str">
        <f aca="false">INDEX(Datos_Origen!$D$2:$D$2459,$Z103)&amp;""</f>
        <v>Buenos Aires</v>
      </c>
    </row>
    <row r="104" customFormat="false" ht="15" hidden="false" customHeight="false" outlineLevel="0" collapsed="false">
      <c r="A104" s="61" t="n">
        <f aca="false">INDEX(Datos_Origen!$A$2:$A$2459,$Z104)</f>
        <v>103</v>
      </c>
      <c r="B104" s="62" t="n">
        <f aca="false">IF(ISNUMBER($AB104),$AB104,IF(MID($AB104,5,1)="-",DATE(VALUE(LEFT($AB104,4)),VALUE(MID($AB104,6,2)),VALUE(RIGHT($AB104,2))),DATE(VALUE(RIGHT($AB104,4)),VALUE(MID($AB104,4,2)),VALUE(LEFT($AB104,2)))))</f>
        <v>45342</v>
      </c>
      <c r="C104" s="61" t="n">
        <f aca="false">YEAR($B104)</f>
        <v>2024</v>
      </c>
      <c r="D104" s="61" t="str">
        <f aca="false">"Q"&amp;ROUNDUP(MONTH($B104)/3,0)</f>
        <v>Q1</v>
      </c>
      <c r="E104" s="61" t="n">
        <f aca="false">MONTH($B104)</f>
        <v>2</v>
      </c>
      <c r="F104" s="61" t="str">
        <f aca="false">INDEX(Parametros!$I$5:$I$16,$E104)</f>
        <v>Feb</v>
      </c>
      <c r="G104" s="61" t="str">
        <f aca="false">TEXT($C104,"0000")&amp;"-"&amp;TEXT($E104,"00")</f>
        <v>2024-02</v>
      </c>
      <c r="H104" s="61" t="str">
        <f aca="false">INDEX(Parametros!$C$71:$C$91,MATCH(TRIM(INDEX(Datos_Origen!$C$2:$C$2459,$Z104)),Parametros!$B$71:$B$91,0))</f>
        <v>AMBA</v>
      </c>
      <c r="I104" s="61" t="str">
        <f aca="false">IF(TRIM($AD104)="",INDEX(Parametros!$I$20:$I$24,MATCH($H104,Parametros!$H$20:$H$24,0)),TRIM($AD104))</f>
        <v>Buenos Aires</v>
      </c>
      <c r="J104" s="61" t="str">
        <f aca="false">INDEX(Parametros!$C$95:$C$106,MATCH(TRIM(INDEX(Datos_Origen!$E$2:$E$2459,$Z104)),Parametros!$B$95:$B$106,0))</f>
        <v>Tienda fisica</v>
      </c>
      <c r="K104" s="61" t="str">
        <f aca="false">INDEX(Parametros!$C$48:$C$67,MATCH(TRIM(INDEX(Datos_Origen!$F$2:$F$2459,$Z104)),Parametros!$B$48:$B$67,0))</f>
        <v>Computacion</v>
      </c>
      <c r="L104" s="61" t="str">
        <f aca="false">$K104&amp;" "&amp;$C104</f>
        <v>Computacion 2024</v>
      </c>
      <c r="M104" s="61" t="str">
        <f aca="false">TRIM(INDEX(Datos_Origen!$G$2:$G$2459,$Z104))</f>
        <v>Monitor 4K 27</v>
      </c>
      <c r="N104" s="61" t="str">
        <f aca="false">$M104&amp;" "&amp;$C104</f>
        <v>Monitor 4K 27 2024</v>
      </c>
      <c r="O104" s="63" t="n">
        <f aca="false">IF(ISTEXT($AC104),VALUE($AC104),$AC104)</f>
        <v>16</v>
      </c>
      <c r="P104" s="64" t="n">
        <f aca="false">INDEX(Datos_Origen!$I$2:$I$2459,$Z104)</f>
        <v>441</v>
      </c>
      <c r="Q104" s="64" t="n">
        <f aca="false">INDEX(Datos_Origen!$J$2:$J$2459,$Z104)</f>
        <v>272.25</v>
      </c>
      <c r="R104" s="65" t="n">
        <f aca="false">ROUND($O104*$P104,2)</f>
        <v>7056</v>
      </c>
      <c r="S104" s="65" t="n">
        <f aca="false">ROUND($O104*$Q104,2)</f>
        <v>4356</v>
      </c>
      <c r="T104" s="65" t="n">
        <f aca="false">ROUND($R104*SUMIFS(Parametros!$E$28:$E$43,Parametros!$B$28:$B$43,$J104,Parametros!$C$28:$C$43,$C104,Parametros!$D$28:$D$43,$D104),2)</f>
        <v>84.67</v>
      </c>
      <c r="U104" s="65" t="n">
        <f aca="false">$R104-$S104-$T104</f>
        <v>2615.33</v>
      </c>
      <c r="V104" s="66" t="n">
        <f aca="false">IFERROR($U104/$R104,0)</f>
        <v>0.370653344671202</v>
      </c>
      <c r="W104" s="67" t="str">
        <f aca="false">IF(AND($V104&gt;=Parametros!$C$8,$R104&gt;=Parametros!$C$12),"Alta rentabilidad",IF(OR($V104&lt;Parametros!$C$11,$R104&lt;Parametros!$C$13),"Revisar","Estandar"))</f>
        <v>Alta rentabilidad</v>
      </c>
      <c r="X104" s="67" t="str">
        <f aca="false">IF(AND($J104="E-commerce",IFERROR($T104/$R104,0)&gt;Parametros!$C$14),"Alerta","OK")</f>
        <v>OK</v>
      </c>
      <c r="Y104" s="61" t="str">
        <f aca="false">IF($R104&gt;=Parametros!$C$12,"Alto",IF($R104&lt;Parametros!$C$13,"Bajo","Medio"))</f>
        <v>Alto</v>
      </c>
      <c r="Z104" s="61" t="n">
        <v>1752</v>
      </c>
      <c r="AA104" s="61" t="str">
        <f aca="false">IF(MATCH($A104,Datos_Origen!$A$2:$A$2459,0)=$Z104,"OK","REVISAR")</f>
        <v>OK</v>
      </c>
      <c r="AB104" s="61" t="str">
        <f aca="false">INDEX(Datos_Origen!$B$2:$B$2459,$Z104)</f>
        <v>20/02/2024</v>
      </c>
      <c r="AC104" s="61" t="n">
        <f aca="false">INDEX(Datos_Origen!$H$2:$H$2459,$Z104)</f>
        <v>16</v>
      </c>
      <c r="AD104" s="61" t="str">
        <f aca="false">INDEX(Datos_Origen!$D$2:$D$2459,$Z104)&amp;""</f>
        <v>Buenos Aires</v>
      </c>
    </row>
    <row r="105" customFormat="false" ht="15" hidden="false" customHeight="false" outlineLevel="0" collapsed="false">
      <c r="A105" s="61" t="n">
        <f aca="false">INDEX(Datos_Origen!$A$2:$A$2459,$Z105)</f>
        <v>104</v>
      </c>
      <c r="B105" s="62" t="n">
        <f aca="false">IF(ISNUMBER($AB105),$AB105,IF(MID($AB105,5,1)="-",DATE(VALUE(LEFT($AB105,4)),VALUE(MID($AB105,6,2)),VALUE(RIGHT($AB105,2))),DATE(VALUE(RIGHT($AB105,4)),VALUE(MID($AB105,4,2)),VALUE(LEFT($AB105,2)))))</f>
        <v>45349</v>
      </c>
      <c r="C105" s="61" t="n">
        <f aca="false">YEAR($B105)</f>
        <v>2024</v>
      </c>
      <c r="D105" s="61" t="str">
        <f aca="false">"Q"&amp;ROUNDUP(MONTH($B105)/3,0)</f>
        <v>Q1</v>
      </c>
      <c r="E105" s="61" t="n">
        <f aca="false">MONTH($B105)</f>
        <v>2</v>
      </c>
      <c r="F105" s="61" t="str">
        <f aca="false">INDEX(Parametros!$I$5:$I$16,$E105)</f>
        <v>Feb</v>
      </c>
      <c r="G105" s="61" t="str">
        <f aca="false">TEXT($C105,"0000")&amp;"-"&amp;TEXT($E105,"00")</f>
        <v>2024-02</v>
      </c>
      <c r="H105" s="61" t="str">
        <f aca="false">INDEX(Parametros!$C$71:$C$91,MATCH(TRIM(INDEX(Datos_Origen!$C$2:$C$2459,$Z105)),Parametros!$B$71:$B$91,0))</f>
        <v>AMBA</v>
      </c>
      <c r="I105" s="61" t="str">
        <f aca="false">IF(TRIM($AD105)="",INDEX(Parametros!$I$20:$I$24,MATCH($H105,Parametros!$H$20:$H$24,0)),TRIM($AD105))</f>
        <v>Buenos Aires</v>
      </c>
      <c r="J105" s="61" t="str">
        <f aca="false">INDEX(Parametros!$C$95:$C$106,MATCH(TRIM(INDEX(Datos_Origen!$E$2:$E$2459,$Z105)),Parametros!$B$95:$B$106,0))</f>
        <v>E-commerce</v>
      </c>
      <c r="K105" s="61" t="str">
        <f aca="false">INDEX(Parametros!$C$48:$C$67,MATCH(TRIM(INDEX(Datos_Origen!$F$2:$F$2459,$Z105)),Parametros!$B$48:$B$67,0))</f>
        <v>Computacion</v>
      </c>
      <c r="L105" s="61" t="str">
        <f aca="false">$K105&amp;" "&amp;$C105</f>
        <v>Computacion 2024</v>
      </c>
      <c r="M105" s="61" t="str">
        <f aca="false">TRIM(INDEX(Datos_Origen!$G$2:$G$2459,$Z105))</f>
        <v>Monitor 4K 27</v>
      </c>
      <c r="N105" s="61" t="str">
        <f aca="false">$M105&amp;" "&amp;$C105</f>
        <v>Monitor 4K 27 2024</v>
      </c>
      <c r="O105" s="63" t="n">
        <f aca="false">IF(ISTEXT($AC105),VALUE($AC105),$AC105)</f>
        <v>8</v>
      </c>
      <c r="P105" s="64" t="n">
        <f aca="false">INDEX(Datos_Origen!$I$2:$I$2459,$Z105)</f>
        <v>441</v>
      </c>
      <c r="Q105" s="64" t="n">
        <f aca="false">INDEX(Datos_Origen!$J$2:$J$2459,$Z105)</f>
        <v>272.25</v>
      </c>
      <c r="R105" s="65" t="n">
        <f aca="false">ROUND($O105*$P105,2)</f>
        <v>3528</v>
      </c>
      <c r="S105" s="65" t="n">
        <f aca="false">ROUND($O105*$Q105,2)</f>
        <v>2178</v>
      </c>
      <c r="T105" s="65" t="n">
        <f aca="false">ROUND($R105*SUMIFS(Parametros!$E$28:$E$43,Parametros!$B$28:$B$43,$J105,Parametros!$C$28:$C$43,$C105,Parametros!$D$28:$D$43,$D105),2)</f>
        <v>148.18</v>
      </c>
      <c r="U105" s="65" t="n">
        <f aca="false">$R105-$S105-$T105</f>
        <v>1201.82</v>
      </c>
      <c r="V105" s="66" t="n">
        <f aca="false">IFERROR($U105/$R105,0)</f>
        <v>0.340651927437642</v>
      </c>
      <c r="W105" s="67" t="str">
        <f aca="false">IF(AND($V105&gt;=Parametros!$C$8,$R105&gt;=Parametros!$C$12),"Alta rentabilidad",IF(OR($V105&lt;Parametros!$C$11,$R105&lt;Parametros!$C$13),"Revisar","Estandar"))</f>
        <v>Alta rentabilidad</v>
      </c>
      <c r="X105" s="67" t="str">
        <f aca="false">IF(AND($J105="E-commerce",IFERROR($T105/$R105,0)&gt;Parametros!$C$14),"Alerta","OK")</f>
        <v>OK</v>
      </c>
      <c r="Y105" s="61" t="str">
        <f aca="false">IF($R105&gt;=Parametros!$C$12,"Alto",IF($R105&lt;Parametros!$C$13,"Bajo","Medio"))</f>
        <v>Alto</v>
      </c>
      <c r="Z105" s="61" t="n">
        <v>1626</v>
      </c>
      <c r="AA105" s="61" t="str">
        <f aca="false">IF(MATCH($A105,Datos_Origen!$A$2:$A$2459,0)=$Z105,"OK","REVISAR")</f>
        <v>OK</v>
      </c>
      <c r="AB105" s="62" t="n">
        <f aca="false">INDEX(Datos_Origen!$B$2:$B$2459,$Z105)</f>
        <v>45349</v>
      </c>
      <c r="AC105" s="61" t="n">
        <f aca="false">INDEX(Datos_Origen!$H$2:$H$2459,$Z105)</f>
        <v>8</v>
      </c>
      <c r="AD105" s="61" t="str">
        <f aca="false">INDEX(Datos_Origen!$D$2:$D$2459,$Z105)&amp;""</f>
        <v>Buenos Aires</v>
      </c>
    </row>
    <row r="106" customFormat="false" ht="15" hidden="false" customHeight="false" outlineLevel="0" collapsed="false">
      <c r="A106" s="61" t="n">
        <f aca="false">INDEX(Datos_Origen!$A$2:$A$2459,$Z106)</f>
        <v>105</v>
      </c>
      <c r="B106" s="62" t="n">
        <f aca="false">IF(ISNUMBER($AB106),$AB106,IF(MID($AB106,5,1)="-",DATE(VALUE(LEFT($AB106,4)),VALUE(MID($AB106,6,2)),VALUE(RIGHT($AB106,2))),DATE(VALUE(RIGHT($AB106,4)),VALUE(MID($AB106,4,2)),VALUE(LEFT($AB106,2)))))</f>
        <v>45329</v>
      </c>
      <c r="C106" s="61" t="n">
        <f aca="false">YEAR($B106)</f>
        <v>2024</v>
      </c>
      <c r="D106" s="61" t="str">
        <f aca="false">"Q"&amp;ROUNDUP(MONTH($B106)/3,0)</f>
        <v>Q1</v>
      </c>
      <c r="E106" s="61" t="n">
        <f aca="false">MONTH($B106)</f>
        <v>2</v>
      </c>
      <c r="F106" s="61" t="str">
        <f aca="false">INDEX(Parametros!$I$5:$I$16,$E106)</f>
        <v>Feb</v>
      </c>
      <c r="G106" s="61" t="str">
        <f aca="false">TEXT($C106,"0000")&amp;"-"&amp;TEXT($E106,"00")</f>
        <v>2024-02</v>
      </c>
      <c r="H106" s="61" t="str">
        <f aca="false">INDEX(Parametros!$C$71:$C$91,MATCH(TRIM(INDEX(Datos_Origen!$C$2:$C$2459,$Z106)),Parametros!$B$71:$B$91,0))</f>
        <v>AMBA</v>
      </c>
      <c r="I106" s="61" t="str">
        <f aca="false">IF(TRIM($AD106)="",INDEX(Parametros!$I$20:$I$24,MATCH($H106,Parametros!$H$20:$H$24,0)),TRIM($AD106))</f>
        <v>Buenos Aires</v>
      </c>
      <c r="J106" s="61" t="str">
        <f aca="false">INDEX(Parametros!$C$95:$C$106,MATCH(TRIM(INDEX(Datos_Origen!$E$2:$E$2459,$Z106)),Parametros!$B$95:$B$106,0))</f>
        <v>Tienda fisica</v>
      </c>
      <c r="K106" s="61" t="str">
        <f aca="false">INDEX(Parametros!$C$48:$C$67,MATCH(TRIM(INDEX(Datos_Origen!$F$2:$F$2459,$Z106)),Parametros!$B$48:$B$67,0))</f>
        <v>Computacion</v>
      </c>
      <c r="L106" s="61" t="str">
        <f aca="false">$K106&amp;" "&amp;$C106</f>
        <v>Computacion 2024</v>
      </c>
      <c r="M106" s="61" t="str">
        <f aca="false">TRIM(INDEX(Datos_Origen!$G$2:$G$2459,$Z106))</f>
        <v>PC Gamer Ryzen</v>
      </c>
      <c r="N106" s="61" t="str">
        <f aca="false">$M106&amp;" "&amp;$C106</f>
        <v>PC Gamer Ryzen 2024</v>
      </c>
      <c r="O106" s="63" t="n">
        <f aca="false">IF(ISTEXT($AC106),VALUE($AC106),$AC106)</f>
        <v>14</v>
      </c>
      <c r="P106" s="64" t="n">
        <f aca="false">INDEX(Datos_Origen!$I$2:$I$2459,$Z106)</f>
        <v>1617</v>
      </c>
      <c r="Q106" s="64" t="n">
        <f aca="false">INDEX(Datos_Origen!$J$2:$J$2459,$Z106)</f>
        <v>1122</v>
      </c>
      <c r="R106" s="65" t="n">
        <f aca="false">ROUND($O106*$P106,2)</f>
        <v>22638</v>
      </c>
      <c r="S106" s="65" t="n">
        <f aca="false">ROUND($O106*$Q106,2)</f>
        <v>15708</v>
      </c>
      <c r="T106" s="65" t="n">
        <f aca="false">ROUND($R106*SUMIFS(Parametros!$E$28:$E$43,Parametros!$B$28:$B$43,$J106,Parametros!$C$28:$C$43,$C106,Parametros!$D$28:$D$43,$D106),2)</f>
        <v>271.66</v>
      </c>
      <c r="U106" s="65" t="n">
        <f aca="false">$R106-$S106-$T106</f>
        <v>6658.34</v>
      </c>
      <c r="V106" s="66" t="n">
        <f aca="false">IFERROR($U106/$R106,0)</f>
        <v>0.294122272285538</v>
      </c>
      <c r="W106" s="67" t="str">
        <f aca="false">IF(AND($V106&gt;=Parametros!$C$8,$R106&gt;=Parametros!$C$12),"Alta rentabilidad",IF(OR($V106&lt;Parametros!$C$11,$R106&lt;Parametros!$C$13),"Revisar","Estandar"))</f>
        <v>Estandar</v>
      </c>
      <c r="X106" s="67" t="str">
        <f aca="false">IF(AND($J106="E-commerce",IFERROR($T106/$R106,0)&gt;Parametros!$C$14),"Alerta","OK")</f>
        <v>OK</v>
      </c>
      <c r="Y106" s="61" t="str">
        <f aca="false">IF($R106&gt;=Parametros!$C$12,"Alto",IF($R106&lt;Parametros!$C$13,"Bajo","Medio"))</f>
        <v>Alto</v>
      </c>
      <c r="Z106" s="61" t="n">
        <v>2146</v>
      </c>
      <c r="AA106" s="61" t="str">
        <f aca="false">IF(MATCH($A106,Datos_Origen!$A$2:$A$2459,0)=$Z106,"OK","REVISAR")</f>
        <v>OK</v>
      </c>
      <c r="AB106" s="61" t="str">
        <f aca="false">INDEX(Datos_Origen!$B$2:$B$2459,$Z106)</f>
        <v>07/02/2024</v>
      </c>
      <c r="AC106" s="61" t="n">
        <f aca="false">INDEX(Datos_Origen!$H$2:$H$2459,$Z106)</f>
        <v>14</v>
      </c>
      <c r="AD106" s="61" t="str">
        <f aca="false">INDEX(Datos_Origen!$D$2:$D$2459,$Z106)&amp;""</f>
        <v>Buenos Aires</v>
      </c>
    </row>
    <row r="107" customFormat="false" ht="15" hidden="false" customHeight="false" outlineLevel="0" collapsed="false">
      <c r="A107" s="61" t="n">
        <f aca="false">INDEX(Datos_Origen!$A$2:$A$2459,$Z107)</f>
        <v>106</v>
      </c>
      <c r="B107" s="62" t="n">
        <f aca="false">IF(ISNUMBER($AB107),$AB107,IF(MID($AB107,5,1)="-",DATE(VALUE(LEFT($AB107,4)),VALUE(MID($AB107,6,2)),VALUE(RIGHT($AB107,2))),DATE(VALUE(RIGHT($AB107,4)),VALUE(MID($AB107,4,2)),VALUE(LEFT($AB107,2)))))</f>
        <v>45336</v>
      </c>
      <c r="C107" s="61" t="n">
        <f aca="false">YEAR($B107)</f>
        <v>2024</v>
      </c>
      <c r="D107" s="61" t="str">
        <f aca="false">"Q"&amp;ROUNDUP(MONTH($B107)/3,0)</f>
        <v>Q1</v>
      </c>
      <c r="E107" s="61" t="n">
        <f aca="false">MONTH($B107)</f>
        <v>2</v>
      </c>
      <c r="F107" s="61" t="str">
        <f aca="false">INDEX(Parametros!$I$5:$I$16,$E107)</f>
        <v>Feb</v>
      </c>
      <c r="G107" s="61" t="str">
        <f aca="false">TEXT($C107,"0000")&amp;"-"&amp;TEXT($E107,"00")</f>
        <v>2024-02</v>
      </c>
      <c r="H107" s="61" t="str">
        <f aca="false">INDEX(Parametros!$C$71:$C$91,MATCH(TRIM(INDEX(Datos_Origen!$C$2:$C$2459,$Z107)),Parametros!$B$71:$B$91,0))</f>
        <v>AMBA</v>
      </c>
      <c r="I107" s="61" t="str">
        <f aca="false">IF(TRIM($AD107)="",INDEX(Parametros!$I$20:$I$24,MATCH($H107,Parametros!$H$20:$H$24,0)),TRIM($AD107))</f>
        <v>Buenos Aires</v>
      </c>
      <c r="J107" s="61" t="str">
        <f aca="false">INDEX(Parametros!$C$95:$C$106,MATCH(TRIM(INDEX(Datos_Origen!$E$2:$E$2459,$Z107)),Parametros!$B$95:$B$106,0))</f>
        <v>E-commerce</v>
      </c>
      <c r="K107" s="61" t="str">
        <f aca="false">INDEX(Parametros!$C$48:$C$67,MATCH(TRIM(INDEX(Datos_Origen!$F$2:$F$2459,$Z107)),Parametros!$B$48:$B$67,0))</f>
        <v>Computacion</v>
      </c>
      <c r="L107" s="61" t="str">
        <f aca="false">$K107&amp;" "&amp;$C107</f>
        <v>Computacion 2024</v>
      </c>
      <c r="M107" s="61" t="str">
        <f aca="false">TRIM(INDEX(Datos_Origen!$G$2:$G$2459,$Z107))</f>
        <v>PC Gamer Ryzen</v>
      </c>
      <c r="N107" s="61" t="str">
        <f aca="false">$M107&amp;" "&amp;$C107</f>
        <v>PC Gamer Ryzen 2024</v>
      </c>
      <c r="O107" s="63" t="n">
        <f aca="false">IF(ISTEXT($AC107),VALUE($AC107),$AC107)</f>
        <v>6</v>
      </c>
      <c r="P107" s="64" t="n">
        <f aca="false">INDEX(Datos_Origen!$I$2:$I$2459,$Z107)</f>
        <v>1617</v>
      </c>
      <c r="Q107" s="64" t="n">
        <f aca="false">INDEX(Datos_Origen!$J$2:$J$2459,$Z107)</f>
        <v>1122</v>
      </c>
      <c r="R107" s="65" t="n">
        <f aca="false">ROUND($O107*$P107,2)</f>
        <v>9702</v>
      </c>
      <c r="S107" s="65" t="n">
        <f aca="false">ROUND($O107*$Q107,2)</f>
        <v>6732</v>
      </c>
      <c r="T107" s="65" t="n">
        <f aca="false">ROUND($R107*SUMIFS(Parametros!$E$28:$E$43,Parametros!$B$28:$B$43,$J107,Parametros!$C$28:$C$43,$C107,Parametros!$D$28:$D$43,$D107),2)</f>
        <v>407.48</v>
      </c>
      <c r="U107" s="65" t="n">
        <f aca="false">$R107-$S107-$T107</f>
        <v>2562.52</v>
      </c>
      <c r="V107" s="66" t="n">
        <f aca="false">IFERROR($U107/$R107,0)</f>
        <v>0.264122861265718</v>
      </c>
      <c r="W107" s="67" t="str">
        <f aca="false">IF(AND($V107&gt;=Parametros!$C$8,$R107&gt;=Parametros!$C$12),"Alta rentabilidad",IF(OR($V107&lt;Parametros!$C$11,$R107&lt;Parametros!$C$13),"Revisar","Estandar"))</f>
        <v>Revisar</v>
      </c>
      <c r="X107" s="67" t="str">
        <f aca="false">IF(AND($J107="E-commerce",IFERROR($T107/$R107,0)&gt;Parametros!$C$14),"Alerta","OK")</f>
        <v>OK</v>
      </c>
      <c r="Y107" s="61" t="str">
        <f aca="false">IF($R107&gt;=Parametros!$C$12,"Alto",IF($R107&lt;Parametros!$C$13,"Bajo","Medio"))</f>
        <v>Alto</v>
      </c>
      <c r="Z107" s="61" t="n">
        <v>172</v>
      </c>
      <c r="AA107" s="61" t="str">
        <f aca="false">IF(MATCH($A107,Datos_Origen!$A$2:$A$2459,0)=$Z107,"OK","REVISAR")</f>
        <v>OK</v>
      </c>
      <c r="AB107" s="62" t="n">
        <f aca="false">INDEX(Datos_Origen!$B$2:$B$2459,$Z107)</f>
        <v>45336</v>
      </c>
      <c r="AC107" s="61" t="n">
        <f aca="false">INDEX(Datos_Origen!$H$2:$H$2459,$Z107)</f>
        <v>6</v>
      </c>
      <c r="AD107" s="61" t="str">
        <f aca="false">INDEX(Datos_Origen!$D$2:$D$2459,$Z107)&amp;""</f>
        <v>Buenos Aires</v>
      </c>
    </row>
    <row r="108" customFormat="false" ht="15" hidden="false" customHeight="false" outlineLevel="0" collapsed="false">
      <c r="A108" s="61" t="n">
        <f aca="false">INDEX(Datos_Origen!$A$2:$A$2459,$Z108)</f>
        <v>107</v>
      </c>
      <c r="B108" s="62" t="n">
        <f aca="false">IF(ISNUMBER($AB108),$AB108,IF(MID($AB108,5,1)="-",DATE(VALUE(LEFT($AB108,4)),VALUE(MID($AB108,6,2)),VALUE(RIGHT($AB108,2))),DATE(VALUE(RIGHT($AB108,4)),VALUE(MID($AB108,4,2)),VALUE(LEFT($AB108,2)))))</f>
        <v>45343</v>
      </c>
      <c r="C108" s="61" t="n">
        <f aca="false">YEAR($B108)</f>
        <v>2024</v>
      </c>
      <c r="D108" s="61" t="str">
        <f aca="false">"Q"&amp;ROUNDUP(MONTH($B108)/3,0)</f>
        <v>Q1</v>
      </c>
      <c r="E108" s="61" t="n">
        <f aca="false">MONTH($B108)</f>
        <v>2</v>
      </c>
      <c r="F108" s="61" t="str">
        <f aca="false">INDEX(Parametros!$I$5:$I$16,$E108)</f>
        <v>Feb</v>
      </c>
      <c r="G108" s="61" t="str">
        <f aca="false">TEXT($C108,"0000")&amp;"-"&amp;TEXT($E108,"00")</f>
        <v>2024-02</v>
      </c>
      <c r="H108" s="61" t="str">
        <f aca="false">INDEX(Parametros!$C$71:$C$91,MATCH(TRIM(INDEX(Datos_Origen!$C$2:$C$2459,$Z108)),Parametros!$B$71:$B$91,0))</f>
        <v>AMBA</v>
      </c>
      <c r="I108" s="61" t="str">
        <f aca="false">IF(TRIM($AD108)="",INDEX(Parametros!$I$20:$I$24,MATCH($H108,Parametros!$H$20:$H$24,0)),TRIM($AD108))</f>
        <v>Buenos Aires</v>
      </c>
      <c r="J108" s="61" t="str">
        <f aca="false">INDEX(Parametros!$C$95:$C$106,MATCH(TRIM(INDEX(Datos_Origen!$E$2:$E$2459,$Z108)),Parametros!$B$95:$B$106,0))</f>
        <v>Tienda fisica</v>
      </c>
      <c r="K108" s="61" t="str">
        <f aca="false">INDEX(Parametros!$C$48:$C$67,MATCH(TRIM(INDEX(Datos_Origen!$F$2:$F$2459,$Z108)),Parametros!$B$48:$B$67,0))</f>
        <v>Accesorios</v>
      </c>
      <c r="L108" s="61" t="str">
        <f aca="false">$K108&amp;" "&amp;$C108</f>
        <v>Accesorios 2024</v>
      </c>
      <c r="M108" s="61" t="str">
        <f aca="false">TRIM(INDEX(Datos_Origen!$G$2:$G$2459,$Z108))</f>
        <v>Mouse Inalambrico</v>
      </c>
      <c r="N108" s="61" t="str">
        <f aca="false">$M108&amp;" "&amp;$C108</f>
        <v>Mouse Inalambrico 2024</v>
      </c>
      <c r="O108" s="63" t="n">
        <f aca="false">IF(ISTEXT($AC108),VALUE($AC108),$AC108)</f>
        <v>83</v>
      </c>
      <c r="P108" s="64" t="n">
        <f aca="false">INDEX(Datos_Origen!$I$2:$I$2459,$Z108)</f>
        <v>27.44</v>
      </c>
      <c r="Q108" s="64" t="n">
        <f aca="false">INDEX(Datos_Origen!$J$2:$J$2459,$Z108)</f>
        <v>13.44</v>
      </c>
      <c r="R108" s="65" t="n">
        <f aca="false">ROUND($O108*$P108,2)</f>
        <v>2277.52</v>
      </c>
      <c r="S108" s="65" t="n">
        <f aca="false">ROUND($O108*$Q108,2)</f>
        <v>1115.52</v>
      </c>
      <c r="T108" s="65" t="n">
        <f aca="false">ROUND($R108*SUMIFS(Parametros!$E$28:$E$43,Parametros!$B$28:$B$43,$J108,Parametros!$C$28:$C$43,$C108,Parametros!$D$28:$D$43,$D108),2)</f>
        <v>27.33</v>
      </c>
      <c r="U108" s="65" t="n">
        <f aca="false">$R108-$S108-$T108</f>
        <v>1134.67</v>
      </c>
      <c r="V108" s="66" t="n">
        <f aca="false">IFERROR($U108/$R108,0)</f>
        <v>0.498204187010432</v>
      </c>
      <c r="W108" s="67" t="str">
        <f aca="false">IF(AND($V108&gt;=Parametros!$C$8,$R108&gt;=Parametros!$C$12),"Alta rentabilidad",IF(OR($V108&lt;Parametros!$C$11,$R108&lt;Parametros!$C$13),"Revisar","Estandar"))</f>
        <v>Estandar</v>
      </c>
      <c r="X108" s="67" t="str">
        <f aca="false">IF(AND($J108="E-commerce",IFERROR($T108/$R108,0)&gt;Parametros!$C$14),"Alerta","OK")</f>
        <v>OK</v>
      </c>
      <c r="Y108" s="61" t="str">
        <f aca="false">IF($R108&gt;=Parametros!$C$12,"Alto",IF($R108&lt;Parametros!$C$13,"Bajo","Medio"))</f>
        <v>Medio</v>
      </c>
      <c r="Z108" s="61" t="n">
        <v>1381</v>
      </c>
      <c r="AA108" s="61" t="str">
        <f aca="false">IF(MATCH($A108,Datos_Origen!$A$2:$A$2459,0)=$Z108,"OK","REVISAR")</f>
        <v>OK</v>
      </c>
      <c r="AB108" s="61" t="str">
        <f aca="false">INDEX(Datos_Origen!$B$2:$B$2459,$Z108)</f>
        <v>21/02/2024</v>
      </c>
      <c r="AC108" s="61" t="n">
        <f aca="false">INDEX(Datos_Origen!$H$2:$H$2459,$Z108)</f>
        <v>83</v>
      </c>
      <c r="AD108" s="61" t="str">
        <f aca="false">INDEX(Datos_Origen!$D$2:$D$2459,$Z108)&amp;""</f>
        <v>Buenos Aires</v>
      </c>
    </row>
    <row r="109" customFormat="false" ht="15" hidden="false" customHeight="false" outlineLevel="0" collapsed="false">
      <c r="A109" s="61" t="n">
        <f aca="false">INDEX(Datos_Origen!$A$2:$A$2459,$Z109)</f>
        <v>108</v>
      </c>
      <c r="B109" s="62" t="n">
        <f aca="false">IF(ISNUMBER($AB109),$AB109,IF(MID($AB109,5,1)="-",DATE(VALUE(LEFT($AB109,4)),VALUE(MID($AB109,6,2)),VALUE(RIGHT($AB109,2))),DATE(VALUE(RIGHT($AB109,4)),VALUE(MID($AB109,4,2)),VALUE(LEFT($AB109,2)))))</f>
        <v>45323</v>
      </c>
      <c r="C109" s="61" t="n">
        <f aca="false">YEAR($B109)</f>
        <v>2024</v>
      </c>
      <c r="D109" s="61" t="str">
        <f aca="false">"Q"&amp;ROUNDUP(MONTH($B109)/3,0)</f>
        <v>Q1</v>
      </c>
      <c r="E109" s="61" t="n">
        <f aca="false">MONTH($B109)</f>
        <v>2</v>
      </c>
      <c r="F109" s="61" t="str">
        <f aca="false">INDEX(Parametros!$I$5:$I$16,$E109)</f>
        <v>Feb</v>
      </c>
      <c r="G109" s="61" t="str">
        <f aca="false">TEXT($C109,"0000")&amp;"-"&amp;TEXT($E109,"00")</f>
        <v>2024-02</v>
      </c>
      <c r="H109" s="61" t="str">
        <f aca="false">INDEX(Parametros!$C$71:$C$91,MATCH(TRIM(INDEX(Datos_Origen!$C$2:$C$2459,$Z109)),Parametros!$B$71:$B$91,0))</f>
        <v>AMBA</v>
      </c>
      <c r="I109" s="61" t="str">
        <f aca="false">IF(TRIM($AD109)="",INDEX(Parametros!$I$20:$I$24,MATCH($H109,Parametros!$H$20:$H$24,0)),TRIM($AD109))</f>
        <v>Buenos Aires</v>
      </c>
      <c r="J109" s="61" t="str">
        <f aca="false">INDEX(Parametros!$C$95:$C$106,MATCH(TRIM(INDEX(Datos_Origen!$E$2:$E$2459,$Z109)),Parametros!$B$95:$B$106,0))</f>
        <v>E-commerce</v>
      </c>
      <c r="K109" s="61" t="str">
        <f aca="false">INDEX(Parametros!$C$48:$C$67,MATCH(TRIM(INDEX(Datos_Origen!$F$2:$F$2459,$Z109)),Parametros!$B$48:$B$67,0))</f>
        <v>Accesorios</v>
      </c>
      <c r="L109" s="61" t="str">
        <f aca="false">$K109&amp;" "&amp;$C109</f>
        <v>Accesorios 2024</v>
      </c>
      <c r="M109" s="61" t="str">
        <f aca="false">TRIM(INDEX(Datos_Origen!$G$2:$G$2459,$Z109))</f>
        <v>Mouse Inalambrico</v>
      </c>
      <c r="N109" s="61" t="str">
        <f aca="false">$M109&amp;" "&amp;$C109</f>
        <v>Mouse Inalambrico 2024</v>
      </c>
      <c r="O109" s="63" t="n">
        <f aca="false">IF(ISTEXT($AC109),VALUE($AC109),$AC109)</f>
        <v>35</v>
      </c>
      <c r="P109" s="64" t="n">
        <f aca="false">INDEX(Datos_Origen!$I$2:$I$2459,$Z109)</f>
        <v>27.44</v>
      </c>
      <c r="Q109" s="64" t="n">
        <f aca="false">INDEX(Datos_Origen!$J$2:$J$2459,$Z109)</f>
        <v>13.44</v>
      </c>
      <c r="R109" s="65" t="n">
        <f aca="false">ROUND($O109*$P109,2)</f>
        <v>960.4</v>
      </c>
      <c r="S109" s="65" t="n">
        <f aca="false">ROUND($O109*$Q109,2)</f>
        <v>470.4</v>
      </c>
      <c r="T109" s="65" t="n">
        <f aca="false">ROUND($R109*SUMIFS(Parametros!$E$28:$E$43,Parametros!$B$28:$B$43,$J109,Parametros!$C$28:$C$43,$C109,Parametros!$D$28:$D$43,$D109),2)</f>
        <v>40.34</v>
      </c>
      <c r="U109" s="65" t="n">
        <f aca="false">$R109-$S109-$T109</f>
        <v>449.66</v>
      </c>
      <c r="V109" s="66" t="n">
        <f aca="false">IFERROR($U109/$R109,0)</f>
        <v>0.46820074968763</v>
      </c>
      <c r="W109" s="67" t="str">
        <f aca="false">IF(AND($V109&gt;=Parametros!$C$8,$R109&gt;=Parametros!$C$12),"Alta rentabilidad",IF(OR($V109&lt;Parametros!$C$11,$R109&lt;Parametros!$C$13),"Revisar","Estandar"))</f>
        <v>Estandar</v>
      </c>
      <c r="X109" s="67" t="str">
        <f aca="false">IF(AND($J109="E-commerce",IFERROR($T109/$R109,0)&gt;Parametros!$C$14),"Alerta","OK")</f>
        <v>OK</v>
      </c>
      <c r="Y109" s="61" t="str">
        <f aca="false">IF($R109&gt;=Parametros!$C$12,"Alto",IF($R109&lt;Parametros!$C$13,"Bajo","Medio"))</f>
        <v>Medio</v>
      </c>
      <c r="Z109" s="61" t="n">
        <v>1186</v>
      </c>
      <c r="AA109" s="61" t="str">
        <f aca="false">IF(MATCH($A109,Datos_Origen!$A$2:$A$2459,0)=$Z109,"OK","REVISAR")</f>
        <v>OK</v>
      </c>
      <c r="AB109" s="62" t="n">
        <f aca="false">INDEX(Datos_Origen!$B$2:$B$2459,$Z109)</f>
        <v>45323</v>
      </c>
      <c r="AC109" s="61" t="str">
        <f aca="false">INDEX(Datos_Origen!$H$2:$H$2459,$Z109)</f>
        <v>35</v>
      </c>
      <c r="AD109" s="61" t="str">
        <f aca="false">INDEX(Datos_Origen!$D$2:$D$2459,$Z109)&amp;""</f>
        <v/>
      </c>
    </row>
    <row r="110" customFormat="false" ht="15" hidden="false" customHeight="false" outlineLevel="0" collapsed="false">
      <c r="A110" s="61" t="n">
        <f aca="false">INDEX(Datos_Origen!$A$2:$A$2459,$Z110)</f>
        <v>109</v>
      </c>
      <c r="B110" s="62" t="n">
        <f aca="false">IF(ISNUMBER($AB110),$AB110,IF(MID($AB110,5,1)="-",DATE(VALUE(LEFT($AB110,4)),VALUE(MID($AB110,6,2)),VALUE(RIGHT($AB110,2))),DATE(VALUE(RIGHT($AB110,4)),VALUE(MID($AB110,4,2)),VALUE(LEFT($AB110,2)))))</f>
        <v>45330</v>
      </c>
      <c r="C110" s="61" t="n">
        <f aca="false">YEAR($B110)</f>
        <v>2024</v>
      </c>
      <c r="D110" s="61" t="str">
        <f aca="false">"Q"&amp;ROUNDUP(MONTH($B110)/3,0)</f>
        <v>Q1</v>
      </c>
      <c r="E110" s="61" t="n">
        <f aca="false">MONTH($B110)</f>
        <v>2</v>
      </c>
      <c r="F110" s="61" t="str">
        <f aca="false">INDEX(Parametros!$I$5:$I$16,$E110)</f>
        <v>Feb</v>
      </c>
      <c r="G110" s="61" t="str">
        <f aca="false">TEXT($C110,"0000")&amp;"-"&amp;TEXT($E110,"00")</f>
        <v>2024-02</v>
      </c>
      <c r="H110" s="61" t="str">
        <f aca="false">INDEX(Parametros!$C$71:$C$91,MATCH(TRIM(INDEX(Datos_Origen!$C$2:$C$2459,$Z110)),Parametros!$B$71:$B$91,0))</f>
        <v>AMBA</v>
      </c>
      <c r="I110" s="61" t="str">
        <f aca="false">IF(TRIM($AD110)="",INDEX(Parametros!$I$20:$I$24,MATCH($H110,Parametros!$H$20:$H$24,0)),TRIM($AD110))</f>
        <v>Buenos Aires</v>
      </c>
      <c r="J110" s="61" t="str">
        <f aca="false">INDEX(Parametros!$C$95:$C$106,MATCH(TRIM(INDEX(Datos_Origen!$E$2:$E$2459,$Z110)),Parametros!$B$95:$B$106,0))</f>
        <v>Tienda fisica</v>
      </c>
      <c r="K110" s="61" t="str">
        <f aca="false">INDEX(Parametros!$C$48:$C$67,MATCH(TRIM(INDEX(Datos_Origen!$F$2:$F$2459,$Z110)),Parametros!$B$48:$B$67,0))</f>
        <v>Accesorios</v>
      </c>
      <c r="L110" s="61" t="str">
        <f aca="false">$K110&amp;" "&amp;$C110</f>
        <v>Accesorios 2024</v>
      </c>
      <c r="M110" s="61" t="str">
        <f aca="false">TRIM(INDEX(Datos_Origen!$G$2:$G$2459,$Z110))</f>
        <v>Teclado Mecanico</v>
      </c>
      <c r="N110" s="61" t="str">
        <f aca="false">$M110&amp;" "&amp;$C110</f>
        <v>Teclado Mecanico 2024</v>
      </c>
      <c r="O110" s="63" t="n">
        <f aca="false">IF(ISTEXT($AC110),VALUE($AC110),$AC110)</f>
        <v>72</v>
      </c>
      <c r="P110" s="64" t="n">
        <f aca="false">INDEX(Datos_Origen!$I$2:$I$2459,$Z110)</f>
        <v>93.1</v>
      </c>
      <c r="Q110" s="64" t="n">
        <f aca="false">INDEX(Datos_Origen!$J$2:$J$2459,$Z110)</f>
        <v>47.98</v>
      </c>
      <c r="R110" s="65" t="n">
        <f aca="false">ROUND($O110*$P110,2)</f>
        <v>6703.2</v>
      </c>
      <c r="S110" s="65" t="n">
        <f aca="false">ROUND($O110*$Q110,2)</f>
        <v>3454.56</v>
      </c>
      <c r="T110" s="65" t="n">
        <f aca="false">ROUND($R110*SUMIFS(Parametros!$E$28:$E$43,Parametros!$B$28:$B$43,$J110,Parametros!$C$28:$C$43,$C110,Parametros!$D$28:$D$43,$D110),2)</f>
        <v>80.44</v>
      </c>
      <c r="U110" s="65" t="n">
        <f aca="false">$R110-$S110-$T110</f>
        <v>3168.2</v>
      </c>
      <c r="V110" s="66" t="n">
        <f aca="false">IFERROR($U110/$R110,0)</f>
        <v>0.472639933166249</v>
      </c>
      <c r="W110" s="67" t="str">
        <f aca="false">IF(AND($V110&gt;=Parametros!$C$8,$R110&gt;=Parametros!$C$12),"Alta rentabilidad",IF(OR($V110&lt;Parametros!$C$11,$R110&lt;Parametros!$C$13),"Revisar","Estandar"))</f>
        <v>Alta rentabilidad</v>
      </c>
      <c r="X110" s="67" t="str">
        <f aca="false">IF(AND($J110="E-commerce",IFERROR($T110/$R110,0)&gt;Parametros!$C$14),"Alerta","OK")</f>
        <v>OK</v>
      </c>
      <c r="Y110" s="61" t="str">
        <f aca="false">IF($R110&gt;=Parametros!$C$12,"Alto",IF($R110&lt;Parametros!$C$13,"Bajo","Medio"))</f>
        <v>Alto</v>
      </c>
      <c r="Z110" s="61" t="n">
        <v>1695</v>
      </c>
      <c r="AA110" s="61" t="str">
        <f aca="false">IF(MATCH($A110,Datos_Origen!$A$2:$A$2459,0)=$Z110,"OK","REVISAR")</f>
        <v>OK</v>
      </c>
      <c r="AB110" s="62" t="n">
        <f aca="false">INDEX(Datos_Origen!$B$2:$B$2459,$Z110)</f>
        <v>45330</v>
      </c>
      <c r="AC110" s="61" t="n">
        <f aca="false">INDEX(Datos_Origen!$H$2:$H$2459,$Z110)</f>
        <v>72</v>
      </c>
      <c r="AD110" s="61" t="str">
        <f aca="false">INDEX(Datos_Origen!$D$2:$D$2459,$Z110)&amp;""</f>
        <v>Buenos Aires</v>
      </c>
    </row>
    <row r="111" customFormat="false" ht="15" hidden="false" customHeight="false" outlineLevel="0" collapsed="false">
      <c r="A111" s="61" t="n">
        <f aca="false">INDEX(Datos_Origen!$A$2:$A$2459,$Z111)</f>
        <v>110</v>
      </c>
      <c r="B111" s="62" t="n">
        <f aca="false">IF(ISNUMBER($AB111),$AB111,IF(MID($AB111,5,1)="-",DATE(VALUE(LEFT($AB111,4)),VALUE(MID($AB111,6,2)),VALUE(RIGHT($AB111,2))),DATE(VALUE(RIGHT($AB111,4)),VALUE(MID($AB111,4,2)),VALUE(LEFT($AB111,2)))))</f>
        <v>45337</v>
      </c>
      <c r="C111" s="61" t="n">
        <f aca="false">YEAR($B111)</f>
        <v>2024</v>
      </c>
      <c r="D111" s="61" t="str">
        <f aca="false">"Q"&amp;ROUNDUP(MONTH($B111)/3,0)</f>
        <v>Q1</v>
      </c>
      <c r="E111" s="61" t="n">
        <f aca="false">MONTH($B111)</f>
        <v>2</v>
      </c>
      <c r="F111" s="61" t="str">
        <f aca="false">INDEX(Parametros!$I$5:$I$16,$E111)</f>
        <v>Feb</v>
      </c>
      <c r="G111" s="61" t="str">
        <f aca="false">TEXT($C111,"0000")&amp;"-"&amp;TEXT($E111,"00")</f>
        <v>2024-02</v>
      </c>
      <c r="H111" s="61" t="str">
        <f aca="false">INDEX(Parametros!$C$71:$C$91,MATCH(TRIM(INDEX(Datos_Origen!$C$2:$C$2459,$Z111)),Parametros!$B$71:$B$91,0))</f>
        <v>AMBA</v>
      </c>
      <c r="I111" s="61" t="str">
        <f aca="false">IF(TRIM($AD111)="",INDEX(Parametros!$I$20:$I$24,MATCH($H111,Parametros!$H$20:$H$24,0)),TRIM($AD111))</f>
        <v>Buenos Aires</v>
      </c>
      <c r="J111" s="61" t="str">
        <f aca="false">INDEX(Parametros!$C$95:$C$106,MATCH(TRIM(INDEX(Datos_Origen!$E$2:$E$2459,$Z111)),Parametros!$B$95:$B$106,0))</f>
        <v>E-commerce</v>
      </c>
      <c r="K111" s="61" t="str">
        <f aca="false">INDEX(Parametros!$C$48:$C$67,MATCH(TRIM(INDEX(Datos_Origen!$F$2:$F$2459,$Z111)),Parametros!$B$48:$B$67,0))</f>
        <v>Accesorios</v>
      </c>
      <c r="L111" s="61" t="str">
        <f aca="false">$K111&amp;" "&amp;$C111</f>
        <v>Accesorios 2024</v>
      </c>
      <c r="M111" s="61" t="str">
        <f aca="false">TRIM(INDEX(Datos_Origen!$G$2:$G$2459,$Z111))</f>
        <v>Teclado Mecanico</v>
      </c>
      <c r="N111" s="61" t="str">
        <f aca="false">$M111&amp;" "&amp;$C111</f>
        <v>Teclado Mecanico 2024</v>
      </c>
      <c r="O111" s="63" t="n">
        <f aca="false">IF(ISTEXT($AC111),VALUE($AC111),$AC111)</f>
        <v>27</v>
      </c>
      <c r="P111" s="64" t="n">
        <f aca="false">INDEX(Datos_Origen!$I$2:$I$2459,$Z111)</f>
        <v>93.1</v>
      </c>
      <c r="Q111" s="64" t="n">
        <f aca="false">INDEX(Datos_Origen!$J$2:$J$2459,$Z111)</f>
        <v>47.98</v>
      </c>
      <c r="R111" s="65" t="n">
        <f aca="false">ROUND($O111*$P111,2)</f>
        <v>2513.7</v>
      </c>
      <c r="S111" s="65" t="n">
        <f aca="false">ROUND($O111*$Q111,2)</f>
        <v>1295.46</v>
      </c>
      <c r="T111" s="65" t="n">
        <f aca="false">ROUND($R111*SUMIFS(Parametros!$E$28:$E$43,Parametros!$B$28:$B$43,$J111,Parametros!$C$28:$C$43,$C111,Parametros!$D$28:$D$43,$D111),2)</f>
        <v>105.58</v>
      </c>
      <c r="U111" s="65" t="n">
        <f aca="false">$R111-$S111-$T111</f>
        <v>1112.66</v>
      </c>
      <c r="V111" s="66" t="n">
        <f aca="false">IFERROR($U111/$R111,0)</f>
        <v>0.442638341886462</v>
      </c>
      <c r="W111" s="67" t="str">
        <f aca="false">IF(AND($V111&gt;=Parametros!$C$8,$R111&gt;=Parametros!$C$12),"Alta rentabilidad",IF(OR($V111&lt;Parametros!$C$11,$R111&lt;Parametros!$C$13),"Revisar","Estandar"))</f>
        <v>Estandar</v>
      </c>
      <c r="X111" s="67" t="str">
        <f aca="false">IF(AND($J111="E-commerce",IFERROR($T111/$R111,0)&gt;Parametros!$C$14),"Alerta","OK")</f>
        <v>OK</v>
      </c>
      <c r="Y111" s="61" t="str">
        <f aca="false">IF($R111&gt;=Parametros!$C$12,"Alto",IF($R111&lt;Parametros!$C$13,"Bajo","Medio"))</f>
        <v>Medio</v>
      </c>
      <c r="Z111" s="61" t="n">
        <v>2205</v>
      </c>
      <c r="AA111" s="61" t="str">
        <f aca="false">IF(MATCH($A111,Datos_Origen!$A$2:$A$2459,0)=$Z111,"OK","REVISAR")</f>
        <v>OK</v>
      </c>
      <c r="AB111" s="61" t="str">
        <f aca="false">INDEX(Datos_Origen!$B$2:$B$2459,$Z111)</f>
        <v>15/02/2024</v>
      </c>
      <c r="AC111" s="61" t="n">
        <f aca="false">INDEX(Datos_Origen!$H$2:$H$2459,$Z111)</f>
        <v>27</v>
      </c>
      <c r="AD111" s="61" t="str">
        <f aca="false">INDEX(Datos_Origen!$D$2:$D$2459,$Z111)&amp;""</f>
        <v/>
      </c>
    </row>
    <row r="112" customFormat="false" ht="15" hidden="false" customHeight="false" outlineLevel="0" collapsed="false">
      <c r="A112" s="61" t="n">
        <f aca="false">INDEX(Datos_Origen!$A$2:$A$2459,$Z112)</f>
        <v>111</v>
      </c>
      <c r="B112" s="62" t="n">
        <f aca="false">IF(ISNUMBER($AB112),$AB112,IF(MID($AB112,5,1)="-",DATE(VALUE(LEFT($AB112,4)),VALUE(MID($AB112,6,2)),VALUE(RIGHT($AB112,2))),DATE(VALUE(RIGHT($AB112,4)),VALUE(MID($AB112,4,2)),VALUE(LEFT($AB112,2)))))</f>
        <v>45344</v>
      </c>
      <c r="C112" s="61" t="n">
        <f aca="false">YEAR($B112)</f>
        <v>2024</v>
      </c>
      <c r="D112" s="61" t="str">
        <f aca="false">"Q"&amp;ROUNDUP(MONTH($B112)/3,0)</f>
        <v>Q1</v>
      </c>
      <c r="E112" s="61" t="n">
        <f aca="false">MONTH($B112)</f>
        <v>2</v>
      </c>
      <c r="F112" s="61" t="str">
        <f aca="false">INDEX(Parametros!$I$5:$I$16,$E112)</f>
        <v>Feb</v>
      </c>
      <c r="G112" s="61" t="str">
        <f aca="false">TEXT($C112,"0000")&amp;"-"&amp;TEXT($E112,"00")</f>
        <v>2024-02</v>
      </c>
      <c r="H112" s="61" t="str">
        <f aca="false">INDEX(Parametros!$C$71:$C$91,MATCH(TRIM(INDEX(Datos_Origen!$C$2:$C$2459,$Z112)),Parametros!$B$71:$B$91,0))</f>
        <v>AMBA</v>
      </c>
      <c r="I112" s="61" t="str">
        <f aca="false">IF(TRIM($AD112)="",INDEX(Parametros!$I$20:$I$24,MATCH($H112,Parametros!$H$20:$H$24,0)),TRIM($AD112))</f>
        <v>Buenos Aires</v>
      </c>
      <c r="J112" s="61" t="str">
        <f aca="false">INDEX(Parametros!$C$95:$C$106,MATCH(TRIM(INDEX(Datos_Origen!$E$2:$E$2459,$Z112)),Parametros!$B$95:$B$106,0))</f>
        <v>Tienda fisica</v>
      </c>
      <c r="K112" s="61" t="str">
        <f aca="false">INDEX(Parametros!$C$48:$C$67,MATCH(TRIM(INDEX(Datos_Origen!$F$2:$F$2459,$Z112)),Parametros!$B$48:$B$67,0))</f>
        <v>Accesorios</v>
      </c>
      <c r="L112" s="61" t="str">
        <f aca="false">$K112&amp;" "&amp;$C112</f>
        <v>Accesorios 2024</v>
      </c>
      <c r="M112" s="61" t="str">
        <f aca="false">TRIM(INDEX(Datos_Origen!$G$2:$G$2459,$Z112))</f>
        <v>Webcam Full HD</v>
      </c>
      <c r="N112" s="61" t="str">
        <f aca="false">$M112&amp;" "&amp;$C112</f>
        <v>Webcam Full HD 2024</v>
      </c>
      <c r="O112" s="63" t="n">
        <f aca="false">IF(ISTEXT($AC112),VALUE($AC112),$AC112)</f>
        <v>72</v>
      </c>
      <c r="P112" s="64" t="n">
        <f aca="false">INDEX(Datos_Origen!$I$2:$I$2459,$Z112)</f>
        <v>63.7</v>
      </c>
      <c r="Q112" s="64" t="n">
        <f aca="false">INDEX(Datos_Origen!$J$2:$J$2459,$Z112)</f>
        <v>35.43</v>
      </c>
      <c r="R112" s="65" t="n">
        <f aca="false">ROUND($O112*$P112,2)</f>
        <v>4586.4</v>
      </c>
      <c r="S112" s="65" t="n">
        <f aca="false">ROUND($O112*$Q112,2)</f>
        <v>2550.96</v>
      </c>
      <c r="T112" s="65" t="n">
        <f aca="false">ROUND($R112*SUMIFS(Parametros!$E$28:$E$43,Parametros!$B$28:$B$43,$J112,Parametros!$C$28:$C$43,$C112,Parametros!$D$28:$D$43,$D112),2)</f>
        <v>55.04</v>
      </c>
      <c r="U112" s="65" t="n">
        <f aca="false">$R112-$S112-$T112</f>
        <v>1980.4</v>
      </c>
      <c r="V112" s="66" t="n">
        <f aca="false">IFERROR($U112/$R112,0)</f>
        <v>0.431798360369789</v>
      </c>
      <c r="W112" s="67" t="str">
        <f aca="false">IF(AND($V112&gt;=Parametros!$C$8,$R112&gt;=Parametros!$C$12),"Alta rentabilidad",IF(OR($V112&lt;Parametros!$C$11,$R112&lt;Parametros!$C$13),"Revisar","Estandar"))</f>
        <v>Alta rentabilidad</v>
      </c>
      <c r="X112" s="67" t="str">
        <f aca="false">IF(AND($J112="E-commerce",IFERROR($T112/$R112,0)&gt;Parametros!$C$14),"Alerta","OK")</f>
        <v>OK</v>
      </c>
      <c r="Y112" s="61" t="str">
        <f aca="false">IF($R112&gt;=Parametros!$C$12,"Alto",IF($R112&lt;Parametros!$C$13,"Bajo","Medio"))</f>
        <v>Alto</v>
      </c>
      <c r="Z112" s="61" t="n">
        <v>2120</v>
      </c>
      <c r="AA112" s="61" t="str">
        <f aca="false">IF(MATCH($A112,Datos_Origen!$A$2:$A$2459,0)=$Z112,"OK","REVISAR")</f>
        <v>OK</v>
      </c>
      <c r="AB112" s="62" t="n">
        <f aca="false">INDEX(Datos_Origen!$B$2:$B$2459,$Z112)</f>
        <v>45344</v>
      </c>
      <c r="AC112" s="61" t="str">
        <f aca="false">INDEX(Datos_Origen!$H$2:$H$2459,$Z112)</f>
        <v>72</v>
      </c>
      <c r="AD112" s="61" t="str">
        <f aca="false">INDEX(Datos_Origen!$D$2:$D$2459,$Z112)&amp;""</f>
        <v>Buenos Aires</v>
      </c>
    </row>
    <row r="113" customFormat="false" ht="15" hidden="false" customHeight="false" outlineLevel="0" collapsed="false">
      <c r="A113" s="61" t="n">
        <f aca="false">INDEX(Datos_Origen!$A$2:$A$2459,$Z113)</f>
        <v>112</v>
      </c>
      <c r="B113" s="62" t="n">
        <f aca="false">IF(ISNUMBER($AB113),$AB113,IF(MID($AB113,5,1)="-",DATE(VALUE(LEFT($AB113,4)),VALUE(MID($AB113,6,2)),VALUE(RIGHT($AB113,2))),DATE(VALUE(RIGHT($AB113,4)),VALUE(MID($AB113,4,2)),VALUE(LEFT($AB113,2)))))</f>
        <v>45324</v>
      </c>
      <c r="C113" s="61" t="n">
        <f aca="false">YEAR($B113)</f>
        <v>2024</v>
      </c>
      <c r="D113" s="61" t="str">
        <f aca="false">"Q"&amp;ROUNDUP(MONTH($B113)/3,0)</f>
        <v>Q1</v>
      </c>
      <c r="E113" s="61" t="n">
        <f aca="false">MONTH($B113)</f>
        <v>2</v>
      </c>
      <c r="F113" s="61" t="str">
        <f aca="false">INDEX(Parametros!$I$5:$I$16,$E113)</f>
        <v>Feb</v>
      </c>
      <c r="G113" s="61" t="str">
        <f aca="false">TEXT($C113,"0000")&amp;"-"&amp;TEXT($E113,"00")</f>
        <v>2024-02</v>
      </c>
      <c r="H113" s="61" t="str">
        <f aca="false">INDEX(Parametros!$C$71:$C$91,MATCH(TRIM(INDEX(Datos_Origen!$C$2:$C$2459,$Z113)),Parametros!$B$71:$B$91,0))</f>
        <v>AMBA</v>
      </c>
      <c r="I113" s="61" t="str">
        <f aca="false">IF(TRIM($AD113)="",INDEX(Parametros!$I$20:$I$24,MATCH($H113,Parametros!$H$20:$H$24,0)),TRIM($AD113))</f>
        <v>Buenos Aires</v>
      </c>
      <c r="J113" s="61" t="str">
        <f aca="false">INDEX(Parametros!$C$95:$C$106,MATCH(TRIM(INDEX(Datos_Origen!$E$2:$E$2459,$Z113)),Parametros!$B$95:$B$106,0))</f>
        <v>E-commerce</v>
      </c>
      <c r="K113" s="61" t="str">
        <f aca="false">INDEX(Parametros!$C$48:$C$67,MATCH(TRIM(INDEX(Datos_Origen!$F$2:$F$2459,$Z113)),Parametros!$B$48:$B$67,0))</f>
        <v>Accesorios</v>
      </c>
      <c r="L113" s="61" t="str">
        <f aca="false">$K113&amp;" "&amp;$C113</f>
        <v>Accesorios 2024</v>
      </c>
      <c r="M113" s="61" t="str">
        <f aca="false">TRIM(INDEX(Datos_Origen!$G$2:$G$2459,$Z113))</f>
        <v>Webcam Full HD</v>
      </c>
      <c r="N113" s="61" t="str">
        <f aca="false">$M113&amp;" "&amp;$C113</f>
        <v>Webcam Full HD 2024</v>
      </c>
      <c r="O113" s="63" t="n">
        <f aca="false">IF(ISTEXT($AC113),VALUE($AC113),$AC113)</f>
        <v>27</v>
      </c>
      <c r="P113" s="64" t="n">
        <f aca="false">INDEX(Datos_Origen!$I$2:$I$2459,$Z113)</f>
        <v>63.7</v>
      </c>
      <c r="Q113" s="64" t="n">
        <f aca="false">INDEX(Datos_Origen!$J$2:$J$2459,$Z113)</f>
        <v>35.43</v>
      </c>
      <c r="R113" s="65" t="n">
        <f aca="false">ROUND($O113*$P113,2)</f>
        <v>1719.9</v>
      </c>
      <c r="S113" s="65" t="n">
        <f aca="false">ROUND($O113*$Q113,2)</f>
        <v>956.61</v>
      </c>
      <c r="T113" s="65" t="n">
        <f aca="false">ROUND($R113*SUMIFS(Parametros!$E$28:$E$43,Parametros!$B$28:$B$43,$J113,Parametros!$C$28:$C$43,$C113,Parametros!$D$28:$D$43,$D113),2)</f>
        <v>72.24</v>
      </c>
      <c r="U113" s="65" t="n">
        <f aca="false">$R113-$S113-$T113</f>
        <v>691.05</v>
      </c>
      <c r="V113" s="66" t="n">
        <f aca="false">IFERROR($U113/$R113,0)</f>
        <v>0.40179661608233</v>
      </c>
      <c r="W113" s="67" t="str">
        <f aca="false">IF(AND($V113&gt;=Parametros!$C$8,$R113&gt;=Parametros!$C$12),"Alta rentabilidad",IF(OR($V113&lt;Parametros!$C$11,$R113&lt;Parametros!$C$13),"Revisar","Estandar"))</f>
        <v>Estandar</v>
      </c>
      <c r="X113" s="67" t="str">
        <f aca="false">IF(AND($J113="E-commerce",IFERROR($T113/$R113,0)&gt;Parametros!$C$14),"Alerta","OK")</f>
        <v>OK</v>
      </c>
      <c r="Y113" s="61" t="str">
        <f aca="false">IF($R113&gt;=Parametros!$C$12,"Alto",IF($R113&lt;Parametros!$C$13,"Bajo","Medio"))</f>
        <v>Medio</v>
      </c>
      <c r="Z113" s="61" t="n">
        <v>2187</v>
      </c>
      <c r="AA113" s="61" t="str">
        <f aca="false">IF(MATCH($A113,Datos_Origen!$A$2:$A$2459,0)=$Z113,"OK","REVISAR")</f>
        <v>OK</v>
      </c>
      <c r="AB113" s="62" t="n">
        <f aca="false">INDEX(Datos_Origen!$B$2:$B$2459,$Z113)</f>
        <v>45324</v>
      </c>
      <c r="AC113" s="61" t="n">
        <f aca="false">INDEX(Datos_Origen!$H$2:$H$2459,$Z113)</f>
        <v>27</v>
      </c>
      <c r="AD113" s="61" t="str">
        <f aca="false">INDEX(Datos_Origen!$D$2:$D$2459,$Z113)&amp;""</f>
        <v>Buenos Aires</v>
      </c>
    </row>
    <row r="114" customFormat="false" ht="15" hidden="false" customHeight="false" outlineLevel="0" collapsed="false">
      <c r="A114" s="61" t="n">
        <f aca="false">INDEX(Datos_Origen!$A$2:$A$2459,$Z114)</f>
        <v>113</v>
      </c>
      <c r="B114" s="62" t="n">
        <f aca="false">IF(ISNUMBER($AB114),$AB114,IF(MID($AB114,5,1)="-",DATE(VALUE(LEFT($AB114,4)),VALUE(MID($AB114,6,2)),VALUE(RIGHT($AB114,2))),DATE(VALUE(RIGHT($AB114,4)),VALUE(MID($AB114,4,2)),VALUE(LEFT($AB114,2)))))</f>
        <v>45331</v>
      </c>
      <c r="C114" s="61" t="n">
        <f aca="false">YEAR($B114)</f>
        <v>2024</v>
      </c>
      <c r="D114" s="61" t="str">
        <f aca="false">"Q"&amp;ROUNDUP(MONTH($B114)/3,0)</f>
        <v>Q1</v>
      </c>
      <c r="E114" s="61" t="n">
        <f aca="false">MONTH($B114)</f>
        <v>2</v>
      </c>
      <c r="F114" s="61" t="str">
        <f aca="false">INDEX(Parametros!$I$5:$I$16,$E114)</f>
        <v>Feb</v>
      </c>
      <c r="G114" s="61" t="str">
        <f aca="false">TEXT($C114,"0000")&amp;"-"&amp;TEXT($E114,"00")</f>
        <v>2024-02</v>
      </c>
      <c r="H114" s="61" t="str">
        <f aca="false">INDEX(Parametros!$C$71:$C$91,MATCH(TRIM(INDEX(Datos_Origen!$C$2:$C$2459,$Z114)),Parametros!$B$71:$B$91,0))</f>
        <v>AMBA</v>
      </c>
      <c r="I114" s="61" t="str">
        <f aca="false">IF(TRIM($AD114)="",INDEX(Parametros!$I$20:$I$24,MATCH($H114,Parametros!$H$20:$H$24,0)),TRIM($AD114))</f>
        <v>Buenos Aires</v>
      </c>
      <c r="J114" s="61" t="str">
        <f aca="false">INDEX(Parametros!$C$95:$C$106,MATCH(TRIM(INDEX(Datos_Origen!$E$2:$E$2459,$Z114)),Parametros!$B$95:$B$106,0))</f>
        <v>Tienda fisica</v>
      </c>
      <c r="K114" s="61" t="str">
        <f aca="false">INDEX(Parametros!$C$48:$C$67,MATCH(TRIM(INDEX(Datos_Origen!$F$2:$F$2459,$Z114)),Parametros!$B$48:$B$67,0))</f>
        <v>Audio</v>
      </c>
      <c r="L114" s="61" t="str">
        <f aca="false">$K114&amp;" "&amp;$C114</f>
        <v>Audio 2024</v>
      </c>
      <c r="M114" s="61" t="str">
        <f aca="false">TRIM(INDEX(Datos_Origen!$G$2:$G$2459,$Z114))</f>
        <v>Auriculares BT Pro</v>
      </c>
      <c r="N114" s="61" t="str">
        <f aca="false">$M114&amp;" "&amp;$C114</f>
        <v>Auriculares BT Pro 2024</v>
      </c>
      <c r="O114" s="63" t="n">
        <f aca="false">IF(ISTEXT($AC114),VALUE($AC114),$AC114)</f>
        <v>40</v>
      </c>
      <c r="P114" s="64" t="n">
        <f aca="false">INDEX(Datos_Origen!$I$2:$I$2459,$Z114)</f>
        <v>117.6</v>
      </c>
      <c r="Q114" s="64" t="n">
        <f aca="false">INDEX(Datos_Origen!$J$2:$J$2459,$Z114)</f>
        <v>63.6</v>
      </c>
      <c r="R114" s="65" t="n">
        <f aca="false">ROUND($O114*$P114,2)</f>
        <v>4704</v>
      </c>
      <c r="S114" s="65" t="n">
        <f aca="false">ROUND($O114*$Q114,2)</f>
        <v>2544</v>
      </c>
      <c r="T114" s="65" t="n">
        <f aca="false">ROUND($R114*SUMIFS(Parametros!$E$28:$E$43,Parametros!$B$28:$B$43,$J114,Parametros!$C$28:$C$43,$C114,Parametros!$D$28:$D$43,$D114),2)</f>
        <v>56.45</v>
      </c>
      <c r="U114" s="65" t="n">
        <f aca="false">$R114-$S114-$T114</f>
        <v>2103.55</v>
      </c>
      <c r="V114" s="66" t="n">
        <f aca="false">IFERROR($U114/$R114,0)</f>
        <v>0.44718324829932</v>
      </c>
      <c r="W114" s="67" t="str">
        <f aca="false">IF(AND($V114&gt;=Parametros!$C$8,$R114&gt;=Parametros!$C$12),"Alta rentabilidad",IF(OR($V114&lt;Parametros!$C$11,$R114&lt;Parametros!$C$13),"Revisar","Estandar"))</f>
        <v>Alta rentabilidad</v>
      </c>
      <c r="X114" s="67" t="str">
        <f aca="false">IF(AND($J114="E-commerce",IFERROR($T114/$R114,0)&gt;Parametros!$C$14),"Alerta","OK")</f>
        <v>OK</v>
      </c>
      <c r="Y114" s="61" t="str">
        <f aca="false">IF($R114&gt;=Parametros!$C$12,"Alto",IF($R114&lt;Parametros!$C$13,"Bajo","Medio"))</f>
        <v>Alto</v>
      </c>
      <c r="Z114" s="61" t="n">
        <v>37</v>
      </c>
      <c r="AA114" s="61" t="str">
        <f aca="false">IF(MATCH($A114,Datos_Origen!$A$2:$A$2459,0)=$Z114,"OK","REVISAR")</f>
        <v>OK</v>
      </c>
      <c r="AB114" s="61" t="str">
        <f aca="false">INDEX(Datos_Origen!$B$2:$B$2459,$Z114)</f>
        <v>2024-02-09</v>
      </c>
      <c r="AC114" s="61" t="n">
        <f aca="false">INDEX(Datos_Origen!$H$2:$H$2459,$Z114)</f>
        <v>40</v>
      </c>
      <c r="AD114" s="61" t="str">
        <f aca="false">INDEX(Datos_Origen!$D$2:$D$2459,$Z114)&amp;""</f>
        <v>Buenos Aires</v>
      </c>
    </row>
    <row r="115" customFormat="false" ht="15" hidden="false" customHeight="false" outlineLevel="0" collapsed="false">
      <c r="A115" s="61" t="n">
        <f aca="false">INDEX(Datos_Origen!$A$2:$A$2459,$Z115)</f>
        <v>114</v>
      </c>
      <c r="B115" s="62" t="n">
        <f aca="false">IF(ISNUMBER($AB115),$AB115,IF(MID($AB115,5,1)="-",DATE(VALUE(LEFT($AB115,4)),VALUE(MID($AB115,6,2)),VALUE(RIGHT($AB115,2))),DATE(VALUE(RIGHT($AB115,4)),VALUE(MID($AB115,4,2)),VALUE(LEFT($AB115,2)))))</f>
        <v>45338</v>
      </c>
      <c r="C115" s="61" t="n">
        <f aca="false">YEAR($B115)</f>
        <v>2024</v>
      </c>
      <c r="D115" s="61" t="str">
        <f aca="false">"Q"&amp;ROUNDUP(MONTH($B115)/3,0)</f>
        <v>Q1</v>
      </c>
      <c r="E115" s="61" t="n">
        <f aca="false">MONTH($B115)</f>
        <v>2</v>
      </c>
      <c r="F115" s="61" t="str">
        <f aca="false">INDEX(Parametros!$I$5:$I$16,$E115)</f>
        <v>Feb</v>
      </c>
      <c r="G115" s="61" t="str">
        <f aca="false">TEXT($C115,"0000")&amp;"-"&amp;TEXT($E115,"00")</f>
        <v>2024-02</v>
      </c>
      <c r="H115" s="61" t="str">
        <f aca="false">INDEX(Parametros!$C$71:$C$91,MATCH(TRIM(INDEX(Datos_Origen!$C$2:$C$2459,$Z115)),Parametros!$B$71:$B$91,0))</f>
        <v>AMBA</v>
      </c>
      <c r="I115" s="61" t="str">
        <f aca="false">IF(TRIM($AD115)="",INDEX(Parametros!$I$20:$I$24,MATCH($H115,Parametros!$H$20:$H$24,0)),TRIM($AD115))</f>
        <v>Buenos Aires</v>
      </c>
      <c r="J115" s="61" t="str">
        <f aca="false">INDEX(Parametros!$C$95:$C$106,MATCH(TRIM(INDEX(Datos_Origen!$E$2:$E$2459,$Z115)),Parametros!$B$95:$B$106,0))</f>
        <v>E-commerce</v>
      </c>
      <c r="K115" s="61" t="str">
        <f aca="false">INDEX(Parametros!$C$48:$C$67,MATCH(TRIM(INDEX(Datos_Origen!$F$2:$F$2459,$Z115)),Parametros!$B$48:$B$67,0))</f>
        <v>Audio</v>
      </c>
      <c r="L115" s="61" t="str">
        <f aca="false">$K115&amp;" "&amp;$C115</f>
        <v>Audio 2024</v>
      </c>
      <c r="M115" s="61" t="str">
        <f aca="false">TRIM(INDEX(Datos_Origen!$G$2:$G$2459,$Z115))</f>
        <v>Auriculares BT Pro</v>
      </c>
      <c r="N115" s="61" t="str">
        <f aca="false">$M115&amp;" "&amp;$C115</f>
        <v>Auriculares BT Pro 2024</v>
      </c>
      <c r="O115" s="63" t="n">
        <f aca="false">IF(ISTEXT($AC115),VALUE($AC115),$AC115)</f>
        <v>12</v>
      </c>
      <c r="P115" s="64" t="n">
        <f aca="false">INDEX(Datos_Origen!$I$2:$I$2459,$Z115)</f>
        <v>117.6</v>
      </c>
      <c r="Q115" s="64" t="n">
        <f aca="false">INDEX(Datos_Origen!$J$2:$J$2459,$Z115)</f>
        <v>63.6</v>
      </c>
      <c r="R115" s="65" t="n">
        <f aca="false">ROUND($O115*$P115,2)</f>
        <v>1411.2</v>
      </c>
      <c r="S115" s="65" t="n">
        <f aca="false">ROUND($O115*$Q115,2)</f>
        <v>763.2</v>
      </c>
      <c r="T115" s="65" t="n">
        <f aca="false">ROUND($R115*SUMIFS(Parametros!$E$28:$E$43,Parametros!$B$28:$B$43,$J115,Parametros!$C$28:$C$43,$C115,Parametros!$D$28:$D$43,$D115),2)</f>
        <v>59.27</v>
      </c>
      <c r="U115" s="65" t="n">
        <f aca="false">$R115-$S115-$T115</f>
        <v>588.73</v>
      </c>
      <c r="V115" s="66" t="n">
        <f aca="false">IFERROR($U115/$R115,0)</f>
        <v>0.4171839569161</v>
      </c>
      <c r="W115" s="67" t="str">
        <f aca="false">IF(AND($V115&gt;=Parametros!$C$8,$R115&gt;=Parametros!$C$12),"Alta rentabilidad",IF(OR($V115&lt;Parametros!$C$11,$R115&lt;Parametros!$C$13),"Revisar","Estandar"))</f>
        <v>Estandar</v>
      </c>
      <c r="X115" s="67" t="str">
        <f aca="false">IF(AND($J115="E-commerce",IFERROR($T115/$R115,0)&gt;Parametros!$C$14),"Alerta","OK")</f>
        <v>OK</v>
      </c>
      <c r="Y115" s="61" t="str">
        <f aca="false">IF($R115&gt;=Parametros!$C$12,"Alto",IF($R115&lt;Parametros!$C$13,"Bajo","Medio"))</f>
        <v>Medio</v>
      </c>
      <c r="Z115" s="61" t="n">
        <v>232</v>
      </c>
      <c r="AA115" s="61" t="str">
        <f aca="false">IF(MATCH($A115,Datos_Origen!$A$2:$A$2459,0)=$Z115,"OK","REVISAR")</f>
        <v>OK</v>
      </c>
      <c r="AB115" s="62" t="n">
        <f aca="false">INDEX(Datos_Origen!$B$2:$B$2459,$Z115)</f>
        <v>45338</v>
      </c>
      <c r="AC115" s="61" t="n">
        <f aca="false">INDEX(Datos_Origen!$H$2:$H$2459,$Z115)</f>
        <v>12</v>
      </c>
      <c r="AD115" s="61" t="str">
        <f aca="false">INDEX(Datos_Origen!$D$2:$D$2459,$Z115)&amp;""</f>
        <v>Buenos Aires</v>
      </c>
    </row>
    <row r="116" customFormat="false" ht="15" hidden="false" customHeight="false" outlineLevel="0" collapsed="false">
      <c r="A116" s="61" t="n">
        <f aca="false">INDEX(Datos_Origen!$A$2:$A$2459,$Z116)</f>
        <v>115</v>
      </c>
      <c r="B116" s="62" t="n">
        <f aca="false">IF(ISNUMBER($AB116),$AB116,IF(MID($AB116,5,1)="-",DATE(VALUE(LEFT($AB116,4)),VALUE(MID($AB116,6,2)),VALUE(RIGHT($AB116,2))),DATE(VALUE(RIGHT($AB116,4)),VALUE(MID($AB116,4,2)),VALUE(LEFT($AB116,2)))))</f>
        <v>45345</v>
      </c>
      <c r="C116" s="61" t="n">
        <f aca="false">YEAR($B116)</f>
        <v>2024</v>
      </c>
      <c r="D116" s="61" t="str">
        <f aca="false">"Q"&amp;ROUNDUP(MONTH($B116)/3,0)</f>
        <v>Q1</v>
      </c>
      <c r="E116" s="61" t="n">
        <f aca="false">MONTH($B116)</f>
        <v>2</v>
      </c>
      <c r="F116" s="61" t="str">
        <f aca="false">INDEX(Parametros!$I$5:$I$16,$E116)</f>
        <v>Feb</v>
      </c>
      <c r="G116" s="61" t="str">
        <f aca="false">TEXT($C116,"0000")&amp;"-"&amp;TEXT($E116,"00")</f>
        <v>2024-02</v>
      </c>
      <c r="H116" s="61" t="str">
        <f aca="false">INDEX(Parametros!$C$71:$C$91,MATCH(TRIM(INDEX(Datos_Origen!$C$2:$C$2459,$Z116)),Parametros!$B$71:$B$91,0))</f>
        <v>AMBA</v>
      </c>
      <c r="I116" s="61" t="str">
        <f aca="false">IF(TRIM($AD116)="",INDEX(Parametros!$I$20:$I$24,MATCH($H116,Parametros!$H$20:$H$24,0)),TRIM($AD116))</f>
        <v>Buenos Aires</v>
      </c>
      <c r="J116" s="61" t="str">
        <f aca="false">INDEX(Parametros!$C$95:$C$106,MATCH(TRIM(INDEX(Datos_Origen!$E$2:$E$2459,$Z116)),Parametros!$B$95:$B$106,0))</f>
        <v>Tienda fisica</v>
      </c>
      <c r="K116" s="61" t="str">
        <f aca="false">INDEX(Parametros!$C$48:$C$67,MATCH(TRIM(INDEX(Datos_Origen!$F$2:$F$2459,$Z116)),Parametros!$B$48:$B$67,0))</f>
        <v>Audio</v>
      </c>
      <c r="L116" s="61" t="str">
        <f aca="false">$K116&amp;" "&amp;$C116</f>
        <v>Audio 2024</v>
      </c>
      <c r="M116" s="61" t="str">
        <f aca="false">TRIM(INDEX(Datos_Origen!$G$2:$G$2459,$Z116))</f>
        <v>Parlante Bluetooth</v>
      </c>
      <c r="N116" s="61" t="str">
        <f aca="false">$M116&amp;" "&amp;$C116</f>
        <v>Parlante Bluetooth 2024</v>
      </c>
      <c r="O116" s="63" t="n">
        <f aca="false">IF(ISTEXT($AC116),VALUE($AC116),$AC116)</f>
        <v>38</v>
      </c>
      <c r="P116" s="64" t="n">
        <f aca="false">INDEX(Datos_Origen!$I$2:$I$2459,$Z116)</f>
        <v>83.3</v>
      </c>
      <c r="Q116" s="64" t="n">
        <f aca="false">INDEX(Datos_Origen!$J$2:$J$2459,$Z116)</f>
        <v>48.03</v>
      </c>
      <c r="R116" s="65" t="n">
        <f aca="false">ROUND($O116*$P116,2)</f>
        <v>3165.4</v>
      </c>
      <c r="S116" s="65" t="n">
        <f aca="false">ROUND($O116*$Q116,2)</f>
        <v>1825.14</v>
      </c>
      <c r="T116" s="65" t="n">
        <f aca="false">ROUND($R116*SUMIFS(Parametros!$E$28:$E$43,Parametros!$B$28:$B$43,$J116,Parametros!$C$28:$C$43,$C116,Parametros!$D$28:$D$43,$D116),2)</f>
        <v>37.98</v>
      </c>
      <c r="U116" s="65" t="n">
        <f aca="false">$R116-$S116-$T116</f>
        <v>1302.28</v>
      </c>
      <c r="V116" s="66" t="n">
        <f aca="false">IFERROR($U116/$R116,0)</f>
        <v>0.41141088014153</v>
      </c>
      <c r="W116" s="67" t="str">
        <f aca="false">IF(AND($V116&gt;=Parametros!$C$8,$R116&gt;=Parametros!$C$12),"Alta rentabilidad",IF(OR($V116&lt;Parametros!$C$11,$R116&lt;Parametros!$C$13),"Revisar","Estandar"))</f>
        <v>Alta rentabilidad</v>
      </c>
      <c r="X116" s="67" t="str">
        <f aca="false">IF(AND($J116="E-commerce",IFERROR($T116/$R116,0)&gt;Parametros!$C$14),"Alerta","OK")</f>
        <v>OK</v>
      </c>
      <c r="Y116" s="61" t="str">
        <f aca="false">IF($R116&gt;=Parametros!$C$12,"Alto",IF($R116&lt;Parametros!$C$13,"Bajo","Medio"))</f>
        <v>Alto</v>
      </c>
      <c r="Z116" s="61" t="n">
        <v>870</v>
      </c>
      <c r="AA116" s="61" t="str">
        <f aca="false">IF(MATCH($A116,Datos_Origen!$A$2:$A$2459,0)=$Z116,"OK","REVISAR")</f>
        <v>OK</v>
      </c>
      <c r="AB116" s="62" t="n">
        <f aca="false">INDEX(Datos_Origen!$B$2:$B$2459,$Z116)</f>
        <v>45345</v>
      </c>
      <c r="AC116" s="61" t="n">
        <f aca="false">INDEX(Datos_Origen!$H$2:$H$2459,$Z116)</f>
        <v>38</v>
      </c>
      <c r="AD116" s="61" t="str">
        <f aca="false">INDEX(Datos_Origen!$D$2:$D$2459,$Z116)&amp;""</f>
        <v>Buenos Aires</v>
      </c>
    </row>
    <row r="117" customFormat="false" ht="15" hidden="false" customHeight="false" outlineLevel="0" collapsed="false">
      <c r="A117" s="61" t="n">
        <f aca="false">INDEX(Datos_Origen!$A$2:$A$2459,$Z117)</f>
        <v>116</v>
      </c>
      <c r="B117" s="62" t="n">
        <f aca="false">IF(ISNUMBER($AB117),$AB117,IF(MID($AB117,5,1)="-",DATE(VALUE(LEFT($AB117,4)),VALUE(MID($AB117,6,2)),VALUE(RIGHT($AB117,2))),DATE(VALUE(RIGHT($AB117,4)),VALUE(MID($AB117,4,2)),VALUE(LEFT($AB117,2)))))</f>
        <v>45325</v>
      </c>
      <c r="C117" s="61" t="n">
        <f aca="false">YEAR($B117)</f>
        <v>2024</v>
      </c>
      <c r="D117" s="61" t="str">
        <f aca="false">"Q"&amp;ROUNDUP(MONTH($B117)/3,0)</f>
        <v>Q1</v>
      </c>
      <c r="E117" s="61" t="n">
        <f aca="false">MONTH($B117)</f>
        <v>2</v>
      </c>
      <c r="F117" s="61" t="str">
        <f aca="false">INDEX(Parametros!$I$5:$I$16,$E117)</f>
        <v>Feb</v>
      </c>
      <c r="G117" s="61" t="str">
        <f aca="false">TEXT($C117,"0000")&amp;"-"&amp;TEXT($E117,"00")</f>
        <v>2024-02</v>
      </c>
      <c r="H117" s="61" t="str">
        <f aca="false">INDEX(Parametros!$C$71:$C$91,MATCH(TRIM(INDEX(Datos_Origen!$C$2:$C$2459,$Z117)),Parametros!$B$71:$B$91,0))</f>
        <v>AMBA</v>
      </c>
      <c r="I117" s="61" t="str">
        <f aca="false">IF(TRIM($AD117)="",INDEX(Parametros!$I$20:$I$24,MATCH($H117,Parametros!$H$20:$H$24,0)),TRIM($AD117))</f>
        <v>Buenos Aires</v>
      </c>
      <c r="J117" s="61" t="str">
        <f aca="false">INDEX(Parametros!$C$95:$C$106,MATCH(TRIM(INDEX(Datos_Origen!$E$2:$E$2459,$Z117)),Parametros!$B$95:$B$106,0))</f>
        <v>E-commerce</v>
      </c>
      <c r="K117" s="61" t="str">
        <f aca="false">INDEX(Parametros!$C$48:$C$67,MATCH(TRIM(INDEX(Datos_Origen!$F$2:$F$2459,$Z117)),Parametros!$B$48:$B$67,0))</f>
        <v>Audio</v>
      </c>
      <c r="L117" s="61" t="str">
        <f aca="false">$K117&amp;" "&amp;$C117</f>
        <v>Audio 2024</v>
      </c>
      <c r="M117" s="61" t="str">
        <f aca="false">TRIM(INDEX(Datos_Origen!$G$2:$G$2459,$Z117))</f>
        <v>Parlante Bluetooth</v>
      </c>
      <c r="N117" s="61" t="str">
        <f aca="false">$M117&amp;" "&amp;$C117</f>
        <v>Parlante Bluetooth 2024</v>
      </c>
      <c r="O117" s="63" t="n">
        <f aca="false">IF(ISTEXT($AC117),VALUE($AC117),$AC117)</f>
        <v>15</v>
      </c>
      <c r="P117" s="64" t="n">
        <f aca="false">INDEX(Datos_Origen!$I$2:$I$2459,$Z117)</f>
        <v>83.3</v>
      </c>
      <c r="Q117" s="64" t="n">
        <f aca="false">INDEX(Datos_Origen!$J$2:$J$2459,$Z117)</f>
        <v>48.03</v>
      </c>
      <c r="R117" s="65" t="n">
        <f aca="false">ROUND($O117*$P117,2)</f>
        <v>1249.5</v>
      </c>
      <c r="S117" s="65" t="n">
        <f aca="false">ROUND($O117*$Q117,2)</f>
        <v>720.45</v>
      </c>
      <c r="T117" s="65" t="n">
        <f aca="false">ROUND($R117*SUMIFS(Parametros!$E$28:$E$43,Parametros!$B$28:$B$43,$J117,Parametros!$C$28:$C$43,$C117,Parametros!$D$28:$D$43,$D117),2)</f>
        <v>52.48</v>
      </c>
      <c r="U117" s="65" t="n">
        <f aca="false">$R117-$S117-$T117</f>
        <v>476.57</v>
      </c>
      <c r="V117" s="66" t="n">
        <f aca="false">IFERROR($U117/$R117,0)</f>
        <v>0.38140856342537</v>
      </c>
      <c r="W117" s="67" t="str">
        <f aca="false">IF(AND($V117&gt;=Parametros!$C$8,$R117&gt;=Parametros!$C$12),"Alta rentabilidad",IF(OR($V117&lt;Parametros!$C$11,$R117&lt;Parametros!$C$13),"Revisar","Estandar"))</f>
        <v>Estandar</v>
      </c>
      <c r="X117" s="67" t="str">
        <f aca="false">IF(AND($J117="E-commerce",IFERROR($T117/$R117,0)&gt;Parametros!$C$14),"Alerta","OK")</f>
        <v>OK</v>
      </c>
      <c r="Y117" s="61" t="str">
        <f aca="false">IF($R117&gt;=Parametros!$C$12,"Alto",IF($R117&lt;Parametros!$C$13,"Bajo","Medio"))</f>
        <v>Medio</v>
      </c>
      <c r="Z117" s="61" t="n">
        <v>1679</v>
      </c>
      <c r="AA117" s="61" t="str">
        <f aca="false">IF(MATCH($A117,Datos_Origen!$A$2:$A$2459,0)=$Z117,"OK","REVISAR")</f>
        <v>OK</v>
      </c>
      <c r="AB117" s="62" t="n">
        <f aca="false">INDEX(Datos_Origen!$B$2:$B$2459,$Z117)</f>
        <v>45325</v>
      </c>
      <c r="AC117" s="61" t="n">
        <f aca="false">INDEX(Datos_Origen!$H$2:$H$2459,$Z117)</f>
        <v>15</v>
      </c>
      <c r="AD117" s="61" t="str">
        <f aca="false">INDEX(Datos_Origen!$D$2:$D$2459,$Z117)&amp;""</f>
        <v>Buenos Aires</v>
      </c>
    </row>
    <row r="118" customFormat="false" ht="15" hidden="false" customHeight="false" outlineLevel="0" collapsed="false">
      <c r="A118" s="61" t="n">
        <f aca="false">INDEX(Datos_Origen!$A$2:$A$2459,$Z118)</f>
        <v>117</v>
      </c>
      <c r="B118" s="62" t="n">
        <f aca="false">IF(ISNUMBER($AB118),$AB118,IF(MID($AB118,5,1)="-",DATE(VALUE(LEFT($AB118,4)),VALUE(MID($AB118,6,2)),VALUE(RIGHT($AB118,2))),DATE(VALUE(RIGHT($AB118,4)),VALUE(MID($AB118,4,2)),VALUE(LEFT($AB118,2)))))</f>
        <v>45332</v>
      </c>
      <c r="C118" s="61" t="n">
        <f aca="false">YEAR($B118)</f>
        <v>2024</v>
      </c>
      <c r="D118" s="61" t="str">
        <f aca="false">"Q"&amp;ROUNDUP(MONTH($B118)/3,0)</f>
        <v>Q1</v>
      </c>
      <c r="E118" s="61" t="n">
        <f aca="false">MONTH($B118)</f>
        <v>2</v>
      </c>
      <c r="F118" s="61" t="str">
        <f aca="false">INDEX(Parametros!$I$5:$I$16,$E118)</f>
        <v>Feb</v>
      </c>
      <c r="G118" s="61" t="str">
        <f aca="false">TEXT($C118,"0000")&amp;"-"&amp;TEXT($E118,"00")</f>
        <v>2024-02</v>
      </c>
      <c r="H118" s="61" t="str">
        <f aca="false">INDEX(Parametros!$C$71:$C$91,MATCH(TRIM(INDEX(Datos_Origen!$C$2:$C$2459,$Z118)),Parametros!$B$71:$B$91,0))</f>
        <v>AMBA</v>
      </c>
      <c r="I118" s="61" t="str">
        <f aca="false">IF(TRIM($AD118)="",INDEX(Parametros!$I$20:$I$24,MATCH($H118,Parametros!$H$20:$H$24,0)),TRIM($AD118))</f>
        <v>Buenos Aires</v>
      </c>
      <c r="J118" s="61" t="str">
        <f aca="false">INDEX(Parametros!$C$95:$C$106,MATCH(TRIM(INDEX(Datos_Origen!$E$2:$E$2459,$Z118)),Parametros!$B$95:$B$106,0))</f>
        <v>Tienda fisica</v>
      </c>
      <c r="K118" s="61" t="str">
        <f aca="false">INDEX(Parametros!$C$48:$C$67,MATCH(TRIM(INDEX(Datos_Origen!$F$2:$F$2459,$Z118)),Parametros!$B$48:$B$67,0))</f>
        <v>Almacenamiento</v>
      </c>
      <c r="L118" s="61" t="str">
        <f aca="false">$K118&amp;" "&amp;$C118</f>
        <v>Almacenamiento 2024</v>
      </c>
      <c r="M118" s="61" t="str">
        <f aca="false">TRIM(INDEX(Datos_Origen!$G$2:$G$2459,$Z118))</f>
        <v>SSD Externo 1TB</v>
      </c>
      <c r="N118" s="61" t="str">
        <f aca="false">$M118&amp;" "&amp;$C118</f>
        <v>SSD Externo 1TB 2024</v>
      </c>
      <c r="O118" s="63" t="n">
        <f aca="false">IF(ISTEXT($AC118),VALUE($AC118),$AC118)</f>
        <v>47</v>
      </c>
      <c r="P118" s="64" t="n">
        <f aca="false">INDEX(Datos_Origen!$I$2:$I$2459,$Z118)</f>
        <v>127.4</v>
      </c>
      <c r="Q118" s="64" t="n">
        <f aca="false">INDEX(Datos_Origen!$J$2:$J$2459,$Z118)</f>
        <v>76.05</v>
      </c>
      <c r="R118" s="65" t="n">
        <f aca="false">ROUND($O118*$P118,2)</f>
        <v>5987.8</v>
      </c>
      <c r="S118" s="65" t="n">
        <f aca="false">ROUND($O118*$Q118,2)</f>
        <v>3574.35</v>
      </c>
      <c r="T118" s="65" t="n">
        <f aca="false">ROUND($R118*SUMIFS(Parametros!$E$28:$E$43,Parametros!$B$28:$B$43,$J118,Parametros!$C$28:$C$43,$C118,Parametros!$D$28:$D$43,$D118),2)</f>
        <v>71.85</v>
      </c>
      <c r="U118" s="65" t="n">
        <f aca="false">$R118-$S118-$T118</f>
        <v>2341.6</v>
      </c>
      <c r="V118" s="66" t="n">
        <f aca="false">IFERROR($U118/$R118,0)</f>
        <v>0.391061825712282</v>
      </c>
      <c r="W118" s="67" t="str">
        <f aca="false">IF(AND($V118&gt;=Parametros!$C$8,$R118&gt;=Parametros!$C$12),"Alta rentabilidad",IF(OR($V118&lt;Parametros!$C$11,$R118&lt;Parametros!$C$13),"Revisar","Estandar"))</f>
        <v>Alta rentabilidad</v>
      </c>
      <c r="X118" s="67" t="str">
        <f aca="false">IF(AND($J118="E-commerce",IFERROR($T118/$R118,0)&gt;Parametros!$C$14),"Alerta","OK")</f>
        <v>OK</v>
      </c>
      <c r="Y118" s="61" t="str">
        <f aca="false">IF($R118&gt;=Parametros!$C$12,"Alto",IF($R118&lt;Parametros!$C$13,"Bajo","Medio"))</f>
        <v>Alto</v>
      </c>
      <c r="Z118" s="61" t="n">
        <v>186</v>
      </c>
      <c r="AA118" s="61" t="str">
        <f aca="false">IF(MATCH($A118,Datos_Origen!$A$2:$A$2459,0)=$Z118,"OK","REVISAR")</f>
        <v>OK</v>
      </c>
      <c r="AB118" s="62" t="n">
        <f aca="false">INDEX(Datos_Origen!$B$2:$B$2459,$Z118)</f>
        <v>45332</v>
      </c>
      <c r="AC118" s="61" t="n">
        <f aca="false">INDEX(Datos_Origen!$H$2:$H$2459,$Z118)</f>
        <v>47</v>
      </c>
      <c r="AD118" s="61" t="str">
        <f aca="false">INDEX(Datos_Origen!$D$2:$D$2459,$Z118)&amp;""</f>
        <v>Buenos Aires</v>
      </c>
    </row>
    <row r="119" customFormat="false" ht="15" hidden="false" customHeight="false" outlineLevel="0" collapsed="false">
      <c r="A119" s="61" t="n">
        <f aca="false">INDEX(Datos_Origen!$A$2:$A$2459,$Z119)</f>
        <v>118</v>
      </c>
      <c r="B119" s="62" t="n">
        <f aca="false">IF(ISNUMBER($AB119),$AB119,IF(MID($AB119,5,1)="-",DATE(VALUE(LEFT($AB119,4)),VALUE(MID($AB119,6,2)),VALUE(RIGHT($AB119,2))),DATE(VALUE(RIGHT($AB119,4)),VALUE(MID($AB119,4,2)),VALUE(LEFT($AB119,2)))))</f>
        <v>45339</v>
      </c>
      <c r="C119" s="61" t="n">
        <f aca="false">YEAR($B119)</f>
        <v>2024</v>
      </c>
      <c r="D119" s="61" t="str">
        <f aca="false">"Q"&amp;ROUNDUP(MONTH($B119)/3,0)</f>
        <v>Q1</v>
      </c>
      <c r="E119" s="61" t="n">
        <f aca="false">MONTH($B119)</f>
        <v>2</v>
      </c>
      <c r="F119" s="61" t="str">
        <f aca="false">INDEX(Parametros!$I$5:$I$16,$E119)</f>
        <v>Feb</v>
      </c>
      <c r="G119" s="61" t="str">
        <f aca="false">TEXT($C119,"0000")&amp;"-"&amp;TEXT($E119,"00")</f>
        <v>2024-02</v>
      </c>
      <c r="H119" s="61" t="str">
        <f aca="false">INDEX(Parametros!$C$71:$C$91,MATCH(TRIM(INDEX(Datos_Origen!$C$2:$C$2459,$Z119)),Parametros!$B$71:$B$91,0))</f>
        <v>AMBA</v>
      </c>
      <c r="I119" s="61" t="str">
        <f aca="false">IF(TRIM($AD119)="",INDEX(Parametros!$I$20:$I$24,MATCH($H119,Parametros!$H$20:$H$24,0)),TRIM($AD119))</f>
        <v>Buenos Aires</v>
      </c>
      <c r="J119" s="61" t="str">
        <f aca="false">INDEX(Parametros!$C$95:$C$106,MATCH(TRIM(INDEX(Datos_Origen!$E$2:$E$2459,$Z119)),Parametros!$B$95:$B$106,0))</f>
        <v>E-commerce</v>
      </c>
      <c r="K119" s="61" t="str">
        <f aca="false">INDEX(Parametros!$C$48:$C$67,MATCH(TRIM(INDEX(Datos_Origen!$F$2:$F$2459,$Z119)),Parametros!$B$48:$B$67,0))</f>
        <v>Almacenamiento</v>
      </c>
      <c r="L119" s="61" t="str">
        <f aca="false">$K119&amp;" "&amp;$C119</f>
        <v>Almacenamiento 2024</v>
      </c>
      <c r="M119" s="61" t="str">
        <f aca="false">TRIM(INDEX(Datos_Origen!$G$2:$G$2459,$Z119))</f>
        <v>SSD Externo 1TB</v>
      </c>
      <c r="N119" s="61" t="str">
        <f aca="false">$M119&amp;" "&amp;$C119</f>
        <v>SSD Externo 1TB 2024</v>
      </c>
      <c r="O119" s="63" t="n">
        <f aca="false">IF(ISTEXT($AC119),VALUE($AC119),$AC119)</f>
        <v>19</v>
      </c>
      <c r="P119" s="64" t="n">
        <f aca="false">INDEX(Datos_Origen!$I$2:$I$2459,$Z119)</f>
        <v>127.4</v>
      </c>
      <c r="Q119" s="64" t="n">
        <f aca="false">INDEX(Datos_Origen!$J$2:$J$2459,$Z119)</f>
        <v>76.05</v>
      </c>
      <c r="R119" s="65" t="n">
        <f aca="false">ROUND($O119*$P119,2)</f>
        <v>2420.6</v>
      </c>
      <c r="S119" s="65" t="n">
        <f aca="false">ROUND($O119*$Q119,2)</f>
        <v>1444.95</v>
      </c>
      <c r="T119" s="65" t="n">
        <f aca="false">ROUND($R119*SUMIFS(Parametros!$E$28:$E$43,Parametros!$B$28:$B$43,$J119,Parametros!$C$28:$C$43,$C119,Parametros!$D$28:$D$43,$D119),2)</f>
        <v>101.67</v>
      </c>
      <c r="U119" s="65" t="n">
        <f aca="false">$R119-$S119-$T119</f>
        <v>873.98</v>
      </c>
      <c r="V119" s="66" t="n">
        <f aca="false">IFERROR($U119/$R119,0)</f>
        <v>0.361059241510369</v>
      </c>
      <c r="W119" s="67" t="str">
        <f aca="false">IF(AND($V119&gt;=Parametros!$C$8,$R119&gt;=Parametros!$C$12),"Alta rentabilidad",IF(OR($V119&lt;Parametros!$C$11,$R119&lt;Parametros!$C$13),"Revisar","Estandar"))</f>
        <v>Estandar</v>
      </c>
      <c r="X119" s="67" t="str">
        <f aca="false">IF(AND($J119="E-commerce",IFERROR($T119/$R119,0)&gt;Parametros!$C$14),"Alerta","OK")</f>
        <v>OK</v>
      </c>
      <c r="Y119" s="61" t="str">
        <f aca="false">IF($R119&gt;=Parametros!$C$12,"Alto",IF($R119&lt;Parametros!$C$13,"Bajo","Medio"))</f>
        <v>Medio</v>
      </c>
      <c r="Z119" s="61" t="n">
        <v>2280</v>
      </c>
      <c r="AA119" s="61" t="str">
        <f aca="false">IF(MATCH($A119,Datos_Origen!$A$2:$A$2459,0)=$Z119,"OK","REVISAR")</f>
        <v>OK</v>
      </c>
      <c r="AB119" s="61" t="str">
        <f aca="false">INDEX(Datos_Origen!$B$2:$B$2459,$Z119)</f>
        <v>17/02/2024</v>
      </c>
      <c r="AC119" s="61" t="n">
        <f aca="false">INDEX(Datos_Origen!$H$2:$H$2459,$Z119)</f>
        <v>19</v>
      </c>
      <c r="AD119" s="61" t="str">
        <f aca="false">INDEX(Datos_Origen!$D$2:$D$2459,$Z119)&amp;""</f>
        <v>Buenos Aires</v>
      </c>
    </row>
    <row r="120" customFormat="false" ht="15" hidden="false" customHeight="false" outlineLevel="0" collapsed="false">
      <c r="A120" s="61" t="n">
        <f aca="false">INDEX(Datos_Origen!$A$2:$A$2459,$Z120)</f>
        <v>119</v>
      </c>
      <c r="B120" s="62" t="n">
        <f aca="false">IF(ISNUMBER($AB120),$AB120,IF(MID($AB120,5,1)="-",DATE(VALUE(LEFT($AB120,4)),VALUE(MID($AB120,6,2)),VALUE(RIGHT($AB120,2))),DATE(VALUE(RIGHT($AB120,4)),VALUE(MID($AB120,4,2)),VALUE(LEFT($AB120,2)))))</f>
        <v>45346</v>
      </c>
      <c r="C120" s="61" t="n">
        <f aca="false">YEAR($B120)</f>
        <v>2024</v>
      </c>
      <c r="D120" s="61" t="str">
        <f aca="false">"Q"&amp;ROUNDUP(MONTH($B120)/3,0)</f>
        <v>Q1</v>
      </c>
      <c r="E120" s="61" t="n">
        <f aca="false">MONTH($B120)</f>
        <v>2</v>
      </c>
      <c r="F120" s="61" t="str">
        <f aca="false">INDEX(Parametros!$I$5:$I$16,$E120)</f>
        <v>Feb</v>
      </c>
      <c r="G120" s="61" t="str">
        <f aca="false">TEXT($C120,"0000")&amp;"-"&amp;TEXT($E120,"00")</f>
        <v>2024-02</v>
      </c>
      <c r="H120" s="61" t="str">
        <f aca="false">INDEX(Parametros!$C$71:$C$91,MATCH(TRIM(INDEX(Datos_Origen!$C$2:$C$2459,$Z120)),Parametros!$B$71:$B$91,0))</f>
        <v>AMBA</v>
      </c>
      <c r="I120" s="61" t="str">
        <f aca="false">IF(TRIM($AD120)="",INDEX(Parametros!$I$20:$I$24,MATCH($H120,Parametros!$H$20:$H$24,0)),TRIM($AD120))</f>
        <v>Buenos Aires</v>
      </c>
      <c r="J120" s="61" t="str">
        <f aca="false">INDEX(Parametros!$C$95:$C$106,MATCH(TRIM(INDEX(Datos_Origen!$E$2:$E$2459,$Z120)),Parametros!$B$95:$B$106,0))</f>
        <v>Tienda fisica</v>
      </c>
      <c r="K120" s="61" t="str">
        <f aca="false">INDEX(Parametros!$C$48:$C$67,MATCH(TRIM(INDEX(Datos_Origen!$F$2:$F$2459,$Z120)),Parametros!$B$48:$B$67,0))</f>
        <v>Almacenamiento</v>
      </c>
      <c r="L120" s="61" t="str">
        <f aca="false">$K120&amp;" "&amp;$C120</f>
        <v>Almacenamiento 2024</v>
      </c>
      <c r="M120" s="61" t="str">
        <f aca="false">TRIM(INDEX(Datos_Origen!$G$2:$G$2459,$Z120))</f>
        <v>Pendrive 256GB</v>
      </c>
      <c r="N120" s="61" t="str">
        <f aca="false">$M120&amp;" "&amp;$C120</f>
        <v>Pendrive 256GB 2024</v>
      </c>
      <c r="O120" s="63" t="n">
        <f aca="false">IF(ISTEXT($AC120),VALUE($AC120),$AC120)</f>
        <v>52</v>
      </c>
      <c r="P120" s="64" t="n">
        <f aca="false">INDEX(Datos_Origen!$I$2:$I$2459,$Z120)</f>
        <v>34.3</v>
      </c>
      <c r="Q120" s="64" t="n">
        <f aca="false">INDEX(Datos_Origen!$J$2:$J$2459,$Z120)</f>
        <v>17.85</v>
      </c>
      <c r="R120" s="65" t="n">
        <f aca="false">ROUND($O120*$P120,2)</f>
        <v>1783.6</v>
      </c>
      <c r="S120" s="65" t="n">
        <f aca="false">ROUND($O120*$Q120,2)</f>
        <v>928.2</v>
      </c>
      <c r="T120" s="65" t="n">
        <f aca="false">ROUND($R120*SUMIFS(Parametros!$E$28:$E$43,Parametros!$B$28:$B$43,$J120,Parametros!$C$28:$C$43,$C120,Parametros!$D$28:$D$43,$D120),2)</f>
        <v>21.4</v>
      </c>
      <c r="U120" s="65" t="n">
        <f aca="false">$R120-$S120-$T120</f>
        <v>834</v>
      </c>
      <c r="V120" s="66" t="n">
        <f aca="false">IFERROR($U120/$R120,0)</f>
        <v>0.467593630858937</v>
      </c>
      <c r="W120" s="67" t="str">
        <f aca="false">IF(AND($V120&gt;=Parametros!$C$8,$R120&gt;=Parametros!$C$12),"Alta rentabilidad",IF(OR($V120&lt;Parametros!$C$11,$R120&lt;Parametros!$C$13),"Revisar","Estandar"))</f>
        <v>Estandar</v>
      </c>
      <c r="X120" s="67" t="str">
        <f aca="false">IF(AND($J120="E-commerce",IFERROR($T120/$R120,0)&gt;Parametros!$C$14),"Alerta","OK")</f>
        <v>OK</v>
      </c>
      <c r="Y120" s="61" t="str">
        <f aca="false">IF($R120&gt;=Parametros!$C$12,"Alto",IF($R120&lt;Parametros!$C$13,"Bajo","Medio"))</f>
        <v>Medio</v>
      </c>
      <c r="Z120" s="61" t="n">
        <v>1106</v>
      </c>
      <c r="AA120" s="61" t="str">
        <f aca="false">IF(MATCH($A120,Datos_Origen!$A$2:$A$2459,0)=$Z120,"OK","REVISAR")</f>
        <v>OK</v>
      </c>
      <c r="AB120" s="61" t="str">
        <f aca="false">INDEX(Datos_Origen!$B$2:$B$2459,$Z120)</f>
        <v>24/02/2024</v>
      </c>
      <c r="AC120" s="61" t="n">
        <f aca="false">INDEX(Datos_Origen!$H$2:$H$2459,$Z120)</f>
        <v>52</v>
      </c>
      <c r="AD120" s="61" t="str">
        <f aca="false">INDEX(Datos_Origen!$D$2:$D$2459,$Z120)&amp;""</f>
        <v>Buenos Aires</v>
      </c>
    </row>
    <row r="121" customFormat="false" ht="15" hidden="false" customHeight="false" outlineLevel="0" collapsed="false">
      <c r="A121" s="61" t="n">
        <f aca="false">INDEX(Datos_Origen!$A$2:$A$2459,$Z121)</f>
        <v>120</v>
      </c>
      <c r="B121" s="62" t="n">
        <f aca="false">IF(ISNUMBER($AB121),$AB121,IF(MID($AB121,5,1)="-",DATE(VALUE(LEFT($AB121,4)),VALUE(MID($AB121,6,2)),VALUE(RIGHT($AB121,2))),DATE(VALUE(RIGHT($AB121,4)),VALUE(MID($AB121,4,2)),VALUE(LEFT($AB121,2)))))</f>
        <v>45326</v>
      </c>
      <c r="C121" s="61" t="n">
        <f aca="false">YEAR($B121)</f>
        <v>2024</v>
      </c>
      <c r="D121" s="61" t="str">
        <f aca="false">"Q"&amp;ROUNDUP(MONTH($B121)/3,0)</f>
        <v>Q1</v>
      </c>
      <c r="E121" s="61" t="n">
        <f aca="false">MONTH($B121)</f>
        <v>2</v>
      </c>
      <c r="F121" s="61" t="str">
        <f aca="false">INDEX(Parametros!$I$5:$I$16,$E121)</f>
        <v>Feb</v>
      </c>
      <c r="G121" s="61" t="str">
        <f aca="false">TEXT($C121,"0000")&amp;"-"&amp;TEXT($E121,"00")</f>
        <v>2024-02</v>
      </c>
      <c r="H121" s="61" t="str">
        <f aca="false">INDEX(Parametros!$C$71:$C$91,MATCH(TRIM(INDEX(Datos_Origen!$C$2:$C$2459,$Z121)),Parametros!$B$71:$B$91,0))</f>
        <v>AMBA</v>
      </c>
      <c r="I121" s="61" t="str">
        <f aca="false">IF(TRIM($AD121)="",INDEX(Parametros!$I$20:$I$24,MATCH($H121,Parametros!$H$20:$H$24,0)),TRIM($AD121))</f>
        <v>Buenos Aires</v>
      </c>
      <c r="J121" s="61" t="str">
        <f aca="false">INDEX(Parametros!$C$95:$C$106,MATCH(TRIM(INDEX(Datos_Origen!$E$2:$E$2459,$Z121)),Parametros!$B$95:$B$106,0))</f>
        <v>E-commerce</v>
      </c>
      <c r="K121" s="61" t="str">
        <f aca="false">INDEX(Parametros!$C$48:$C$67,MATCH(TRIM(INDEX(Datos_Origen!$F$2:$F$2459,$Z121)),Parametros!$B$48:$B$67,0))</f>
        <v>Almacenamiento</v>
      </c>
      <c r="L121" s="61" t="str">
        <f aca="false">$K121&amp;" "&amp;$C121</f>
        <v>Almacenamiento 2024</v>
      </c>
      <c r="M121" s="61" t="str">
        <f aca="false">TRIM(INDEX(Datos_Origen!$G$2:$G$2459,$Z121))</f>
        <v>Pendrive 256GB</v>
      </c>
      <c r="N121" s="61" t="str">
        <f aca="false">$M121&amp;" "&amp;$C121</f>
        <v>Pendrive 256GB 2024</v>
      </c>
      <c r="O121" s="63" t="n">
        <f aca="false">IF(ISTEXT($AC121),VALUE($AC121),$AC121)</f>
        <v>20</v>
      </c>
      <c r="P121" s="64" t="n">
        <f aca="false">INDEX(Datos_Origen!$I$2:$I$2459,$Z121)</f>
        <v>34.3</v>
      </c>
      <c r="Q121" s="64" t="n">
        <f aca="false">INDEX(Datos_Origen!$J$2:$J$2459,$Z121)</f>
        <v>17.85</v>
      </c>
      <c r="R121" s="65" t="n">
        <f aca="false">ROUND($O121*$P121,2)</f>
        <v>686</v>
      </c>
      <c r="S121" s="65" t="n">
        <f aca="false">ROUND($O121*$Q121,2)</f>
        <v>357</v>
      </c>
      <c r="T121" s="65" t="n">
        <f aca="false">ROUND($R121*SUMIFS(Parametros!$E$28:$E$43,Parametros!$B$28:$B$43,$J121,Parametros!$C$28:$C$43,$C121,Parametros!$D$28:$D$43,$D121),2)</f>
        <v>28.81</v>
      </c>
      <c r="U121" s="65" t="n">
        <f aca="false">$R121-$S121-$T121</f>
        <v>300.19</v>
      </c>
      <c r="V121" s="66" t="n">
        <f aca="false">IFERROR($U121/$R121,0)</f>
        <v>0.437594752186589</v>
      </c>
      <c r="W121" s="67" t="str">
        <f aca="false">IF(AND($V121&gt;=Parametros!$C$8,$R121&gt;=Parametros!$C$12),"Alta rentabilidad",IF(OR($V121&lt;Parametros!$C$11,$R121&lt;Parametros!$C$13),"Revisar","Estandar"))</f>
        <v>Estandar</v>
      </c>
      <c r="X121" s="67" t="str">
        <f aca="false">IF(AND($J121="E-commerce",IFERROR($T121/$R121,0)&gt;Parametros!$C$14),"Alerta","OK")</f>
        <v>OK</v>
      </c>
      <c r="Y121" s="61" t="str">
        <f aca="false">IF($R121&gt;=Parametros!$C$12,"Alto",IF($R121&lt;Parametros!$C$13,"Bajo","Medio"))</f>
        <v>Medio</v>
      </c>
      <c r="Z121" s="61" t="n">
        <v>1434</v>
      </c>
      <c r="AA121" s="61" t="str">
        <f aca="false">IF(MATCH($A121,Datos_Origen!$A$2:$A$2459,0)=$Z121,"OK","REVISAR")</f>
        <v>OK</v>
      </c>
      <c r="AB121" s="62" t="n">
        <f aca="false">INDEX(Datos_Origen!$B$2:$B$2459,$Z121)</f>
        <v>45326</v>
      </c>
      <c r="AC121" s="61" t="n">
        <f aca="false">INDEX(Datos_Origen!$H$2:$H$2459,$Z121)</f>
        <v>20</v>
      </c>
      <c r="AD121" s="61" t="str">
        <f aca="false">INDEX(Datos_Origen!$D$2:$D$2459,$Z121)&amp;""</f>
        <v>Buenos Aires</v>
      </c>
    </row>
    <row r="122" customFormat="false" ht="15" hidden="false" customHeight="false" outlineLevel="0" collapsed="false">
      <c r="A122" s="61" t="n">
        <f aca="false">INDEX(Datos_Origen!$A$2:$A$2459,$Z122)</f>
        <v>121</v>
      </c>
      <c r="B122" s="62" t="n">
        <f aca="false">IF(ISNUMBER($AB122),$AB122,IF(MID($AB122,5,1)="-",DATE(VALUE(LEFT($AB122,4)),VALUE(MID($AB122,6,2)),VALUE(RIGHT($AB122,2))),DATE(VALUE(RIGHT($AB122,4)),VALUE(MID($AB122,4,2)),VALUE(LEFT($AB122,2)))))</f>
        <v>45333</v>
      </c>
      <c r="C122" s="61" t="n">
        <f aca="false">YEAR($B122)</f>
        <v>2024</v>
      </c>
      <c r="D122" s="61" t="str">
        <f aca="false">"Q"&amp;ROUNDUP(MONTH($B122)/3,0)</f>
        <v>Q1</v>
      </c>
      <c r="E122" s="61" t="n">
        <f aca="false">MONTH($B122)</f>
        <v>2</v>
      </c>
      <c r="F122" s="61" t="str">
        <f aca="false">INDEX(Parametros!$I$5:$I$16,$E122)</f>
        <v>Feb</v>
      </c>
      <c r="G122" s="61" t="str">
        <f aca="false">TEXT($C122,"0000")&amp;"-"&amp;TEXT($E122,"00")</f>
        <v>2024-02</v>
      </c>
      <c r="H122" s="61" t="str">
        <f aca="false">INDEX(Parametros!$C$71:$C$91,MATCH(TRIM(INDEX(Datos_Origen!$C$2:$C$2459,$Z122)),Parametros!$B$71:$B$91,0))</f>
        <v>Centro</v>
      </c>
      <c r="I122" s="61" t="str">
        <f aca="false">IF(TRIM($AD122)="",INDEX(Parametros!$I$20:$I$24,MATCH($H122,Parametros!$H$20:$H$24,0)),TRIM($AD122))</f>
        <v>Cordoba</v>
      </c>
      <c r="J122" s="61" t="str">
        <f aca="false">INDEX(Parametros!$C$95:$C$106,MATCH(TRIM(INDEX(Datos_Origen!$E$2:$E$2459,$Z122)),Parametros!$B$95:$B$106,0))</f>
        <v>Tienda fisica</v>
      </c>
      <c r="K122" s="61" t="str">
        <f aca="false">INDEX(Parametros!$C$48:$C$67,MATCH(TRIM(INDEX(Datos_Origen!$F$2:$F$2459,$Z122)),Parametros!$B$48:$B$67,0))</f>
        <v>Computacion</v>
      </c>
      <c r="L122" s="61" t="str">
        <f aca="false">$K122&amp;" "&amp;$C122</f>
        <v>Computacion 2024</v>
      </c>
      <c r="M122" s="61" t="str">
        <f aca="false">TRIM(INDEX(Datos_Origen!$G$2:$G$2459,$Z122))</f>
        <v>Laptop Pro 15</v>
      </c>
      <c r="N122" s="61" t="str">
        <f aca="false">$M122&amp;" "&amp;$C122</f>
        <v>Laptop Pro 15 2024</v>
      </c>
      <c r="O122" s="63" t="n">
        <f aca="false">IF(ISTEXT($AC122),VALUE($AC122),$AC122)</f>
        <v>10</v>
      </c>
      <c r="P122" s="64" t="n">
        <f aca="false">INDEX(Datos_Origen!$I$2:$I$2459,$Z122)</f>
        <v>1176</v>
      </c>
      <c r="Q122" s="64" t="n">
        <f aca="false">INDEX(Datos_Origen!$J$2:$J$2459,$Z122)</f>
        <v>744</v>
      </c>
      <c r="R122" s="65" t="n">
        <f aca="false">ROUND($O122*$P122,2)</f>
        <v>11760</v>
      </c>
      <c r="S122" s="65" t="n">
        <f aca="false">ROUND($O122*$Q122,2)</f>
        <v>7440</v>
      </c>
      <c r="T122" s="65" t="n">
        <f aca="false">ROUND($R122*SUMIFS(Parametros!$E$28:$E$43,Parametros!$B$28:$B$43,$J122,Parametros!$C$28:$C$43,$C122,Parametros!$D$28:$D$43,$D122),2)</f>
        <v>141.12</v>
      </c>
      <c r="U122" s="65" t="n">
        <f aca="false">$R122-$S122-$T122</f>
        <v>4178.88</v>
      </c>
      <c r="V122" s="66" t="n">
        <f aca="false">IFERROR($U122/$R122,0)</f>
        <v>0.35534693877551</v>
      </c>
      <c r="W122" s="67" t="str">
        <f aca="false">IF(AND($V122&gt;=Parametros!$C$8,$R122&gt;=Parametros!$C$12),"Alta rentabilidad",IF(OR($V122&lt;Parametros!$C$11,$R122&lt;Parametros!$C$13),"Revisar","Estandar"))</f>
        <v>Alta rentabilidad</v>
      </c>
      <c r="X122" s="67" t="str">
        <f aca="false">IF(AND($J122="E-commerce",IFERROR($T122/$R122,0)&gt;Parametros!$C$14),"Alerta","OK")</f>
        <v>OK</v>
      </c>
      <c r="Y122" s="61" t="str">
        <f aca="false">IF($R122&gt;=Parametros!$C$12,"Alto",IF($R122&lt;Parametros!$C$13,"Bajo","Medio"))</f>
        <v>Alto</v>
      </c>
      <c r="Z122" s="61" t="n">
        <v>1505</v>
      </c>
      <c r="AA122" s="61" t="str">
        <f aca="false">IF(MATCH($A122,Datos_Origen!$A$2:$A$2459,0)=$Z122,"OK","REVISAR")</f>
        <v>OK</v>
      </c>
      <c r="AB122" s="62" t="n">
        <f aca="false">INDEX(Datos_Origen!$B$2:$B$2459,$Z122)</f>
        <v>45333</v>
      </c>
      <c r="AC122" s="61" t="n">
        <f aca="false">INDEX(Datos_Origen!$H$2:$H$2459,$Z122)</f>
        <v>10</v>
      </c>
      <c r="AD122" s="61" t="str">
        <f aca="false">INDEX(Datos_Origen!$D$2:$D$2459,$Z122)&amp;""</f>
        <v>Cordoba</v>
      </c>
    </row>
    <row r="123" customFormat="false" ht="15" hidden="false" customHeight="false" outlineLevel="0" collapsed="false">
      <c r="A123" s="61" t="n">
        <f aca="false">INDEX(Datos_Origen!$A$2:$A$2459,$Z123)</f>
        <v>122</v>
      </c>
      <c r="B123" s="62" t="n">
        <f aca="false">IF(ISNUMBER($AB123),$AB123,IF(MID($AB123,5,1)="-",DATE(VALUE(LEFT($AB123,4)),VALUE(MID($AB123,6,2)),VALUE(RIGHT($AB123,2))),DATE(VALUE(RIGHT($AB123,4)),VALUE(MID($AB123,4,2)),VALUE(LEFT($AB123,2)))))</f>
        <v>45340</v>
      </c>
      <c r="C123" s="61" t="n">
        <f aca="false">YEAR($B123)</f>
        <v>2024</v>
      </c>
      <c r="D123" s="61" t="str">
        <f aca="false">"Q"&amp;ROUNDUP(MONTH($B123)/3,0)</f>
        <v>Q1</v>
      </c>
      <c r="E123" s="61" t="n">
        <f aca="false">MONTH($B123)</f>
        <v>2</v>
      </c>
      <c r="F123" s="61" t="str">
        <f aca="false">INDEX(Parametros!$I$5:$I$16,$E123)</f>
        <v>Feb</v>
      </c>
      <c r="G123" s="61" t="str">
        <f aca="false">TEXT($C123,"0000")&amp;"-"&amp;TEXT($E123,"00")</f>
        <v>2024-02</v>
      </c>
      <c r="H123" s="61" t="str">
        <f aca="false">INDEX(Parametros!$C$71:$C$91,MATCH(TRIM(INDEX(Datos_Origen!$C$2:$C$2459,$Z123)),Parametros!$B$71:$B$91,0))</f>
        <v>Centro</v>
      </c>
      <c r="I123" s="61" t="str">
        <f aca="false">IF(TRIM($AD123)="",INDEX(Parametros!$I$20:$I$24,MATCH($H123,Parametros!$H$20:$H$24,0)),TRIM($AD123))</f>
        <v>Cordoba</v>
      </c>
      <c r="J123" s="61" t="str">
        <f aca="false">INDEX(Parametros!$C$95:$C$106,MATCH(TRIM(INDEX(Datos_Origen!$E$2:$E$2459,$Z123)),Parametros!$B$95:$B$106,0))</f>
        <v>E-commerce</v>
      </c>
      <c r="K123" s="61" t="str">
        <f aca="false">INDEX(Parametros!$C$48:$C$67,MATCH(TRIM(INDEX(Datos_Origen!$F$2:$F$2459,$Z123)),Parametros!$B$48:$B$67,0))</f>
        <v>Computacion</v>
      </c>
      <c r="L123" s="61" t="str">
        <f aca="false">$K123&amp;" "&amp;$C123</f>
        <v>Computacion 2024</v>
      </c>
      <c r="M123" s="61" t="str">
        <f aca="false">TRIM(INDEX(Datos_Origen!$G$2:$G$2459,$Z123))</f>
        <v>Laptop Pro 15</v>
      </c>
      <c r="N123" s="61" t="str">
        <f aca="false">$M123&amp;" "&amp;$C123</f>
        <v>Laptop Pro 15 2024</v>
      </c>
      <c r="O123" s="63" t="n">
        <f aca="false">IF(ISTEXT($AC123),VALUE($AC123),$AC123)</f>
        <v>3</v>
      </c>
      <c r="P123" s="64" t="n">
        <f aca="false">INDEX(Datos_Origen!$I$2:$I$2459,$Z123)</f>
        <v>1176</v>
      </c>
      <c r="Q123" s="64" t="n">
        <f aca="false">INDEX(Datos_Origen!$J$2:$J$2459,$Z123)</f>
        <v>744</v>
      </c>
      <c r="R123" s="65" t="n">
        <f aca="false">ROUND($O123*$P123,2)</f>
        <v>3528</v>
      </c>
      <c r="S123" s="65" t="n">
        <f aca="false">ROUND($O123*$Q123,2)</f>
        <v>2232</v>
      </c>
      <c r="T123" s="65" t="n">
        <f aca="false">ROUND($R123*SUMIFS(Parametros!$E$28:$E$43,Parametros!$B$28:$B$43,$J123,Parametros!$C$28:$C$43,$C123,Parametros!$D$28:$D$43,$D123),2)</f>
        <v>148.18</v>
      </c>
      <c r="U123" s="65" t="n">
        <f aca="false">$R123-$S123-$T123</f>
        <v>1147.82</v>
      </c>
      <c r="V123" s="66" t="n">
        <f aca="false">IFERROR($U123/$R123,0)</f>
        <v>0.325345804988662</v>
      </c>
      <c r="W123" s="67" t="str">
        <f aca="false">IF(AND($V123&gt;=Parametros!$C$8,$R123&gt;=Parametros!$C$12),"Alta rentabilidad",IF(OR($V123&lt;Parametros!$C$11,$R123&lt;Parametros!$C$13),"Revisar","Estandar"))</f>
        <v>Estandar</v>
      </c>
      <c r="X123" s="67" t="str">
        <f aca="false">IF(AND($J123="E-commerce",IFERROR($T123/$R123,0)&gt;Parametros!$C$14),"Alerta","OK")</f>
        <v>OK</v>
      </c>
      <c r="Y123" s="61" t="str">
        <f aca="false">IF($R123&gt;=Parametros!$C$12,"Alto",IF($R123&lt;Parametros!$C$13,"Bajo","Medio"))</f>
        <v>Alto</v>
      </c>
      <c r="Z123" s="61" t="n">
        <v>2101</v>
      </c>
      <c r="AA123" s="61" t="str">
        <f aca="false">IF(MATCH($A123,Datos_Origen!$A$2:$A$2459,0)=$Z123,"OK","REVISAR")</f>
        <v>OK</v>
      </c>
      <c r="AB123" s="62" t="n">
        <f aca="false">INDEX(Datos_Origen!$B$2:$B$2459,$Z123)</f>
        <v>45340</v>
      </c>
      <c r="AC123" s="61" t="n">
        <f aca="false">INDEX(Datos_Origen!$H$2:$H$2459,$Z123)</f>
        <v>3</v>
      </c>
      <c r="AD123" s="61" t="str">
        <f aca="false">INDEX(Datos_Origen!$D$2:$D$2459,$Z123)&amp;""</f>
        <v>Cordoba</v>
      </c>
    </row>
    <row r="124" customFormat="false" ht="15" hidden="false" customHeight="false" outlineLevel="0" collapsed="false">
      <c r="A124" s="61" t="n">
        <f aca="false">INDEX(Datos_Origen!$A$2:$A$2459,$Z124)</f>
        <v>123</v>
      </c>
      <c r="B124" s="62" t="n">
        <f aca="false">IF(ISNUMBER($AB124),$AB124,IF(MID($AB124,5,1)="-",DATE(VALUE(LEFT($AB124,4)),VALUE(MID($AB124,6,2)),VALUE(RIGHT($AB124,2))),DATE(VALUE(RIGHT($AB124,4)),VALUE(MID($AB124,4,2)),VALUE(LEFT($AB124,2)))))</f>
        <v>45347</v>
      </c>
      <c r="C124" s="61" t="n">
        <f aca="false">YEAR($B124)</f>
        <v>2024</v>
      </c>
      <c r="D124" s="61" t="str">
        <f aca="false">"Q"&amp;ROUNDUP(MONTH($B124)/3,0)</f>
        <v>Q1</v>
      </c>
      <c r="E124" s="61" t="n">
        <f aca="false">MONTH($B124)</f>
        <v>2</v>
      </c>
      <c r="F124" s="61" t="str">
        <f aca="false">INDEX(Parametros!$I$5:$I$16,$E124)</f>
        <v>Feb</v>
      </c>
      <c r="G124" s="61" t="str">
        <f aca="false">TEXT($C124,"0000")&amp;"-"&amp;TEXT($E124,"00")</f>
        <v>2024-02</v>
      </c>
      <c r="H124" s="61" t="str">
        <f aca="false">INDEX(Parametros!$C$71:$C$91,MATCH(TRIM(INDEX(Datos_Origen!$C$2:$C$2459,$Z124)),Parametros!$B$71:$B$91,0))</f>
        <v>Centro</v>
      </c>
      <c r="I124" s="61" t="str">
        <f aca="false">IF(TRIM($AD124)="",INDEX(Parametros!$I$20:$I$24,MATCH($H124,Parametros!$H$20:$H$24,0)),TRIM($AD124))</f>
        <v>Cordoba</v>
      </c>
      <c r="J124" s="61" t="str">
        <f aca="false">INDEX(Parametros!$C$95:$C$106,MATCH(TRIM(INDEX(Datos_Origen!$E$2:$E$2459,$Z124)),Parametros!$B$95:$B$106,0))</f>
        <v>Tienda fisica</v>
      </c>
      <c r="K124" s="61" t="str">
        <f aca="false">INDEX(Parametros!$C$48:$C$67,MATCH(TRIM(INDEX(Datos_Origen!$F$2:$F$2459,$Z124)),Parametros!$B$48:$B$67,0))</f>
        <v>Computacion</v>
      </c>
      <c r="L124" s="61" t="str">
        <f aca="false">$K124&amp;" "&amp;$C124</f>
        <v>Computacion 2024</v>
      </c>
      <c r="M124" s="61" t="str">
        <f aca="false">TRIM(INDEX(Datos_Origen!$G$2:$G$2459,$Z124))</f>
        <v>Monitor 4K 27</v>
      </c>
      <c r="N124" s="61" t="str">
        <f aca="false">$M124&amp;" "&amp;$C124</f>
        <v>Monitor 4K 27 2024</v>
      </c>
      <c r="O124" s="63" t="n">
        <f aca="false">IF(ISTEXT($AC124),VALUE($AC124),$AC124)</f>
        <v>9</v>
      </c>
      <c r="P124" s="64" t="n">
        <f aca="false">INDEX(Datos_Origen!$I$2:$I$2459,$Z124)</f>
        <v>441</v>
      </c>
      <c r="Q124" s="64" t="n">
        <f aca="false">INDEX(Datos_Origen!$J$2:$J$2459,$Z124)</f>
        <v>272.25</v>
      </c>
      <c r="R124" s="65" t="n">
        <f aca="false">ROUND($O124*$P124,2)</f>
        <v>3969</v>
      </c>
      <c r="S124" s="65" t="n">
        <f aca="false">ROUND($O124*$Q124,2)</f>
        <v>2450.25</v>
      </c>
      <c r="T124" s="65" t="n">
        <f aca="false">ROUND($R124*SUMIFS(Parametros!$E$28:$E$43,Parametros!$B$28:$B$43,$J124,Parametros!$C$28:$C$43,$C124,Parametros!$D$28:$D$43,$D124),2)</f>
        <v>47.63</v>
      </c>
      <c r="U124" s="65" t="n">
        <f aca="false">$R124-$S124-$T124</f>
        <v>1471.12</v>
      </c>
      <c r="V124" s="66" t="n">
        <f aca="false">IFERROR($U124/$R124,0)</f>
        <v>0.370652557319224</v>
      </c>
      <c r="W124" s="67" t="str">
        <f aca="false">IF(AND($V124&gt;=Parametros!$C$8,$R124&gt;=Parametros!$C$12),"Alta rentabilidad",IF(OR($V124&lt;Parametros!$C$11,$R124&lt;Parametros!$C$13),"Revisar","Estandar"))</f>
        <v>Alta rentabilidad</v>
      </c>
      <c r="X124" s="67" t="str">
        <f aca="false">IF(AND($J124="E-commerce",IFERROR($T124/$R124,0)&gt;Parametros!$C$14),"Alerta","OK")</f>
        <v>OK</v>
      </c>
      <c r="Y124" s="61" t="str">
        <f aca="false">IF($R124&gt;=Parametros!$C$12,"Alto",IF($R124&lt;Parametros!$C$13,"Bajo","Medio"))</f>
        <v>Alto</v>
      </c>
      <c r="Z124" s="61" t="n">
        <v>43</v>
      </c>
      <c r="AA124" s="61" t="str">
        <f aca="false">IF(MATCH($A124,Datos_Origen!$A$2:$A$2459,0)=$Z124,"OK","REVISAR")</f>
        <v>OK</v>
      </c>
      <c r="AB124" s="61" t="str">
        <f aca="false">INDEX(Datos_Origen!$B$2:$B$2459,$Z124)</f>
        <v>25/02/2024</v>
      </c>
      <c r="AC124" s="61" t="n">
        <f aca="false">INDEX(Datos_Origen!$H$2:$H$2459,$Z124)</f>
        <v>9</v>
      </c>
      <c r="AD124" s="61" t="str">
        <f aca="false">INDEX(Datos_Origen!$D$2:$D$2459,$Z124)&amp;""</f>
        <v>Cordoba</v>
      </c>
    </row>
    <row r="125" customFormat="false" ht="15" hidden="false" customHeight="false" outlineLevel="0" collapsed="false">
      <c r="A125" s="61" t="n">
        <f aca="false">INDEX(Datos_Origen!$A$2:$A$2459,$Z125)</f>
        <v>124</v>
      </c>
      <c r="B125" s="62" t="n">
        <f aca="false">IF(ISNUMBER($AB125),$AB125,IF(MID($AB125,5,1)="-",DATE(VALUE(LEFT($AB125,4)),VALUE(MID($AB125,6,2)),VALUE(RIGHT($AB125,2))),DATE(VALUE(RIGHT($AB125,4)),VALUE(MID($AB125,4,2)),VALUE(LEFT($AB125,2)))))</f>
        <v>45327</v>
      </c>
      <c r="C125" s="61" t="n">
        <f aca="false">YEAR($B125)</f>
        <v>2024</v>
      </c>
      <c r="D125" s="61" t="str">
        <f aca="false">"Q"&amp;ROUNDUP(MONTH($B125)/3,0)</f>
        <v>Q1</v>
      </c>
      <c r="E125" s="61" t="n">
        <f aca="false">MONTH($B125)</f>
        <v>2</v>
      </c>
      <c r="F125" s="61" t="str">
        <f aca="false">INDEX(Parametros!$I$5:$I$16,$E125)</f>
        <v>Feb</v>
      </c>
      <c r="G125" s="61" t="str">
        <f aca="false">TEXT($C125,"0000")&amp;"-"&amp;TEXT($E125,"00")</f>
        <v>2024-02</v>
      </c>
      <c r="H125" s="61" t="str">
        <f aca="false">INDEX(Parametros!$C$71:$C$91,MATCH(TRIM(INDEX(Datos_Origen!$C$2:$C$2459,$Z125)),Parametros!$B$71:$B$91,0))</f>
        <v>Centro</v>
      </c>
      <c r="I125" s="61" t="str">
        <f aca="false">IF(TRIM($AD125)="",INDEX(Parametros!$I$20:$I$24,MATCH($H125,Parametros!$H$20:$H$24,0)),TRIM($AD125))</f>
        <v>Cordoba</v>
      </c>
      <c r="J125" s="61" t="str">
        <f aca="false">INDEX(Parametros!$C$95:$C$106,MATCH(TRIM(INDEX(Datos_Origen!$E$2:$E$2459,$Z125)),Parametros!$B$95:$B$106,0))</f>
        <v>E-commerce</v>
      </c>
      <c r="K125" s="61" t="str">
        <f aca="false">INDEX(Parametros!$C$48:$C$67,MATCH(TRIM(INDEX(Datos_Origen!$F$2:$F$2459,$Z125)),Parametros!$B$48:$B$67,0))</f>
        <v>Computacion</v>
      </c>
      <c r="L125" s="61" t="str">
        <f aca="false">$K125&amp;" "&amp;$C125</f>
        <v>Computacion 2024</v>
      </c>
      <c r="M125" s="61" t="str">
        <f aca="false">TRIM(INDEX(Datos_Origen!$G$2:$G$2459,$Z125))</f>
        <v>Monitor 4K 27</v>
      </c>
      <c r="N125" s="61" t="str">
        <f aca="false">$M125&amp;" "&amp;$C125</f>
        <v>Monitor 4K 27 2024</v>
      </c>
      <c r="O125" s="63" t="n">
        <f aca="false">IF(ISTEXT($AC125),VALUE($AC125),$AC125)</f>
        <v>3</v>
      </c>
      <c r="P125" s="64" t="n">
        <f aca="false">INDEX(Datos_Origen!$I$2:$I$2459,$Z125)</f>
        <v>441</v>
      </c>
      <c r="Q125" s="64" t="n">
        <f aca="false">INDEX(Datos_Origen!$J$2:$J$2459,$Z125)</f>
        <v>272.25</v>
      </c>
      <c r="R125" s="65" t="n">
        <f aca="false">ROUND($O125*$P125,2)</f>
        <v>1323</v>
      </c>
      <c r="S125" s="65" t="n">
        <f aca="false">ROUND($O125*$Q125,2)</f>
        <v>816.75</v>
      </c>
      <c r="T125" s="65" t="n">
        <f aca="false">ROUND($R125*SUMIFS(Parametros!$E$28:$E$43,Parametros!$B$28:$B$43,$J125,Parametros!$C$28:$C$43,$C125,Parametros!$D$28:$D$43,$D125),2)</f>
        <v>55.57</v>
      </c>
      <c r="U125" s="65" t="n">
        <f aca="false">$R125-$S125-$T125</f>
        <v>450.68</v>
      </c>
      <c r="V125" s="66" t="n">
        <f aca="false">IFERROR($U125/$R125,0)</f>
        <v>0.340650037792895</v>
      </c>
      <c r="W125" s="67" t="str">
        <f aca="false">IF(AND($V125&gt;=Parametros!$C$8,$R125&gt;=Parametros!$C$12),"Alta rentabilidad",IF(OR($V125&lt;Parametros!$C$11,$R125&lt;Parametros!$C$13),"Revisar","Estandar"))</f>
        <v>Estandar</v>
      </c>
      <c r="X125" s="67" t="str">
        <f aca="false">IF(AND($J125="E-commerce",IFERROR($T125/$R125,0)&gt;Parametros!$C$14),"Alerta","OK")</f>
        <v>OK</v>
      </c>
      <c r="Y125" s="61" t="str">
        <f aca="false">IF($R125&gt;=Parametros!$C$12,"Alto",IF($R125&lt;Parametros!$C$13,"Bajo","Medio"))</f>
        <v>Medio</v>
      </c>
      <c r="Z125" s="61" t="n">
        <v>2028</v>
      </c>
      <c r="AA125" s="61" t="str">
        <f aca="false">IF(MATCH($A125,Datos_Origen!$A$2:$A$2459,0)=$Z125,"OK","REVISAR")</f>
        <v>OK</v>
      </c>
      <c r="AB125" s="62" t="n">
        <f aca="false">INDEX(Datos_Origen!$B$2:$B$2459,$Z125)</f>
        <v>45327</v>
      </c>
      <c r="AC125" s="61" t="n">
        <f aca="false">INDEX(Datos_Origen!$H$2:$H$2459,$Z125)</f>
        <v>3</v>
      </c>
      <c r="AD125" s="61" t="str">
        <f aca="false">INDEX(Datos_Origen!$D$2:$D$2459,$Z125)&amp;""</f>
        <v>Cordoba</v>
      </c>
    </row>
    <row r="126" customFormat="false" ht="15" hidden="false" customHeight="false" outlineLevel="0" collapsed="false">
      <c r="A126" s="61" t="n">
        <f aca="false">INDEX(Datos_Origen!$A$2:$A$2459,$Z126)</f>
        <v>125</v>
      </c>
      <c r="B126" s="62" t="n">
        <f aca="false">IF(ISNUMBER($AB126),$AB126,IF(MID($AB126,5,1)="-",DATE(VALUE(LEFT($AB126,4)),VALUE(MID($AB126,6,2)),VALUE(RIGHT($AB126,2))),DATE(VALUE(RIGHT($AB126,4)),VALUE(MID($AB126,4,2)),VALUE(LEFT($AB126,2)))))</f>
        <v>45334</v>
      </c>
      <c r="C126" s="61" t="n">
        <f aca="false">YEAR($B126)</f>
        <v>2024</v>
      </c>
      <c r="D126" s="61" t="str">
        <f aca="false">"Q"&amp;ROUNDUP(MONTH($B126)/3,0)</f>
        <v>Q1</v>
      </c>
      <c r="E126" s="61" t="n">
        <f aca="false">MONTH($B126)</f>
        <v>2</v>
      </c>
      <c r="F126" s="61" t="str">
        <f aca="false">INDEX(Parametros!$I$5:$I$16,$E126)</f>
        <v>Feb</v>
      </c>
      <c r="G126" s="61" t="str">
        <f aca="false">TEXT($C126,"0000")&amp;"-"&amp;TEXT($E126,"00")</f>
        <v>2024-02</v>
      </c>
      <c r="H126" s="61" t="str">
        <f aca="false">INDEX(Parametros!$C$71:$C$91,MATCH(TRIM(INDEX(Datos_Origen!$C$2:$C$2459,$Z126)),Parametros!$B$71:$B$91,0))</f>
        <v>Centro</v>
      </c>
      <c r="I126" s="61" t="str">
        <f aca="false">IF(TRIM($AD126)="",INDEX(Parametros!$I$20:$I$24,MATCH($H126,Parametros!$H$20:$H$24,0)),TRIM($AD126))</f>
        <v>Cordoba</v>
      </c>
      <c r="J126" s="61" t="str">
        <f aca="false">INDEX(Parametros!$C$95:$C$106,MATCH(TRIM(INDEX(Datos_Origen!$E$2:$E$2459,$Z126)),Parametros!$B$95:$B$106,0))</f>
        <v>Tienda fisica</v>
      </c>
      <c r="K126" s="61" t="str">
        <f aca="false">INDEX(Parametros!$C$48:$C$67,MATCH(TRIM(INDEX(Datos_Origen!$F$2:$F$2459,$Z126)),Parametros!$B$48:$B$67,0))</f>
        <v>Computacion</v>
      </c>
      <c r="L126" s="61" t="str">
        <f aca="false">$K126&amp;" "&amp;$C126</f>
        <v>Computacion 2024</v>
      </c>
      <c r="M126" s="61" t="str">
        <f aca="false">TRIM(INDEX(Datos_Origen!$G$2:$G$2459,$Z126))</f>
        <v>PC Gamer Ryzen</v>
      </c>
      <c r="N126" s="61" t="str">
        <f aca="false">$M126&amp;" "&amp;$C126</f>
        <v>PC Gamer Ryzen 2024</v>
      </c>
      <c r="O126" s="63" t="n">
        <f aca="false">IF(ISTEXT($AC126),VALUE($AC126),$AC126)</f>
        <v>10</v>
      </c>
      <c r="P126" s="64" t="n">
        <f aca="false">INDEX(Datos_Origen!$I$2:$I$2459,$Z126)</f>
        <v>1617</v>
      </c>
      <c r="Q126" s="64" t="n">
        <f aca="false">INDEX(Datos_Origen!$J$2:$J$2459,$Z126)</f>
        <v>1122</v>
      </c>
      <c r="R126" s="65" t="n">
        <f aca="false">ROUND($O126*$P126,2)</f>
        <v>16170</v>
      </c>
      <c r="S126" s="65" t="n">
        <f aca="false">ROUND($O126*$Q126,2)</f>
        <v>11220</v>
      </c>
      <c r="T126" s="65" t="n">
        <f aca="false">ROUND($R126*SUMIFS(Parametros!$E$28:$E$43,Parametros!$B$28:$B$43,$J126,Parametros!$C$28:$C$43,$C126,Parametros!$D$28:$D$43,$D126),2)</f>
        <v>194.04</v>
      </c>
      <c r="U126" s="65" t="n">
        <f aca="false">$R126-$S126-$T126</f>
        <v>4755.96</v>
      </c>
      <c r="V126" s="66" t="n">
        <f aca="false">IFERROR($U126/$R126,0)</f>
        <v>0.294122448979592</v>
      </c>
      <c r="W126" s="67" t="str">
        <f aca="false">IF(AND($V126&gt;=Parametros!$C$8,$R126&gt;=Parametros!$C$12),"Alta rentabilidad",IF(OR($V126&lt;Parametros!$C$11,$R126&lt;Parametros!$C$13),"Revisar","Estandar"))</f>
        <v>Estandar</v>
      </c>
      <c r="X126" s="67" t="str">
        <f aca="false">IF(AND($J126="E-commerce",IFERROR($T126/$R126,0)&gt;Parametros!$C$14),"Alerta","OK")</f>
        <v>OK</v>
      </c>
      <c r="Y126" s="61" t="str">
        <f aca="false">IF($R126&gt;=Parametros!$C$12,"Alto",IF($R126&lt;Parametros!$C$13,"Bajo","Medio"))</f>
        <v>Alto</v>
      </c>
      <c r="Z126" s="61" t="n">
        <v>2105</v>
      </c>
      <c r="AA126" s="61" t="str">
        <f aca="false">IF(MATCH($A126,Datos_Origen!$A$2:$A$2459,0)=$Z126,"OK","REVISAR")</f>
        <v>OK</v>
      </c>
      <c r="AB126" s="61" t="str">
        <f aca="false">INDEX(Datos_Origen!$B$2:$B$2459,$Z126)</f>
        <v>12/02/2024</v>
      </c>
      <c r="AC126" s="61" t="n">
        <f aca="false">INDEX(Datos_Origen!$H$2:$H$2459,$Z126)</f>
        <v>10</v>
      </c>
      <c r="AD126" s="61" t="str">
        <f aca="false">INDEX(Datos_Origen!$D$2:$D$2459,$Z126)&amp;""</f>
        <v>Cordoba</v>
      </c>
    </row>
    <row r="127" customFormat="false" ht="15" hidden="false" customHeight="false" outlineLevel="0" collapsed="false">
      <c r="A127" s="61" t="n">
        <f aca="false">INDEX(Datos_Origen!$A$2:$A$2459,$Z127)</f>
        <v>126</v>
      </c>
      <c r="B127" s="62" t="n">
        <f aca="false">IF(ISNUMBER($AB127),$AB127,IF(MID($AB127,5,1)="-",DATE(VALUE(LEFT($AB127,4)),VALUE(MID($AB127,6,2)),VALUE(RIGHT($AB127,2))),DATE(VALUE(RIGHT($AB127,4)),VALUE(MID($AB127,4,2)),VALUE(LEFT($AB127,2)))))</f>
        <v>45341</v>
      </c>
      <c r="C127" s="61" t="n">
        <f aca="false">YEAR($B127)</f>
        <v>2024</v>
      </c>
      <c r="D127" s="61" t="str">
        <f aca="false">"Q"&amp;ROUNDUP(MONTH($B127)/3,0)</f>
        <v>Q1</v>
      </c>
      <c r="E127" s="61" t="n">
        <f aca="false">MONTH($B127)</f>
        <v>2</v>
      </c>
      <c r="F127" s="61" t="str">
        <f aca="false">INDEX(Parametros!$I$5:$I$16,$E127)</f>
        <v>Feb</v>
      </c>
      <c r="G127" s="61" t="str">
        <f aca="false">TEXT($C127,"0000")&amp;"-"&amp;TEXT($E127,"00")</f>
        <v>2024-02</v>
      </c>
      <c r="H127" s="61" t="str">
        <f aca="false">INDEX(Parametros!$C$71:$C$91,MATCH(TRIM(INDEX(Datos_Origen!$C$2:$C$2459,$Z127)),Parametros!$B$71:$B$91,0))</f>
        <v>Centro</v>
      </c>
      <c r="I127" s="61" t="str">
        <f aca="false">IF(TRIM($AD127)="",INDEX(Parametros!$I$20:$I$24,MATCH($H127,Parametros!$H$20:$H$24,0)),TRIM($AD127))</f>
        <v>Cordoba</v>
      </c>
      <c r="J127" s="61" t="str">
        <f aca="false">INDEX(Parametros!$C$95:$C$106,MATCH(TRIM(INDEX(Datos_Origen!$E$2:$E$2459,$Z127)),Parametros!$B$95:$B$106,0))</f>
        <v>E-commerce</v>
      </c>
      <c r="K127" s="61" t="str">
        <f aca="false">INDEX(Parametros!$C$48:$C$67,MATCH(TRIM(INDEX(Datos_Origen!$F$2:$F$2459,$Z127)),Parametros!$B$48:$B$67,0))</f>
        <v>Computacion</v>
      </c>
      <c r="L127" s="61" t="str">
        <f aca="false">$K127&amp;" "&amp;$C127</f>
        <v>Computacion 2024</v>
      </c>
      <c r="M127" s="61" t="str">
        <f aca="false">TRIM(INDEX(Datos_Origen!$G$2:$G$2459,$Z127))</f>
        <v>PC Gamer Ryzen</v>
      </c>
      <c r="N127" s="61" t="str">
        <f aca="false">$M127&amp;" "&amp;$C127</f>
        <v>PC Gamer Ryzen 2024</v>
      </c>
      <c r="O127" s="63" t="n">
        <f aca="false">IF(ISTEXT($AC127),VALUE($AC127),$AC127)</f>
        <v>4</v>
      </c>
      <c r="P127" s="64" t="n">
        <f aca="false">INDEX(Datos_Origen!$I$2:$I$2459,$Z127)</f>
        <v>1617</v>
      </c>
      <c r="Q127" s="64" t="n">
        <f aca="false">INDEX(Datos_Origen!$J$2:$J$2459,$Z127)</f>
        <v>1122</v>
      </c>
      <c r="R127" s="65" t="n">
        <f aca="false">ROUND($O127*$P127,2)</f>
        <v>6468</v>
      </c>
      <c r="S127" s="65" t="n">
        <f aca="false">ROUND($O127*$Q127,2)</f>
        <v>4488</v>
      </c>
      <c r="T127" s="65" t="n">
        <f aca="false">ROUND($R127*SUMIFS(Parametros!$E$28:$E$43,Parametros!$B$28:$B$43,$J127,Parametros!$C$28:$C$43,$C127,Parametros!$D$28:$D$43,$D127),2)</f>
        <v>271.66</v>
      </c>
      <c r="U127" s="65" t="n">
        <f aca="false">$R127-$S127-$T127</f>
        <v>1708.34</v>
      </c>
      <c r="V127" s="66" t="n">
        <f aca="false">IFERROR($U127/$R127,0)</f>
        <v>0.264121830550402</v>
      </c>
      <c r="W127" s="67" t="str">
        <f aca="false">IF(AND($V127&gt;=Parametros!$C$8,$R127&gt;=Parametros!$C$12),"Alta rentabilidad",IF(OR($V127&lt;Parametros!$C$11,$R127&lt;Parametros!$C$13),"Revisar","Estandar"))</f>
        <v>Revisar</v>
      </c>
      <c r="X127" s="67" t="str">
        <f aca="false">IF(AND($J127="E-commerce",IFERROR($T127/$R127,0)&gt;Parametros!$C$14),"Alerta","OK")</f>
        <v>OK</v>
      </c>
      <c r="Y127" s="61" t="str">
        <f aca="false">IF($R127&gt;=Parametros!$C$12,"Alto",IF($R127&lt;Parametros!$C$13,"Bajo","Medio"))</f>
        <v>Alto</v>
      </c>
      <c r="Z127" s="61" t="n">
        <v>736</v>
      </c>
      <c r="AA127" s="61" t="str">
        <f aca="false">IF(MATCH($A127,Datos_Origen!$A$2:$A$2459,0)=$Z127,"OK","REVISAR")</f>
        <v>OK</v>
      </c>
      <c r="AB127" s="62" t="n">
        <f aca="false">INDEX(Datos_Origen!$B$2:$B$2459,$Z127)</f>
        <v>45341</v>
      </c>
      <c r="AC127" s="61" t="n">
        <f aca="false">INDEX(Datos_Origen!$H$2:$H$2459,$Z127)</f>
        <v>4</v>
      </c>
      <c r="AD127" s="61" t="str">
        <f aca="false">INDEX(Datos_Origen!$D$2:$D$2459,$Z127)&amp;""</f>
        <v>Cordoba</v>
      </c>
    </row>
    <row r="128" customFormat="false" ht="15" hidden="false" customHeight="false" outlineLevel="0" collapsed="false">
      <c r="A128" s="61" t="n">
        <f aca="false">INDEX(Datos_Origen!$A$2:$A$2459,$Z128)</f>
        <v>127</v>
      </c>
      <c r="B128" s="62" t="n">
        <f aca="false">IF(ISNUMBER($AB128),$AB128,IF(MID($AB128,5,1)="-",DATE(VALUE(LEFT($AB128,4)),VALUE(MID($AB128,6,2)),VALUE(RIGHT($AB128,2))),DATE(VALUE(RIGHT($AB128,4)),VALUE(MID($AB128,4,2)),VALUE(LEFT($AB128,2)))))</f>
        <v>45348</v>
      </c>
      <c r="C128" s="61" t="n">
        <f aca="false">YEAR($B128)</f>
        <v>2024</v>
      </c>
      <c r="D128" s="61" t="str">
        <f aca="false">"Q"&amp;ROUNDUP(MONTH($B128)/3,0)</f>
        <v>Q1</v>
      </c>
      <c r="E128" s="61" t="n">
        <f aca="false">MONTH($B128)</f>
        <v>2</v>
      </c>
      <c r="F128" s="61" t="str">
        <f aca="false">INDEX(Parametros!$I$5:$I$16,$E128)</f>
        <v>Feb</v>
      </c>
      <c r="G128" s="61" t="str">
        <f aca="false">TEXT($C128,"0000")&amp;"-"&amp;TEXT($E128,"00")</f>
        <v>2024-02</v>
      </c>
      <c r="H128" s="61" t="str">
        <f aca="false">INDEX(Parametros!$C$71:$C$91,MATCH(TRIM(INDEX(Datos_Origen!$C$2:$C$2459,$Z128)),Parametros!$B$71:$B$91,0))</f>
        <v>Centro</v>
      </c>
      <c r="I128" s="61" t="str">
        <f aca="false">IF(TRIM($AD128)="",INDEX(Parametros!$I$20:$I$24,MATCH($H128,Parametros!$H$20:$H$24,0)),TRIM($AD128))</f>
        <v>Cordoba</v>
      </c>
      <c r="J128" s="61" t="str">
        <f aca="false">INDEX(Parametros!$C$95:$C$106,MATCH(TRIM(INDEX(Datos_Origen!$E$2:$E$2459,$Z128)),Parametros!$B$95:$B$106,0))</f>
        <v>Tienda fisica</v>
      </c>
      <c r="K128" s="61" t="str">
        <f aca="false">INDEX(Parametros!$C$48:$C$67,MATCH(TRIM(INDEX(Datos_Origen!$F$2:$F$2459,$Z128)),Parametros!$B$48:$B$67,0))</f>
        <v>Accesorios</v>
      </c>
      <c r="L128" s="61" t="str">
        <f aca="false">$K128&amp;" "&amp;$C128</f>
        <v>Accesorios 2024</v>
      </c>
      <c r="M128" s="61" t="str">
        <f aca="false">TRIM(INDEX(Datos_Origen!$G$2:$G$2459,$Z128))</f>
        <v>Mouse Inalambrico</v>
      </c>
      <c r="N128" s="61" t="str">
        <f aca="false">$M128&amp;" "&amp;$C128</f>
        <v>Mouse Inalambrico 2024</v>
      </c>
      <c r="O128" s="63" t="n">
        <f aca="false">IF(ISTEXT($AC128),VALUE($AC128),$AC128)</f>
        <v>44</v>
      </c>
      <c r="P128" s="64" t="n">
        <f aca="false">INDEX(Datos_Origen!$I$2:$I$2459,$Z128)</f>
        <v>27.44</v>
      </c>
      <c r="Q128" s="64" t="n">
        <f aca="false">INDEX(Datos_Origen!$J$2:$J$2459,$Z128)</f>
        <v>13.44</v>
      </c>
      <c r="R128" s="65" t="n">
        <f aca="false">ROUND($O128*$P128,2)</f>
        <v>1207.36</v>
      </c>
      <c r="S128" s="65" t="n">
        <f aca="false">ROUND($O128*$Q128,2)</f>
        <v>591.36</v>
      </c>
      <c r="T128" s="65" t="n">
        <f aca="false">ROUND($R128*SUMIFS(Parametros!$E$28:$E$43,Parametros!$B$28:$B$43,$J128,Parametros!$C$28:$C$43,$C128,Parametros!$D$28:$D$43,$D128),2)</f>
        <v>14.49</v>
      </c>
      <c r="U128" s="65" t="n">
        <f aca="false">$R128-$S128-$T128</f>
        <v>601.51</v>
      </c>
      <c r="V128" s="66" t="n">
        <f aca="false">IFERROR($U128/$R128,0)</f>
        <v>0.498202690166976</v>
      </c>
      <c r="W128" s="67" t="str">
        <f aca="false">IF(AND($V128&gt;=Parametros!$C$8,$R128&gt;=Parametros!$C$12),"Alta rentabilidad",IF(OR($V128&lt;Parametros!$C$11,$R128&lt;Parametros!$C$13),"Revisar","Estandar"))</f>
        <v>Estandar</v>
      </c>
      <c r="X128" s="67" t="str">
        <f aca="false">IF(AND($J128="E-commerce",IFERROR($T128/$R128,0)&gt;Parametros!$C$14),"Alerta","OK")</f>
        <v>OK</v>
      </c>
      <c r="Y128" s="61" t="str">
        <f aca="false">IF($R128&gt;=Parametros!$C$12,"Alto",IF($R128&lt;Parametros!$C$13,"Bajo","Medio"))</f>
        <v>Medio</v>
      </c>
      <c r="Z128" s="61" t="n">
        <v>1652</v>
      </c>
      <c r="AA128" s="61" t="str">
        <f aca="false">IF(MATCH($A128,Datos_Origen!$A$2:$A$2459,0)=$Z128,"OK","REVISAR")</f>
        <v>OK</v>
      </c>
      <c r="AB128" s="61" t="str">
        <f aca="false">INDEX(Datos_Origen!$B$2:$B$2459,$Z128)</f>
        <v>2024-02-26</v>
      </c>
      <c r="AC128" s="61" t="n">
        <f aca="false">INDEX(Datos_Origen!$H$2:$H$2459,$Z128)</f>
        <v>44</v>
      </c>
      <c r="AD128" s="61" t="str">
        <f aca="false">INDEX(Datos_Origen!$D$2:$D$2459,$Z128)&amp;""</f>
        <v>Cordoba</v>
      </c>
    </row>
    <row r="129" customFormat="false" ht="15" hidden="false" customHeight="false" outlineLevel="0" collapsed="false">
      <c r="A129" s="61" t="n">
        <f aca="false">INDEX(Datos_Origen!$A$2:$A$2459,$Z129)</f>
        <v>128</v>
      </c>
      <c r="B129" s="62" t="n">
        <f aca="false">IF(ISNUMBER($AB129),$AB129,IF(MID($AB129,5,1)="-",DATE(VALUE(LEFT($AB129,4)),VALUE(MID($AB129,6,2)),VALUE(RIGHT($AB129,2))),DATE(VALUE(RIGHT($AB129,4)),VALUE(MID($AB129,4,2)),VALUE(LEFT($AB129,2)))))</f>
        <v>45328</v>
      </c>
      <c r="C129" s="61" t="n">
        <f aca="false">YEAR($B129)</f>
        <v>2024</v>
      </c>
      <c r="D129" s="61" t="str">
        <f aca="false">"Q"&amp;ROUNDUP(MONTH($B129)/3,0)</f>
        <v>Q1</v>
      </c>
      <c r="E129" s="61" t="n">
        <f aca="false">MONTH($B129)</f>
        <v>2</v>
      </c>
      <c r="F129" s="61" t="str">
        <f aca="false">INDEX(Parametros!$I$5:$I$16,$E129)</f>
        <v>Feb</v>
      </c>
      <c r="G129" s="61" t="str">
        <f aca="false">TEXT($C129,"0000")&amp;"-"&amp;TEXT($E129,"00")</f>
        <v>2024-02</v>
      </c>
      <c r="H129" s="61" t="str">
        <f aca="false">INDEX(Parametros!$C$71:$C$91,MATCH(TRIM(INDEX(Datos_Origen!$C$2:$C$2459,$Z129)),Parametros!$B$71:$B$91,0))</f>
        <v>Centro</v>
      </c>
      <c r="I129" s="61" t="str">
        <f aca="false">IF(TRIM($AD129)="",INDEX(Parametros!$I$20:$I$24,MATCH($H129,Parametros!$H$20:$H$24,0)),TRIM($AD129))</f>
        <v>Cordoba</v>
      </c>
      <c r="J129" s="61" t="str">
        <f aca="false">INDEX(Parametros!$C$95:$C$106,MATCH(TRIM(INDEX(Datos_Origen!$E$2:$E$2459,$Z129)),Parametros!$B$95:$B$106,0))</f>
        <v>E-commerce</v>
      </c>
      <c r="K129" s="61" t="str">
        <f aca="false">INDEX(Parametros!$C$48:$C$67,MATCH(TRIM(INDEX(Datos_Origen!$F$2:$F$2459,$Z129)),Parametros!$B$48:$B$67,0))</f>
        <v>Accesorios</v>
      </c>
      <c r="L129" s="61" t="str">
        <f aca="false">$K129&amp;" "&amp;$C129</f>
        <v>Accesorios 2024</v>
      </c>
      <c r="M129" s="61" t="str">
        <f aca="false">TRIM(INDEX(Datos_Origen!$G$2:$G$2459,$Z129))</f>
        <v>Mouse Inalambrico</v>
      </c>
      <c r="N129" s="61" t="str">
        <f aca="false">$M129&amp;" "&amp;$C129</f>
        <v>Mouse Inalambrico 2024</v>
      </c>
      <c r="O129" s="63" t="n">
        <f aca="false">IF(ISTEXT($AC129),VALUE($AC129),$AC129)</f>
        <v>16</v>
      </c>
      <c r="P129" s="64" t="n">
        <f aca="false">INDEX(Datos_Origen!$I$2:$I$2459,$Z129)</f>
        <v>27.44</v>
      </c>
      <c r="Q129" s="64" t="n">
        <f aca="false">INDEX(Datos_Origen!$J$2:$J$2459,$Z129)</f>
        <v>13.44</v>
      </c>
      <c r="R129" s="65" t="n">
        <f aca="false">ROUND($O129*$P129,2)</f>
        <v>439.04</v>
      </c>
      <c r="S129" s="65" t="n">
        <f aca="false">ROUND($O129*$Q129,2)</f>
        <v>215.04</v>
      </c>
      <c r="T129" s="65" t="n">
        <f aca="false">ROUND($R129*SUMIFS(Parametros!$E$28:$E$43,Parametros!$B$28:$B$43,$J129,Parametros!$C$28:$C$43,$C129,Parametros!$D$28:$D$43,$D129),2)</f>
        <v>18.44</v>
      </c>
      <c r="U129" s="65" t="n">
        <f aca="false">$R129-$S129-$T129</f>
        <v>205.56</v>
      </c>
      <c r="V129" s="66" t="n">
        <f aca="false">IFERROR($U129/$R129,0)</f>
        <v>0.468203352769679</v>
      </c>
      <c r="W129" s="67" t="str">
        <f aca="false">IF(AND($V129&gt;=Parametros!$C$8,$R129&gt;=Parametros!$C$12),"Alta rentabilidad",IF(OR($V129&lt;Parametros!$C$11,$R129&lt;Parametros!$C$13),"Revisar","Estandar"))</f>
        <v>Estandar</v>
      </c>
      <c r="X129" s="67" t="str">
        <f aca="false">IF(AND($J129="E-commerce",IFERROR($T129/$R129,0)&gt;Parametros!$C$14),"Alerta","OK")</f>
        <v>OK</v>
      </c>
      <c r="Y129" s="61" t="str">
        <f aca="false">IF($R129&gt;=Parametros!$C$12,"Alto",IF($R129&lt;Parametros!$C$13,"Bajo","Medio"))</f>
        <v>Medio</v>
      </c>
      <c r="Z129" s="61" t="n">
        <v>2271</v>
      </c>
      <c r="AA129" s="61" t="str">
        <f aca="false">IF(MATCH($A129,Datos_Origen!$A$2:$A$2459,0)=$Z129,"OK","REVISAR")</f>
        <v>OK</v>
      </c>
      <c r="AB129" s="62" t="n">
        <f aca="false">INDEX(Datos_Origen!$B$2:$B$2459,$Z129)</f>
        <v>45328</v>
      </c>
      <c r="AC129" s="61" t="n">
        <f aca="false">INDEX(Datos_Origen!$H$2:$H$2459,$Z129)</f>
        <v>16</v>
      </c>
      <c r="AD129" s="61" t="str">
        <f aca="false">INDEX(Datos_Origen!$D$2:$D$2459,$Z129)&amp;""</f>
        <v>Cordoba</v>
      </c>
    </row>
    <row r="130" customFormat="false" ht="15" hidden="false" customHeight="false" outlineLevel="0" collapsed="false">
      <c r="A130" s="61" t="n">
        <f aca="false">INDEX(Datos_Origen!$A$2:$A$2459,$Z130)</f>
        <v>129</v>
      </c>
      <c r="B130" s="62" t="n">
        <f aca="false">IF(ISNUMBER($AB130),$AB130,IF(MID($AB130,5,1)="-",DATE(VALUE(LEFT($AB130,4)),VALUE(MID($AB130,6,2)),VALUE(RIGHT($AB130,2))),DATE(VALUE(RIGHT($AB130,4)),VALUE(MID($AB130,4,2)),VALUE(LEFT($AB130,2)))))</f>
        <v>45335</v>
      </c>
      <c r="C130" s="61" t="n">
        <f aca="false">YEAR($B130)</f>
        <v>2024</v>
      </c>
      <c r="D130" s="61" t="str">
        <f aca="false">"Q"&amp;ROUNDUP(MONTH($B130)/3,0)</f>
        <v>Q1</v>
      </c>
      <c r="E130" s="61" t="n">
        <f aca="false">MONTH($B130)</f>
        <v>2</v>
      </c>
      <c r="F130" s="61" t="str">
        <f aca="false">INDEX(Parametros!$I$5:$I$16,$E130)</f>
        <v>Feb</v>
      </c>
      <c r="G130" s="61" t="str">
        <f aca="false">TEXT($C130,"0000")&amp;"-"&amp;TEXT($E130,"00")</f>
        <v>2024-02</v>
      </c>
      <c r="H130" s="61" t="str">
        <f aca="false">INDEX(Parametros!$C$71:$C$91,MATCH(TRIM(INDEX(Datos_Origen!$C$2:$C$2459,$Z130)),Parametros!$B$71:$B$91,0))</f>
        <v>Centro</v>
      </c>
      <c r="I130" s="61" t="str">
        <f aca="false">IF(TRIM($AD130)="",INDEX(Parametros!$I$20:$I$24,MATCH($H130,Parametros!$H$20:$H$24,0)),TRIM($AD130))</f>
        <v>Cordoba</v>
      </c>
      <c r="J130" s="61" t="str">
        <f aca="false">INDEX(Parametros!$C$95:$C$106,MATCH(TRIM(INDEX(Datos_Origen!$E$2:$E$2459,$Z130)),Parametros!$B$95:$B$106,0))</f>
        <v>Tienda fisica</v>
      </c>
      <c r="K130" s="61" t="str">
        <f aca="false">INDEX(Parametros!$C$48:$C$67,MATCH(TRIM(INDEX(Datos_Origen!$F$2:$F$2459,$Z130)),Parametros!$B$48:$B$67,0))</f>
        <v>Accesorios</v>
      </c>
      <c r="L130" s="61" t="str">
        <f aca="false">$K130&amp;" "&amp;$C130</f>
        <v>Accesorios 2024</v>
      </c>
      <c r="M130" s="61" t="str">
        <f aca="false">TRIM(INDEX(Datos_Origen!$G$2:$G$2459,$Z130))</f>
        <v>Teclado Mecanico</v>
      </c>
      <c r="N130" s="61" t="str">
        <f aca="false">$M130&amp;" "&amp;$C130</f>
        <v>Teclado Mecanico 2024</v>
      </c>
      <c r="O130" s="63" t="n">
        <f aca="false">IF(ISTEXT($AC130),VALUE($AC130),$AC130)</f>
        <v>45</v>
      </c>
      <c r="P130" s="64" t="n">
        <f aca="false">INDEX(Datos_Origen!$I$2:$I$2459,$Z130)</f>
        <v>93.1</v>
      </c>
      <c r="Q130" s="64" t="n">
        <f aca="false">INDEX(Datos_Origen!$J$2:$J$2459,$Z130)</f>
        <v>47.98</v>
      </c>
      <c r="R130" s="65" t="n">
        <f aca="false">ROUND($O130*$P130,2)</f>
        <v>4189.5</v>
      </c>
      <c r="S130" s="65" t="n">
        <f aca="false">ROUND($O130*$Q130,2)</f>
        <v>2159.1</v>
      </c>
      <c r="T130" s="65" t="n">
        <f aca="false">ROUND($R130*SUMIFS(Parametros!$E$28:$E$43,Parametros!$B$28:$B$43,$J130,Parametros!$C$28:$C$43,$C130,Parametros!$D$28:$D$43,$D130),2)</f>
        <v>50.27</v>
      </c>
      <c r="U130" s="65" t="n">
        <f aca="false">$R130-$S130-$T130</f>
        <v>1980.13</v>
      </c>
      <c r="V130" s="66" t="n">
        <f aca="false">IFERROR($U130/$R130,0)</f>
        <v>0.472641126626089</v>
      </c>
      <c r="W130" s="67" t="str">
        <f aca="false">IF(AND($V130&gt;=Parametros!$C$8,$R130&gt;=Parametros!$C$12),"Alta rentabilidad",IF(OR($V130&lt;Parametros!$C$11,$R130&lt;Parametros!$C$13),"Revisar","Estandar"))</f>
        <v>Alta rentabilidad</v>
      </c>
      <c r="X130" s="67" t="str">
        <f aca="false">IF(AND($J130="E-commerce",IFERROR($T130/$R130,0)&gt;Parametros!$C$14),"Alerta","OK")</f>
        <v>OK</v>
      </c>
      <c r="Y130" s="61" t="str">
        <f aca="false">IF($R130&gt;=Parametros!$C$12,"Alto",IF($R130&lt;Parametros!$C$13,"Bajo","Medio"))</f>
        <v>Alto</v>
      </c>
      <c r="Z130" s="61" t="n">
        <v>656</v>
      </c>
      <c r="AA130" s="61" t="str">
        <f aca="false">IF(MATCH($A130,Datos_Origen!$A$2:$A$2459,0)=$Z130,"OK","REVISAR")</f>
        <v>OK</v>
      </c>
      <c r="AB130" s="61" t="str">
        <f aca="false">INDEX(Datos_Origen!$B$2:$B$2459,$Z130)</f>
        <v>13/02/2024</v>
      </c>
      <c r="AC130" s="61" t="str">
        <f aca="false">INDEX(Datos_Origen!$H$2:$H$2459,$Z130)</f>
        <v>45</v>
      </c>
      <c r="AD130" s="61" t="str">
        <f aca="false">INDEX(Datos_Origen!$D$2:$D$2459,$Z130)&amp;""</f>
        <v>Cordoba</v>
      </c>
    </row>
    <row r="131" customFormat="false" ht="15" hidden="false" customHeight="false" outlineLevel="0" collapsed="false">
      <c r="A131" s="61" t="n">
        <f aca="false">INDEX(Datos_Origen!$A$2:$A$2459,$Z131)</f>
        <v>130</v>
      </c>
      <c r="B131" s="62" t="n">
        <f aca="false">IF(ISNUMBER($AB131),$AB131,IF(MID($AB131,5,1)="-",DATE(VALUE(LEFT($AB131,4)),VALUE(MID($AB131,6,2)),VALUE(RIGHT($AB131,2))),DATE(VALUE(RIGHT($AB131,4)),VALUE(MID($AB131,4,2)),VALUE(LEFT($AB131,2)))))</f>
        <v>45342</v>
      </c>
      <c r="C131" s="61" t="n">
        <f aca="false">YEAR($B131)</f>
        <v>2024</v>
      </c>
      <c r="D131" s="61" t="str">
        <f aca="false">"Q"&amp;ROUNDUP(MONTH($B131)/3,0)</f>
        <v>Q1</v>
      </c>
      <c r="E131" s="61" t="n">
        <f aca="false">MONTH($B131)</f>
        <v>2</v>
      </c>
      <c r="F131" s="61" t="str">
        <f aca="false">INDEX(Parametros!$I$5:$I$16,$E131)</f>
        <v>Feb</v>
      </c>
      <c r="G131" s="61" t="str">
        <f aca="false">TEXT($C131,"0000")&amp;"-"&amp;TEXT($E131,"00")</f>
        <v>2024-02</v>
      </c>
      <c r="H131" s="61" t="str">
        <f aca="false">INDEX(Parametros!$C$71:$C$91,MATCH(TRIM(INDEX(Datos_Origen!$C$2:$C$2459,$Z131)),Parametros!$B$71:$B$91,0))</f>
        <v>Centro</v>
      </c>
      <c r="I131" s="61" t="str">
        <f aca="false">IF(TRIM($AD131)="",INDEX(Parametros!$I$20:$I$24,MATCH($H131,Parametros!$H$20:$H$24,0)),TRIM($AD131))</f>
        <v>Cordoba</v>
      </c>
      <c r="J131" s="61" t="str">
        <f aca="false">INDEX(Parametros!$C$95:$C$106,MATCH(TRIM(INDEX(Datos_Origen!$E$2:$E$2459,$Z131)),Parametros!$B$95:$B$106,0))</f>
        <v>E-commerce</v>
      </c>
      <c r="K131" s="61" t="str">
        <f aca="false">INDEX(Parametros!$C$48:$C$67,MATCH(TRIM(INDEX(Datos_Origen!$F$2:$F$2459,$Z131)),Parametros!$B$48:$B$67,0))</f>
        <v>Accesorios</v>
      </c>
      <c r="L131" s="61" t="str">
        <f aca="false">$K131&amp;" "&amp;$C131</f>
        <v>Accesorios 2024</v>
      </c>
      <c r="M131" s="61" t="str">
        <f aca="false">TRIM(INDEX(Datos_Origen!$G$2:$G$2459,$Z131))</f>
        <v>Teclado Mecanico</v>
      </c>
      <c r="N131" s="61" t="str">
        <f aca="false">$M131&amp;" "&amp;$C131</f>
        <v>Teclado Mecanico 2024</v>
      </c>
      <c r="O131" s="63" t="n">
        <f aca="false">IF(ISTEXT($AC131),VALUE($AC131),$AC131)</f>
        <v>17</v>
      </c>
      <c r="P131" s="64" t="n">
        <f aca="false">INDEX(Datos_Origen!$I$2:$I$2459,$Z131)</f>
        <v>93.1</v>
      </c>
      <c r="Q131" s="64" t="n">
        <f aca="false">INDEX(Datos_Origen!$J$2:$J$2459,$Z131)</f>
        <v>47.98</v>
      </c>
      <c r="R131" s="65" t="n">
        <f aca="false">ROUND($O131*$P131,2)</f>
        <v>1582.7</v>
      </c>
      <c r="S131" s="65" t="n">
        <f aca="false">ROUND($O131*$Q131,2)</f>
        <v>815.66</v>
      </c>
      <c r="T131" s="65" t="n">
        <f aca="false">ROUND($R131*SUMIFS(Parametros!$E$28:$E$43,Parametros!$B$28:$B$43,$J131,Parametros!$C$28:$C$43,$C131,Parametros!$D$28:$D$43,$D131),2)</f>
        <v>66.47</v>
      </c>
      <c r="U131" s="65" t="n">
        <f aca="false">$R131-$S131-$T131</f>
        <v>700.57</v>
      </c>
      <c r="V131" s="66" t="n">
        <f aca="false">IFERROR($U131/$R131,0)</f>
        <v>0.442642320085929</v>
      </c>
      <c r="W131" s="67" t="str">
        <f aca="false">IF(AND($V131&gt;=Parametros!$C$8,$R131&gt;=Parametros!$C$12),"Alta rentabilidad",IF(OR($V131&lt;Parametros!$C$11,$R131&lt;Parametros!$C$13),"Revisar","Estandar"))</f>
        <v>Estandar</v>
      </c>
      <c r="X131" s="67" t="str">
        <f aca="false">IF(AND($J131="E-commerce",IFERROR($T131/$R131,0)&gt;Parametros!$C$14),"Alerta","OK")</f>
        <v>OK</v>
      </c>
      <c r="Y131" s="61" t="str">
        <f aca="false">IF($R131&gt;=Parametros!$C$12,"Alto",IF($R131&lt;Parametros!$C$13,"Bajo","Medio"))</f>
        <v>Medio</v>
      </c>
      <c r="Z131" s="61" t="n">
        <v>322</v>
      </c>
      <c r="AA131" s="61" t="str">
        <f aca="false">IF(MATCH($A131,Datos_Origen!$A$2:$A$2459,0)=$Z131,"OK","REVISAR")</f>
        <v>OK</v>
      </c>
      <c r="AB131" s="62" t="n">
        <f aca="false">INDEX(Datos_Origen!$B$2:$B$2459,$Z131)</f>
        <v>45342</v>
      </c>
      <c r="AC131" s="61" t="n">
        <f aca="false">INDEX(Datos_Origen!$H$2:$H$2459,$Z131)</f>
        <v>17</v>
      </c>
      <c r="AD131" s="61" t="str">
        <f aca="false">INDEX(Datos_Origen!$D$2:$D$2459,$Z131)&amp;""</f>
        <v>Cordoba</v>
      </c>
    </row>
    <row r="132" customFormat="false" ht="15" hidden="false" customHeight="false" outlineLevel="0" collapsed="false">
      <c r="A132" s="61" t="n">
        <f aca="false">INDEX(Datos_Origen!$A$2:$A$2459,$Z132)</f>
        <v>131</v>
      </c>
      <c r="B132" s="62" t="n">
        <f aca="false">IF(ISNUMBER($AB132),$AB132,IF(MID($AB132,5,1)="-",DATE(VALUE(LEFT($AB132,4)),VALUE(MID($AB132,6,2)),VALUE(RIGHT($AB132,2))),DATE(VALUE(RIGHT($AB132,4)),VALUE(MID($AB132,4,2)),VALUE(LEFT($AB132,2)))))</f>
        <v>45349</v>
      </c>
      <c r="C132" s="61" t="n">
        <f aca="false">YEAR($B132)</f>
        <v>2024</v>
      </c>
      <c r="D132" s="61" t="str">
        <f aca="false">"Q"&amp;ROUNDUP(MONTH($B132)/3,0)</f>
        <v>Q1</v>
      </c>
      <c r="E132" s="61" t="n">
        <f aca="false">MONTH($B132)</f>
        <v>2</v>
      </c>
      <c r="F132" s="61" t="str">
        <f aca="false">INDEX(Parametros!$I$5:$I$16,$E132)</f>
        <v>Feb</v>
      </c>
      <c r="G132" s="61" t="str">
        <f aca="false">TEXT($C132,"0000")&amp;"-"&amp;TEXT($E132,"00")</f>
        <v>2024-02</v>
      </c>
      <c r="H132" s="61" t="str">
        <f aca="false">INDEX(Parametros!$C$71:$C$91,MATCH(TRIM(INDEX(Datos_Origen!$C$2:$C$2459,$Z132)),Parametros!$B$71:$B$91,0))</f>
        <v>Centro</v>
      </c>
      <c r="I132" s="61" t="str">
        <f aca="false">IF(TRIM($AD132)="",INDEX(Parametros!$I$20:$I$24,MATCH($H132,Parametros!$H$20:$H$24,0)),TRIM($AD132))</f>
        <v>Cordoba</v>
      </c>
      <c r="J132" s="61" t="str">
        <f aca="false">INDEX(Parametros!$C$95:$C$106,MATCH(TRIM(INDEX(Datos_Origen!$E$2:$E$2459,$Z132)),Parametros!$B$95:$B$106,0))</f>
        <v>Tienda fisica</v>
      </c>
      <c r="K132" s="61" t="str">
        <f aca="false">INDEX(Parametros!$C$48:$C$67,MATCH(TRIM(INDEX(Datos_Origen!$F$2:$F$2459,$Z132)),Parametros!$B$48:$B$67,0))</f>
        <v>Accesorios</v>
      </c>
      <c r="L132" s="61" t="str">
        <f aca="false">$K132&amp;" "&amp;$C132</f>
        <v>Accesorios 2024</v>
      </c>
      <c r="M132" s="61" t="str">
        <f aca="false">TRIM(INDEX(Datos_Origen!$G$2:$G$2459,$Z132))</f>
        <v>Webcam Full HD</v>
      </c>
      <c r="N132" s="61" t="str">
        <f aca="false">$M132&amp;" "&amp;$C132</f>
        <v>Webcam Full HD 2024</v>
      </c>
      <c r="O132" s="63" t="n">
        <f aca="false">IF(ISTEXT($AC132),VALUE($AC132),$AC132)</f>
        <v>39</v>
      </c>
      <c r="P132" s="64" t="n">
        <f aca="false">INDEX(Datos_Origen!$I$2:$I$2459,$Z132)</f>
        <v>63.7</v>
      </c>
      <c r="Q132" s="64" t="n">
        <f aca="false">INDEX(Datos_Origen!$J$2:$J$2459,$Z132)</f>
        <v>35.43</v>
      </c>
      <c r="R132" s="65" t="n">
        <f aca="false">ROUND($O132*$P132,2)</f>
        <v>2484.3</v>
      </c>
      <c r="S132" s="65" t="n">
        <f aca="false">ROUND($O132*$Q132,2)</f>
        <v>1381.77</v>
      </c>
      <c r="T132" s="65" t="n">
        <f aca="false">ROUND($R132*SUMIFS(Parametros!$E$28:$E$43,Parametros!$B$28:$B$43,$J132,Parametros!$C$28:$C$43,$C132,Parametros!$D$28:$D$43,$D132),2)</f>
        <v>29.81</v>
      </c>
      <c r="U132" s="65" t="n">
        <f aca="false">$R132-$S132-$T132</f>
        <v>1072.72</v>
      </c>
      <c r="V132" s="66" t="n">
        <f aca="false">IFERROR($U132/$R132,0)</f>
        <v>0.431799702129373</v>
      </c>
      <c r="W132" s="67" t="str">
        <f aca="false">IF(AND($V132&gt;=Parametros!$C$8,$R132&gt;=Parametros!$C$12),"Alta rentabilidad",IF(OR($V132&lt;Parametros!$C$11,$R132&lt;Parametros!$C$13),"Revisar","Estandar"))</f>
        <v>Estandar</v>
      </c>
      <c r="X132" s="67" t="str">
        <f aca="false">IF(AND($J132="E-commerce",IFERROR($T132/$R132,0)&gt;Parametros!$C$14),"Alerta","OK")</f>
        <v>OK</v>
      </c>
      <c r="Y132" s="61" t="str">
        <f aca="false">IF($R132&gt;=Parametros!$C$12,"Alto",IF($R132&lt;Parametros!$C$13,"Bajo","Medio"))</f>
        <v>Medio</v>
      </c>
      <c r="Z132" s="61" t="n">
        <v>318</v>
      </c>
      <c r="AA132" s="61" t="str">
        <f aca="false">IF(MATCH($A132,Datos_Origen!$A$2:$A$2459,0)=$Z132,"OK","REVISAR")</f>
        <v>OK</v>
      </c>
      <c r="AB132" s="62" t="n">
        <f aca="false">INDEX(Datos_Origen!$B$2:$B$2459,$Z132)</f>
        <v>45349</v>
      </c>
      <c r="AC132" s="61" t="n">
        <f aca="false">INDEX(Datos_Origen!$H$2:$H$2459,$Z132)</f>
        <v>39</v>
      </c>
      <c r="AD132" s="61" t="str">
        <f aca="false">INDEX(Datos_Origen!$D$2:$D$2459,$Z132)&amp;""</f>
        <v>Cordoba</v>
      </c>
    </row>
    <row r="133" customFormat="false" ht="15" hidden="false" customHeight="false" outlineLevel="0" collapsed="false">
      <c r="A133" s="61" t="n">
        <f aca="false">INDEX(Datos_Origen!$A$2:$A$2459,$Z133)</f>
        <v>132</v>
      </c>
      <c r="B133" s="62" t="n">
        <f aca="false">IF(ISNUMBER($AB133),$AB133,IF(MID($AB133,5,1)="-",DATE(VALUE(LEFT($AB133,4)),VALUE(MID($AB133,6,2)),VALUE(RIGHT($AB133,2))),DATE(VALUE(RIGHT($AB133,4)),VALUE(MID($AB133,4,2)),VALUE(LEFT($AB133,2)))))</f>
        <v>45329</v>
      </c>
      <c r="C133" s="61" t="n">
        <f aca="false">YEAR($B133)</f>
        <v>2024</v>
      </c>
      <c r="D133" s="61" t="str">
        <f aca="false">"Q"&amp;ROUNDUP(MONTH($B133)/3,0)</f>
        <v>Q1</v>
      </c>
      <c r="E133" s="61" t="n">
        <f aca="false">MONTH($B133)</f>
        <v>2</v>
      </c>
      <c r="F133" s="61" t="str">
        <f aca="false">INDEX(Parametros!$I$5:$I$16,$E133)</f>
        <v>Feb</v>
      </c>
      <c r="G133" s="61" t="str">
        <f aca="false">TEXT($C133,"0000")&amp;"-"&amp;TEXT($E133,"00")</f>
        <v>2024-02</v>
      </c>
      <c r="H133" s="61" t="str">
        <f aca="false">INDEX(Parametros!$C$71:$C$91,MATCH(TRIM(INDEX(Datos_Origen!$C$2:$C$2459,$Z133)),Parametros!$B$71:$B$91,0))</f>
        <v>Centro</v>
      </c>
      <c r="I133" s="61" t="str">
        <f aca="false">IF(TRIM($AD133)="",INDEX(Parametros!$I$20:$I$24,MATCH($H133,Parametros!$H$20:$H$24,0)),TRIM($AD133))</f>
        <v>Cordoba</v>
      </c>
      <c r="J133" s="61" t="str">
        <f aca="false">INDEX(Parametros!$C$95:$C$106,MATCH(TRIM(INDEX(Datos_Origen!$E$2:$E$2459,$Z133)),Parametros!$B$95:$B$106,0))</f>
        <v>E-commerce</v>
      </c>
      <c r="K133" s="61" t="str">
        <f aca="false">INDEX(Parametros!$C$48:$C$67,MATCH(TRIM(INDEX(Datos_Origen!$F$2:$F$2459,$Z133)),Parametros!$B$48:$B$67,0))</f>
        <v>Accesorios</v>
      </c>
      <c r="L133" s="61" t="str">
        <f aca="false">$K133&amp;" "&amp;$C133</f>
        <v>Accesorios 2024</v>
      </c>
      <c r="M133" s="61" t="str">
        <f aca="false">TRIM(INDEX(Datos_Origen!$G$2:$G$2459,$Z133))</f>
        <v>Webcam Full HD</v>
      </c>
      <c r="N133" s="61" t="str">
        <f aca="false">$M133&amp;" "&amp;$C133</f>
        <v>Webcam Full HD 2024</v>
      </c>
      <c r="O133" s="63" t="n">
        <f aca="false">IF(ISTEXT($AC133),VALUE($AC133),$AC133)</f>
        <v>16</v>
      </c>
      <c r="P133" s="64" t="n">
        <f aca="false">INDEX(Datos_Origen!$I$2:$I$2459,$Z133)</f>
        <v>63.7</v>
      </c>
      <c r="Q133" s="64" t="n">
        <f aca="false">INDEX(Datos_Origen!$J$2:$J$2459,$Z133)</f>
        <v>35.43</v>
      </c>
      <c r="R133" s="65" t="n">
        <f aca="false">ROUND($O133*$P133,2)</f>
        <v>1019.2</v>
      </c>
      <c r="S133" s="65" t="n">
        <f aca="false">ROUND($O133*$Q133,2)</f>
        <v>566.88</v>
      </c>
      <c r="T133" s="65" t="n">
        <f aca="false">ROUND($R133*SUMIFS(Parametros!$E$28:$E$43,Parametros!$B$28:$B$43,$J133,Parametros!$C$28:$C$43,$C133,Parametros!$D$28:$D$43,$D133),2)</f>
        <v>42.81</v>
      </c>
      <c r="U133" s="65" t="n">
        <f aca="false">$R133-$S133-$T133</f>
        <v>409.51</v>
      </c>
      <c r="V133" s="66" t="n">
        <f aca="false">IFERROR($U133/$R133,0)</f>
        <v>0.401795525902669</v>
      </c>
      <c r="W133" s="67" t="str">
        <f aca="false">IF(AND($V133&gt;=Parametros!$C$8,$R133&gt;=Parametros!$C$12),"Alta rentabilidad",IF(OR($V133&lt;Parametros!$C$11,$R133&lt;Parametros!$C$13),"Revisar","Estandar"))</f>
        <v>Estandar</v>
      </c>
      <c r="X133" s="67" t="str">
        <f aca="false">IF(AND($J133="E-commerce",IFERROR($T133/$R133,0)&gt;Parametros!$C$14),"Alerta","OK")</f>
        <v>OK</v>
      </c>
      <c r="Y133" s="61" t="str">
        <f aca="false">IF($R133&gt;=Parametros!$C$12,"Alto",IF($R133&lt;Parametros!$C$13,"Bajo","Medio"))</f>
        <v>Medio</v>
      </c>
      <c r="Z133" s="61" t="n">
        <v>206</v>
      </c>
      <c r="AA133" s="61" t="str">
        <f aca="false">IF(MATCH($A133,Datos_Origen!$A$2:$A$2459,0)=$Z133,"OK","REVISAR")</f>
        <v>OK</v>
      </c>
      <c r="AB133" s="62" t="n">
        <f aca="false">INDEX(Datos_Origen!$B$2:$B$2459,$Z133)</f>
        <v>45329</v>
      </c>
      <c r="AC133" s="61" t="n">
        <f aca="false">INDEX(Datos_Origen!$H$2:$H$2459,$Z133)</f>
        <v>16</v>
      </c>
      <c r="AD133" s="61" t="str">
        <f aca="false">INDEX(Datos_Origen!$D$2:$D$2459,$Z133)&amp;""</f>
        <v>Cordoba</v>
      </c>
    </row>
    <row r="134" customFormat="false" ht="15" hidden="false" customHeight="false" outlineLevel="0" collapsed="false">
      <c r="A134" s="61" t="n">
        <f aca="false">INDEX(Datos_Origen!$A$2:$A$2459,$Z134)</f>
        <v>133</v>
      </c>
      <c r="B134" s="62" t="n">
        <f aca="false">IF(ISNUMBER($AB134),$AB134,IF(MID($AB134,5,1)="-",DATE(VALUE(LEFT($AB134,4)),VALUE(MID($AB134,6,2)),VALUE(RIGHT($AB134,2))),DATE(VALUE(RIGHT($AB134,4)),VALUE(MID($AB134,4,2)),VALUE(LEFT($AB134,2)))))</f>
        <v>45336</v>
      </c>
      <c r="C134" s="61" t="n">
        <f aca="false">YEAR($B134)</f>
        <v>2024</v>
      </c>
      <c r="D134" s="61" t="str">
        <f aca="false">"Q"&amp;ROUNDUP(MONTH($B134)/3,0)</f>
        <v>Q1</v>
      </c>
      <c r="E134" s="61" t="n">
        <f aca="false">MONTH($B134)</f>
        <v>2</v>
      </c>
      <c r="F134" s="61" t="str">
        <f aca="false">INDEX(Parametros!$I$5:$I$16,$E134)</f>
        <v>Feb</v>
      </c>
      <c r="G134" s="61" t="str">
        <f aca="false">TEXT($C134,"0000")&amp;"-"&amp;TEXT($E134,"00")</f>
        <v>2024-02</v>
      </c>
      <c r="H134" s="61" t="str">
        <f aca="false">INDEX(Parametros!$C$71:$C$91,MATCH(TRIM(INDEX(Datos_Origen!$C$2:$C$2459,$Z134)),Parametros!$B$71:$B$91,0))</f>
        <v>Centro</v>
      </c>
      <c r="I134" s="61" t="str">
        <f aca="false">IF(TRIM($AD134)="",INDEX(Parametros!$I$20:$I$24,MATCH($H134,Parametros!$H$20:$H$24,0)),TRIM($AD134))</f>
        <v>Cordoba</v>
      </c>
      <c r="J134" s="61" t="str">
        <f aca="false">INDEX(Parametros!$C$95:$C$106,MATCH(TRIM(INDEX(Datos_Origen!$E$2:$E$2459,$Z134)),Parametros!$B$95:$B$106,0))</f>
        <v>Tienda fisica</v>
      </c>
      <c r="K134" s="61" t="str">
        <f aca="false">INDEX(Parametros!$C$48:$C$67,MATCH(TRIM(INDEX(Datos_Origen!$F$2:$F$2459,$Z134)),Parametros!$B$48:$B$67,0))</f>
        <v>Audio</v>
      </c>
      <c r="L134" s="61" t="str">
        <f aca="false">$K134&amp;" "&amp;$C134</f>
        <v>Audio 2024</v>
      </c>
      <c r="M134" s="61" t="str">
        <f aca="false">TRIM(INDEX(Datos_Origen!$G$2:$G$2459,$Z134))</f>
        <v>Auriculares BT Pro</v>
      </c>
      <c r="N134" s="61" t="str">
        <f aca="false">$M134&amp;" "&amp;$C134</f>
        <v>Auriculares BT Pro 2024</v>
      </c>
      <c r="O134" s="63" t="n">
        <f aca="false">IF(ISTEXT($AC134),VALUE($AC134),$AC134)</f>
        <v>24</v>
      </c>
      <c r="P134" s="64" t="n">
        <f aca="false">INDEX(Datos_Origen!$I$2:$I$2459,$Z134)</f>
        <v>117.6</v>
      </c>
      <c r="Q134" s="64" t="n">
        <f aca="false">INDEX(Datos_Origen!$J$2:$J$2459,$Z134)</f>
        <v>63.6</v>
      </c>
      <c r="R134" s="65" t="n">
        <f aca="false">ROUND($O134*$P134,2)</f>
        <v>2822.4</v>
      </c>
      <c r="S134" s="65" t="n">
        <f aca="false">ROUND($O134*$Q134,2)</f>
        <v>1526.4</v>
      </c>
      <c r="T134" s="65" t="n">
        <f aca="false">ROUND($R134*SUMIFS(Parametros!$E$28:$E$43,Parametros!$B$28:$B$43,$J134,Parametros!$C$28:$C$43,$C134,Parametros!$D$28:$D$43,$D134),2)</f>
        <v>33.87</v>
      </c>
      <c r="U134" s="65" t="n">
        <f aca="false">$R134-$S134-$T134</f>
        <v>1262.13</v>
      </c>
      <c r="V134" s="66" t="n">
        <f aca="false">IFERROR($U134/$R134,0)</f>
        <v>0.44718324829932</v>
      </c>
      <c r="W134" s="67" t="str">
        <f aca="false">IF(AND($V134&gt;=Parametros!$C$8,$R134&gt;=Parametros!$C$12),"Alta rentabilidad",IF(OR($V134&lt;Parametros!$C$11,$R134&lt;Parametros!$C$13),"Revisar","Estandar"))</f>
        <v>Estandar</v>
      </c>
      <c r="X134" s="67" t="str">
        <f aca="false">IF(AND($J134="E-commerce",IFERROR($T134/$R134,0)&gt;Parametros!$C$14),"Alerta","OK")</f>
        <v>OK</v>
      </c>
      <c r="Y134" s="61" t="str">
        <f aca="false">IF($R134&gt;=Parametros!$C$12,"Alto",IF($R134&lt;Parametros!$C$13,"Bajo","Medio"))</f>
        <v>Medio</v>
      </c>
      <c r="Z134" s="61" t="n">
        <v>2450</v>
      </c>
      <c r="AA134" s="61" t="str">
        <f aca="false">IF(MATCH($A134,Datos_Origen!$A$2:$A$2459,0)=$Z134,"OK","REVISAR")</f>
        <v>OK</v>
      </c>
      <c r="AB134" s="62" t="n">
        <f aca="false">INDEX(Datos_Origen!$B$2:$B$2459,$Z134)</f>
        <v>45336</v>
      </c>
      <c r="AC134" s="61" t="n">
        <f aca="false">INDEX(Datos_Origen!$H$2:$H$2459,$Z134)</f>
        <v>24</v>
      </c>
      <c r="AD134" s="61" t="str">
        <f aca="false">INDEX(Datos_Origen!$D$2:$D$2459,$Z134)&amp;""</f>
        <v>Cordoba</v>
      </c>
    </row>
    <row r="135" customFormat="false" ht="15" hidden="false" customHeight="false" outlineLevel="0" collapsed="false">
      <c r="A135" s="61" t="n">
        <f aca="false">INDEX(Datos_Origen!$A$2:$A$2459,$Z135)</f>
        <v>134</v>
      </c>
      <c r="B135" s="62" t="n">
        <f aca="false">IF(ISNUMBER($AB135),$AB135,IF(MID($AB135,5,1)="-",DATE(VALUE(LEFT($AB135,4)),VALUE(MID($AB135,6,2)),VALUE(RIGHT($AB135,2))),DATE(VALUE(RIGHT($AB135,4)),VALUE(MID($AB135,4,2)),VALUE(LEFT($AB135,2)))))</f>
        <v>45343</v>
      </c>
      <c r="C135" s="61" t="n">
        <f aca="false">YEAR($B135)</f>
        <v>2024</v>
      </c>
      <c r="D135" s="61" t="str">
        <f aca="false">"Q"&amp;ROUNDUP(MONTH($B135)/3,0)</f>
        <v>Q1</v>
      </c>
      <c r="E135" s="61" t="n">
        <f aca="false">MONTH($B135)</f>
        <v>2</v>
      </c>
      <c r="F135" s="61" t="str">
        <f aca="false">INDEX(Parametros!$I$5:$I$16,$E135)</f>
        <v>Feb</v>
      </c>
      <c r="G135" s="61" t="str">
        <f aca="false">TEXT($C135,"0000")&amp;"-"&amp;TEXT($E135,"00")</f>
        <v>2024-02</v>
      </c>
      <c r="H135" s="61" t="str">
        <f aca="false">INDEX(Parametros!$C$71:$C$91,MATCH(TRIM(INDEX(Datos_Origen!$C$2:$C$2459,$Z135)),Parametros!$B$71:$B$91,0))</f>
        <v>Centro</v>
      </c>
      <c r="I135" s="61" t="str">
        <f aca="false">IF(TRIM($AD135)="",INDEX(Parametros!$I$20:$I$24,MATCH($H135,Parametros!$H$20:$H$24,0)),TRIM($AD135))</f>
        <v>Cordoba</v>
      </c>
      <c r="J135" s="61" t="str">
        <f aca="false">INDEX(Parametros!$C$95:$C$106,MATCH(TRIM(INDEX(Datos_Origen!$E$2:$E$2459,$Z135)),Parametros!$B$95:$B$106,0))</f>
        <v>E-commerce</v>
      </c>
      <c r="K135" s="61" t="str">
        <f aca="false">INDEX(Parametros!$C$48:$C$67,MATCH(TRIM(INDEX(Datos_Origen!$F$2:$F$2459,$Z135)),Parametros!$B$48:$B$67,0))</f>
        <v>Audio</v>
      </c>
      <c r="L135" s="61" t="str">
        <f aca="false">$K135&amp;" "&amp;$C135</f>
        <v>Audio 2024</v>
      </c>
      <c r="M135" s="61" t="str">
        <f aca="false">TRIM(INDEX(Datos_Origen!$G$2:$G$2459,$Z135))</f>
        <v>Auriculares BT Pro</v>
      </c>
      <c r="N135" s="61" t="str">
        <f aca="false">$M135&amp;" "&amp;$C135</f>
        <v>Auriculares BT Pro 2024</v>
      </c>
      <c r="O135" s="63" t="n">
        <f aca="false">IF(ISTEXT($AC135),VALUE($AC135),$AC135)</f>
        <v>8</v>
      </c>
      <c r="P135" s="64" t="n">
        <f aca="false">INDEX(Datos_Origen!$I$2:$I$2459,$Z135)</f>
        <v>117.6</v>
      </c>
      <c r="Q135" s="64" t="n">
        <f aca="false">INDEX(Datos_Origen!$J$2:$J$2459,$Z135)</f>
        <v>63.6</v>
      </c>
      <c r="R135" s="65" t="n">
        <f aca="false">ROUND($O135*$P135,2)</f>
        <v>940.8</v>
      </c>
      <c r="S135" s="65" t="n">
        <f aca="false">ROUND($O135*$Q135,2)</f>
        <v>508.8</v>
      </c>
      <c r="T135" s="65" t="n">
        <f aca="false">ROUND($R135*SUMIFS(Parametros!$E$28:$E$43,Parametros!$B$28:$B$43,$J135,Parametros!$C$28:$C$43,$C135,Parametros!$D$28:$D$43,$D135),2)</f>
        <v>39.51</v>
      </c>
      <c r="U135" s="65" t="n">
        <f aca="false">$R135-$S135-$T135</f>
        <v>392.49</v>
      </c>
      <c r="V135" s="66" t="n">
        <f aca="false">IFERROR($U135/$R135,0)</f>
        <v>0.4171875</v>
      </c>
      <c r="W135" s="67" t="str">
        <f aca="false">IF(AND($V135&gt;=Parametros!$C$8,$R135&gt;=Parametros!$C$12),"Alta rentabilidad",IF(OR($V135&lt;Parametros!$C$11,$R135&lt;Parametros!$C$13),"Revisar","Estandar"))</f>
        <v>Estandar</v>
      </c>
      <c r="X135" s="67" t="str">
        <f aca="false">IF(AND($J135="E-commerce",IFERROR($T135/$R135,0)&gt;Parametros!$C$14),"Alerta","OK")</f>
        <v>OK</v>
      </c>
      <c r="Y135" s="61" t="str">
        <f aca="false">IF($R135&gt;=Parametros!$C$12,"Alto",IF($R135&lt;Parametros!$C$13,"Bajo","Medio"))</f>
        <v>Medio</v>
      </c>
      <c r="Z135" s="61" t="n">
        <v>1161</v>
      </c>
      <c r="AA135" s="61" t="str">
        <f aca="false">IF(MATCH($A135,Datos_Origen!$A$2:$A$2459,0)=$Z135,"OK","REVISAR")</f>
        <v>OK</v>
      </c>
      <c r="AB135" s="62" t="n">
        <f aca="false">INDEX(Datos_Origen!$B$2:$B$2459,$Z135)</f>
        <v>45343</v>
      </c>
      <c r="AC135" s="61" t="n">
        <f aca="false">INDEX(Datos_Origen!$H$2:$H$2459,$Z135)</f>
        <v>8</v>
      </c>
      <c r="AD135" s="61" t="str">
        <f aca="false">INDEX(Datos_Origen!$D$2:$D$2459,$Z135)&amp;""</f>
        <v>Cordoba</v>
      </c>
    </row>
    <row r="136" customFormat="false" ht="15" hidden="false" customHeight="false" outlineLevel="0" collapsed="false">
      <c r="A136" s="61" t="n">
        <f aca="false">INDEX(Datos_Origen!$A$2:$A$2459,$Z136)</f>
        <v>135</v>
      </c>
      <c r="B136" s="62" t="n">
        <f aca="false">IF(ISNUMBER($AB136),$AB136,IF(MID($AB136,5,1)="-",DATE(VALUE(LEFT($AB136,4)),VALUE(MID($AB136,6,2)),VALUE(RIGHT($AB136,2))),DATE(VALUE(RIGHT($AB136,4)),VALUE(MID($AB136,4,2)),VALUE(LEFT($AB136,2)))))</f>
        <v>45323</v>
      </c>
      <c r="C136" s="61" t="n">
        <f aca="false">YEAR($B136)</f>
        <v>2024</v>
      </c>
      <c r="D136" s="61" t="str">
        <f aca="false">"Q"&amp;ROUNDUP(MONTH($B136)/3,0)</f>
        <v>Q1</v>
      </c>
      <c r="E136" s="61" t="n">
        <f aca="false">MONTH($B136)</f>
        <v>2</v>
      </c>
      <c r="F136" s="61" t="str">
        <f aca="false">INDEX(Parametros!$I$5:$I$16,$E136)</f>
        <v>Feb</v>
      </c>
      <c r="G136" s="61" t="str">
        <f aca="false">TEXT($C136,"0000")&amp;"-"&amp;TEXT($E136,"00")</f>
        <v>2024-02</v>
      </c>
      <c r="H136" s="61" t="str">
        <f aca="false">INDEX(Parametros!$C$71:$C$91,MATCH(TRIM(INDEX(Datos_Origen!$C$2:$C$2459,$Z136)),Parametros!$B$71:$B$91,0))</f>
        <v>Centro</v>
      </c>
      <c r="I136" s="61" t="str">
        <f aca="false">IF(TRIM($AD136)="",INDEX(Parametros!$I$20:$I$24,MATCH($H136,Parametros!$H$20:$H$24,0)),TRIM($AD136))</f>
        <v>Cordoba</v>
      </c>
      <c r="J136" s="61" t="str">
        <f aca="false">INDEX(Parametros!$C$95:$C$106,MATCH(TRIM(INDEX(Datos_Origen!$E$2:$E$2459,$Z136)),Parametros!$B$95:$B$106,0))</f>
        <v>Tienda fisica</v>
      </c>
      <c r="K136" s="61" t="str">
        <f aca="false">INDEX(Parametros!$C$48:$C$67,MATCH(TRIM(INDEX(Datos_Origen!$F$2:$F$2459,$Z136)),Parametros!$B$48:$B$67,0))</f>
        <v>Audio</v>
      </c>
      <c r="L136" s="61" t="str">
        <f aca="false">$K136&amp;" "&amp;$C136</f>
        <v>Audio 2024</v>
      </c>
      <c r="M136" s="61" t="str">
        <f aca="false">TRIM(INDEX(Datos_Origen!$G$2:$G$2459,$Z136))</f>
        <v>Parlante Bluetooth</v>
      </c>
      <c r="N136" s="61" t="str">
        <f aca="false">$M136&amp;" "&amp;$C136</f>
        <v>Parlante Bluetooth 2024</v>
      </c>
      <c r="O136" s="63" t="n">
        <f aca="false">IF(ISTEXT($AC136),VALUE($AC136),$AC136)</f>
        <v>17</v>
      </c>
      <c r="P136" s="64" t="n">
        <f aca="false">INDEX(Datos_Origen!$I$2:$I$2459,$Z136)</f>
        <v>83.3</v>
      </c>
      <c r="Q136" s="64" t="n">
        <f aca="false">INDEX(Datos_Origen!$J$2:$J$2459,$Z136)</f>
        <v>48.03</v>
      </c>
      <c r="R136" s="65" t="n">
        <f aca="false">ROUND($O136*$P136,2)</f>
        <v>1416.1</v>
      </c>
      <c r="S136" s="65" t="n">
        <f aca="false">ROUND($O136*$Q136,2)</f>
        <v>816.51</v>
      </c>
      <c r="T136" s="65" t="n">
        <f aca="false">ROUND($R136*SUMIFS(Parametros!$E$28:$E$43,Parametros!$B$28:$B$43,$J136,Parametros!$C$28:$C$43,$C136,Parametros!$D$28:$D$43,$D136),2)</f>
        <v>16.99</v>
      </c>
      <c r="U136" s="65" t="n">
        <f aca="false">$R136-$S136-$T136</f>
        <v>582.6</v>
      </c>
      <c r="V136" s="66" t="n">
        <f aca="false">IFERROR($U136/$R136,0)</f>
        <v>0.411411623472919</v>
      </c>
      <c r="W136" s="67" t="str">
        <f aca="false">IF(AND($V136&gt;=Parametros!$C$8,$R136&gt;=Parametros!$C$12),"Alta rentabilidad",IF(OR($V136&lt;Parametros!$C$11,$R136&lt;Parametros!$C$13),"Revisar","Estandar"))</f>
        <v>Estandar</v>
      </c>
      <c r="X136" s="67" t="str">
        <f aca="false">IF(AND($J136="E-commerce",IFERROR($T136/$R136,0)&gt;Parametros!$C$14),"Alerta","OK")</f>
        <v>OK</v>
      </c>
      <c r="Y136" s="61" t="str">
        <f aca="false">IF($R136&gt;=Parametros!$C$12,"Alto",IF($R136&lt;Parametros!$C$13,"Bajo","Medio"))</f>
        <v>Medio</v>
      </c>
      <c r="Z136" s="61" t="n">
        <v>2177</v>
      </c>
      <c r="AA136" s="61" t="str">
        <f aca="false">IF(MATCH($A136,Datos_Origen!$A$2:$A$2459,0)=$Z136,"OK","REVISAR")</f>
        <v>OK</v>
      </c>
      <c r="AB136" s="61" t="str">
        <f aca="false">INDEX(Datos_Origen!$B$2:$B$2459,$Z136)</f>
        <v>01/02/2024</v>
      </c>
      <c r="AC136" s="61" t="n">
        <f aca="false">INDEX(Datos_Origen!$H$2:$H$2459,$Z136)</f>
        <v>17</v>
      </c>
      <c r="AD136" s="61" t="str">
        <f aca="false">INDEX(Datos_Origen!$D$2:$D$2459,$Z136)&amp;""</f>
        <v>Cordoba</v>
      </c>
    </row>
    <row r="137" customFormat="false" ht="15" hidden="false" customHeight="false" outlineLevel="0" collapsed="false">
      <c r="A137" s="61" t="n">
        <f aca="false">INDEX(Datos_Origen!$A$2:$A$2459,$Z137)</f>
        <v>136</v>
      </c>
      <c r="B137" s="62" t="n">
        <f aca="false">IF(ISNUMBER($AB137),$AB137,IF(MID($AB137,5,1)="-",DATE(VALUE(LEFT($AB137,4)),VALUE(MID($AB137,6,2)),VALUE(RIGHT($AB137,2))),DATE(VALUE(RIGHT($AB137,4)),VALUE(MID($AB137,4,2)),VALUE(LEFT($AB137,2)))))</f>
        <v>45330</v>
      </c>
      <c r="C137" s="61" t="n">
        <f aca="false">YEAR($B137)</f>
        <v>2024</v>
      </c>
      <c r="D137" s="61" t="str">
        <f aca="false">"Q"&amp;ROUNDUP(MONTH($B137)/3,0)</f>
        <v>Q1</v>
      </c>
      <c r="E137" s="61" t="n">
        <f aca="false">MONTH($B137)</f>
        <v>2</v>
      </c>
      <c r="F137" s="61" t="str">
        <f aca="false">INDEX(Parametros!$I$5:$I$16,$E137)</f>
        <v>Feb</v>
      </c>
      <c r="G137" s="61" t="str">
        <f aca="false">TEXT($C137,"0000")&amp;"-"&amp;TEXT($E137,"00")</f>
        <v>2024-02</v>
      </c>
      <c r="H137" s="61" t="str">
        <f aca="false">INDEX(Parametros!$C$71:$C$91,MATCH(TRIM(INDEX(Datos_Origen!$C$2:$C$2459,$Z137)),Parametros!$B$71:$B$91,0))</f>
        <v>Centro</v>
      </c>
      <c r="I137" s="61" t="str">
        <f aca="false">IF(TRIM($AD137)="",INDEX(Parametros!$I$20:$I$24,MATCH($H137,Parametros!$H$20:$H$24,0)),TRIM($AD137))</f>
        <v>Cordoba</v>
      </c>
      <c r="J137" s="61" t="str">
        <f aca="false">INDEX(Parametros!$C$95:$C$106,MATCH(TRIM(INDEX(Datos_Origen!$E$2:$E$2459,$Z137)),Parametros!$B$95:$B$106,0))</f>
        <v>E-commerce</v>
      </c>
      <c r="K137" s="61" t="str">
        <f aca="false">INDEX(Parametros!$C$48:$C$67,MATCH(TRIM(INDEX(Datos_Origen!$F$2:$F$2459,$Z137)),Parametros!$B$48:$B$67,0))</f>
        <v>Audio</v>
      </c>
      <c r="L137" s="61" t="str">
        <f aca="false">$K137&amp;" "&amp;$C137</f>
        <v>Audio 2024</v>
      </c>
      <c r="M137" s="61" t="str">
        <f aca="false">TRIM(INDEX(Datos_Origen!$G$2:$G$2459,$Z137))</f>
        <v>Parlante Bluetooth</v>
      </c>
      <c r="N137" s="61" t="str">
        <f aca="false">$M137&amp;" "&amp;$C137</f>
        <v>Parlante Bluetooth 2024</v>
      </c>
      <c r="O137" s="63" t="n">
        <f aca="false">IF(ISTEXT($AC137),VALUE($AC137),$AC137)</f>
        <v>9</v>
      </c>
      <c r="P137" s="64" t="n">
        <f aca="false">INDEX(Datos_Origen!$I$2:$I$2459,$Z137)</f>
        <v>83.3</v>
      </c>
      <c r="Q137" s="64" t="n">
        <f aca="false">INDEX(Datos_Origen!$J$2:$J$2459,$Z137)</f>
        <v>48.03</v>
      </c>
      <c r="R137" s="65" t="n">
        <f aca="false">ROUND($O137*$P137,2)</f>
        <v>749.7</v>
      </c>
      <c r="S137" s="65" t="n">
        <f aca="false">ROUND($O137*$Q137,2)</f>
        <v>432.27</v>
      </c>
      <c r="T137" s="65" t="n">
        <f aca="false">ROUND($R137*SUMIFS(Parametros!$E$28:$E$43,Parametros!$B$28:$B$43,$J137,Parametros!$C$28:$C$43,$C137,Parametros!$D$28:$D$43,$D137),2)</f>
        <v>31.49</v>
      </c>
      <c r="U137" s="65" t="n">
        <f aca="false">$R137-$S137-$T137</f>
        <v>285.94</v>
      </c>
      <c r="V137" s="66" t="n">
        <f aca="false">IFERROR($U137/$R137,0)</f>
        <v>0.38140589569161</v>
      </c>
      <c r="W137" s="67" t="str">
        <f aca="false">IF(AND($V137&gt;=Parametros!$C$8,$R137&gt;=Parametros!$C$12),"Alta rentabilidad",IF(OR($V137&lt;Parametros!$C$11,$R137&lt;Parametros!$C$13),"Revisar","Estandar"))</f>
        <v>Estandar</v>
      </c>
      <c r="X137" s="67" t="str">
        <f aca="false">IF(AND($J137="E-commerce",IFERROR($T137/$R137,0)&gt;Parametros!$C$14),"Alerta","OK")</f>
        <v>OK</v>
      </c>
      <c r="Y137" s="61" t="str">
        <f aca="false">IF($R137&gt;=Parametros!$C$12,"Alto",IF($R137&lt;Parametros!$C$13,"Bajo","Medio"))</f>
        <v>Medio</v>
      </c>
      <c r="Z137" s="61" t="n">
        <v>207</v>
      </c>
      <c r="AA137" s="61" t="str">
        <f aca="false">IF(MATCH($A137,Datos_Origen!$A$2:$A$2459,0)=$Z137,"OK","REVISAR")</f>
        <v>OK</v>
      </c>
      <c r="AB137" s="62" t="n">
        <f aca="false">INDEX(Datos_Origen!$B$2:$B$2459,$Z137)</f>
        <v>45330</v>
      </c>
      <c r="AC137" s="61" t="n">
        <f aca="false">INDEX(Datos_Origen!$H$2:$H$2459,$Z137)</f>
        <v>9</v>
      </c>
      <c r="AD137" s="61" t="str">
        <f aca="false">INDEX(Datos_Origen!$D$2:$D$2459,$Z137)&amp;""</f>
        <v>Cordoba</v>
      </c>
    </row>
    <row r="138" customFormat="false" ht="15" hidden="false" customHeight="false" outlineLevel="0" collapsed="false">
      <c r="A138" s="61" t="n">
        <f aca="false">INDEX(Datos_Origen!$A$2:$A$2459,$Z138)</f>
        <v>137</v>
      </c>
      <c r="B138" s="62" t="n">
        <f aca="false">IF(ISNUMBER($AB138),$AB138,IF(MID($AB138,5,1)="-",DATE(VALUE(LEFT($AB138,4)),VALUE(MID($AB138,6,2)),VALUE(RIGHT($AB138,2))),DATE(VALUE(RIGHT($AB138,4)),VALUE(MID($AB138,4,2)),VALUE(LEFT($AB138,2)))))</f>
        <v>45337</v>
      </c>
      <c r="C138" s="61" t="n">
        <f aca="false">YEAR($B138)</f>
        <v>2024</v>
      </c>
      <c r="D138" s="61" t="str">
        <f aca="false">"Q"&amp;ROUNDUP(MONTH($B138)/3,0)</f>
        <v>Q1</v>
      </c>
      <c r="E138" s="61" t="n">
        <f aca="false">MONTH($B138)</f>
        <v>2</v>
      </c>
      <c r="F138" s="61" t="str">
        <f aca="false">INDEX(Parametros!$I$5:$I$16,$E138)</f>
        <v>Feb</v>
      </c>
      <c r="G138" s="61" t="str">
        <f aca="false">TEXT($C138,"0000")&amp;"-"&amp;TEXT($E138,"00")</f>
        <v>2024-02</v>
      </c>
      <c r="H138" s="61" t="str">
        <f aca="false">INDEX(Parametros!$C$71:$C$91,MATCH(TRIM(INDEX(Datos_Origen!$C$2:$C$2459,$Z138)),Parametros!$B$71:$B$91,0))</f>
        <v>Centro</v>
      </c>
      <c r="I138" s="61" t="str">
        <f aca="false">IF(TRIM($AD138)="",INDEX(Parametros!$I$20:$I$24,MATCH($H138,Parametros!$H$20:$H$24,0)),TRIM($AD138))</f>
        <v>Cordoba</v>
      </c>
      <c r="J138" s="61" t="str">
        <f aca="false">INDEX(Parametros!$C$95:$C$106,MATCH(TRIM(INDEX(Datos_Origen!$E$2:$E$2459,$Z138)),Parametros!$B$95:$B$106,0))</f>
        <v>Tienda fisica</v>
      </c>
      <c r="K138" s="61" t="str">
        <f aca="false">INDEX(Parametros!$C$48:$C$67,MATCH(TRIM(INDEX(Datos_Origen!$F$2:$F$2459,$Z138)),Parametros!$B$48:$B$67,0))</f>
        <v>Almacenamiento</v>
      </c>
      <c r="L138" s="61" t="str">
        <f aca="false">$K138&amp;" "&amp;$C138</f>
        <v>Almacenamiento 2024</v>
      </c>
      <c r="M138" s="61" t="str">
        <f aca="false">TRIM(INDEX(Datos_Origen!$G$2:$G$2459,$Z138))</f>
        <v>SSD Externo 1TB</v>
      </c>
      <c r="N138" s="61" t="str">
        <f aca="false">$M138&amp;" "&amp;$C138</f>
        <v>SSD Externo 1TB 2024</v>
      </c>
      <c r="O138" s="63" t="n">
        <f aca="false">IF(ISTEXT($AC138),VALUE($AC138),$AC138)</f>
        <v>24</v>
      </c>
      <c r="P138" s="64" t="n">
        <f aca="false">INDEX(Datos_Origen!$I$2:$I$2459,$Z138)</f>
        <v>127.4</v>
      </c>
      <c r="Q138" s="64" t="n">
        <f aca="false">INDEX(Datos_Origen!$J$2:$J$2459,$Z138)</f>
        <v>76.05</v>
      </c>
      <c r="R138" s="65" t="n">
        <f aca="false">ROUND($O138*$P138,2)</f>
        <v>3057.6</v>
      </c>
      <c r="S138" s="65" t="n">
        <f aca="false">ROUND($O138*$Q138,2)</f>
        <v>1825.2</v>
      </c>
      <c r="T138" s="65" t="n">
        <f aca="false">ROUND($R138*SUMIFS(Parametros!$E$28:$E$43,Parametros!$B$28:$B$43,$J138,Parametros!$C$28:$C$43,$C138,Parametros!$D$28:$D$43,$D138),2)</f>
        <v>36.69</v>
      </c>
      <c r="U138" s="65" t="n">
        <f aca="false">$R138-$S138-$T138</f>
        <v>1195.71</v>
      </c>
      <c r="V138" s="66" t="n">
        <f aca="false">IFERROR($U138/$R138,0)</f>
        <v>0.391061616954474</v>
      </c>
      <c r="W138" s="67" t="str">
        <f aca="false">IF(AND($V138&gt;=Parametros!$C$8,$R138&gt;=Parametros!$C$12),"Alta rentabilidad",IF(OR($V138&lt;Parametros!$C$11,$R138&lt;Parametros!$C$13),"Revisar","Estandar"))</f>
        <v>Alta rentabilidad</v>
      </c>
      <c r="X138" s="67" t="str">
        <f aca="false">IF(AND($J138="E-commerce",IFERROR($T138/$R138,0)&gt;Parametros!$C$14),"Alerta","OK")</f>
        <v>OK</v>
      </c>
      <c r="Y138" s="61" t="str">
        <f aca="false">IF($R138&gt;=Parametros!$C$12,"Alto",IF($R138&lt;Parametros!$C$13,"Bajo","Medio"))</f>
        <v>Alto</v>
      </c>
      <c r="Z138" s="61" t="n">
        <v>1536</v>
      </c>
      <c r="AA138" s="61" t="str">
        <f aca="false">IF(MATCH($A138,Datos_Origen!$A$2:$A$2459,0)=$Z138,"OK","REVISAR")</f>
        <v>OK</v>
      </c>
      <c r="AB138" s="62" t="n">
        <f aca="false">INDEX(Datos_Origen!$B$2:$B$2459,$Z138)</f>
        <v>45337</v>
      </c>
      <c r="AC138" s="61" t="n">
        <f aca="false">INDEX(Datos_Origen!$H$2:$H$2459,$Z138)</f>
        <v>24</v>
      </c>
      <c r="AD138" s="61" t="str">
        <f aca="false">INDEX(Datos_Origen!$D$2:$D$2459,$Z138)&amp;""</f>
        <v>Cordoba</v>
      </c>
    </row>
    <row r="139" customFormat="false" ht="15" hidden="false" customHeight="false" outlineLevel="0" collapsed="false">
      <c r="A139" s="61" t="n">
        <f aca="false">INDEX(Datos_Origen!$A$2:$A$2459,$Z139)</f>
        <v>138</v>
      </c>
      <c r="B139" s="62" t="n">
        <f aca="false">IF(ISNUMBER($AB139),$AB139,IF(MID($AB139,5,1)="-",DATE(VALUE(LEFT($AB139,4)),VALUE(MID($AB139,6,2)),VALUE(RIGHT($AB139,2))),DATE(VALUE(RIGHT($AB139,4)),VALUE(MID($AB139,4,2)),VALUE(LEFT($AB139,2)))))</f>
        <v>45344</v>
      </c>
      <c r="C139" s="61" t="n">
        <f aca="false">YEAR($B139)</f>
        <v>2024</v>
      </c>
      <c r="D139" s="61" t="str">
        <f aca="false">"Q"&amp;ROUNDUP(MONTH($B139)/3,0)</f>
        <v>Q1</v>
      </c>
      <c r="E139" s="61" t="n">
        <f aca="false">MONTH($B139)</f>
        <v>2</v>
      </c>
      <c r="F139" s="61" t="str">
        <f aca="false">INDEX(Parametros!$I$5:$I$16,$E139)</f>
        <v>Feb</v>
      </c>
      <c r="G139" s="61" t="str">
        <f aca="false">TEXT($C139,"0000")&amp;"-"&amp;TEXT($E139,"00")</f>
        <v>2024-02</v>
      </c>
      <c r="H139" s="61" t="str">
        <f aca="false">INDEX(Parametros!$C$71:$C$91,MATCH(TRIM(INDEX(Datos_Origen!$C$2:$C$2459,$Z139)),Parametros!$B$71:$B$91,0))</f>
        <v>Centro</v>
      </c>
      <c r="I139" s="61" t="str">
        <f aca="false">IF(TRIM($AD139)="",INDEX(Parametros!$I$20:$I$24,MATCH($H139,Parametros!$H$20:$H$24,0)),TRIM($AD139))</f>
        <v>Cordoba</v>
      </c>
      <c r="J139" s="61" t="str">
        <f aca="false">INDEX(Parametros!$C$95:$C$106,MATCH(TRIM(INDEX(Datos_Origen!$E$2:$E$2459,$Z139)),Parametros!$B$95:$B$106,0))</f>
        <v>E-commerce</v>
      </c>
      <c r="K139" s="61" t="str">
        <f aca="false">INDEX(Parametros!$C$48:$C$67,MATCH(TRIM(INDEX(Datos_Origen!$F$2:$F$2459,$Z139)),Parametros!$B$48:$B$67,0))</f>
        <v>Almacenamiento</v>
      </c>
      <c r="L139" s="61" t="str">
        <f aca="false">$K139&amp;" "&amp;$C139</f>
        <v>Almacenamiento 2024</v>
      </c>
      <c r="M139" s="61" t="str">
        <f aca="false">TRIM(INDEX(Datos_Origen!$G$2:$G$2459,$Z139))</f>
        <v>SSD Externo 1TB</v>
      </c>
      <c r="N139" s="61" t="str">
        <f aca="false">$M139&amp;" "&amp;$C139</f>
        <v>SSD Externo 1TB 2024</v>
      </c>
      <c r="O139" s="63" t="n">
        <f aca="false">IF(ISTEXT($AC139),VALUE($AC139),$AC139)</f>
        <v>10</v>
      </c>
      <c r="P139" s="64" t="n">
        <f aca="false">INDEX(Datos_Origen!$I$2:$I$2459,$Z139)</f>
        <v>127.4</v>
      </c>
      <c r="Q139" s="64" t="n">
        <f aca="false">INDEX(Datos_Origen!$J$2:$J$2459,$Z139)</f>
        <v>76.05</v>
      </c>
      <c r="R139" s="65" t="n">
        <f aca="false">ROUND($O139*$P139,2)</f>
        <v>1274</v>
      </c>
      <c r="S139" s="65" t="n">
        <f aca="false">ROUND($O139*$Q139,2)</f>
        <v>760.5</v>
      </c>
      <c r="T139" s="65" t="n">
        <f aca="false">ROUND($R139*SUMIFS(Parametros!$E$28:$E$43,Parametros!$B$28:$B$43,$J139,Parametros!$C$28:$C$43,$C139,Parametros!$D$28:$D$43,$D139),2)</f>
        <v>53.51</v>
      </c>
      <c r="U139" s="65" t="n">
        <f aca="false">$R139-$S139-$T139</f>
        <v>459.99</v>
      </c>
      <c r="V139" s="66" t="n">
        <f aca="false">IFERROR($U139/$R139,0)</f>
        <v>0.361059654631083</v>
      </c>
      <c r="W139" s="67" t="str">
        <f aca="false">IF(AND($V139&gt;=Parametros!$C$8,$R139&gt;=Parametros!$C$12),"Alta rentabilidad",IF(OR($V139&lt;Parametros!$C$11,$R139&lt;Parametros!$C$13),"Revisar","Estandar"))</f>
        <v>Estandar</v>
      </c>
      <c r="X139" s="67" t="str">
        <f aca="false">IF(AND($J139="E-commerce",IFERROR($T139/$R139,0)&gt;Parametros!$C$14),"Alerta","OK")</f>
        <v>OK</v>
      </c>
      <c r="Y139" s="61" t="str">
        <f aca="false">IF($R139&gt;=Parametros!$C$12,"Alto",IF($R139&lt;Parametros!$C$13,"Bajo","Medio"))</f>
        <v>Medio</v>
      </c>
      <c r="Z139" s="61" t="n">
        <v>1642</v>
      </c>
      <c r="AA139" s="61" t="str">
        <f aca="false">IF(MATCH($A139,Datos_Origen!$A$2:$A$2459,0)=$Z139,"OK","REVISAR")</f>
        <v>OK</v>
      </c>
      <c r="AB139" s="62" t="n">
        <f aca="false">INDEX(Datos_Origen!$B$2:$B$2459,$Z139)</f>
        <v>45344</v>
      </c>
      <c r="AC139" s="61" t="n">
        <f aca="false">INDEX(Datos_Origen!$H$2:$H$2459,$Z139)</f>
        <v>10</v>
      </c>
      <c r="AD139" s="61" t="str">
        <f aca="false">INDEX(Datos_Origen!$D$2:$D$2459,$Z139)&amp;""</f>
        <v>Cordoba</v>
      </c>
    </row>
    <row r="140" customFormat="false" ht="15" hidden="false" customHeight="false" outlineLevel="0" collapsed="false">
      <c r="A140" s="61" t="n">
        <f aca="false">INDEX(Datos_Origen!$A$2:$A$2459,$Z140)</f>
        <v>139</v>
      </c>
      <c r="B140" s="62" t="n">
        <f aca="false">IF(ISNUMBER($AB140),$AB140,IF(MID($AB140,5,1)="-",DATE(VALUE(LEFT($AB140,4)),VALUE(MID($AB140,6,2)),VALUE(RIGHT($AB140,2))),DATE(VALUE(RIGHT($AB140,4)),VALUE(MID($AB140,4,2)),VALUE(LEFT($AB140,2)))))</f>
        <v>45324</v>
      </c>
      <c r="C140" s="61" t="n">
        <f aca="false">YEAR($B140)</f>
        <v>2024</v>
      </c>
      <c r="D140" s="61" t="str">
        <f aca="false">"Q"&amp;ROUNDUP(MONTH($B140)/3,0)</f>
        <v>Q1</v>
      </c>
      <c r="E140" s="61" t="n">
        <f aca="false">MONTH($B140)</f>
        <v>2</v>
      </c>
      <c r="F140" s="61" t="str">
        <f aca="false">INDEX(Parametros!$I$5:$I$16,$E140)</f>
        <v>Feb</v>
      </c>
      <c r="G140" s="61" t="str">
        <f aca="false">TEXT($C140,"0000")&amp;"-"&amp;TEXT($E140,"00")</f>
        <v>2024-02</v>
      </c>
      <c r="H140" s="61" t="str">
        <f aca="false">INDEX(Parametros!$C$71:$C$91,MATCH(TRIM(INDEX(Datos_Origen!$C$2:$C$2459,$Z140)),Parametros!$B$71:$B$91,0))</f>
        <v>Centro</v>
      </c>
      <c r="I140" s="61" t="str">
        <f aca="false">IF(TRIM($AD140)="",INDEX(Parametros!$I$20:$I$24,MATCH($H140,Parametros!$H$20:$H$24,0)),TRIM($AD140))</f>
        <v>Cordoba</v>
      </c>
      <c r="J140" s="61" t="str">
        <f aca="false">INDEX(Parametros!$C$95:$C$106,MATCH(TRIM(INDEX(Datos_Origen!$E$2:$E$2459,$Z140)),Parametros!$B$95:$B$106,0))</f>
        <v>Tienda fisica</v>
      </c>
      <c r="K140" s="61" t="str">
        <f aca="false">INDEX(Parametros!$C$48:$C$67,MATCH(TRIM(INDEX(Datos_Origen!$F$2:$F$2459,$Z140)),Parametros!$B$48:$B$67,0))</f>
        <v>Almacenamiento</v>
      </c>
      <c r="L140" s="61" t="str">
        <f aca="false">$K140&amp;" "&amp;$C140</f>
        <v>Almacenamiento 2024</v>
      </c>
      <c r="M140" s="61" t="str">
        <f aca="false">TRIM(INDEX(Datos_Origen!$G$2:$G$2459,$Z140))</f>
        <v>Pendrive 256GB</v>
      </c>
      <c r="N140" s="61" t="str">
        <f aca="false">$M140&amp;" "&amp;$C140</f>
        <v>Pendrive 256GB 2024</v>
      </c>
      <c r="O140" s="63" t="n">
        <f aca="false">IF(ISTEXT($AC140),VALUE($AC140),$AC140)</f>
        <v>23</v>
      </c>
      <c r="P140" s="64" t="n">
        <f aca="false">INDEX(Datos_Origen!$I$2:$I$2459,$Z140)</f>
        <v>34.3</v>
      </c>
      <c r="Q140" s="64" t="n">
        <f aca="false">INDEX(Datos_Origen!$J$2:$J$2459,$Z140)</f>
        <v>17.85</v>
      </c>
      <c r="R140" s="65" t="n">
        <f aca="false">ROUND($O140*$P140,2)</f>
        <v>788.9</v>
      </c>
      <c r="S140" s="65" t="n">
        <f aca="false">ROUND($O140*$Q140,2)</f>
        <v>410.55</v>
      </c>
      <c r="T140" s="65" t="n">
        <f aca="false">ROUND($R140*SUMIFS(Parametros!$E$28:$E$43,Parametros!$B$28:$B$43,$J140,Parametros!$C$28:$C$43,$C140,Parametros!$D$28:$D$43,$D140),2)</f>
        <v>9.47</v>
      </c>
      <c r="U140" s="65" t="n">
        <f aca="false">$R140-$S140-$T140</f>
        <v>368.88</v>
      </c>
      <c r="V140" s="66" t="n">
        <f aca="false">IFERROR($U140/$R140,0)</f>
        <v>0.467587780453796</v>
      </c>
      <c r="W140" s="67" t="str">
        <f aca="false">IF(AND($V140&gt;=Parametros!$C$8,$R140&gt;=Parametros!$C$12),"Alta rentabilidad",IF(OR($V140&lt;Parametros!$C$11,$R140&lt;Parametros!$C$13),"Revisar","Estandar"))</f>
        <v>Estandar</v>
      </c>
      <c r="X140" s="67" t="str">
        <f aca="false">IF(AND($J140="E-commerce",IFERROR($T140/$R140,0)&gt;Parametros!$C$14),"Alerta","OK")</f>
        <v>OK</v>
      </c>
      <c r="Y140" s="61" t="str">
        <f aca="false">IF($R140&gt;=Parametros!$C$12,"Alto",IF($R140&lt;Parametros!$C$13,"Bajo","Medio"))</f>
        <v>Medio</v>
      </c>
      <c r="Z140" s="61" t="n">
        <v>2302</v>
      </c>
      <c r="AA140" s="61" t="str">
        <f aca="false">IF(MATCH($A140,Datos_Origen!$A$2:$A$2459,0)=$Z140,"OK","REVISAR")</f>
        <v>OK</v>
      </c>
      <c r="AB140" s="62" t="n">
        <f aca="false">INDEX(Datos_Origen!$B$2:$B$2459,$Z140)</f>
        <v>45324</v>
      </c>
      <c r="AC140" s="61" t="n">
        <f aca="false">INDEX(Datos_Origen!$H$2:$H$2459,$Z140)</f>
        <v>23</v>
      </c>
      <c r="AD140" s="61" t="str">
        <f aca="false">INDEX(Datos_Origen!$D$2:$D$2459,$Z140)&amp;""</f>
        <v>Cordoba</v>
      </c>
    </row>
    <row r="141" customFormat="false" ht="15" hidden="false" customHeight="false" outlineLevel="0" collapsed="false">
      <c r="A141" s="61" t="n">
        <f aca="false">INDEX(Datos_Origen!$A$2:$A$2459,$Z141)</f>
        <v>140</v>
      </c>
      <c r="B141" s="62" t="n">
        <f aca="false">IF(ISNUMBER($AB141),$AB141,IF(MID($AB141,5,1)="-",DATE(VALUE(LEFT($AB141,4)),VALUE(MID($AB141,6,2)),VALUE(RIGHT($AB141,2))),DATE(VALUE(RIGHT($AB141,4)),VALUE(MID($AB141,4,2)),VALUE(LEFT($AB141,2)))))</f>
        <v>45331</v>
      </c>
      <c r="C141" s="61" t="n">
        <f aca="false">YEAR($B141)</f>
        <v>2024</v>
      </c>
      <c r="D141" s="61" t="str">
        <f aca="false">"Q"&amp;ROUNDUP(MONTH($B141)/3,0)</f>
        <v>Q1</v>
      </c>
      <c r="E141" s="61" t="n">
        <f aca="false">MONTH($B141)</f>
        <v>2</v>
      </c>
      <c r="F141" s="61" t="str">
        <f aca="false">INDEX(Parametros!$I$5:$I$16,$E141)</f>
        <v>Feb</v>
      </c>
      <c r="G141" s="61" t="str">
        <f aca="false">TEXT($C141,"0000")&amp;"-"&amp;TEXT($E141,"00")</f>
        <v>2024-02</v>
      </c>
      <c r="H141" s="61" t="str">
        <f aca="false">INDEX(Parametros!$C$71:$C$91,MATCH(TRIM(INDEX(Datos_Origen!$C$2:$C$2459,$Z141)),Parametros!$B$71:$B$91,0))</f>
        <v>Centro</v>
      </c>
      <c r="I141" s="61" t="str">
        <f aca="false">IF(TRIM($AD141)="",INDEX(Parametros!$I$20:$I$24,MATCH($H141,Parametros!$H$20:$H$24,0)),TRIM($AD141))</f>
        <v>Cordoba</v>
      </c>
      <c r="J141" s="61" t="str">
        <f aca="false">INDEX(Parametros!$C$95:$C$106,MATCH(TRIM(INDEX(Datos_Origen!$E$2:$E$2459,$Z141)),Parametros!$B$95:$B$106,0))</f>
        <v>E-commerce</v>
      </c>
      <c r="K141" s="61" t="str">
        <f aca="false">INDEX(Parametros!$C$48:$C$67,MATCH(TRIM(INDEX(Datos_Origen!$F$2:$F$2459,$Z141)),Parametros!$B$48:$B$67,0))</f>
        <v>Almacenamiento</v>
      </c>
      <c r="L141" s="61" t="str">
        <f aca="false">$K141&amp;" "&amp;$C141</f>
        <v>Almacenamiento 2024</v>
      </c>
      <c r="M141" s="61" t="str">
        <f aca="false">TRIM(INDEX(Datos_Origen!$G$2:$G$2459,$Z141))</f>
        <v>Pendrive 256GB</v>
      </c>
      <c r="N141" s="61" t="str">
        <f aca="false">$M141&amp;" "&amp;$C141</f>
        <v>Pendrive 256GB 2024</v>
      </c>
      <c r="O141" s="63" t="n">
        <f aca="false">IF(ISTEXT($AC141),VALUE($AC141),$AC141)</f>
        <v>9</v>
      </c>
      <c r="P141" s="64" t="n">
        <f aca="false">INDEX(Datos_Origen!$I$2:$I$2459,$Z141)</f>
        <v>34.3</v>
      </c>
      <c r="Q141" s="64" t="n">
        <f aca="false">INDEX(Datos_Origen!$J$2:$J$2459,$Z141)</f>
        <v>17.85</v>
      </c>
      <c r="R141" s="65" t="n">
        <f aca="false">ROUND($O141*$P141,2)</f>
        <v>308.7</v>
      </c>
      <c r="S141" s="65" t="n">
        <f aca="false">ROUND($O141*$Q141,2)</f>
        <v>160.65</v>
      </c>
      <c r="T141" s="65" t="n">
        <f aca="false">ROUND($R141*SUMIFS(Parametros!$E$28:$E$43,Parametros!$B$28:$B$43,$J141,Parametros!$C$28:$C$43,$C141,Parametros!$D$28:$D$43,$D141),2)</f>
        <v>12.97</v>
      </c>
      <c r="U141" s="65" t="n">
        <f aca="false">$R141-$S141-$T141</f>
        <v>135.08</v>
      </c>
      <c r="V141" s="66" t="n">
        <f aca="false">IFERROR($U141/$R141,0)</f>
        <v>0.437576935536119</v>
      </c>
      <c r="W141" s="67" t="str">
        <f aca="false">IF(AND($V141&gt;=Parametros!$C$8,$R141&gt;=Parametros!$C$12),"Alta rentabilidad",IF(OR($V141&lt;Parametros!$C$11,$R141&lt;Parametros!$C$13),"Revisar","Estandar"))</f>
        <v>Estandar</v>
      </c>
      <c r="X141" s="67" t="str">
        <f aca="false">IF(AND($J141="E-commerce",IFERROR($T141/$R141,0)&gt;Parametros!$C$14),"Alerta","OK")</f>
        <v>OK</v>
      </c>
      <c r="Y141" s="61" t="str">
        <f aca="false">IF($R141&gt;=Parametros!$C$12,"Alto",IF($R141&lt;Parametros!$C$13,"Bajo","Medio"))</f>
        <v>Medio</v>
      </c>
      <c r="Z141" s="61" t="n">
        <v>2445</v>
      </c>
      <c r="AA141" s="61" t="str">
        <f aca="false">IF(MATCH($A141,Datos_Origen!$A$2:$A$2459,0)=$Z141,"OK","REVISAR")</f>
        <v>OK</v>
      </c>
      <c r="AB141" s="61" t="str">
        <f aca="false">INDEX(Datos_Origen!$B$2:$B$2459,$Z141)</f>
        <v>2024-02-09</v>
      </c>
      <c r="AC141" s="61" t="str">
        <f aca="false">INDEX(Datos_Origen!$H$2:$H$2459,$Z141)</f>
        <v>9</v>
      </c>
      <c r="AD141" s="61" t="str">
        <f aca="false">INDEX(Datos_Origen!$D$2:$D$2459,$Z141)&amp;""</f>
        <v>Cordoba</v>
      </c>
    </row>
    <row r="142" customFormat="false" ht="15" hidden="false" customHeight="false" outlineLevel="0" collapsed="false">
      <c r="A142" s="61" t="n">
        <f aca="false">INDEX(Datos_Origen!$A$2:$A$2459,$Z142)</f>
        <v>141</v>
      </c>
      <c r="B142" s="62" t="n">
        <f aca="false">IF(ISNUMBER($AB142),$AB142,IF(MID($AB142,5,1)="-",DATE(VALUE(LEFT($AB142,4)),VALUE(MID($AB142,6,2)),VALUE(RIGHT($AB142,2))),DATE(VALUE(RIGHT($AB142,4)),VALUE(MID($AB142,4,2)),VALUE(LEFT($AB142,2)))))</f>
        <v>45338</v>
      </c>
      <c r="C142" s="61" t="n">
        <f aca="false">YEAR($B142)</f>
        <v>2024</v>
      </c>
      <c r="D142" s="61" t="str">
        <f aca="false">"Q"&amp;ROUNDUP(MONTH($B142)/3,0)</f>
        <v>Q1</v>
      </c>
      <c r="E142" s="61" t="n">
        <f aca="false">MONTH($B142)</f>
        <v>2</v>
      </c>
      <c r="F142" s="61" t="str">
        <f aca="false">INDEX(Parametros!$I$5:$I$16,$E142)</f>
        <v>Feb</v>
      </c>
      <c r="G142" s="61" t="str">
        <f aca="false">TEXT($C142,"0000")&amp;"-"&amp;TEXT($E142,"00")</f>
        <v>2024-02</v>
      </c>
      <c r="H142" s="61" t="str">
        <f aca="false">INDEX(Parametros!$C$71:$C$91,MATCH(TRIM(INDEX(Datos_Origen!$C$2:$C$2459,$Z142)),Parametros!$B$71:$B$91,0))</f>
        <v>Litoral</v>
      </c>
      <c r="I142" s="61" t="str">
        <f aca="false">IF(TRIM($AD142)="",INDEX(Parametros!$I$20:$I$24,MATCH($H142,Parametros!$H$20:$H$24,0)),TRIM($AD142))</f>
        <v>Rosario</v>
      </c>
      <c r="J142" s="61" t="str">
        <f aca="false">INDEX(Parametros!$C$95:$C$106,MATCH(TRIM(INDEX(Datos_Origen!$E$2:$E$2459,$Z142)),Parametros!$B$95:$B$106,0))</f>
        <v>Tienda fisica</v>
      </c>
      <c r="K142" s="61" t="str">
        <f aca="false">INDEX(Parametros!$C$48:$C$67,MATCH(TRIM(INDEX(Datos_Origen!$F$2:$F$2459,$Z142)),Parametros!$B$48:$B$67,0))</f>
        <v>Computacion</v>
      </c>
      <c r="L142" s="61" t="str">
        <f aca="false">$K142&amp;" "&amp;$C142</f>
        <v>Computacion 2024</v>
      </c>
      <c r="M142" s="61" t="str">
        <f aca="false">TRIM(INDEX(Datos_Origen!$G$2:$G$2459,$Z142))</f>
        <v>Laptop Pro 15</v>
      </c>
      <c r="N142" s="61" t="str">
        <f aca="false">$M142&amp;" "&amp;$C142</f>
        <v>Laptop Pro 15 2024</v>
      </c>
      <c r="O142" s="63" t="n">
        <f aca="false">IF(ISTEXT($AC142),VALUE($AC142),$AC142)</f>
        <v>7</v>
      </c>
      <c r="P142" s="64" t="n">
        <f aca="false">INDEX(Datos_Origen!$I$2:$I$2459,$Z142)</f>
        <v>1176</v>
      </c>
      <c r="Q142" s="64" t="n">
        <f aca="false">INDEX(Datos_Origen!$J$2:$J$2459,$Z142)</f>
        <v>744</v>
      </c>
      <c r="R142" s="65" t="n">
        <f aca="false">ROUND($O142*$P142,2)</f>
        <v>8232</v>
      </c>
      <c r="S142" s="65" t="n">
        <f aca="false">ROUND($O142*$Q142,2)</f>
        <v>5208</v>
      </c>
      <c r="T142" s="65" t="n">
        <f aca="false">ROUND($R142*SUMIFS(Parametros!$E$28:$E$43,Parametros!$B$28:$B$43,$J142,Parametros!$C$28:$C$43,$C142,Parametros!$D$28:$D$43,$D142),2)</f>
        <v>98.78</v>
      </c>
      <c r="U142" s="65" t="n">
        <f aca="false">$R142-$S142-$T142</f>
        <v>2925.22</v>
      </c>
      <c r="V142" s="66" t="n">
        <f aca="false">IFERROR($U142/$R142,0)</f>
        <v>0.355347424684159</v>
      </c>
      <c r="W142" s="67" t="str">
        <f aca="false">IF(AND($V142&gt;=Parametros!$C$8,$R142&gt;=Parametros!$C$12),"Alta rentabilidad",IF(OR($V142&lt;Parametros!$C$11,$R142&lt;Parametros!$C$13),"Revisar","Estandar"))</f>
        <v>Alta rentabilidad</v>
      </c>
      <c r="X142" s="67" t="str">
        <f aca="false">IF(AND($J142="E-commerce",IFERROR($T142/$R142,0)&gt;Parametros!$C$14),"Alerta","OK")</f>
        <v>OK</v>
      </c>
      <c r="Y142" s="61" t="str">
        <f aca="false">IF($R142&gt;=Parametros!$C$12,"Alto",IF($R142&lt;Parametros!$C$13,"Bajo","Medio"))</f>
        <v>Alto</v>
      </c>
      <c r="Z142" s="61" t="n">
        <v>1413</v>
      </c>
      <c r="AA142" s="61" t="str">
        <f aca="false">IF(MATCH($A142,Datos_Origen!$A$2:$A$2459,0)=$Z142,"OK","REVISAR")</f>
        <v>OK</v>
      </c>
      <c r="AB142" s="62" t="n">
        <f aca="false">INDEX(Datos_Origen!$B$2:$B$2459,$Z142)</f>
        <v>45338</v>
      </c>
      <c r="AC142" s="61" t="n">
        <f aca="false">INDEX(Datos_Origen!$H$2:$H$2459,$Z142)</f>
        <v>7</v>
      </c>
      <c r="AD142" s="61" t="str">
        <f aca="false">INDEX(Datos_Origen!$D$2:$D$2459,$Z142)&amp;""</f>
        <v>Rosario</v>
      </c>
    </row>
    <row r="143" customFormat="false" ht="15" hidden="false" customHeight="false" outlineLevel="0" collapsed="false">
      <c r="A143" s="61" t="n">
        <f aca="false">INDEX(Datos_Origen!$A$2:$A$2459,$Z143)</f>
        <v>142</v>
      </c>
      <c r="B143" s="62" t="n">
        <f aca="false">IF(ISNUMBER($AB143),$AB143,IF(MID($AB143,5,1)="-",DATE(VALUE(LEFT($AB143,4)),VALUE(MID($AB143,6,2)),VALUE(RIGHT($AB143,2))),DATE(VALUE(RIGHT($AB143,4)),VALUE(MID($AB143,4,2)),VALUE(LEFT($AB143,2)))))</f>
        <v>45345</v>
      </c>
      <c r="C143" s="61" t="n">
        <f aca="false">YEAR($B143)</f>
        <v>2024</v>
      </c>
      <c r="D143" s="61" t="str">
        <f aca="false">"Q"&amp;ROUNDUP(MONTH($B143)/3,0)</f>
        <v>Q1</v>
      </c>
      <c r="E143" s="61" t="n">
        <f aca="false">MONTH($B143)</f>
        <v>2</v>
      </c>
      <c r="F143" s="61" t="str">
        <f aca="false">INDEX(Parametros!$I$5:$I$16,$E143)</f>
        <v>Feb</v>
      </c>
      <c r="G143" s="61" t="str">
        <f aca="false">TEXT($C143,"0000")&amp;"-"&amp;TEXT($E143,"00")</f>
        <v>2024-02</v>
      </c>
      <c r="H143" s="61" t="str">
        <f aca="false">INDEX(Parametros!$C$71:$C$91,MATCH(TRIM(INDEX(Datos_Origen!$C$2:$C$2459,$Z143)),Parametros!$B$71:$B$91,0))</f>
        <v>Litoral</v>
      </c>
      <c r="I143" s="61" t="str">
        <f aca="false">IF(TRIM($AD143)="",INDEX(Parametros!$I$20:$I$24,MATCH($H143,Parametros!$H$20:$H$24,0)),TRIM($AD143))</f>
        <v>Rosario</v>
      </c>
      <c r="J143" s="61" t="str">
        <f aca="false">INDEX(Parametros!$C$95:$C$106,MATCH(TRIM(INDEX(Datos_Origen!$E$2:$E$2459,$Z143)),Parametros!$B$95:$B$106,0))</f>
        <v>E-commerce</v>
      </c>
      <c r="K143" s="61" t="str">
        <f aca="false">INDEX(Parametros!$C$48:$C$67,MATCH(TRIM(INDEX(Datos_Origen!$F$2:$F$2459,$Z143)),Parametros!$B$48:$B$67,0))</f>
        <v>Computacion</v>
      </c>
      <c r="L143" s="61" t="str">
        <f aca="false">$K143&amp;" "&amp;$C143</f>
        <v>Computacion 2024</v>
      </c>
      <c r="M143" s="61" t="str">
        <f aca="false">TRIM(INDEX(Datos_Origen!$G$2:$G$2459,$Z143))</f>
        <v>Laptop Pro 15</v>
      </c>
      <c r="N143" s="61" t="str">
        <f aca="false">$M143&amp;" "&amp;$C143</f>
        <v>Laptop Pro 15 2024</v>
      </c>
      <c r="O143" s="63" t="n">
        <f aca="false">IF(ISTEXT($AC143),VALUE($AC143),$AC143)</f>
        <v>3</v>
      </c>
      <c r="P143" s="64" t="n">
        <f aca="false">INDEX(Datos_Origen!$I$2:$I$2459,$Z143)</f>
        <v>1176</v>
      </c>
      <c r="Q143" s="64" t="n">
        <f aca="false">INDEX(Datos_Origen!$J$2:$J$2459,$Z143)</f>
        <v>744</v>
      </c>
      <c r="R143" s="65" t="n">
        <f aca="false">ROUND($O143*$P143,2)</f>
        <v>3528</v>
      </c>
      <c r="S143" s="65" t="n">
        <f aca="false">ROUND($O143*$Q143,2)</f>
        <v>2232</v>
      </c>
      <c r="T143" s="65" t="n">
        <f aca="false">ROUND($R143*SUMIFS(Parametros!$E$28:$E$43,Parametros!$B$28:$B$43,$J143,Parametros!$C$28:$C$43,$C143,Parametros!$D$28:$D$43,$D143),2)</f>
        <v>148.18</v>
      </c>
      <c r="U143" s="65" t="n">
        <f aca="false">$R143-$S143-$T143</f>
        <v>1147.82</v>
      </c>
      <c r="V143" s="66" t="n">
        <f aca="false">IFERROR($U143/$R143,0)</f>
        <v>0.325345804988662</v>
      </c>
      <c r="W143" s="67" t="str">
        <f aca="false">IF(AND($V143&gt;=Parametros!$C$8,$R143&gt;=Parametros!$C$12),"Alta rentabilidad",IF(OR($V143&lt;Parametros!$C$11,$R143&lt;Parametros!$C$13),"Revisar","Estandar"))</f>
        <v>Estandar</v>
      </c>
      <c r="X143" s="67" t="str">
        <f aca="false">IF(AND($J143="E-commerce",IFERROR($T143/$R143,0)&gt;Parametros!$C$14),"Alerta","OK")</f>
        <v>OK</v>
      </c>
      <c r="Y143" s="61" t="str">
        <f aca="false">IF($R143&gt;=Parametros!$C$12,"Alto",IF($R143&lt;Parametros!$C$13,"Bajo","Medio"))</f>
        <v>Alto</v>
      </c>
      <c r="Z143" s="61" t="n">
        <v>825</v>
      </c>
      <c r="AA143" s="61" t="str">
        <f aca="false">IF(MATCH($A143,Datos_Origen!$A$2:$A$2459,0)=$Z143,"OK","REVISAR")</f>
        <v>OK</v>
      </c>
      <c r="AB143" s="62" t="n">
        <f aca="false">INDEX(Datos_Origen!$B$2:$B$2459,$Z143)</f>
        <v>45345</v>
      </c>
      <c r="AC143" s="61" t="n">
        <f aca="false">INDEX(Datos_Origen!$H$2:$H$2459,$Z143)</f>
        <v>3</v>
      </c>
      <c r="AD143" s="61" t="str">
        <f aca="false">INDEX(Datos_Origen!$D$2:$D$2459,$Z143)&amp;""</f>
        <v/>
      </c>
    </row>
    <row r="144" customFormat="false" ht="15" hidden="false" customHeight="false" outlineLevel="0" collapsed="false">
      <c r="A144" s="61" t="n">
        <f aca="false">INDEX(Datos_Origen!$A$2:$A$2459,$Z144)</f>
        <v>143</v>
      </c>
      <c r="B144" s="62" t="n">
        <f aca="false">IF(ISNUMBER($AB144),$AB144,IF(MID($AB144,5,1)="-",DATE(VALUE(LEFT($AB144,4)),VALUE(MID($AB144,6,2)),VALUE(RIGHT($AB144,2))),DATE(VALUE(RIGHT($AB144,4)),VALUE(MID($AB144,4,2)),VALUE(LEFT($AB144,2)))))</f>
        <v>45325</v>
      </c>
      <c r="C144" s="61" t="n">
        <f aca="false">YEAR($B144)</f>
        <v>2024</v>
      </c>
      <c r="D144" s="61" t="str">
        <f aca="false">"Q"&amp;ROUNDUP(MONTH($B144)/3,0)</f>
        <v>Q1</v>
      </c>
      <c r="E144" s="61" t="n">
        <f aca="false">MONTH($B144)</f>
        <v>2</v>
      </c>
      <c r="F144" s="61" t="str">
        <f aca="false">INDEX(Parametros!$I$5:$I$16,$E144)</f>
        <v>Feb</v>
      </c>
      <c r="G144" s="61" t="str">
        <f aca="false">TEXT($C144,"0000")&amp;"-"&amp;TEXT($E144,"00")</f>
        <v>2024-02</v>
      </c>
      <c r="H144" s="61" t="str">
        <f aca="false">INDEX(Parametros!$C$71:$C$91,MATCH(TRIM(INDEX(Datos_Origen!$C$2:$C$2459,$Z144)),Parametros!$B$71:$B$91,0))</f>
        <v>Litoral</v>
      </c>
      <c r="I144" s="61" t="str">
        <f aca="false">IF(TRIM($AD144)="",INDEX(Parametros!$I$20:$I$24,MATCH($H144,Parametros!$H$20:$H$24,0)),TRIM($AD144))</f>
        <v>Rosario</v>
      </c>
      <c r="J144" s="61" t="str">
        <f aca="false">INDEX(Parametros!$C$95:$C$106,MATCH(TRIM(INDEX(Datos_Origen!$E$2:$E$2459,$Z144)),Parametros!$B$95:$B$106,0))</f>
        <v>Tienda fisica</v>
      </c>
      <c r="K144" s="61" t="str">
        <f aca="false">INDEX(Parametros!$C$48:$C$67,MATCH(TRIM(INDEX(Datos_Origen!$F$2:$F$2459,$Z144)),Parametros!$B$48:$B$67,0))</f>
        <v>Computacion</v>
      </c>
      <c r="L144" s="61" t="str">
        <f aca="false">$K144&amp;" "&amp;$C144</f>
        <v>Computacion 2024</v>
      </c>
      <c r="M144" s="61" t="str">
        <f aca="false">TRIM(INDEX(Datos_Origen!$G$2:$G$2459,$Z144))</f>
        <v>Monitor 4K 27</v>
      </c>
      <c r="N144" s="61" t="str">
        <f aca="false">$M144&amp;" "&amp;$C144</f>
        <v>Monitor 4K 27 2024</v>
      </c>
      <c r="O144" s="63" t="n">
        <f aca="false">IF(ISTEXT($AC144),VALUE($AC144),$AC144)</f>
        <v>8</v>
      </c>
      <c r="P144" s="64" t="n">
        <f aca="false">INDEX(Datos_Origen!$I$2:$I$2459,$Z144)</f>
        <v>441</v>
      </c>
      <c r="Q144" s="64" t="n">
        <f aca="false">INDEX(Datos_Origen!$J$2:$J$2459,$Z144)</f>
        <v>272.25</v>
      </c>
      <c r="R144" s="65" t="n">
        <f aca="false">ROUND($O144*$P144,2)</f>
        <v>3528</v>
      </c>
      <c r="S144" s="65" t="n">
        <f aca="false">ROUND($O144*$Q144,2)</f>
        <v>2178</v>
      </c>
      <c r="T144" s="65" t="n">
        <f aca="false">ROUND($R144*SUMIFS(Parametros!$E$28:$E$43,Parametros!$B$28:$B$43,$J144,Parametros!$C$28:$C$43,$C144,Parametros!$D$28:$D$43,$D144),2)</f>
        <v>42.34</v>
      </c>
      <c r="U144" s="65" t="n">
        <f aca="false">$R144-$S144-$T144</f>
        <v>1307.66</v>
      </c>
      <c r="V144" s="66" t="n">
        <f aca="false">IFERROR($U144/$R144,0)</f>
        <v>0.370651927437642</v>
      </c>
      <c r="W144" s="67" t="str">
        <f aca="false">IF(AND($V144&gt;=Parametros!$C$8,$R144&gt;=Parametros!$C$12),"Alta rentabilidad",IF(OR($V144&lt;Parametros!$C$11,$R144&lt;Parametros!$C$13),"Revisar","Estandar"))</f>
        <v>Alta rentabilidad</v>
      </c>
      <c r="X144" s="67" t="str">
        <f aca="false">IF(AND($J144="E-commerce",IFERROR($T144/$R144,0)&gt;Parametros!$C$14),"Alerta","OK")</f>
        <v>OK</v>
      </c>
      <c r="Y144" s="61" t="str">
        <f aca="false">IF($R144&gt;=Parametros!$C$12,"Alto",IF($R144&lt;Parametros!$C$13,"Bajo","Medio"))</f>
        <v>Alto</v>
      </c>
      <c r="Z144" s="61" t="n">
        <v>1450</v>
      </c>
      <c r="AA144" s="61" t="str">
        <f aca="false">IF(MATCH($A144,Datos_Origen!$A$2:$A$2459,0)=$Z144,"OK","REVISAR")</f>
        <v>OK</v>
      </c>
      <c r="AB144" s="62" t="n">
        <f aca="false">INDEX(Datos_Origen!$B$2:$B$2459,$Z144)</f>
        <v>45325</v>
      </c>
      <c r="AC144" s="61" t="n">
        <f aca="false">INDEX(Datos_Origen!$H$2:$H$2459,$Z144)</f>
        <v>8</v>
      </c>
      <c r="AD144" s="61" t="str">
        <f aca="false">INDEX(Datos_Origen!$D$2:$D$2459,$Z144)&amp;""</f>
        <v>Rosario</v>
      </c>
    </row>
    <row r="145" customFormat="false" ht="15" hidden="false" customHeight="false" outlineLevel="0" collapsed="false">
      <c r="A145" s="61" t="n">
        <f aca="false">INDEX(Datos_Origen!$A$2:$A$2459,$Z145)</f>
        <v>144</v>
      </c>
      <c r="B145" s="62" t="n">
        <f aca="false">IF(ISNUMBER($AB145),$AB145,IF(MID($AB145,5,1)="-",DATE(VALUE(LEFT($AB145,4)),VALUE(MID($AB145,6,2)),VALUE(RIGHT($AB145,2))),DATE(VALUE(RIGHT($AB145,4)),VALUE(MID($AB145,4,2)),VALUE(LEFT($AB145,2)))))</f>
        <v>45332</v>
      </c>
      <c r="C145" s="61" t="n">
        <f aca="false">YEAR($B145)</f>
        <v>2024</v>
      </c>
      <c r="D145" s="61" t="str">
        <f aca="false">"Q"&amp;ROUNDUP(MONTH($B145)/3,0)</f>
        <v>Q1</v>
      </c>
      <c r="E145" s="61" t="n">
        <f aca="false">MONTH($B145)</f>
        <v>2</v>
      </c>
      <c r="F145" s="61" t="str">
        <f aca="false">INDEX(Parametros!$I$5:$I$16,$E145)</f>
        <v>Feb</v>
      </c>
      <c r="G145" s="61" t="str">
        <f aca="false">TEXT($C145,"0000")&amp;"-"&amp;TEXT($E145,"00")</f>
        <v>2024-02</v>
      </c>
      <c r="H145" s="61" t="str">
        <f aca="false">INDEX(Parametros!$C$71:$C$91,MATCH(TRIM(INDEX(Datos_Origen!$C$2:$C$2459,$Z145)),Parametros!$B$71:$B$91,0))</f>
        <v>Litoral</v>
      </c>
      <c r="I145" s="61" t="str">
        <f aca="false">IF(TRIM($AD145)="",INDEX(Parametros!$I$20:$I$24,MATCH($H145,Parametros!$H$20:$H$24,0)),TRIM($AD145))</f>
        <v>Rosario</v>
      </c>
      <c r="J145" s="61" t="str">
        <f aca="false">INDEX(Parametros!$C$95:$C$106,MATCH(TRIM(INDEX(Datos_Origen!$E$2:$E$2459,$Z145)),Parametros!$B$95:$B$106,0))</f>
        <v>E-commerce</v>
      </c>
      <c r="K145" s="61" t="str">
        <f aca="false">INDEX(Parametros!$C$48:$C$67,MATCH(TRIM(INDEX(Datos_Origen!$F$2:$F$2459,$Z145)),Parametros!$B$48:$B$67,0))</f>
        <v>Computacion</v>
      </c>
      <c r="L145" s="61" t="str">
        <f aca="false">$K145&amp;" "&amp;$C145</f>
        <v>Computacion 2024</v>
      </c>
      <c r="M145" s="61" t="str">
        <f aca="false">TRIM(INDEX(Datos_Origen!$G$2:$G$2459,$Z145))</f>
        <v>Monitor 4K 27</v>
      </c>
      <c r="N145" s="61" t="str">
        <f aca="false">$M145&amp;" "&amp;$C145</f>
        <v>Monitor 4K 27 2024</v>
      </c>
      <c r="O145" s="63" t="n">
        <f aca="false">IF(ISTEXT($AC145),VALUE($AC145),$AC145)</f>
        <v>2</v>
      </c>
      <c r="P145" s="64" t="n">
        <f aca="false">INDEX(Datos_Origen!$I$2:$I$2459,$Z145)</f>
        <v>441</v>
      </c>
      <c r="Q145" s="64" t="n">
        <f aca="false">INDEX(Datos_Origen!$J$2:$J$2459,$Z145)</f>
        <v>272.25</v>
      </c>
      <c r="R145" s="65" t="n">
        <f aca="false">ROUND($O145*$P145,2)</f>
        <v>882</v>
      </c>
      <c r="S145" s="65" t="n">
        <f aca="false">ROUND($O145*$Q145,2)</f>
        <v>544.5</v>
      </c>
      <c r="T145" s="65" t="n">
        <f aca="false">ROUND($R145*SUMIFS(Parametros!$E$28:$E$43,Parametros!$B$28:$B$43,$J145,Parametros!$C$28:$C$43,$C145,Parametros!$D$28:$D$43,$D145),2)</f>
        <v>37.04</v>
      </c>
      <c r="U145" s="65" t="n">
        <f aca="false">$R145-$S145-$T145</f>
        <v>300.46</v>
      </c>
      <c r="V145" s="66" t="n">
        <f aca="false">IFERROR($U145/$R145,0)</f>
        <v>0.340657596371882</v>
      </c>
      <c r="W145" s="67" t="str">
        <f aca="false">IF(AND($V145&gt;=Parametros!$C$8,$R145&gt;=Parametros!$C$12),"Alta rentabilidad",IF(OR($V145&lt;Parametros!$C$11,$R145&lt;Parametros!$C$13),"Revisar","Estandar"))</f>
        <v>Estandar</v>
      </c>
      <c r="X145" s="67" t="str">
        <f aca="false">IF(AND($J145="E-commerce",IFERROR($T145/$R145,0)&gt;Parametros!$C$14),"Alerta","OK")</f>
        <v>OK</v>
      </c>
      <c r="Y145" s="61" t="str">
        <f aca="false">IF($R145&gt;=Parametros!$C$12,"Alto",IF($R145&lt;Parametros!$C$13,"Bajo","Medio"))</f>
        <v>Medio</v>
      </c>
      <c r="Z145" s="61" t="n">
        <v>1231</v>
      </c>
      <c r="AA145" s="61" t="str">
        <f aca="false">IF(MATCH($A145,Datos_Origen!$A$2:$A$2459,0)=$Z145,"OK","REVISAR")</f>
        <v>OK</v>
      </c>
      <c r="AB145" s="61" t="str">
        <f aca="false">INDEX(Datos_Origen!$B$2:$B$2459,$Z145)</f>
        <v>10/02/2024</v>
      </c>
      <c r="AC145" s="61" t="n">
        <f aca="false">INDEX(Datos_Origen!$H$2:$H$2459,$Z145)</f>
        <v>2</v>
      </c>
      <c r="AD145" s="61" t="str">
        <f aca="false">INDEX(Datos_Origen!$D$2:$D$2459,$Z145)&amp;""</f>
        <v>Rosario</v>
      </c>
    </row>
    <row r="146" customFormat="false" ht="15" hidden="false" customHeight="false" outlineLevel="0" collapsed="false">
      <c r="A146" s="61" t="n">
        <f aca="false">INDEX(Datos_Origen!$A$2:$A$2459,$Z146)</f>
        <v>145</v>
      </c>
      <c r="B146" s="62" t="n">
        <f aca="false">IF(ISNUMBER($AB146),$AB146,IF(MID($AB146,5,1)="-",DATE(VALUE(LEFT($AB146,4)),VALUE(MID($AB146,6,2)),VALUE(RIGHT($AB146,2))),DATE(VALUE(RIGHT($AB146,4)),VALUE(MID($AB146,4,2)),VALUE(LEFT($AB146,2)))))</f>
        <v>45339</v>
      </c>
      <c r="C146" s="61" t="n">
        <f aca="false">YEAR($B146)</f>
        <v>2024</v>
      </c>
      <c r="D146" s="61" t="str">
        <f aca="false">"Q"&amp;ROUNDUP(MONTH($B146)/3,0)</f>
        <v>Q1</v>
      </c>
      <c r="E146" s="61" t="n">
        <f aca="false">MONTH($B146)</f>
        <v>2</v>
      </c>
      <c r="F146" s="61" t="str">
        <f aca="false">INDEX(Parametros!$I$5:$I$16,$E146)</f>
        <v>Feb</v>
      </c>
      <c r="G146" s="61" t="str">
        <f aca="false">TEXT($C146,"0000")&amp;"-"&amp;TEXT($E146,"00")</f>
        <v>2024-02</v>
      </c>
      <c r="H146" s="61" t="str">
        <f aca="false">INDEX(Parametros!$C$71:$C$91,MATCH(TRIM(INDEX(Datos_Origen!$C$2:$C$2459,$Z146)),Parametros!$B$71:$B$91,0))</f>
        <v>Litoral</v>
      </c>
      <c r="I146" s="61" t="str">
        <f aca="false">IF(TRIM($AD146)="",INDEX(Parametros!$I$20:$I$24,MATCH($H146,Parametros!$H$20:$H$24,0)),TRIM($AD146))</f>
        <v>Rosario</v>
      </c>
      <c r="J146" s="61" t="str">
        <f aca="false">INDEX(Parametros!$C$95:$C$106,MATCH(TRIM(INDEX(Datos_Origen!$E$2:$E$2459,$Z146)),Parametros!$B$95:$B$106,0))</f>
        <v>Tienda fisica</v>
      </c>
      <c r="K146" s="61" t="str">
        <f aca="false">INDEX(Parametros!$C$48:$C$67,MATCH(TRIM(INDEX(Datos_Origen!$F$2:$F$2459,$Z146)),Parametros!$B$48:$B$67,0))</f>
        <v>Computacion</v>
      </c>
      <c r="L146" s="61" t="str">
        <f aca="false">$K146&amp;" "&amp;$C146</f>
        <v>Computacion 2024</v>
      </c>
      <c r="M146" s="61" t="str">
        <f aca="false">TRIM(INDEX(Datos_Origen!$G$2:$G$2459,$Z146))</f>
        <v>PC Gamer Ryzen</v>
      </c>
      <c r="N146" s="61" t="str">
        <f aca="false">$M146&amp;" "&amp;$C146</f>
        <v>PC Gamer Ryzen 2024</v>
      </c>
      <c r="O146" s="63" t="n">
        <f aca="false">IF(ISTEXT($AC146),VALUE($AC146),$AC146)</f>
        <v>7</v>
      </c>
      <c r="P146" s="64" t="n">
        <f aca="false">INDEX(Datos_Origen!$I$2:$I$2459,$Z146)</f>
        <v>1617</v>
      </c>
      <c r="Q146" s="64" t="n">
        <f aca="false">INDEX(Datos_Origen!$J$2:$J$2459,$Z146)</f>
        <v>1122</v>
      </c>
      <c r="R146" s="65" t="n">
        <f aca="false">ROUND($O146*$P146,2)</f>
        <v>11319</v>
      </c>
      <c r="S146" s="65" t="n">
        <f aca="false">ROUND($O146*$Q146,2)</f>
        <v>7854</v>
      </c>
      <c r="T146" s="65" t="n">
        <f aca="false">ROUND($R146*SUMIFS(Parametros!$E$28:$E$43,Parametros!$B$28:$B$43,$J146,Parametros!$C$28:$C$43,$C146,Parametros!$D$28:$D$43,$D146),2)</f>
        <v>135.83</v>
      </c>
      <c r="U146" s="65" t="n">
        <f aca="false">$R146-$S146-$T146</f>
        <v>3329.17</v>
      </c>
      <c r="V146" s="66" t="n">
        <f aca="false">IFERROR($U146/$R146,0)</f>
        <v>0.294122272285538</v>
      </c>
      <c r="W146" s="67" t="str">
        <f aca="false">IF(AND($V146&gt;=Parametros!$C$8,$R146&gt;=Parametros!$C$12),"Alta rentabilidad",IF(OR($V146&lt;Parametros!$C$11,$R146&lt;Parametros!$C$13),"Revisar","Estandar"))</f>
        <v>Estandar</v>
      </c>
      <c r="X146" s="67" t="str">
        <f aca="false">IF(AND($J146="E-commerce",IFERROR($T146/$R146,0)&gt;Parametros!$C$14),"Alerta","OK")</f>
        <v>OK</v>
      </c>
      <c r="Y146" s="61" t="str">
        <f aca="false">IF($R146&gt;=Parametros!$C$12,"Alto",IF($R146&lt;Parametros!$C$13,"Bajo","Medio"))</f>
        <v>Alto</v>
      </c>
      <c r="Z146" s="61" t="n">
        <v>2234</v>
      </c>
      <c r="AA146" s="61" t="str">
        <f aca="false">IF(MATCH($A146,Datos_Origen!$A$2:$A$2459,0)=$Z146,"OK","REVISAR")</f>
        <v>OK</v>
      </c>
      <c r="AB146" s="62" t="n">
        <f aca="false">INDEX(Datos_Origen!$B$2:$B$2459,$Z146)</f>
        <v>45339</v>
      </c>
      <c r="AC146" s="61" t="n">
        <f aca="false">INDEX(Datos_Origen!$H$2:$H$2459,$Z146)</f>
        <v>7</v>
      </c>
      <c r="AD146" s="61" t="str">
        <f aca="false">INDEX(Datos_Origen!$D$2:$D$2459,$Z146)&amp;""</f>
        <v>Rosario</v>
      </c>
    </row>
    <row r="147" customFormat="false" ht="15" hidden="false" customHeight="false" outlineLevel="0" collapsed="false">
      <c r="A147" s="61" t="n">
        <f aca="false">INDEX(Datos_Origen!$A$2:$A$2459,$Z147)</f>
        <v>146</v>
      </c>
      <c r="B147" s="62" t="n">
        <f aca="false">IF(ISNUMBER($AB147),$AB147,IF(MID($AB147,5,1)="-",DATE(VALUE(LEFT($AB147,4)),VALUE(MID($AB147,6,2)),VALUE(RIGHT($AB147,2))),DATE(VALUE(RIGHT($AB147,4)),VALUE(MID($AB147,4,2)),VALUE(LEFT($AB147,2)))))</f>
        <v>45346</v>
      </c>
      <c r="C147" s="61" t="n">
        <f aca="false">YEAR($B147)</f>
        <v>2024</v>
      </c>
      <c r="D147" s="61" t="str">
        <f aca="false">"Q"&amp;ROUNDUP(MONTH($B147)/3,0)</f>
        <v>Q1</v>
      </c>
      <c r="E147" s="61" t="n">
        <f aca="false">MONTH($B147)</f>
        <v>2</v>
      </c>
      <c r="F147" s="61" t="str">
        <f aca="false">INDEX(Parametros!$I$5:$I$16,$E147)</f>
        <v>Feb</v>
      </c>
      <c r="G147" s="61" t="str">
        <f aca="false">TEXT($C147,"0000")&amp;"-"&amp;TEXT($E147,"00")</f>
        <v>2024-02</v>
      </c>
      <c r="H147" s="61" t="str">
        <f aca="false">INDEX(Parametros!$C$71:$C$91,MATCH(TRIM(INDEX(Datos_Origen!$C$2:$C$2459,$Z147)),Parametros!$B$71:$B$91,0))</f>
        <v>Litoral</v>
      </c>
      <c r="I147" s="61" t="str">
        <f aca="false">IF(TRIM($AD147)="",INDEX(Parametros!$I$20:$I$24,MATCH($H147,Parametros!$H$20:$H$24,0)),TRIM($AD147))</f>
        <v>Rosario</v>
      </c>
      <c r="J147" s="61" t="str">
        <f aca="false">INDEX(Parametros!$C$95:$C$106,MATCH(TRIM(INDEX(Datos_Origen!$E$2:$E$2459,$Z147)),Parametros!$B$95:$B$106,0))</f>
        <v>E-commerce</v>
      </c>
      <c r="K147" s="61" t="str">
        <f aca="false">INDEX(Parametros!$C$48:$C$67,MATCH(TRIM(INDEX(Datos_Origen!$F$2:$F$2459,$Z147)),Parametros!$B$48:$B$67,0))</f>
        <v>Computacion</v>
      </c>
      <c r="L147" s="61" t="str">
        <f aca="false">$K147&amp;" "&amp;$C147</f>
        <v>Computacion 2024</v>
      </c>
      <c r="M147" s="61" t="str">
        <f aca="false">TRIM(INDEX(Datos_Origen!$G$2:$G$2459,$Z147))</f>
        <v>PC Gamer Ryzen</v>
      </c>
      <c r="N147" s="61" t="str">
        <f aca="false">$M147&amp;" "&amp;$C147</f>
        <v>PC Gamer Ryzen 2024</v>
      </c>
      <c r="O147" s="63" t="n">
        <f aca="false">IF(ISTEXT($AC147),VALUE($AC147),$AC147)</f>
        <v>3</v>
      </c>
      <c r="P147" s="64" t="n">
        <f aca="false">INDEX(Datos_Origen!$I$2:$I$2459,$Z147)</f>
        <v>1617</v>
      </c>
      <c r="Q147" s="64" t="n">
        <f aca="false">INDEX(Datos_Origen!$J$2:$J$2459,$Z147)</f>
        <v>1122</v>
      </c>
      <c r="R147" s="65" t="n">
        <f aca="false">ROUND($O147*$P147,2)</f>
        <v>4851</v>
      </c>
      <c r="S147" s="65" t="n">
        <f aca="false">ROUND($O147*$Q147,2)</f>
        <v>3366</v>
      </c>
      <c r="T147" s="65" t="n">
        <f aca="false">ROUND($R147*SUMIFS(Parametros!$E$28:$E$43,Parametros!$B$28:$B$43,$J147,Parametros!$C$28:$C$43,$C147,Parametros!$D$28:$D$43,$D147),2)</f>
        <v>203.74</v>
      </c>
      <c r="U147" s="65" t="n">
        <f aca="false">$R147-$S147-$T147</f>
        <v>1281.26</v>
      </c>
      <c r="V147" s="66" t="n">
        <f aca="false">IFERROR($U147/$R147,0)</f>
        <v>0.264122861265718</v>
      </c>
      <c r="W147" s="67" t="str">
        <f aca="false">IF(AND($V147&gt;=Parametros!$C$8,$R147&gt;=Parametros!$C$12),"Alta rentabilidad",IF(OR($V147&lt;Parametros!$C$11,$R147&lt;Parametros!$C$13),"Revisar","Estandar"))</f>
        <v>Revisar</v>
      </c>
      <c r="X147" s="67" t="str">
        <f aca="false">IF(AND($J147="E-commerce",IFERROR($T147/$R147,0)&gt;Parametros!$C$14),"Alerta","OK")</f>
        <v>OK</v>
      </c>
      <c r="Y147" s="61" t="str">
        <f aca="false">IF($R147&gt;=Parametros!$C$12,"Alto",IF($R147&lt;Parametros!$C$13,"Bajo","Medio"))</f>
        <v>Alto</v>
      </c>
      <c r="Z147" s="61" t="n">
        <v>1558</v>
      </c>
      <c r="AA147" s="61" t="str">
        <f aca="false">IF(MATCH($A147,Datos_Origen!$A$2:$A$2459,0)=$Z147,"OK","REVISAR")</f>
        <v>OK</v>
      </c>
      <c r="AB147" s="61" t="str">
        <f aca="false">INDEX(Datos_Origen!$B$2:$B$2459,$Z147)</f>
        <v>24/02/2024</v>
      </c>
      <c r="AC147" s="61" t="n">
        <f aca="false">INDEX(Datos_Origen!$H$2:$H$2459,$Z147)</f>
        <v>3</v>
      </c>
      <c r="AD147" s="61" t="str">
        <f aca="false">INDEX(Datos_Origen!$D$2:$D$2459,$Z147)&amp;""</f>
        <v>Rosario</v>
      </c>
    </row>
    <row r="148" customFormat="false" ht="15" hidden="false" customHeight="false" outlineLevel="0" collapsed="false">
      <c r="A148" s="61" t="n">
        <f aca="false">INDEX(Datos_Origen!$A$2:$A$2459,$Z148)</f>
        <v>147</v>
      </c>
      <c r="B148" s="62" t="n">
        <f aca="false">IF(ISNUMBER($AB148),$AB148,IF(MID($AB148,5,1)="-",DATE(VALUE(LEFT($AB148,4)),VALUE(MID($AB148,6,2)),VALUE(RIGHT($AB148,2))),DATE(VALUE(RIGHT($AB148,4)),VALUE(MID($AB148,4,2)),VALUE(LEFT($AB148,2)))))</f>
        <v>45326</v>
      </c>
      <c r="C148" s="61" t="n">
        <f aca="false">YEAR($B148)</f>
        <v>2024</v>
      </c>
      <c r="D148" s="61" t="str">
        <f aca="false">"Q"&amp;ROUNDUP(MONTH($B148)/3,0)</f>
        <v>Q1</v>
      </c>
      <c r="E148" s="61" t="n">
        <f aca="false">MONTH($B148)</f>
        <v>2</v>
      </c>
      <c r="F148" s="61" t="str">
        <f aca="false">INDEX(Parametros!$I$5:$I$16,$E148)</f>
        <v>Feb</v>
      </c>
      <c r="G148" s="61" t="str">
        <f aca="false">TEXT($C148,"0000")&amp;"-"&amp;TEXT($E148,"00")</f>
        <v>2024-02</v>
      </c>
      <c r="H148" s="61" t="str">
        <f aca="false">INDEX(Parametros!$C$71:$C$91,MATCH(TRIM(INDEX(Datos_Origen!$C$2:$C$2459,$Z148)),Parametros!$B$71:$B$91,0))</f>
        <v>Litoral</v>
      </c>
      <c r="I148" s="61" t="str">
        <f aca="false">IF(TRIM($AD148)="",INDEX(Parametros!$I$20:$I$24,MATCH($H148,Parametros!$H$20:$H$24,0)),TRIM($AD148))</f>
        <v>Rosario</v>
      </c>
      <c r="J148" s="61" t="str">
        <f aca="false">INDEX(Parametros!$C$95:$C$106,MATCH(TRIM(INDEX(Datos_Origen!$E$2:$E$2459,$Z148)),Parametros!$B$95:$B$106,0))</f>
        <v>Tienda fisica</v>
      </c>
      <c r="K148" s="61" t="str">
        <f aca="false">INDEX(Parametros!$C$48:$C$67,MATCH(TRIM(INDEX(Datos_Origen!$F$2:$F$2459,$Z148)),Parametros!$B$48:$B$67,0))</f>
        <v>Accesorios</v>
      </c>
      <c r="L148" s="61" t="str">
        <f aca="false">$K148&amp;" "&amp;$C148</f>
        <v>Accesorios 2024</v>
      </c>
      <c r="M148" s="61" t="str">
        <f aca="false">TRIM(INDEX(Datos_Origen!$G$2:$G$2459,$Z148))</f>
        <v>Mouse Inalambrico</v>
      </c>
      <c r="N148" s="61" t="str">
        <f aca="false">$M148&amp;" "&amp;$C148</f>
        <v>Mouse Inalambrico 2024</v>
      </c>
      <c r="O148" s="63" t="n">
        <f aca="false">IF(ISTEXT($AC148),VALUE($AC148),$AC148)</f>
        <v>30</v>
      </c>
      <c r="P148" s="64" t="n">
        <f aca="false">INDEX(Datos_Origen!$I$2:$I$2459,$Z148)</f>
        <v>27.44</v>
      </c>
      <c r="Q148" s="64" t="n">
        <f aca="false">INDEX(Datos_Origen!$J$2:$J$2459,$Z148)</f>
        <v>13.44</v>
      </c>
      <c r="R148" s="65" t="n">
        <f aca="false">ROUND($O148*$P148,2)</f>
        <v>823.2</v>
      </c>
      <c r="S148" s="65" t="n">
        <f aca="false">ROUND($O148*$Q148,2)</f>
        <v>403.2</v>
      </c>
      <c r="T148" s="65" t="n">
        <f aca="false">ROUND($R148*SUMIFS(Parametros!$E$28:$E$43,Parametros!$B$28:$B$43,$J148,Parametros!$C$28:$C$43,$C148,Parametros!$D$28:$D$43,$D148),2)</f>
        <v>9.88</v>
      </c>
      <c r="U148" s="65" t="n">
        <f aca="false">$R148-$S148-$T148</f>
        <v>410.12</v>
      </c>
      <c r="V148" s="66" t="n">
        <f aca="false">IFERROR($U148/$R148,0)</f>
        <v>0.498202137998056</v>
      </c>
      <c r="W148" s="67" t="str">
        <f aca="false">IF(AND($V148&gt;=Parametros!$C$8,$R148&gt;=Parametros!$C$12),"Alta rentabilidad",IF(OR($V148&lt;Parametros!$C$11,$R148&lt;Parametros!$C$13),"Revisar","Estandar"))</f>
        <v>Estandar</v>
      </c>
      <c r="X148" s="67" t="str">
        <f aca="false">IF(AND($J148="E-commerce",IFERROR($T148/$R148,0)&gt;Parametros!$C$14),"Alerta","OK")</f>
        <v>OK</v>
      </c>
      <c r="Y148" s="61" t="str">
        <f aca="false">IF($R148&gt;=Parametros!$C$12,"Alto",IF($R148&lt;Parametros!$C$13,"Bajo","Medio"))</f>
        <v>Medio</v>
      </c>
      <c r="Z148" s="61" t="n">
        <v>1104</v>
      </c>
      <c r="AA148" s="61" t="str">
        <f aca="false">IF(MATCH($A148,Datos_Origen!$A$2:$A$2459,0)=$Z148,"OK","REVISAR")</f>
        <v>OK</v>
      </c>
      <c r="AB148" s="62" t="n">
        <f aca="false">INDEX(Datos_Origen!$B$2:$B$2459,$Z148)</f>
        <v>45326</v>
      </c>
      <c r="AC148" s="61" t="n">
        <f aca="false">INDEX(Datos_Origen!$H$2:$H$2459,$Z148)</f>
        <v>30</v>
      </c>
      <c r="AD148" s="61" t="str">
        <f aca="false">INDEX(Datos_Origen!$D$2:$D$2459,$Z148)&amp;""</f>
        <v>Rosario</v>
      </c>
    </row>
    <row r="149" customFormat="false" ht="15" hidden="false" customHeight="false" outlineLevel="0" collapsed="false">
      <c r="A149" s="61" t="n">
        <f aca="false">INDEX(Datos_Origen!$A$2:$A$2459,$Z149)</f>
        <v>148</v>
      </c>
      <c r="B149" s="62" t="n">
        <f aca="false">IF(ISNUMBER($AB149),$AB149,IF(MID($AB149,5,1)="-",DATE(VALUE(LEFT($AB149,4)),VALUE(MID($AB149,6,2)),VALUE(RIGHT($AB149,2))),DATE(VALUE(RIGHT($AB149,4)),VALUE(MID($AB149,4,2)),VALUE(LEFT($AB149,2)))))</f>
        <v>45333</v>
      </c>
      <c r="C149" s="61" t="n">
        <f aca="false">YEAR($B149)</f>
        <v>2024</v>
      </c>
      <c r="D149" s="61" t="str">
        <f aca="false">"Q"&amp;ROUNDUP(MONTH($B149)/3,0)</f>
        <v>Q1</v>
      </c>
      <c r="E149" s="61" t="n">
        <f aca="false">MONTH($B149)</f>
        <v>2</v>
      </c>
      <c r="F149" s="61" t="str">
        <f aca="false">INDEX(Parametros!$I$5:$I$16,$E149)</f>
        <v>Feb</v>
      </c>
      <c r="G149" s="61" t="str">
        <f aca="false">TEXT($C149,"0000")&amp;"-"&amp;TEXT($E149,"00")</f>
        <v>2024-02</v>
      </c>
      <c r="H149" s="61" t="str">
        <f aca="false">INDEX(Parametros!$C$71:$C$91,MATCH(TRIM(INDEX(Datos_Origen!$C$2:$C$2459,$Z149)),Parametros!$B$71:$B$91,0))</f>
        <v>Litoral</v>
      </c>
      <c r="I149" s="61" t="str">
        <f aca="false">IF(TRIM($AD149)="",INDEX(Parametros!$I$20:$I$24,MATCH($H149,Parametros!$H$20:$H$24,0)),TRIM($AD149))</f>
        <v>Rosario</v>
      </c>
      <c r="J149" s="61" t="str">
        <f aca="false">INDEX(Parametros!$C$95:$C$106,MATCH(TRIM(INDEX(Datos_Origen!$E$2:$E$2459,$Z149)),Parametros!$B$95:$B$106,0))</f>
        <v>E-commerce</v>
      </c>
      <c r="K149" s="61" t="str">
        <f aca="false">INDEX(Parametros!$C$48:$C$67,MATCH(TRIM(INDEX(Datos_Origen!$F$2:$F$2459,$Z149)),Parametros!$B$48:$B$67,0))</f>
        <v>Accesorios</v>
      </c>
      <c r="L149" s="61" t="str">
        <f aca="false">$K149&amp;" "&amp;$C149</f>
        <v>Accesorios 2024</v>
      </c>
      <c r="M149" s="61" t="str">
        <f aca="false">TRIM(INDEX(Datos_Origen!$G$2:$G$2459,$Z149))</f>
        <v>Mouse Inalambrico</v>
      </c>
      <c r="N149" s="61" t="str">
        <f aca="false">$M149&amp;" "&amp;$C149</f>
        <v>Mouse Inalambrico 2024</v>
      </c>
      <c r="O149" s="63" t="n">
        <f aca="false">IF(ISTEXT($AC149),VALUE($AC149),$AC149)</f>
        <v>14</v>
      </c>
      <c r="P149" s="64" t="n">
        <f aca="false">INDEX(Datos_Origen!$I$2:$I$2459,$Z149)</f>
        <v>27.44</v>
      </c>
      <c r="Q149" s="64" t="n">
        <f aca="false">INDEX(Datos_Origen!$J$2:$J$2459,$Z149)</f>
        <v>13.44</v>
      </c>
      <c r="R149" s="65" t="n">
        <f aca="false">ROUND($O149*$P149,2)</f>
        <v>384.16</v>
      </c>
      <c r="S149" s="65" t="n">
        <f aca="false">ROUND($O149*$Q149,2)</f>
        <v>188.16</v>
      </c>
      <c r="T149" s="65" t="n">
        <f aca="false">ROUND($R149*SUMIFS(Parametros!$E$28:$E$43,Parametros!$B$28:$B$43,$J149,Parametros!$C$28:$C$43,$C149,Parametros!$D$28:$D$43,$D149),2)</f>
        <v>16.13</v>
      </c>
      <c r="U149" s="65" t="n">
        <f aca="false">$R149-$S149-$T149</f>
        <v>179.87</v>
      </c>
      <c r="V149" s="66" t="n">
        <f aca="false">IFERROR($U149/$R149,0)</f>
        <v>0.468216368179925</v>
      </c>
      <c r="W149" s="67" t="str">
        <f aca="false">IF(AND($V149&gt;=Parametros!$C$8,$R149&gt;=Parametros!$C$12),"Alta rentabilidad",IF(OR($V149&lt;Parametros!$C$11,$R149&lt;Parametros!$C$13),"Revisar","Estandar"))</f>
        <v>Estandar</v>
      </c>
      <c r="X149" s="67" t="str">
        <f aca="false">IF(AND($J149="E-commerce",IFERROR($T149/$R149,0)&gt;Parametros!$C$14),"Alerta","OK")</f>
        <v>OK</v>
      </c>
      <c r="Y149" s="61" t="str">
        <f aca="false">IF($R149&gt;=Parametros!$C$12,"Alto",IF($R149&lt;Parametros!$C$13,"Bajo","Medio"))</f>
        <v>Medio</v>
      </c>
      <c r="Z149" s="61" t="n">
        <v>2426</v>
      </c>
      <c r="AA149" s="61" t="str">
        <f aca="false">IF(MATCH($A149,Datos_Origen!$A$2:$A$2459,0)=$Z149,"OK","REVISAR")</f>
        <v>OK</v>
      </c>
      <c r="AB149" s="62" t="n">
        <f aca="false">INDEX(Datos_Origen!$B$2:$B$2459,$Z149)</f>
        <v>45333</v>
      </c>
      <c r="AC149" s="61" t="n">
        <f aca="false">INDEX(Datos_Origen!$H$2:$H$2459,$Z149)</f>
        <v>14</v>
      </c>
      <c r="AD149" s="61" t="str">
        <f aca="false">INDEX(Datos_Origen!$D$2:$D$2459,$Z149)&amp;""</f>
        <v>Rosario</v>
      </c>
    </row>
    <row r="150" customFormat="false" ht="15" hidden="false" customHeight="false" outlineLevel="0" collapsed="false">
      <c r="A150" s="61" t="n">
        <f aca="false">INDEX(Datos_Origen!$A$2:$A$2459,$Z150)</f>
        <v>149</v>
      </c>
      <c r="B150" s="62" t="n">
        <f aca="false">IF(ISNUMBER($AB150),$AB150,IF(MID($AB150,5,1)="-",DATE(VALUE(LEFT($AB150,4)),VALUE(MID($AB150,6,2)),VALUE(RIGHT($AB150,2))),DATE(VALUE(RIGHT($AB150,4)),VALUE(MID($AB150,4,2)),VALUE(LEFT($AB150,2)))))</f>
        <v>45340</v>
      </c>
      <c r="C150" s="61" t="n">
        <f aca="false">YEAR($B150)</f>
        <v>2024</v>
      </c>
      <c r="D150" s="61" t="str">
        <f aca="false">"Q"&amp;ROUNDUP(MONTH($B150)/3,0)</f>
        <v>Q1</v>
      </c>
      <c r="E150" s="61" t="n">
        <f aca="false">MONTH($B150)</f>
        <v>2</v>
      </c>
      <c r="F150" s="61" t="str">
        <f aca="false">INDEX(Parametros!$I$5:$I$16,$E150)</f>
        <v>Feb</v>
      </c>
      <c r="G150" s="61" t="str">
        <f aca="false">TEXT($C150,"0000")&amp;"-"&amp;TEXT($E150,"00")</f>
        <v>2024-02</v>
      </c>
      <c r="H150" s="61" t="str">
        <f aca="false">INDEX(Parametros!$C$71:$C$91,MATCH(TRIM(INDEX(Datos_Origen!$C$2:$C$2459,$Z150)),Parametros!$B$71:$B$91,0))</f>
        <v>Litoral</v>
      </c>
      <c r="I150" s="61" t="str">
        <f aca="false">IF(TRIM($AD150)="",INDEX(Parametros!$I$20:$I$24,MATCH($H150,Parametros!$H$20:$H$24,0)),TRIM($AD150))</f>
        <v>Rosario</v>
      </c>
      <c r="J150" s="61" t="str">
        <f aca="false">INDEX(Parametros!$C$95:$C$106,MATCH(TRIM(INDEX(Datos_Origen!$E$2:$E$2459,$Z150)),Parametros!$B$95:$B$106,0))</f>
        <v>Tienda fisica</v>
      </c>
      <c r="K150" s="61" t="str">
        <f aca="false">INDEX(Parametros!$C$48:$C$67,MATCH(TRIM(INDEX(Datos_Origen!$F$2:$F$2459,$Z150)),Parametros!$B$48:$B$67,0))</f>
        <v>Accesorios</v>
      </c>
      <c r="L150" s="61" t="str">
        <f aca="false">$K150&amp;" "&amp;$C150</f>
        <v>Accesorios 2024</v>
      </c>
      <c r="M150" s="61" t="str">
        <f aca="false">TRIM(INDEX(Datos_Origen!$G$2:$G$2459,$Z150))</f>
        <v>Teclado Mecanico</v>
      </c>
      <c r="N150" s="61" t="str">
        <f aca="false">$M150&amp;" "&amp;$C150</f>
        <v>Teclado Mecanico 2024</v>
      </c>
      <c r="O150" s="63" t="n">
        <f aca="false">IF(ISTEXT($AC150),VALUE($AC150),$AC150)</f>
        <v>34</v>
      </c>
      <c r="P150" s="64" t="n">
        <f aca="false">INDEX(Datos_Origen!$I$2:$I$2459,$Z150)</f>
        <v>93.1</v>
      </c>
      <c r="Q150" s="64" t="n">
        <f aca="false">INDEX(Datos_Origen!$J$2:$J$2459,$Z150)</f>
        <v>47.98</v>
      </c>
      <c r="R150" s="65" t="n">
        <f aca="false">ROUND($O150*$P150,2)</f>
        <v>3165.4</v>
      </c>
      <c r="S150" s="65" t="n">
        <f aca="false">ROUND($O150*$Q150,2)</f>
        <v>1631.32</v>
      </c>
      <c r="T150" s="65" t="n">
        <f aca="false">ROUND($R150*SUMIFS(Parametros!$E$28:$E$43,Parametros!$B$28:$B$43,$J150,Parametros!$C$28:$C$43,$C150,Parametros!$D$28:$D$43,$D150),2)</f>
        <v>37.98</v>
      </c>
      <c r="U150" s="65" t="n">
        <f aca="false">$R150-$S150-$T150</f>
        <v>1496.1</v>
      </c>
      <c r="V150" s="66" t="n">
        <f aca="false">IFERROR($U150/$R150,0)</f>
        <v>0.472641688254249</v>
      </c>
      <c r="W150" s="67" t="str">
        <f aca="false">IF(AND($V150&gt;=Parametros!$C$8,$R150&gt;=Parametros!$C$12),"Alta rentabilidad",IF(OR($V150&lt;Parametros!$C$11,$R150&lt;Parametros!$C$13),"Revisar","Estandar"))</f>
        <v>Alta rentabilidad</v>
      </c>
      <c r="X150" s="67" t="str">
        <f aca="false">IF(AND($J150="E-commerce",IFERROR($T150/$R150,0)&gt;Parametros!$C$14),"Alerta","OK")</f>
        <v>OK</v>
      </c>
      <c r="Y150" s="61" t="str">
        <f aca="false">IF($R150&gt;=Parametros!$C$12,"Alto",IF($R150&lt;Parametros!$C$13,"Bajo","Medio"))</f>
        <v>Alto</v>
      </c>
      <c r="Z150" s="61" t="n">
        <v>943</v>
      </c>
      <c r="AA150" s="61" t="str">
        <f aca="false">IF(MATCH($A150,Datos_Origen!$A$2:$A$2459,0)=$Z150,"OK","REVISAR")</f>
        <v>OK</v>
      </c>
      <c r="AB150" s="62" t="n">
        <f aca="false">INDEX(Datos_Origen!$B$2:$B$2459,$Z150)</f>
        <v>45340</v>
      </c>
      <c r="AC150" s="61" t="n">
        <f aca="false">INDEX(Datos_Origen!$H$2:$H$2459,$Z150)</f>
        <v>34</v>
      </c>
      <c r="AD150" s="61" t="str">
        <f aca="false">INDEX(Datos_Origen!$D$2:$D$2459,$Z150)&amp;""</f>
        <v>Rosario</v>
      </c>
    </row>
    <row r="151" customFormat="false" ht="15" hidden="false" customHeight="false" outlineLevel="0" collapsed="false">
      <c r="A151" s="61" t="n">
        <f aca="false">INDEX(Datos_Origen!$A$2:$A$2459,$Z151)</f>
        <v>150</v>
      </c>
      <c r="B151" s="62" t="n">
        <f aca="false">IF(ISNUMBER($AB151),$AB151,IF(MID($AB151,5,1)="-",DATE(VALUE(LEFT($AB151,4)),VALUE(MID($AB151,6,2)),VALUE(RIGHT($AB151,2))),DATE(VALUE(RIGHT($AB151,4)),VALUE(MID($AB151,4,2)),VALUE(LEFT($AB151,2)))))</f>
        <v>45347</v>
      </c>
      <c r="C151" s="61" t="n">
        <f aca="false">YEAR($B151)</f>
        <v>2024</v>
      </c>
      <c r="D151" s="61" t="str">
        <f aca="false">"Q"&amp;ROUNDUP(MONTH($B151)/3,0)</f>
        <v>Q1</v>
      </c>
      <c r="E151" s="61" t="n">
        <f aca="false">MONTH($B151)</f>
        <v>2</v>
      </c>
      <c r="F151" s="61" t="str">
        <f aca="false">INDEX(Parametros!$I$5:$I$16,$E151)</f>
        <v>Feb</v>
      </c>
      <c r="G151" s="61" t="str">
        <f aca="false">TEXT($C151,"0000")&amp;"-"&amp;TEXT($E151,"00")</f>
        <v>2024-02</v>
      </c>
      <c r="H151" s="61" t="str">
        <f aca="false">INDEX(Parametros!$C$71:$C$91,MATCH(TRIM(INDEX(Datos_Origen!$C$2:$C$2459,$Z151)),Parametros!$B$71:$B$91,0))</f>
        <v>Litoral</v>
      </c>
      <c r="I151" s="61" t="str">
        <f aca="false">IF(TRIM($AD151)="",INDEX(Parametros!$I$20:$I$24,MATCH($H151,Parametros!$H$20:$H$24,0)),TRIM($AD151))</f>
        <v>Rosario</v>
      </c>
      <c r="J151" s="61" t="str">
        <f aca="false">INDEX(Parametros!$C$95:$C$106,MATCH(TRIM(INDEX(Datos_Origen!$E$2:$E$2459,$Z151)),Parametros!$B$95:$B$106,0))</f>
        <v>E-commerce</v>
      </c>
      <c r="K151" s="61" t="str">
        <f aca="false">INDEX(Parametros!$C$48:$C$67,MATCH(TRIM(INDEX(Datos_Origen!$F$2:$F$2459,$Z151)),Parametros!$B$48:$B$67,0))</f>
        <v>Accesorios</v>
      </c>
      <c r="L151" s="61" t="str">
        <f aca="false">$K151&amp;" "&amp;$C151</f>
        <v>Accesorios 2024</v>
      </c>
      <c r="M151" s="61" t="str">
        <f aca="false">TRIM(INDEX(Datos_Origen!$G$2:$G$2459,$Z151))</f>
        <v>Teclado Mecanico</v>
      </c>
      <c r="N151" s="61" t="str">
        <f aca="false">$M151&amp;" "&amp;$C151</f>
        <v>Teclado Mecanico 2024</v>
      </c>
      <c r="O151" s="63" t="n">
        <f aca="false">IF(ISTEXT($AC151),VALUE($AC151),$AC151)</f>
        <v>14</v>
      </c>
      <c r="P151" s="64" t="n">
        <f aca="false">INDEX(Datos_Origen!$I$2:$I$2459,$Z151)</f>
        <v>93.1</v>
      </c>
      <c r="Q151" s="64" t="n">
        <f aca="false">INDEX(Datos_Origen!$J$2:$J$2459,$Z151)</f>
        <v>47.98</v>
      </c>
      <c r="R151" s="65" t="n">
        <f aca="false">ROUND($O151*$P151,2)</f>
        <v>1303.4</v>
      </c>
      <c r="S151" s="65" t="n">
        <f aca="false">ROUND($O151*$Q151,2)</f>
        <v>671.72</v>
      </c>
      <c r="T151" s="65" t="n">
        <f aca="false">ROUND($R151*SUMIFS(Parametros!$E$28:$E$43,Parametros!$B$28:$B$43,$J151,Parametros!$C$28:$C$43,$C151,Parametros!$D$28:$D$43,$D151),2)</f>
        <v>54.74</v>
      </c>
      <c r="U151" s="65" t="n">
        <f aca="false">$R151-$S151-$T151</f>
        <v>576.94</v>
      </c>
      <c r="V151" s="66" t="n">
        <f aca="false">IFERROR($U151/$R151,0)</f>
        <v>0.442642320085929</v>
      </c>
      <c r="W151" s="67" t="str">
        <f aca="false">IF(AND($V151&gt;=Parametros!$C$8,$R151&gt;=Parametros!$C$12),"Alta rentabilidad",IF(OR($V151&lt;Parametros!$C$11,$R151&lt;Parametros!$C$13),"Revisar","Estandar"))</f>
        <v>Estandar</v>
      </c>
      <c r="X151" s="67" t="str">
        <f aca="false">IF(AND($J151="E-commerce",IFERROR($T151/$R151,0)&gt;Parametros!$C$14),"Alerta","OK")</f>
        <v>OK</v>
      </c>
      <c r="Y151" s="61" t="str">
        <f aca="false">IF($R151&gt;=Parametros!$C$12,"Alto",IF($R151&lt;Parametros!$C$13,"Bajo","Medio"))</f>
        <v>Medio</v>
      </c>
      <c r="Z151" s="61" t="n">
        <v>2133</v>
      </c>
      <c r="AA151" s="61" t="str">
        <f aca="false">IF(MATCH($A151,Datos_Origen!$A$2:$A$2459,0)=$Z151,"OK","REVISAR")</f>
        <v>OK</v>
      </c>
      <c r="AB151" s="62" t="n">
        <f aca="false">INDEX(Datos_Origen!$B$2:$B$2459,$Z151)</f>
        <v>45347</v>
      </c>
      <c r="AC151" s="61" t="n">
        <f aca="false">INDEX(Datos_Origen!$H$2:$H$2459,$Z151)</f>
        <v>14</v>
      </c>
      <c r="AD151" s="61" t="str">
        <f aca="false">INDEX(Datos_Origen!$D$2:$D$2459,$Z151)&amp;""</f>
        <v>Rosario</v>
      </c>
    </row>
    <row r="152" customFormat="false" ht="15" hidden="false" customHeight="false" outlineLevel="0" collapsed="false">
      <c r="A152" s="61" t="n">
        <f aca="false">INDEX(Datos_Origen!$A$2:$A$2459,$Z152)</f>
        <v>151</v>
      </c>
      <c r="B152" s="62" t="n">
        <f aca="false">IF(ISNUMBER($AB152),$AB152,IF(MID($AB152,5,1)="-",DATE(VALUE(LEFT($AB152,4)),VALUE(MID($AB152,6,2)),VALUE(RIGHT($AB152,2))),DATE(VALUE(RIGHT($AB152,4)),VALUE(MID($AB152,4,2)),VALUE(LEFT($AB152,2)))))</f>
        <v>45327</v>
      </c>
      <c r="C152" s="61" t="n">
        <f aca="false">YEAR($B152)</f>
        <v>2024</v>
      </c>
      <c r="D152" s="61" t="str">
        <f aca="false">"Q"&amp;ROUNDUP(MONTH($B152)/3,0)</f>
        <v>Q1</v>
      </c>
      <c r="E152" s="61" t="n">
        <f aca="false">MONTH($B152)</f>
        <v>2</v>
      </c>
      <c r="F152" s="61" t="str">
        <f aca="false">INDEX(Parametros!$I$5:$I$16,$E152)</f>
        <v>Feb</v>
      </c>
      <c r="G152" s="61" t="str">
        <f aca="false">TEXT($C152,"0000")&amp;"-"&amp;TEXT($E152,"00")</f>
        <v>2024-02</v>
      </c>
      <c r="H152" s="61" t="str">
        <f aca="false">INDEX(Parametros!$C$71:$C$91,MATCH(TRIM(INDEX(Datos_Origen!$C$2:$C$2459,$Z152)),Parametros!$B$71:$B$91,0))</f>
        <v>Litoral</v>
      </c>
      <c r="I152" s="61" t="str">
        <f aca="false">IF(TRIM($AD152)="",INDEX(Parametros!$I$20:$I$24,MATCH($H152,Parametros!$H$20:$H$24,0)),TRIM($AD152))</f>
        <v>Rosario</v>
      </c>
      <c r="J152" s="61" t="str">
        <f aca="false">INDEX(Parametros!$C$95:$C$106,MATCH(TRIM(INDEX(Datos_Origen!$E$2:$E$2459,$Z152)),Parametros!$B$95:$B$106,0))</f>
        <v>Tienda fisica</v>
      </c>
      <c r="K152" s="61" t="str">
        <f aca="false">INDEX(Parametros!$C$48:$C$67,MATCH(TRIM(INDEX(Datos_Origen!$F$2:$F$2459,$Z152)),Parametros!$B$48:$B$67,0))</f>
        <v>Accesorios</v>
      </c>
      <c r="L152" s="61" t="str">
        <f aca="false">$K152&amp;" "&amp;$C152</f>
        <v>Accesorios 2024</v>
      </c>
      <c r="M152" s="61" t="str">
        <f aca="false">TRIM(INDEX(Datos_Origen!$G$2:$G$2459,$Z152))</f>
        <v>Webcam Full HD</v>
      </c>
      <c r="N152" s="61" t="str">
        <f aca="false">$M152&amp;" "&amp;$C152</f>
        <v>Webcam Full HD 2024</v>
      </c>
      <c r="O152" s="63" t="n">
        <f aca="false">IF(ISTEXT($AC152),VALUE($AC152),$AC152)</f>
        <v>37</v>
      </c>
      <c r="P152" s="64" t="n">
        <f aca="false">INDEX(Datos_Origen!$I$2:$I$2459,$Z152)</f>
        <v>63.7</v>
      </c>
      <c r="Q152" s="64" t="n">
        <f aca="false">INDEX(Datos_Origen!$J$2:$J$2459,$Z152)</f>
        <v>35.43</v>
      </c>
      <c r="R152" s="65" t="n">
        <f aca="false">ROUND($O152*$P152,2)</f>
        <v>2356.9</v>
      </c>
      <c r="S152" s="65" t="n">
        <f aca="false">ROUND($O152*$Q152,2)</f>
        <v>1310.91</v>
      </c>
      <c r="T152" s="65" t="n">
        <f aca="false">ROUND($R152*SUMIFS(Parametros!$E$28:$E$43,Parametros!$B$28:$B$43,$J152,Parametros!$C$28:$C$43,$C152,Parametros!$D$28:$D$43,$D152),2)</f>
        <v>28.28</v>
      </c>
      <c r="U152" s="65" t="n">
        <f aca="false">$R152-$S152-$T152</f>
        <v>1017.71</v>
      </c>
      <c r="V152" s="66" t="n">
        <f aca="false">IFERROR($U152/$R152,0)</f>
        <v>0.43180024608596</v>
      </c>
      <c r="W152" s="67" t="str">
        <f aca="false">IF(AND($V152&gt;=Parametros!$C$8,$R152&gt;=Parametros!$C$12),"Alta rentabilidad",IF(OR($V152&lt;Parametros!$C$11,$R152&lt;Parametros!$C$13),"Revisar","Estandar"))</f>
        <v>Estandar</v>
      </c>
      <c r="X152" s="67" t="str">
        <f aca="false">IF(AND($J152="E-commerce",IFERROR($T152/$R152,0)&gt;Parametros!$C$14),"Alerta","OK")</f>
        <v>OK</v>
      </c>
      <c r="Y152" s="61" t="str">
        <f aca="false">IF($R152&gt;=Parametros!$C$12,"Alto",IF($R152&lt;Parametros!$C$13,"Bajo","Medio"))</f>
        <v>Medio</v>
      </c>
      <c r="Z152" s="61" t="n">
        <v>1924</v>
      </c>
      <c r="AA152" s="61" t="str">
        <f aca="false">IF(MATCH($A152,Datos_Origen!$A$2:$A$2459,0)=$Z152,"OK","REVISAR")</f>
        <v>OK</v>
      </c>
      <c r="AB152" s="62" t="n">
        <f aca="false">INDEX(Datos_Origen!$B$2:$B$2459,$Z152)</f>
        <v>45327</v>
      </c>
      <c r="AC152" s="61" t="str">
        <f aca="false">INDEX(Datos_Origen!$H$2:$H$2459,$Z152)</f>
        <v>37</v>
      </c>
      <c r="AD152" s="61" t="str">
        <f aca="false">INDEX(Datos_Origen!$D$2:$D$2459,$Z152)&amp;""</f>
        <v>Rosario</v>
      </c>
    </row>
    <row r="153" customFormat="false" ht="15" hidden="false" customHeight="false" outlineLevel="0" collapsed="false">
      <c r="A153" s="61" t="n">
        <f aca="false">INDEX(Datos_Origen!$A$2:$A$2459,$Z153)</f>
        <v>152</v>
      </c>
      <c r="B153" s="62" t="n">
        <f aca="false">IF(ISNUMBER($AB153),$AB153,IF(MID($AB153,5,1)="-",DATE(VALUE(LEFT($AB153,4)),VALUE(MID($AB153,6,2)),VALUE(RIGHT($AB153,2))),DATE(VALUE(RIGHT($AB153,4)),VALUE(MID($AB153,4,2)),VALUE(LEFT($AB153,2)))))</f>
        <v>45334</v>
      </c>
      <c r="C153" s="61" t="n">
        <f aca="false">YEAR($B153)</f>
        <v>2024</v>
      </c>
      <c r="D153" s="61" t="str">
        <f aca="false">"Q"&amp;ROUNDUP(MONTH($B153)/3,0)</f>
        <v>Q1</v>
      </c>
      <c r="E153" s="61" t="n">
        <f aca="false">MONTH($B153)</f>
        <v>2</v>
      </c>
      <c r="F153" s="61" t="str">
        <f aca="false">INDEX(Parametros!$I$5:$I$16,$E153)</f>
        <v>Feb</v>
      </c>
      <c r="G153" s="61" t="str">
        <f aca="false">TEXT($C153,"0000")&amp;"-"&amp;TEXT($E153,"00")</f>
        <v>2024-02</v>
      </c>
      <c r="H153" s="61" t="str">
        <f aca="false">INDEX(Parametros!$C$71:$C$91,MATCH(TRIM(INDEX(Datos_Origen!$C$2:$C$2459,$Z153)),Parametros!$B$71:$B$91,0))</f>
        <v>Litoral</v>
      </c>
      <c r="I153" s="61" t="str">
        <f aca="false">IF(TRIM($AD153)="",INDEX(Parametros!$I$20:$I$24,MATCH($H153,Parametros!$H$20:$H$24,0)),TRIM($AD153))</f>
        <v>Rosario</v>
      </c>
      <c r="J153" s="61" t="str">
        <f aca="false">INDEX(Parametros!$C$95:$C$106,MATCH(TRIM(INDEX(Datos_Origen!$E$2:$E$2459,$Z153)),Parametros!$B$95:$B$106,0))</f>
        <v>E-commerce</v>
      </c>
      <c r="K153" s="61" t="str">
        <f aca="false">INDEX(Parametros!$C$48:$C$67,MATCH(TRIM(INDEX(Datos_Origen!$F$2:$F$2459,$Z153)),Parametros!$B$48:$B$67,0))</f>
        <v>Accesorios</v>
      </c>
      <c r="L153" s="61" t="str">
        <f aca="false">$K153&amp;" "&amp;$C153</f>
        <v>Accesorios 2024</v>
      </c>
      <c r="M153" s="61" t="str">
        <f aca="false">TRIM(INDEX(Datos_Origen!$G$2:$G$2459,$Z153))</f>
        <v>Webcam Full HD</v>
      </c>
      <c r="N153" s="61" t="str">
        <f aca="false">$M153&amp;" "&amp;$C153</f>
        <v>Webcam Full HD 2024</v>
      </c>
      <c r="O153" s="63" t="n">
        <f aca="false">IF(ISTEXT($AC153),VALUE($AC153),$AC153)</f>
        <v>14</v>
      </c>
      <c r="P153" s="64" t="n">
        <f aca="false">INDEX(Datos_Origen!$I$2:$I$2459,$Z153)</f>
        <v>63.7</v>
      </c>
      <c r="Q153" s="64" t="n">
        <f aca="false">INDEX(Datos_Origen!$J$2:$J$2459,$Z153)</f>
        <v>35.43</v>
      </c>
      <c r="R153" s="65" t="n">
        <f aca="false">ROUND($O153*$P153,2)</f>
        <v>891.8</v>
      </c>
      <c r="S153" s="65" t="n">
        <f aca="false">ROUND($O153*$Q153,2)</f>
        <v>496.02</v>
      </c>
      <c r="T153" s="65" t="n">
        <f aca="false">ROUND($R153*SUMIFS(Parametros!$E$28:$E$43,Parametros!$B$28:$B$43,$J153,Parametros!$C$28:$C$43,$C153,Parametros!$D$28:$D$43,$D153),2)</f>
        <v>37.46</v>
      </c>
      <c r="U153" s="65" t="n">
        <f aca="false">$R153-$S153-$T153</f>
        <v>358.32</v>
      </c>
      <c r="V153" s="66" t="n">
        <f aca="false">IFERROR($U153/$R153,0)</f>
        <v>0.401794124243104</v>
      </c>
      <c r="W153" s="67" t="str">
        <f aca="false">IF(AND($V153&gt;=Parametros!$C$8,$R153&gt;=Parametros!$C$12),"Alta rentabilidad",IF(OR($V153&lt;Parametros!$C$11,$R153&lt;Parametros!$C$13),"Revisar","Estandar"))</f>
        <v>Estandar</v>
      </c>
      <c r="X153" s="67" t="str">
        <f aca="false">IF(AND($J153="E-commerce",IFERROR($T153/$R153,0)&gt;Parametros!$C$14),"Alerta","OK")</f>
        <v>OK</v>
      </c>
      <c r="Y153" s="61" t="str">
        <f aca="false">IF($R153&gt;=Parametros!$C$12,"Alto",IF($R153&lt;Parametros!$C$13,"Bajo","Medio"))</f>
        <v>Medio</v>
      </c>
      <c r="Z153" s="61" t="n">
        <v>1981</v>
      </c>
      <c r="AA153" s="61" t="str">
        <f aca="false">IF(MATCH($A153,Datos_Origen!$A$2:$A$2459,0)=$Z153,"OK","REVISAR")</f>
        <v>OK</v>
      </c>
      <c r="AB153" s="61" t="str">
        <f aca="false">INDEX(Datos_Origen!$B$2:$B$2459,$Z153)</f>
        <v>12/02/2024</v>
      </c>
      <c r="AC153" s="61" t="n">
        <f aca="false">INDEX(Datos_Origen!$H$2:$H$2459,$Z153)</f>
        <v>14</v>
      </c>
      <c r="AD153" s="61" t="str">
        <f aca="false">INDEX(Datos_Origen!$D$2:$D$2459,$Z153)&amp;""</f>
        <v>Rosario</v>
      </c>
    </row>
    <row r="154" customFormat="false" ht="15" hidden="false" customHeight="false" outlineLevel="0" collapsed="false">
      <c r="A154" s="61" t="n">
        <f aca="false">INDEX(Datos_Origen!$A$2:$A$2459,$Z154)</f>
        <v>153</v>
      </c>
      <c r="B154" s="62" t="n">
        <f aca="false">IF(ISNUMBER($AB154),$AB154,IF(MID($AB154,5,1)="-",DATE(VALUE(LEFT($AB154,4)),VALUE(MID($AB154,6,2)),VALUE(RIGHT($AB154,2))),DATE(VALUE(RIGHT($AB154,4)),VALUE(MID($AB154,4,2)),VALUE(LEFT($AB154,2)))))</f>
        <v>45341</v>
      </c>
      <c r="C154" s="61" t="n">
        <f aca="false">YEAR($B154)</f>
        <v>2024</v>
      </c>
      <c r="D154" s="61" t="str">
        <f aca="false">"Q"&amp;ROUNDUP(MONTH($B154)/3,0)</f>
        <v>Q1</v>
      </c>
      <c r="E154" s="61" t="n">
        <f aca="false">MONTH($B154)</f>
        <v>2</v>
      </c>
      <c r="F154" s="61" t="str">
        <f aca="false">INDEX(Parametros!$I$5:$I$16,$E154)</f>
        <v>Feb</v>
      </c>
      <c r="G154" s="61" t="str">
        <f aca="false">TEXT($C154,"0000")&amp;"-"&amp;TEXT($E154,"00")</f>
        <v>2024-02</v>
      </c>
      <c r="H154" s="61" t="str">
        <f aca="false">INDEX(Parametros!$C$71:$C$91,MATCH(TRIM(INDEX(Datos_Origen!$C$2:$C$2459,$Z154)),Parametros!$B$71:$B$91,0))</f>
        <v>Litoral</v>
      </c>
      <c r="I154" s="61" t="str">
        <f aca="false">IF(TRIM($AD154)="",INDEX(Parametros!$I$20:$I$24,MATCH($H154,Parametros!$H$20:$H$24,0)),TRIM($AD154))</f>
        <v>Rosario</v>
      </c>
      <c r="J154" s="61" t="str">
        <f aca="false">INDEX(Parametros!$C$95:$C$106,MATCH(TRIM(INDEX(Datos_Origen!$E$2:$E$2459,$Z154)),Parametros!$B$95:$B$106,0))</f>
        <v>Tienda fisica</v>
      </c>
      <c r="K154" s="61" t="str">
        <f aca="false">INDEX(Parametros!$C$48:$C$67,MATCH(TRIM(INDEX(Datos_Origen!$F$2:$F$2459,$Z154)),Parametros!$B$48:$B$67,0))</f>
        <v>Audio</v>
      </c>
      <c r="L154" s="61" t="str">
        <f aca="false">$K154&amp;" "&amp;$C154</f>
        <v>Audio 2024</v>
      </c>
      <c r="M154" s="61" t="str">
        <f aca="false">TRIM(INDEX(Datos_Origen!$G$2:$G$2459,$Z154))</f>
        <v>Auriculares BT Pro</v>
      </c>
      <c r="N154" s="61" t="str">
        <f aca="false">$M154&amp;" "&amp;$C154</f>
        <v>Auriculares BT Pro 2024</v>
      </c>
      <c r="O154" s="63" t="n">
        <f aca="false">IF(ISTEXT($AC154),VALUE($AC154),$AC154)</f>
        <v>16</v>
      </c>
      <c r="P154" s="64" t="n">
        <f aca="false">INDEX(Datos_Origen!$I$2:$I$2459,$Z154)</f>
        <v>117.6</v>
      </c>
      <c r="Q154" s="64" t="n">
        <f aca="false">INDEX(Datos_Origen!$J$2:$J$2459,$Z154)</f>
        <v>63.6</v>
      </c>
      <c r="R154" s="65" t="n">
        <f aca="false">ROUND($O154*$P154,2)</f>
        <v>1881.6</v>
      </c>
      <c r="S154" s="65" t="n">
        <f aca="false">ROUND($O154*$Q154,2)</f>
        <v>1017.6</v>
      </c>
      <c r="T154" s="65" t="n">
        <f aca="false">ROUND($R154*SUMIFS(Parametros!$E$28:$E$43,Parametros!$B$28:$B$43,$J154,Parametros!$C$28:$C$43,$C154,Parametros!$D$28:$D$43,$D154),2)</f>
        <v>22.58</v>
      </c>
      <c r="U154" s="65" t="n">
        <f aca="false">$R154-$S154-$T154</f>
        <v>841.42</v>
      </c>
      <c r="V154" s="66" t="n">
        <f aca="false">IFERROR($U154/$R154,0)</f>
        <v>0.44718324829932</v>
      </c>
      <c r="W154" s="67" t="str">
        <f aca="false">IF(AND($V154&gt;=Parametros!$C$8,$R154&gt;=Parametros!$C$12),"Alta rentabilidad",IF(OR($V154&lt;Parametros!$C$11,$R154&lt;Parametros!$C$13),"Revisar","Estandar"))</f>
        <v>Estandar</v>
      </c>
      <c r="X154" s="67" t="str">
        <f aca="false">IF(AND($J154="E-commerce",IFERROR($T154/$R154,0)&gt;Parametros!$C$14),"Alerta","OK")</f>
        <v>OK</v>
      </c>
      <c r="Y154" s="61" t="str">
        <f aca="false">IF($R154&gt;=Parametros!$C$12,"Alto",IF($R154&lt;Parametros!$C$13,"Bajo","Medio"))</f>
        <v>Medio</v>
      </c>
      <c r="Z154" s="61" t="n">
        <v>2344</v>
      </c>
      <c r="AA154" s="61" t="str">
        <f aca="false">IF(MATCH($A154,Datos_Origen!$A$2:$A$2459,0)=$Z154,"OK","REVISAR")</f>
        <v>OK</v>
      </c>
      <c r="AB154" s="61" t="str">
        <f aca="false">INDEX(Datos_Origen!$B$2:$B$2459,$Z154)</f>
        <v>19/02/2024</v>
      </c>
      <c r="AC154" s="61" t="n">
        <f aca="false">INDEX(Datos_Origen!$H$2:$H$2459,$Z154)</f>
        <v>16</v>
      </c>
      <c r="AD154" s="61" t="str">
        <f aca="false">INDEX(Datos_Origen!$D$2:$D$2459,$Z154)&amp;""</f>
        <v>Rosario</v>
      </c>
    </row>
    <row r="155" customFormat="false" ht="15" hidden="false" customHeight="false" outlineLevel="0" collapsed="false">
      <c r="A155" s="61" t="n">
        <f aca="false">INDEX(Datos_Origen!$A$2:$A$2459,$Z155)</f>
        <v>154</v>
      </c>
      <c r="B155" s="62" t="n">
        <f aca="false">IF(ISNUMBER($AB155),$AB155,IF(MID($AB155,5,1)="-",DATE(VALUE(LEFT($AB155,4)),VALUE(MID($AB155,6,2)),VALUE(RIGHT($AB155,2))),DATE(VALUE(RIGHT($AB155,4)),VALUE(MID($AB155,4,2)),VALUE(LEFT($AB155,2)))))</f>
        <v>45348</v>
      </c>
      <c r="C155" s="61" t="n">
        <f aca="false">YEAR($B155)</f>
        <v>2024</v>
      </c>
      <c r="D155" s="61" t="str">
        <f aca="false">"Q"&amp;ROUNDUP(MONTH($B155)/3,0)</f>
        <v>Q1</v>
      </c>
      <c r="E155" s="61" t="n">
        <f aca="false">MONTH($B155)</f>
        <v>2</v>
      </c>
      <c r="F155" s="61" t="str">
        <f aca="false">INDEX(Parametros!$I$5:$I$16,$E155)</f>
        <v>Feb</v>
      </c>
      <c r="G155" s="61" t="str">
        <f aca="false">TEXT($C155,"0000")&amp;"-"&amp;TEXT($E155,"00")</f>
        <v>2024-02</v>
      </c>
      <c r="H155" s="61" t="str">
        <f aca="false">INDEX(Parametros!$C$71:$C$91,MATCH(TRIM(INDEX(Datos_Origen!$C$2:$C$2459,$Z155)),Parametros!$B$71:$B$91,0))</f>
        <v>Litoral</v>
      </c>
      <c r="I155" s="61" t="str">
        <f aca="false">IF(TRIM($AD155)="",INDEX(Parametros!$I$20:$I$24,MATCH($H155,Parametros!$H$20:$H$24,0)),TRIM($AD155))</f>
        <v>Rosario</v>
      </c>
      <c r="J155" s="61" t="str">
        <f aca="false">INDEX(Parametros!$C$95:$C$106,MATCH(TRIM(INDEX(Datos_Origen!$E$2:$E$2459,$Z155)),Parametros!$B$95:$B$106,0))</f>
        <v>E-commerce</v>
      </c>
      <c r="K155" s="61" t="str">
        <f aca="false">INDEX(Parametros!$C$48:$C$67,MATCH(TRIM(INDEX(Datos_Origen!$F$2:$F$2459,$Z155)),Parametros!$B$48:$B$67,0))</f>
        <v>Audio</v>
      </c>
      <c r="L155" s="61" t="str">
        <f aca="false">$K155&amp;" "&amp;$C155</f>
        <v>Audio 2024</v>
      </c>
      <c r="M155" s="61" t="str">
        <f aca="false">TRIM(INDEX(Datos_Origen!$G$2:$G$2459,$Z155))</f>
        <v>Auriculares BT Pro</v>
      </c>
      <c r="N155" s="61" t="str">
        <f aca="false">$M155&amp;" "&amp;$C155</f>
        <v>Auriculares BT Pro 2024</v>
      </c>
      <c r="O155" s="63" t="n">
        <f aca="false">IF(ISTEXT($AC155),VALUE($AC155),$AC155)</f>
        <v>6</v>
      </c>
      <c r="P155" s="64" t="n">
        <f aca="false">INDEX(Datos_Origen!$I$2:$I$2459,$Z155)</f>
        <v>117.6</v>
      </c>
      <c r="Q155" s="64" t="n">
        <f aca="false">INDEX(Datos_Origen!$J$2:$J$2459,$Z155)</f>
        <v>63.6</v>
      </c>
      <c r="R155" s="65" t="n">
        <f aca="false">ROUND($O155*$P155,2)</f>
        <v>705.6</v>
      </c>
      <c r="S155" s="65" t="n">
        <f aca="false">ROUND($O155*$Q155,2)</f>
        <v>381.6</v>
      </c>
      <c r="T155" s="65" t="n">
        <f aca="false">ROUND($R155*SUMIFS(Parametros!$E$28:$E$43,Parametros!$B$28:$B$43,$J155,Parametros!$C$28:$C$43,$C155,Parametros!$D$28:$D$43,$D155),2)</f>
        <v>29.64</v>
      </c>
      <c r="U155" s="65" t="n">
        <f aca="false">$R155-$S155-$T155</f>
        <v>294.36</v>
      </c>
      <c r="V155" s="66" t="n">
        <f aca="false">IFERROR($U155/$R155,0)</f>
        <v>0.417176870748299</v>
      </c>
      <c r="W155" s="67" t="str">
        <f aca="false">IF(AND($V155&gt;=Parametros!$C$8,$R155&gt;=Parametros!$C$12),"Alta rentabilidad",IF(OR($V155&lt;Parametros!$C$11,$R155&lt;Parametros!$C$13),"Revisar","Estandar"))</f>
        <v>Estandar</v>
      </c>
      <c r="X155" s="67" t="str">
        <f aca="false">IF(AND($J155="E-commerce",IFERROR($T155/$R155,0)&gt;Parametros!$C$14),"Alerta","OK")</f>
        <v>OK</v>
      </c>
      <c r="Y155" s="61" t="str">
        <f aca="false">IF($R155&gt;=Parametros!$C$12,"Alto",IF($R155&lt;Parametros!$C$13,"Bajo","Medio"))</f>
        <v>Medio</v>
      </c>
      <c r="Z155" s="61" t="n">
        <v>1885</v>
      </c>
      <c r="AA155" s="61" t="str">
        <f aca="false">IF(MATCH($A155,Datos_Origen!$A$2:$A$2459,0)=$Z155,"OK","REVISAR")</f>
        <v>OK</v>
      </c>
      <c r="AB155" s="62" t="n">
        <f aca="false">INDEX(Datos_Origen!$B$2:$B$2459,$Z155)</f>
        <v>45348</v>
      </c>
      <c r="AC155" s="61" t="n">
        <f aca="false">INDEX(Datos_Origen!$H$2:$H$2459,$Z155)</f>
        <v>6</v>
      </c>
      <c r="AD155" s="61" t="str">
        <f aca="false">INDEX(Datos_Origen!$D$2:$D$2459,$Z155)&amp;""</f>
        <v>Rosario</v>
      </c>
    </row>
    <row r="156" customFormat="false" ht="15" hidden="false" customHeight="false" outlineLevel="0" collapsed="false">
      <c r="A156" s="61" t="n">
        <f aca="false">INDEX(Datos_Origen!$A$2:$A$2459,$Z156)</f>
        <v>155</v>
      </c>
      <c r="B156" s="62" t="n">
        <f aca="false">IF(ISNUMBER($AB156),$AB156,IF(MID($AB156,5,1)="-",DATE(VALUE(LEFT($AB156,4)),VALUE(MID($AB156,6,2)),VALUE(RIGHT($AB156,2))),DATE(VALUE(RIGHT($AB156,4)),VALUE(MID($AB156,4,2)),VALUE(LEFT($AB156,2)))))</f>
        <v>45328</v>
      </c>
      <c r="C156" s="61" t="n">
        <f aca="false">YEAR($B156)</f>
        <v>2024</v>
      </c>
      <c r="D156" s="61" t="str">
        <f aca="false">"Q"&amp;ROUNDUP(MONTH($B156)/3,0)</f>
        <v>Q1</v>
      </c>
      <c r="E156" s="61" t="n">
        <f aca="false">MONTH($B156)</f>
        <v>2</v>
      </c>
      <c r="F156" s="61" t="str">
        <f aca="false">INDEX(Parametros!$I$5:$I$16,$E156)</f>
        <v>Feb</v>
      </c>
      <c r="G156" s="61" t="str">
        <f aca="false">TEXT($C156,"0000")&amp;"-"&amp;TEXT($E156,"00")</f>
        <v>2024-02</v>
      </c>
      <c r="H156" s="61" t="str">
        <f aca="false">INDEX(Parametros!$C$71:$C$91,MATCH(TRIM(INDEX(Datos_Origen!$C$2:$C$2459,$Z156)),Parametros!$B$71:$B$91,0))</f>
        <v>Litoral</v>
      </c>
      <c r="I156" s="61" t="str">
        <f aca="false">IF(TRIM($AD156)="",INDEX(Parametros!$I$20:$I$24,MATCH($H156,Parametros!$H$20:$H$24,0)),TRIM($AD156))</f>
        <v>Rosario</v>
      </c>
      <c r="J156" s="61" t="str">
        <f aca="false">INDEX(Parametros!$C$95:$C$106,MATCH(TRIM(INDEX(Datos_Origen!$E$2:$E$2459,$Z156)),Parametros!$B$95:$B$106,0))</f>
        <v>Tienda fisica</v>
      </c>
      <c r="K156" s="61" t="str">
        <f aca="false">INDEX(Parametros!$C$48:$C$67,MATCH(TRIM(INDEX(Datos_Origen!$F$2:$F$2459,$Z156)),Parametros!$B$48:$B$67,0))</f>
        <v>Audio</v>
      </c>
      <c r="L156" s="61" t="str">
        <f aca="false">$K156&amp;" "&amp;$C156</f>
        <v>Audio 2024</v>
      </c>
      <c r="M156" s="61" t="str">
        <f aca="false">TRIM(INDEX(Datos_Origen!$G$2:$G$2459,$Z156))</f>
        <v>Parlante Bluetooth</v>
      </c>
      <c r="N156" s="61" t="str">
        <f aca="false">$M156&amp;" "&amp;$C156</f>
        <v>Parlante Bluetooth 2024</v>
      </c>
      <c r="O156" s="63" t="n">
        <f aca="false">IF(ISTEXT($AC156),VALUE($AC156),$AC156)</f>
        <v>13</v>
      </c>
      <c r="P156" s="64" t="n">
        <f aca="false">INDEX(Datos_Origen!$I$2:$I$2459,$Z156)</f>
        <v>83.3</v>
      </c>
      <c r="Q156" s="64" t="n">
        <f aca="false">INDEX(Datos_Origen!$J$2:$J$2459,$Z156)</f>
        <v>48.03</v>
      </c>
      <c r="R156" s="65" t="n">
        <f aca="false">ROUND($O156*$P156,2)</f>
        <v>1082.9</v>
      </c>
      <c r="S156" s="65" t="n">
        <f aca="false">ROUND($O156*$Q156,2)</f>
        <v>624.39</v>
      </c>
      <c r="T156" s="65" t="n">
        <f aca="false">ROUND($R156*SUMIFS(Parametros!$E$28:$E$43,Parametros!$B$28:$B$43,$J156,Parametros!$C$28:$C$43,$C156,Parametros!$D$28:$D$43,$D156),2)</f>
        <v>12.99</v>
      </c>
      <c r="U156" s="65" t="n">
        <f aca="false">$R156-$S156-$T156</f>
        <v>445.52</v>
      </c>
      <c r="V156" s="66" t="n">
        <f aca="false">IFERROR($U156/$R156,0)</f>
        <v>0.411413796287746</v>
      </c>
      <c r="W156" s="67" t="str">
        <f aca="false">IF(AND($V156&gt;=Parametros!$C$8,$R156&gt;=Parametros!$C$12),"Alta rentabilidad",IF(OR($V156&lt;Parametros!$C$11,$R156&lt;Parametros!$C$13),"Revisar","Estandar"))</f>
        <v>Estandar</v>
      </c>
      <c r="X156" s="67" t="str">
        <f aca="false">IF(AND($J156="E-commerce",IFERROR($T156/$R156,0)&gt;Parametros!$C$14),"Alerta","OK")</f>
        <v>OK</v>
      </c>
      <c r="Y156" s="61" t="str">
        <f aca="false">IF($R156&gt;=Parametros!$C$12,"Alto",IF($R156&lt;Parametros!$C$13,"Bajo","Medio"))</f>
        <v>Medio</v>
      </c>
      <c r="Z156" s="61" t="n">
        <v>1956</v>
      </c>
      <c r="AA156" s="61" t="str">
        <f aca="false">IF(MATCH($A156,Datos_Origen!$A$2:$A$2459,0)=$Z156,"OK","REVISAR")</f>
        <v>OK</v>
      </c>
      <c r="AB156" s="62" t="n">
        <f aca="false">INDEX(Datos_Origen!$B$2:$B$2459,$Z156)</f>
        <v>45328</v>
      </c>
      <c r="AC156" s="61" t="n">
        <f aca="false">INDEX(Datos_Origen!$H$2:$H$2459,$Z156)</f>
        <v>13</v>
      </c>
      <c r="AD156" s="61" t="str">
        <f aca="false">INDEX(Datos_Origen!$D$2:$D$2459,$Z156)&amp;""</f>
        <v>Rosario</v>
      </c>
    </row>
    <row r="157" customFormat="false" ht="15" hidden="false" customHeight="false" outlineLevel="0" collapsed="false">
      <c r="A157" s="61" t="n">
        <f aca="false">INDEX(Datos_Origen!$A$2:$A$2459,$Z157)</f>
        <v>156</v>
      </c>
      <c r="B157" s="62" t="n">
        <f aca="false">IF(ISNUMBER($AB157),$AB157,IF(MID($AB157,5,1)="-",DATE(VALUE(LEFT($AB157,4)),VALUE(MID($AB157,6,2)),VALUE(RIGHT($AB157,2))),DATE(VALUE(RIGHT($AB157,4)),VALUE(MID($AB157,4,2)),VALUE(LEFT($AB157,2)))))</f>
        <v>45335</v>
      </c>
      <c r="C157" s="61" t="n">
        <f aca="false">YEAR($B157)</f>
        <v>2024</v>
      </c>
      <c r="D157" s="61" t="str">
        <f aca="false">"Q"&amp;ROUNDUP(MONTH($B157)/3,0)</f>
        <v>Q1</v>
      </c>
      <c r="E157" s="61" t="n">
        <f aca="false">MONTH($B157)</f>
        <v>2</v>
      </c>
      <c r="F157" s="61" t="str">
        <f aca="false">INDEX(Parametros!$I$5:$I$16,$E157)</f>
        <v>Feb</v>
      </c>
      <c r="G157" s="61" t="str">
        <f aca="false">TEXT($C157,"0000")&amp;"-"&amp;TEXT($E157,"00")</f>
        <v>2024-02</v>
      </c>
      <c r="H157" s="61" t="str">
        <f aca="false">INDEX(Parametros!$C$71:$C$91,MATCH(TRIM(INDEX(Datos_Origen!$C$2:$C$2459,$Z157)),Parametros!$B$71:$B$91,0))</f>
        <v>Litoral</v>
      </c>
      <c r="I157" s="61" t="str">
        <f aca="false">IF(TRIM($AD157)="",INDEX(Parametros!$I$20:$I$24,MATCH($H157,Parametros!$H$20:$H$24,0)),TRIM($AD157))</f>
        <v>Rosario</v>
      </c>
      <c r="J157" s="61" t="str">
        <f aca="false">INDEX(Parametros!$C$95:$C$106,MATCH(TRIM(INDEX(Datos_Origen!$E$2:$E$2459,$Z157)),Parametros!$B$95:$B$106,0))</f>
        <v>E-commerce</v>
      </c>
      <c r="K157" s="61" t="str">
        <f aca="false">INDEX(Parametros!$C$48:$C$67,MATCH(TRIM(INDEX(Datos_Origen!$F$2:$F$2459,$Z157)),Parametros!$B$48:$B$67,0))</f>
        <v>Audio</v>
      </c>
      <c r="L157" s="61" t="str">
        <f aca="false">$K157&amp;" "&amp;$C157</f>
        <v>Audio 2024</v>
      </c>
      <c r="M157" s="61" t="str">
        <f aca="false">TRIM(INDEX(Datos_Origen!$G$2:$G$2459,$Z157))</f>
        <v>Parlante Bluetooth</v>
      </c>
      <c r="N157" s="61" t="str">
        <f aca="false">$M157&amp;" "&amp;$C157</f>
        <v>Parlante Bluetooth 2024</v>
      </c>
      <c r="O157" s="63" t="n">
        <f aca="false">IF(ISTEXT($AC157),VALUE($AC157),$AC157)</f>
        <v>5</v>
      </c>
      <c r="P157" s="64" t="n">
        <f aca="false">INDEX(Datos_Origen!$I$2:$I$2459,$Z157)</f>
        <v>83.3</v>
      </c>
      <c r="Q157" s="64" t="n">
        <f aca="false">INDEX(Datos_Origen!$J$2:$J$2459,$Z157)</f>
        <v>48.03</v>
      </c>
      <c r="R157" s="65" t="n">
        <f aca="false">ROUND($O157*$P157,2)</f>
        <v>416.5</v>
      </c>
      <c r="S157" s="65" t="n">
        <f aca="false">ROUND($O157*$Q157,2)</f>
        <v>240.15</v>
      </c>
      <c r="T157" s="65" t="n">
        <f aca="false">ROUND($R157*SUMIFS(Parametros!$E$28:$E$43,Parametros!$B$28:$B$43,$J157,Parametros!$C$28:$C$43,$C157,Parametros!$D$28:$D$43,$D157),2)</f>
        <v>17.49</v>
      </c>
      <c r="U157" s="65" t="n">
        <f aca="false">$R157-$S157-$T157</f>
        <v>158.86</v>
      </c>
      <c r="V157" s="66" t="n">
        <f aca="false">IFERROR($U157/$R157,0)</f>
        <v>0.381416566626651</v>
      </c>
      <c r="W157" s="67" t="str">
        <f aca="false">IF(AND($V157&gt;=Parametros!$C$8,$R157&gt;=Parametros!$C$12),"Alta rentabilidad",IF(OR($V157&lt;Parametros!$C$11,$R157&lt;Parametros!$C$13),"Revisar","Estandar"))</f>
        <v>Estandar</v>
      </c>
      <c r="X157" s="67" t="str">
        <f aca="false">IF(AND($J157="E-commerce",IFERROR($T157/$R157,0)&gt;Parametros!$C$14),"Alerta","OK")</f>
        <v>OK</v>
      </c>
      <c r="Y157" s="61" t="str">
        <f aca="false">IF($R157&gt;=Parametros!$C$12,"Alto",IF($R157&lt;Parametros!$C$13,"Bajo","Medio"))</f>
        <v>Medio</v>
      </c>
      <c r="Z157" s="61" t="n">
        <v>363</v>
      </c>
      <c r="AA157" s="61" t="str">
        <f aca="false">IF(MATCH($A157,Datos_Origen!$A$2:$A$2459,0)=$Z157,"OK","REVISAR")</f>
        <v>OK</v>
      </c>
      <c r="AB157" s="62" t="n">
        <f aca="false">INDEX(Datos_Origen!$B$2:$B$2459,$Z157)</f>
        <v>45335</v>
      </c>
      <c r="AC157" s="61" t="n">
        <f aca="false">INDEX(Datos_Origen!$H$2:$H$2459,$Z157)</f>
        <v>5</v>
      </c>
      <c r="AD157" s="61" t="str">
        <f aca="false">INDEX(Datos_Origen!$D$2:$D$2459,$Z157)&amp;""</f>
        <v>Rosario</v>
      </c>
    </row>
    <row r="158" customFormat="false" ht="15" hidden="false" customHeight="false" outlineLevel="0" collapsed="false">
      <c r="A158" s="61" t="n">
        <f aca="false">INDEX(Datos_Origen!$A$2:$A$2459,$Z158)</f>
        <v>157</v>
      </c>
      <c r="B158" s="62" t="n">
        <f aca="false">IF(ISNUMBER($AB158),$AB158,IF(MID($AB158,5,1)="-",DATE(VALUE(LEFT($AB158,4)),VALUE(MID($AB158,6,2)),VALUE(RIGHT($AB158,2))),DATE(VALUE(RIGHT($AB158,4)),VALUE(MID($AB158,4,2)),VALUE(LEFT($AB158,2)))))</f>
        <v>45342</v>
      </c>
      <c r="C158" s="61" t="n">
        <f aca="false">YEAR($B158)</f>
        <v>2024</v>
      </c>
      <c r="D158" s="61" t="str">
        <f aca="false">"Q"&amp;ROUNDUP(MONTH($B158)/3,0)</f>
        <v>Q1</v>
      </c>
      <c r="E158" s="61" t="n">
        <f aca="false">MONTH($B158)</f>
        <v>2</v>
      </c>
      <c r="F158" s="61" t="str">
        <f aca="false">INDEX(Parametros!$I$5:$I$16,$E158)</f>
        <v>Feb</v>
      </c>
      <c r="G158" s="61" t="str">
        <f aca="false">TEXT($C158,"0000")&amp;"-"&amp;TEXT($E158,"00")</f>
        <v>2024-02</v>
      </c>
      <c r="H158" s="61" t="str">
        <f aca="false">INDEX(Parametros!$C$71:$C$91,MATCH(TRIM(INDEX(Datos_Origen!$C$2:$C$2459,$Z158)),Parametros!$B$71:$B$91,0))</f>
        <v>Litoral</v>
      </c>
      <c r="I158" s="61" t="str">
        <f aca="false">IF(TRIM($AD158)="",INDEX(Parametros!$I$20:$I$24,MATCH($H158,Parametros!$H$20:$H$24,0)),TRIM($AD158))</f>
        <v>Rosario</v>
      </c>
      <c r="J158" s="61" t="str">
        <f aca="false">INDEX(Parametros!$C$95:$C$106,MATCH(TRIM(INDEX(Datos_Origen!$E$2:$E$2459,$Z158)),Parametros!$B$95:$B$106,0))</f>
        <v>Tienda fisica</v>
      </c>
      <c r="K158" s="61" t="str">
        <f aca="false">INDEX(Parametros!$C$48:$C$67,MATCH(TRIM(INDEX(Datos_Origen!$F$2:$F$2459,$Z158)),Parametros!$B$48:$B$67,0))</f>
        <v>Almacenamiento</v>
      </c>
      <c r="L158" s="61" t="str">
        <f aca="false">$K158&amp;" "&amp;$C158</f>
        <v>Almacenamiento 2024</v>
      </c>
      <c r="M158" s="61" t="str">
        <f aca="false">TRIM(INDEX(Datos_Origen!$G$2:$G$2459,$Z158))</f>
        <v>SSD Externo 1TB</v>
      </c>
      <c r="N158" s="61" t="str">
        <f aca="false">$M158&amp;" "&amp;$C158</f>
        <v>SSD Externo 1TB 2024</v>
      </c>
      <c r="O158" s="63" t="n">
        <f aca="false">IF(ISTEXT($AC158),VALUE($AC158),$AC158)</f>
        <v>18</v>
      </c>
      <c r="P158" s="64" t="n">
        <f aca="false">INDEX(Datos_Origen!$I$2:$I$2459,$Z158)</f>
        <v>127.4</v>
      </c>
      <c r="Q158" s="64" t="n">
        <f aca="false">INDEX(Datos_Origen!$J$2:$J$2459,$Z158)</f>
        <v>76.05</v>
      </c>
      <c r="R158" s="65" t="n">
        <f aca="false">ROUND($O158*$P158,2)</f>
        <v>2293.2</v>
      </c>
      <c r="S158" s="65" t="n">
        <f aca="false">ROUND($O158*$Q158,2)</f>
        <v>1368.9</v>
      </c>
      <c r="T158" s="65" t="n">
        <f aca="false">ROUND($R158*SUMIFS(Parametros!$E$28:$E$43,Parametros!$B$28:$B$43,$J158,Parametros!$C$28:$C$43,$C158,Parametros!$D$28:$D$43,$D158),2)</f>
        <v>27.52</v>
      </c>
      <c r="U158" s="65" t="n">
        <f aca="false">$R158-$S158-$T158</f>
        <v>896.78</v>
      </c>
      <c r="V158" s="66" t="n">
        <f aca="false">IFERROR($U158/$R158,0)</f>
        <v>0.391060526774812</v>
      </c>
      <c r="W158" s="67" t="str">
        <f aca="false">IF(AND($V158&gt;=Parametros!$C$8,$R158&gt;=Parametros!$C$12),"Alta rentabilidad",IF(OR($V158&lt;Parametros!$C$11,$R158&lt;Parametros!$C$13),"Revisar","Estandar"))</f>
        <v>Estandar</v>
      </c>
      <c r="X158" s="67" t="str">
        <f aca="false">IF(AND($J158="E-commerce",IFERROR($T158/$R158,0)&gt;Parametros!$C$14),"Alerta","OK")</f>
        <v>OK</v>
      </c>
      <c r="Y158" s="61" t="str">
        <f aca="false">IF($R158&gt;=Parametros!$C$12,"Alto",IF($R158&lt;Parametros!$C$13,"Bajo","Medio"))</f>
        <v>Medio</v>
      </c>
      <c r="Z158" s="61" t="n">
        <v>1318</v>
      </c>
      <c r="AA158" s="61" t="str">
        <f aca="false">IF(MATCH($A158,Datos_Origen!$A$2:$A$2459,0)=$Z158,"OK","REVISAR")</f>
        <v>OK</v>
      </c>
      <c r="AB158" s="62" t="n">
        <f aca="false">INDEX(Datos_Origen!$B$2:$B$2459,$Z158)</f>
        <v>45342</v>
      </c>
      <c r="AC158" s="61" t="n">
        <f aca="false">INDEX(Datos_Origen!$H$2:$H$2459,$Z158)</f>
        <v>18</v>
      </c>
      <c r="AD158" s="61" t="str">
        <f aca="false">INDEX(Datos_Origen!$D$2:$D$2459,$Z158)&amp;""</f>
        <v>Rosario</v>
      </c>
    </row>
    <row r="159" customFormat="false" ht="15" hidden="false" customHeight="false" outlineLevel="0" collapsed="false">
      <c r="A159" s="61" t="n">
        <f aca="false">INDEX(Datos_Origen!$A$2:$A$2459,$Z159)</f>
        <v>158</v>
      </c>
      <c r="B159" s="62" t="n">
        <f aca="false">IF(ISNUMBER($AB159),$AB159,IF(MID($AB159,5,1)="-",DATE(VALUE(LEFT($AB159,4)),VALUE(MID($AB159,6,2)),VALUE(RIGHT($AB159,2))),DATE(VALUE(RIGHT($AB159,4)),VALUE(MID($AB159,4,2)),VALUE(LEFT($AB159,2)))))</f>
        <v>45349</v>
      </c>
      <c r="C159" s="61" t="n">
        <f aca="false">YEAR($B159)</f>
        <v>2024</v>
      </c>
      <c r="D159" s="61" t="str">
        <f aca="false">"Q"&amp;ROUNDUP(MONTH($B159)/3,0)</f>
        <v>Q1</v>
      </c>
      <c r="E159" s="61" t="n">
        <f aca="false">MONTH($B159)</f>
        <v>2</v>
      </c>
      <c r="F159" s="61" t="str">
        <f aca="false">INDEX(Parametros!$I$5:$I$16,$E159)</f>
        <v>Feb</v>
      </c>
      <c r="G159" s="61" t="str">
        <f aca="false">TEXT($C159,"0000")&amp;"-"&amp;TEXT($E159,"00")</f>
        <v>2024-02</v>
      </c>
      <c r="H159" s="61" t="str">
        <f aca="false">INDEX(Parametros!$C$71:$C$91,MATCH(TRIM(INDEX(Datos_Origen!$C$2:$C$2459,$Z159)),Parametros!$B$71:$B$91,0))</f>
        <v>Litoral</v>
      </c>
      <c r="I159" s="61" t="str">
        <f aca="false">IF(TRIM($AD159)="",INDEX(Parametros!$I$20:$I$24,MATCH($H159,Parametros!$H$20:$H$24,0)),TRIM($AD159))</f>
        <v>Rosario</v>
      </c>
      <c r="J159" s="61" t="str">
        <f aca="false">INDEX(Parametros!$C$95:$C$106,MATCH(TRIM(INDEX(Datos_Origen!$E$2:$E$2459,$Z159)),Parametros!$B$95:$B$106,0))</f>
        <v>E-commerce</v>
      </c>
      <c r="K159" s="61" t="str">
        <f aca="false">INDEX(Parametros!$C$48:$C$67,MATCH(TRIM(INDEX(Datos_Origen!$F$2:$F$2459,$Z159)),Parametros!$B$48:$B$67,0))</f>
        <v>Almacenamiento</v>
      </c>
      <c r="L159" s="61" t="str">
        <f aca="false">$K159&amp;" "&amp;$C159</f>
        <v>Almacenamiento 2024</v>
      </c>
      <c r="M159" s="61" t="str">
        <f aca="false">TRIM(INDEX(Datos_Origen!$G$2:$G$2459,$Z159))</f>
        <v>SSD Externo 1TB</v>
      </c>
      <c r="N159" s="61" t="str">
        <f aca="false">$M159&amp;" "&amp;$C159</f>
        <v>SSD Externo 1TB 2024</v>
      </c>
      <c r="O159" s="63" t="n">
        <f aca="false">IF(ISTEXT($AC159),VALUE($AC159),$AC159)</f>
        <v>7</v>
      </c>
      <c r="P159" s="64" t="n">
        <f aca="false">INDEX(Datos_Origen!$I$2:$I$2459,$Z159)</f>
        <v>127.4</v>
      </c>
      <c r="Q159" s="64" t="n">
        <f aca="false">INDEX(Datos_Origen!$J$2:$J$2459,$Z159)</f>
        <v>76.05</v>
      </c>
      <c r="R159" s="65" t="n">
        <f aca="false">ROUND($O159*$P159,2)</f>
        <v>891.8</v>
      </c>
      <c r="S159" s="65" t="n">
        <f aca="false">ROUND($O159*$Q159,2)</f>
        <v>532.35</v>
      </c>
      <c r="T159" s="65" t="n">
        <f aca="false">ROUND($R159*SUMIFS(Parametros!$E$28:$E$43,Parametros!$B$28:$B$43,$J159,Parametros!$C$28:$C$43,$C159,Parametros!$D$28:$D$43,$D159),2)</f>
        <v>37.46</v>
      </c>
      <c r="U159" s="65" t="n">
        <f aca="false">$R159-$S159-$T159</f>
        <v>321.99</v>
      </c>
      <c r="V159" s="66" t="n">
        <f aca="false">IFERROR($U159/$R159,0)</f>
        <v>0.361056290648127</v>
      </c>
      <c r="W159" s="67" t="str">
        <f aca="false">IF(AND($V159&gt;=Parametros!$C$8,$R159&gt;=Parametros!$C$12),"Alta rentabilidad",IF(OR($V159&lt;Parametros!$C$11,$R159&lt;Parametros!$C$13),"Revisar","Estandar"))</f>
        <v>Estandar</v>
      </c>
      <c r="X159" s="67" t="str">
        <f aca="false">IF(AND($J159="E-commerce",IFERROR($T159/$R159,0)&gt;Parametros!$C$14),"Alerta","OK")</f>
        <v>OK</v>
      </c>
      <c r="Y159" s="61" t="str">
        <f aca="false">IF($R159&gt;=Parametros!$C$12,"Alto",IF($R159&lt;Parametros!$C$13,"Bajo","Medio"))</f>
        <v>Medio</v>
      </c>
      <c r="Z159" s="61" t="n">
        <v>153</v>
      </c>
      <c r="AA159" s="61" t="str">
        <f aca="false">IF(MATCH($A159,Datos_Origen!$A$2:$A$2459,0)=$Z159,"OK","REVISAR")</f>
        <v>OK</v>
      </c>
      <c r="AB159" s="62" t="n">
        <f aca="false">INDEX(Datos_Origen!$B$2:$B$2459,$Z159)</f>
        <v>45349</v>
      </c>
      <c r="AC159" s="61" t="n">
        <f aca="false">INDEX(Datos_Origen!$H$2:$H$2459,$Z159)</f>
        <v>7</v>
      </c>
      <c r="AD159" s="61" t="str">
        <f aca="false">INDEX(Datos_Origen!$D$2:$D$2459,$Z159)&amp;""</f>
        <v>Rosario</v>
      </c>
    </row>
    <row r="160" customFormat="false" ht="15" hidden="false" customHeight="false" outlineLevel="0" collapsed="false">
      <c r="A160" s="61" t="n">
        <f aca="false">INDEX(Datos_Origen!$A$2:$A$2459,$Z160)</f>
        <v>159</v>
      </c>
      <c r="B160" s="62" t="n">
        <f aca="false">IF(ISNUMBER($AB160),$AB160,IF(MID($AB160,5,1)="-",DATE(VALUE(LEFT($AB160,4)),VALUE(MID($AB160,6,2)),VALUE(RIGHT($AB160,2))),DATE(VALUE(RIGHT($AB160,4)),VALUE(MID($AB160,4,2)),VALUE(LEFT($AB160,2)))))</f>
        <v>45329</v>
      </c>
      <c r="C160" s="61" t="n">
        <f aca="false">YEAR($B160)</f>
        <v>2024</v>
      </c>
      <c r="D160" s="61" t="str">
        <f aca="false">"Q"&amp;ROUNDUP(MONTH($B160)/3,0)</f>
        <v>Q1</v>
      </c>
      <c r="E160" s="61" t="n">
        <f aca="false">MONTH($B160)</f>
        <v>2</v>
      </c>
      <c r="F160" s="61" t="str">
        <f aca="false">INDEX(Parametros!$I$5:$I$16,$E160)</f>
        <v>Feb</v>
      </c>
      <c r="G160" s="61" t="str">
        <f aca="false">TEXT($C160,"0000")&amp;"-"&amp;TEXT($E160,"00")</f>
        <v>2024-02</v>
      </c>
      <c r="H160" s="61" t="str">
        <f aca="false">INDEX(Parametros!$C$71:$C$91,MATCH(TRIM(INDEX(Datos_Origen!$C$2:$C$2459,$Z160)),Parametros!$B$71:$B$91,0))</f>
        <v>Litoral</v>
      </c>
      <c r="I160" s="61" t="str">
        <f aca="false">IF(TRIM($AD160)="",INDEX(Parametros!$I$20:$I$24,MATCH($H160,Parametros!$H$20:$H$24,0)),TRIM($AD160))</f>
        <v>Rosario</v>
      </c>
      <c r="J160" s="61" t="str">
        <f aca="false">INDEX(Parametros!$C$95:$C$106,MATCH(TRIM(INDEX(Datos_Origen!$E$2:$E$2459,$Z160)),Parametros!$B$95:$B$106,0))</f>
        <v>Tienda fisica</v>
      </c>
      <c r="K160" s="61" t="str">
        <f aca="false">INDEX(Parametros!$C$48:$C$67,MATCH(TRIM(INDEX(Datos_Origen!$F$2:$F$2459,$Z160)),Parametros!$B$48:$B$67,0))</f>
        <v>Almacenamiento</v>
      </c>
      <c r="L160" s="61" t="str">
        <f aca="false">$K160&amp;" "&amp;$C160</f>
        <v>Almacenamiento 2024</v>
      </c>
      <c r="M160" s="61" t="str">
        <f aca="false">TRIM(INDEX(Datos_Origen!$G$2:$G$2459,$Z160))</f>
        <v>Pendrive 256GB</v>
      </c>
      <c r="N160" s="61" t="str">
        <f aca="false">$M160&amp;" "&amp;$C160</f>
        <v>Pendrive 256GB 2024</v>
      </c>
      <c r="O160" s="63" t="n">
        <f aca="false">IF(ISTEXT($AC160),VALUE($AC160),$AC160)</f>
        <v>18</v>
      </c>
      <c r="P160" s="64" t="n">
        <f aca="false">INDEX(Datos_Origen!$I$2:$I$2459,$Z160)</f>
        <v>34.3</v>
      </c>
      <c r="Q160" s="64" t="n">
        <f aca="false">INDEX(Datos_Origen!$J$2:$J$2459,$Z160)</f>
        <v>17.85</v>
      </c>
      <c r="R160" s="65" t="n">
        <f aca="false">ROUND($O160*$P160,2)</f>
        <v>617.4</v>
      </c>
      <c r="S160" s="65" t="n">
        <f aca="false">ROUND($O160*$Q160,2)</f>
        <v>321.3</v>
      </c>
      <c r="T160" s="65" t="n">
        <f aca="false">ROUND($R160*SUMIFS(Parametros!$E$28:$E$43,Parametros!$B$28:$B$43,$J160,Parametros!$C$28:$C$43,$C160,Parametros!$D$28:$D$43,$D160),2)</f>
        <v>7.41</v>
      </c>
      <c r="U160" s="65" t="n">
        <f aca="false">$R160-$S160-$T160</f>
        <v>288.69</v>
      </c>
      <c r="V160" s="66" t="n">
        <f aca="false">IFERROR($U160/$R160,0)</f>
        <v>0.467589893100097</v>
      </c>
      <c r="W160" s="67" t="str">
        <f aca="false">IF(AND($V160&gt;=Parametros!$C$8,$R160&gt;=Parametros!$C$12),"Alta rentabilidad",IF(OR($V160&lt;Parametros!$C$11,$R160&lt;Parametros!$C$13),"Revisar","Estandar"))</f>
        <v>Estandar</v>
      </c>
      <c r="X160" s="67" t="str">
        <f aca="false">IF(AND($J160="E-commerce",IFERROR($T160/$R160,0)&gt;Parametros!$C$14),"Alerta","OK")</f>
        <v>OK</v>
      </c>
      <c r="Y160" s="61" t="str">
        <f aca="false">IF($R160&gt;=Parametros!$C$12,"Alto",IF($R160&lt;Parametros!$C$13,"Bajo","Medio"))</f>
        <v>Medio</v>
      </c>
      <c r="Z160" s="61" t="n">
        <v>551</v>
      </c>
      <c r="AA160" s="61" t="str">
        <f aca="false">IF(MATCH($A160,Datos_Origen!$A$2:$A$2459,0)=$Z160,"OK","REVISAR")</f>
        <v>OK</v>
      </c>
      <c r="AB160" s="62" t="n">
        <f aca="false">INDEX(Datos_Origen!$B$2:$B$2459,$Z160)</f>
        <v>45329</v>
      </c>
      <c r="AC160" s="61" t="n">
        <f aca="false">INDEX(Datos_Origen!$H$2:$H$2459,$Z160)</f>
        <v>18</v>
      </c>
      <c r="AD160" s="61" t="str">
        <f aca="false">INDEX(Datos_Origen!$D$2:$D$2459,$Z160)&amp;""</f>
        <v>Rosario</v>
      </c>
    </row>
    <row r="161" customFormat="false" ht="15" hidden="false" customHeight="false" outlineLevel="0" collapsed="false">
      <c r="A161" s="61" t="n">
        <f aca="false">INDEX(Datos_Origen!$A$2:$A$2459,$Z161)</f>
        <v>160</v>
      </c>
      <c r="B161" s="62" t="n">
        <f aca="false">IF(ISNUMBER($AB161),$AB161,IF(MID($AB161,5,1)="-",DATE(VALUE(LEFT($AB161,4)),VALUE(MID($AB161,6,2)),VALUE(RIGHT($AB161,2))),DATE(VALUE(RIGHT($AB161,4)),VALUE(MID($AB161,4,2)),VALUE(LEFT($AB161,2)))))</f>
        <v>45336</v>
      </c>
      <c r="C161" s="61" t="n">
        <f aca="false">YEAR($B161)</f>
        <v>2024</v>
      </c>
      <c r="D161" s="61" t="str">
        <f aca="false">"Q"&amp;ROUNDUP(MONTH($B161)/3,0)</f>
        <v>Q1</v>
      </c>
      <c r="E161" s="61" t="n">
        <f aca="false">MONTH($B161)</f>
        <v>2</v>
      </c>
      <c r="F161" s="61" t="str">
        <f aca="false">INDEX(Parametros!$I$5:$I$16,$E161)</f>
        <v>Feb</v>
      </c>
      <c r="G161" s="61" t="str">
        <f aca="false">TEXT($C161,"0000")&amp;"-"&amp;TEXT($E161,"00")</f>
        <v>2024-02</v>
      </c>
      <c r="H161" s="61" t="str">
        <f aca="false">INDEX(Parametros!$C$71:$C$91,MATCH(TRIM(INDEX(Datos_Origen!$C$2:$C$2459,$Z161)),Parametros!$B$71:$B$91,0))</f>
        <v>Litoral</v>
      </c>
      <c r="I161" s="61" t="str">
        <f aca="false">IF(TRIM($AD161)="",INDEX(Parametros!$I$20:$I$24,MATCH($H161,Parametros!$H$20:$H$24,0)),TRIM($AD161))</f>
        <v>Rosario</v>
      </c>
      <c r="J161" s="61" t="str">
        <f aca="false">INDEX(Parametros!$C$95:$C$106,MATCH(TRIM(INDEX(Datos_Origen!$E$2:$E$2459,$Z161)),Parametros!$B$95:$B$106,0))</f>
        <v>E-commerce</v>
      </c>
      <c r="K161" s="61" t="str">
        <f aca="false">INDEX(Parametros!$C$48:$C$67,MATCH(TRIM(INDEX(Datos_Origen!$F$2:$F$2459,$Z161)),Parametros!$B$48:$B$67,0))</f>
        <v>Almacenamiento</v>
      </c>
      <c r="L161" s="61" t="str">
        <f aca="false">$K161&amp;" "&amp;$C161</f>
        <v>Almacenamiento 2024</v>
      </c>
      <c r="M161" s="61" t="str">
        <f aca="false">TRIM(INDEX(Datos_Origen!$G$2:$G$2459,$Z161))</f>
        <v>Pendrive 256GB</v>
      </c>
      <c r="N161" s="61" t="str">
        <f aca="false">$M161&amp;" "&amp;$C161</f>
        <v>Pendrive 256GB 2024</v>
      </c>
      <c r="O161" s="63" t="n">
        <f aca="false">IF(ISTEXT($AC161),VALUE($AC161),$AC161)</f>
        <v>7</v>
      </c>
      <c r="P161" s="64" t="n">
        <f aca="false">INDEX(Datos_Origen!$I$2:$I$2459,$Z161)</f>
        <v>34.3</v>
      </c>
      <c r="Q161" s="64" t="n">
        <f aca="false">INDEX(Datos_Origen!$J$2:$J$2459,$Z161)</f>
        <v>17.85</v>
      </c>
      <c r="R161" s="65" t="n">
        <f aca="false">ROUND($O161*$P161,2)</f>
        <v>240.1</v>
      </c>
      <c r="S161" s="65" t="n">
        <f aca="false">ROUND($O161*$Q161,2)</f>
        <v>124.95</v>
      </c>
      <c r="T161" s="65" t="n">
        <f aca="false">ROUND($R161*SUMIFS(Parametros!$E$28:$E$43,Parametros!$B$28:$B$43,$J161,Parametros!$C$28:$C$43,$C161,Parametros!$D$28:$D$43,$D161),2)</f>
        <v>10.08</v>
      </c>
      <c r="U161" s="65" t="n">
        <f aca="false">$R161-$S161-$T161</f>
        <v>105.07</v>
      </c>
      <c r="V161" s="66" t="n">
        <f aca="false">IFERROR($U161/$R161,0)</f>
        <v>0.437609329446064</v>
      </c>
      <c r="W161" s="67" t="str">
        <f aca="false">IF(AND($V161&gt;=Parametros!$C$8,$R161&gt;=Parametros!$C$12),"Alta rentabilidad",IF(OR($V161&lt;Parametros!$C$11,$R161&lt;Parametros!$C$13),"Revisar","Estandar"))</f>
        <v>Revisar</v>
      </c>
      <c r="X161" s="67" t="str">
        <f aca="false">IF(AND($J161="E-commerce",IFERROR($T161/$R161,0)&gt;Parametros!$C$14),"Alerta","OK")</f>
        <v>OK</v>
      </c>
      <c r="Y161" s="61" t="str">
        <f aca="false">IF($R161&gt;=Parametros!$C$12,"Alto",IF($R161&lt;Parametros!$C$13,"Bajo","Medio"))</f>
        <v>Bajo</v>
      </c>
      <c r="Z161" s="61" t="n">
        <v>1168</v>
      </c>
      <c r="AA161" s="61" t="str">
        <f aca="false">IF(MATCH($A161,Datos_Origen!$A$2:$A$2459,0)=$Z161,"OK","REVISAR")</f>
        <v>OK</v>
      </c>
      <c r="AB161" s="61" t="str">
        <f aca="false">INDEX(Datos_Origen!$B$2:$B$2459,$Z161)</f>
        <v>14/02/2024</v>
      </c>
      <c r="AC161" s="61" t="n">
        <f aca="false">INDEX(Datos_Origen!$H$2:$H$2459,$Z161)</f>
        <v>7</v>
      </c>
      <c r="AD161" s="61" t="str">
        <f aca="false">INDEX(Datos_Origen!$D$2:$D$2459,$Z161)&amp;""</f>
        <v>Rosario</v>
      </c>
    </row>
    <row r="162" customFormat="false" ht="15" hidden="false" customHeight="false" outlineLevel="0" collapsed="false">
      <c r="A162" s="61" t="n">
        <f aca="false">INDEX(Datos_Origen!$A$2:$A$2459,$Z162)</f>
        <v>161</v>
      </c>
      <c r="B162" s="62" t="n">
        <f aca="false">IF(ISNUMBER($AB162),$AB162,IF(MID($AB162,5,1)="-",DATE(VALUE(LEFT($AB162,4)),VALUE(MID($AB162,6,2)),VALUE(RIGHT($AB162,2))),DATE(VALUE(RIGHT($AB162,4)),VALUE(MID($AB162,4,2)),VALUE(LEFT($AB162,2)))))</f>
        <v>45343</v>
      </c>
      <c r="C162" s="61" t="n">
        <f aca="false">YEAR($B162)</f>
        <v>2024</v>
      </c>
      <c r="D162" s="61" t="str">
        <f aca="false">"Q"&amp;ROUNDUP(MONTH($B162)/3,0)</f>
        <v>Q1</v>
      </c>
      <c r="E162" s="61" t="n">
        <f aca="false">MONTH($B162)</f>
        <v>2</v>
      </c>
      <c r="F162" s="61" t="str">
        <f aca="false">INDEX(Parametros!$I$5:$I$16,$E162)</f>
        <v>Feb</v>
      </c>
      <c r="G162" s="61" t="str">
        <f aca="false">TEXT($C162,"0000")&amp;"-"&amp;TEXT($E162,"00")</f>
        <v>2024-02</v>
      </c>
      <c r="H162" s="61" t="str">
        <f aca="false">INDEX(Parametros!$C$71:$C$91,MATCH(TRIM(INDEX(Datos_Origen!$C$2:$C$2459,$Z162)),Parametros!$B$71:$B$91,0))</f>
        <v>Cuyo</v>
      </c>
      <c r="I162" s="61" t="str">
        <f aca="false">IF(TRIM($AD162)="",INDEX(Parametros!$I$20:$I$24,MATCH($H162,Parametros!$H$20:$H$24,0)),TRIM($AD162))</f>
        <v>Mendoza</v>
      </c>
      <c r="J162" s="61" t="str">
        <f aca="false">INDEX(Parametros!$C$95:$C$106,MATCH(TRIM(INDEX(Datos_Origen!$E$2:$E$2459,$Z162)),Parametros!$B$95:$B$106,0))</f>
        <v>Tienda fisica</v>
      </c>
      <c r="K162" s="61" t="str">
        <f aca="false">INDEX(Parametros!$C$48:$C$67,MATCH(TRIM(INDEX(Datos_Origen!$F$2:$F$2459,$Z162)),Parametros!$B$48:$B$67,0))</f>
        <v>Computacion</v>
      </c>
      <c r="L162" s="61" t="str">
        <f aca="false">$K162&amp;" "&amp;$C162</f>
        <v>Computacion 2024</v>
      </c>
      <c r="M162" s="61" t="str">
        <f aca="false">TRIM(INDEX(Datos_Origen!$G$2:$G$2459,$Z162))</f>
        <v>Laptop Pro 15</v>
      </c>
      <c r="N162" s="61" t="str">
        <f aca="false">$M162&amp;" "&amp;$C162</f>
        <v>Laptop Pro 15 2024</v>
      </c>
      <c r="O162" s="63" t="n">
        <f aca="false">IF(ISTEXT($AC162),VALUE($AC162),$AC162)</f>
        <v>5</v>
      </c>
      <c r="P162" s="64" t="n">
        <f aca="false">INDEX(Datos_Origen!$I$2:$I$2459,$Z162)</f>
        <v>1176</v>
      </c>
      <c r="Q162" s="64" t="n">
        <f aca="false">INDEX(Datos_Origen!$J$2:$J$2459,$Z162)</f>
        <v>744</v>
      </c>
      <c r="R162" s="65" t="n">
        <f aca="false">ROUND($O162*$P162,2)</f>
        <v>5880</v>
      </c>
      <c r="S162" s="65" t="n">
        <f aca="false">ROUND($O162*$Q162,2)</f>
        <v>3720</v>
      </c>
      <c r="T162" s="65" t="n">
        <f aca="false">ROUND($R162*SUMIFS(Parametros!$E$28:$E$43,Parametros!$B$28:$B$43,$J162,Parametros!$C$28:$C$43,$C162,Parametros!$D$28:$D$43,$D162),2)</f>
        <v>70.56</v>
      </c>
      <c r="U162" s="65" t="n">
        <f aca="false">$R162-$S162-$T162</f>
        <v>2089.44</v>
      </c>
      <c r="V162" s="66" t="n">
        <f aca="false">IFERROR($U162/$R162,0)</f>
        <v>0.35534693877551</v>
      </c>
      <c r="W162" s="67" t="str">
        <f aca="false">IF(AND($V162&gt;=Parametros!$C$8,$R162&gt;=Parametros!$C$12),"Alta rentabilidad",IF(OR($V162&lt;Parametros!$C$11,$R162&lt;Parametros!$C$13),"Revisar","Estandar"))</f>
        <v>Alta rentabilidad</v>
      </c>
      <c r="X162" s="67" t="str">
        <f aca="false">IF(AND($J162="E-commerce",IFERROR($T162/$R162,0)&gt;Parametros!$C$14),"Alerta","OK")</f>
        <v>OK</v>
      </c>
      <c r="Y162" s="61" t="str">
        <f aca="false">IF($R162&gt;=Parametros!$C$12,"Alto",IF($R162&lt;Parametros!$C$13,"Bajo","Medio"))</f>
        <v>Alto</v>
      </c>
      <c r="Z162" s="61" t="n">
        <v>1893</v>
      </c>
      <c r="AA162" s="61" t="str">
        <f aca="false">IF(MATCH($A162,Datos_Origen!$A$2:$A$2459,0)=$Z162,"OK","REVISAR")</f>
        <v>OK</v>
      </c>
      <c r="AB162" s="61" t="str">
        <f aca="false">INDEX(Datos_Origen!$B$2:$B$2459,$Z162)</f>
        <v>21/02/2024</v>
      </c>
      <c r="AC162" s="61" t="n">
        <f aca="false">INDEX(Datos_Origen!$H$2:$H$2459,$Z162)</f>
        <v>5</v>
      </c>
      <c r="AD162" s="61" t="str">
        <f aca="false">INDEX(Datos_Origen!$D$2:$D$2459,$Z162)&amp;""</f>
        <v>Mendoza</v>
      </c>
    </row>
    <row r="163" customFormat="false" ht="15" hidden="false" customHeight="false" outlineLevel="0" collapsed="false">
      <c r="A163" s="61" t="n">
        <f aca="false">INDEX(Datos_Origen!$A$2:$A$2459,$Z163)</f>
        <v>162</v>
      </c>
      <c r="B163" s="62" t="n">
        <f aca="false">IF(ISNUMBER($AB163),$AB163,IF(MID($AB163,5,1)="-",DATE(VALUE(LEFT($AB163,4)),VALUE(MID($AB163,6,2)),VALUE(RIGHT($AB163,2))),DATE(VALUE(RIGHT($AB163,4)),VALUE(MID($AB163,4,2)),VALUE(LEFT($AB163,2)))))</f>
        <v>45323</v>
      </c>
      <c r="C163" s="61" t="n">
        <f aca="false">YEAR($B163)</f>
        <v>2024</v>
      </c>
      <c r="D163" s="61" t="str">
        <f aca="false">"Q"&amp;ROUNDUP(MONTH($B163)/3,0)</f>
        <v>Q1</v>
      </c>
      <c r="E163" s="61" t="n">
        <f aca="false">MONTH($B163)</f>
        <v>2</v>
      </c>
      <c r="F163" s="61" t="str">
        <f aca="false">INDEX(Parametros!$I$5:$I$16,$E163)</f>
        <v>Feb</v>
      </c>
      <c r="G163" s="61" t="str">
        <f aca="false">TEXT($C163,"0000")&amp;"-"&amp;TEXT($E163,"00")</f>
        <v>2024-02</v>
      </c>
      <c r="H163" s="61" t="str">
        <f aca="false">INDEX(Parametros!$C$71:$C$91,MATCH(TRIM(INDEX(Datos_Origen!$C$2:$C$2459,$Z163)),Parametros!$B$71:$B$91,0))</f>
        <v>Cuyo</v>
      </c>
      <c r="I163" s="61" t="str">
        <f aca="false">IF(TRIM($AD163)="",INDEX(Parametros!$I$20:$I$24,MATCH($H163,Parametros!$H$20:$H$24,0)),TRIM($AD163))</f>
        <v>Mendoza</v>
      </c>
      <c r="J163" s="61" t="str">
        <f aca="false">INDEX(Parametros!$C$95:$C$106,MATCH(TRIM(INDEX(Datos_Origen!$E$2:$E$2459,$Z163)),Parametros!$B$95:$B$106,0))</f>
        <v>E-commerce</v>
      </c>
      <c r="K163" s="61" t="str">
        <f aca="false">INDEX(Parametros!$C$48:$C$67,MATCH(TRIM(INDEX(Datos_Origen!$F$2:$F$2459,$Z163)),Parametros!$B$48:$B$67,0))</f>
        <v>Computacion</v>
      </c>
      <c r="L163" s="61" t="str">
        <f aca="false">$K163&amp;" "&amp;$C163</f>
        <v>Computacion 2024</v>
      </c>
      <c r="M163" s="61" t="str">
        <f aca="false">TRIM(INDEX(Datos_Origen!$G$2:$G$2459,$Z163))</f>
        <v>Laptop Pro 15</v>
      </c>
      <c r="N163" s="61" t="str">
        <f aca="false">$M163&amp;" "&amp;$C163</f>
        <v>Laptop Pro 15 2024</v>
      </c>
      <c r="O163" s="63" t="n">
        <f aca="false">IF(ISTEXT($AC163),VALUE($AC163),$AC163)</f>
        <v>2</v>
      </c>
      <c r="P163" s="64" t="n">
        <f aca="false">INDEX(Datos_Origen!$I$2:$I$2459,$Z163)</f>
        <v>1176</v>
      </c>
      <c r="Q163" s="64" t="n">
        <f aca="false">INDEX(Datos_Origen!$J$2:$J$2459,$Z163)</f>
        <v>744</v>
      </c>
      <c r="R163" s="65" t="n">
        <f aca="false">ROUND($O163*$P163,2)</f>
        <v>2352</v>
      </c>
      <c r="S163" s="65" t="n">
        <f aca="false">ROUND($O163*$Q163,2)</f>
        <v>1488</v>
      </c>
      <c r="T163" s="65" t="n">
        <f aca="false">ROUND($R163*SUMIFS(Parametros!$E$28:$E$43,Parametros!$B$28:$B$43,$J163,Parametros!$C$28:$C$43,$C163,Parametros!$D$28:$D$43,$D163),2)</f>
        <v>98.78</v>
      </c>
      <c r="U163" s="65" t="n">
        <f aca="false">$R163-$S163-$T163</f>
        <v>765.22</v>
      </c>
      <c r="V163" s="66" t="n">
        <f aca="false">IFERROR($U163/$R163,0)</f>
        <v>0.325348639455782</v>
      </c>
      <c r="W163" s="67" t="str">
        <f aca="false">IF(AND($V163&gt;=Parametros!$C$8,$R163&gt;=Parametros!$C$12),"Alta rentabilidad",IF(OR($V163&lt;Parametros!$C$11,$R163&lt;Parametros!$C$13),"Revisar","Estandar"))</f>
        <v>Estandar</v>
      </c>
      <c r="X163" s="67" t="str">
        <f aca="false">IF(AND($J163="E-commerce",IFERROR($T163/$R163,0)&gt;Parametros!$C$14),"Alerta","OK")</f>
        <v>OK</v>
      </c>
      <c r="Y163" s="61" t="str">
        <f aca="false">IF($R163&gt;=Parametros!$C$12,"Alto",IF($R163&lt;Parametros!$C$13,"Bajo","Medio"))</f>
        <v>Medio</v>
      </c>
      <c r="Z163" s="61" t="n">
        <v>1557</v>
      </c>
      <c r="AA163" s="61" t="str">
        <f aca="false">IF(MATCH($A163,Datos_Origen!$A$2:$A$2459,0)=$Z163,"OK","REVISAR")</f>
        <v>OK</v>
      </c>
      <c r="AB163" s="61" t="str">
        <f aca="false">INDEX(Datos_Origen!$B$2:$B$2459,$Z163)</f>
        <v>01/02/2024</v>
      </c>
      <c r="AC163" s="61" t="n">
        <f aca="false">INDEX(Datos_Origen!$H$2:$H$2459,$Z163)</f>
        <v>2</v>
      </c>
      <c r="AD163" s="61" t="str">
        <f aca="false">INDEX(Datos_Origen!$D$2:$D$2459,$Z163)&amp;""</f>
        <v>Mendoza</v>
      </c>
    </row>
    <row r="164" customFormat="false" ht="15" hidden="false" customHeight="false" outlineLevel="0" collapsed="false">
      <c r="A164" s="61" t="n">
        <f aca="false">INDEX(Datos_Origen!$A$2:$A$2459,$Z164)</f>
        <v>163</v>
      </c>
      <c r="B164" s="62" t="n">
        <f aca="false">IF(ISNUMBER($AB164),$AB164,IF(MID($AB164,5,1)="-",DATE(VALUE(LEFT($AB164,4)),VALUE(MID($AB164,6,2)),VALUE(RIGHT($AB164,2))),DATE(VALUE(RIGHT($AB164,4)),VALUE(MID($AB164,4,2)),VALUE(LEFT($AB164,2)))))</f>
        <v>45330</v>
      </c>
      <c r="C164" s="61" t="n">
        <f aca="false">YEAR($B164)</f>
        <v>2024</v>
      </c>
      <c r="D164" s="61" t="str">
        <f aca="false">"Q"&amp;ROUNDUP(MONTH($B164)/3,0)</f>
        <v>Q1</v>
      </c>
      <c r="E164" s="61" t="n">
        <f aca="false">MONTH($B164)</f>
        <v>2</v>
      </c>
      <c r="F164" s="61" t="str">
        <f aca="false">INDEX(Parametros!$I$5:$I$16,$E164)</f>
        <v>Feb</v>
      </c>
      <c r="G164" s="61" t="str">
        <f aca="false">TEXT($C164,"0000")&amp;"-"&amp;TEXT($E164,"00")</f>
        <v>2024-02</v>
      </c>
      <c r="H164" s="61" t="str">
        <f aca="false">INDEX(Parametros!$C$71:$C$91,MATCH(TRIM(INDEX(Datos_Origen!$C$2:$C$2459,$Z164)),Parametros!$B$71:$B$91,0))</f>
        <v>Cuyo</v>
      </c>
      <c r="I164" s="61" t="str">
        <f aca="false">IF(TRIM($AD164)="",INDEX(Parametros!$I$20:$I$24,MATCH($H164,Parametros!$H$20:$H$24,0)),TRIM($AD164))</f>
        <v>Mendoza</v>
      </c>
      <c r="J164" s="61" t="str">
        <f aca="false">INDEX(Parametros!$C$95:$C$106,MATCH(TRIM(INDEX(Datos_Origen!$E$2:$E$2459,$Z164)),Parametros!$B$95:$B$106,0))</f>
        <v>Tienda fisica</v>
      </c>
      <c r="K164" s="61" t="str">
        <f aca="false">INDEX(Parametros!$C$48:$C$67,MATCH(TRIM(INDEX(Datos_Origen!$F$2:$F$2459,$Z164)),Parametros!$B$48:$B$67,0))</f>
        <v>Computacion</v>
      </c>
      <c r="L164" s="61" t="str">
        <f aca="false">$K164&amp;" "&amp;$C164</f>
        <v>Computacion 2024</v>
      </c>
      <c r="M164" s="61" t="str">
        <f aca="false">TRIM(INDEX(Datos_Origen!$G$2:$G$2459,$Z164))</f>
        <v>Monitor 4K 27</v>
      </c>
      <c r="N164" s="61" t="str">
        <f aca="false">$M164&amp;" "&amp;$C164</f>
        <v>Monitor 4K 27 2024</v>
      </c>
      <c r="O164" s="63" t="n">
        <f aca="false">IF(ISTEXT($AC164),VALUE($AC164),$AC164)</f>
        <v>6</v>
      </c>
      <c r="P164" s="64" t="n">
        <f aca="false">INDEX(Datos_Origen!$I$2:$I$2459,$Z164)</f>
        <v>441</v>
      </c>
      <c r="Q164" s="64" t="n">
        <f aca="false">INDEX(Datos_Origen!$J$2:$J$2459,$Z164)</f>
        <v>272.25</v>
      </c>
      <c r="R164" s="65" t="n">
        <f aca="false">ROUND($O164*$P164,2)</f>
        <v>2646</v>
      </c>
      <c r="S164" s="65" t="n">
        <f aca="false">ROUND($O164*$Q164,2)</f>
        <v>1633.5</v>
      </c>
      <c r="T164" s="65" t="n">
        <f aca="false">ROUND($R164*SUMIFS(Parametros!$E$28:$E$43,Parametros!$B$28:$B$43,$J164,Parametros!$C$28:$C$43,$C164,Parametros!$D$28:$D$43,$D164),2)</f>
        <v>31.75</v>
      </c>
      <c r="U164" s="65" t="n">
        <f aca="false">$R164-$S164-$T164</f>
        <v>980.75</v>
      </c>
      <c r="V164" s="66" t="n">
        <f aca="false">IFERROR($U164/$R164,0)</f>
        <v>0.370653817082389</v>
      </c>
      <c r="W164" s="67" t="str">
        <f aca="false">IF(AND($V164&gt;=Parametros!$C$8,$R164&gt;=Parametros!$C$12),"Alta rentabilidad",IF(OR($V164&lt;Parametros!$C$11,$R164&lt;Parametros!$C$13),"Revisar","Estandar"))</f>
        <v>Estandar</v>
      </c>
      <c r="X164" s="67" t="str">
        <f aca="false">IF(AND($J164="E-commerce",IFERROR($T164/$R164,0)&gt;Parametros!$C$14),"Alerta","OK")</f>
        <v>OK</v>
      </c>
      <c r="Y164" s="61" t="str">
        <f aca="false">IF($R164&gt;=Parametros!$C$12,"Alto",IF($R164&lt;Parametros!$C$13,"Bajo","Medio"))</f>
        <v>Medio</v>
      </c>
      <c r="Z164" s="61" t="n">
        <v>850</v>
      </c>
      <c r="AA164" s="61" t="str">
        <f aca="false">IF(MATCH($A164,Datos_Origen!$A$2:$A$2459,0)=$Z164,"OK","REVISAR")</f>
        <v>OK</v>
      </c>
      <c r="AB164" s="62" t="n">
        <f aca="false">INDEX(Datos_Origen!$B$2:$B$2459,$Z164)</f>
        <v>45330</v>
      </c>
      <c r="AC164" s="61" t="n">
        <f aca="false">INDEX(Datos_Origen!$H$2:$H$2459,$Z164)</f>
        <v>6</v>
      </c>
      <c r="AD164" s="61" t="str">
        <f aca="false">INDEX(Datos_Origen!$D$2:$D$2459,$Z164)&amp;""</f>
        <v>Mendoza</v>
      </c>
    </row>
    <row r="165" customFormat="false" ht="15" hidden="false" customHeight="false" outlineLevel="0" collapsed="false">
      <c r="A165" s="61" t="n">
        <f aca="false">INDEX(Datos_Origen!$A$2:$A$2459,$Z165)</f>
        <v>164</v>
      </c>
      <c r="B165" s="62" t="n">
        <f aca="false">IF(ISNUMBER($AB165),$AB165,IF(MID($AB165,5,1)="-",DATE(VALUE(LEFT($AB165,4)),VALUE(MID($AB165,6,2)),VALUE(RIGHT($AB165,2))),DATE(VALUE(RIGHT($AB165,4)),VALUE(MID($AB165,4,2)),VALUE(LEFT($AB165,2)))))</f>
        <v>45337</v>
      </c>
      <c r="C165" s="61" t="n">
        <f aca="false">YEAR($B165)</f>
        <v>2024</v>
      </c>
      <c r="D165" s="61" t="str">
        <f aca="false">"Q"&amp;ROUNDUP(MONTH($B165)/3,0)</f>
        <v>Q1</v>
      </c>
      <c r="E165" s="61" t="n">
        <f aca="false">MONTH($B165)</f>
        <v>2</v>
      </c>
      <c r="F165" s="61" t="str">
        <f aca="false">INDEX(Parametros!$I$5:$I$16,$E165)</f>
        <v>Feb</v>
      </c>
      <c r="G165" s="61" t="str">
        <f aca="false">TEXT($C165,"0000")&amp;"-"&amp;TEXT($E165,"00")</f>
        <v>2024-02</v>
      </c>
      <c r="H165" s="61" t="str">
        <f aca="false">INDEX(Parametros!$C$71:$C$91,MATCH(TRIM(INDEX(Datos_Origen!$C$2:$C$2459,$Z165)),Parametros!$B$71:$B$91,0))</f>
        <v>Cuyo</v>
      </c>
      <c r="I165" s="61" t="str">
        <f aca="false">IF(TRIM($AD165)="",INDEX(Parametros!$I$20:$I$24,MATCH($H165,Parametros!$H$20:$H$24,0)),TRIM($AD165))</f>
        <v>Mendoza</v>
      </c>
      <c r="J165" s="61" t="str">
        <f aca="false">INDEX(Parametros!$C$95:$C$106,MATCH(TRIM(INDEX(Datos_Origen!$E$2:$E$2459,$Z165)),Parametros!$B$95:$B$106,0))</f>
        <v>E-commerce</v>
      </c>
      <c r="K165" s="61" t="str">
        <f aca="false">INDEX(Parametros!$C$48:$C$67,MATCH(TRIM(INDEX(Datos_Origen!$F$2:$F$2459,$Z165)),Parametros!$B$48:$B$67,0))</f>
        <v>Computacion</v>
      </c>
      <c r="L165" s="61" t="str">
        <f aca="false">$K165&amp;" "&amp;$C165</f>
        <v>Computacion 2024</v>
      </c>
      <c r="M165" s="61" t="str">
        <f aca="false">TRIM(INDEX(Datos_Origen!$G$2:$G$2459,$Z165))</f>
        <v>Monitor 4K 27</v>
      </c>
      <c r="N165" s="61" t="str">
        <f aca="false">$M165&amp;" "&amp;$C165</f>
        <v>Monitor 4K 27 2024</v>
      </c>
      <c r="O165" s="63" t="n">
        <f aca="false">IF(ISTEXT($AC165),VALUE($AC165),$AC165)</f>
        <v>2</v>
      </c>
      <c r="P165" s="64" t="n">
        <f aca="false">INDEX(Datos_Origen!$I$2:$I$2459,$Z165)</f>
        <v>441</v>
      </c>
      <c r="Q165" s="64" t="n">
        <f aca="false">INDEX(Datos_Origen!$J$2:$J$2459,$Z165)</f>
        <v>272.25</v>
      </c>
      <c r="R165" s="65" t="n">
        <f aca="false">ROUND($O165*$P165,2)</f>
        <v>882</v>
      </c>
      <c r="S165" s="65" t="n">
        <f aca="false">ROUND($O165*$Q165,2)</f>
        <v>544.5</v>
      </c>
      <c r="T165" s="65" t="n">
        <f aca="false">ROUND($R165*SUMIFS(Parametros!$E$28:$E$43,Parametros!$B$28:$B$43,$J165,Parametros!$C$28:$C$43,$C165,Parametros!$D$28:$D$43,$D165),2)</f>
        <v>37.04</v>
      </c>
      <c r="U165" s="65" t="n">
        <f aca="false">$R165-$S165-$T165</f>
        <v>300.46</v>
      </c>
      <c r="V165" s="66" t="n">
        <f aca="false">IFERROR($U165/$R165,0)</f>
        <v>0.340657596371882</v>
      </c>
      <c r="W165" s="67" t="str">
        <f aca="false">IF(AND($V165&gt;=Parametros!$C$8,$R165&gt;=Parametros!$C$12),"Alta rentabilidad",IF(OR($V165&lt;Parametros!$C$11,$R165&lt;Parametros!$C$13),"Revisar","Estandar"))</f>
        <v>Estandar</v>
      </c>
      <c r="X165" s="67" t="str">
        <f aca="false">IF(AND($J165="E-commerce",IFERROR($T165/$R165,0)&gt;Parametros!$C$14),"Alerta","OK")</f>
        <v>OK</v>
      </c>
      <c r="Y165" s="61" t="str">
        <f aca="false">IF($R165&gt;=Parametros!$C$12,"Alto",IF($R165&lt;Parametros!$C$13,"Bajo","Medio"))</f>
        <v>Medio</v>
      </c>
      <c r="Z165" s="61" t="n">
        <v>317</v>
      </c>
      <c r="AA165" s="61" t="str">
        <f aca="false">IF(MATCH($A165,Datos_Origen!$A$2:$A$2459,0)=$Z165,"OK","REVISAR")</f>
        <v>OK</v>
      </c>
      <c r="AB165" s="62" t="n">
        <f aca="false">INDEX(Datos_Origen!$B$2:$B$2459,$Z165)</f>
        <v>45337</v>
      </c>
      <c r="AC165" s="61" t="n">
        <f aca="false">INDEX(Datos_Origen!$H$2:$H$2459,$Z165)</f>
        <v>2</v>
      </c>
      <c r="AD165" s="61" t="str">
        <f aca="false">INDEX(Datos_Origen!$D$2:$D$2459,$Z165)&amp;""</f>
        <v>Mendoza</v>
      </c>
    </row>
    <row r="166" customFormat="false" ht="15" hidden="false" customHeight="false" outlineLevel="0" collapsed="false">
      <c r="A166" s="61" t="n">
        <f aca="false">INDEX(Datos_Origen!$A$2:$A$2459,$Z166)</f>
        <v>165</v>
      </c>
      <c r="B166" s="62" t="n">
        <f aca="false">IF(ISNUMBER($AB166),$AB166,IF(MID($AB166,5,1)="-",DATE(VALUE(LEFT($AB166,4)),VALUE(MID($AB166,6,2)),VALUE(RIGHT($AB166,2))),DATE(VALUE(RIGHT($AB166,4)),VALUE(MID($AB166,4,2)),VALUE(LEFT($AB166,2)))))</f>
        <v>45344</v>
      </c>
      <c r="C166" s="61" t="n">
        <f aca="false">YEAR($B166)</f>
        <v>2024</v>
      </c>
      <c r="D166" s="61" t="str">
        <f aca="false">"Q"&amp;ROUNDUP(MONTH($B166)/3,0)</f>
        <v>Q1</v>
      </c>
      <c r="E166" s="61" t="n">
        <f aca="false">MONTH($B166)</f>
        <v>2</v>
      </c>
      <c r="F166" s="61" t="str">
        <f aca="false">INDEX(Parametros!$I$5:$I$16,$E166)</f>
        <v>Feb</v>
      </c>
      <c r="G166" s="61" t="str">
        <f aca="false">TEXT($C166,"0000")&amp;"-"&amp;TEXT($E166,"00")</f>
        <v>2024-02</v>
      </c>
      <c r="H166" s="61" t="str">
        <f aca="false">INDEX(Parametros!$C$71:$C$91,MATCH(TRIM(INDEX(Datos_Origen!$C$2:$C$2459,$Z166)),Parametros!$B$71:$B$91,0))</f>
        <v>Cuyo</v>
      </c>
      <c r="I166" s="61" t="str">
        <f aca="false">IF(TRIM($AD166)="",INDEX(Parametros!$I$20:$I$24,MATCH($H166,Parametros!$H$20:$H$24,0)),TRIM($AD166))</f>
        <v>Mendoza</v>
      </c>
      <c r="J166" s="61" t="str">
        <f aca="false">INDEX(Parametros!$C$95:$C$106,MATCH(TRIM(INDEX(Datos_Origen!$E$2:$E$2459,$Z166)),Parametros!$B$95:$B$106,0))</f>
        <v>Tienda fisica</v>
      </c>
      <c r="K166" s="61" t="str">
        <f aca="false">INDEX(Parametros!$C$48:$C$67,MATCH(TRIM(INDEX(Datos_Origen!$F$2:$F$2459,$Z166)),Parametros!$B$48:$B$67,0))</f>
        <v>Computacion</v>
      </c>
      <c r="L166" s="61" t="str">
        <f aca="false">$K166&amp;" "&amp;$C166</f>
        <v>Computacion 2024</v>
      </c>
      <c r="M166" s="61" t="str">
        <f aca="false">TRIM(INDEX(Datos_Origen!$G$2:$G$2459,$Z166))</f>
        <v>PC Gamer Ryzen</v>
      </c>
      <c r="N166" s="61" t="str">
        <f aca="false">$M166&amp;" "&amp;$C166</f>
        <v>PC Gamer Ryzen 2024</v>
      </c>
      <c r="O166" s="63" t="n">
        <f aca="false">IF(ISTEXT($AC166),VALUE($AC166),$AC166)</f>
        <v>6</v>
      </c>
      <c r="P166" s="64" t="n">
        <f aca="false">INDEX(Datos_Origen!$I$2:$I$2459,$Z166)</f>
        <v>1617</v>
      </c>
      <c r="Q166" s="64" t="n">
        <f aca="false">INDEX(Datos_Origen!$J$2:$J$2459,$Z166)</f>
        <v>1122</v>
      </c>
      <c r="R166" s="65" t="n">
        <f aca="false">ROUND($O166*$P166,2)</f>
        <v>9702</v>
      </c>
      <c r="S166" s="65" t="n">
        <f aca="false">ROUND($O166*$Q166,2)</f>
        <v>6732</v>
      </c>
      <c r="T166" s="65" t="n">
        <f aca="false">ROUND($R166*SUMIFS(Parametros!$E$28:$E$43,Parametros!$B$28:$B$43,$J166,Parametros!$C$28:$C$43,$C166,Parametros!$D$28:$D$43,$D166),2)</f>
        <v>116.42</v>
      </c>
      <c r="U166" s="65" t="n">
        <f aca="false">$R166-$S166-$T166</f>
        <v>2853.58</v>
      </c>
      <c r="V166" s="66" t="n">
        <f aca="false">IFERROR($U166/$R166,0)</f>
        <v>0.294122861265718</v>
      </c>
      <c r="W166" s="67" t="str">
        <f aca="false">IF(AND($V166&gt;=Parametros!$C$8,$R166&gt;=Parametros!$C$12),"Alta rentabilidad",IF(OR($V166&lt;Parametros!$C$11,$R166&lt;Parametros!$C$13),"Revisar","Estandar"))</f>
        <v>Estandar</v>
      </c>
      <c r="X166" s="67" t="str">
        <f aca="false">IF(AND($J166="E-commerce",IFERROR($T166/$R166,0)&gt;Parametros!$C$14),"Alerta","OK")</f>
        <v>OK</v>
      </c>
      <c r="Y166" s="61" t="str">
        <f aca="false">IF($R166&gt;=Parametros!$C$12,"Alto",IF($R166&lt;Parametros!$C$13,"Bajo","Medio"))</f>
        <v>Alto</v>
      </c>
      <c r="Z166" s="61" t="n">
        <v>323</v>
      </c>
      <c r="AA166" s="61" t="str">
        <f aca="false">IF(MATCH($A166,Datos_Origen!$A$2:$A$2459,0)=$Z166,"OK","REVISAR")</f>
        <v>OK</v>
      </c>
      <c r="AB166" s="62" t="n">
        <f aca="false">INDEX(Datos_Origen!$B$2:$B$2459,$Z166)</f>
        <v>45344</v>
      </c>
      <c r="AC166" s="61" t="n">
        <f aca="false">INDEX(Datos_Origen!$H$2:$H$2459,$Z166)</f>
        <v>6</v>
      </c>
      <c r="AD166" s="61" t="str">
        <f aca="false">INDEX(Datos_Origen!$D$2:$D$2459,$Z166)&amp;""</f>
        <v>Mendoza</v>
      </c>
    </row>
    <row r="167" customFormat="false" ht="15" hidden="false" customHeight="false" outlineLevel="0" collapsed="false">
      <c r="A167" s="61" t="n">
        <f aca="false">INDEX(Datos_Origen!$A$2:$A$2459,$Z167)</f>
        <v>166</v>
      </c>
      <c r="B167" s="62" t="n">
        <f aca="false">IF(ISNUMBER($AB167),$AB167,IF(MID($AB167,5,1)="-",DATE(VALUE(LEFT($AB167,4)),VALUE(MID($AB167,6,2)),VALUE(RIGHT($AB167,2))),DATE(VALUE(RIGHT($AB167,4)),VALUE(MID($AB167,4,2)),VALUE(LEFT($AB167,2)))))</f>
        <v>45324</v>
      </c>
      <c r="C167" s="61" t="n">
        <f aca="false">YEAR($B167)</f>
        <v>2024</v>
      </c>
      <c r="D167" s="61" t="str">
        <f aca="false">"Q"&amp;ROUNDUP(MONTH($B167)/3,0)</f>
        <v>Q1</v>
      </c>
      <c r="E167" s="61" t="n">
        <f aca="false">MONTH($B167)</f>
        <v>2</v>
      </c>
      <c r="F167" s="61" t="str">
        <f aca="false">INDEX(Parametros!$I$5:$I$16,$E167)</f>
        <v>Feb</v>
      </c>
      <c r="G167" s="61" t="str">
        <f aca="false">TEXT($C167,"0000")&amp;"-"&amp;TEXT($E167,"00")</f>
        <v>2024-02</v>
      </c>
      <c r="H167" s="61" t="str">
        <f aca="false">INDEX(Parametros!$C$71:$C$91,MATCH(TRIM(INDEX(Datos_Origen!$C$2:$C$2459,$Z167)),Parametros!$B$71:$B$91,0))</f>
        <v>Cuyo</v>
      </c>
      <c r="I167" s="61" t="str">
        <f aca="false">IF(TRIM($AD167)="",INDEX(Parametros!$I$20:$I$24,MATCH($H167,Parametros!$H$20:$H$24,0)),TRIM($AD167))</f>
        <v>Mendoza</v>
      </c>
      <c r="J167" s="61" t="str">
        <f aca="false">INDEX(Parametros!$C$95:$C$106,MATCH(TRIM(INDEX(Datos_Origen!$E$2:$E$2459,$Z167)),Parametros!$B$95:$B$106,0))</f>
        <v>E-commerce</v>
      </c>
      <c r="K167" s="61" t="str">
        <f aca="false">INDEX(Parametros!$C$48:$C$67,MATCH(TRIM(INDEX(Datos_Origen!$F$2:$F$2459,$Z167)),Parametros!$B$48:$B$67,0))</f>
        <v>Computacion</v>
      </c>
      <c r="L167" s="61" t="str">
        <f aca="false">$K167&amp;" "&amp;$C167</f>
        <v>Computacion 2024</v>
      </c>
      <c r="M167" s="61" t="str">
        <f aca="false">TRIM(INDEX(Datos_Origen!$G$2:$G$2459,$Z167))</f>
        <v>PC Gamer Ryzen</v>
      </c>
      <c r="N167" s="61" t="str">
        <f aca="false">$M167&amp;" "&amp;$C167</f>
        <v>PC Gamer Ryzen 2024</v>
      </c>
      <c r="O167" s="63" t="n">
        <f aca="false">IF(ISTEXT($AC167),VALUE($AC167),$AC167)</f>
        <v>2</v>
      </c>
      <c r="P167" s="64" t="n">
        <f aca="false">INDEX(Datos_Origen!$I$2:$I$2459,$Z167)</f>
        <v>1617</v>
      </c>
      <c r="Q167" s="64" t="n">
        <f aca="false">INDEX(Datos_Origen!$J$2:$J$2459,$Z167)</f>
        <v>1122</v>
      </c>
      <c r="R167" s="65" t="n">
        <f aca="false">ROUND($O167*$P167,2)</f>
        <v>3234</v>
      </c>
      <c r="S167" s="65" t="n">
        <f aca="false">ROUND($O167*$Q167,2)</f>
        <v>2244</v>
      </c>
      <c r="T167" s="65" t="n">
        <f aca="false">ROUND($R167*SUMIFS(Parametros!$E$28:$E$43,Parametros!$B$28:$B$43,$J167,Parametros!$C$28:$C$43,$C167,Parametros!$D$28:$D$43,$D167),2)</f>
        <v>135.83</v>
      </c>
      <c r="U167" s="65" t="n">
        <f aca="false">$R167-$S167-$T167</f>
        <v>854.17</v>
      </c>
      <c r="V167" s="66" t="n">
        <f aca="false">IFERROR($U167/$R167,0)</f>
        <v>0.264121830550402</v>
      </c>
      <c r="W167" s="67" t="str">
        <f aca="false">IF(AND($V167&gt;=Parametros!$C$8,$R167&gt;=Parametros!$C$12),"Alta rentabilidad",IF(OR($V167&lt;Parametros!$C$11,$R167&lt;Parametros!$C$13),"Revisar","Estandar"))</f>
        <v>Revisar</v>
      </c>
      <c r="X167" s="67" t="str">
        <f aca="false">IF(AND($J167="E-commerce",IFERROR($T167/$R167,0)&gt;Parametros!$C$14),"Alerta","OK")</f>
        <v>OK</v>
      </c>
      <c r="Y167" s="61" t="str">
        <f aca="false">IF($R167&gt;=Parametros!$C$12,"Alto",IF($R167&lt;Parametros!$C$13,"Bajo","Medio"))</f>
        <v>Alto</v>
      </c>
      <c r="Z167" s="61" t="n">
        <v>632</v>
      </c>
      <c r="AA167" s="61" t="str">
        <f aca="false">IF(MATCH($A167,Datos_Origen!$A$2:$A$2459,0)=$Z167,"OK","REVISAR")</f>
        <v>OK</v>
      </c>
      <c r="AB167" s="62" t="n">
        <f aca="false">INDEX(Datos_Origen!$B$2:$B$2459,$Z167)</f>
        <v>45324</v>
      </c>
      <c r="AC167" s="61" t="n">
        <f aca="false">INDEX(Datos_Origen!$H$2:$H$2459,$Z167)</f>
        <v>2</v>
      </c>
      <c r="AD167" s="61" t="str">
        <f aca="false">INDEX(Datos_Origen!$D$2:$D$2459,$Z167)&amp;""</f>
        <v>Mendoza</v>
      </c>
    </row>
    <row r="168" customFormat="false" ht="15" hidden="false" customHeight="false" outlineLevel="0" collapsed="false">
      <c r="A168" s="61" t="n">
        <f aca="false">INDEX(Datos_Origen!$A$2:$A$2459,$Z168)</f>
        <v>167</v>
      </c>
      <c r="B168" s="62" t="n">
        <f aca="false">IF(ISNUMBER($AB168),$AB168,IF(MID($AB168,5,1)="-",DATE(VALUE(LEFT($AB168,4)),VALUE(MID($AB168,6,2)),VALUE(RIGHT($AB168,2))),DATE(VALUE(RIGHT($AB168,4)),VALUE(MID($AB168,4,2)),VALUE(LEFT($AB168,2)))))</f>
        <v>45331</v>
      </c>
      <c r="C168" s="61" t="n">
        <f aca="false">YEAR($B168)</f>
        <v>2024</v>
      </c>
      <c r="D168" s="61" t="str">
        <f aca="false">"Q"&amp;ROUNDUP(MONTH($B168)/3,0)</f>
        <v>Q1</v>
      </c>
      <c r="E168" s="61" t="n">
        <f aca="false">MONTH($B168)</f>
        <v>2</v>
      </c>
      <c r="F168" s="61" t="str">
        <f aca="false">INDEX(Parametros!$I$5:$I$16,$E168)</f>
        <v>Feb</v>
      </c>
      <c r="G168" s="61" t="str">
        <f aca="false">TEXT($C168,"0000")&amp;"-"&amp;TEXT($E168,"00")</f>
        <v>2024-02</v>
      </c>
      <c r="H168" s="61" t="str">
        <f aca="false">INDEX(Parametros!$C$71:$C$91,MATCH(TRIM(INDEX(Datos_Origen!$C$2:$C$2459,$Z168)),Parametros!$B$71:$B$91,0))</f>
        <v>Cuyo</v>
      </c>
      <c r="I168" s="61" t="str">
        <f aca="false">IF(TRIM($AD168)="",INDEX(Parametros!$I$20:$I$24,MATCH($H168,Parametros!$H$20:$H$24,0)),TRIM($AD168))</f>
        <v>Mendoza</v>
      </c>
      <c r="J168" s="61" t="str">
        <f aca="false">INDEX(Parametros!$C$95:$C$106,MATCH(TRIM(INDEX(Datos_Origen!$E$2:$E$2459,$Z168)),Parametros!$B$95:$B$106,0))</f>
        <v>Tienda fisica</v>
      </c>
      <c r="K168" s="61" t="str">
        <f aca="false">INDEX(Parametros!$C$48:$C$67,MATCH(TRIM(INDEX(Datos_Origen!$F$2:$F$2459,$Z168)),Parametros!$B$48:$B$67,0))</f>
        <v>Accesorios</v>
      </c>
      <c r="L168" s="61" t="str">
        <f aca="false">$K168&amp;" "&amp;$C168</f>
        <v>Accesorios 2024</v>
      </c>
      <c r="M168" s="61" t="str">
        <f aca="false">TRIM(INDEX(Datos_Origen!$G$2:$G$2459,$Z168))</f>
        <v>Mouse Inalambrico</v>
      </c>
      <c r="N168" s="61" t="str">
        <f aca="false">$M168&amp;" "&amp;$C168</f>
        <v>Mouse Inalambrico 2024</v>
      </c>
      <c r="O168" s="63" t="n">
        <f aca="false">IF(ISTEXT($AC168),VALUE($AC168),$AC168)</f>
        <v>24</v>
      </c>
      <c r="P168" s="64" t="n">
        <f aca="false">INDEX(Datos_Origen!$I$2:$I$2459,$Z168)</f>
        <v>27.44</v>
      </c>
      <c r="Q168" s="64" t="n">
        <f aca="false">INDEX(Datos_Origen!$J$2:$J$2459,$Z168)</f>
        <v>13.44</v>
      </c>
      <c r="R168" s="65" t="n">
        <f aca="false">ROUND($O168*$P168,2)</f>
        <v>658.56</v>
      </c>
      <c r="S168" s="65" t="n">
        <f aca="false">ROUND($O168*$Q168,2)</f>
        <v>322.56</v>
      </c>
      <c r="T168" s="65" t="n">
        <f aca="false">ROUND($R168*SUMIFS(Parametros!$E$28:$E$43,Parametros!$B$28:$B$43,$J168,Parametros!$C$28:$C$43,$C168,Parametros!$D$28:$D$43,$D168),2)</f>
        <v>7.9</v>
      </c>
      <c r="U168" s="65" t="n">
        <f aca="false">$R168-$S168-$T168</f>
        <v>328.1</v>
      </c>
      <c r="V168" s="66" t="n">
        <f aca="false">IFERROR($U168/$R168,0)</f>
        <v>0.498208211856171</v>
      </c>
      <c r="W168" s="67" t="str">
        <f aca="false">IF(AND($V168&gt;=Parametros!$C$8,$R168&gt;=Parametros!$C$12),"Alta rentabilidad",IF(OR($V168&lt;Parametros!$C$11,$R168&lt;Parametros!$C$13),"Revisar","Estandar"))</f>
        <v>Estandar</v>
      </c>
      <c r="X168" s="67" t="str">
        <f aca="false">IF(AND($J168="E-commerce",IFERROR($T168/$R168,0)&gt;Parametros!$C$14),"Alerta","OK")</f>
        <v>OK</v>
      </c>
      <c r="Y168" s="61" t="str">
        <f aca="false">IF($R168&gt;=Parametros!$C$12,"Alto",IF($R168&lt;Parametros!$C$13,"Bajo","Medio"))</f>
        <v>Medio</v>
      </c>
      <c r="Z168" s="61" t="n">
        <v>301</v>
      </c>
      <c r="AA168" s="61" t="str">
        <f aca="false">IF(MATCH($A168,Datos_Origen!$A$2:$A$2459,0)=$Z168,"OK","REVISAR")</f>
        <v>OK</v>
      </c>
      <c r="AB168" s="62" t="n">
        <f aca="false">INDEX(Datos_Origen!$B$2:$B$2459,$Z168)</f>
        <v>45331</v>
      </c>
      <c r="AC168" s="61" t="n">
        <f aca="false">INDEX(Datos_Origen!$H$2:$H$2459,$Z168)</f>
        <v>24</v>
      </c>
      <c r="AD168" s="61" t="str">
        <f aca="false">INDEX(Datos_Origen!$D$2:$D$2459,$Z168)&amp;""</f>
        <v>Mendoza</v>
      </c>
    </row>
    <row r="169" customFormat="false" ht="15" hidden="false" customHeight="false" outlineLevel="0" collapsed="false">
      <c r="A169" s="61" t="n">
        <f aca="false">INDEX(Datos_Origen!$A$2:$A$2459,$Z169)</f>
        <v>168</v>
      </c>
      <c r="B169" s="62" t="n">
        <f aca="false">IF(ISNUMBER($AB169),$AB169,IF(MID($AB169,5,1)="-",DATE(VALUE(LEFT($AB169,4)),VALUE(MID($AB169,6,2)),VALUE(RIGHT($AB169,2))),DATE(VALUE(RIGHT($AB169,4)),VALUE(MID($AB169,4,2)),VALUE(LEFT($AB169,2)))))</f>
        <v>45338</v>
      </c>
      <c r="C169" s="61" t="n">
        <f aca="false">YEAR($B169)</f>
        <v>2024</v>
      </c>
      <c r="D169" s="61" t="str">
        <f aca="false">"Q"&amp;ROUNDUP(MONTH($B169)/3,0)</f>
        <v>Q1</v>
      </c>
      <c r="E169" s="61" t="n">
        <f aca="false">MONTH($B169)</f>
        <v>2</v>
      </c>
      <c r="F169" s="61" t="str">
        <f aca="false">INDEX(Parametros!$I$5:$I$16,$E169)</f>
        <v>Feb</v>
      </c>
      <c r="G169" s="61" t="str">
        <f aca="false">TEXT($C169,"0000")&amp;"-"&amp;TEXT($E169,"00")</f>
        <v>2024-02</v>
      </c>
      <c r="H169" s="61" t="str">
        <f aca="false">INDEX(Parametros!$C$71:$C$91,MATCH(TRIM(INDEX(Datos_Origen!$C$2:$C$2459,$Z169)),Parametros!$B$71:$B$91,0))</f>
        <v>Cuyo</v>
      </c>
      <c r="I169" s="61" t="str">
        <f aca="false">IF(TRIM($AD169)="",INDEX(Parametros!$I$20:$I$24,MATCH($H169,Parametros!$H$20:$H$24,0)),TRIM($AD169))</f>
        <v>Mendoza</v>
      </c>
      <c r="J169" s="61" t="str">
        <f aca="false">INDEX(Parametros!$C$95:$C$106,MATCH(TRIM(INDEX(Datos_Origen!$E$2:$E$2459,$Z169)),Parametros!$B$95:$B$106,0))</f>
        <v>E-commerce</v>
      </c>
      <c r="K169" s="61" t="str">
        <f aca="false">INDEX(Parametros!$C$48:$C$67,MATCH(TRIM(INDEX(Datos_Origen!$F$2:$F$2459,$Z169)),Parametros!$B$48:$B$67,0))</f>
        <v>Accesorios</v>
      </c>
      <c r="L169" s="61" t="str">
        <f aca="false">$K169&amp;" "&amp;$C169</f>
        <v>Accesorios 2024</v>
      </c>
      <c r="M169" s="61" t="str">
        <f aca="false">TRIM(INDEX(Datos_Origen!$G$2:$G$2459,$Z169))</f>
        <v>Mouse Inalambrico</v>
      </c>
      <c r="N169" s="61" t="str">
        <f aca="false">$M169&amp;" "&amp;$C169</f>
        <v>Mouse Inalambrico 2024</v>
      </c>
      <c r="O169" s="63" t="n">
        <f aca="false">IF(ISTEXT($AC169),VALUE($AC169),$AC169)</f>
        <v>8</v>
      </c>
      <c r="P169" s="64" t="n">
        <f aca="false">INDEX(Datos_Origen!$I$2:$I$2459,$Z169)</f>
        <v>27.44</v>
      </c>
      <c r="Q169" s="64" t="n">
        <f aca="false">INDEX(Datos_Origen!$J$2:$J$2459,$Z169)</f>
        <v>13.44</v>
      </c>
      <c r="R169" s="65" t="n">
        <f aca="false">ROUND($O169*$P169,2)</f>
        <v>219.52</v>
      </c>
      <c r="S169" s="65" t="n">
        <f aca="false">ROUND($O169*$Q169,2)</f>
        <v>107.52</v>
      </c>
      <c r="T169" s="65" t="n">
        <f aca="false">ROUND($R169*SUMIFS(Parametros!$E$28:$E$43,Parametros!$B$28:$B$43,$J169,Parametros!$C$28:$C$43,$C169,Parametros!$D$28:$D$43,$D169),2)</f>
        <v>9.22</v>
      </c>
      <c r="U169" s="65" t="n">
        <f aca="false">$R169-$S169-$T169</f>
        <v>102.78</v>
      </c>
      <c r="V169" s="66" t="n">
        <f aca="false">IFERROR($U169/$R169,0)</f>
        <v>0.468203352769679</v>
      </c>
      <c r="W169" s="67" t="str">
        <f aca="false">IF(AND($V169&gt;=Parametros!$C$8,$R169&gt;=Parametros!$C$12),"Alta rentabilidad",IF(OR($V169&lt;Parametros!$C$11,$R169&lt;Parametros!$C$13),"Revisar","Estandar"))</f>
        <v>Revisar</v>
      </c>
      <c r="X169" s="67" t="str">
        <f aca="false">IF(AND($J169="E-commerce",IFERROR($T169/$R169,0)&gt;Parametros!$C$14),"Alerta","OK")</f>
        <v>OK</v>
      </c>
      <c r="Y169" s="61" t="str">
        <f aca="false">IF($R169&gt;=Parametros!$C$12,"Alto",IF($R169&lt;Parametros!$C$13,"Bajo","Medio"))</f>
        <v>Bajo</v>
      </c>
      <c r="Z169" s="61" t="n">
        <v>1951</v>
      </c>
      <c r="AA169" s="61" t="str">
        <f aca="false">IF(MATCH($A169,Datos_Origen!$A$2:$A$2459,0)=$Z169,"OK","REVISAR")</f>
        <v>OK</v>
      </c>
      <c r="AB169" s="61" t="str">
        <f aca="false">INDEX(Datos_Origen!$B$2:$B$2459,$Z169)</f>
        <v>2024-02-16</v>
      </c>
      <c r="AC169" s="61" t="n">
        <f aca="false">INDEX(Datos_Origen!$H$2:$H$2459,$Z169)</f>
        <v>8</v>
      </c>
      <c r="AD169" s="61" t="str">
        <f aca="false">INDEX(Datos_Origen!$D$2:$D$2459,$Z169)&amp;""</f>
        <v>Mendoza</v>
      </c>
    </row>
    <row r="170" customFormat="false" ht="15" hidden="false" customHeight="false" outlineLevel="0" collapsed="false">
      <c r="A170" s="61" t="n">
        <f aca="false">INDEX(Datos_Origen!$A$2:$A$2459,$Z170)</f>
        <v>169</v>
      </c>
      <c r="B170" s="62" t="n">
        <f aca="false">IF(ISNUMBER($AB170),$AB170,IF(MID($AB170,5,1)="-",DATE(VALUE(LEFT($AB170,4)),VALUE(MID($AB170,6,2)),VALUE(RIGHT($AB170,2))),DATE(VALUE(RIGHT($AB170,4)),VALUE(MID($AB170,4,2)),VALUE(LEFT($AB170,2)))))</f>
        <v>45345</v>
      </c>
      <c r="C170" s="61" t="n">
        <f aca="false">YEAR($B170)</f>
        <v>2024</v>
      </c>
      <c r="D170" s="61" t="str">
        <f aca="false">"Q"&amp;ROUNDUP(MONTH($B170)/3,0)</f>
        <v>Q1</v>
      </c>
      <c r="E170" s="61" t="n">
        <f aca="false">MONTH($B170)</f>
        <v>2</v>
      </c>
      <c r="F170" s="61" t="str">
        <f aca="false">INDEX(Parametros!$I$5:$I$16,$E170)</f>
        <v>Feb</v>
      </c>
      <c r="G170" s="61" t="str">
        <f aca="false">TEXT($C170,"0000")&amp;"-"&amp;TEXT($E170,"00")</f>
        <v>2024-02</v>
      </c>
      <c r="H170" s="61" t="str">
        <f aca="false">INDEX(Parametros!$C$71:$C$91,MATCH(TRIM(INDEX(Datos_Origen!$C$2:$C$2459,$Z170)),Parametros!$B$71:$B$91,0))</f>
        <v>Cuyo</v>
      </c>
      <c r="I170" s="61" t="str">
        <f aca="false">IF(TRIM($AD170)="",INDEX(Parametros!$I$20:$I$24,MATCH($H170,Parametros!$H$20:$H$24,0)),TRIM($AD170))</f>
        <v>Mendoza</v>
      </c>
      <c r="J170" s="61" t="str">
        <f aca="false">INDEX(Parametros!$C$95:$C$106,MATCH(TRIM(INDEX(Datos_Origen!$E$2:$E$2459,$Z170)),Parametros!$B$95:$B$106,0))</f>
        <v>Tienda fisica</v>
      </c>
      <c r="K170" s="61" t="str">
        <f aca="false">INDEX(Parametros!$C$48:$C$67,MATCH(TRIM(INDEX(Datos_Origen!$F$2:$F$2459,$Z170)),Parametros!$B$48:$B$67,0))</f>
        <v>Accesorios</v>
      </c>
      <c r="L170" s="61" t="str">
        <f aca="false">$K170&amp;" "&amp;$C170</f>
        <v>Accesorios 2024</v>
      </c>
      <c r="M170" s="61" t="str">
        <f aca="false">TRIM(INDEX(Datos_Origen!$G$2:$G$2459,$Z170))</f>
        <v>Teclado Mecanico</v>
      </c>
      <c r="N170" s="61" t="str">
        <f aca="false">$M170&amp;" "&amp;$C170</f>
        <v>Teclado Mecanico 2024</v>
      </c>
      <c r="O170" s="63" t="n">
        <f aca="false">IF(ISTEXT($AC170),VALUE($AC170),$AC170)</f>
        <v>25</v>
      </c>
      <c r="P170" s="64" t="n">
        <f aca="false">INDEX(Datos_Origen!$I$2:$I$2459,$Z170)</f>
        <v>93.1</v>
      </c>
      <c r="Q170" s="64" t="n">
        <f aca="false">INDEX(Datos_Origen!$J$2:$J$2459,$Z170)</f>
        <v>47.98</v>
      </c>
      <c r="R170" s="65" t="n">
        <f aca="false">ROUND($O170*$P170,2)</f>
        <v>2327.5</v>
      </c>
      <c r="S170" s="65" t="n">
        <f aca="false">ROUND($O170*$Q170,2)</f>
        <v>1199.5</v>
      </c>
      <c r="T170" s="65" t="n">
        <f aca="false">ROUND($R170*SUMIFS(Parametros!$E$28:$E$43,Parametros!$B$28:$B$43,$J170,Parametros!$C$28:$C$43,$C170,Parametros!$D$28:$D$43,$D170),2)</f>
        <v>27.93</v>
      </c>
      <c r="U170" s="65" t="n">
        <f aca="false">$R170-$S170-$T170</f>
        <v>1100.07</v>
      </c>
      <c r="V170" s="66" t="n">
        <f aca="false">IFERROR($U170/$R170,0)</f>
        <v>0.472640171858217</v>
      </c>
      <c r="W170" s="67" t="str">
        <f aca="false">IF(AND($V170&gt;=Parametros!$C$8,$R170&gt;=Parametros!$C$12),"Alta rentabilidad",IF(OR($V170&lt;Parametros!$C$11,$R170&lt;Parametros!$C$13),"Revisar","Estandar"))</f>
        <v>Estandar</v>
      </c>
      <c r="X170" s="67" t="str">
        <f aca="false">IF(AND($J170="E-commerce",IFERROR($T170/$R170,0)&gt;Parametros!$C$14),"Alerta","OK")</f>
        <v>OK</v>
      </c>
      <c r="Y170" s="61" t="str">
        <f aca="false">IF($R170&gt;=Parametros!$C$12,"Alto",IF($R170&lt;Parametros!$C$13,"Bajo","Medio"))</f>
        <v>Medio</v>
      </c>
      <c r="Z170" s="61" t="n">
        <v>316</v>
      </c>
      <c r="AA170" s="61" t="str">
        <f aca="false">IF(MATCH($A170,Datos_Origen!$A$2:$A$2459,0)=$Z170,"OK","REVISAR")</f>
        <v>OK</v>
      </c>
      <c r="AB170" s="61" t="str">
        <f aca="false">INDEX(Datos_Origen!$B$2:$B$2459,$Z170)</f>
        <v>2024-02-23</v>
      </c>
      <c r="AC170" s="61" t="n">
        <f aca="false">INDEX(Datos_Origen!$H$2:$H$2459,$Z170)</f>
        <v>25</v>
      </c>
      <c r="AD170" s="61" t="str">
        <f aca="false">INDEX(Datos_Origen!$D$2:$D$2459,$Z170)&amp;""</f>
        <v>Mendoza</v>
      </c>
    </row>
    <row r="171" customFormat="false" ht="15" hidden="false" customHeight="false" outlineLevel="0" collapsed="false">
      <c r="A171" s="61" t="n">
        <f aca="false">INDEX(Datos_Origen!$A$2:$A$2459,$Z171)</f>
        <v>170</v>
      </c>
      <c r="B171" s="62" t="n">
        <f aca="false">IF(ISNUMBER($AB171),$AB171,IF(MID($AB171,5,1)="-",DATE(VALUE(LEFT($AB171,4)),VALUE(MID($AB171,6,2)),VALUE(RIGHT($AB171,2))),DATE(VALUE(RIGHT($AB171,4)),VALUE(MID($AB171,4,2)),VALUE(LEFT($AB171,2)))))</f>
        <v>45325</v>
      </c>
      <c r="C171" s="61" t="n">
        <f aca="false">YEAR($B171)</f>
        <v>2024</v>
      </c>
      <c r="D171" s="61" t="str">
        <f aca="false">"Q"&amp;ROUNDUP(MONTH($B171)/3,0)</f>
        <v>Q1</v>
      </c>
      <c r="E171" s="61" t="n">
        <f aca="false">MONTH($B171)</f>
        <v>2</v>
      </c>
      <c r="F171" s="61" t="str">
        <f aca="false">INDEX(Parametros!$I$5:$I$16,$E171)</f>
        <v>Feb</v>
      </c>
      <c r="G171" s="61" t="str">
        <f aca="false">TEXT($C171,"0000")&amp;"-"&amp;TEXT($E171,"00")</f>
        <v>2024-02</v>
      </c>
      <c r="H171" s="61" t="str">
        <f aca="false">INDEX(Parametros!$C$71:$C$91,MATCH(TRIM(INDEX(Datos_Origen!$C$2:$C$2459,$Z171)),Parametros!$B$71:$B$91,0))</f>
        <v>Cuyo</v>
      </c>
      <c r="I171" s="61" t="str">
        <f aca="false">IF(TRIM($AD171)="",INDEX(Parametros!$I$20:$I$24,MATCH($H171,Parametros!$H$20:$H$24,0)),TRIM($AD171))</f>
        <v>Mendoza</v>
      </c>
      <c r="J171" s="61" t="str">
        <f aca="false">INDEX(Parametros!$C$95:$C$106,MATCH(TRIM(INDEX(Datos_Origen!$E$2:$E$2459,$Z171)),Parametros!$B$95:$B$106,0))</f>
        <v>E-commerce</v>
      </c>
      <c r="K171" s="61" t="str">
        <f aca="false">INDEX(Parametros!$C$48:$C$67,MATCH(TRIM(INDEX(Datos_Origen!$F$2:$F$2459,$Z171)),Parametros!$B$48:$B$67,0))</f>
        <v>Accesorios</v>
      </c>
      <c r="L171" s="61" t="str">
        <f aca="false">$K171&amp;" "&amp;$C171</f>
        <v>Accesorios 2024</v>
      </c>
      <c r="M171" s="61" t="str">
        <f aca="false">TRIM(INDEX(Datos_Origen!$G$2:$G$2459,$Z171))</f>
        <v>Teclado Mecanico</v>
      </c>
      <c r="N171" s="61" t="str">
        <f aca="false">$M171&amp;" "&amp;$C171</f>
        <v>Teclado Mecanico 2024</v>
      </c>
      <c r="O171" s="63" t="n">
        <f aca="false">IF(ISTEXT($AC171),VALUE($AC171),$AC171)</f>
        <v>10</v>
      </c>
      <c r="P171" s="64" t="n">
        <f aca="false">INDEX(Datos_Origen!$I$2:$I$2459,$Z171)</f>
        <v>93.1</v>
      </c>
      <c r="Q171" s="64" t="n">
        <f aca="false">INDEX(Datos_Origen!$J$2:$J$2459,$Z171)</f>
        <v>47.98</v>
      </c>
      <c r="R171" s="65" t="n">
        <f aca="false">ROUND($O171*$P171,2)</f>
        <v>931</v>
      </c>
      <c r="S171" s="65" t="n">
        <f aca="false">ROUND($O171*$Q171,2)</f>
        <v>479.8</v>
      </c>
      <c r="T171" s="65" t="n">
        <f aca="false">ROUND($R171*SUMIFS(Parametros!$E$28:$E$43,Parametros!$B$28:$B$43,$J171,Parametros!$C$28:$C$43,$C171,Parametros!$D$28:$D$43,$D171),2)</f>
        <v>39.1</v>
      </c>
      <c r="U171" s="65" t="n">
        <f aca="false">$R171-$S171-$T171</f>
        <v>412.1</v>
      </c>
      <c r="V171" s="66" t="n">
        <f aca="false">IFERROR($U171/$R171,0)</f>
        <v>0.442642320085929</v>
      </c>
      <c r="W171" s="67" t="str">
        <f aca="false">IF(AND($V171&gt;=Parametros!$C$8,$R171&gt;=Parametros!$C$12),"Alta rentabilidad",IF(OR($V171&lt;Parametros!$C$11,$R171&lt;Parametros!$C$13),"Revisar","Estandar"))</f>
        <v>Estandar</v>
      </c>
      <c r="X171" s="67" t="str">
        <f aca="false">IF(AND($J171="E-commerce",IFERROR($T171/$R171,0)&gt;Parametros!$C$14),"Alerta","OK")</f>
        <v>OK</v>
      </c>
      <c r="Y171" s="61" t="str">
        <f aca="false">IF($R171&gt;=Parametros!$C$12,"Alto",IF($R171&lt;Parametros!$C$13,"Bajo","Medio"))</f>
        <v>Medio</v>
      </c>
      <c r="Z171" s="61" t="n">
        <v>2226</v>
      </c>
      <c r="AA171" s="61" t="str">
        <f aca="false">IF(MATCH($A171,Datos_Origen!$A$2:$A$2459,0)=$Z171,"OK","REVISAR")</f>
        <v>OK</v>
      </c>
      <c r="AB171" s="61" t="str">
        <f aca="false">INDEX(Datos_Origen!$B$2:$B$2459,$Z171)</f>
        <v>2024-02-03</v>
      </c>
      <c r="AC171" s="61" t="n">
        <f aca="false">INDEX(Datos_Origen!$H$2:$H$2459,$Z171)</f>
        <v>10</v>
      </c>
      <c r="AD171" s="61" t="str">
        <f aca="false">INDEX(Datos_Origen!$D$2:$D$2459,$Z171)&amp;""</f>
        <v>Mendoza</v>
      </c>
    </row>
    <row r="172" customFormat="false" ht="15" hidden="false" customHeight="false" outlineLevel="0" collapsed="false">
      <c r="A172" s="61" t="n">
        <f aca="false">INDEX(Datos_Origen!$A$2:$A$2459,$Z172)</f>
        <v>171</v>
      </c>
      <c r="B172" s="62" t="n">
        <f aca="false">IF(ISNUMBER($AB172),$AB172,IF(MID($AB172,5,1)="-",DATE(VALUE(LEFT($AB172,4)),VALUE(MID($AB172,6,2)),VALUE(RIGHT($AB172,2))),DATE(VALUE(RIGHT($AB172,4)),VALUE(MID($AB172,4,2)),VALUE(LEFT($AB172,2)))))</f>
        <v>45332</v>
      </c>
      <c r="C172" s="61" t="n">
        <f aca="false">YEAR($B172)</f>
        <v>2024</v>
      </c>
      <c r="D172" s="61" t="str">
        <f aca="false">"Q"&amp;ROUNDUP(MONTH($B172)/3,0)</f>
        <v>Q1</v>
      </c>
      <c r="E172" s="61" t="n">
        <f aca="false">MONTH($B172)</f>
        <v>2</v>
      </c>
      <c r="F172" s="61" t="str">
        <f aca="false">INDEX(Parametros!$I$5:$I$16,$E172)</f>
        <v>Feb</v>
      </c>
      <c r="G172" s="61" t="str">
        <f aca="false">TEXT($C172,"0000")&amp;"-"&amp;TEXT($E172,"00")</f>
        <v>2024-02</v>
      </c>
      <c r="H172" s="61" t="str">
        <f aca="false">INDEX(Parametros!$C$71:$C$91,MATCH(TRIM(INDEX(Datos_Origen!$C$2:$C$2459,$Z172)),Parametros!$B$71:$B$91,0))</f>
        <v>Cuyo</v>
      </c>
      <c r="I172" s="61" t="str">
        <f aca="false">IF(TRIM($AD172)="",INDEX(Parametros!$I$20:$I$24,MATCH($H172,Parametros!$H$20:$H$24,0)),TRIM($AD172))</f>
        <v>Mendoza</v>
      </c>
      <c r="J172" s="61" t="str">
        <f aca="false">INDEX(Parametros!$C$95:$C$106,MATCH(TRIM(INDEX(Datos_Origen!$E$2:$E$2459,$Z172)),Parametros!$B$95:$B$106,0))</f>
        <v>Tienda fisica</v>
      </c>
      <c r="K172" s="61" t="str">
        <f aca="false">INDEX(Parametros!$C$48:$C$67,MATCH(TRIM(INDEX(Datos_Origen!$F$2:$F$2459,$Z172)),Parametros!$B$48:$B$67,0))</f>
        <v>Accesorios</v>
      </c>
      <c r="L172" s="61" t="str">
        <f aca="false">$K172&amp;" "&amp;$C172</f>
        <v>Accesorios 2024</v>
      </c>
      <c r="M172" s="61" t="str">
        <f aca="false">TRIM(INDEX(Datos_Origen!$G$2:$G$2459,$Z172))</f>
        <v>Webcam Full HD</v>
      </c>
      <c r="N172" s="61" t="str">
        <f aca="false">$M172&amp;" "&amp;$C172</f>
        <v>Webcam Full HD 2024</v>
      </c>
      <c r="O172" s="63" t="n">
        <f aca="false">IF(ISTEXT($AC172),VALUE($AC172),$AC172)</f>
        <v>28</v>
      </c>
      <c r="P172" s="64" t="n">
        <f aca="false">INDEX(Datos_Origen!$I$2:$I$2459,$Z172)</f>
        <v>63.7</v>
      </c>
      <c r="Q172" s="64" t="n">
        <f aca="false">INDEX(Datos_Origen!$J$2:$J$2459,$Z172)</f>
        <v>35.43</v>
      </c>
      <c r="R172" s="65" t="n">
        <f aca="false">ROUND($O172*$P172,2)</f>
        <v>1783.6</v>
      </c>
      <c r="S172" s="65" t="n">
        <f aca="false">ROUND($O172*$Q172,2)</f>
        <v>992.04</v>
      </c>
      <c r="T172" s="65" t="n">
        <f aca="false">ROUND($R172*SUMIFS(Parametros!$E$28:$E$43,Parametros!$B$28:$B$43,$J172,Parametros!$C$28:$C$43,$C172,Parametros!$D$28:$D$43,$D172),2)</f>
        <v>21.4</v>
      </c>
      <c r="U172" s="65" t="n">
        <f aca="false">$R172-$S172-$T172</f>
        <v>770.16</v>
      </c>
      <c r="V172" s="66" t="n">
        <f aca="false">IFERROR($U172/$R172,0)</f>
        <v>0.431800852209016</v>
      </c>
      <c r="W172" s="67" t="str">
        <f aca="false">IF(AND($V172&gt;=Parametros!$C$8,$R172&gt;=Parametros!$C$12),"Alta rentabilidad",IF(OR($V172&lt;Parametros!$C$11,$R172&lt;Parametros!$C$13),"Revisar","Estandar"))</f>
        <v>Estandar</v>
      </c>
      <c r="X172" s="67" t="str">
        <f aca="false">IF(AND($J172="E-commerce",IFERROR($T172/$R172,0)&gt;Parametros!$C$14),"Alerta","OK")</f>
        <v>OK</v>
      </c>
      <c r="Y172" s="61" t="str">
        <f aca="false">IF($R172&gt;=Parametros!$C$12,"Alto",IF($R172&lt;Parametros!$C$13,"Bajo","Medio"))</f>
        <v>Medio</v>
      </c>
      <c r="Z172" s="61" t="n">
        <v>2229</v>
      </c>
      <c r="AA172" s="61" t="str">
        <f aca="false">IF(MATCH($A172,Datos_Origen!$A$2:$A$2459,0)=$Z172,"OK","REVISAR")</f>
        <v>OK</v>
      </c>
      <c r="AB172" s="61" t="str">
        <f aca="false">INDEX(Datos_Origen!$B$2:$B$2459,$Z172)</f>
        <v>10/02/2024</v>
      </c>
      <c r="AC172" s="61" t="n">
        <f aca="false">INDEX(Datos_Origen!$H$2:$H$2459,$Z172)</f>
        <v>28</v>
      </c>
      <c r="AD172" s="61" t="str">
        <f aca="false">INDEX(Datos_Origen!$D$2:$D$2459,$Z172)&amp;""</f>
        <v>Mendoza</v>
      </c>
    </row>
    <row r="173" customFormat="false" ht="15" hidden="false" customHeight="false" outlineLevel="0" collapsed="false">
      <c r="A173" s="61" t="n">
        <f aca="false">INDEX(Datos_Origen!$A$2:$A$2459,$Z173)</f>
        <v>172</v>
      </c>
      <c r="B173" s="62" t="n">
        <f aca="false">IF(ISNUMBER($AB173),$AB173,IF(MID($AB173,5,1)="-",DATE(VALUE(LEFT($AB173,4)),VALUE(MID($AB173,6,2)),VALUE(RIGHT($AB173,2))),DATE(VALUE(RIGHT($AB173,4)),VALUE(MID($AB173,4,2)),VALUE(LEFT($AB173,2)))))</f>
        <v>45339</v>
      </c>
      <c r="C173" s="61" t="n">
        <f aca="false">YEAR($B173)</f>
        <v>2024</v>
      </c>
      <c r="D173" s="61" t="str">
        <f aca="false">"Q"&amp;ROUNDUP(MONTH($B173)/3,0)</f>
        <v>Q1</v>
      </c>
      <c r="E173" s="61" t="n">
        <f aca="false">MONTH($B173)</f>
        <v>2</v>
      </c>
      <c r="F173" s="61" t="str">
        <f aca="false">INDEX(Parametros!$I$5:$I$16,$E173)</f>
        <v>Feb</v>
      </c>
      <c r="G173" s="61" t="str">
        <f aca="false">TEXT($C173,"0000")&amp;"-"&amp;TEXT($E173,"00")</f>
        <v>2024-02</v>
      </c>
      <c r="H173" s="61" t="str">
        <f aca="false">INDEX(Parametros!$C$71:$C$91,MATCH(TRIM(INDEX(Datos_Origen!$C$2:$C$2459,$Z173)),Parametros!$B$71:$B$91,0))</f>
        <v>Cuyo</v>
      </c>
      <c r="I173" s="61" t="str">
        <f aca="false">IF(TRIM($AD173)="",INDEX(Parametros!$I$20:$I$24,MATCH($H173,Parametros!$H$20:$H$24,0)),TRIM($AD173))</f>
        <v>Mendoza</v>
      </c>
      <c r="J173" s="61" t="str">
        <f aca="false">INDEX(Parametros!$C$95:$C$106,MATCH(TRIM(INDEX(Datos_Origen!$E$2:$E$2459,$Z173)),Parametros!$B$95:$B$106,0))</f>
        <v>E-commerce</v>
      </c>
      <c r="K173" s="61" t="str">
        <f aca="false">INDEX(Parametros!$C$48:$C$67,MATCH(TRIM(INDEX(Datos_Origen!$F$2:$F$2459,$Z173)),Parametros!$B$48:$B$67,0))</f>
        <v>Accesorios</v>
      </c>
      <c r="L173" s="61" t="str">
        <f aca="false">$K173&amp;" "&amp;$C173</f>
        <v>Accesorios 2024</v>
      </c>
      <c r="M173" s="61" t="str">
        <f aca="false">TRIM(INDEX(Datos_Origen!$G$2:$G$2459,$Z173))</f>
        <v>Webcam Full HD</v>
      </c>
      <c r="N173" s="61" t="str">
        <f aca="false">$M173&amp;" "&amp;$C173</f>
        <v>Webcam Full HD 2024</v>
      </c>
      <c r="O173" s="63" t="n">
        <f aca="false">IF(ISTEXT($AC173),VALUE($AC173),$AC173)</f>
        <v>10</v>
      </c>
      <c r="P173" s="64" t="n">
        <f aca="false">INDEX(Datos_Origen!$I$2:$I$2459,$Z173)</f>
        <v>63.7</v>
      </c>
      <c r="Q173" s="64" t="n">
        <f aca="false">INDEX(Datos_Origen!$J$2:$J$2459,$Z173)</f>
        <v>35.43</v>
      </c>
      <c r="R173" s="65" t="n">
        <f aca="false">ROUND($O173*$P173,2)</f>
        <v>637</v>
      </c>
      <c r="S173" s="65" t="n">
        <f aca="false">ROUND($O173*$Q173,2)</f>
        <v>354.3</v>
      </c>
      <c r="T173" s="65" t="n">
        <f aca="false">ROUND($R173*SUMIFS(Parametros!$E$28:$E$43,Parametros!$B$28:$B$43,$J173,Parametros!$C$28:$C$43,$C173,Parametros!$D$28:$D$43,$D173),2)</f>
        <v>26.75</v>
      </c>
      <c r="U173" s="65" t="n">
        <f aca="false">$R173-$S173-$T173</f>
        <v>255.95</v>
      </c>
      <c r="V173" s="66" t="n">
        <f aca="false">IFERROR($U173/$R173,0)</f>
        <v>0.401805337519623</v>
      </c>
      <c r="W173" s="67" t="str">
        <f aca="false">IF(AND($V173&gt;=Parametros!$C$8,$R173&gt;=Parametros!$C$12),"Alta rentabilidad",IF(OR($V173&lt;Parametros!$C$11,$R173&lt;Parametros!$C$13),"Revisar","Estandar"))</f>
        <v>Estandar</v>
      </c>
      <c r="X173" s="67" t="str">
        <f aca="false">IF(AND($J173="E-commerce",IFERROR($T173/$R173,0)&gt;Parametros!$C$14),"Alerta","OK")</f>
        <v>OK</v>
      </c>
      <c r="Y173" s="61" t="str">
        <f aca="false">IF($R173&gt;=Parametros!$C$12,"Alto",IF($R173&lt;Parametros!$C$13,"Bajo","Medio"))</f>
        <v>Medio</v>
      </c>
      <c r="Z173" s="61" t="n">
        <v>606</v>
      </c>
      <c r="AA173" s="61" t="str">
        <f aca="false">IF(MATCH($A173,Datos_Origen!$A$2:$A$2459,0)=$Z173,"OK","REVISAR")</f>
        <v>OK</v>
      </c>
      <c r="AB173" s="61" t="str">
        <f aca="false">INDEX(Datos_Origen!$B$2:$B$2459,$Z173)</f>
        <v>17/02/2024</v>
      </c>
      <c r="AC173" s="61" t="n">
        <f aca="false">INDEX(Datos_Origen!$H$2:$H$2459,$Z173)</f>
        <v>10</v>
      </c>
      <c r="AD173" s="61" t="str">
        <f aca="false">INDEX(Datos_Origen!$D$2:$D$2459,$Z173)&amp;""</f>
        <v>Mendoza</v>
      </c>
    </row>
    <row r="174" customFormat="false" ht="15" hidden="false" customHeight="false" outlineLevel="0" collapsed="false">
      <c r="A174" s="61" t="n">
        <f aca="false">INDEX(Datos_Origen!$A$2:$A$2459,$Z174)</f>
        <v>173</v>
      </c>
      <c r="B174" s="62" t="n">
        <f aca="false">IF(ISNUMBER($AB174),$AB174,IF(MID($AB174,5,1)="-",DATE(VALUE(LEFT($AB174,4)),VALUE(MID($AB174,6,2)),VALUE(RIGHT($AB174,2))),DATE(VALUE(RIGHT($AB174,4)),VALUE(MID($AB174,4,2)),VALUE(LEFT($AB174,2)))))</f>
        <v>45346</v>
      </c>
      <c r="C174" s="61" t="n">
        <f aca="false">YEAR($B174)</f>
        <v>2024</v>
      </c>
      <c r="D174" s="61" t="str">
        <f aca="false">"Q"&amp;ROUNDUP(MONTH($B174)/3,0)</f>
        <v>Q1</v>
      </c>
      <c r="E174" s="61" t="n">
        <f aca="false">MONTH($B174)</f>
        <v>2</v>
      </c>
      <c r="F174" s="61" t="str">
        <f aca="false">INDEX(Parametros!$I$5:$I$16,$E174)</f>
        <v>Feb</v>
      </c>
      <c r="G174" s="61" t="str">
        <f aca="false">TEXT($C174,"0000")&amp;"-"&amp;TEXT($E174,"00")</f>
        <v>2024-02</v>
      </c>
      <c r="H174" s="61" t="str">
        <f aca="false">INDEX(Parametros!$C$71:$C$91,MATCH(TRIM(INDEX(Datos_Origen!$C$2:$C$2459,$Z174)),Parametros!$B$71:$B$91,0))</f>
        <v>Cuyo</v>
      </c>
      <c r="I174" s="61" t="str">
        <f aca="false">IF(TRIM($AD174)="",INDEX(Parametros!$I$20:$I$24,MATCH($H174,Parametros!$H$20:$H$24,0)),TRIM($AD174))</f>
        <v>Mendoza</v>
      </c>
      <c r="J174" s="61" t="str">
        <f aca="false">INDEX(Parametros!$C$95:$C$106,MATCH(TRIM(INDEX(Datos_Origen!$E$2:$E$2459,$Z174)),Parametros!$B$95:$B$106,0))</f>
        <v>Tienda fisica</v>
      </c>
      <c r="K174" s="61" t="str">
        <f aca="false">INDEX(Parametros!$C$48:$C$67,MATCH(TRIM(INDEX(Datos_Origen!$F$2:$F$2459,$Z174)),Parametros!$B$48:$B$67,0))</f>
        <v>Audio</v>
      </c>
      <c r="L174" s="61" t="str">
        <f aca="false">$K174&amp;" "&amp;$C174</f>
        <v>Audio 2024</v>
      </c>
      <c r="M174" s="61" t="str">
        <f aca="false">TRIM(INDEX(Datos_Origen!$G$2:$G$2459,$Z174))</f>
        <v>Auriculares BT Pro</v>
      </c>
      <c r="N174" s="61" t="str">
        <f aca="false">$M174&amp;" "&amp;$C174</f>
        <v>Auriculares BT Pro 2024</v>
      </c>
      <c r="O174" s="63" t="n">
        <f aca="false">IF(ISTEXT($AC174),VALUE($AC174),$AC174)</f>
        <v>12</v>
      </c>
      <c r="P174" s="64" t="n">
        <f aca="false">INDEX(Datos_Origen!$I$2:$I$2459,$Z174)</f>
        <v>117.6</v>
      </c>
      <c r="Q174" s="64" t="n">
        <f aca="false">INDEX(Datos_Origen!$J$2:$J$2459,$Z174)</f>
        <v>63.6</v>
      </c>
      <c r="R174" s="65" t="n">
        <f aca="false">ROUND($O174*$P174,2)</f>
        <v>1411.2</v>
      </c>
      <c r="S174" s="65" t="n">
        <f aca="false">ROUND($O174*$Q174,2)</f>
        <v>763.2</v>
      </c>
      <c r="T174" s="65" t="n">
        <f aca="false">ROUND($R174*SUMIFS(Parametros!$E$28:$E$43,Parametros!$B$28:$B$43,$J174,Parametros!$C$28:$C$43,$C174,Parametros!$D$28:$D$43,$D174),2)</f>
        <v>16.93</v>
      </c>
      <c r="U174" s="65" t="n">
        <f aca="false">$R174-$S174-$T174</f>
        <v>631.07</v>
      </c>
      <c r="V174" s="66" t="n">
        <f aca="false">IFERROR($U174/$R174,0)</f>
        <v>0.44718679138322</v>
      </c>
      <c r="W174" s="67" t="str">
        <f aca="false">IF(AND($V174&gt;=Parametros!$C$8,$R174&gt;=Parametros!$C$12),"Alta rentabilidad",IF(OR($V174&lt;Parametros!$C$11,$R174&lt;Parametros!$C$13),"Revisar","Estandar"))</f>
        <v>Estandar</v>
      </c>
      <c r="X174" s="67" t="str">
        <f aca="false">IF(AND($J174="E-commerce",IFERROR($T174/$R174,0)&gt;Parametros!$C$14),"Alerta","OK")</f>
        <v>OK</v>
      </c>
      <c r="Y174" s="61" t="str">
        <f aca="false">IF($R174&gt;=Parametros!$C$12,"Alto",IF($R174&lt;Parametros!$C$13,"Bajo","Medio"))</f>
        <v>Medio</v>
      </c>
      <c r="Z174" s="61" t="n">
        <v>2075</v>
      </c>
      <c r="AA174" s="61" t="str">
        <f aca="false">IF(MATCH($A174,Datos_Origen!$A$2:$A$2459,0)=$Z174,"OK","REVISAR")</f>
        <v>OK</v>
      </c>
      <c r="AB174" s="62" t="n">
        <f aca="false">INDEX(Datos_Origen!$B$2:$B$2459,$Z174)</f>
        <v>45346</v>
      </c>
      <c r="AC174" s="61" t="str">
        <f aca="false">INDEX(Datos_Origen!$H$2:$H$2459,$Z174)</f>
        <v>12</v>
      </c>
      <c r="AD174" s="61" t="str">
        <f aca="false">INDEX(Datos_Origen!$D$2:$D$2459,$Z174)&amp;""</f>
        <v>Mendoza</v>
      </c>
    </row>
    <row r="175" customFormat="false" ht="15" hidden="false" customHeight="false" outlineLevel="0" collapsed="false">
      <c r="A175" s="61" t="n">
        <f aca="false">INDEX(Datos_Origen!$A$2:$A$2459,$Z175)</f>
        <v>174</v>
      </c>
      <c r="B175" s="62" t="n">
        <f aca="false">IF(ISNUMBER($AB175),$AB175,IF(MID($AB175,5,1)="-",DATE(VALUE(LEFT($AB175,4)),VALUE(MID($AB175,6,2)),VALUE(RIGHT($AB175,2))),DATE(VALUE(RIGHT($AB175,4)),VALUE(MID($AB175,4,2)),VALUE(LEFT($AB175,2)))))</f>
        <v>45326</v>
      </c>
      <c r="C175" s="61" t="n">
        <f aca="false">YEAR($B175)</f>
        <v>2024</v>
      </c>
      <c r="D175" s="61" t="str">
        <f aca="false">"Q"&amp;ROUNDUP(MONTH($B175)/3,0)</f>
        <v>Q1</v>
      </c>
      <c r="E175" s="61" t="n">
        <f aca="false">MONTH($B175)</f>
        <v>2</v>
      </c>
      <c r="F175" s="61" t="str">
        <f aca="false">INDEX(Parametros!$I$5:$I$16,$E175)</f>
        <v>Feb</v>
      </c>
      <c r="G175" s="61" t="str">
        <f aca="false">TEXT($C175,"0000")&amp;"-"&amp;TEXT($E175,"00")</f>
        <v>2024-02</v>
      </c>
      <c r="H175" s="61" t="str">
        <f aca="false">INDEX(Parametros!$C$71:$C$91,MATCH(TRIM(INDEX(Datos_Origen!$C$2:$C$2459,$Z175)),Parametros!$B$71:$B$91,0))</f>
        <v>Cuyo</v>
      </c>
      <c r="I175" s="61" t="str">
        <f aca="false">IF(TRIM($AD175)="",INDEX(Parametros!$I$20:$I$24,MATCH($H175,Parametros!$H$20:$H$24,0)),TRIM($AD175))</f>
        <v>Mendoza</v>
      </c>
      <c r="J175" s="61" t="str">
        <f aca="false">INDEX(Parametros!$C$95:$C$106,MATCH(TRIM(INDEX(Datos_Origen!$E$2:$E$2459,$Z175)),Parametros!$B$95:$B$106,0))</f>
        <v>E-commerce</v>
      </c>
      <c r="K175" s="61" t="str">
        <f aca="false">INDEX(Parametros!$C$48:$C$67,MATCH(TRIM(INDEX(Datos_Origen!$F$2:$F$2459,$Z175)),Parametros!$B$48:$B$67,0))</f>
        <v>Audio</v>
      </c>
      <c r="L175" s="61" t="str">
        <f aca="false">$K175&amp;" "&amp;$C175</f>
        <v>Audio 2024</v>
      </c>
      <c r="M175" s="61" t="str">
        <f aca="false">TRIM(INDEX(Datos_Origen!$G$2:$G$2459,$Z175))</f>
        <v>Auriculares BT Pro</v>
      </c>
      <c r="N175" s="61" t="str">
        <f aca="false">$M175&amp;" "&amp;$C175</f>
        <v>Auriculares BT Pro 2024</v>
      </c>
      <c r="O175" s="63" t="n">
        <f aca="false">IF(ISTEXT($AC175),VALUE($AC175),$AC175)</f>
        <v>4</v>
      </c>
      <c r="P175" s="64" t="n">
        <f aca="false">INDEX(Datos_Origen!$I$2:$I$2459,$Z175)</f>
        <v>117.6</v>
      </c>
      <c r="Q175" s="64" t="n">
        <f aca="false">INDEX(Datos_Origen!$J$2:$J$2459,$Z175)</f>
        <v>63.6</v>
      </c>
      <c r="R175" s="65" t="n">
        <f aca="false">ROUND($O175*$P175,2)</f>
        <v>470.4</v>
      </c>
      <c r="S175" s="65" t="n">
        <f aca="false">ROUND($O175*$Q175,2)</f>
        <v>254.4</v>
      </c>
      <c r="T175" s="65" t="n">
        <f aca="false">ROUND($R175*SUMIFS(Parametros!$E$28:$E$43,Parametros!$B$28:$B$43,$J175,Parametros!$C$28:$C$43,$C175,Parametros!$D$28:$D$43,$D175),2)</f>
        <v>19.76</v>
      </c>
      <c r="U175" s="65" t="n">
        <f aca="false">$R175-$S175-$T175</f>
        <v>196.24</v>
      </c>
      <c r="V175" s="66" t="n">
        <f aca="false">IFERROR($U175/$R175,0)</f>
        <v>0.417176870748299</v>
      </c>
      <c r="W175" s="67" t="str">
        <f aca="false">IF(AND($V175&gt;=Parametros!$C$8,$R175&gt;=Parametros!$C$12),"Alta rentabilidad",IF(OR($V175&lt;Parametros!$C$11,$R175&lt;Parametros!$C$13),"Revisar","Estandar"))</f>
        <v>Estandar</v>
      </c>
      <c r="X175" s="67" t="str">
        <f aca="false">IF(AND($J175="E-commerce",IFERROR($T175/$R175,0)&gt;Parametros!$C$14),"Alerta","OK")</f>
        <v>OK</v>
      </c>
      <c r="Y175" s="61" t="str">
        <f aca="false">IF($R175&gt;=Parametros!$C$12,"Alto",IF($R175&lt;Parametros!$C$13,"Bajo","Medio"))</f>
        <v>Medio</v>
      </c>
      <c r="Z175" s="61" t="n">
        <v>1721</v>
      </c>
      <c r="AA175" s="61" t="str">
        <f aca="false">IF(MATCH($A175,Datos_Origen!$A$2:$A$2459,0)=$Z175,"OK","REVISAR")</f>
        <v>OK</v>
      </c>
      <c r="AB175" s="62" t="n">
        <f aca="false">INDEX(Datos_Origen!$B$2:$B$2459,$Z175)</f>
        <v>45326</v>
      </c>
      <c r="AC175" s="61" t="n">
        <f aca="false">INDEX(Datos_Origen!$H$2:$H$2459,$Z175)</f>
        <v>4</v>
      </c>
      <c r="AD175" s="61" t="str">
        <f aca="false">INDEX(Datos_Origen!$D$2:$D$2459,$Z175)&amp;""</f>
        <v>Mendoza</v>
      </c>
    </row>
    <row r="176" customFormat="false" ht="15" hidden="false" customHeight="false" outlineLevel="0" collapsed="false">
      <c r="A176" s="61" t="n">
        <f aca="false">INDEX(Datos_Origen!$A$2:$A$2459,$Z176)</f>
        <v>175</v>
      </c>
      <c r="B176" s="62" t="n">
        <f aca="false">IF(ISNUMBER($AB176),$AB176,IF(MID($AB176,5,1)="-",DATE(VALUE(LEFT($AB176,4)),VALUE(MID($AB176,6,2)),VALUE(RIGHT($AB176,2))),DATE(VALUE(RIGHT($AB176,4)),VALUE(MID($AB176,4,2)),VALUE(LEFT($AB176,2)))))</f>
        <v>45333</v>
      </c>
      <c r="C176" s="61" t="n">
        <f aca="false">YEAR($B176)</f>
        <v>2024</v>
      </c>
      <c r="D176" s="61" t="str">
        <f aca="false">"Q"&amp;ROUNDUP(MONTH($B176)/3,0)</f>
        <v>Q1</v>
      </c>
      <c r="E176" s="61" t="n">
        <f aca="false">MONTH($B176)</f>
        <v>2</v>
      </c>
      <c r="F176" s="61" t="str">
        <f aca="false">INDEX(Parametros!$I$5:$I$16,$E176)</f>
        <v>Feb</v>
      </c>
      <c r="G176" s="61" t="str">
        <f aca="false">TEXT($C176,"0000")&amp;"-"&amp;TEXT($E176,"00")</f>
        <v>2024-02</v>
      </c>
      <c r="H176" s="61" t="str">
        <f aca="false">INDEX(Parametros!$C$71:$C$91,MATCH(TRIM(INDEX(Datos_Origen!$C$2:$C$2459,$Z176)),Parametros!$B$71:$B$91,0))</f>
        <v>Cuyo</v>
      </c>
      <c r="I176" s="61" t="str">
        <f aca="false">IF(TRIM($AD176)="",INDEX(Parametros!$I$20:$I$24,MATCH($H176,Parametros!$H$20:$H$24,0)),TRIM($AD176))</f>
        <v>Mendoza</v>
      </c>
      <c r="J176" s="61" t="str">
        <f aca="false">INDEX(Parametros!$C$95:$C$106,MATCH(TRIM(INDEX(Datos_Origen!$E$2:$E$2459,$Z176)),Parametros!$B$95:$B$106,0))</f>
        <v>Tienda fisica</v>
      </c>
      <c r="K176" s="61" t="str">
        <f aca="false">INDEX(Parametros!$C$48:$C$67,MATCH(TRIM(INDEX(Datos_Origen!$F$2:$F$2459,$Z176)),Parametros!$B$48:$B$67,0))</f>
        <v>Audio</v>
      </c>
      <c r="L176" s="61" t="str">
        <f aca="false">$K176&amp;" "&amp;$C176</f>
        <v>Audio 2024</v>
      </c>
      <c r="M176" s="61" t="str">
        <f aca="false">TRIM(INDEX(Datos_Origen!$G$2:$G$2459,$Z176))</f>
        <v>Parlante Bluetooth</v>
      </c>
      <c r="N176" s="61" t="str">
        <f aca="false">$M176&amp;" "&amp;$C176</f>
        <v>Parlante Bluetooth 2024</v>
      </c>
      <c r="O176" s="63" t="n">
        <f aca="false">IF(ISTEXT($AC176),VALUE($AC176),$AC176)</f>
        <v>12</v>
      </c>
      <c r="P176" s="64" t="n">
        <f aca="false">INDEX(Datos_Origen!$I$2:$I$2459,$Z176)</f>
        <v>83.3</v>
      </c>
      <c r="Q176" s="64" t="n">
        <f aca="false">INDEX(Datos_Origen!$J$2:$J$2459,$Z176)</f>
        <v>48.03</v>
      </c>
      <c r="R176" s="65" t="n">
        <f aca="false">ROUND($O176*$P176,2)</f>
        <v>999.6</v>
      </c>
      <c r="S176" s="65" t="n">
        <f aca="false">ROUND($O176*$Q176,2)</f>
        <v>576.36</v>
      </c>
      <c r="T176" s="65" t="n">
        <f aca="false">ROUND($R176*SUMIFS(Parametros!$E$28:$E$43,Parametros!$B$28:$B$43,$J176,Parametros!$C$28:$C$43,$C176,Parametros!$D$28:$D$43,$D176),2)</f>
        <v>12</v>
      </c>
      <c r="U176" s="65" t="n">
        <f aca="false">$R176-$S176-$T176</f>
        <v>411.24</v>
      </c>
      <c r="V176" s="66" t="n">
        <f aca="false">IFERROR($U176/$R176,0)</f>
        <v>0.41140456182473</v>
      </c>
      <c r="W176" s="67" t="str">
        <f aca="false">IF(AND($V176&gt;=Parametros!$C$8,$R176&gt;=Parametros!$C$12),"Alta rentabilidad",IF(OR($V176&lt;Parametros!$C$11,$R176&lt;Parametros!$C$13),"Revisar","Estandar"))</f>
        <v>Estandar</v>
      </c>
      <c r="X176" s="67" t="str">
        <f aca="false">IF(AND($J176="E-commerce",IFERROR($T176/$R176,0)&gt;Parametros!$C$14),"Alerta","OK")</f>
        <v>OK</v>
      </c>
      <c r="Y176" s="61" t="str">
        <f aca="false">IF($R176&gt;=Parametros!$C$12,"Alto",IF($R176&lt;Parametros!$C$13,"Bajo","Medio"))</f>
        <v>Medio</v>
      </c>
      <c r="Z176" s="61" t="n">
        <v>1459</v>
      </c>
      <c r="AA176" s="61" t="str">
        <f aca="false">IF(MATCH($A176,Datos_Origen!$A$2:$A$2459,0)=$Z176,"OK","REVISAR")</f>
        <v>OK</v>
      </c>
      <c r="AB176" s="62" t="n">
        <f aca="false">INDEX(Datos_Origen!$B$2:$B$2459,$Z176)</f>
        <v>45333</v>
      </c>
      <c r="AC176" s="61" t="n">
        <f aca="false">INDEX(Datos_Origen!$H$2:$H$2459,$Z176)</f>
        <v>12</v>
      </c>
      <c r="AD176" s="61" t="str">
        <f aca="false">INDEX(Datos_Origen!$D$2:$D$2459,$Z176)&amp;""</f>
        <v>Mendoza</v>
      </c>
    </row>
    <row r="177" customFormat="false" ht="15" hidden="false" customHeight="false" outlineLevel="0" collapsed="false">
      <c r="A177" s="61" t="n">
        <f aca="false">INDEX(Datos_Origen!$A$2:$A$2459,$Z177)</f>
        <v>176</v>
      </c>
      <c r="B177" s="62" t="n">
        <f aca="false">IF(ISNUMBER($AB177),$AB177,IF(MID($AB177,5,1)="-",DATE(VALUE(LEFT($AB177,4)),VALUE(MID($AB177,6,2)),VALUE(RIGHT($AB177,2))),DATE(VALUE(RIGHT($AB177,4)),VALUE(MID($AB177,4,2)),VALUE(LEFT($AB177,2)))))</f>
        <v>45340</v>
      </c>
      <c r="C177" s="61" t="n">
        <f aca="false">YEAR($B177)</f>
        <v>2024</v>
      </c>
      <c r="D177" s="61" t="str">
        <f aca="false">"Q"&amp;ROUNDUP(MONTH($B177)/3,0)</f>
        <v>Q1</v>
      </c>
      <c r="E177" s="61" t="n">
        <f aca="false">MONTH($B177)</f>
        <v>2</v>
      </c>
      <c r="F177" s="61" t="str">
        <f aca="false">INDEX(Parametros!$I$5:$I$16,$E177)</f>
        <v>Feb</v>
      </c>
      <c r="G177" s="61" t="str">
        <f aca="false">TEXT($C177,"0000")&amp;"-"&amp;TEXT($E177,"00")</f>
        <v>2024-02</v>
      </c>
      <c r="H177" s="61" t="str">
        <f aca="false">INDEX(Parametros!$C$71:$C$91,MATCH(TRIM(INDEX(Datos_Origen!$C$2:$C$2459,$Z177)),Parametros!$B$71:$B$91,0))</f>
        <v>Cuyo</v>
      </c>
      <c r="I177" s="61" t="str">
        <f aca="false">IF(TRIM($AD177)="",INDEX(Parametros!$I$20:$I$24,MATCH($H177,Parametros!$H$20:$H$24,0)),TRIM($AD177))</f>
        <v>Mendoza</v>
      </c>
      <c r="J177" s="61" t="str">
        <f aca="false">INDEX(Parametros!$C$95:$C$106,MATCH(TRIM(INDEX(Datos_Origen!$E$2:$E$2459,$Z177)),Parametros!$B$95:$B$106,0))</f>
        <v>E-commerce</v>
      </c>
      <c r="K177" s="61" t="str">
        <f aca="false">INDEX(Parametros!$C$48:$C$67,MATCH(TRIM(INDEX(Datos_Origen!$F$2:$F$2459,$Z177)),Parametros!$B$48:$B$67,0))</f>
        <v>Audio</v>
      </c>
      <c r="L177" s="61" t="str">
        <f aca="false">$K177&amp;" "&amp;$C177</f>
        <v>Audio 2024</v>
      </c>
      <c r="M177" s="61" t="str">
        <f aca="false">TRIM(INDEX(Datos_Origen!$G$2:$G$2459,$Z177))</f>
        <v>Parlante Bluetooth</v>
      </c>
      <c r="N177" s="61" t="str">
        <f aca="false">$M177&amp;" "&amp;$C177</f>
        <v>Parlante Bluetooth 2024</v>
      </c>
      <c r="O177" s="63" t="n">
        <f aca="false">IF(ISTEXT($AC177),VALUE($AC177),$AC177)</f>
        <v>4</v>
      </c>
      <c r="P177" s="64" t="n">
        <f aca="false">INDEX(Datos_Origen!$I$2:$I$2459,$Z177)</f>
        <v>83.3</v>
      </c>
      <c r="Q177" s="64" t="n">
        <f aca="false">INDEX(Datos_Origen!$J$2:$J$2459,$Z177)</f>
        <v>48.03</v>
      </c>
      <c r="R177" s="65" t="n">
        <f aca="false">ROUND($O177*$P177,2)</f>
        <v>333.2</v>
      </c>
      <c r="S177" s="65" t="n">
        <f aca="false">ROUND($O177*$Q177,2)</f>
        <v>192.12</v>
      </c>
      <c r="T177" s="65" t="n">
        <f aca="false">ROUND($R177*SUMIFS(Parametros!$E$28:$E$43,Parametros!$B$28:$B$43,$J177,Parametros!$C$28:$C$43,$C177,Parametros!$D$28:$D$43,$D177),2)</f>
        <v>13.99</v>
      </c>
      <c r="U177" s="65" t="n">
        <f aca="false">$R177-$S177-$T177</f>
        <v>127.09</v>
      </c>
      <c r="V177" s="66" t="n">
        <f aca="false">IFERROR($U177/$R177,0)</f>
        <v>0.381422569027611</v>
      </c>
      <c r="W177" s="67" t="str">
        <f aca="false">IF(AND($V177&gt;=Parametros!$C$8,$R177&gt;=Parametros!$C$12),"Alta rentabilidad",IF(OR($V177&lt;Parametros!$C$11,$R177&lt;Parametros!$C$13),"Revisar","Estandar"))</f>
        <v>Estandar</v>
      </c>
      <c r="X177" s="67" t="str">
        <f aca="false">IF(AND($J177="E-commerce",IFERROR($T177/$R177,0)&gt;Parametros!$C$14),"Alerta","OK")</f>
        <v>OK</v>
      </c>
      <c r="Y177" s="61" t="str">
        <f aca="false">IF($R177&gt;=Parametros!$C$12,"Alto",IF($R177&lt;Parametros!$C$13,"Bajo","Medio"))</f>
        <v>Medio</v>
      </c>
      <c r="Z177" s="61" t="n">
        <v>2010</v>
      </c>
      <c r="AA177" s="61" t="str">
        <f aca="false">IF(MATCH($A177,Datos_Origen!$A$2:$A$2459,0)=$Z177,"OK","REVISAR")</f>
        <v>OK</v>
      </c>
      <c r="AB177" s="61" t="str">
        <f aca="false">INDEX(Datos_Origen!$B$2:$B$2459,$Z177)</f>
        <v>18/02/2024</v>
      </c>
      <c r="AC177" s="61" t="n">
        <f aca="false">INDEX(Datos_Origen!$H$2:$H$2459,$Z177)</f>
        <v>4</v>
      </c>
      <c r="AD177" s="61" t="str">
        <f aca="false">INDEX(Datos_Origen!$D$2:$D$2459,$Z177)&amp;""</f>
        <v>Mendoza</v>
      </c>
    </row>
    <row r="178" customFormat="false" ht="15" hidden="false" customHeight="false" outlineLevel="0" collapsed="false">
      <c r="A178" s="61" t="n">
        <f aca="false">INDEX(Datos_Origen!$A$2:$A$2459,$Z178)</f>
        <v>177</v>
      </c>
      <c r="B178" s="62" t="n">
        <f aca="false">IF(ISNUMBER($AB178),$AB178,IF(MID($AB178,5,1)="-",DATE(VALUE(LEFT($AB178,4)),VALUE(MID($AB178,6,2)),VALUE(RIGHT($AB178,2))),DATE(VALUE(RIGHT($AB178,4)),VALUE(MID($AB178,4,2)),VALUE(LEFT($AB178,2)))))</f>
        <v>45347</v>
      </c>
      <c r="C178" s="61" t="n">
        <f aca="false">YEAR($B178)</f>
        <v>2024</v>
      </c>
      <c r="D178" s="61" t="str">
        <f aca="false">"Q"&amp;ROUNDUP(MONTH($B178)/3,0)</f>
        <v>Q1</v>
      </c>
      <c r="E178" s="61" t="n">
        <f aca="false">MONTH($B178)</f>
        <v>2</v>
      </c>
      <c r="F178" s="61" t="str">
        <f aca="false">INDEX(Parametros!$I$5:$I$16,$E178)</f>
        <v>Feb</v>
      </c>
      <c r="G178" s="61" t="str">
        <f aca="false">TEXT($C178,"0000")&amp;"-"&amp;TEXT($E178,"00")</f>
        <v>2024-02</v>
      </c>
      <c r="H178" s="61" t="str">
        <f aca="false">INDEX(Parametros!$C$71:$C$91,MATCH(TRIM(INDEX(Datos_Origen!$C$2:$C$2459,$Z178)),Parametros!$B$71:$B$91,0))</f>
        <v>Cuyo</v>
      </c>
      <c r="I178" s="61" t="str">
        <f aca="false">IF(TRIM($AD178)="",INDEX(Parametros!$I$20:$I$24,MATCH($H178,Parametros!$H$20:$H$24,0)),TRIM($AD178))</f>
        <v>Mendoza</v>
      </c>
      <c r="J178" s="61" t="str">
        <f aca="false">INDEX(Parametros!$C$95:$C$106,MATCH(TRIM(INDEX(Datos_Origen!$E$2:$E$2459,$Z178)),Parametros!$B$95:$B$106,0))</f>
        <v>Tienda fisica</v>
      </c>
      <c r="K178" s="61" t="str">
        <f aca="false">INDEX(Parametros!$C$48:$C$67,MATCH(TRIM(INDEX(Datos_Origen!$F$2:$F$2459,$Z178)),Parametros!$B$48:$B$67,0))</f>
        <v>Almacenamiento</v>
      </c>
      <c r="L178" s="61" t="str">
        <f aca="false">$K178&amp;" "&amp;$C178</f>
        <v>Almacenamiento 2024</v>
      </c>
      <c r="M178" s="61" t="str">
        <f aca="false">TRIM(INDEX(Datos_Origen!$G$2:$G$2459,$Z178))</f>
        <v>SSD Externo 1TB</v>
      </c>
      <c r="N178" s="61" t="str">
        <f aca="false">$M178&amp;" "&amp;$C178</f>
        <v>SSD Externo 1TB 2024</v>
      </c>
      <c r="O178" s="63" t="n">
        <f aca="false">IF(ISTEXT($AC178),VALUE($AC178),$AC178)</f>
        <v>14</v>
      </c>
      <c r="P178" s="64" t="n">
        <f aca="false">INDEX(Datos_Origen!$I$2:$I$2459,$Z178)</f>
        <v>127.4</v>
      </c>
      <c r="Q178" s="64" t="n">
        <f aca="false">INDEX(Datos_Origen!$J$2:$J$2459,$Z178)</f>
        <v>76.05</v>
      </c>
      <c r="R178" s="65" t="n">
        <f aca="false">ROUND($O178*$P178,2)</f>
        <v>1783.6</v>
      </c>
      <c r="S178" s="65" t="n">
        <f aca="false">ROUND($O178*$Q178,2)</f>
        <v>1064.7</v>
      </c>
      <c r="T178" s="65" t="n">
        <f aca="false">ROUND($R178*SUMIFS(Parametros!$E$28:$E$43,Parametros!$B$28:$B$43,$J178,Parametros!$C$28:$C$43,$C178,Parametros!$D$28:$D$43,$D178),2)</f>
        <v>21.4</v>
      </c>
      <c r="U178" s="65" t="n">
        <f aca="false">$R178-$S178-$T178</f>
        <v>697.5</v>
      </c>
      <c r="V178" s="66" t="n">
        <f aca="false">IFERROR($U178/$R178,0)</f>
        <v>0.391063018614039</v>
      </c>
      <c r="W178" s="67" t="str">
        <f aca="false">IF(AND($V178&gt;=Parametros!$C$8,$R178&gt;=Parametros!$C$12),"Alta rentabilidad",IF(OR($V178&lt;Parametros!$C$11,$R178&lt;Parametros!$C$13),"Revisar","Estandar"))</f>
        <v>Estandar</v>
      </c>
      <c r="X178" s="67" t="str">
        <f aca="false">IF(AND($J178="E-commerce",IFERROR($T178/$R178,0)&gt;Parametros!$C$14),"Alerta","OK")</f>
        <v>OK</v>
      </c>
      <c r="Y178" s="61" t="str">
        <f aca="false">IF($R178&gt;=Parametros!$C$12,"Alto",IF($R178&lt;Parametros!$C$13,"Bajo","Medio"))</f>
        <v>Medio</v>
      </c>
      <c r="Z178" s="61" t="n">
        <v>247</v>
      </c>
      <c r="AA178" s="61" t="str">
        <f aca="false">IF(MATCH($A178,Datos_Origen!$A$2:$A$2459,0)=$Z178,"OK","REVISAR")</f>
        <v>OK</v>
      </c>
      <c r="AB178" s="62" t="n">
        <f aca="false">INDEX(Datos_Origen!$B$2:$B$2459,$Z178)</f>
        <v>45347</v>
      </c>
      <c r="AC178" s="61" t="str">
        <f aca="false">INDEX(Datos_Origen!$H$2:$H$2459,$Z178)</f>
        <v>14</v>
      </c>
      <c r="AD178" s="61" t="str">
        <f aca="false">INDEX(Datos_Origen!$D$2:$D$2459,$Z178)&amp;""</f>
        <v>Mendoza</v>
      </c>
    </row>
    <row r="179" customFormat="false" ht="15" hidden="false" customHeight="false" outlineLevel="0" collapsed="false">
      <c r="A179" s="61" t="n">
        <f aca="false">INDEX(Datos_Origen!$A$2:$A$2459,$Z179)</f>
        <v>178</v>
      </c>
      <c r="B179" s="62" t="n">
        <f aca="false">IF(ISNUMBER($AB179),$AB179,IF(MID($AB179,5,1)="-",DATE(VALUE(LEFT($AB179,4)),VALUE(MID($AB179,6,2)),VALUE(RIGHT($AB179,2))),DATE(VALUE(RIGHT($AB179,4)),VALUE(MID($AB179,4,2)),VALUE(LEFT($AB179,2)))))</f>
        <v>45327</v>
      </c>
      <c r="C179" s="61" t="n">
        <f aca="false">YEAR($B179)</f>
        <v>2024</v>
      </c>
      <c r="D179" s="61" t="str">
        <f aca="false">"Q"&amp;ROUNDUP(MONTH($B179)/3,0)</f>
        <v>Q1</v>
      </c>
      <c r="E179" s="61" t="n">
        <f aca="false">MONTH($B179)</f>
        <v>2</v>
      </c>
      <c r="F179" s="61" t="str">
        <f aca="false">INDEX(Parametros!$I$5:$I$16,$E179)</f>
        <v>Feb</v>
      </c>
      <c r="G179" s="61" t="str">
        <f aca="false">TEXT($C179,"0000")&amp;"-"&amp;TEXT($E179,"00")</f>
        <v>2024-02</v>
      </c>
      <c r="H179" s="61" t="str">
        <f aca="false">INDEX(Parametros!$C$71:$C$91,MATCH(TRIM(INDEX(Datos_Origen!$C$2:$C$2459,$Z179)),Parametros!$B$71:$B$91,0))</f>
        <v>Cuyo</v>
      </c>
      <c r="I179" s="61" t="str">
        <f aca="false">IF(TRIM($AD179)="",INDEX(Parametros!$I$20:$I$24,MATCH($H179,Parametros!$H$20:$H$24,0)),TRIM($AD179))</f>
        <v>Mendoza</v>
      </c>
      <c r="J179" s="61" t="str">
        <f aca="false">INDEX(Parametros!$C$95:$C$106,MATCH(TRIM(INDEX(Datos_Origen!$E$2:$E$2459,$Z179)),Parametros!$B$95:$B$106,0))</f>
        <v>E-commerce</v>
      </c>
      <c r="K179" s="61" t="str">
        <f aca="false">INDEX(Parametros!$C$48:$C$67,MATCH(TRIM(INDEX(Datos_Origen!$F$2:$F$2459,$Z179)),Parametros!$B$48:$B$67,0))</f>
        <v>Almacenamiento</v>
      </c>
      <c r="L179" s="61" t="str">
        <f aca="false">$K179&amp;" "&amp;$C179</f>
        <v>Almacenamiento 2024</v>
      </c>
      <c r="M179" s="61" t="str">
        <f aca="false">TRIM(INDEX(Datos_Origen!$G$2:$G$2459,$Z179))</f>
        <v>SSD Externo 1TB</v>
      </c>
      <c r="N179" s="61" t="str">
        <f aca="false">$M179&amp;" "&amp;$C179</f>
        <v>SSD Externo 1TB 2024</v>
      </c>
      <c r="O179" s="63" t="n">
        <f aca="false">IF(ISTEXT($AC179),VALUE($AC179),$AC179)</f>
        <v>6</v>
      </c>
      <c r="P179" s="64" t="n">
        <f aca="false">INDEX(Datos_Origen!$I$2:$I$2459,$Z179)</f>
        <v>127.4</v>
      </c>
      <c r="Q179" s="64" t="n">
        <f aca="false">INDEX(Datos_Origen!$J$2:$J$2459,$Z179)</f>
        <v>76.05</v>
      </c>
      <c r="R179" s="65" t="n">
        <f aca="false">ROUND($O179*$P179,2)</f>
        <v>764.4</v>
      </c>
      <c r="S179" s="65" t="n">
        <f aca="false">ROUND($O179*$Q179,2)</f>
        <v>456.3</v>
      </c>
      <c r="T179" s="65" t="n">
        <f aca="false">ROUND($R179*SUMIFS(Parametros!$E$28:$E$43,Parametros!$B$28:$B$43,$J179,Parametros!$C$28:$C$43,$C179,Parametros!$D$28:$D$43,$D179),2)</f>
        <v>32.1</v>
      </c>
      <c r="U179" s="65" t="n">
        <f aca="false">$R179-$S179-$T179</f>
        <v>276</v>
      </c>
      <c r="V179" s="66" t="n">
        <f aca="false">IFERROR($U179/$R179,0)</f>
        <v>0.361067503924647</v>
      </c>
      <c r="W179" s="67" t="str">
        <f aca="false">IF(AND($V179&gt;=Parametros!$C$8,$R179&gt;=Parametros!$C$12),"Alta rentabilidad",IF(OR($V179&lt;Parametros!$C$11,$R179&lt;Parametros!$C$13),"Revisar","Estandar"))</f>
        <v>Estandar</v>
      </c>
      <c r="X179" s="67" t="str">
        <f aca="false">IF(AND($J179="E-commerce",IFERROR($T179/$R179,0)&gt;Parametros!$C$14),"Alerta","OK")</f>
        <v>OK</v>
      </c>
      <c r="Y179" s="61" t="str">
        <f aca="false">IF($R179&gt;=Parametros!$C$12,"Alto",IF($R179&lt;Parametros!$C$13,"Bajo","Medio"))</f>
        <v>Medio</v>
      </c>
      <c r="Z179" s="61" t="n">
        <v>790</v>
      </c>
      <c r="AA179" s="61" t="str">
        <f aca="false">IF(MATCH($A179,Datos_Origen!$A$2:$A$2459,0)=$Z179,"OK","REVISAR")</f>
        <v>OK</v>
      </c>
      <c r="AB179" s="62" t="n">
        <f aca="false">INDEX(Datos_Origen!$B$2:$B$2459,$Z179)</f>
        <v>45327</v>
      </c>
      <c r="AC179" s="61" t="n">
        <f aca="false">INDEX(Datos_Origen!$H$2:$H$2459,$Z179)</f>
        <v>6</v>
      </c>
      <c r="AD179" s="61" t="str">
        <f aca="false">INDEX(Datos_Origen!$D$2:$D$2459,$Z179)&amp;""</f>
        <v>Mendoza</v>
      </c>
    </row>
    <row r="180" customFormat="false" ht="15" hidden="false" customHeight="false" outlineLevel="0" collapsed="false">
      <c r="A180" s="61" t="n">
        <f aca="false">INDEX(Datos_Origen!$A$2:$A$2459,$Z180)</f>
        <v>179</v>
      </c>
      <c r="B180" s="62" t="n">
        <f aca="false">IF(ISNUMBER($AB180),$AB180,IF(MID($AB180,5,1)="-",DATE(VALUE(LEFT($AB180,4)),VALUE(MID($AB180,6,2)),VALUE(RIGHT($AB180,2))),DATE(VALUE(RIGHT($AB180,4)),VALUE(MID($AB180,4,2)),VALUE(LEFT($AB180,2)))))</f>
        <v>45334</v>
      </c>
      <c r="C180" s="61" t="n">
        <f aca="false">YEAR($B180)</f>
        <v>2024</v>
      </c>
      <c r="D180" s="61" t="str">
        <f aca="false">"Q"&amp;ROUNDUP(MONTH($B180)/3,0)</f>
        <v>Q1</v>
      </c>
      <c r="E180" s="61" t="n">
        <f aca="false">MONTH($B180)</f>
        <v>2</v>
      </c>
      <c r="F180" s="61" t="str">
        <f aca="false">INDEX(Parametros!$I$5:$I$16,$E180)</f>
        <v>Feb</v>
      </c>
      <c r="G180" s="61" t="str">
        <f aca="false">TEXT($C180,"0000")&amp;"-"&amp;TEXT($E180,"00")</f>
        <v>2024-02</v>
      </c>
      <c r="H180" s="61" t="str">
        <f aca="false">INDEX(Parametros!$C$71:$C$91,MATCH(TRIM(INDEX(Datos_Origen!$C$2:$C$2459,$Z180)),Parametros!$B$71:$B$91,0))</f>
        <v>Cuyo</v>
      </c>
      <c r="I180" s="61" t="str">
        <f aca="false">IF(TRIM($AD180)="",INDEX(Parametros!$I$20:$I$24,MATCH($H180,Parametros!$H$20:$H$24,0)),TRIM($AD180))</f>
        <v>Mendoza</v>
      </c>
      <c r="J180" s="61" t="str">
        <f aca="false">INDEX(Parametros!$C$95:$C$106,MATCH(TRIM(INDEX(Datos_Origen!$E$2:$E$2459,$Z180)),Parametros!$B$95:$B$106,0))</f>
        <v>Tienda fisica</v>
      </c>
      <c r="K180" s="61" t="str">
        <f aca="false">INDEX(Parametros!$C$48:$C$67,MATCH(TRIM(INDEX(Datos_Origen!$F$2:$F$2459,$Z180)),Parametros!$B$48:$B$67,0))</f>
        <v>Almacenamiento</v>
      </c>
      <c r="L180" s="61" t="str">
        <f aca="false">$K180&amp;" "&amp;$C180</f>
        <v>Almacenamiento 2024</v>
      </c>
      <c r="M180" s="61" t="str">
        <f aca="false">TRIM(INDEX(Datos_Origen!$G$2:$G$2459,$Z180))</f>
        <v>Pendrive 256GB</v>
      </c>
      <c r="N180" s="61" t="str">
        <f aca="false">$M180&amp;" "&amp;$C180</f>
        <v>Pendrive 256GB 2024</v>
      </c>
      <c r="O180" s="63" t="n">
        <f aca="false">IF(ISTEXT($AC180),VALUE($AC180),$AC180)</f>
        <v>13</v>
      </c>
      <c r="P180" s="64" t="n">
        <f aca="false">INDEX(Datos_Origen!$I$2:$I$2459,$Z180)</f>
        <v>34.3</v>
      </c>
      <c r="Q180" s="64" t="n">
        <f aca="false">INDEX(Datos_Origen!$J$2:$J$2459,$Z180)</f>
        <v>17.85</v>
      </c>
      <c r="R180" s="65" t="n">
        <f aca="false">ROUND($O180*$P180,2)</f>
        <v>445.9</v>
      </c>
      <c r="S180" s="65" t="n">
        <f aca="false">ROUND($O180*$Q180,2)</f>
        <v>232.05</v>
      </c>
      <c r="T180" s="65" t="n">
        <f aca="false">ROUND($R180*SUMIFS(Parametros!$E$28:$E$43,Parametros!$B$28:$B$43,$J180,Parametros!$C$28:$C$43,$C180,Parametros!$D$28:$D$43,$D180),2)</f>
        <v>5.35</v>
      </c>
      <c r="U180" s="65" t="n">
        <f aca="false">$R180-$S180-$T180</f>
        <v>208.5</v>
      </c>
      <c r="V180" s="66" t="n">
        <f aca="false">IFERROR($U180/$R180,0)</f>
        <v>0.467593630858937</v>
      </c>
      <c r="W180" s="67" t="str">
        <f aca="false">IF(AND($V180&gt;=Parametros!$C$8,$R180&gt;=Parametros!$C$12),"Alta rentabilidad",IF(OR($V180&lt;Parametros!$C$11,$R180&lt;Parametros!$C$13),"Revisar","Estandar"))</f>
        <v>Estandar</v>
      </c>
      <c r="X180" s="67" t="str">
        <f aca="false">IF(AND($J180="E-commerce",IFERROR($T180/$R180,0)&gt;Parametros!$C$14),"Alerta","OK")</f>
        <v>OK</v>
      </c>
      <c r="Y180" s="61" t="str">
        <f aca="false">IF($R180&gt;=Parametros!$C$12,"Alto",IF($R180&lt;Parametros!$C$13,"Bajo","Medio"))</f>
        <v>Medio</v>
      </c>
      <c r="Z180" s="61" t="n">
        <v>456</v>
      </c>
      <c r="AA180" s="61" t="str">
        <f aca="false">IF(MATCH($A180,Datos_Origen!$A$2:$A$2459,0)=$Z180,"OK","REVISAR")</f>
        <v>OK</v>
      </c>
      <c r="AB180" s="62" t="n">
        <f aca="false">INDEX(Datos_Origen!$B$2:$B$2459,$Z180)</f>
        <v>45334</v>
      </c>
      <c r="AC180" s="61" t="n">
        <f aca="false">INDEX(Datos_Origen!$H$2:$H$2459,$Z180)</f>
        <v>13</v>
      </c>
      <c r="AD180" s="61" t="str">
        <f aca="false">INDEX(Datos_Origen!$D$2:$D$2459,$Z180)&amp;""</f>
        <v>Mendoza</v>
      </c>
    </row>
    <row r="181" customFormat="false" ht="15" hidden="false" customHeight="false" outlineLevel="0" collapsed="false">
      <c r="A181" s="61" t="n">
        <f aca="false">INDEX(Datos_Origen!$A$2:$A$2459,$Z181)</f>
        <v>180</v>
      </c>
      <c r="B181" s="62" t="n">
        <f aca="false">IF(ISNUMBER($AB181),$AB181,IF(MID($AB181,5,1)="-",DATE(VALUE(LEFT($AB181,4)),VALUE(MID($AB181,6,2)),VALUE(RIGHT($AB181,2))),DATE(VALUE(RIGHT($AB181,4)),VALUE(MID($AB181,4,2)),VALUE(LEFT($AB181,2)))))</f>
        <v>45341</v>
      </c>
      <c r="C181" s="61" t="n">
        <f aca="false">YEAR($B181)</f>
        <v>2024</v>
      </c>
      <c r="D181" s="61" t="str">
        <f aca="false">"Q"&amp;ROUNDUP(MONTH($B181)/3,0)</f>
        <v>Q1</v>
      </c>
      <c r="E181" s="61" t="n">
        <f aca="false">MONTH($B181)</f>
        <v>2</v>
      </c>
      <c r="F181" s="61" t="str">
        <f aca="false">INDEX(Parametros!$I$5:$I$16,$E181)</f>
        <v>Feb</v>
      </c>
      <c r="G181" s="61" t="str">
        <f aca="false">TEXT($C181,"0000")&amp;"-"&amp;TEXT($E181,"00")</f>
        <v>2024-02</v>
      </c>
      <c r="H181" s="61" t="str">
        <f aca="false">INDEX(Parametros!$C$71:$C$91,MATCH(TRIM(INDEX(Datos_Origen!$C$2:$C$2459,$Z181)),Parametros!$B$71:$B$91,0))</f>
        <v>Cuyo</v>
      </c>
      <c r="I181" s="61" t="str">
        <f aca="false">IF(TRIM($AD181)="",INDEX(Parametros!$I$20:$I$24,MATCH($H181,Parametros!$H$20:$H$24,0)),TRIM($AD181))</f>
        <v>Mendoza</v>
      </c>
      <c r="J181" s="61" t="str">
        <f aca="false">INDEX(Parametros!$C$95:$C$106,MATCH(TRIM(INDEX(Datos_Origen!$E$2:$E$2459,$Z181)),Parametros!$B$95:$B$106,0))</f>
        <v>E-commerce</v>
      </c>
      <c r="K181" s="61" t="str">
        <f aca="false">INDEX(Parametros!$C$48:$C$67,MATCH(TRIM(INDEX(Datos_Origen!$F$2:$F$2459,$Z181)),Parametros!$B$48:$B$67,0))</f>
        <v>Almacenamiento</v>
      </c>
      <c r="L181" s="61" t="str">
        <f aca="false">$K181&amp;" "&amp;$C181</f>
        <v>Almacenamiento 2024</v>
      </c>
      <c r="M181" s="61" t="str">
        <f aca="false">TRIM(INDEX(Datos_Origen!$G$2:$G$2459,$Z181))</f>
        <v>Pendrive 256GB</v>
      </c>
      <c r="N181" s="61" t="str">
        <f aca="false">$M181&amp;" "&amp;$C181</f>
        <v>Pendrive 256GB 2024</v>
      </c>
      <c r="O181" s="63" t="n">
        <f aca="false">IF(ISTEXT($AC181),VALUE($AC181),$AC181)</f>
        <v>5</v>
      </c>
      <c r="P181" s="64" t="n">
        <f aca="false">INDEX(Datos_Origen!$I$2:$I$2459,$Z181)</f>
        <v>34.3</v>
      </c>
      <c r="Q181" s="64" t="n">
        <f aca="false">INDEX(Datos_Origen!$J$2:$J$2459,$Z181)</f>
        <v>17.85</v>
      </c>
      <c r="R181" s="65" t="n">
        <f aca="false">ROUND($O181*$P181,2)</f>
        <v>171.5</v>
      </c>
      <c r="S181" s="65" t="n">
        <f aca="false">ROUND($O181*$Q181,2)</f>
        <v>89.25</v>
      </c>
      <c r="T181" s="65" t="n">
        <f aca="false">ROUND($R181*SUMIFS(Parametros!$E$28:$E$43,Parametros!$B$28:$B$43,$J181,Parametros!$C$28:$C$43,$C181,Parametros!$D$28:$D$43,$D181),2)</f>
        <v>7.2</v>
      </c>
      <c r="U181" s="65" t="n">
        <f aca="false">$R181-$S181-$T181</f>
        <v>75.05</v>
      </c>
      <c r="V181" s="66" t="n">
        <f aca="false">IFERROR($U181/$R181,0)</f>
        <v>0.437609329446064</v>
      </c>
      <c r="W181" s="67" t="str">
        <f aca="false">IF(AND($V181&gt;=Parametros!$C$8,$R181&gt;=Parametros!$C$12),"Alta rentabilidad",IF(OR($V181&lt;Parametros!$C$11,$R181&lt;Parametros!$C$13),"Revisar","Estandar"))</f>
        <v>Revisar</v>
      </c>
      <c r="X181" s="67" t="str">
        <f aca="false">IF(AND($J181="E-commerce",IFERROR($T181/$R181,0)&gt;Parametros!$C$14),"Alerta","OK")</f>
        <v>OK</v>
      </c>
      <c r="Y181" s="61" t="str">
        <f aca="false">IF($R181&gt;=Parametros!$C$12,"Alto",IF($R181&lt;Parametros!$C$13,"Bajo","Medio"))</f>
        <v>Bajo</v>
      </c>
      <c r="Z181" s="61" t="n">
        <v>1980</v>
      </c>
      <c r="AA181" s="61" t="str">
        <f aca="false">IF(MATCH($A181,Datos_Origen!$A$2:$A$2459,0)=$Z181,"OK","REVISAR")</f>
        <v>OK</v>
      </c>
      <c r="AB181" s="61" t="str">
        <f aca="false">INDEX(Datos_Origen!$B$2:$B$2459,$Z181)</f>
        <v>19/02/2024</v>
      </c>
      <c r="AC181" s="61" t="n">
        <f aca="false">INDEX(Datos_Origen!$H$2:$H$2459,$Z181)</f>
        <v>5</v>
      </c>
      <c r="AD181" s="61" t="str">
        <f aca="false">INDEX(Datos_Origen!$D$2:$D$2459,$Z181)&amp;""</f>
        <v>Mendoza</v>
      </c>
    </row>
    <row r="182" customFormat="false" ht="15" hidden="false" customHeight="false" outlineLevel="0" collapsed="false">
      <c r="A182" s="61" t="n">
        <f aca="false">INDEX(Datos_Origen!$A$2:$A$2459,$Z182)</f>
        <v>181</v>
      </c>
      <c r="B182" s="62" t="n">
        <f aca="false">IF(ISNUMBER($AB182),$AB182,IF(MID($AB182,5,1)="-",DATE(VALUE(LEFT($AB182,4)),VALUE(MID($AB182,6,2)),VALUE(RIGHT($AB182,2))),DATE(VALUE(RIGHT($AB182,4)),VALUE(MID($AB182,4,2)),VALUE(LEFT($AB182,2)))))</f>
        <v>45348</v>
      </c>
      <c r="C182" s="61" t="n">
        <f aca="false">YEAR($B182)</f>
        <v>2024</v>
      </c>
      <c r="D182" s="61" t="str">
        <f aca="false">"Q"&amp;ROUNDUP(MONTH($B182)/3,0)</f>
        <v>Q1</v>
      </c>
      <c r="E182" s="61" t="n">
        <f aca="false">MONTH($B182)</f>
        <v>2</v>
      </c>
      <c r="F182" s="61" t="str">
        <f aca="false">INDEX(Parametros!$I$5:$I$16,$E182)</f>
        <v>Feb</v>
      </c>
      <c r="G182" s="61" t="str">
        <f aca="false">TEXT($C182,"0000")&amp;"-"&amp;TEXT($E182,"00")</f>
        <v>2024-02</v>
      </c>
      <c r="H182" s="61" t="str">
        <f aca="false">INDEX(Parametros!$C$71:$C$91,MATCH(TRIM(INDEX(Datos_Origen!$C$2:$C$2459,$Z182)),Parametros!$B$71:$B$91,0))</f>
        <v>NOA</v>
      </c>
      <c r="I182" s="61" t="str">
        <f aca="false">IF(TRIM($AD182)="",INDEX(Parametros!$I$20:$I$24,MATCH($H182,Parametros!$H$20:$H$24,0)),TRIM($AD182))</f>
        <v>Tucuman</v>
      </c>
      <c r="J182" s="61" t="str">
        <f aca="false">INDEX(Parametros!$C$95:$C$106,MATCH(TRIM(INDEX(Datos_Origen!$E$2:$E$2459,$Z182)),Parametros!$B$95:$B$106,0))</f>
        <v>Tienda fisica</v>
      </c>
      <c r="K182" s="61" t="str">
        <f aca="false">INDEX(Parametros!$C$48:$C$67,MATCH(TRIM(INDEX(Datos_Origen!$F$2:$F$2459,$Z182)),Parametros!$B$48:$B$67,0))</f>
        <v>Computacion</v>
      </c>
      <c r="L182" s="61" t="str">
        <f aca="false">$K182&amp;" "&amp;$C182</f>
        <v>Computacion 2024</v>
      </c>
      <c r="M182" s="61" t="str">
        <f aca="false">TRIM(INDEX(Datos_Origen!$G$2:$G$2459,$Z182))</f>
        <v>Laptop Pro 15</v>
      </c>
      <c r="N182" s="61" t="str">
        <f aca="false">$M182&amp;" "&amp;$C182</f>
        <v>Laptop Pro 15 2024</v>
      </c>
      <c r="O182" s="63" t="n">
        <f aca="false">IF(ISTEXT($AC182),VALUE($AC182),$AC182)</f>
        <v>5</v>
      </c>
      <c r="P182" s="64" t="n">
        <f aca="false">INDEX(Datos_Origen!$I$2:$I$2459,$Z182)</f>
        <v>1176</v>
      </c>
      <c r="Q182" s="64" t="n">
        <f aca="false">INDEX(Datos_Origen!$J$2:$J$2459,$Z182)</f>
        <v>744</v>
      </c>
      <c r="R182" s="65" t="n">
        <f aca="false">ROUND($O182*$P182,2)</f>
        <v>5880</v>
      </c>
      <c r="S182" s="65" t="n">
        <f aca="false">ROUND($O182*$Q182,2)</f>
        <v>3720</v>
      </c>
      <c r="T182" s="65" t="n">
        <f aca="false">ROUND($R182*SUMIFS(Parametros!$E$28:$E$43,Parametros!$B$28:$B$43,$J182,Parametros!$C$28:$C$43,$C182,Parametros!$D$28:$D$43,$D182),2)</f>
        <v>70.56</v>
      </c>
      <c r="U182" s="65" t="n">
        <f aca="false">$R182-$S182-$T182</f>
        <v>2089.44</v>
      </c>
      <c r="V182" s="66" t="n">
        <f aca="false">IFERROR($U182/$R182,0)</f>
        <v>0.35534693877551</v>
      </c>
      <c r="W182" s="67" t="str">
        <f aca="false">IF(AND($V182&gt;=Parametros!$C$8,$R182&gt;=Parametros!$C$12),"Alta rentabilidad",IF(OR($V182&lt;Parametros!$C$11,$R182&lt;Parametros!$C$13),"Revisar","Estandar"))</f>
        <v>Alta rentabilidad</v>
      </c>
      <c r="X182" s="67" t="str">
        <f aca="false">IF(AND($J182="E-commerce",IFERROR($T182/$R182,0)&gt;Parametros!$C$14),"Alerta","OK")</f>
        <v>OK</v>
      </c>
      <c r="Y182" s="61" t="str">
        <f aca="false">IF($R182&gt;=Parametros!$C$12,"Alto",IF($R182&lt;Parametros!$C$13,"Bajo","Medio"))</f>
        <v>Alto</v>
      </c>
      <c r="Z182" s="61" t="n">
        <v>2046</v>
      </c>
      <c r="AA182" s="61" t="str">
        <f aca="false">IF(MATCH($A182,Datos_Origen!$A$2:$A$2459,0)=$Z182,"OK","REVISAR")</f>
        <v>OK</v>
      </c>
      <c r="AB182" s="62" t="n">
        <f aca="false">INDEX(Datos_Origen!$B$2:$B$2459,$Z182)</f>
        <v>45348</v>
      </c>
      <c r="AC182" s="61" t="n">
        <f aca="false">INDEX(Datos_Origen!$H$2:$H$2459,$Z182)</f>
        <v>5</v>
      </c>
      <c r="AD182" s="61" t="str">
        <f aca="false">INDEX(Datos_Origen!$D$2:$D$2459,$Z182)&amp;""</f>
        <v>Tucuman</v>
      </c>
    </row>
    <row r="183" customFormat="false" ht="15" hidden="false" customHeight="false" outlineLevel="0" collapsed="false">
      <c r="A183" s="61" t="n">
        <f aca="false">INDEX(Datos_Origen!$A$2:$A$2459,$Z183)</f>
        <v>182</v>
      </c>
      <c r="B183" s="62" t="n">
        <f aca="false">IF(ISNUMBER($AB183),$AB183,IF(MID($AB183,5,1)="-",DATE(VALUE(LEFT($AB183,4)),VALUE(MID($AB183,6,2)),VALUE(RIGHT($AB183,2))),DATE(VALUE(RIGHT($AB183,4)),VALUE(MID($AB183,4,2)),VALUE(LEFT($AB183,2)))))</f>
        <v>45328</v>
      </c>
      <c r="C183" s="61" t="n">
        <f aca="false">YEAR($B183)</f>
        <v>2024</v>
      </c>
      <c r="D183" s="61" t="str">
        <f aca="false">"Q"&amp;ROUNDUP(MONTH($B183)/3,0)</f>
        <v>Q1</v>
      </c>
      <c r="E183" s="61" t="n">
        <f aca="false">MONTH($B183)</f>
        <v>2</v>
      </c>
      <c r="F183" s="61" t="str">
        <f aca="false">INDEX(Parametros!$I$5:$I$16,$E183)</f>
        <v>Feb</v>
      </c>
      <c r="G183" s="61" t="str">
        <f aca="false">TEXT($C183,"0000")&amp;"-"&amp;TEXT($E183,"00")</f>
        <v>2024-02</v>
      </c>
      <c r="H183" s="61" t="str">
        <f aca="false">INDEX(Parametros!$C$71:$C$91,MATCH(TRIM(INDEX(Datos_Origen!$C$2:$C$2459,$Z183)),Parametros!$B$71:$B$91,0))</f>
        <v>NOA</v>
      </c>
      <c r="I183" s="61" t="str">
        <f aca="false">IF(TRIM($AD183)="",INDEX(Parametros!$I$20:$I$24,MATCH($H183,Parametros!$H$20:$H$24,0)),TRIM($AD183))</f>
        <v>Tucuman</v>
      </c>
      <c r="J183" s="61" t="str">
        <f aca="false">INDEX(Parametros!$C$95:$C$106,MATCH(TRIM(INDEX(Datos_Origen!$E$2:$E$2459,$Z183)),Parametros!$B$95:$B$106,0))</f>
        <v>E-commerce</v>
      </c>
      <c r="K183" s="61" t="str">
        <f aca="false">INDEX(Parametros!$C$48:$C$67,MATCH(TRIM(INDEX(Datos_Origen!$F$2:$F$2459,$Z183)),Parametros!$B$48:$B$67,0))</f>
        <v>Computacion</v>
      </c>
      <c r="L183" s="61" t="str">
        <f aca="false">$K183&amp;" "&amp;$C183</f>
        <v>Computacion 2024</v>
      </c>
      <c r="M183" s="61" t="str">
        <f aca="false">TRIM(INDEX(Datos_Origen!$G$2:$G$2459,$Z183))</f>
        <v>Laptop Pro 15</v>
      </c>
      <c r="N183" s="61" t="str">
        <f aca="false">$M183&amp;" "&amp;$C183</f>
        <v>Laptop Pro 15 2024</v>
      </c>
      <c r="O183" s="63" t="n">
        <f aca="false">IF(ISTEXT($AC183),VALUE($AC183),$AC183)</f>
        <v>2</v>
      </c>
      <c r="P183" s="64" t="n">
        <f aca="false">INDEX(Datos_Origen!$I$2:$I$2459,$Z183)</f>
        <v>1176</v>
      </c>
      <c r="Q183" s="64" t="n">
        <f aca="false">INDEX(Datos_Origen!$J$2:$J$2459,$Z183)</f>
        <v>744</v>
      </c>
      <c r="R183" s="65" t="n">
        <f aca="false">ROUND($O183*$P183,2)</f>
        <v>2352</v>
      </c>
      <c r="S183" s="65" t="n">
        <f aca="false">ROUND($O183*$Q183,2)</f>
        <v>1488</v>
      </c>
      <c r="T183" s="65" t="n">
        <f aca="false">ROUND($R183*SUMIFS(Parametros!$E$28:$E$43,Parametros!$B$28:$B$43,$J183,Parametros!$C$28:$C$43,$C183,Parametros!$D$28:$D$43,$D183),2)</f>
        <v>98.78</v>
      </c>
      <c r="U183" s="65" t="n">
        <f aca="false">$R183-$S183-$T183</f>
        <v>765.22</v>
      </c>
      <c r="V183" s="66" t="n">
        <f aca="false">IFERROR($U183/$R183,0)</f>
        <v>0.325348639455782</v>
      </c>
      <c r="W183" s="67" t="str">
        <f aca="false">IF(AND($V183&gt;=Parametros!$C$8,$R183&gt;=Parametros!$C$12),"Alta rentabilidad",IF(OR($V183&lt;Parametros!$C$11,$R183&lt;Parametros!$C$13),"Revisar","Estandar"))</f>
        <v>Estandar</v>
      </c>
      <c r="X183" s="67" t="str">
        <f aca="false">IF(AND($J183="E-commerce",IFERROR($T183/$R183,0)&gt;Parametros!$C$14),"Alerta","OK")</f>
        <v>OK</v>
      </c>
      <c r="Y183" s="61" t="str">
        <f aca="false">IF($R183&gt;=Parametros!$C$12,"Alto",IF($R183&lt;Parametros!$C$13,"Bajo","Medio"))</f>
        <v>Medio</v>
      </c>
      <c r="Z183" s="61" t="n">
        <v>789</v>
      </c>
      <c r="AA183" s="61" t="str">
        <f aca="false">IF(MATCH($A183,Datos_Origen!$A$2:$A$2459,0)=$Z183,"OK","REVISAR")</f>
        <v>OK</v>
      </c>
      <c r="AB183" s="61" t="str">
        <f aca="false">INDEX(Datos_Origen!$B$2:$B$2459,$Z183)</f>
        <v>06/02/2024</v>
      </c>
      <c r="AC183" s="61" t="n">
        <f aca="false">INDEX(Datos_Origen!$H$2:$H$2459,$Z183)</f>
        <v>2</v>
      </c>
      <c r="AD183" s="61" t="str">
        <f aca="false">INDEX(Datos_Origen!$D$2:$D$2459,$Z183)&amp;""</f>
        <v>Tucuman</v>
      </c>
    </row>
    <row r="184" customFormat="false" ht="15" hidden="false" customHeight="false" outlineLevel="0" collapsed="false">
      <c r="A184" s="61" t="n">
        <f aca="false">INDEX(Datos_Origen!$A$2:$A$2459,$Z184)</f>
        <v>183</v>
      </c>
      <c r="B184" s="62" t="n">
        <f aca="false">IF(ISNUMBER($AB184),$AB184,IF(MID($AB184,5,1)="-",DATE(VALUE(LEFT($AB184,4)),VALUE(MID($AB184,6,2)),VALUE(RIGHT($AB184,2))),DATE(VALUE(RIGHT($AB184,4)),VALUE(MID($AB184,4,2)),VALUE(LEFT($AB184,2)))))</f>
        <v>45335</v>
      </c>
      <c r="C184" s="61" t="n">
        <f aca="false">YEAR($B184)</f>
        <v>2024</v>
      </c>
      <c r="D184" s="61" t="str">
        <f aca="false">"Q"&amp;ROUNDUP(MONTH($B184)/3,0)</f>
        <v>Q1</v>
      </c>
      <c r="E184" s="61" t="n">
        <f aca="false">MONTH($B184)</f>
        <v>2</v>
      </c>
      <c r="F184" s="61" t="str">
        <f aca="false">INDEX(Parametros!$I$5:$I$16,$E184)</f>
        <v>Feb</v>
      </c>
      <c r="G184" s="61" t="str">
        <f aca="false">TEXT($C184,"0000")&amp;"-"&amp;TEXT($E184,"00")</f>
        <v>2024-02</v>
      </c>
      <c r="H184" s="61" t="str">
        <f aca="false">INDEX(Parametros!$C$71:$C$91,MATCH(TRIM(INDEX(Datos_Origen!$C$2:$C$2459,$Z184)),Parametros!$B$71:$B$91,0))</f>
        <v>NOA</v>
      </c>
      <c r="I184" s="61" t="str">
        <f aca="false">IF(TRIM($AD184)="",INDEX(Parametros!$I$20:$I$24,MATCH($H184,Parametros!$H$20:$H$24,0)),TRIM($AD184))</f>
        <v>Tucuman</v>
      </c>
      <c r="J184" s="61" t="str">
        <f aca="false">INDEX(Parametros!$C$95:$C$106,MATCH(TRIM(INDEX(Datos_Origen!$E$2:$E$2459,$Z184)),Parametros!$B$95:$B$106,0))</f>
        <v>Tienda fisica</v>
      </c>
      <c r="K184" s="61" t="str">
        <f aca="false">INDEX(Parametros!$C$48:$C$67,MATCH(TRIM(INDEX(Datos_Origen!$F$2:$F$2459,$Z184)),Parametros!$B$48:$B$67,0))</f>
        <v>Computacion</v>
      </c>
      <c r="L184" s="61" t="str">
        <f aca="false">$K184&amp;" "&amp;$C184</f>
        <v>Computacion 2024</v>
      </c>
      <c r="M184" s="61" t="str">
        <f aca="false">TRIM(INDEX(Datos_Origen!$G$2:$G$2459,$Z184))</f>
        <v>Monitor 4K 27</v>
      </c>
      <c r="N184" s="61" t="str">
        <f aca="false">$M184&amp;" "&amp;$C184</f>
        <v>Monitor 4K 27 2024</v>
      </c>
      <c r="O184" s="63" t="n">
        <f aca="false">IF(ISTEXT($AC184),VALUE($AC184),$AC184)</f>
        <v>5</v>
      </c>
      <c r="P184" s="64" t="n">
        <f aca="false">INDEX(Datos_Origen!$I$2:$I$2459,$Z184)</f>
        <v>441</v>
      </c>
      <c r="Q184" s="64" t="n">
        <f aca="false">INDEX(Datos_Origen!$J$2:$J$2459,$Z184)</f>
        <v>272.25</v>
      </c>
      <c r="R184" s="65" t="n">
        <f aca="false">ROUND($O184*$P184,2)</f>
        <v>2205</v>
      </c>
      <c r="S184" s="65" t="n">
        <f aca="false">ROUND($O184*$Q184,2)</f>
        <v>1361.25</v>
      </c>
      <c r="T184" s="65" t="n">
        <f aca="false">ROUND($R184*SUMIFS(Parametros!$E$28:$E$43,Parametros!$B$28:$B$43,$J184,Parametros!$C$28:$C$43,$C184,Parametros!$D$28:$D$43,$D184),2)</f>
        <v>26.46</v>
      </c>
      <c r="U184" s="65" t="n">
        <f aca="false">$R184-$S184-$T184</f>
        <v>817.29</v>
      </c>
      <c r="V184" s="66" t="n">
        <f aca="false">IFERROR($U184/$R184,0)</f>
        <v>0.37065306122449</v>
      </c>
      <c r="W184" s="67" t="str">
        <f aca="false">IF(AND($V184&gt;=Parametros!$C$8,$R184&gt;=Parametros!$C$12),"Alta rentabilidad",IF(OR($V184&lt;Parametros!$C$11,$R184&lt;Parametros!$C$13),"Revisar","Estandar"))</f>
        <v>Estandar</v>
      </c>
      <c r="X184" s="67" t="str">
        <f aca="false">IF(AND($J184="E-commerce",IFERROR($T184/$R184,0)&gt;Parametros!$C$14),"Alerta","OK")</f>
        <v>OK</v>
      </c>
      <c r="Y184" s="61" t="str">
        <f aca="false">IF($R184&gt;=Parametros!$C$12,"Alto",IF($R184&lt;Parametros!$C$13,"Bajo","Medio"))</f>
        <v>Medio</v>
      </c>
      <c r="Z184" s="61" t="n">
        <v>2431</v>
      </c>
      <c r="AA184" s="61" t="str">
        <f aca="false">IF(MATCH($A184,Datos_Origen!$A$2:$A$2459,0)=$Z184,"OK","REVISAR")</f>
        <v>OK</v>
      </c>
      <c r="AB184" s="62" t="n">
        <f aca="false">INDEX(Datos_Origen!$B$2:$B$2459,$Z184)</f>
        <v>45335</v>
      </c>
      <c r="AC184" s="61" t="n">
        <f aca="false">INDEX(Datos_Origen!$H$2:$H$2459,$Z184)</f>
        <v>5</v>
      </c>
      <c r="AD184" s="61" t="str">
        <f aca="false">INDEX(Datos_Origen!$D$2:$D$2459,$Z184)&amp;""</f>
        <v>Tucuman</v>
      </c>
    </row>
    <row r="185" customFormat="false" ht="15" hidden="false" customHeight="false" outlineLevel="0" collapsed="false">
      <c r="A185" s="61" t="n">
        <f aca="false">INDEX(Datos_Origen!$A$2:$A$2459,$Z185)</f>
        <v>184</v>
      </c>
      <c r="B185" s="62" t="n">
        <f aca="false">IF(ISNUMBER($AB185),$AB185,IF(MID($AB185,5,1)="-",DATE(VALUE(LEFT($AB185,4)),VALUE(MID($AB185,6,2)),VALUE(RIGHT($AB185,2))),DATE(VALUE(RIGHT($AB185,4)),VALUE(MID($AB185,4,2)),VALUE(LEFT($AB185,2)))))</f>
        <v>45342</v>
      </c>
      <c r="C185" s="61" t="n">
        <f aca="false">YEAR($B185)</f>
        <v>2024</v>
      </c>
      <c r="D185" s="61" t="str">
        <f aca="false">"Q"&amp;ROUNDUP(MONTH($B185)/3,0)</f>
        <v>Q1</v>
      </c>
      <c r="E185" s="61" t="n">
        <f aca="false">MONTH($B185)</f>
        <v>2</v>
      </c>
      <c r="F185" s="61" t="str">
        <f aca="false">INDEX(Parametros!$I$5:$I$16,$E185)</f>
        <v>Feb</v>
      </c>
      <c r="G185" s="61" t="str">
        <f aca="false">TEXT($C185,"0000")&amp;"-"&amp;TEXT($E185,"00")</f>
        <v>2024-02</v>
      </c>
      <c r="H185" s="61" t="str">
        <f aca="false">INDEX(Parametros!$C$71:$C$91,MATCH(TRIM(INDEX(Datos_Origen!$C$2:$C$2459,$Z185)),Parametros!$B$71:$B$91,0))</f>
        <v>NOA</v>
      </c>
      <c r="I185" s="61" t="str">
        <f aca="false">IF(TRIM($AD185)="",INDEX(Parametros!$I$20:$I$24,MATCH($H185,Parametros!$H$20:$H$24,0)),TRIM($AD185))</f>
        <v>Tucuman</v>
      </c>
      <c r="J185" s="61" t="str">
        <f aca="false">INDEX(Parametros!$C$95:$C$106,MATCH(TRIM(INDEX(Datos_Origen!$E$2:$E$2459,$Z185)),Parametros!$B$95:$B$106,0))</f>
        <v>E-commerce</v>
      </c>
      <c r="K185" s="61" t="str">
        <f aca="false">INDEX(Parametros!$C$48:$C$67,MATCH(TRIM(INDEX(Datos_Origen!$F$2:$F$2459,$Z185)),Parametros!$B$48:$B$67,0))</f>
        <v>Computacion</v>
      </c>
      <c r="L185" s="61" t="str">
        <f aca="false">$K185&amp;" "&amp;$C185</f>
        <v>Computacion 2024</v>
      </c>
      <c r="M185" s="61" t="str">
        <f aca="false">TRIM(INDEX(Datos_Origen!$G$2:$G$2459,$Z185))</f>
        <v>Monitor 4K 27</v>
      </c>
      <c r="N185" s="61" t="str">
        <f aca="false">$M185&amp;" "&amp;$C185</f>
        <v>Monitor 4K 27 2024</v>
      </c>
      <c r="O185" s="63" t="n">
        <f aca="false">IF(ISTEXT($AC185),VALUE($AC185),$AC185)</f>
        <v>2</v>
      </c>
      <c r="P185" s="64" t="n">
        <f aca="false">INDEX(Datos_Origen!$I$2:$I$2459,$Z185)</f>
        <v>441</v>
      </c>
      <c r="Q185" s="64" t="n">
        <f aca="false">INDEX(Datos_Origen!$J$2:$J$2459,$Z185)</f>
        <v>272.25</v>
      </c>
      <c r="R185" s="65" t="n">
        <f aca="false">ROUND($O185*$P185,2)</f>
        <v>882</v>
      </c>
      <c r="S185" s="65" t="n">
        <f aca="false">ROUND($O185*$Q185,2)</f>
        <v>544.5</v>
      </c>
      <c r="T185" s="65" t="n">
        <f aca="false">ROUND($R185*SUMIFS(Parametros!$E$28:$E$43,Parametros!$B$28:$B$43,$J185,Parametros!$C$28:$C$43,$C185,Parametros!$D$28:$D$43,$D185),2)</f>
        <v>37.04</v>
      </c>
      <c r="U185" s="65" t="n">
        <f aca="false">$R185-$S185-$T185</f>
        <v>300.46</v>
      </c>
      <c r="V185" s="66" t="n">
        <f aca="false">IFERROR($U185/$R185,0)</f>
        <v>0.340657596371882</v>
      </c>
      <c r="W185" s="67" t="str">
        <f aca="false">IF(AND($V185&gt;=Parametros!$C$8,$R185&gt;=Parametros!$C$12),"Alta rentabilidad",IF(OR($V185&lt;Parametros!$C$11,$R185&lt;Parametros!$C$13),"Revisar","Estandar"))</f>
        <v>Estandar</v>
      </c>
      <c r="X185" s="67" t="str">
        <f aca="false">IF(AND($J185="E-commerce",IFERROR($T185/$R185,0)&gt;Parametros!$C$14),"Alerta","OK")</f>
        <v>OK</v>
      </c>
      <c r="Y185" s="61" t="str">
        <f aca="false">IF($R185&gt;=Parametros!$C$12,"Alto",IF($R185&lt;Parametros!$C$13,"Bajo","Medio"))</f>
        <v>Medio</v>
      </c>
      <c r="Z185" s="61" t="n">
        <v>520</v>
      </c>
      <c r="AA185" s="61" t="str">
        <f aca="false">IF(MATCH($A185,Datos_Origen!$A$2:$A$2459,0)=$Z185,"OK","REVISAR")</f>
        <v>OK</v>
      </c>
      <c r="AB185" s="62" t="n">
        <f aca="false">INDEX(Datos_Origen!$B$2:$B$2459,$Z185)</f>
        <v>45342</v>
      </c>
      <c r="AC185" s="61" t="n">
        <f aca="false">INDEX(Datos_Origen!$H$2:$H$2459,$Z185)</f>
        <v>2</v>
      </c>
      <c r="AD185" s="61" t="str">
        <f aca="false">INDEX(Datos_Origen!$D$2:$D$2459,$Z185)&amp;""</f>
        <v>Tucuman</v>
      </c>
    </row>
    <row r="186" customFormat="false" ht="15" hidden="false" customHeight="false" outlineLevel="0" collapsed="false">
      <c r="A186" s="61" t="n">
        <f aca="false">INDEX(Datos_Origen!$A$2:$A$2459,$Z186)</f>
        <v>185</v>
      </c>
      <c r="B186" s="62" t="n">
        <f aca="false">IF(ISNUMBER($AB186),$AB186,IF(MID($AB186,5,1)="-",DATE(VALUE(LEFT($AB186,4)),VALUE(MID($AB186,6,2)),VALUE(RIGHT($AB186,2))),DATE(VALUE(RIGHT($AB186,4)),VALUE(MID($AB186,4,2)),VALUE(LEFT($AB186,2)))))</f>
        <v>45349</v>
      </c>
      <c r="C186" s="61" t="n">
        <f aca="false">YEAR($B186)</f>
        <v>2024</v>
      </c>
      <c r="D186" s="61" t="str">
        <f aca="false">"Q"&amp;ROUNDUP(MONTH($B186)/3,0)</f>
        <v>Q1</v>
      </c>
      <c r="E186" s="61" t="n">
        <f aca="false">MONTH($B186)</f>
        <v>2</v>
      </c>
      <c r="F186" s="61" t="str">
        <f aca="false">INDEX(Parametros!$I$5:$I$16,$E186)</f>
        <v>Feb</v>
      </c>
      <c r="G186" s="61" t="str">
        <f aca="false">TEXT($C186,"0000")&amp;"-"&amp;TEXT($E186,"00")</f>
        <v>2024-02</v>
      </c>
      <c r="H186" s="61" t="str">
        <f aca="false">INDEX(Parametros!$C$71:$C$91,MATCH(TRIM(INDEX(Datos_Origen!$C$2:$C$2459,$Z186)),Parametros!$B$71:$B$91,0))</f>
        <v>NOA</v>
      </c>
      <c r="I186" s="61" t="str">
        <f aca="false">IF(TRIM($AD186)="",INDEX(Parametros!$I$20:$I$24,MATCH($H186,Parametros!$H$20:$H$24,0)),TRIM($AD186))</f>
        <v>Tucuman</v>
      </c>
      <c r="J186" s="61" t="str">
        <f aca="false">INDEX(Parametros!$C$95:$C$106,MATCH(TRIM(INDEX(Datos_Origen!$E$2:$E$2459,$Z186)),Parametros!$B$95:$B$106,0))</f>
        <v>Tienda fisica</v>
      </c>
      <c r="K186" s="61" t="str">
        <f aca="false">INDEX(Parametros!$C$48:$C$67,MATCH(TRIM(INDEX(Datos_Origen!$F$2:$F$2459,$Z186)),Parametros!$B$48:$B$67,0))</f>
        <v>Computacion</v>
      </c>
      <c r="L186" s="61" t="str">
        <f aca="false">$K186&amp;" "&amp;$C186</f>
        <v>Computacion 2024</v>
      </c>
      <c r="M186" s="61" t="str">
        <f aca="false">TRIM(INDEX(Datos_Origen!$G$2:$G$2459,$Z186))</f>
        <v>PC Gamer Ryzen</v>
      </c>
      <c r="N186" s="61" t="str">
        <f aca="false">$M186&amp;" "&amp;$C186</f>
        <v>PC Gamer Ryzen 2024</v>
      </c>
      <c r="O186" s="63" t="n">
        <f aca="false">IF(ISTEXT($AC186),VALUE($AC186),$AC186)</f>
        <v>4</v>
      </c>
      <c r="P186" s="64" t="n">
        <f aca="false">INDEX(Datos_Origen!$I$2:$I$2459,$Z186)</f>
        <v>1617</v>
      </c>
      <c r="Q186" s="64" t="n">
        <f aca="false">INDEX(Datos_Origen!$J$2:$J$2459,$Z186)</f>
        <v>1122</v>
      </c>
      <c r="R186" s="65" t="n">
        <f aca="false">ROUND($O186*$P186,2)</f>
        <v>6468</v>
      </c>
      <c r="S186" s="65" t="n">
        <f aca="false">ROUND($O186*$Q186,2)</f>
        <v>4488</v>
      </c>
      <c r="T186" s="65" t="n">
        <f aca="false">ROUND($R186*SUMIFS(Parametros!$E$28:$E$43,Parametros!$B$28:$B$43,$J186,Parametros!$C$28:$C$43,$C186,Parametros!$D$28:$D$43,$D186),2)</f>
        <v>77.62</v>
      </c>
      <c r="U186" s="65" t="n">
        <f aca="false">$R186-$S186-$T186</f>
        <v>1902.38</v>
      </c>
      <c r="V186" s="66" t="n">
        <f aca="false">IFERROR($U186/$R186,0)</f>
        <v>0.294121830550402</v>
      </c>
      <c r="W186" s="67" t="str">
        <f aca="false">IF(AND($V186&gt;=Parametros!$C$8,$R186&gt;=Parametros!$C$12),"Alta rentabilidad",IF(OR($V186&lt;Parametros!$C$11,$R186&lt;Parametros!$C$13),"Revisar","Estandar"))</f>
        <v>Estandar</v>
      </c>
      <c r="X186" s="67" t="str">
        <f aca="false">IF(AND($J186="E-commerce",IFERROR($T186/$R186,0)&gt;Parametros!$C$14),"Alerta","OK")</f>
        <v>OK</v>
      </c>
      <c r="Y186" s="61" t="str">
        <f aca="false">IF($R186&gt;=Parametros!$C$12,"Alto",IF($R186&lt;Parametros!$C$13,"Bajo","Medio"))</f>
        <v>Alto</v>
      </c>
      <c r="Z186" s="61" t="n">
        <v>1476</v>
      </c>
      <c r="AA186" s="61" t="str">
        <f aca="false">IF(MATCH($A186,Datos_Origen!$A$2:$A$2459,0)=$Z186,"OK","REVISAR")</f>
        <v>OK</v>
      </c>
      <c r="AB186" s="62" t="n">
        <f aca="false">INDEX(Datos_Origen!$B$2:$B$2459,$Z186)</f>
        <v>45349</v>
      </c>
      <c r="AC186" s="61" t="n">
        <f aca="false">INDEX(Datos_Origen!$H$2:$H$2459,$Z186)</f>
        <v>4</v>
      </c>
      <c r="AD186" s="61" t="str">
        <f aca="false">INDEX(Datos_Origen!$D$2:$D$2459,$Z186)&amp;""</f>
        <v>Tucuman</v>
      </c>
    </row>
    <row r="187" customFormat="false" ht="15" hidden="false" customHeight="false" outlineLevel="0" collapsed="false">
      <c r="A187" s="61" t="n">
        <f aca="false">INDEX(Datos_Origen!$A$2:$A$2459,$Z187)</f>
        <v>186</v>
      </c>
      <c r="B187" s="62" t="n">
        <f aca="false">IF(ISNUMBER($AB187),$AB187,IF(MID($AB187,5,1)="-",DATE(VALUE(LEFT($AB187,4)),VALUE(MID($AB187,6,2)),VALUE(RIGHT($AB187,2))),DATE(VALUE(RIGHT($AB187,4)),VALUE(MID($AB187,4,2)),VALUE(LEFT($AB187,2)))))</f>
        <v>45329</v>
      </c>
      <c r="C187" s="61" t="n">
        <f aca="false">YEAR($B187)</f>
        <v>2024</v>
      </c>
      <c r="D187" s="61" t="str">
        <f aca="false">"Q"&amp;ROUNDUP(MONTH($B187)/3,0)</f>
        <v>Q1</v>
      </c>
      <c r="E187" s="61" t="n">
        <f aca="false">MONTH($B187)</f>
        <v>2</v>
      </c>
      <c r="F187" s="61" t="str">
        <f aca="false">INDEX(Parametros!$I$5:$I$16,$E187)</f>
        <v>Feb</v>
      </c>
      <c r="G187" s="61" t="str">
        <f aca="false">TEXT($C187,"0000")&amp;"-"&amp;TEXT($E187,"00")</f>
        <v>2024-02</v>
      </c>
      <c r="H187" s="61" t="str">
        <f aca="false">INDEX(Parametros!$C$71:$C$91,MATCH(TRIM(INDEX(Datos_Origen!$C$2:$C$2459,$Z187)),Parametros!$B$71:$B$91,0))</f>
        <v>NOA</v>
      </c>
      <c r="I187" s="61" t="str">
        <f aca="false">IF(TRIM($AD187)="",INDEX(Parametros!$I$20:$I$24,MATCH($H187,Parametros!$H$20:$H$24,0)),TRIM($AD187))</f>
        <v>Tucuman</v>
      </c>
      <c r="J187" s="61" t="str">
        <f aca="false">INDEX(Parametros!$C$95:$C$106,MATCH(TRIM(INDEX(Datos_Origen!$E$2:$E$2459,$Z187)),Parametros!$B$95:$B$106,0))</f>
        <v>E-commerce</v>
      </c>
      <c r="K187" s="61" t="str">
        <f aca="false">INDEX(Parametros!$C$48:$C$67,MATCH(TRIM(INDEX(Datos_Origen!$F$2:$F$2459,$Z187)),Parametros!$B$48:$B$67,0))</f>
        <v>Computacion</v>
      </c>
      <c r="L187" s="61" t="str">
        <f aca="false">$K187&amp;" "&amp;$C187</f>
        <v>Computacion 2024</v>
      </c>
      <c r="M187" s="61" t="str">
        <f aca="false">TRIM(INDEX(Datos_Origen!$G$2:$G$2459,$Z187))</f>
        <v>PC Gamer Ryzen</v>
      </c>
      <c r="N187" s="61" t="str">
        <f aca="false">$M187&amp;" "&amp;$C187</f>
        <v>PC Gamer Ryzen 2024</v>
      </c>
      <c r="O187" s="63" t="n">
        <f aca="false">IF(ISTEXT($AC187),VALUE($AC187),$AC187)</f>
        <v>2</v>
      </c>
      <c r="P187" s="64" t="n">
        <f aca="false">INDEX(Datos_Origen!$I$2:$I$2459,$Z187)</f>
        <v>1617</v>
      </c>
      <c r="Q187" s="64" t="n">
        <f aca="false">INDEX(Datos_Origen!$J$2:$J$2459,$Z187)</f>
        <v>1122</v>
      </c>
      <c r="R187" s="65" t="n">
        <f aca="false">ROUND($O187*$P187,2)</f>
        <v>3234</v>
      </c>
      <c r="S187" s="65" t="n">
        <f aca="false">ROUND($O187*$Q187,2)</f>
        <v>2244</v>
      </c>
      <c r="T187" s="65" t="n">
        <f aca="false">ROUND($R187*SUMIFS(Parametros!$E$28:$E$43,Parametros!$B$28:$B$43,$J187,Parametros!$C$28:$C$43,$C187,Parametros!$D$28:$D$43,$D187),2)</f>
        <v>135.83</v>
      </c>
      <c r="U187" s="65" t="n">
        <f aca="false">$R187-$S187-$T187</f>
        <v>854.17</v>
      </c>
      <c r="V187" s="66" t="n">
        <f aca="false">IFERROR($U187/$R187,0)</f>
        <v>0.264121830550402</v>
      </c>
      <c r="W187" s="67" t="str">
        <f aca="false">IF(AND($V187&gt;=Parametros!$C$8,$R187&gt;=Parametros!$C$12),"Alta rentabilidad",IF(OR($V187&lt;Parametros!$C$11,$R187&lt;Parametros!$C$13),"Revisar","Estandar"))</f>
        <v>Revisar</v>
      </c>
      <c r="X187" s="67" t="str">
        <f aca="false">IF(AND($J187="E-commerce",IFERROR($T187/$R187,0)&gt;Parametros!$C$14),"Alerta","OK")</f>
        <v>OK</v>
      </c>
      <c r="Y187" s="61" t="str">
        <f aca="false">IF($R187&gt;=Parametros!$C$12,"Alto",IF($R187&lt;Parametros!$C$13,"Bajo","Medio"))</f>
        <v>Alto</v>
      </c>
      <c r="Z187" s="61" t="n">
        <v>636</v>
      </c>
      <c r="AA187" s="61" t="str">
        <f aca="false">IF(MATCH($A187,Datos_Origen!$A$2:$A$2459,0)=$Z187,"OK","REVISAR")</f>
        <v>OK</v>
      </c>
      <c r="AB187" s="62" t="n">
        <f aca="false">INDEX(Datos_Origen!$B$2:$B$2459,$Z187)</f>
        <v>45329</v>
      </c>
      <c r="AC187" s="61" t="n">
        <f aca="false">INDEX(Datos_Origen!$H$2:$H$2459,$Z187)</f>
        <v>2</v>
      </c>
      <c r="AD187" s="61" t="str">
        <f aca="false">INDEX(Datos_Origen!$D$2:$D$2459,$Z187)&amp;""</f>
        <v>Tucuman</v>
      </c>
    </row>
    <row r="188" customFormat="false" ht="15" hidden="false" customHeight="false" outlineLevel="0" collapsed="false">
      <c r="A188" s="61" t="n">
        <f aca="false">INDEX(Datos_Origen!$A$2:$A$2459,$Z188)</f>
        <v>187</v>
      </c>
      <c r="B188" s="62" t="n">
        <f aca="false">IF(ISNUMBER($AB188),$AB188,IF(MID($AB188,5,1)="-",DATE(VALUE(LEFT($AB188,4)),VALUE(MID($AB188,6,2)),VALUE(RIGHT($AB188,2))),DATE(VALUE(RIGHT($AB188,4)),VALUE(MID($AB188,4,2)),VALUE(LEFT($AB188,2)))))</f>
        <v>45336</v>
      </c>
      <c r="C188" s="61" t="n">
        <f aca="false">YEAR($B188)</f>
        <v>2024</v>
      </c>
      <c r="D188" s="61" t="str">
        <f aca="false">"Q"&amp;ROUNDUP(MONTH($B188)/3,0)</f>
        <v>Q1</v>
      </c>
      <c r="E188" s="61" t="n">
        <f aca="false">MONTH($B188)</f>
        <v>2</v>
      </c>
      <c r="F188" s="61" t="str">
        <f aca="false">INDEX(Parametros!$I$5:$I$16,$E188)</f>
        <v>Feb</v>
      </c>
      <c r="G188" s="61" t="str">
        <f aca="false">TEXT($C188,"0000")&amp;"-"&amp;TEXT($E188,"00")</f>
        <v>2024-02</v>
      </c>
      <c r="H188" s="61" t="str">
        <f aca="false">INDEX(Parametros!$C$71:$C$91,MATCH(TRIM(INDEX(Datos_Origen!$C$2:$C$2459,$Z188)),Parametros!$B$71:$B$91,0))</f>
        <v>NOA</v>
      </c>
      <c r="I188" s="61" t="str">
        <f aca="false">IF(TRIM($AD188)="",INDEX(Parametros!$I$20:$I$24,MATCH($H188,Parametros!$H$20:$H$24,0)),TRIM($AD188))</f>
        <v>Tucuman</v>
      </c>
      <c r="J188" s="61" t="str">
        <f aca="false">INDEX(Parametros!$C$95:$C$106,MATCH(TRIM(INDEX(Datos_Origen!$E$2:$E$2459,$Z188)),Parametros!$B$95:$B$106,0))</f>
        <v>Tienda fisica</v>
      </c>
      <c r="K188" s="61" t="str">
        <f aca="false">INDEX(Parametros!$C$48:$C$67,MATCH(TRIM(INDEX(Datos_Origen!$F$2:$F$2459,$Z188)),Parametros!$B$48:$B$67,0))</f>
        <v>Accesorios</v>
      </c>
      <c r="L188" s="61" t="str">
        <f aca="false">$K188&amp;" "&amp;$C188</f>
        <v>Accesorios 2024</v>
      </c>
      <c r="M188" s="61" t="str">
        <f aca="false">TRIM(INDEX(Datos_Origen!$G$2:$G$2459,$Z188))</f>
        <v>Mouse Inalambrico</v>
      </c>
      <c r="N188" s="61" t="str">
        <f aca="false">$M188&amp;" "&amp;$C188</f>
        <v>Mouse Inalambrico 2024</v>
      </c>
      <c r="O188" s="63" t="n">
        <f aca="false">IF(ISTEXT($AC188),VALUE($AC188),$AC188)</f>
        <v>22</v>
      </c>
      <c r="P188" s="64" t="n">
        <f aca="false">INDEX(Datos_Origen!$I$2:$I$2459,$Z188)</f>
        <v>27.44</v>
      </c>
      <c r="Q188" s="64" t="n">
        <f aca="false">INDEX(Datos_Origen!$J$2:$J$2459,$Z188)</f>
        <v>13.44</v>
      </c>
      <c r="R188" s="65" t="n">
        <f aca="false">ROUND($O188*$P188,2)</f>
        <v>603.68</v>
      </c>
      <c r="S188" s="65" t="n">
        <f aca="false">ROUND($O188*$Q188,2)</f>
        <v>295.68</v>
      </c>
      <c r="T188" s="65" t="n">
        <f aca="false">ROUND($R188*SUMIFS(Parametros!$E$28:$E$43,Parametros!$B$28:$B$43,$J188,Parametros!$C$28:$C$43,$C188,Parametros!$D$28:$D$43,$D188),2)</f>
        <v>7.24</v>
      </c>
      <c r="U188" s="65" t="n">
        <f aca="false">$R188-$S188-$T188</f>
        <v>300.76</v>
      </c>
      <c r="V188" s="66" t="n">
        <f aca="false">IFERROR($U188/$R188,0)</f>
        <v>0.498210972700769</v>
      </c>
      <c r="W188" s="67" t="str">
        <f aca="false">IF(AND($V188&gt;=Parametros!$C$8,$R188&gt;=Parametros!$C$12),"Alta rentabilidad",IF(OR($V188&lt;Parametros!$C$11,$R188&lt;Parametros!$C$13),"Revisar","Estandar"))</f>
        <v>Estandar</v>
      </c>
      <c r="X188" s="67" t="str">
        <f aca="false">IF(AND($J188="E-commerce",IFERROR($T188/$R188,0)&gt;Parametros!$C$14),"Alerta","OK")</f>
        <v>OK</v>
      </c>
      <c r="Y188" s="61" t="str">
        <f aca="false">IF($R188&gt;=Parametros!$C$12,"Alto",IF($R188&lt;Parametros!$C$13,"Bajo","Medio"))</f>
        <v>Medio</v>
      </c>
      <c r="Z188" s="61" t="n">
        <v>2174</v>
      </c>
      <c r="AA188" s="61" t="str">
        <f aca="false">IF(MATCH($A188,Datos_Origen!$A$2:$A$2459,0)=$Z188,"OK","REVISAR")</f>
        <v>OK</v>
      </c>
      <c r="AB188" s="62" t="n">
        <f aca="false">INDEX(Datos_Origen!$B$2:$B$2459,$Z188)</f>
        <v>45336</v>
      </c>
      <c r="AC188" s="61" t="n">
        <f aca="false">INDEX(Datos_Origen!$H$2:$H$2459,$Z188)</f>
        <v>22</v>
      </c>
      <c r="AD188" s="61" t="str">
        <f aca="false">INDEX(Datos_Origen!$D$2:$D$2459,$Z188)&amp;""</f>
        <v>Tucuman</v>
      </c>
    </row>
    <row r="189" customFormat="false" ht="15" hidden="false" customHeight="false" outlineLevel="0" collapsed="false">
      <c r="A189" s="61" t="n">
        <f aca="false">INDEX(Datos_Origen!$A$2:$A$2459,$Z189)</f>
        <v>188</v>
      </c>
      <c r="B189" s="62" t="n">
        <f aca="false">IF(ISNUMBER($AB189),$AB189,IF(MID($AB189,5,1)="-",DATE(VALUE(LEFT($AB189,4)),VALUE(MID($AB189,6,2)),VALUE(RIGHT($AB189,2))),DATE(VALUE(RIGHT($AB189,4)),VALUE(MID($AB189,4,2)),VALUE(LEFT($AB189,2)))))</f>
        <v>45343</v>
      </c>
      <c r="C189" s="61" t="n">
        <f aca="false">YEAR($B189)</f>
        <v>2024</v>
      </c>
      <c r="D189" s="61" t="str">
        <f aca="false">"Q"&amp;ROUNDUP(MONTH($B189)/3,0)</f>
        <v>Q1</v>
      </c>
      <c r="E189" s="61" t="n">
        <f aca="false">MONTH($B189)</f>
        <v>2</v>
      </c>
      <c r="F189" s="61" t="str">
        <f aca="false">INDEX(Parametros!$I$5:$I$16,$E189)</f>
        <v>Feb</v>
      </c>
      <c r="G189" s="61" t="str">
        <f aca="false">TEXT($C189,"0000")&amp;"-"&amp;TEXT($E189,"00")</f>
        <v>2024-02</v>
      </c>
      <c r="H189" s="61" t="str">
        <f aca="false">INDEX(Parametros!$C$71:$C$91,MATCH(TRIM(INDEX(Datos_Origen!$C$2:$C$2459,$Z189)),Parametros!$B$71:$B$91,0))</f>
        <v>NOA</v>
      </c>
      <c r="I189" s="61" t="str">
        <f aca="false">IF(TRIM($AD189)="",INDEX(Parametros!$I$20:$I$24,MATCH($H189,Parametros!$H$20:$H$24,0)),TRIM($AD189))</f>
        <v>Tucuman</v>
      </c>
      <c r="J189" s="61" t="str">
        <f aca="false">INDEX(Parametros!$C$95:$C$106,MATCH(TRIM(INDEX(Datos_Origen!$E$2:$E$2459,$Z189)),Parametros!$B$95:$B$106,0))</f>
        <v>E-commerce</v>
      </c>
      <c r="K189" s="61" t="str">
        <f aca="false">INDEX(Parametros!$C$48:$C$67,MATCH(TRIM(INDEX(Datos_Origen!$F$2:$F$2459,$Z189)),Parametros!$B$48:$B$67,0))</f>
        <v>Accesorios</v>
      </c>
      <c r="L189" s="61" t="str">
        <f aca="false">$K189&amp;" "&amp;$C189</f>
        <v>Accesorios 2024</v>
      </c>
      <c r="M189" s="61" t="str">
        <f aca="false">TRIM(INDEX(Datos_Origen!$G$2:$G$2459,$Z189))</f>
        <v>Mouse Inalambrico</v>
      </c>
      <c r="N189" s="61" t="str">
        <f aca="false">$M189&amp;" "&amp;$C189</f>
        <v>Mouse Inalambrico 2024</v>
      </c>
      <c r="O189" s="63" t="n">
        <f aca="false">IF(ISTEXT($AC189),VALUE($AC189),$AC189)</f>
        <v>9</v>
      </c>
      <c r="P189" s="64" t="n">
        <f aca="false">INDEX(Datos_Origen!$I$2:$I$2459,$Z189)</f>
        <v>27.44</v>
      </c>
      <c r="Q189" s="64" t="n">
        <f aca="false">INDEX(Datos_Origen!$J$2:$J$2459,$Z189)</f>
        <v>13.44</v>
      </c>
      <c r="R189" s="65" t="n">
        <f aca="false">ROUND($O189*$P189,2)</f>
        <v>246.96</v>
      </c>
      <c r="S189" s="65" t="n">
        <f aca="false">ROUND($O189*$Q189,2)</f>
        <v>120.96</v>
      </c>
      <c r="T189" s="65" t="n">
        <f aca="false">ROUND($R189*SUMIFS(Parametros!$E$28:$E$43,Parametros!$B$28:$B$43,$J189,Parametros!$C$28:$C$43,$C189,Parametros!$D$28:$D$43,$D189),2)</f>
        <v>10.37</v>
      </c>
      <c r="U189" s="65" t="n">
        <f aca="false">$R189-$S189-$T189</f>
        <v>115.63</v>
      </c>
      <c r="V189" s="66" t="n">
        <f aca="false">IFERROR($U189/$R189,0)</f>
        <v>0.468213475866537</v>
      </c>
      <c r="W189" s="67" t="str">
        <f aca="false">IF(AND($V189&gt;=Parametros!$C$8,$R189&gt;=Parametros!$C$12),"Alta rentabilidad",IF(OR($V189&lt;Parametros!$C$11,$R189&lt;Parametros!$C$13),"Revisar","Estandar"))</f>
        <v>Revisar</v>
      </c>
      <c r="X189" s="67" t="str">
        <f aca="false">IF(AND($J189="E-commerce",IFERROR($T189/$R189,0)&gt;Parametros!$C$14),"Alerta","OK")</f>
        <v>OK</v>
      </c>
      <c r="Y189" s="61" t="str">
        <f aca="false">IF($R189&gt;=Parametros!$C$12,"Alto",IF($R189&lt;Parametros!$C$13,"Bajo","Medio"))</f>
        <v>Bajo</v>
      </c>
      <c r="Z189" s="61" t="n">
        <v>2204</v>
      </c>
      <c r="AA189" s="61" t="str">
        <f aca="false">IF(MATCH($A189,Datos_Origen!$A$2:$A$2459,0)=$Z189,"OK","REVISAR")</f>
        <v>OK</v>
      </c>
      <c r="AB189" s="62" t="n">
        <f aca="false">INDEX(Datos_Origen!$B$2:$B$2459,$Z189)</f>
        <v>45343</v>
      </c>
      <c r="AC189" s="61" t="n">
        <f aca="false">INDEX(Datos_Origen!$H$2:$H$2459,$Z189)</f>
        <v>9</v>
      </c>
      <c r="AD189" s="61" t="str">
        <f aca="false">INDEX(Datos_Origen!$D$2:$D$2459,$Z189)&amp;""</f>
        <v>Tucuman</v>
      </c>
    </row>
    <row r="190" customFormat="false" ht="15" hidden="false" customHeight="false" outlineLevel="0" collapsed="false">
      <c r="A190" s="61" t="n">
        <f aca="false">INDEX(Datos_Origen!$A$2:$A$2459,$Z190)</f>
        <v>189</v>
      </c>
      <c r="B190" s="62" t="n">
        <f aca="false">IF(ISNUMBER($AB190),$AB190,IF(MID($AB190,5,1)="-",DATE(VALUE(LEFT($AB190,4)),VALUE(MID($AB190,6,2)),VALUE(RIGHT($AB190,2))),DATE(VALUE(RIGHT($AB190,4)),VALUE(MID($AB190,4,2)),VALUE(LEFT($AB190,2)))))</f>
        <v>45323</v>
      </c>
      <c r="C190" s="61" t="n">
        <f aca="false">YEAR($B190)</f>
        <v>2024</v>
      </c>
      <c r="D190" s="61" t="str">
        <f aca="false">"Q"&amp;ROUNDUP(MONTH($B190)/3,0)</f>
        <v>Q1</v>
      </c>
      <c r="E190" s="61" t="n">
        <f aca="false">MONTH($B190)</f>
        <v>2</v>
      </c>
      <c r="F190" s="61" t="str">
        <f aca="false">INDEX(Parametros!$I$5:$I$16,$E190)</f>
        <v>Feb</v>
      </c>
      <c r="G190" s="61" t="str">
        <f aca="false">TEXT($C190,"0000")&amp;"-"&amp;TEXT($E190,"00")</f>
        <v>2024-02</v>
      </c>
      <c r="H190" s="61" t="str">
        <f aca="false">INDEX(Parametros!$C$71:$C$91,MATCH(TRIM(INDEX(Datos_Origen!$C$2:$C$2459,$Z190)),Parametros!$B$71:$B$91,0))</f>
        <v>NOA</v>
      </c>
      <c r="I190" s="61" t="str">
        <f aca="false">IF(TRIM($AD190)="",INDEX(Parametros!$I$20:$I$24,MATCH($H190,Parametros!$H$20:$H$24,0)),TRIM($AD190))</f>
        <v>Tucuman</v>
      </c>
      <c r="J190" s="61" t="str">
        <f aca="false">INDEX(Parametros!$C$95:$C$106,MATCH(TRIM(INDEX(Datos_Origen!$E$2:$E$2459,$Z190)),Parametros!$B$95:$B$106,0))</f>
        <v>Tienda fisica</v>
      </c>
      <c r="K190" s="61" t="str">
        <f aca="false">INDEX(Parametros!$C$48:$C$67,MATCH(TRIM(INDEX(Datos_Origen!$F$2:$F$2459,$Z190)),Parametros!$B$48:$B$67,0))</f>
        <v>Accesorios</v>
      </c>
      <c r="L190" s="61" t="str">
        <f aca="false">$K190&amp;" "&amp;$C190</f>
        <v>Accesorios 2024</v>
      </c>
      <c r="M190" s="61" t="str">
        <f aca="false">TRIM(INDEX(Datos_Origen!$G$2:$G$2459,$Z190))</f>
        <v>Teclado Mecanico</v>
      </c>
      <c r="N190" s="61" t="str">
        <f aca="false">$M190&amp;" "&amp;$C190</f>
        <v>Teclado Mecanico 2024</v>
      </c>
      <c r="O190" s="63" t="n">
        <f aca="false">IF(ISTEXT($AC190),VALUE($AC190),$AC190)</f>
        <v>21</v>
      </c>
      <c r="P190" s="64" t="n">
        <f aca="false">INDEX(Datos_Origen!$I$2:$I$2459,$Z190)</f>
        <v>93.1</v>
      </c>
      <c r="Q190" s="64" t="n">
        <f aca="false">INDEX(Datos_Origen!$J$2:$J$2459,$Z190)</f>
        <v>47.98</v>
      </c>
      <c r="R190" s="65" t="n">
        <f aca="false">ROUND($O190*$P190,2)</f>
        <v>1955.1</v>
      </c>
      <c r="S190" s="65" t="n">
        <f aca="false">ROUND($O190*$Q190,2)</f>
        <v>1007.58</v>
      </c>
      <c r="T190" s="65" t="n">
        <f aca="false">ROUND($R190*SUMIFS(Parametros!$E$28:$E$43,Parametros!$B$28:$B$43,$J190,Parametros!$C$28:$C$43,$C190,Parametros!$D$28:$D$43,$D190),2)</f>
        <v>23.46</v>
      </c>
      <c r="U190" s="65" t="n">
        <f aca="false">$R190-$S190-$T190</f>
        <v>924.06</v>
      </c>
      <c r="V190" s="66" t="n">
        <f aca="false">IFERROR($U190/$R190,0)</f>
        <v>0.472640785637563</v>
      </c>
      <c r="W190" s="67" t="str">
        <f aca="false">IF(AND($V190&gt;=Parametros!$C$8,$R190&gt;=Parametros!$C$12),"Alta rentabilidad",IF(OR($V190&lt;Parametros!$C$11,$R190&lt;Parametros!$C$13),"Revisar","Estandar"))</f>
        <v>Estandar</v>
      </c>
      <c r="X190" s="67" t="str">
        <f aca="false">IF(AND($J190="E-commerce",IFERROR($T190/$R190,0)&gt;Parametros!$C$14),"Alerta","OK")</f>
        <v>OK</v>
      </c>
      <c r="Y190" s="61" t="str">
        <f aca="false">IF($R190&gt;=Parametros!$C$12,"Alto",IF($R190&lt;Parametros!$C$13,"Bajo","Medio"))</f>
        <v>Medio</v>
      </c>
      <c r="Z190" s="61" t="n">
        <v>2083</v>
      </c>
      <c r="AA190" s="61" t="str">
        <f aca="false">IF(MATCH($A190,Datos_Origen!$A$2:$A$2459,0)=$Z190,"OK","REVISAR")</f>
        <v>OK</v>
      </c>
      <c r="AB190" s="61" t="str">
        <f aca="false">INDEX(Datos_Origen!$B$2:$B$2459,$Z190)</f>
        <v>2024-02-01</v>
      </c>
      <c r="AC190" s="61" t="n">
        <f aca="false">INDEX(Datos_Origen!$H$2:$H$2459,$Z190)</f>
        <v>21</v>
      </c>
      <c r="AD190" s="61" t="str">
        <f aca="false">INDEX(Datos_Origen!$D$2:$D$2459,$Z190)&amp;""</f>
        <v>Tucuman</v>
      </c>
    </row>
    <row r="191" customFormat="false" ht="15" hidden="false" customHeight="false" outlineLevel="0" collapsed="false">
      <c r="A191" s="61" t="n">
        <f aca="false">INDEX(Datos_Origen!$A$2:$A$2459,$Z191)</f>
        <v>190</v>
      </c>
      <c r="B191" s="62" t="n">
        <f aca="false">IF(ISNUMBER($AB191),$AB191,IF(MID($AB191,5,1)="-",DATE(VALUE(LEFT($AB191,4)),VALUE(MID($AB191,6,2)),VALUE(RIGHT($AB191,2))),DATE(VALUE(RIGHT($AB191,4)),VALUE(MID($AB191,4,2)),VALUE(LEFT($AB191,2)))))</f>
        <v>45330</v>
      </c>
      <c r="C191" s="61" t="n">
        <f aca="false">YEAR($B191)</f>
        <v>2024</v>
      </c>
      <c r="D191" s="61" t="str">
        <f aca="false">"Q"&amp;ROUNDUP(MONTH($B191)/3,0)</f>
        <v>Q1</v>
      </c>
      <c r="E191" s="61" t="n">
        <f aca="false">MONTH($B191)</f>
        <v>2</v>
      </c>
      <c r="F191" s="61" t="str">
        <f aca="false">INDEX(Parametros!$I$5:$I$16,$E191)</f>
        <v>Feb</v>
      </c>
      <c r="G191" s="61" t="str">
        <f aca="false">TEXT($C191,"0000")&amp;"-"&amp;TEXT($E191,"00")</f>
        <v>2024-02</v>
      </c>
      <c r="H191" s="61" t="str">
        <f aca="false">INDEX(Parametros!$C$71:$C$91,MATCH(TRIM(INDEX(Datos_Origen!$C$2:$C$2459,$Z191)),Parametros!$B$71:$B$91,0))</f>
        <v>NOA</v>
      </c>
      <c r="I191" s="61" t="str">
        <f aca="false">IF(TRIM($AD191)="",INDEX(Parametros!$I$20:$I$24,MATCH($H191,Parametros!$H$20:$H$24,0)),TRIM($AD191))</f>
        <v>Tucuman</v>
      </c>
      <c r="J191" s="61" t="str">
        <f aca="false">INDEX(Parametros!$C$95:$C$106,MATCH(TRIM(INDEX(Datos_Origen!$E$2:$E$2459,$Z191)),Parametros!$B$95:$B$106,0))</f>
        <v>E-commerce</v>
      </c>
      <c r="K191" s="61" t="str">
        <f aca="false">INDEX(Parametros!$C$48:$C$67,MATCH(TRIM(INDEX(Datos_Origen!$F$2:$F$2459,$Z191)),Parametros!$B$48:$B$67,0))</f>
        <v>Accesorios</v>
      </c>
      <c r="L191" s="61" t="str">
        <f aca="false">$K191&amp;" "&amp;$C191</f>
        <v>Accesorios 2024</v>
      </c>
      <c r="M191" s="61" t="str">
        <f aca="false">TRIM(INDEX(Datos_Origen!$G$2:$G$2459,$Z191))</f>
        <v>Teclado Mecanico</v>
      </c>
      <c r="N191" s="61" t="str">
        <f aca="false">$M191&amp;" "&amp;$C191</f>
        <v>Teclado Mecanico 2024</v>
      </c>
      <c r="O191" s="63" t="n">
        <f aca="false">IF(ISTEXT($AC191),VALUE($AC191),$AC191)</f>
        <v>9</v>
      </c>
      <c r="P191" s="64" t="n">
        <f aca="false">INDEX(Datos_Origen!$I$2:$I$2459,$Z191)</f>
        <v>93.1</v>
      </c>
      <c r="Q191" s="64" t="n">
        <f aca="false">INDEX(Datos_Origen!$J$2:$J$2459,$Z191)</f>
        <v>47.98</v>
      </c>
      <c r="R191" s="65" t="n">
        <f aca="false">ROUND($O191*$P191,2)</f>
        <v>837.9</v>
      </c>
      <c r="S191" s="65" t="n">
        <f aca="false">ROUND($O191*$Q191,2)</f>
        <v>431.82</v>
      </c>
      <c r="T191" s="65" t="n">
        <f aca="false">ROUND($R191*SUMIFS(Parametros!$E$28:$E$43,Parametros!$B$28:$B$43,$J191,Parametros!$C$28:$C$43,$C191,Parametros!$D$28:$D$43,$D191),2)</f>
        <v>35.19</v>
      </c>
      <c r="U191" s="65" t="n">
        <f aca="false">$R191-$S191-$T191</f>
        <v>370.89</v>
      </c>
      <c r="V191" s="66" t="n">
        <f aca="false">IFERROR($U191/$R191,0)</f>
        <v>0.442642320085929</v>
      </c>
      <c r="W191" s="67" t="str">
        <f aca="false">IF(AND($V191&gt;=Parametros!$C$8,$R191&gt;=Parametros!$C$12),"Alta rentabilidad",IF(OR($V191&lt;Parametros!$C$11,$R191&lt;Parametros!$C$13),"Revisar","Estandar"))</f>
        <v>Estandar</v>
      </c>
      <c r="X191" s="67" t="str">
        <f aca="false">IF(AND($J191="E-commerce",IFERROR($T191/$R191,0)&gt;Parametros!$C$14),"Alerta","OK")</f>
        <v>OK</v>
      </c>
      <c r="Y191" s="61" t="str">
        <f aca="false">IF($R191&gt;=Parametros!$C$12,"Alto",IF($R191&lt;Parametros!$C$13,"Bajo","Medio"))</f>
        <v>Medio</v>
      </c>
      <c r="Z191" s="61" t="n">
        <v>1358</v>
      </c>
      <c r="AA191" s="61" t="str">
        <f aca="false">IF(MATCH($A191,Datos_Origen!$A$2:$A$2459,0)=$Z191,"OK","REVISAR")</f>
        <v>OK</v>
      </c>
      <c r="AB191" s="62" t="n">
        <f aca="false">INDEX(Datos_Origen!$B$2:$B$2459,$Z191)</f>
        <v>45330</v>
      </c>
      <c r="AC191" s="61" t="str">
        <f aca="false">INDEX(Datos_Origen!$H$2:$H$2459,$Z191)</f>
        <v>9</v>
      </c>
      <c r="AD191" s="61" t="str">
        <f aca="false">INDEX(Datos_Origen!$D$2:$D$2459,$Z191)&amp;""</f>
        <v>Tucuman</v>
      </c>
    </row>
    <row r="192" customFormat="false" ht="15" hidden="false" customHeight="false" outlineLevel="0" collapsed="false">
      <c r="A192" s="61" t="n">
        <f aca="false">INDEX(Datos_Origen!$A$2:$A$2459,$Z192)</f>
        <v>191</v>
      </c>
      <c r="B192" s="62" t="n">
        <f aca="false">IF(ISNUMBER($AB192),$AB192,IF(MID($AB192,5,1)="-",DATE(VALUE(LEFT($AB192,4)),VALUE(MID($AB192,6,2)),VALUE(RIGHT($AB192,2))),DATE(VALUE(RIGHT($AB192,4)),VALUE(MID($AB192,4,2)),VALUE(LEFT($AB192,2)))))</f>
        <v>45337</v>
      </c>
      <c r="C192" s="61" t="n">
        <f aca="false">YEAR($B192)</f>
        <v>2024</v>
      </c>
      <c r="D192" s="61" t="str">
        <f aca="false">"Q"&amp;ROUNDUP(MONTH($B192)/3,0)</f>
        <v>Q1</v>
      </c>
      <c r="E192" s="61" t="n">
        <f aca="false">MONTH($B192)</f>
        <v>2</v>
      </c>
      <c r="F192" s="61" t="str">
        <f aca="false">INDEX(Parametros!$I$5:$I$16,$E192)</f>
        <v>Feb</v>
      </c>
      <c r="G192" s="61" t="str">
        <f aca="false">TEXT($C192,"0000")&amp;"-"&amp;TEXT($E192,"00")</f>
        <v>2024-02</v>
      </c>
      <c r="H192" s="61" t="str">
        <f aca="false">INDEX(Parametros!$C$71:$C$91,MATCH(TRIM(INDEX(Datos_Origen!$C$2:$C$2459,$Z192)),Parametros!$B$71:$B$91,0))</f>
        <v>NOA</v>
      </c>
      <c r="I192" s="61" t="str">
        <f aca="false">IF(TRIM($AD192)="",INDEX(Parametros!$I$20:$I$24,MATCH($H192,Parametros!$H$20:$H$24,0)),TRIM($AD192))</f>
        <v>Tucuman</v>
      </c>
      <c r="J192" s="61" t="str">
        <f aca="false">INDEX(Parametros!$C$95:$C$106,MATCH(TRIM(INDEX(Datos_Origen!$E$2:$E$2459,$Z192)),Parametros!$B$95:$B$106,0))</f>
        <v>Tienda fisica</v>
      </c>
      <c r="K192" s="61" t="str">
        <f aca="false">INDEX(Parametros!$C$48:$C$67,MATCH(TRIM(INDEX(Datos_Origen!$F$2:$F$2459,$Z192)),Parametros!$B$48:$B$67,0))</f>
        <v>Accesorios</v>
      </c>
      <c r="L192" s="61" t="str">
        <f aca="false">$K192&amp;" "&amp;$C192</f>
        <v>Accesorios 2024</v>
      </c>
      <c r="M192" s="61" t="str">
        <f aca="false">TRIM(INDEX(Datos_Origen!$G$2:$G$2459,$Z192))</f>
        <v>Webcam Full HD</v>
      </c>
      <c r="N192" s="61" t="str">
        <f aca="false">$M192&amp;" "&amp;$C192</f>
        <v>Webcam Full HD 2024</v>
      </c>
      <c r="O192" s="63" t="n">
        <f aca="false">IF(ISTEXT($AC192),VALUE($AC192),$AC192)</f>
        <v>24</v>
      </c>
      <c r="P192" s="64" t="n">
        <f aca="false">INDEX(Datos_Origen!$I$2:$I$2459,$Z192)</f>
        <v>63.7</v>
      </c>
      <c r="Q192" s="64" t="n">
        <f aca="false">INDEX(Datos_Origen!$J$2:$J$2459,$Z192)</f>
        <v>35.43</v>
      </c>
      <c r="R192" s="65" t="n">
        <f aca="false">ROUND($O192*$P192,2)</f>
        <v>1528.8</v>
      </c>
      <c r="S192" s="65" t="n">
        <f aca="false">ROUND($O192*$Q192,2)</f>
        <v>850.32</v>
      </c>
      <c r="T192" s="65" t="n">
        <f aca="false">ROUND($R192*SUMIFS(Parametros!$E$28:$E$43,Parametros!$B$28:$B$43,$J192,Parametros!$C$28:$C$43,$C192,Parametros!$D$28:$D$43,$D192),2)</f>
        <v>18.35</v>
      </c>
      <c r="U192" s="65" t="n">
        <f aca="false">$R192-$S192-$T192</f>
        <v>660.13</v>
      </c>
      <c r="V192" s="66" t="n">
        <f aca="false">IFERROR($U192/$R192,0)</f>
        <v>0.431796180010466</v>
      </c>
      <c r="W192" s="67" t="str">
        <f aca="false">IF(AND($V192&gt;=Parametros!$C$8,$R192&gt;=Parametros!$C$12),"Alta rentabilidad",IF(OR($V192&lt;Parametros!$C$11,$R192&lt;Parametros!$C$13),"Revisar","Estandar"))</f>
        <v>Estandar</v>
      </c>
      <c r="X192" s="67" t="str">
        <f aca="false">IF(AND($J192="E-commerce",IFERROR($T192/$R192,0)&gt;Parametros!$C$14),"Alerta","OK")</f>
        <v>OK</v>
      </c>
      <c r="Y192" s="61" t="str">
        <f aca="false">IF($R192&gt;=Parametros!$C$12,"Alto",IF($R192&lt;Parametros!$C$13,"Bajo","Medio"))</f>
        <v>Medio</v>
      </c>
      <c r="Z192" s="61" t="n">
        <v>2227</v>
      </c>
      <c r="AA192" s="61" t="str">
        <f aca="false">IF(MATCH($A192,Datos_Origen!$A$2:$A$2459,0)=$Z192,"OK","REVISAR")</f>
        <v>OK</v>
      </c>
      <c r="AB192" s="62" t="n">
        <f aca="false">INDEX(Datos_Origen!$B$2:$B$2459,$Z192)</f>
        <v>45337</v>
      </c>
      <c r="AC192" s="61" t="n">
        <f aca="false">INDEX(Datos_Origen!$H$2:$H$2459,$Z192)</f>
        <v>24</v>
      </c>
      <c r="AD192" s="61" t="str">
        <f aca="false">INDEX(Datos_Origen!$D$2:$D$2459,$Z192)&amp;""</f>
        <v>Tucuman</v>
      </c>
    </row>
    <row r="193" customFormat="false" ht="15" hidden="false" customHeight="false" outlineLevel="0" collapsed="false">
      <c r="A193" s="61" t="n">
        <f aca="false">INDEX(Datos_Origen!$A$2:$A$2459,$Z193)</f>
        <v>192</v>
      </c>
      <c r="B193" s="62" t="n">
        <f aca="false">IF(ISNUMBER($AB193),$AB193,IF(MID($AB193,5,1)="-",DATE(VALUE(LEFT($AB193,4)),VALUE(MID($AB193,6,2)),VALUE(RIGHT($AB193,2))),DATE(VALUE(RIGHT($AB193,4)),VALUE(MID($AB193,4,2)),VALUE(LEFT($AB193,2)))))</f>
        <v>45344</v>
      </c>
      <c r="C193" s="61" t="n">
        <f aca="false">YEAR($B193)</f>
        <v>2024</v>
      </c>
      <c r="D193" s="61" t="str">
        <f aca="false">"Q"&amp;ROUNDUP(MONTH($B193)/3,0)</f>
        <v>Q1</v>
      </c>
      <c r="E193" s="61" t="n">
        <f aca="false">MONTH($B193)</f>
        <v>2</v>
      </c>
      <c r="F193" s="61" t="str">
        <f aca="false">INDEX(Parametros!$I$5:$I$16,$E193)</f>
        <v>Feb</v>
      </c>
      <c r="G193" s="61" t="str">
        <f aca="false">TEXT($C193,"0000")&amp;"-"&amp;TEXT($E193,"00")</f>
        <v>2024-02</v>
      </c>
      <c r="H193" s="61" t="str">
        <f aca="false">INDEX(Parametros!$C$71:$C$91,MATCH(TRIM(INDEX(Datos_Origen!$C$2:$C$2459,$Z193)),Parametros!$B$71:$B$91,0))</f>
        <v>NOA</v>
      </c>
      <c r="I193" s="61" t="str">
        <f aca="false">IF(TRIM($AD193)="",INDEX(Parametros!$I$20:$I$24,MATCH($H193,Parametros!$H$20:$H$24,0)),TRIM($AD193))</f>
        <v>Tucuman</v>
      </c>
      <c r="J193" s="61" t="str">
        <f aca="false">INDEX(Parametros!$C$95:$C$106,MATCH(TRIM(INDEX(Datos_Origen!$E$2:$E$2459,$Z193)),Parametros!$B$95:$B$106,0))</f>
        <v>E-commerce</v>
      </c>
      <c r="K193" s="61" t="str">
        <f aca="false">INDEX(Parametros!$C$48:$C$67,MATCH(TRIM(INDEX(Datos_Origen!$F$2:$F$2459,$Z193)),Parametros!$B$48:$B$67,0))</f>
        <v>Accesorios</v>
      </c>
      <c r="L193" s="61" t="str">
        <f aca="false">$K193&amp;" "&amp;$C193</f>
        <v>Accesorios 2024</v>
      </c>
      <c r="M193" s="61" t="str">
        <f aca="false">TRIM(INDEX(Datos_Origen!$G$2:$G$2459,$Z193))</f>
        <v>Webcam Full HD</v>
      </c>
      <c r="N193" s="61" t="str">
        <f aca="false">$M193&amp;" "&amp;$C193</f>
        <v>Webcam Full HD 2024</v>
      </c>
      <c r="O193" s="63" t="n">
        <f aca="false">IF(ISTEXT($AC193),VALUE($AC193),$AC193)</f>
        <v>10</v>
      </c>
      <c r="P193" s="64" t="n">
        <f aca="false">INDEX(Datos_Origen!$I$2:$I$2459,$Z193)</f>
        <v>63.7</v>
      </c>
      <c r="Q193" s="64" t="n">
        <f aca="false">INDEX(Datos_Origen!$J$2:$J$2459,$Z193)</f>
        <v>35.43</v>
      </c>
      <c r="R193" s="65" t="n">
        <f aca="false">ROUND($O193*$P193,2)</f>
        <v>637</v>
      </c>
      <c r="S193" s="65" t="n">
        <f aca="false">ROUND($O193*$Q193,2)</f>
        <v>354.3</v>
      </c>
      <c r="T193" s="65" t="n">
        <f aca="false">ROUND($R193*SUMIFS(Parametros!$E$28:$E$43,Parametros!$B$28:$B$43,$J193,Parametros!$C$28:$C$43,$C193,Parametros!$D$28:$D$43,$D193),2)</f>
        <v>26.75</v>
      </c>
      <c r="U193" s="65" t="n">
        <f aca="false">$R193-$S193-$T193</f>
        <v>255.95</v>
      </c>
      <c r="V193" s="66" t="n">
        <f aca="false">IFERROR($U193/$R193,0)</f>
        <v>0.401805337519623</v>
      </c>
      <c r="W193" s="67" t="str">
        <f aca="false">IF(AND($V193&gt;=Parametros!$C$8,$R193&gt;=Parametros!$C$12),"Alta rentabilidad",IF(OR($V193&lt;Parametros!$C$11,$R193&lt;Parametros!$C$13),"Revisar","Estandar"))</f>
        <v>Estandar</v>
      </c>
      <c r="X193" s="67" t="str">
        <f aca="false">IF(AND($J193="E-commerce",IFERROR($T193/$R193,0)&gt;Parametros!$C$14),"Alerta","OK")</f>
        <v>OK</v>
      </c>
      <c r="Y193" s="61" t="str">
        <f aca="false">IF($R193&gt;=Parametros!$C$12,"Alto",IF($R193&lt;Parametros!$C$13,"Bajo","Medio"))</f>
        <v>Medio</v>
      </c>
      <c r="Z193" s="61" t="n">
        <v>584</v>
      </c>
      <c r="AA193" s="61" t="str">
        <f aca="false">IF(MATCH($A193,Datos_Origen!$A$2:$A$2459,0)=$Z193,"OK","REVISAR")</f>
        <v>OK</v>
      </c>
      <c r="AB193" s="62" t="n">
        <f aca="false">INDEX(Datos_Origen!$B$2:$B$2459,$Z193)</f>
        <v>45344</v>
      </c>
      <c r="AC193" s="61" t="n">
        <f aca="false">INDEX(Datos_Origen!$H$2:$H$2459,$Z193)</f>
        <v>10</v>
      </c>
      <c r="AD193" s="61" t="str">
        <f aca="false">INDEX(Datos_Origen!$D$2:$D$2459,$Z193)&amp;""</f>
        <v/>
      </c>
    </row>
    <row r="194" customFormat="false" ht="15" hidden="false" customHeight="false" outlineLevel="0" collapsed="false">
      <c r="A194" s="61" t="n">
        <f aca="false">INDEX(Datos_Origen!$A$2:$A$2459,$Z194)</f>
        <v>193</v>
      </c>
      <c r="B194" s="62" t="n">
        <f aca="false">IF(ISNUMBER($AB194),$AB194,IF(MID($AB194,5,1)="-",DATE(VALUE(LEFT($AB194,4)),VALUE(MID($AB194,6,2)),VALUE(RIGHT($AB194,2))),DATE(VALUE(RIGHT($AB194,4)),VALUE(MID($AB194,4,2)),VALUE(LEFT($AB194,2)))))</f>
        <v>45324</v>
      </c>
      <c r="C194" s="61" t="n">
        <f aca="false">YEAR($B194)</f>
        <v>2024</v>
      </c>
      <c r="D194" s="61" t="str">
        <f aca="false">"Q"&amp;ROUNDUP(MONTH($B194)/3,0)</f>
        <v>Q1</v>
      </c>
      <c r="E194" s="61" t="n">
        <f aca="false">MONTH($B194)</f>
        <v>2</v>
      </c>
      <c r="F194" s="61" t="str">
        <f aca="false">INDEX(Parametros!$I$5:$I$16,$E194)</f>
        <v>Feb</v>
      </c>
      <c r="G194" s="61" t="str">
        <f aca="false">TEXT($C194,"0000")&amp;"-"&amp;TEXT($E194,"00")</f>
        <v>2024-02</v>
      </c>
      <c r="H194" s="61" t="str">
        <f aca="false">INDEX(Parametros!$C$71:$C$91,MATCH(TRIM(INDEX(Datos_Origen!$C$2:$C$2459,$Z194)),Parametros!$B$71:$B$91,0))</f>
        <v>NOA</v>
      </c>
      <c r="I194" s="61" t="str">
        <f aca="false">IF(TRIM($AD194)="",INDEX(Parametros!$I$20:$I$24,MATCH($H194,Parametros!$H$20:$H$24,0)),TRIM($AD194))</f>
        <v>Tucuman</v>
      </c>
      <c r="J194" s="61" t="str">
        <f aca="false">INDEX(Parametros!$C$95:$C$106,MATCH(TRIM(INDEX(Datos_Origen!$E$2:$E$2459,$Z194)),Parametros!$B$95:$B$106,0))</f>
        <v>Tienda fisica</v>
      </c>
      <c r="K194" s="61" t="str">
        <f aca="false">INDEX(Parametros!$C$48:$C$67,MATCH(TRIM(INDEX(Datos_Origen!$F$2:$F$2459,$Z194)),Parametros!$B$48:$B$67,0))</f>
        <v>Audio</v>
      </c>
      <c r="L194" s="61" t="str">
        <f aca="false">$K194&amp;" "&amp;$C194</f>
        <v>Audio 2024</v>
      </c>
      <c r="M194" s="61" t="str">
        <f aca="false">TRIM(INDEX(Datos_Origen!$G$2:$G$2459,$Z194))</f>
        <v>Auriculares BT Pro</v>
      </c>
      <c r="N194" s="61" t="str">
        <f aca="false">$M194&amp;" "&amp;$C194</f>
        <v>Auriculares BT Pro 2024</v>
      </c>
      <c r="O194" s="63" t="n">
        <f aca="false">IF(ISTEXT($AC194),VALUE($AC194),$AC194)</f>
        <v>10</v>
      </c>
      <c r="P194" s="64" t="n">
        <f aca="false">INDEX(Datos_Origen!$I$2:$I$2459,$Z194)</f>
        <v>117.6</v>
      </c>
      <c r="Q194" s="64" t="n">
        <f aca="false">INDEX(Datos_Origen!$J$2:$J$2459,$Z194)</f>
        <v>63.6</v>
      </c>
      <c r="R194" s="65" t="n">
        <f aca="false">ROUND($O194*$P194,2)</f>
        <v>1176</v>
      </c>
      <c r="S194" s="65" t="n">
        <f aca="false">ROUND($O194*$Q194,2)</f>
        <v>636</v>
      </c>
      <c r="T194" s="65" t="n">
        <f aca="false">ROUND($R194*SUMIFS(Parametros!$E$28:$E$43,Parametros!$B$28:$B$43,$J194,Parametros!$C$28:$C$43,$C194,Parametros!$D$28:$D$43,$D194),2)</f>
        <v>14.11</v>
      </c>
      <c r="U194" s="65" t="n">
        <f aca="false">$R194-$S194-$T194</f>
        <v>525.89</v>
      </c>
      <c r="V194" s="66" t="n">
        <f aca="false">IFERROR($U194/$R194,0)</f>
        <v>0.44718537414966</v>
      </c>
      <c r="W194" s="67" t="str">
        <f aca="false">IF(AND($V194&gt;=Parametros!$C$8,$R194&gt;=Parametros!$C$12),"Alta rentabilidad",IF(OR($V194&lt;Parametros!$C$11,$R194&lt;Parametros!$C$13),"Revisar","Estandar"))</f>
        <v>Estandar</v>
      </c>
      <c r="X194" s="67" t="str">
        <f aca="false">IF(AND($J194="E-commerce",IFERROR($T194/$R194,0)&gt;Parametros!$C$14),"Alerta","OK")</f>
        <v>OK</v>
      </c>
      <c r="Y194" s="61" t="str">
        <f aca="false">IF($R194&gt;=Parametros!$C$12,"Alto",IF($R194&lt;Parametros!$C$13,"Bajo","Medio"))</f>
        <v>Medio</v>
      </c>
      <c r="Z194" s="61" t="n">
        <v>326</v>
      </c>
      <c r="AA194" s="61" t="str">
        <f aca="false">IF(MATCH($A194,Datos_Origen!$A$2:$A$2459,0)=$Z194,"OK","REVISAR")</f>
        <v>OK</v>
      </c>
      <c r="AB194" s="62" t="n">
        <f aca="false">INDEX(Datos_Origen!$B$2:$B$2459,$Z194)</f>
        <v>45324</v>
      </c>
      <c r="AC194" s="61" t="str">
        <f aca="false">INDEX(Datos_Origen!$H$2:$H$2459,$Z194)</f>
        <v>10</v>
      </c>
      <c r="AD194" s="61" t="str">
        <f aca="false">INDEX(Datos_Origen!$D$2:$D$2459,$Z194)&amp;""</f>
        <v/>
      </c>
    </row>
    <row r="195" customFormat="false" ht="15" hidden="false" customHeight="false" outlineLevel="0" collapsed="false">
      <c r="A195" s="61" t="n">
        <f aca="false">INDEX(Datos_Origen!$A$2:$A$2459,$Z195)</f>
        <v>194</v>
      </c>
      <c r="B195" s="62" t="n">
        <f aca="false">IF(ISNUMBER($AB195),$AB195,IF(MID($AB195,5,1)="-",DATE(VALUE(LEFT($AB195,4)),VALUE(MID($AB195,6,2)),VALUE(RIGHT($AB195,2))),DATE(VALUE(RIGHT($AB195,4)),VALUE(MID($AB195,4,2)),VALUE(LEFT($AB195,2)))))</f>
        <v>45331</v>
      </c>
      <c r="C195" s="61" t="n">
        <f aca="false">YEAR($B195)</f>
        <v>2024</v>
      </c>
      <c r="D195" s="61" t="str">
        <f aca="false">"Q"&amp;ROUNDUP(MONTH($B195)/3,0)</f>
        <v>Q1</v>
      </c>
      <c r="E195" s="61" t="n">
        <f aca="false">MONTH($B195)</f>
        <v>2</v>
      </c>
      <c r="F195" s="61" t="str">
        <f aca="false">INDEX(Parametros!$I$5:$I$16,$E195)</f>
        <v>Feb</v>
      </c>
      <c r="G195" s="61" t="str">
        <f aca="false">TEXT($C195,"0000")&amp;"-"&amp;TEXT($E195,"00")</f>
        <v>2024-02</v>
      </c>
      <c r="H195" s="61" t="str">
        <f aca="false">INDEX(Parametros!$C$71:$C$91,MATCH(TRIM(INDEX(Datos_Origen!$C$2:$C$2459,$Z195)),Parametros!$B$71:$B$91,0))</f>
        <v>NOA</v>
      </c>
      <c r="I195" s="61" t="str">
        <f aca="false">IF(TRIM($AD195)="",INDEX(Parametros!$I$20:$I$24,MATCH($H195,Parametros!$H$20:$H$24,0)),TRIM($AD195))</f>
        <v>Tucuman</v>
      </c>
      <c r="J195" s="61" t="str">
        <f aca="false">INDEX(Parametros!$C$95:$C$106,MATCH(TRIM(INDEX(Datos_Origen!$E$2:$E$2459,$Z195)),Parametros!$B$95:$B$106,0))</f>
        <v>E-commerce</v>
      </c>
      <c r="K195" s="61" t="str">
        <f aca="false">INDEX(Parametros!$C$48:$C$67,MATCH(TRIM(INDEX(Datos_Origen!$F$2:$F$2459,$Z195)),Parametros!$B$48:$B$67,0))</f>
        <v>Audio</v>
      </c>
      <c r="L195" s="61" t="str">
        <f aca="false">$K195&amp;" "&amp;$C195</f>
        <v>Audio 2024</v>
      </c>
      <c r="M195" s="61" t="str">
        <f aca="false">TRIM(INDEX(Datos_Origen!$G$2:$G$2459,$Z195))</f>
        <v>Auriculares BT Pro</v>
      </c>
      <c r="N195" s="61" t="str">
        <f aca="false">$M195&amp;" "&amp;$C195</f>
        <v>Auriculares BT Pro 2024</v>
      </c>
      <c r="O195" s="63" t="n">
        <f aca="false">IF(ISTEXT($AC195),VALUE($AC195),$AC195)</f>
        <v>5</v>
      </c>
      <c r="P195" s="64" t="n">
        <f aca="false">INDEX(Datos_Origen!$I$2:$I$2459,$Z195)</f>
        <v>117.6</v>
      </c>
      <c r="Q195" s="64" t="n">
        <f aca="false">INDEX(Datos_Origen!$J$2:$J$2459,$Z195)</f>
        <v>63.6</v>
      </c>
      <c r="R195" s="65" t="n">
        <f aca="false">ROUND($O195*$P195,2)</f>
        <v>588</v>
      </c>
      <c r="S195" s="65" t="n">
        <f aca="false">ROUND($O195*$Q195,2)</f>
        <v>318</v>
      </c>
      <c r="T195" s="65" t="n">
        <f aca="false">ROUND($R195*SUMIFS(Parametros!$E$28:$E$43,Parametros!$B$28:$B$43,$J195,Parametros!$C$28:$C$43,$C195,Parametros!$D$28:$D$43,$D195),2)</f>
        <v>24.7</v>
      </c>
      <c r="U195" s="65" t="n">
        <f aca="false">$R195-$S195-$T195</f>
        <v>245.3</v>
      </c>
      <c r="V195" s="66" t="n">
        <f aca="false">IFERROR($U195/$R195,0)</f>
        <v>0.417176870748299</v>
      </c>
      <c r="W195" s="67" t="str">
        <f aca="false">IF(AND($V195&gt;=Parametros!$C$8,$R195&gt;=Parametros!$C$12),"Alta rentabilidad",IF(OR($V195&lt;Parametros!$C$11,$R195&lt;Parametros!$C$13),"Revisar","Estandar"))</f>
        <v>Estandar</v>
      </c>
      <c r="X195" s="67" t="str">
        <f aca="false">IF(AND($J195="E-commerce",IFERROR($T195/$R195,0)&gt;Parametros!$C$14),"Alerta","OK")</f>
        <v>OK</v>
      </c>
      <c r="Y195" s="61" t="str">
        <f aca="false">IF($R195&gt;=Parametros!$C$12,"Alto",IF($R195&lt;Parametros!$C$13,"Bajo","Medio"))</f>
        <v>Medio</v>
      </c>
      <c r="Z195" s="61" t="n">
        <v>1170</v>
      </c>
      <c r="AA195" s="61" t="str">
        <f aca="false">IF(MATCH($A195,Datos_Origen!$A$2:$A$2459,0)=$Z195,"OK","REVISAR")</f>
        <v>OK</v>
      </c>
      <c r="AB195" s="62" t="n">
        <f aca="false">INDEX(Datos_Origen!$B$2:$B$2459,$Z195)</f>
        <v>45331</v>
      </c>
      <c r="AC195" s="61" t="n">
        <f aca="false">INDEX(Datos_Origen!$H$2:$H$2459,$Z195)</f>
        <v>5</v>
      </c>
      <c r="AD195" s="61" t="str">
        <f aca="false">INDEX(Datos_Origen!$D$2:$D$2459,$Z195)&amp;""</f>
        <v>Tucuman</v>
      </c>
    </row>
    <row r="196" customFormat="false" ht="15" hidden="false" customHeight="false" outlineLevel="0" collapsed="false">
      <c r="A196" s="61" t="n">
        <f aca="false">INDEX(Datos_Origen!$A$2:$A$2459,$Z196)</f>
        <v>195</v>
      </c>
      <c r="B196" s="62" t="n">
        <f aca="false">IF(ISNUMBER($AB196),$AB196,IF(MID($AB196,5,1)="-",DATE(VALUE(LEFT($AB196,4)),VALUE(MID($AB196,6,2)),VALUE(RIGHT($AB196,2))),DATE(VALUE(RIGHT($AB196,4)),VALUE(MID($AB196,4,2)),VALUE(LEFT($AB196,2)))))</f>
        <v>45338</v>
      </c>
      <c r="C196" s="61" t="n">
        <f aca="false">YEAR($B196)</f>
        <v>2024</v>
      </c>
      <c r="D196" s="61" t="str">
        <f aca="false">"Q"&amp;ROUNDUP(MONTH($B196)/3,0)</f>
        <v>Q1</v>
      </c>
      <c r="E196" s="61" t="n">
        <f aca="false">MONTH($B196)</f>
        <v>2</v>
      </c>
      <c r="F196" s="61" t="str">
        <f aca="false">INDEX(Parametros!$I$5:$I$16,$E196)</f>
        <v>Feb</v>
      </c>
      <c r="G196" s="61" t="str">
        <f aca="false">TEXT($C196,"0000")&amp;"-"&amp;TEXT($E196,"00")</f>
        <v>2024-02</v>
      </c>
      <c r="H196" s="61" t="str">
        <f aca="false">INDEX(Parametros!$C$71:$C$91,MATCH(TRIM(INDEX(Datos_Origen!$C$2:$C$2459,$Z196)),Parametros!$B$71:$B$91,0))</f>
        <v>NOA</v>
      </c>
      <c r="I196" s="61" t="str">
        <f aca="false">IF(TRIM($AD196)="",INDEX(Parametros!$I$20:$I$24,MATCH($H196,Parametros!$H$20:$H$24,0)),TRIM($AD196))</f>
        <v>Tucuman</v>
      </c>
      <c r="J196" s="61" t="str">
        <f aca="false">INDEX(Parametros!$C$95:$C$106,MATCH(TRIM(INDEX(Datos_Origen!$E$2:$E$2459,$Z196)),Parametros!$B$95:$B$106,0))</f>
        <v>Tienda fisica</v>
      </c>
      <c r="K196" s="61" t="str">
        <f aca="false">INDEX(Parametros!$C$48:$C$67,MATCH(TRIM(INDEX(Datos_Origen!$F$2:$F$2459,$Z196)),Parametros!$B$48:$B$67,0))</f>
        <v>Audio</v>
      </c>
      <c r="L196" s="61" t="str">
        <f aca="false">$K196&amp;" "&amp;$C196</f>
        <v>Audio 2024</v>
      </c>
      <c r="M196" s="61" t="str">
        <f aca="false">TRIM(INDEX(Datos_Origen!$G$2:$G$2459,$Z196))</f>
        <v>Parlante Bluetooth</v>
      </c>
      <c r="N196" s="61" t="str">
        <f aca="false">$M196&amp;" "&amp;$C196</f>
        <v>Parlante Bluetooth 2024</v>
      </c>
      <c r="O196" s="63" t="n">
        <f aca="false">IF(ISTEXT($AC196),VALUE($AC196),$AC196)</f>
        <v>12</v>
      </c>
      <c r="P196" s="64" t="n">
        <f aca="false">INDEX(Datos_Origen!$I$2:$I$2459,$Z196)</f>
        <v>83.3</v>
      </c>
      <c r="Q196" s="64" t="n">
        <f aca="false">INDEX(Datos_Origen!$J$2:$J$2459,$Z196)</f>
        <v>48.03</v>
      </c>
      <c r="R196" s="65" t="n">
        <f aca="false">ROUND($O196*$P196,2)</f>
        <v>999.6</v>
      </c>
      <c r="S196" s="65" t="n">
        <f aca="false">ROUND($O196*$Q196,2)</f>
        <v>576.36</v>
      </c>
      <c r="T196" s="65" t="n">
        <f aca="false">ROUND($R196*SUMIFS(Parametros!$E$28:$E$43,Parametros!$B$28:$B$43,$J196,Parametros!$C$28:$C$43,$C196,Parametros!$D$28:$D$43,$D196),2)</f>
        <v>12</v>
      </c>
      <c r="U196" s="65" t="n">
        <f aca="false">$R196-$S196-$T196</f>
        <v>411.24</v>
      </c>
      <c r="V196" s="66" t="n">
        <f aca="false">IFERROR($U196/$R196,0)</f>
        <v>0.41140456182473</v>
      </c>
      <c r="W196" s="67" t="str">
        <f aca="false">IF(AND($V196&gt;=Parametros!$C$8,$R196&gt;=Parametros!$C$12),"Alta rentabilidad",IF(OR($V196&lt;Parametros!$C$11,$R196&lt;Parametros!$C$13),"Revisar","Estandar"))</f>
        <v>Estandar</v>
      </c>
      <c r="X196" s="67" t="str">
        <f aca="false">IF(AND($J196="E-commerce",IFERROR($T196/$R196,0)&gt;Parametros!$C$14),"Alerta","OK")</f>
        <v>OK</v>
      </c>
      <c r="Y196" s="61" t="str">
        <f aca="false">IF($R196&gt;=Parametros!$C$12,"Alto",IF($R196&lt;Parametros!$C$13,"Bajo","Medio"))</f>
        <v>Medio</v>
      </c>
      <c r="Z196" s="61" t="n">
        <v>471</v>
      </c>
      <c r="AA196" s="61" t="str">
        <f aca="false">IF(MATCH($A196,Datos_Origen!$A$2:$A$2459,0)=$Z196,"OK","REVISAR")</f>
        <v>OK</v>
      </c>
      <c r="AB196" s="62" t="n">
        <f aca="false">INDEX(Datos_Origen!$B$2:$B$2459,$Z196)</f>
        <v>45338</v>
      </c>
      <c r="AC196" s="61" t="n">
        <f aca="false">INDEX(Datos_Origen!$H$2:$H$2459,$Z196)</f>
        <v>12</v>
      </c>
      <c r="AD196" s="61" t="str">
        <f aca="false">INDEX(Datos_Origen!$D$2:$D$2459,$Z196)&amp;""</f>
        <v>Tucuman</v>
      </c>
    </row>
    <row r="197" customFormat="false" ht="15" hidden="false" customHeight="false" outlineLevel="0" collapsed="false">
      <c r="A197" s="61" t="n">
        <f aca="false">INDEX(Datos_Origen!$A$2:$A$2459,$Z197)</f>
        <v>196</v>
      </c>
      <c r="B197" s="62" t="n">
        <f aca="false">IF(ISNUMBER($AB197),$AB197,IF(MID($AB197,5,1)="-",DATE(VALUE(LEFT($AB197,4)),VALUE(MID($AB197,6,2)),VALUE(RIGHT($AB197,2))),DATE(VALUE(RIGHT($AB197,4)),VALUE(MID($AB197,4,2)),VALUE(LEFT($AB197,2)))))</f>
        <v>45345</v>
      </c>
      <c r="C197" s="61" t="n">
        <f aca="false">YEAR($B197)</f>
        <v>2024</v>
      </c>
      <c r="D197" s="61" t="str">
        <f aca="false">"Q"&amp;ROUNDUP(MONTH($B197)/3,0)</f>
        <v>Q1</v>
      </c>
      <c r="E197" s="61" t="n">
        <f aca="false">MONTH($B197)</f>
        <v>2</v>
      </c>
      <c r="F197" s="61" t="str">
        <f aca="false">INDEX(Parametros!$I$5:$I$16,$E197)</f>
        <v>Feb</v>
      </c>
      <c r="G197" s="61" t="str">
        <f aca="false">TEXT($C197,"0000")&amp;"-"&amp;TEXT($E197,"00")</f>
        <v>2024-02</v>
      </c>
      <c r="H197" s="61" t="str">
        <f aca="false">INDEX(Parametros!$C$71:$C$91,MATCH(TRIM(INDEX(Datos_Origen!$C$2:$C$2459,$Z197)),Parametros!$B$71:$B$91,0))</f>
        <v>NOA</v>
      </c>
      <c r="I197" s="61" t="str">
        <f aca="false">IF(TRIM($AD197)="",INDEX(Parametros!$I$20:$I$24,MATCH($H197,Parametros!$H$20:$H$24,0)),TRIM($AD197))</f>
        <v>Tucuman</v>
      </c>
      <c r="J197" s="61" t="str">
        <f aca="false">INDEX(Parametros!$C$95:$C$106,MATCH(TRIM(INDEX(Datos_Origen!$E$2:$E$2459,$Z197)),Parametros!$B$95:$B$106,0))</f>
        <v>E-commerce</v>
      </c>
      <c r="K197" s="61" t="str">
        <f aca="false">INDEX(Parametros!$C$48:$C$67,MATCH(TRIM(INDEX(Datos_Origen!$F$2:$F$2459,$Z197)),Parametros!$B$48:$B$67,0))</f>
        <v>Audio</v>
      </c>
      <c r="L197" s="61" t="str">
        <f aca="false">$K197&amp;" "&amp;$C197</f>
        <v>Audio 2024</v>
      </c>
      <c r="M197" s="61" t="str">
        <f aca="false">TRIM(INDEX(Datos_Origen!$G$2:$G$2459,$Z197))</f>
        <v>Parlante Bluetooth</v>
      </c>
      <c r="N197" s="61" t="str">
        <f aca="false">$M197&amp;" "&amp;$C197</f>
        <v>Parlante Bluetooth 2024</v>
      </c>
      <c r="O197" s="63" t="n">
        <f aca="false">IF(ISTEXT($AC197),VALUE($AC197),$AC197)</f>
        <v>4</v>
      </c>
      <c r="P197" s="64" t="n">
        <f aca="false">INDEX(Datos_Origen!$I$2:$I$2459,$Z197)</f>
        <v>83.3</v>
      </c>
      <c r="Q197" s="64" t="n">
        <f aca="false">INDEX(Datos_Origen!$J$2:$J$2459,$Z197)</f>
        <v>48.03</v>
      </c>
      <c r="R197" s="65" t="n">
        <f aca="false">ROUND($O197*$P197,2)</f>
        <v>333.2</v>
      </c>
      <c r="S197" s="65" t="n">
        <f aca="false">ROUND($O197*$Q197,2)</f>
        <v>192.12</v>
      </c>
      <c r="T197" s="65" t="n">
        <f aca="false">ROUND($R197*SUMIFS(Parametros!$E$28:$E$43,Parametros!$B$28:$B$43,$J197,Parametros!$C$28:$C$43,$C197,Parametros!$D$28:$D$43,$D197),2)</f>
        <v>13.99</v>
      </c>
      <c r="U197" s="65" t="n">
        <f aca="false">$R197-$S197-$T197</f>
        <v>127.09</v>
      </c>
      <c r="V197" s="66" t="n">
        <f aca="false">IFERROR($U197/$R197,0)</f>
        <v>0.381422569027611</v>
      </c>
      <c r="W197" s="67" t="str">
        <f aca="false">IF(AND($V197&gt;=Parametros!$C$8,$R197&gt;=Parametros!$C$12),"Alta rentabilidad",IF(OR($V197&lt;Parametros!$C$11,$R197&lt;Parametros!$C$13),"Revisar","Estandar"))</f>
        <v>Estandar</v>
      </c>
      <c r="X197" s="67" t="str">
        <f aca="false">IF(AND($J197="E-commerce",IFERROR($T197/$R197,0)&gt;Parametros!$C$14),"Alerta","OK")</f>
        <v>OK</v>
      </c>
      <c r="Y197" s="61" t="str">
        <f aca="false">IF($R197&gt;=Parametros!$C$12,"Alto",IF($R197&lt;Parametros!$C$13,"Bajo","Medio"))</f>
        <v>Medio</v>
      </c>
      <c r="Z197" s="61" t="n">
        <v>100</v>
      </c>
      <c r="AA197" s="61" t="str">
        <f aca="false">IF(MATCH($A197,Datos_Origen!$A$2:$A$2459,0)=$Z197,"OK","REVISAR")</f>
        <v>OK</v>
      </c>
      <c r="AB197" s="61" t="str">
        <f aca="false">INDEX(Datos_Origen!$B$2:$B$2459,$Z197)</f>
        <v>23/02/2024</v>
      </c>
      <c r="AC197" s="61" t="n">
        <f aca="false">INDEX(Datos_Origen!$H$2:$H$2459,$Z197)</f>
        <v>4</v>
      </c>
      <c r="AD197" s="61" t="str">
        <f aca="false">INDEX(Datos_Origen!$D$2:$D$2459,$Z197)&amp;""</f>
        <v>Tucuman</v>
      </c>
    </row>
    <row r="198" customFormat="false" ht="15" hidden="false" customHeight="false" outlineLevel="0" collapsed="false">
      <c r="A198" s="61" t="n">
        <f aca="false">INDEX(Datos_Origen!$A$2:$A$2459,$Z198)</f>
        <v>197</v>
      </c>
      <c r="B198" s="62" t="n">
        <f aca="false">IF(ISNUMBER($AB198),$AB198,IF(MID($AB198,5,1)="-",DATE(VALUE(LEFT($AB198,4)),VALUE(MID($AB198,6,2)),VALUE(RIGHT($AB198,2))),DATE(VALUE(RIGHT($AB198,4)),VALUE(MID($AB198,4,2)),VALUE(LEFT($AB198,2)))))</f>
        <v>45325</v>
      </c>
      <c r="C198" s="61" t="n">
        <f aca="false">YEAR($B198)</f>
        <v>2024</v>
      </c>
      <c r="D198" s="61" t="str">
        <f aca="false">"Q"&amp;ROUNDUP(MONTH($B198)/3,0)</f>
        <v>Q1</v>
      </c>
      <c r="E198" s="61" t="n">
        <f aca="false">MONTH($B198)</f>
        <v>2</v>
      </c>
      <c r="F198" s="61" t="str">
        <f aca="false">INDEX(Parametros!$I$5:$I$16,$E198)</f>
        <v>Feb</v>
      </c>
      <c r="G198" s="61" t="str">
        <f aca="false">TEXT($C198,"0000")&amp;"-"&amp;TEXT($E198,"00")</f>
        <v>2024-02</v>
      </c>
      <c r="H198" s="61" t="str">
        <f aca="false">INDEX(Parametros!$C$71:$C$91,MATCH(TRIM(INDEX(Datos_Origen!$C$2:$C$2459,$Z198)),Parametros!$B$71:$B$91,0))</f>
        <v>NOA</v>
      </c>
      <c r="I198" s="61" t="str">
        <f aca="false">IF(TRIM($AD198)="",INDEX(Parametros!$I$20:$I$24,MATCH($H198,Parametros!$H$20:$H$24,0)),TRIM($AD198))</f>
        <v>Tucuman</v>
      </c>
      <c r="J198" s="61" t="str">
        <f aca="false">INDEX(Parametros!$C$95:$C$106,MATCH(TRIM(INDEX(Datos_Origen!$E$2:$E$2459,$Z198)),Parametros!$B$95:$B$106,0))</f>
        <v>Tienda fisica</v>
      </c>
      <c r="K198" s="61" t="str">
        <f aca="false">INDEX(Parametros!$C$48:$C$67,MATCH(TRIM(INDEX(Datos_Origen!$F$2:$F$2459,$Z198)),Parametros!$B$48:$B$67,0))</f>
        <v>Almacenamiento</v>
      </c>
      <c r="L198" s="61" t="str">
        <f aca="false">$K198&amp;" "&amp;$C198</f>
        <v>Almacenamiento 2024</v>
      </c>
      <c r="M198" s="61" t="str">
        <f aca="false">TRIM(INDEX(Datos_Origen!$G$2:$G$2459,$Z198))</f>
        <v>SSD Externo 1TB</v>
      </c>
      <c r="N198" s="61" t="str">
        <f aca="false">$M198&amp;" "&amp;$C198</f>
        <v>SSD Externo 1TB 2024</v>
      </c>
      <c r="O198" s="63" t="n">
        <f aca="false">IF(ISTEXT($AC198),VALUE($AC198),$AC198)</f>
        <v>16</v>
      </c>
      <c r="P198" s="64" t="n">
        <f aca="false">INDEX(Datos_Origen!$I$2:$I$2459,$Z198)</f>
        <v>127.4</v>
      </c>
      <c r="Q198" s="64" t="n">
        <f aca="false">INDEX(Datos_Origen!$J$2:$J$2459,$Z198)</f>
        <v>76.05</v>
      </c>
      <c r="R198" s="65" t="n">
        <f aca="false">ROUND($O198*$P198,2)</f>
        <v>2038.4</v>
      </c>
      <c r="S198" s="65" t="n">
        <f aca="false">ROUND($O198*$Q198,2)</f>
        <v>1216.8</v>
      </c>
      <c r="T198" s="65" t="n">
        <f aca="false">ROUND($R198*SUMIFS(Parametros!$E$28:$E$43,Parametros!$B$28:$B$43,$J198,Parametros!$C$28:$C$43,$C198,Parametros!$D$28:$D$43,$D198),2)</f>
        <v>24.46</v>
      </c>
      <c r="U198" s="65" t="n">
        <f aca="false">$R198-$S198-$T198</f>
        <v>797.14</v>
      </c>
      <c r="V198" s="66" t="n">
        <f aca="false">IFERROR($U198/$R198,0)</f>
        <v>0.391061616954474</v>
      </c>
      <c r="W198" s="67" t="str">
        <f aca="false">IF(AND($V198&gt;=Parametros!$C$8,$R198&gt;=Parametros!$C$12),"Alta rentabilidad",IF(OR($V198&lt;Parametros!$C$11,$R198&lt;Parametros!$C$13),"Revisar","Estandar"))</f>
        <v>Estandar</v>
      </c>
      <c r="X198" s="67" t="str">
        <f aca="false">IF(AND($J198="E-commerce",IFERROR($T198/$R198,0)&gt;Parametros!$C$14),"Alerta","OK")</f>
        <v>OK</v>
      </c>
      <c r="Y198" s="61" t="str">
        <f aca="false">IF($R198&gt;=Parametros!$C$12,"Alto",IF($R198&lt;Parametros!$C$13,"Bajo","Medio"))</f>
        <v>Medio</v>
      </c>
      <c r="Z198" s="61" t="n">
        <v>1394</v>
      </c>
      <c r="AA198" s="61" t="str">
        <f aca="false">IF(MATCH($A198,Datos_Origen!$A$2:$A$2459,0)=$Z198,"OK","REVISAR")</f>
        <v>OK</v>
      </c>
      <c r="AB198" s="61" t="str">
        <f aca="false">INDEX(Datos_Origen!$B$2:$B$2459,$Z198)</f>
        <v>03/02/2024</v>
      </c>
      <c r="AC198" s="61" t="n">
        <f aca="false">INDEX(Datos_Origen!$H$2:$H$2459,$Z198)</f>
        <v>16</v>
      </c>
      <c r="AD198" s="61" t="str">
        <f aca="false">INDEX(Datos_Origen!$D$2:$D$2459,$Z198)&amp;""</f>
        <v>Tucuman</v>
      </c>
    </row>
    <row r="199" customFormat="false" ht="15" hidden="false" customHeight="false" outlineLevel="0" collapsed="false">
      <c r="A199" s="61" t="n">
        <f aca="false">INDEX(Datos_Origen!$A$2:$A$2459,$Z199)</f>
        <v>198</v>
      </c>
      <c r="B199" s="62" t="n">
        <f aca="false">IF(ISNUMBER($AB199),$AB199,IF(MID($AB199,5,1)="-",DATE(VALUE(LEFT($AB199,4)),VALUE(MID($AB199,6,2)),VALUE(RIGHT($AB199,2))),DATE(VALUE(RIGHT($AB199,4)),VALUE(MID($AB199,4,2)),VALUE(LEFT($AB199,2)))))</f>
        <v>45332</v>
      </c>
      <c r="C199" s="61" t="n">
        <f aca="false">YEAR($B199)</f>
        <v>2024</v>
      </c>
      <c r="D199" s="61" t="str">
        <f aca="false">"Q"&amp;ROUNDUP(MONTH($B199)/3,0)</f>
        <v>Q1</v>
      </c>
      <c r="E199" s="61" t="n">
        <f aca="false">MONTH($B199)</f>
        <v>2</v>
      </c>
      <c r="F199" s="61" t="str">
        <f aca="false">INDEX(Parametros!$I$5:$I$16,$E199)</f>
        <v>Feb</v>
      </c>
      <c r="G199" s="61" t="str">
        <f aca="false">TEXT($C199,"0000")&amp;"-"&amp;TEXT($E199,"00")</f>
        <v>2024-02</v>
      </c>
      <c r="H199" s="61" t="str">
        <f aca="false">INDEX(Parametros!$C$71:$C$91,MATCH(TRIM(INDEX(Datos_Origen!$C$2:$C$2459,$Z199)),Parametros!$B$71:$B$91,0))</f>
        <v>NOA</v>
      </c>
      <c r="I199" s="61" t="str">
        <f aca="false">IF(TRIM($AD199)="",INDEX(Parametros!$I$20:$I$24,MATCH($H199,Parametros!$H$20:$H$24,0)),TRIM($AD199))</f>
        <v>Tucuman</v>
      </c>
      <c r="J199" s="61" t="str">
        <f aca="false">INDEX(Parametros!$C$95:$C$106,MATCH(TRIM(INDEX(Datos_Origen!$E$2:$E$2459,$Z199)),Parametros!$B$95:$B$106,0))</f>
        <v>E-commerce</v>
      </c>
      <c r="K199" s="61" t="str">
        <f aca="false">INDEX(Parametros!$C$48:$C$67,MATCH(TRIM(INDEX(Datos_Origen!$F$2:$F$2459,$Z199)),Parametros!$B$48:$B$67,0))</f>
        <v>Almacenamiento</v>
      </c>
      <c r="L199" s="61" t="str">
        <f aca="false">$K199&amp;" "&amp;$C199</f>
        <v>Almacenamiento 2024</v>
      </c>
      <c r="M199" s="61" t="str">
        <f aca="false">TRIM(INDEX(Datos_Origen!$G$2:$G$2459,$Z199))</f>
        <v>SSD Externo 1TB</v>
      </c>
      <c r="N199" s="61" t="str">
        <f aca="false">$M199&amp;" "&amp;$C199</f>
        <v>SSD Externo 1TB 2024</v>
      </c>
      <c r="O199" s="63" t="n">
        <f aca="false">IF(ISTEXT($AC199),VALUE($AC199),$AC199)</f>
        <v>7</v>
      </c>
      <c r="P199" s="64" t="n">
        <f aca="false">INDEX(Datos_Origen!$I$2:$I$2459,$Z199)</f>
        <v>127.4</v>
      </c>
      <c r="Q199" s="64" t="n">
        <f aca="false">INDEX(Datos_Origen!$J$2:$J$2459,$Z199)</f>
        <v>76.05</v>
      </c>
      <c r="R199" s="65" t="n">
        <f aca="false">ROUND($O199*$P199,2)</f>
        <v>891.8</v>
      </c>
      <c r="S199" s="65" t="n">
        <f aca="false">ROUND($O199*$Q199,2)</f>
        <v>532.35</v>
      </c>
      <c r="T199" s="65" t="n">
        <f aca="false">ROUND($R199*SUMIFS(Parametros!$E$28:$E$43,Parametros!$B$28:$B$43,$J199,Parametros!$C$28:$C$43,$C199,Parametros!$D$28:$D$43,$D199),2)</f>
        <v>37.46</v>
      </c>
      <c r="U199" s="65" t="n">
        <f aca="false">$R199-$S199-$T199</f>
        <v>321.99</v>
      </c>
      <c r="V199" s="66" t="n">
        <f aca="false">IFERROR($U199/$R199,0)</f>
        <v>0.361056290648127</v>
      </c>
      <c r="W199" s="67" t="str">
        <f aca="false">IF(AND($V199&gt;=Parametros!$C$8,$R199&gt;=Parametros!$C$12),"Alta rentabilidad",IF(OR($V199&lt;Parametros!$C$11,$R199&lt;Parametros!$C$13),"Revisar","Estandar"))</f>
        <v>Estandar</v>
      </c>
      <c r="X199" s="67" t="str">
        <f aca="false">IF(AND($J199="E-commerce",IFERROR($T199/$R199,0)&gt;Parametros!$C$14),"Alerta","OK")</f>
        <v>OK</v>
      </c>
      <c r="Y199" s="61" t="str">
        <f aca="false">IF($R199&gt;=Parametros!$C$12,"Alto",IF($R199&lt;Parametros!$C$13,"Bajo","Medio"))</f>
        <v>Medio</v>
      </c>
      <c r="Z199" s="61" t="n">
        <v>313</v>
      </c>
      <c r="AA199" s="61" t="str">
        <f aca="false">IF(MATCH($A199,Datos_Origen!$A$2:$A$2459,0)=$Z199,"OK","REVISAR")</f>
        <v>OK</v>
      </c>
      <c r="AB199" s="62" t="n">
        <f aca="false">INDEX(Datos_Origen!$B$2:$B$2459,$Z199)</f>
        <v>45332</v>
      </c>
      <c r="AC199" s="61" t="n">
        <f aca="false">INDEX(Datos_Origen!$H$2:$H$2459,$Z199)</f>
        <v>7</v>
      </c>
      <c r="AD199" s="61" t="str">
        <f aca="false">INDEX(Datos_Origen!$D$2:$D$2459,$Z199)&amp;""</f>
        <v>Tucuman</v>
      </c>
    </row>
    <row r="200" customFormat="false" ht="15" hidden="false" customHeight="false" outlineLevel="0" collapsed="false">
      <c r="A200" s="61" t="n">
        <f aca="false">INDEX(Datos_Origen!$A$2:$A$2459,$Z200)</f>
        <v>199</v>
      </c>
      <c r="B200" s="62" t="n">
        <f aca="false">IF(ISNUMBER($AB200),$AB200,IF(MID($AB200,5,1)="-",DATE(VALUE(LEFT($AB200,4)),VALUE(MID($AB200,6,2)),VALUE(RIGHT($AB200,2))),DATE(VALUE(RIGHT($AB200,4)),VALUE(MID($AB200,4,2)),VALUE(LEFT($AB200,2)))))</f>
        <v>45339</v>
      </c>
      <c r="C200" s="61" t="n">
        <f aca="false">YEAR($B200)</f>
        <v>2024</v>
      </c>
      <c r="D200" s="61" t="str">
        <f aca="false">"Q"&amp;ROUNDUP(MONTH($B200)/3,0)</f>
        <v>Q1</v>
      </c>
      <c r="E200" s="61" t="n">
        <f aca="false">MONTH($B200)</f>
        <v>2</v>
      </c>
      <c r="F200" s="61" t="str">
        <f aca="false">INDEX(Parametros!$I$5:$I$16,$E200)</f>
        <v>Feb</v>
      </c>
      <c r="G200" s="61" t="str">
        <f aca="false">TEXT($C200,"0000")&amp;"-"&amp;TEXT($E200,"00")</f>
        <v>2024-02</v>
      </c>
      <c r="H200" s="61" t="str">
        <f aca="false">INDEX(Parametros!$C$71:$C$91,MATCH(TRIM(INDEX(Datos_Origen!$C$2:$C$2459,$Z200)),Parametros!$B$71:$B$91,0))</f>
        <v>NOA</v>
      </c>
      <c r="I200" s="61" t="str">
        <f aca="false">IF(TRIM($AD200)="",INDEX(Parametros!$I$20:$I$24,MATCH($H200,Parametros!$H$20:$H$24,0)),TRIM($AD200))</f>
        <v>Tucuman</v>
      </c>
      <c r="J200" s="61" t="str">
        <f aca="false">INDEX(Parametros!$C$95:$C$106,MATCH(TRIM(INDEX(Datos_Origen!$E$2:$E$2459,$Z200)),Parametros!$B$95:$B$106,0))</f>
        <v>Tienda fisica</v>
      </c>
      <c r="K200" s="61" t="str">
        <f aca="false">INDEX(Parametros!$C$48:$C$67,MATCH(TRIM(INDEX(Datos_Origen!$F$2:$F$2459,$Z200)),Parametros!$B$48:$B$67,0))</f>
        <v>Almacenamiento</v>
      </c>
      <c r="L200" s="61" t="str">
        <f aca="false">$K200&amp;" "&amp;$C200</f>
        <v>Almacenamiento 2024</v>
      </c>
      <c r="M200" s="61" t="str">
        <f aca="false">TRIM(INDEX(Datos_Origen!$G$2:$G$2459,$Z200))</f>
        <v>Pendrive 256GB</v>
      </c>
      <c r="N200" s="61" t="str">
        <f aca="false">$M200&amp;" "&amp;$C200</f>
        <v>Pendrive 256GB 2024</v>
      </c>
      <c r="O200" s="63" t="n">
        <f aca="false">IF(ISTEXT($AC200),VALUE($AC200),$AC200)</f>
        <v>14</v>
      </c>
      <c r="P200" s="64" t="n">
        <f aca="false">INDEX(Datos_Origen!$I$2:$I$2459,$Z200)</f>
        <v>34.3</v>
      </c>
      <c r="Q200" s="64" t="n">
        <f aca="false">INDEX(Datos_Origen!$J$2:$J$2459,$Z200)</f>
        <v>17.85</v>
      </c>
      <c r="R200" s="65" t="n">
        <f aca="false">ROUND($O200*$P200,2)</f>
        <v>480.2</v>
      </c>
      <c r="S200" s="65" t="n">
        <f aca="false">ROUND($O200*$Q200,2)</f>
        <v>249.9</v>
      </c>
      <c r="T200" s="65" t="n">
        <f aca="false">ROUND($R200*SUMIFS(Parametros!$E$28:$E$43,Parametros!$B$28:$B$43,$J200,Parametros!$C$28:$C$43,$C200,Parametros!$D$28:$D$43,$D200),2)</f>
        <v>5.76</v>
      </c>
      <c r="U200" s="65" t="n">
        <f aca="false">$R200-$S200-$T200</f>
        <v>224.54</v>
      </c>
      <c r="V200" s="66" t="n">
        <f aca="false">IFERROR($U200/$R200,0)</f>
        <v>0.467596834652228</v>
      </c>
      <c r="W200" s="67" t="str">
        <f aca="false">IF(AND($V200&gt;=Parametros!$C$8,$R200&gt;=Parametros!$C$12),"Alta rentabilidad",IF(OR($V200&lt;Parametros!$C$11,$R200&lt;Parametros!$C$13),"Revisar","Estandar"))</f>
        <v>Estandar</v>
      </c>
      <c r="X200" s="67" t="str">
        <f aca="false">IF(AND($J200="E-commerce",IFERROR($T200/$R200,0)&gt;Parametros!$C$14),"Alerta","OK")</f>
        <v>OK</v>
      </c>
      <c r="Y200" s="61" t="str">
        <f aca="false">IF($R200&gt;=Parametros!$C$12,"Alto",IF($R200&lt;Parametros!$C$13,"Bajo","Medio"))</f>
        <v>Medio</v>
      </c>
      <c r="Z200" s="61" t="n">
        <v>1251</v>
      </c>
      <c r="AA200" s="61" t="str">
        <f aca="false">IF(MATCH($A200,Datos_Origen!$A$2:$A$2459,0)=$Z200,"OK","REVISAR")</f>
        <v>OK</v>
      </c>
      <c r="AB200" s="62" t="n">
        <f aca="false">INDEX(Datos_Origen!$B$2:$B$2459,$Z200)</f>
        <v>45339</v>
      </c>
      <c r="AC200" s="61" t="n">
        <f aca="false">INDEX(Datos_Origen!$H$2:$H$2459,$Z200)</f>
        <v>14</v>
      </c>
      <c r="AD200" s="61" t="str">
        <f aca="false">INDEX(Datos_Origen!$D$2:$D$2459,$Z200)&amp;""</f>
        <v>Tucuman</v>
      </c>
    </row>
    <row r="201" customFormat="false" ht="15" hidden="false" customHeight="false" outlineLevel="0" collapsed="false">
      <c r="A201" s="61" t="n">
        <f aca="false">INDEX(Datos_Origen!$A$2:$A$2459,$Z201)</f>
        <v>200</v>
      </c>
      <c r="B201" s="62" t="n">
        <f aca="false">IF(ISNUMBER($AB201),$AB201,IF(MID($AB201,5,1)="-",DATE(VALUE(LEFT($AB201,4)),VALUE(MID($AB201,6,2)),VALUE(RIGHT($AB201,2))),DATE(VALUE(RIGHT($AB201,4)),VALUE(MID($AB201,4,2)),VALUE(LEFT($AB201,2)))))</f>
        <v>45346</v>
      </c>
      <c r="C201" s="61" t="n">
        <f aca="false">YEAR($B201)</f>
        <v>2024</v>
      </c>
      <c r="D201" s="61" t="str">
        <f aca="false">"Q"&amp;ROUNDUP(MONTH($B201)/3,0)</f>
        <v>Q1</v>
      </c>
      <c r="E201" s="61" t="n">
        <f aca="false">MONTH($B201)</f>
        <v>2</v>
      </c>
      <c r="F201" s="61" t="str">
        <f aca="false">INDEX(Parametros!$I$5:$I$16,$E201)</f>
        <v>Feb</v>
      </c>
      <c r="G201" s="61" t="str">
        <f aca="false">TEXT($C201,"0000")&amp;"-"&amp;TEXT($E201,"00")</f>
        <v>2024-02</v>
      </c>
      <c r="H201" s="61" t="str">
        <f aca="false">INDEX(Parametros!$C$71:$C$91,MATCH(TRIM(INDEX(Datos_Origen!$C$2:$C$2459,$Z201)),Parametros!$B$71:$B$91,0))</f>
        <v>NOA</v>
      </c>
      <c r="I201" s="61" t="str">
        <f aca="false">IF(TRIM($AD201)="",INDEX(Parametros!$I$20:$I$24,MATCH($H201,Parametros!$H$20:$H$24,0)),TRIM($AD201))</f>
        <v>Tucuman</v>
      </c>
      <c r="J201" s="61" t="str">
        <f aca="false">INDEX(Parametros!$C$95:$C$106,MATCH(TRIM(INDEX(Datos_Origen!$E$2:$E$2459,$Z201)),Parametros!$B$95:$B$106,0))</f>
        <v>E-commerce</v>
      </c>
      <c r="K201" s="61" t="str">
        <f aca="false">INDEX(Parametros!$C$48:$C$67,MATCH(TRIM(INDEX(Datos_Origen!$F$2:$F$2459,$Z201)),Parametros!$B$48:$B$67,0))</f>
        <v>Almacenamiento</v>
      </c>
      <c r="L201" s="61" t="str">
        <f aca="false">$K201&amp;" "&amp;$C201</f>
        <v>Almacenamiento 2024</v>
      </c>
      <c r="M201" s="61" t="str">
        <f aca="false">TRIM(INDEX(Datos_Origen!$G$2:$G$2459,$Z201))</f>
        <v>Pendrive 256GB</v>
      </c>
      <c r="N201" s="61" t="str">
        <f aca="false">$M201&amp;" "&amp;$C201</f>
        <v>Pendrive 256GB 2024</v>
      </c>
      <c r="O201" s="63" t="n">
        <f aca="false">IF(ISTEXT($AC201),VALUE($AC201),$AC201)</f>
        <v>6</v>
      </c>
      <c r="P201" s="64" t="n">
        <f aca="false">INDEX(Datos_Origen!$I$2:$I$2459,$Z201)</f>
        <v>34.3</v>
      </c>
      <c r="Q201" s="64" t="n">
        <f aca="false">INDEX(Datos_Origen!$J$2:$J$2459,$Z201)</f>
        <v>17.85</v>
      </c>
      <c r="R201" s="65" t="n">
        <f aca="false">ROUND($O201*$P201,2)</f>
        <v>205.8</v>
      </c>
      <c r="S201" s="65" t="n">
        <f aca="false">ROUND($O201*$Q201,2)</f>
        <v>107.1</v>
      </c>
      <c r="T201" s="65" t="n">
        <f aca="false">ROUND($R201*SUMIFS(Parametros!$E$28:$E$43,Parametros!$B$28:$B$43,$J201,Parametros!$C$28:$C$43,$C201,Parametros!$D$28:$D$43,$D201),2)</f>
        <v>8.64</v>
      </c>
      <c r="U201" s="65" t="n">
        <f aca="false">$R201-$S201-$T201</f>
        <v>90.06</v>
      </c>
      <c r="V201" s="66" t="n">
        <f aca="false">IFERROR($U201/$R201,0)</f>
        <v>0.437609329446064</v>
      </c>
      <c r="W201" s="67" t="str">
        <f aca="false">IF(AND($V201&gt;=Parametros!$C$8,$R201&gt;=Parametros!$C$12),"Alta rentabilidad",IF(OR($V201&lt;Parametros!$C$11,$R201&lt;Parametros!$C$13),"Revisar","Estandar"))</f>
        <v>Revisar</v>
      </c>
      <c r="X201" s="67" t="str">
        <f aca="false">IF(AND($J201="E-commerce",IFERROR($T201/$R201,0)&gt;Parametros!$C$14),"Alerta","OK")</f>
        <v>OK</v>
      </c>
      <c r="Y201" s="61" t="str">
        <f aca="false">IF($R201&gt;=Parametros!$C$12,"Alto",IF($R201&lt;Parametros!$C$13,"Bajo","Medio"))</f>
        <v>Bajo</v>
      </c>
      <c r="Z201" s="61" t="n">
        <v>1391</v>
      </c>
      <c r="AA201" s="61" t="str">
        <f aca="false">IF(MATCH($A201,Datos_Origen!$A$2:$A$2459,0)=$Z201,"OK","REVISAR")</f>
        <v>OK</v>
      </c>
      <c r="AB201" s="61" t="str">
        <f aca="false">INDEX(Datos_Origen!$B$2:$B$2459,$Z201)</f>
        <v>24/02/2024</v>
      </c>
      <c r="AC201" s="61" t="n">
        <f aca="false">INDEX(Datos_Origen!$H$2:$H$2459,$Z201)</f>
        <v>6</v>
      </c>
      <c r="AD201" s="61" t="str">
        <f aca="false">INDEX(Datos_Origen!$D$2:$D$2459,$Z201)&amp;""</f>
        <v/>
      </c>
    </row>
    <row r="202" customFormat="false" ht="15" hidden="false" customHeight="false" outlineLevel="0" collapsed="false">
      <c r="A202" s="61" t="n">
        <f aca="false">INDEX(Datos_Origen!$A$2:$A$2459,$Z202)</f>
        <v>201</v>
      </c>
      <c r="B202" s="62" t="n">
        <f aca="false">IF(ISNUMBER($AB202),$AB202,IF(MID($AB202,5,1)="-",DATE(VALUE(LEFT($AB202,4)),VALUE(MID($AB202,6,2)),VALUE(RIGHT($AB202,2))),DATE(VALUE(RIGHT($AB202,4)),VALUE(MID($AB202,4,2)),VALUE(LEFT($AB202,2)))))</f>
        <v>45355</v>
      </c>
      <c r="C202" s="61" t="n">
        <f aca="false">YEAR($B202)</f>
        <v>2024</v>
      </c>
      <c r="D202" s="61" t="str">
        <f aca="false">"Q"&amp;ROUNDUP(MONTH($B202)/3,0)</f>
        <v>Q1</v>
      </c>
      <c r="E202" s="61" t="n">
        <f aca="false">MONTH($B202)</f>
        <v>3</v>
      </c>
      <c r="F202" s="61" t="str">
        <f aca="false">INDEX(Parametros!$I$5:$I$16,$E202)</f>
        <v>Mar</v>
      </c>
      <c r="G202" s="61" t="str">
        <f aca="false">TEXT($C202,"0000")&amp;"-"&amp;TEXT($E202,"00")</f>
        <v>2024-03</v>
      </c>
      <c r="H202" s="61" t="str">
        <f aca="false">INDEX(Parametros!$C$71:$C$91,MATCH(TRIM(INDEX(Datos_Origen!$C$2:$C$2459,$Z202)),Parametros!$B$71:$B$91,0))</f>
        <v>AMBA</v>
      </c>
      <c r="I202" s="61" t="str">
        <f aca="false">IF(TRIM($AD202)="",INDEX(Parametros!$I$20:$I$24,MATCH($H202,Parametros!$H$20:$H$24,0)),TRIM($AD202))</f>
        <v>Buenos Aires</v>
      </c>
      <c r="J202" s="61" t="str">
        <f aca="false">INDEX(Parametros!$C$95:$C$106,MATCH(TRIM(INDEX(Datos_Origen!$E$2:$E$2459,$Z202)),Parametros!$B$95:$B$106,0))</f>
        <v>Tienda fisica</v>
      </c>
      <c r="K202" s="61" t="str">
        <f aca="false">INDEX(Parametros!$C$48:$C$67,MATCH(TRIM(INDEX(Datos_Origen!$F$2:$F$2459,$Z202)),Parametros!$B$48:$B$67,0))</f>
        <v>Computacion</v>
      </c>
      <c r="L202" s="61" t="str">
        <f aca="false">$K202&amp;" "&amp;$C202</f>
        <v>Computacion 2024</v>
      </c>
      <c r="M202" s="61" t="str">
        <f aca="false">TRIM(INDEX(Datos_Origen!$G$2:$G$2459,$Z202))</f>
        <v>Laptop Pro 15</v>
      </c>
      <c r="N202" s="61" t="str">
        <f aca="false">$M202&amp;" "&amp;$C202</f>
        <v>Laptop Pro 15 2024</v>
      </c>
      <c r="O202" s="63" t="n">
        <f aca="false">IF(ISTEXT($AC202),VALUE($AC202),$AC202)</f>
        <v>18</v>
      </c>
      <c r="P202" s="64" t="n">
        <f aca="false">INDEX(Datos_Origen!$I$2:$I$2459,$Z202)</f>
        <v>1176</v>
      </c>
      <c r="Q202" s="64" t="n">
        <f aca="false">INDEX(Datos_Origen!$J$2:$J$2459,$Z202)</f>
        <v>744</v>
      </c>
      <c r="R202" s="65" t="n">
        <f aca="false">ROUND($O202*$P202,2)</f>
        <v>21168</v>
      </c>
      <c r="S202" s="65" t="n">
        <f aca="false">ROUND($O202*$Q202,2)</f>
        <v>13392</v>
      </c>
      <c r="T202" s="65" t="n">
        <f aca="false">ROUND($R202*SUMIFS(Parametros!$E$28:$E$43,Parametros!$B$28:$B$43,$J202,Parametros!$C$28:$C$43,$C202,Parametros!$D$28:$D$43,$D202),2)</f>
        <v>254.02</v>
      </c>
      <c r="U202" s="65" t="n">
        <f aca="false">$R202-$S202-$T202</f>
        <v>7521.98</v>
      </c>
      <c r="V202" s="66" t="n">
        <f aca="false">IFERROR($U202/$R202,0)</f>
        <v>0.355346749811036</v>
      </c>
      <c r="W202" s="67" t="str">
        <f aca="false">IF(AND($V202&gt;=Parametros!$C$8,$R202&gt;=Parametros!$C$12),"Alta rentabilidad",IF(OR($V202&lt;Parametros!$C$11,$R202&lt;Parametros!$C$13),"Revisar","Estandar"))</f>
        <v>Alta rentabilidad</v>
      </c>
      <c r="X202" s="67" t="str">
        <f aca="false">IF(AND($J202="E-commerce",IFERROR($T202/$R202,0)&gt;Parametros!$C$14),"Alerta","OK")</f>
        <v>OK</v>
      </c>
      <c r="Y202" s="61" t="str">
        <f aca="false">IF($R202&gt;=Parametros!$C$12,"Alto",IF($R202&lt;Parametros!$C$13,"Bajo","Medio"))</f>
        <v>Alto</v>
      </c>
      <c r="Z202" s="61" t="n">
        <v>1088</v>
      </c>
      <c r="AA202" s="61" t="str">
        <f aca="false">IF(MATCH($A202,Datos_Origen!$A$2:$A$2459,0)=$Z202,"OK","REVISAR")</f>
        <v>OK</v>
      </c>
      <c r="AB202" s="61" t="str">
        <f aca="false">INDEX(Datos_Origen!$B$2:$B$2459,$Z202)</f>
        <v>04/03/2024</v>
      </c>
      <c r="AC202" s="61" t="n">
        <f aca="false">INDEX(Datos_Origen!$H$2:$H$2459,$Z202)</f>
        <v>18</v>
      </c>
      <c r="AD202" s="61" t="str">
        <f aca="false">INDEX(Datos_Origen!$D$2:$D$2459,$Z202)&amp;""</f>
        <v>Buenos Aires</v>
      </c>
    </row>
    <row r="203" customFormat="false" ht="15" hidden="false" customHeight="false" outlineLevel="0" collapsed="false">
      <c r="A203" s="61" t="n">
        <f aca="false">INDEX(Datos_Origen!$A$2:$A$2459,$Z203)</f>
        <v>202</v>
      </c>
      <c r="B203" s="62" t="n">
        <f aca="false">IF(ISNUMBER($AB203),$AB203,IF(MID($AB203,5,1)="-",DATE(VALUE(LEFT($AB203,4)),VALUE(MID($AB203,6,2)),VALUE(RIGHT($AB203,2))),DATE(VALUE(RIGHT($AB203,4)),VALUE(MID($AB203,4,2)),VALUE(LEFT($AB203,2)))))</f>
        <v>45362</v>
      </c>
      <c r="C203" s="61" t="n">
        <f aca="false">YEAR($B203)</f>
        <v>2024</v>
      </c>
      <c r="D203" s="61" t="str">
        <f aca="false">"Q"&amp;ROUNDUP(MONTH($B203)/3,0)</f>
        <v>Q1</v>
      </c>
      <c r="E203" s="61" t="n">
        <f aca="false">MONTH($B203)</f>
        <v>3</v>
      </c>
      <c r="F203" s="61" t="str">
        <f aca="false">INDEX(Parametros!$I$5:$I$16,$E203)</f>
        <v>Mar</v>
      </c>
      <c r="G203" s="61" t="str">
        <f aca="false">TEXT($C203,"0000")&amp;"-"&amp;TEXT($E203,"00")</f>
        <v>2024-03</v>
      </c>
      <c r="H203" s="61" t="str">
        <f aca="false">INDEX(Parametros!$C$71:$C$91,MATCH(TRIM(INDEX(Datos_Origen!$C$2:$C$2459,$Z203)),Parametros!$B$71:$B$91,0))</f>
        <v>AMBA</v>
      </c>
      <c r="I203" s="61" t="str">
        <f aca="false">IF(TRIM($AD203)="",INDEX(Parametros!$I$20:$I$24,MATCH($H203,Parametros!$H$20:$H$24,0)),TRIM($AD203))</f>
        <v>Buenos Aires</v>
      </c>
      <c r="J203" s="61" t="str">
        <f aca="false">INDEX(Parametros!$C$95:$C$106,MATCH(TRIM(INDEX(Datos_Origen!$E$2:$E$2459,$Z203)),Parametros!$B$95:$B$106,0))</f>
        <v>E-commerce</v>
      </c>
      <c r="K203" s="61" t="str">
        <f aca="false">INDEX(Parametros!$C$48:$C$67,MATCH(TRIM(INDEX(Datos_Origen!$F$2:$F$2459,$Z203)),Parametros!$B$48:$B$67,0))</f>
        <v>Computacion</v>
      </c>
      <c r="L203" s="61" t="str">
        <f aca="false">$K203&amp;" "&amp;$C203</f>
        <v>Computacion 2024</v>
      </c>
      <c r="M203" s="61" t="str">
        <f aca="false">TRIM(INDEX(Datos_Origen!$G$2:$G$2459,$Z203))</f>
        <v>Laptop Pro 15</v>
      </c>
      <c r="N203" s="61" t="str">
        <f aca="false">$M203&amp;" "&amp;$C203</f>
        <v>Laptop Pro 15 2024</v>
      </c>
      <c r="O203" s="63" t="n">
        <f aca="false">IF(ISTEXT($AC203),VALUE($AC203),$AC203)</f>
        <v>8</v>
      </c>
      <c r="P203" s="64" t="n">
        <f aca="false">INDEX(Datos_Origen!$I$2:$I$2459,$Z203)</f>
        <v>1176</v>
      </c>
      <c r="Q203" s="64" t="n">
        <f aca="false">INDEX(Datos_Origen!$J$2:$J$2459,$Z203)</f>
        <v>744</v>
      </c>
      <c r="R203" s="65" t="n">
        <f aca="false">ROUND($O203*$P203,2)</f>
        <v>9408</v>
      </c>
      <c r="S203" s="65" t="n">
        <f aca="false">ROUND($O203*$Q203,2)</f>
        <v>5952</v>
      </c>
      <c r="T203" s="65" t="n">
        <f aca="false">ROUND($R203*SUMIFS(Parametros!$E$28:$E$43,Parametros!$B$28:$B$43,$J203,Parametros!$C$28:$C$43,$C203,Parametros!$D$28:$D$43,$D203),2)</f>
        <v>395.14</v>
      </c>
      <c r="U203" s="65" t="n">
        <f aca="false">$R203-$S203-$T203</f>
        <v>3060.86</v>
      </c>
      <c r="V203" s="66" t="n">
        <f aca="false">IFERROR($U203/$R203,0)</f>
        <v>0.325346513605442</v>
      </c>
      <c r="W203" s="67" t="str">
        <f aca="false">IF(AND($V203&gt;=Parametros!$C$8,$R203&gt;=Parametros!$C$12),"Alta rentabilidad",IF(OR($V203&lt;Parametros!$C$11,$R203&lt;Parametros!$C$13),"Revisar","Estandar"))</f>
        <v>Estandar</v>
      </c>
      <c r="X203" s="67" t="str">
        <f aca="false">IF(AND($J203="E-commerce",IFERROR($T203/$R203,0)&gt;Parametros!$C$14),"Alerta","OK")</f>
        <v>OK</v>
      </c>
      <c r="Y203" s="61" t="str">
        <f aca="false">IF($R203&gt;=Parametros!$C$12,"Alto",IF($R203&lt;Parametros!$C$13,"Bajo","Medio"))</f>
        <v>Alto</v>
      </c>
      <c r="Z203" s="61" t="n">
        <v>52</v>
      </c>
      <c r="AA203" s="61" t="str">
        <f aca="false">IF(MATCH($A203,Datos_Origen!$A$2:$A$2459,0)=$Z203,"OK","REVISAR")</f>
        <v>OK</v>
      </c>
      <c r="AB203" s="62" t="n">
        <f aca="false">INDEX(Datos_Origen!$B$2:$B$2459,$Z203)</f>
        <v>45362</v>
      </c>
      <c r="AC203" s="61" t="n">
        <f aca="false">INDEX(Datos_Origen!$H$2:$H$2459,$Z203)</f>
        <v>8</v>
      </c>
      <c r="AD203" s="61" t="str">
        <f aca="false">INDEX(Datos_Origen!$D$2:$D$2459,$Z203)&amp;""</f>
        <v>Buenos Aires</v>
      </c>
    </row>
    <row r="204" customFormat="false" ht="15" hidden="false" customHeight="false" outlineLevel="0" collapsed="false">
      <c r="A204" s="61" t="n">
        <f aca="false">INDEX(Datos_Origen!$A$2:$A$2459,$Z204)</f>
        <v>203</v>
      </c>
      <c r="B204" s="62" t="n">
        <f aca="false">IF(ISNUMBER($AB204),$AB204,IF(MID($AB204,5,1)="-",DATE(VALUE(LEFT($AB204,4)),VALUE(MID($AB204,6,2)),VALUE(RIGHT($AB204,2))),DATE(VALUE(RIGHT($AB204,4)),VALUE(MID($AB204,4,2)),VALUE(LEFT($AB204,2)))))</f>
        <v>45369</v>
      </c>
      <c r="C204" s="61" t="n">
        <f aca="false">YEAR($B204)</f>
        <v>2024</v>
      </c>
      <c r="D204" s="61" t="str">
        <f aca="false">"Q"&amp;ROUNDUP(MONTH($B204)/3,0)</f>
        <v>Q1</v>
      </c>
      <c r="E204" s="61" t="n">
        <f aca="false">MONTH($B204)</f>
        <v>3</v>
      </c>
      <c r="F204" s="61" t="str">
        <f aca="false">INDEX(Parametros!$I$5:$I$16,$E204)</f>
        <v>Mar</v>
      </c>
      <c r="G204" s="61" t="str">
        <f aca="false">TEXT($C204,"0000")&amp;"-"&amp;TEXT($E204,"00")</f>
        <v>2024-03</v>
      </c>
      <c r="H204" s="61" t="str">
        <f aca="false">INDEX(Parametros!$C$71:$C$91,MATCH(TRIM(INDEX(Datos_Origen!$C$2:$C$2459,$Z204)),Parametros!$B$71:$B$91,0))</f>
        <v>AMBA</v>
      </c>
      <c r="I204" s="61" t="str">
        <f aca="false">IF(TRIM($AD204)="",INDEX(Parametros!$I$20:$I$24,MATCH($H204,Parametros!$H$20:$H$24,0)),TRIM($AD204))</f>
        <v>Buenos Aires</v>
      </c>
      <c r="J204" s="61" t="str">
        <f aca="false">INDEX(Parametros!$C$95:$C$106,MATCH(TRIM(INDEX(Datos_Origen!$E$2:$E$2459,$Z204)),Parametros!$B$95:$B$106,0))</f>
        <v>Tienda fisica</v>
      </c>
      <c r="K204" s="61" t="str">
        <f aca="false">INDEX(Parametros!$C$48:$C$67,MATCH(TRIM(INDEX(Datos_Origen!$F$2:$F$2459,$Z204)),Parametros!$B$48:$B$67,0))</f>
        <v>Computacion</v>
      </c>
      <c r="L204" s="61" t="str">
        <f aca="false">$K204&amp;" "&amp;$C204</f>
        <v>Computacion 2024</v>
      </c>
      <c r="M204" s="61" t="str">
        <f aca="false">TRIM(INDEX(Datos_Origen!$G$2:$G$2459,$Z204))</f>
        <v>Monitor 4K 27</v>
      </c>
      <c r="N204" s="61" t="str">
        <f aca="false">$M204&amp;" "&amp;$C204</f>
        <v>Monitor 4K 27 2024</v>
      </c>
      <c r="O204" s="63" t="n">
        <f aca="false">IF(ISTEXT($AC204),VALUE($AC204),$AC204)</f>
        <v>23</v>
      </c>
      <c r="P204" s="64" t="n">
        <f aca="false">INDEX(Datos_Origen!$I$2:$I$2459,$Z204)</f>
        <v>441</v>
      </c>
      <c r="Q204" s="64" t="n">
        <f aca="false">INDEX(Datos_Origen!$J$2:$J$2459,$Z204)</f>
        <v>272.25</v>
      </c>
      <c r="R204" s="65" t="n">
        <f aca="false">ROUND($O204*$P204,2)</f>
        <v>10143</v>
      </c>
      <c r="S204" s="65" t="n">
        <f aca="false">ROUND($O204*$Q204,2)</f>
        <v>6261.75</v>
      </c>
      <c r="T204" s="65" t="n">
        <f aca="false">ROUND($R204*SUMIFS(Parametros!$E$28:$E$43,Parametros!$B$28:$B$43,$J204,Parametros!$C$28:$C$43,$C204,Parametros!$D$28:$D$43,$D204),2)</f>
        <v>121.72</v>
      </c>
      <c r="U204" s="65" t="n">
        <f aca="false">$R204-$S204-$T204</f>
        <v>3759.53</v>
      </c>
      <c r="V204" s="66" t="n">
        <f aca="false">IFERROR($U204/$R204,0)</f>
        <v>0.370652666863847</v>
      </c>
      <c r="W204" s="67" t="str">
        <f aca="false">IF(AND($V204&gt;=Parametros!$C$8,$R204&gt;=Parametros!$C$12),"Alta rentabilidad",IF(OR($V204&lt;Parametros!$C$11,$R204&lt;Parametros!$C$13),"Revisar","Estandar"))</f>
        <v>Alta rentabilidad</v>
      </c>
      <c r="X204" s="67" t="str">
        <f aca="false">IF(AND($J204="E-commerce",IFERROR($T204/$R204,0)&gt;Parametros!$C$14),"Alerta","OK")</f>
        <v>OK</v>
      </c>
      <c r="Y204" s="61" t="str">
        <f aca="false">IF($R204&gt;=Parametros!$C$12,"Alto",IF($R204&lt;Parametros!$C$13,"Bajo","Medio"))</f>
        <v>Alto</v>
      </c>
      <c r="Z204" s="61" t="n">
        <v>2404</v>
      </c>
      <c r="AA204" s="61" t="str">
        <f aca="false">IF(MATCH($A204,Datos_Origen!$A$2:$A$2459,0)=$Z204,"OK","REVISAR")</f>
        <v>OK</v>
      </c>
      <c r="AB204" s="62" t="n">
        <f aca="false">INDEX(Datos_Origen!$B$2:$B$2459,$Z204)</f>
        <v>45369</v>
      </c>
      <c r="AC204" s="61" t="n">
        <f aca="false">INDEX(Datos_Origen!$H$2:$H$2459,$Z204)</f>
        <v>23</v>
      </c>
      <c r="AD204" s="61" t="str">
        <f aca="false">INDEX(Datos_Origen!$D$2:$D$2459,$Z204)&amp;""</f>
        <v>Buenos Aires</v>
      </c>
    </row>
    <row r="205" customFormat="false" ht="15" hidden="false" customHeight="false" outlineLevel="0" collapsed="false">
      <c r="A205" s="61" t="n">
        <f aca="false">INDEX(Datos_Origen!$A$2:$A$2459,$Z205)</f>
        <v>204</v>
      </c>
      <c r="B205" s="62" t="n">
        <f aca="false">IF(ISNUMBER($AB205),$AB205,IF(MID($AB205,5,1)="-",DATE(VALUE(LEFT($AB205,4)),VALUE(MID($AB205,6,2)),VALUE(RIGHT($AB205,2))),DATE(VALUE(RIGHT($AB205,4)),VALUE(MID($AB205,4,2)),VALUE(LEFT($AB205,2)))))</f>
        <v>45376</v>
      </c>
      <c r="C205" s="61" t="n">
        <f aca="false">YEAR($B205)</f>
        <v>2024</v>
      </c>
      <c r="D205" s="61" t="str">
        <f aca="false">"Q"&amp;ROUNDUP(MONTH($B205)/3,0)</f>
        <v>Q1</v>
      </c>
      <c r="E205" s="61" t="n">
        <f aca="false">MONTH($B205)</f>
        <v>3</v>
      </c>
      <c r="F205" s="61" t="str">
        <f aca="false">INDEX(Parametros!$I$5:$I$16,$E205)</f>
        <v>Mar</v>
      </c>
      <c r="G205" s="61" t="str">
        <f aca="false">TEXT($C205,"0000")&amp;"-"&amp;TEXT($E205,"00")</f>
        <v>2024-03</v>
      </c>
      <c r="H205" s="61" t="str">
        <f aca="false">INDEX(Parametros!$C$71:$C$91,MATCH(TRIM(INDEX(Datos_Origen!$C$2:$C$2459,$Z205)),Parametros!$B$71:$B$91,0))</f>
        <v>AMBA</v>
      </c>
      <c r="I205" s="61" t="str">
        <f aca="false">IF(TRIM($AD205)="",INDEX(Parametros!$I$20:$I$24,MATCH($H205,Parametros!$H$20:$H$24,0)),TRIM($AD205))</f>
        <v>Buenos Aires</v>
      </c>
      <c r="J205" s="61" t="str">
        <f aca="false">INDEX(Parametros!$C$95:$C$106,MATCH(TRIM(INDEX(Datos_Origen!$E$2:$E$2459,$Z205)),Parametros!$B$95:$B$106,0))</f>
        <v>E-commerce</v>
      </c>
      <c r="K205" s="61" t="str">
        <f aca="false">INDEX(Parametros!$C$48:$C$67,MATCH(TRIM(INDEX(Datos_Origen!$F$2:$F$2459,$Z205)),Parametros!$B$48:$B$67,0))</f>
        <v>Computacion</v>
      </c>
      <c r="L205" s="61" t="str">
        <f aca="false">$K205&amp;" "&amp;$C205</f>
        <v>Computacion 2024</v>
      </c>
      <c r="M205" s="61" t="str">
        <f aca="false">TRIM(INDEX(Datos_Origen!$G$2:$G$2459,$Z205))</f>
        <v>Monitor 4K 27</v>
      </c>
      <c r="N205" s="61" t="str">
        <f aca="false">$M205&amp;" "&amp;$C205</f>
        <v>Monitor 4K 27 2024</v>
      </c>
      <c r="O205" s="63" t="n">
        <f aca="false">IF(ISTEXT($AC205),VALUE($AC205),$AC205)</f>
        <v>8</v>
      </c>
      <c r="P205" s="64" t="n">
        <f aca="false">INDEX(Datos_Origen!$I$2:$I$2459,$Z205)</f>
        <v>441</v>
      </c>
      <c r="Q205" s="64" t="n">
        <f aca="false">INDEX(Datos_Origen!$J$2:$J$2459,$Z205)</f>
        <v>272.25</v>
      </c>
      <c r="R205" s="65" t="n">
        <f aca="false">ROUND($O205*$P205,2)</f>
        <v>3528</v>
      </c>
      <c r="S205" s="65" t="n">
        <f aca="false">ROUND($O205*$Q205,2)</f>
        <v>2178</v>
      </c>
      <c r="T205" s="65" t="n">
        <f aca="false">ROUND($R205*SUMIFS(Parametros!$E$28:$E$43,Parametros!$B$28:$B$43,$J205,Parametros!$C$28:$C$43,$C205,Parametros!$D$28:$D$43,$D205),2)</f>
        <v>148.18</v>
      </c>
      <c r="U205" s="65" t="n">
        <f aca="false">$R205-$S205-$T205</f>
        <v>1201.82</v>
      </c>
      <c r="V205" s="66" t="n">
        <f aca="false">IFERROR($U205/$R205,0)</f>
        <v>0.340651927437642</v>
      </c>
      <c r="W205" s="67" t="str">
        <f aca="false">IF(AND($V205&gt;=Parametros!$C$8,$R205&gt;=Parametros!$C$12),"Alta rentabilidad",IF(OR($V205&lt;Parametros!$C$11,$R205&lt;Parametros!$C$13),"Revisar","Estandar"))</f>
        <v>Alta rentabilidad</v>
      </c>
      <c r="X205" s="67" t="str">
        <f aca="false">IF(AND($J205="E-commerce",IFERROR($T205/$R205,0)&gt;Parametros!$C$14),"Alerta","OK")</f>
        <v>OK</v>
      </c>
      <c r="Y205" s="61" t="str">
        <f aca="false">IF($R205&gt;=Parametros!$C$12,"Alto",IF($R205&lt;Parametros!$C$13,"Bajo","Medio"))</f>
        <v>Alto</v>
      </c>
      <c r="Z205" s="61" t="n">
        <v>720</v>
      </c>
      <c r="AA205" s="61" t="str">
        <f aca="false">IF(MATCH($A205,Datos_Origen!$A$2:$A$2459,0)=$Z205,"OK","REVISAR")</f>
        <v>OK</v>
      </c>
      <c r="AB205" s="62" t="n">
        <f aca="false">INDEX(Datos_Origen!$B$2:$B$2459,$Z205)</f>
        <v>45376</v>
      </c>
      <c r="AC205" s="61" t="n">
        <f aca="false">INDEX(Datos_Origen!$H$2:$H$2459,$Z205)</f>
        <v>8</v>
      </c>
      <c r="AD205" s="61" t="str">
        <f aca="false">INDEX(Datos_Origen!$D$2:$D$2459,$Z205)&amp;""</f>
        <v>Buenos Aires</v>
      </c>
    </row>
    <row r="206" customFormat="false" ht="15" hidden="false" customHeight="false" outlineLevel="0" collapsed="false">
      <c r="A206" s="61" t="n">
        <f aca="false">INDEX(Datos_Origen!$A$2:$A$2459,$Z206)</f>
        <v>205</v>
      </c>
      <c r="B206" s="62" t="n">
        <f aca="false">IF(ISNUMBER($AB206),$AB206,IF(MID($AB206,5,1)="-",DATE(VALUE(LEFT($AB206,4)),VALUE(MID($AB206,6,2)),VALUE(RIGHT($AB206,2))),DATE(VALUE(RIGHT($AB206,4)),VALUE(MID($AB206,4,2)),VALUE(LEFT($AB206,2)))))</f>
        <v>45356</v>
      </c>
      <c r="C206" s="61" t="n">
        <f aca="false">YEAR($B206)</f>
        <v>2024</v>
      </c>
      <c r="D206" s="61" t="str">
        <f aca="false">"Q"&amp;ROUNDUP(MONTH($B206)/3,0)</f>
        <v>Q1</v>
      </c>
      <c r="E206" s="61" t="n">
        <f aca="false">MONTH($B206)</f>
        <v>3</v>
      </c>
      <c r="F206" s="61" t="str">
        <f aca="false">INDEX(Parametros!$I$5:$I$16,$E206)</f>
        <v>Mar</v>
      </c>
      <c r="G206" s="61" t="str">
        <f aca="false">TEXT($C206,"0000")&amp;"-"&amp;TEXT($E206,"00")</f>
        <v>2024-03</v>
      </c>
      <c r="H206" s="61" t="str">
        <f aca="false">INDEX(Parametros!$C$71:$C$91,MATCH(TRIM(INDEX(Datos_Origen!$C$2:$C$2459,$Z206)),Parametros!$B$71:$B$91,0))</f>
        <v>AMBA</v>
      </c>
      <c r="I206" s="61" t="str">
        <f aca="false">IF(TRIM($AD206)="",INDEX(Parametros!$I$20:$I$24,MATCH($H206,Parametros!$H$20:$H$24,0)),TRIM($AD206))</f>
        <v>Buenos Aires</v>
      </c>
      <c r="J206" s="61" t="str">
        <f aca="false">INDEX(Parametros!$C$95:$C$106,MATCH(TRIM(INDEX(Datos_Origen!$E$2:$E$2459,$Z206)),Parametros!$B$95:$B$106,0))</f>
        <v>Tienda fisica</v>
      </c>
      <c r="K206" s="61" t="str">
        <f aca="false">INDEX(Parametros!$C$48:$C$67,MATCH(TRIM(INDEX(Datos_Origen!$F$2:$F$2459,$Z206)),Parametros!$B$48:$B$67,0))</f>
        <v>Computacion</v>
      </c>
      <c r="L206" s="61" t="str">
        <f aca="false">$K206&amp;" "&amp;$C206</f>
        <v>Computacion 2024</v>
      </c>
      <c r="M206" s="61" t="str">
        <f aca="false">TRIM(INDEX(Datos_Origen!$G$2:$G$2459,$Z206))</f>
        <v>PC Gamer Ryzen</v>
      </c>
      <c r="N206" s="61" t="str">
        <f aca="false">$M206&amp;" "&amp;$C206</f>
        <v>PC Gamer Ryzen 2024</v>
      </c>
      <c r="O206" s="63" t="n">
        <f aca="false">IF(ISTEXT($AC206),VALUE($AC206),$AC206)</f>
        <v>20</v>
      </c>
      <c r="P206" s="64" t="n">
        <f aca="false">INDEX(Datos_Origen!$I$2:$I$2459,$Z206)</f>
        <v>1617</v>
      </c>
      <c r="Q206" s="64" t="n">
        <f aca="false">INDEX(Datos_Origen!$J$2:$J$2459,$Z206)</f>
        <v>1122</v>
      </c>
      <c r="R206" s="65" t="n">
        <f aca="false">ROUND($O206*$P206,2)</f>
        <v>32340</v>
      </c>
      <c r="S206" s="65" t="n">
        <f aca="false">ROUND($O206*$Q206,2)</f>
        <v>22440</v>
      </c>
      <c r="T206" s="65" t="n">
        <f aca="false">ROUND($R206*SUMIFS(Parametros!$E$28:$E$43,Parametros!$B$28:$B$43,$J206,Parametros!$C$28:$C$43,$C206,Parametros!$D$28:$D$43,$D206),2)</f>
        <v>388.08</v>
      </c>
      <c r="U206" s="65" t="n">
        <f aca="false">$R206-$S206-$T206</f>
        <v>9511.92</v>
      </c>
      <c r="V206" s="66" t="n">
        <f aca="false">IFERROR($U206/$R206,0)</f>
        <v>0.294122448979592</v>
      </c>
      <c r="W206" s="67" t="str">
        <f aca="false">IF(AND($V206&gt;=Parametros!$C$8,$R206&gt;=Parametros!$C$12),"Alta rentabilidad",IF(OR($V206&lt;Parametros!$C$11,$R206&lt;Parametros!$C$13),"Revisar","Estandar"))</f>
        <v>Estandar</v>
      </c>
      <c r="X206" s="67" t="str">
        <f aca="false">IF(AND($J206="E-commerce",IFERROR($T206/$R206,0)&gt;Parametros!$C$14),"Alerta","OK")</f>
        <v>OK</v>
      </c>
      <c r="Y206" s="61" t="str">
        <f aca="false">IF($R206&gt;=Parametros!$C$12,"Alto",IF($R206&lt;Parametros!$C$13,"Bajo","Medio"))</f>
        <v>Alto</v>
      </c>
      <c r="Z206" s="61" t="n">
        <v>2434</v>
      </c>
      <c r="AA206" s="61" t="str">
        <f aca="false">IF(MATCH($A206,Datos_Origen!$A$2:$A$2459,0)=$Z206,"OK","REVISAR")</f>
        <v>OK</v>
      </c>
      <c r="AB206" s="61" t="str">
        <f aca="false">INDEX(Datos_Origen!$B$2:$B$2459,$Z206)</f>
        <v>2024-03-05</v>
      </c>
      <c r="AC206" s="61" t="n">
        <f aca="false">INDEX(Datos_Origen!$H$2:$H$2459,$Z206)</f>
        <v>20</v>
      </c>
      <c r="AD206" s="61" t="str">
        <f aca="false">INDEX(Datos_Origen!$D$2:$D$2459,$Z206)&amp;""</f>
        <v>Buenos Aires</v>
      </c>
    </row>
    <row r="207" customFormat="false" ht="15" hidden="false" customHeight="false" outlineLevel="0" collapsed="false">
      <c r="A207" s="61" t="n">
        <f aca="false">INDEX(Datos_Origen!$A$2:$A$2459,$Z207)</f>
        <v>206</v>
      </c>
      <c r="B207" s="62" t="n">
        <f aca="false">IF(ISNUMBER($AB207),$AB207,IF(MID($AB207,5,1)="-",DATE(VALUE(LEFT($AB207,4)),VALUE(MID($AB207,6,2)),VALUE(RIGHT($AB207,2))),DATE(VALUE(RIGHT($AB207,4)),VALUE(MID($AB207,4,2)),VALUE(LEFT($AB207,2)))))</f>
        <v>45363</v>
      </c>
      <c r="C207" s="61" t="n">
        <f aca="false">YEAR($B207)</f>
        <v>2024</v>
      </c>
      <c r="D207" s="61" t="str">
        <f aca="false">"Q"&amp;ROUNDUP(MONTH($B207)/3,0)</f>
        <v>Q1</v>
      </c>
      <c r="E207" s="61" t="n">
        <f aca="false">MONTH($B207)</f>
        <v>3</v>
      </c>
      <c r="F207" s="61" t="str">
        <f aca="false">INDEX(Parametros!$I$5:$I$16,$E207)</f>
        <v>Mar</v>
      </c>
      <c r="G207" s="61" t="str">
        <f aca="false">TEXT($C207,"0000")&amp;"-"&amp;TEXT($E207,"00")</f>
        <v>2024-03</v>
      </c>
      <c r="H207" s="61" t="str">
        <f aca="false">INDEX(Parametros!$C$71:$C$91,MATCH(TRIM(INDEX(Datos_Origen!$C$2:$C$2459,$Z207)),Parametros!$B$71:$B$91,0))</f>
        <v>AMBA</v>
      </c>
      <c r="I207" s="61" t="str">
        <f aca="false">IF(TRIM($AD207)="",INDEX(Parametros!$I$20:$I$24,MATCH($H207,Parametros!$H$20:$H$24,0)),TRIM($AD207))</f>
        <v>Buenos Aires</v>
      </c>
      <c r="J207" s="61" t="str">
        <f aca="false">INDEX(Parametros!$C$95:$C$106,MATCH(TRIM(INDEX(Datos_Origen!$E$2:$E$2459,$Z207)),Parametros!$B$95:$B$106,0))</f>
        <v>E-commerce</v>
      </c>
      <c r="K207" s="61" t="str">
        <f aca="false">INDEX(Parametros!$C$48:$C$67,MATCH(TRIM(INDEX(Datos_Origen!$F$2:$F$2459,$Z207)),Parametros!$B$48:$B$67,0))</f>
        <v>Computacion</v>
      </c>
      <c r="L207" s="61" t="str">
        <f aca="false">$K207&amp;" "&amp;$C207</f>
        <v>Computacion 2024</v>
      </c>
      <c r="M207" s="61" t="str">
        <f aca="false">TRIM(INDEX(Datos_Origen!$G$2:$G$2459,$Z207))</f>
        <v>PC Gamer Ryzen</v>
      </c>
      <c r="N207" s="61" t="str">
        <f aca="false">$M207&amp;" "&amp;$C207</f>
        <v>PC Gamer Ryzen 2024</v>
      </c>
      <c r="O207" s="63" t="n">
        <f aca="false">IF(ISTEXT($AC207),VALUE($AC207),$AC207)</f>
        <v>8</v>
      </c>
      <c r="P207" s="64" t="n">
        <f aca="false">INDEX(Datos_Origen!$I$2:$I$2459,$Z207)</f>
        <v>1617</v>
      </c>
      <c r="Q207" s="64" t="n">
        <f aca="false">INDEX(Datos_Origen!$J$2:$J$2459,$Z207)</f>
        <v>1122</v>
      </c>
      <c r="R207" s="65" t="n">
        <f aca="false">ROUND($O207*$P207,2)</f>
        <v>12936</v>
      </c>
      <c r="S207" s="65" t="n">
        <f aca="false">ROUND($O207*$Q207,2)</f>
        <v>8976</v>
      </c>
      <c r="T207" s="65" t="n">
        <f aca="false">ROUND($R207*SUMIFS(Parametros!$E$28:$E$43,Parametros!$B$28:$B$43,$J207,Parametros!$C$28:$C$43,$C207,Parametros!$D$28:$D$43,$D207),2)</f>
        <v>543.31</v>
      </c>
      <c r="U207" s="65" t="n">
        <f aca="false">$R207-$S207-$T207</f>
        <v>3416.69</v>
      </c>
      <c r="V207" s="66" t="n">
        <f aca="false">IFERROR($U207/$R207,0)</f>
        <v>0.264122603586889</v>
      </c>
      <c r="W207" s="67" t="str">
        <f aca="false">IF(AND($V207&gt;=Parametros!$C$8,$R207&gt;=Parametros!$C$12),"Alta rentabilidad",IF(OR($V207&lt;Parametros!$C$11,$R207&lt;Parametros!$C$13),"Revisar","Estandar"))</f>
        <v>Revisar</v>
      </c>
      <c r="X207" s="67" t="str">
        <f aca="false">IF(AND($J207="E-commerce",IFERROR($T207/$R207,0)&gt;Parametros!$C$14),"Alerta","OK")</f>
        <v>OK</v>
      </c>
      <c r="Y207" s="61" t="str">
        <f aca="false">IF($R207&gt;=Parametros!$C$12,"Alto",IF($R207&lt;Parametros!$C$13,"Bajo","Medio"))</f>
        <v>Alto</v>
      </c>
      <c r="Z207" s="61" t="n">
        <v>17</v>
      </c>
      <c r="AA207" s="61" t="str">
        <f aca="false">IF(MATCH($A207,Datos_Origen!$A$2:$A$2459,0)=$Z207,"OK","REVISAR")</f>
        <v>OK</v>
      </c>
      <c r="AB207" s="61" t="str">
        <f aca="false">INDEX(Datos_Origen!$B$2:$B$2459,$Z207)</f>
        <v>2024-03-12</v>
      </c>
      <c r="AC207" s="61" t="n">
        <f aca="false">INDEX(Datos_Origen!$H$2:$H$2459,$Z207)</f>
        <v>8</v>
      </c>
      <c r="AD207" s="61" t="str">
        <f aca="false">INDEX(Datos_Origen!$D$2:$D$2459,$Z207)&amp;""</f>
        <v>Buenos Aires</v>
      </c>
    </row>
    <row r="208" customFormat="false" ht="15" hidden="false" customHeight="false" outlineLevel="0" collapsed="false">
      <c r="A208" s="61" t="n">
        <f aca="false">INDEX(Datos_Origen!$A$2:$A$2459,$Z208)</f>
        <v>207</v>
      </c>
      <c r="B208" s="62" t="n">
        <f aca="false">IF(ISNUMBER($AB208),$AB208,IF(MID($AB208,5,1)="-",DATE(VALUE(LEFT($AB208,4)),VALUE(MID($AB208,6,2)),VALUE(RIGHT($AB208,2))),DATE(VALUE(RIGHT($AB208,4)),VALUE(MID($AB208,4,2)),VALUE(LEFT($AB208,2)))))</f>
        <v>45370</v>
      </c>
      <c r="C208" s="61" t="n">
        <f aca="false">YEAR($B208)</f>
        <v>2024</v>
      </c>
      <c r="D208" s="61" t="str">
        <f aca="false">"Q"&amp;ROUNDUP(MONTH($B208)/3,0)</f>
        <v>Q1</v>
      </c>
      <c r="E208" s="61" t="n">
        <f aca="false">MONTH($B208)</f>
        <v>3</v>
      </c>
      <c r="F208" s="61" t="str">
        <f aca="false">INDEX(Parametros!$I$5:$I$16,$E208)</f>
        <v>Mar</v>
      </c>
      <c r="G208" s="61" t="str">
        <f aca="false">TEXT($C208,"0000")&amp;"-"&amp;TEXT($E208,"00")</f>
        <v>2024-03</v>
      </c>
      <c r="H208" s="61" t="str">
        <f aca="false">INDEX(Parametros!$C$71:$C$91,MATCH(TRIM(INDEX(Datos_Origen!$C$2:$C$2459,$Z208)),Parametros!$B$71:$B$91,0))</f>
        <v>AMBA</v>
      </c>
      <c r="I208" s="61" t="str">
        <f aca="false">IF(TRIM($AD208)="",INDEX(Parametros!$I$20:$I$24,MATCH($H208,Parametros!$H$20:$H$24,0)),TRIM($AD208))</f>
        <v>Buenos Aires</v>
      </c>
      <c r="J208" s="61" t="str">
        <f aca="false">INDEX(Parametros!$C$95:$C$106,MATCH(TRIM(INDEX(Datos_Origen!$E$2:$E$2459,$Z208)),Parametros!$B$95:$B$106,0))</f>
        <v>Tienda fisica</v>
      </c>
      <c r="K208" s="61" t="str">
        <f aca="false">INDEX(Parametros!$C$48:$C$67,MATCH(TRIM(INDEX(Datos_Origen!$F$2:$F$2459,$Z208)),Parametros!$B$48:$B$67,0))</f>
        <v>Accesorios</v>
      </c>
      <c r="L208" s="61" t="str">
        <f aca="false">$K208&amp;" "&amp;$C208</f>
        <v>Accesorios 2024</v>
      </c>
      <c r="M208" s="61" t="str">
        <f aca="false">TRIM(INDEX(Datos_Origen!$G$2:$G$2459,$Z208))</f>
        <v>Mouse Inalambrico</v>
      </c>
      <c r="N208" s="61" t="str">
        <f aca="false">$M208&amp;" "&amp;$C208</f>
        <v>Mouse Inalambrico 2024</v>
      </c>
      <c r="O208" s="63" t="n">
        <f aca="false">IF(ISTEXT($AC208),VALUE($AC208),$AC208)</f>
        <v>98</v>
      </c>
      <c r="P208" s="64" t="n">
        <f aca="false">INDEX(Datos_Origen!$I$2:$I$2459,$Z208)</f>
        <v>27.44</v>
      </c>
      <c r="Q208" s="64" t="n">
        <f aca="false">INDEX(Datos_Origen!$J$2:$J$2459,$Z208)</f>
        <v>13.44</v>
      </c>
      <c r="R208" s="65" t="n">
        <f aca="false">ROUND($O208*$P208,2)</f>
        <v>2689.12</v>
      </c>
      <c r="S208" s="65" t="n">
        <f aca="false">ROUND($O208*$Q208,2)</f>
        <v>1317.12</v>
      </c>
      <c r="T208" s="65" t="n">
        <f aca="false">ROUND($R208*SUMIFS(Parametros!$E$28:$E$43,Parametros!$B$28:$B$43,$J208,Parametros!$C$28:$C$43,$C208,Parametros!$D$28:$D$43,$D208),2)</f>
        <v>32.27</v>
      </c>
      <c r="U208" s="65" t="n">
        <f aca="false">$R208-$S208-$T208</f>
        <v>1339.73</v>
      </c>
      <c r="V208" s="66" t="n">
        <f aca="false">IFERROR($U208/$R208,0)</f>
        <v>0.498203873386089</v>
      </c>
      <c r="W208" s="67" t="str">
        <f aca="false">IF(AND($V208&gt;=Parametros!$C$8,$R208&gt;=Parametros!$C$12),"Alta rentabilidad",IF(OR($V208&lt;Parametros!$C$11,$R208&lt;Parametros!$C$13),"Revisar","Estandar"))</f>
        <v>Estandar</v>
      </c>
      <c r="X208" s="67" t="str">
        <f aca="false">IF(AND($J208="E-commerce",IFERROR($T208/$R208,0)&gt;Parametros!$C$14),"Alerta","OK")</f>
        <v>OK</v>
      </c>
      <c r="Y208" s="61" t="str">
        <f aca="false">IF($R208&gt;=Parametros!$C$12,"Alto",IF($R208&lt;Parametros!$C$13,"Bajo","Medio"))</f>
        <v>Medio</v>
      </c>
      <c r="Z208" s="61" t="n">
        <v>583</v>
      </c>
      <c r="AA208" s="61" t="str">
        <f aca="false">IF(MATCH($A208,Datos_Origen!$A$2:$A$2459,0)=$Z208,"OK","REVISAR")</f>
        <v>OK</v>
      </c>
      <c r="AB208" s="62" t="n">
        <f aca="false">INDEX(Datos_Origen!$B$2:$B$2459,$Z208)</f>
        <v>45370</v>
      </c>
      <c r="AC208" s="61" t="n">
        <f aca="false">INDEX(Datos_Origen!$H$2:$H$2459,$Z208)</f>
        <v>98</v>
      </c>
      <c r="AD208" s="61" t="str">
        <f aca="false">INDEX(Datos_Origen!$D$2:$D$2459,$Z208)&amp;""</f>
        <v>Buenos Aires</v>
      </c>
    </row>
    <row r="209" customFormat="false" ht="15" hidden="false" customHeight="false" outlineLevel="0" collapsed="false">
      <c r="A209" s="61" t="n">
        <f aca="false">INDEX(Datos_Origen!$A$2:$A$2459,$Z209)</f>
        <v>208</v>
      </c>
      <c r="B209" s="62" t="n">
        <f aca="false">IF(ISNUMBER($AB209),$AB209,IF(MID($AB209,5,1)="-",DATE(VALUE(LEFT($AB209,4)),VALUE(MID($AB209,6,2)),VALUE(RIGHT($AB209,2))),DATE(VALUE(RIGHT($AB209,4)),VALUE(MID($AB209,4,2)),VALUE(LEFT($AB209,2)))))</f>
        <v>45377</v>
      </c>
      <c r="C209" s="61" t="n">
        <f aca="false">YEAR($B209)</f>
        <v>2024</v>
      </c>
      <c r="D209" s="61" t="str">
        <f aca="false">"Q"&amp;ROUNDUP(MONTH($B209)/3,0)</f>
        <v>Q1</v>
      </c>
      <c r="E209" s="61" t="n">
        <f aca="false">MONTH($B209)</f>
        <v>3</v>
      </c>
      <c r="F209" s="61" t="str">
        <f aca="false">INDEX(Parametros!$I$5:$I$16,$E209)</f>
        <v>Mar</v>
      </c>
      <c r="G209" s="61" t="str">
        <f aca="false">TEXT($C209,"0000")&amp;"-"&amp;TEXT($E209,"00")</f>
        <v>2024-03</v>
      </c>
      <c r="H209" s="61" t="str">
        <f aca="false">INDEX(Parametros!$C$71:$C$91,MATCH(TRIM(INDEX(Datos_Origen!$C$2:$C$2459,$Z209)),Parametros!$B$71:$B$91,0))</f>
        <v>AMBA</v>
      </c>
      <c r="I209" s="61" t="str">
        <f aca="false">IF(TRIM($AD209)="",INDEX(Parametros!$I$20:$I$24,MATCH($H209,Parametros!$H$20:$H$24,0)),TRIM($AD209))</f>
        <v>Buenos Aires</v>
      </c>
      <c r="J209" s="61" t="str">
        <f aca="false">INDEX(Parametros!$C$95:$C$106,MATCH(TRIM(INDEX(Datos_Origen!$E$2:$E$2459,$Z209)),Parametros!$B$95:$B$106,0))</f>
        <v>E-commerce</v>
      </c>
      <c r="K209" s="61" t="str">
        <f aca="false">INDEX(Parametros!$C$48:$C$67,MATCH(TRIM(INDEX(Datos_Origen!$F$2:$F$2459,$Z209)),Parametros!$B$48:$B$67,0))</f>
        <v>Accesorios</v>
      </c>
      <c r="L209" s="61" t="str">
        <f aca="false">$K209&amp;" "&amp;$C209</f>
        <v>Accesorios 2024</v>
      </c>
      <c r="M209" s="61" t="str">
        <f aca="false">TRIM(INDEX(Datos_Origen!$G$2:$G$2459,$Z209))</f>
        <v>Mouse Inalambrico</v>
      </c>
      <c r="N209" s="61" t="str">
        <f aca="false">$M209&amp;" "&amp;$C209</f>
        <v>Mouse Inalambrico 2024</v>
      </c>
      <c r="O209" s="63" t="n">
        <f aca="false">IF(ISTEXT($AC209),VALUE($AC209),$AC209)</f>
        <v>41</v>
      </c>
      <c r="P209" s="64" t="n">
        <f aca="false">INDEX(Datos_Origen!$I$2:$I$2459,$Z209)</f>
        <v>27.44</v>
      </c>
      <c r="Q209" s="64" t="n">
        <f aca="false">INDEX(Datos_Origen!$J$2:$J$2459,$Z209)</f>
        <v>13.44</v>
      </c>
      <c r="R209" s="65" t="n">
        <f aca="false">ROUND($O209*$P209,2)</f>
        <v>1125.04</v>
      </c>
      <c r="S209" s="65" t="n">
        <f aca="false">ROUND($O209*$Q209,2)</f>
        <v>551.04</v>
      </c>
      <c r="T209" s="65" t="n">
        <f aca="false">ROUND($R209*SUMIFS(Parametros!$E$28:$E$43,Parametros!$B$28:$B$43,$J209,Parametros!$C$28:$C$43,$C209,Parametros!$D$28:$D$43,$D209),2)</f>
        <v>47.25</v>
      </c>
      <c r="U209" s="65" t="n">
        <f aca="false">$R209-$S209-$T209</f>
        <v>526.75</v>
      </c>
      <c r="V209" s="66" t="n">
        <f aca="false">IFERROR($U209/$R209,0)</f>
        <v>0.468205574912892</v>
      </c>
      <c r="W209" s="67" t="str">
        <f aca="false">IF(AND($V209&gt;=Parametros!$C$8,$R209&gt;=Parametros!$C$12),"Alta rentabilidad",IF(OR($V209&lt;Parametros!$C$11,$R209&lt;Parametros!$C$13),"Revisar","Estandar"))</f>
        <v>Estandar</v>
      </c>
      <c r="X209" s="67" t="str">
        <f aca="false">IF(AND($J209="E-commerce",IFERROR($T209/$R209,0)&gt;Parametros!$C$14),"Alerta","OK")</f>
        <v>OK</v>
      </c>
      <c r="Y209" s="61" t="str">
        <f aca="false">IF($R209&gt;=Parametros!$C$12,"Alto",IF($R209&lt;Parametros!$C$13,"Bajo","Medio"))</f>
        <v>Medio</v>
      </c>
      <c r="Z209" s="61" t="n">
        <v>677</v>
      </c>
      <c r="AA209" s="61" t="str">
        <f aca="false">IF(MATCH($A209,Datos_Origen!$A$2:$A$2459,0)=$Z209,"OK","REVISAR")</f>
        <v>OK</v>
      </c>
      <c r="AB209" s="62" t="n">
        <f aca="false">INDEX(Datos_Origen!$B$2:$B$2459,$Z209)</f>
        <v>45377</v>
      </c>
      <c r="AC209" s="61" t="n">
        <f aca="false">INDEX(Datos_Origen!$H$2:$H$2459,$Z209)</f>
        <v>41</v>
      </c>
      <c r="AD209" s="61" t="str">
        <f aca="false">INDEX(Datos_Origen!$D$2:$D$2459,$Z209)&amp;""</f>
        <v/>
      </c>
    </row>
    <row r="210" customFormat="false" ht="15" hidden="false" customHeight="false" outlineLevel="0" collapsed="false">
      <c r="A210" s="61" t="n">
        <f aca="false">INDEX(Datos_Origen!$A$2:$A$2459,$Z210)</f>
        <v>209</v>
      </c>
      <c r="B210" s="62" t="n">
        <f aca="false">IF(ISNUMBER($AB210),$AB210,IF(MID($AB210,5,1)="-",DATE(VALUE(LEFT($AB210,4)),VALUE(MID($AB210,6,2)),VALUE(RIGHT($AB210,2))),DATE(VALUE(RIGHT($AB210,4)),VALUE(MID($AB210,4,2)),VALUE(LEFT($AB210,2)))))</f>
        <v>45357</v>
      </c>
      <c r="C210" s="61" t="n">
        <f aca="false">YEAR($B210)</f>
        <v>2024</v>
      </c>
      <c r="D210" s="61" t="str">
        <f aca="false">"Q"&amp;ROUNDUP(MONTH($B210)/3,0)</f>
        <v>Q1</v>
      </c>
      <c r="E210" s="61" t="n">
        <f aca="false">MONTH($B210)</f>
        <v>3</v>
      </c>
      <c r="F210" s="61" t="str">
        <f aca="false">INDEX(Parametros!$I$5:$I$16,$E210)</f>
        <v>Mar</v>
      </c>
      <c r="G210" s="61" t="str">
        <f aca="false">TEXT($C210,"0000")&amp;"-"&amp;TEXT($E210,"00")</f>
        <v>2024-03</v>
      </c>
      <c r="H210" s="61" t="str">
        <f aca="false">INDEX(Parametros!$C$71:$C$91,MATCH(TRIM(INDEX(Datos_Origen!$C$2:$C$2459,$Z210)),Parametros!$B$71:$B$91,0))</f>
        <v>AMBA</v>
      </c>
      <c r="I210" s="61" t="str">
        <f aca="false">IF(TRIM($AD210)="",INDEX(Parametros!$I$20:$I$24,MATCH($H210,Parametros!$H$20:$H$24,0)),TRIM($AD210))</f>
        <v>Buenos Aires</v>
      </c>
      <c r="J210" s="61" t="str">
        <f aca="false">INDEX(Parametros!$C$95:$C$106,MATCH(TRIM(INDEX(Datos_Origen!$E$2:$E$2459,$Z210)),Parametros!$B$95:$B$106,0))</f>
        <v>Tienda fisica</v>
      </c>
      <c r="K210" s="61" t="str">
        <f aca="false">INDEX(Parametros!$C$48:$C$67,MATCH(TRIM(INDEX(Datos_Origen!$F$2:$F$2459,$Z210)),Parametros!$B$48:$B$67,0))</f>
        <v>Accesorios</v>
      </c>
      <c r="L210" s="61" t="str">
        <f aca="false">$K210&amp;" "&amp;$C210</f>
        <v>Accesorios 2024</v>
      </c>
      <c r="M210" s="61" t="str">
        <f aca="false">TRIM(INDEX(Datos_Origen!$G$2:$G$2459,$Z210))</f>
        <v>Teclado Mecanico</v>
      </c>
      <c r="N210" s="61" t="str">
        <f aca="false">$M210&amp;" "&amp;$C210</f>
        <v>Teclado Mecanico 2024</v>
      </c>
      <c r="O210" s="63" t="n">
        <f aca="false">IF(ISTEXT($AC210),VALUE($AC210),$AC210)</f>
        <v>90</v>
      </c>
      <c r="P210" s="64" t="n">
        <f aca="false">INDEX(Datos_Origen!$I$2:$I$2459,$Z210)</f>
        <v>93.1</v>
      </c>
      <c r="Q210" s="64" t="n">
        <f aca="false">INDEX(Datos_Origen!$J$2:$J$2459,$Z210)</f>
        <v>47.98</v>
      </c>
      <c r="R210" s="65" t="n">
        <f aca="false">ROUND($O210*$P210,2)</f>
        <v>8379</v>
      </c>
      <c r="S210" s="65" t="n">
        <f aca="false">ROUND($O210*$Q210,2)</f>
        <v>4318.2</v>
      </c>
      <c r="T210" s="65" t="n">
        <f aca="false">ROUND($R210*SUMIFS(Parametros!$E$28:$E$43,Parametros!$B$28:$B$43,$J210,Parametros!$C$28:$C$43,$C210,Parametros!$D$28:$D$43,$D210),2)</f>
        <v>100.55</v>
      </c>
      <c r="U210" s="65" t="n">
        <f aca="false">$R210-$S210-$T210</f>
        <v>3960.25</v>
      </c>
      <c r="V210" s="66" t="n">
        <f aca="false">IFERROR($U210/$R210,0)</f>
        <v>0.472639933166249</v>
      </c>
      <c r="W210" s="67" t="str">
        <f aca="false">IF(AND($V210&gt;=Parametros!$C$8,$R210&gt;=Parametros!$C$12),"Alta rentabilidad",IF(OR($V210&lt;Parametros!$C$11,$R210&lt;Parametros!$C$13),"Revisar","Estandar"))</f>
        <v>Alta rentabilidad</v>
      </c>
      <c r="X210" s="67" t="str">
        <f aca="false">IF(AND($J210="E-commerce",IFERROR($T210/$R210,0)&gt;Parametros!$C$14),"Alerta","OK")</f>
        <v>OK</v>
      </c>
      <c r="Y210" s="61" t="str">
        <f aca="false">IF($R210&gt;=Parametros!$C$12,"Alto",IF($R210&lt;Parametros!$C$13,"Bajo","Medio"))</f>
        <v>Alto</v>
      </c>
      <c r="Z210" s="61" t="n">
        <v>1072</v>
      </c>
      <c r="AA210" s="61" t="str">
        <f aca="false">IF(MATCH($A210,Datos_Origen!$A$2:$A$2459,0)=$Z210,"OK","REVISAR")</f>
        <v>OK</v>
      </c>
      <c r="AB210" s="62" t="n">
        <f aca="false">INDEX(Datos_Origen!$B$2:$B$2459,$Z210)</f>
        <v>45357</v>
      </c>
      <c r="AC210" s="61" t="n">
        <f aca="false">INDEX(Datos_Origen!$H$2:$H$2459,$Z210)</f>
        <v>90</v>
      </c>
      <c r="AD210" s="61" t="str">
        <f aca="false">INDEX(Datos_Origen!$D$2:$D$2459,$Z210)&amp;""</f>
        <v>Buenos Aires</v>
      </c>
    </row>
    <row r="211" customFormat="false" ht="15" hidden="false" customHeight="false" outlineLevel="0" collapsed="false">
      <c r="A211" s="61" t="n">
        <f aca="false">INDEX(Datos_Origen!$A$2:$A$2459,$Z211)</f>
        <v>210</v>
      </c>
      <c r="B211" s="62" t="n">
        <f aca="false">IF(ISNUMBER($AB211),$AB211,IF(MID($AB211,5,1)="-",DATE(VALUE(LEFT($AB211,4)),VALUE(MID($AB211,6,2)),VALUE(RIGHT($AB211,2))),DATE(VALUE(RIGHT($AB211,4)),VALUE(MID($AB211,4,2)),VALUE(LEFT($AB211,2)))))</f>
        <v>45364</v>
      </c>
      <c r="C211" s="61" t="n">
        <f aca="false">YEAR($B211)</f>
        <v>2024</v>
      </c>
      <c r="D211" s="61" t="str">
        <f aca="false">"Q"&amp;ROUNDUP(MONTH($B211)/3,0)</f>
        <v>Q1</v>
      </c>
      <c r="E211" s="61" t="n">
        <f aca="false">MONTH($B211)</f>
        <v>3</v>
      </c>
      <c r="F211" s="61" t="str">
        <f aca="false">INDEX(Parametros!$I$5:$I$16,$E211)</f>
        <v>Mar</v>
      </c>
      <c r="G211" s="61" t="str">
        <f aca="false">TEXT($C211,"0000")&amp;"-"&amp;TEXT($E211,"00")</f>
        <v>2024-03</v>
      </c>
      <c r="H211" s="61" t="str">
        <f aca="false">INDEX(Parametros!$C$71:$C$91,MATCH(TRIM(INDEX(Datos_Origen!$C$2:$C$2459,$Z211)),Parametros!$B$71:$B$91,0))</f>
        <v>AMBA</v>
      </c>
      <c r="I211" s="61" t="str">
        <f aca="false">IF(TRIM($AD211)="",INDEX(Parametros!$I$20:$I$24,MATCH($H211,Parametros!$H$20:$H$24,0)),TRIM($AD211))</f>
        <v>Buenos Aires</v>
      </c>
      <c r="J211" s="61" t="str">
        <f aca="false">INDEX(Parametros!$C$95:$C$106,MATCH(TRIM(INDEX(Datos_Origen!$E$2:$E$2459,$Z211)),Parametros!$B$95:$B$106,0))</f>
        <v>E-commerce</v>
      </c>
      <c r="K211" s="61" t="str">
        <f aca="false">INDEX(Parametros!$C$48:$C$67,MATCH(TRIM(INDEX(Datos_Origen!$F$2:$F$2459,$Z211)),Parametros!$B$48:$B$67,0))</f>
        <v>Accesorios</v>
      </c>
      <c r="L211" s="61" t="str">
        <f aca="false">$K211&amp;" "&amp;$C211</f>
        <v>Accesorios 2024</v>
      </c>
      <c r="M211" s="61" t="str">
        <f aca="false">TRIM(INDEX(Datos_Origen!$G$2:$G$2459,$Z211))</f>
        <v>Teclado Mecanico</v>
      </c>
      <c r="N211" s="61" t="str">
        <f aca="false">$M211&amp;" "&amp;$C211</f>
        <v>Teclado Mecanico 2024</v>
      </c>
      <c r="O211" s="63" t="n">
        <f aca="false">IF(ISTEXT($AC211),VALUE($AC211),$AC211)</f>
        <v>31</v>
      </c>
      <c r="P211" s="64" t="n">
        <f aca="false">INDEX(Datos_Origen!$I$2:$I$2459,$Z211)</f>
        <v>93.1</v>
      </c>
      <c r="Q211" s="64" t="n">
        <f aca="false">INDEX(Datos_Origen!$J$2:$J$2459,$Z211)</f>
        <v>47.98</v>
      </c>
      <c r="R211" s="65" t="n">
        <f aca="false">ROUND($O211*$P211,2)</f>
        <v>2886.1</v>
      </c>
      <c r="S211" s="65" t="n">
        <f aca="false">ROUND($O211*$Q211,2)</f>
        <v>1487.38</v>
      </c>
      <c r="T211" s="65" t="n">
        <f aca="false">ROUND($R211*SUMIFS(Parametros!$E$28:$E$43,Parametros!$B$28:$B$43,$J211,Parametros!$C$28:$C$43,$C211,Parametros!$D$28:$D$43,$D211),2)</f>
        <v>121.22</v>
      </c>
      <c r="U211" s="65" t="n">
        <f aca="false">$R211-$S211-$T211</f>
        <v>1277.5</v>
      </c>
      <c r="V211" s="66" t="n">
        <f aca="false">IFERROR($U211/$R211,0)</f>
        <v>0.442638855202522</v>
      </c>
      <c r="W211" s="67" t="str">
        <f aca="false">IF(AND($V211&gt;=Parametros!$C$8,$R211&gt;=Parametros!$C$12),"Alta rentabilidad",IF(OR($V211&lt;Parametros!$C$11,$R211&lt;Parametros!$C$13),"Revisar","Estandar"))</f>
        <v>Estandar</v>
      </c>
      <c r="X211" s="67" t="str">
        <f aca="false">IF(AND($J211="E-commerce",IFERROR($T211/$R211,0)&gt;Parametros!$C$14),"Alerta","OK")</f>
        <v>OK</v>
      </c>
      <c r="Y211" s="61" t="str">
        <f aca="false">IF($R211&gt;=Parametros!$C$12,"Alto",IF($R211&lt;Parametros!$C$13,"Bajo","Medio"))</f>
        <v>Medio</v>
      </c>
      <c r="Z211" s="61" t="n">
        <v>696</v>
      </c>
      <c r="AA211" s="61" t="str">
        <f aca="false">IF(MATCH($A211,Datos_Origen!$A$2:$A$2459,0)=$Z211,"OK","REVISAR")</f>
        <v>OK</v>
      </c>
      <c r="AB211" s="62" t="n">
        <f aca="false">INDEX(Datos_Origen!$B$2:$B$2459,$Z211)</f>
        <v>45364</v>
      </c>
      <c r="AC211" s="61" t="n">
        <f aca="false">INDEX(Datos_Origen!$H$2:$H$2459,$Z211)</f>
        <v>31</v>
      </c>
      <c r="AD211" s="61" t="str">
        <f aca="false">INDEX(Datos_Origen!$D$2:$D$2459,$Z211)&amp;""</f>
        <v>Buenos Aires</v>
      </c>
    </row>
    <row r="212" customFormat="false" ht="15" hidden="false" customHeight="false" outlineLevel="0" collapsed="false">
      <c r="A212" s="61" t="n">
        <f aca="false">INDEX(Datos_Origen!$A$2:$A$2459,$Z212)</f>
        <v>211</v>
      </c>
      <c r="B212" s="62" t="n">
        <f aca="false">IF(ISNUMBER($AB212),$AB212,IF(MID($AB212,5,1)="-",DATE(VALUE(LEFT($AB212,4)),VALUE(MID($AB212,6,2)),VALUE(RIGHT($AB212,2))),DATE(VALUE(RIGHT($AB212,4)),VALUE(MID($AB212,4,2)),VALUE(LEFT($AB212,2)))))</f>
        <v>45371</v>
      </c>
      <c r="C212" s="61" t="n">
        <f aca="false">YEAR($B212)</f>
        <v>2024</v>
      </c>
      <c r="D212" s="61" t="str">
        <f aca="false">"Q"&amp;ROUNDUP(MONTH($B212)/3,0)</f>
        <v>Q1</v>
      </c>
      <c r="E212" s="61" t="n">
        <f aca="false">MONTH($B212)</f>
        <v>3</v>
      </c>
      <c r="F212" s="61" t="str">
        <f aca="false">INDEX(Parametros!$I$5:$I$16,$E212)</f>
        <v>Mar</v>
      </c>
      <c r="G212" s="61" t="str">
        <f aca="false">TEXT($C212,"0000")&amp;"-"&amp;TEXT($E212,"00")</f>
        <v>2024-03</v>
      </c>
      <c r="H212" s="61" t="str">
        <f aca="false">INDEX(Parametros!$C$71:$C$91,MATCH(TRIM(INDEX(Datos_Origen!$C$2:$C$2459,$Z212)),Parametros!$B$71:$B$91,0))</f>
        <v>AMBA</v>
      </c>
      <c r="I212" s="61" t="str">
        <f aca="false">IF(TRIM($AD212)="",INDEX(Parametros!$I$20:$I$24,MATCH($H212,Parametros!$H$20:$H$24,0)),TRIM($AD212))</f>
        <v>Buenos Aires</v>
      </c>
      <c r="J212" s="61" t="str">
        <f aca="false">INDEX(Parametros!$C$95:$C$106,MATCH(TRIM(INDEX(Datos_Origen!$E$2:$E$2459,$Z212)),Parametros!$B$95:$B$106,0))</f>
        <v>Tienda fisica</v>
      </c>
      <c r="K212" s="61" t="str">
        <f aca="false">INDEX(Parametros!$C$48:$C$67,MATCH(TRIM(INDEX(Datos_Origen!$F$2:$F$2459,$Z212)),Parametros!$B$48:$B$67,0))</f>
        <v>Accesorios</v>
      </c>
      <c r="L212" s="61" t="str">
        <f aca="false">$K212&amp;" "&amp;$C212</f>
        <v>Accesorios 2024</v>
      </c>
      <c r="M212" s="61" t="str">
        <f aca="false">TRIM(INDEX(Datos_Origen!$G$2:$G$2459,$Z212))</f>
        <v>Webcam Full HD</v>
      </c>
      <c r="N212" s="61" t="str">
        <f aca="false">$M212&amp;" "&amp;$C212</f>
        <v>Webcam Full HD 2024</v>
      </c>
      <c r="O212" s="63" t="n">
        <f aca="false">IF(ISTEXT($AC212),VALUE($AC212),$AC212)</f>
        <v>107</v>
      </c>
      <c r="P212" s="64" t="n">
        <f aca="false">INDEX(Datos_Origen!$I$2:$I$2459,$Z212)</f>
        <v>63.7</v>
      </c>
      <c r="Q212" s="64" t="n">
        <f aca="false">INDEX(Datos_Origen!$J$2:$J$2459,$Z212)</f>
        <v>35.43</v>
      </c>
      <c r="R212" s="65" t="n">
        <f aca="false">ROUND($O212*$P212,2)</f>
        <v>6815.9</v>
      </c>
      <c r="S212" s="65" t="n">
        <f aca="false">ROUND($O212*$Q212,2)</f>
        <v>3791.01</v>
      </c>
      <c r="T212" s="65" t="n">
        <f aca="false">ROUND($R212*SUMIFS(Parametros!$E$28:$E$43,Parametros!$B$28:$B$43,$J212,Parametros!$C$28:$C$43,$C212,Parametros!$D$28:$D$43,$D212),2)</f>
        <v>81.79</v>
      </c>
      <c r="U212" s="65" t="n">
        <f aca="false">$R212-$S212-$T212</f>
        <v>2943.1</v>
      </c>
      <c r="V212" s="66" t="n">
        <f aca="false">IFERROR($U212/$R212,0)</f>
        <v>0.431799175457386</v>
      </c>
      <c r="W212" s="67" t="str">
        <f aca="false">IF(AND($V212&gt;=Parametros!$C$8,$R212&gt;=Parametros!$C$12),"Alta rentabilidad",IF(OR($V212&lt;Parametros!$C$11,$R212&lt;Parametros!$C$13),"Revisar","Estandar"))</f>
        <v>Alta rentabilidad</v>
      </c>
      <c r="X212" s="67" t="str">
        <f aca="false">IF(AND($J212="E-commerce",IFERROR($T212/$R212,0)&gt;Parametros!$C$14),"Alerta","OK")</f>
        <v>OK</v>
      </c>
      <c r="Y212" s="61" t="str">
        <f aca="false">IF($R212&gt;=Parametros!$C$12,"Alto",IF($R212&lt;Parametros!$C$13,"Bajo","Medio"))</f>
        <v>Alto</v>
      </c>
      <c r="Z212" s="61" t="n">
        <v>472</v>
      </c>
      <c r="AA212" s="61" t="str">
        <f aca="false">IF(MATCH($A212,Datos_Origen!$A$2:$A$2459,0)=$Z212,"OK","REVISAR")</f>
        <v>OK</v>
      </c>
      <c r="AB212" s="62" t="n">
        <f aca="false">INDEX(Datos_Origen!$B$2:$B$2459,$Z212)</f>
        <v>45371</v>
      </c>
      <c r="AC212" s="61" t="n">
        <f aca="false">INDEX(Datos_Origen!$H$2:$H$2459,$Z212)</f>
        <v>107</v>
      </c>
      <c r="AD212" s="61" t="str">
        <f aca="false">INDEX(Datos_Origen!$D$2:$D$2459,$Z212)&amp;""</f>
        <v>Buenos Aires</v>
      </c>
    </row>
    <row r="213" customFormat="false" ht="15" hidden="false" customHeight="false" outlineLevel="0" collapsed="false">
      <c r="A213" s="61" t="n">
        <f aca="false">INDEX(Datos_Origen!$A$2:$A$2459,$Z213)</f>
        <v>212</v>
      </c>
      <c r="B213" s="62" t="n">
        <f aca="false">IF(ISNUMBER($AB213),$AB213,IF(MID($AB213,5,1)="-",DATE(VALUE(LEFT($AB213,4)),VALUE(MID($AB213,6,2)),VALUE(RIGHT($AB213,2))),DATE(VALUE(RIGHT($AB213,4)),VALUE(MID($AB213,4,2)),VALUE(LEFT($AB213,2)))))</f>
        <v>45378</v>
      </c>
      <c r="C213" s="61" t="n">
        <f aca="false">YEAR($B213)</f>
        <v>2024</v>
      </c>
      <c r="D213" s="61" t="str">
        <f aca="false">"Q"&amp;ROUNDUP(MONTH($B213)/3,0)</f>
        <v>Q1</v>
      </c>
      <c r="E213" s="61" t="n">
        <f aca="false">MONTH($B213)</f>
        <v>3</v>
      </c>
      <c r="F213" s="61" t="str">
        <f aca="false">INDEX(Parametros!$I$5:$I$16,$E213)</f>
        <v>Mar</v>
      </c>
      <c r="G213" s="61" t="str">
        <f aca="false">TEXT($C213,"0000")&amp;"-"&amp;TEXT($E213,"00")</f>
        <v>2024-03</v>
      </c>
      <c r="H213" s="61" t="str">
        <f aca="false">INDEX(Parametros!$C$71:$C$91,MATCH(TRIM(INDEX(Datos_Origen!$C$2:$C$2459,$Z213)),Parametros!$B$71:$B$91,0))</f>
        <v>AMBA</v>
      </c>
      <c r="I213" s="61" t="str">
        <f aca="false">IF(TRIM($AD213)="",INDEX(Parametros!$I$20:$I$24,MATCH($H213,Parametros!$H$20:$H$24,0)),TRIM($AD213))</f>
        <v>Buenos Aires</v>
      </c>
      <c r="J213" s="61" t="str">
        <f aca="false">INDEX(Parametros!$C$95:$C$106,MATCH(TRIM(INDEX(Datos_Origen!$E$2:$E$2459,$Z213)),Parametros!$B$95:$B$106,0))</f>
        <v>E-commerce</v>
      </c>
      <c r="K213" s="61" t="str">
        <f aca="false">INDEX(Parametros!$C$48:$C$67,MATCH(TRIM(INDEX(Datos_Origen!$F$2:$F$2459,$Z213)),Parametros!$B$48:$B$67,0))</f>
        <v>Accesorios</v>
      </c>
      <c r="L213" s="61" t="str">
        <f aca="false">$K213&amp;" "&amp;$C213</f>
        <v>Accesorios 2024</v>
      </c>
      <c r="M213" s="61" t="str">
        <f aca="false">TRIM(INDEX(Datos_Origen!$G$2:$G$2459,$Z213))</f>
        <v>Webcam Full HD</v>
      </c>
      <c r="N213" s="61" t="str">
        <f aca="false">$M213&amp;" "&amp;$C213</f>
        <v>Webcam Full HD 2024</v>
      </c>
      <c r="O213" s="63" t="n">
        <f aca="false">IF(ISTEXT($AC213),VALUE($AC213),$AC213)</f>
        <v>31</v>
      </c>
      <c r="P213" s="64" t="n">
        <f aca="false">INDEX(Datos_Origen!$I$2:$I$2459,$Z213)</f>
        <v>63.7</v>
      </c>
      <c r="Q213" s="64" t="n">
        <f aca="false">INDEX(Datos_Origen!$J$2:$J$2459,$Z213)</f>
        <v>35.43</v>
      </c>
      <c r="R213" s="65" t="n">
        <f aca="false">ROUND($O213*$P213,2)</f>
        <v>1974.7</v>
      </c>
      <c r="S213" s="65" t="n">
        <f aca="false">ROUND($O213*$Q213,2)</f>
        <v>1098.33</v>
      </c>
      <c r="T213" s="65" t="n">
        <f aca="false">ROUND($R213*SUMIFS(Parametros!$E$28:$E$43,Parametros!$B$28:$B$43,$J213,Parametros!$C$28:$C$43,$C213,Parametros!$D$28:$D$43,$D213),2)</f>
        <v>82.94</v>
      </c>
      <c r="U213" s="65" t="n">
        <f aca="false">$R213-$S213-$T213</f>
        <v>793.43</v>
      </c>
      <c r="V213" s="66" t="n">
        <f aca="false">IFERROR($U213/$R213,0)</f>
        <v>0.401797741429078</v>
      </c>
      <c r="W213" s="67" t="str">
        <f aca="false">IF(AND($V213&gt;=Parametros!$C$8,$R213&gt;=Parametros!$C$12),"Alta rentabilidad",IF(OR($V213&lt;Parametros!$C$11,$R213&lt;Parametros!$C$13),"Revisar","Estandar"))</f>
        <v>Estandar</v>
      </c>
      <c r="X213" s="67" t="str">
        <f aca="false">IF(AND($J213="E-commerce",IFERROR($T213/$R213,0)&gt;Parametros!$C$14),"Alerta","OK")</f>
        <v>OK</v>
      </c>
      <c r="Y213" s="61" t="str">
        <f aca="false">IF($R213&gt;=Parametros!$C$12,"Alto",IF($R213&lt;Parametros!$C$13,"Bajo","Medio"))</f>
        <v>Medio</v>
      </c>
      <c r="Z213" s="61" t="n">
        <v>2002</v>
      </c>
      <c r="AA213" s="61" t="str">
        <f aca="false">IF(MATCH($A213,Datos_Origen!$A$2:$A$2459,0)=$Z213,"OK","REVISAR")</f>
        <v>OK</v>
      </c>
      <c r="AB213" s="61" t="str">
        <f aca="false">INDEX(Datos_Origen!$B$2:$B$2459,$Z213)</f>
        <v>2024-03-27</v>
      </c>
      <c r="AC213" s="61" t="str">
        <f aca="false">INDEX(Datos_Origen!$H$2:$H$2459,$Z213)</f>
        <v>31</v>
      </c>
      <c r="AD213" s="61" t="str">
        <f aca="false">INDEX(Datos_Origen!$D$2:$D$2459,$Z213)&amp;""</f>
        <v>Buenos Aires</v>
      </c>
    </row>
    <row r="214" customFormat="false" ht="15" hidden="false" customHeight="false" outlineLevel="0" collapsed="false">
      <c r="A214" s="61" t="n">
        <f aca="false">INDEX(Datos_Origen!$A$2:$A$2459,$Z214)</f>
        <v>213</v>
      </c>
      <c r="B214" s="62" t="n">
        <f aca="false">IF(ISNUMBER($AB214),$AB214,IF(MID($AB214,5,1)="-",DATE(VALUE(LEFT($AB214,4)),VALUE(MID($AB214,6,2)),VALUE(RIGHT($AB214,2))),DATE(VALUE(RIGHT($AB214,4)),VALUE(MID($AB214,4,2)),VALUE(LEFT($AB214,2)))))</f>
        <v>45358</v>
      </c>
      <c r="C214" s="61" t="n">
        <f aca="false">YEAR($B214)</f>
        <v>2024</v>
      </c>
      <c r="D214" s="61" t="str">
        <f aca="false">"Q"&amp;ROUNDUP(MONTH($B214)/3,0)</f>
        <v>Q1</v>
      </c>
      <c r="E214" s="61" t="n">
        <f aca="false">MONTH($B214)</f>
        <v>3</v>
      </c>
      <c r="F214" s="61" t="str">
        <f aca="false">INDEX(Parametros!$I$5:$I$16,$E214)</f>
        <v>Mar</v>
      </c>
      <c r="G214" s="61" t="str">
        <f aca="false">TEXT($C214,"0000")&amp;"-"&amp;TEXT($E214,"00")</f>
        <v>2024-03</v>
      </c>
      <c r="H214" s="61" t="str">
        <f aca="false">INDEX(Parametros!$C$71:$C$91,MATCH(TRIM(INDEX(Datos_Origen!$C$2:$C$2459,$Z214)),Parametros!$B$71:$B$91,0))</f>
        <v>AMBA</v>
      </c>
      <c r="I214" s="61" t="str">
        <f aca="false">IF(TRIM($AD214)="",INDEX(Parametros!$I$20:$I$24,MATCH($H214,Parametros!$H$20:$H$24,0)),TRIM($AD214))</f>
        <v>Buenos Aires</v>
      </c>
      <c r="J214" s="61" t="str">
        <f aca="false">INDEX(Parametros!$C$95:$C$106,MATCH(TRIM(INDEX(Datos_Origen!$E$2:$E$2459,$Z214)),Parametros!$B$95:$B$106,0))</f>
        <v>Tienda fisica</v>
      </c>
      <c r="K214" s="61" t="str">
        <f aca="false">INDEX(Parametros!$C$48:$C$67,MATCH(TRIM(INDEX(Datos_Origen!$F$2:$F$2459,$Z214)),Parametros!$B$48:$B$67,0))</f>
        <v>Audio</v>
      </c>
      <c r="L214" s="61" t="str">
        <f aca="false">$K214&amp;" "&amp;$C214</f>
        <v>Audio 2024</v>
      </c>
      <c r="M214" s="61" t="str">
        <f aca="false">TRIM(INDEX(Datos_Origen!$G$2:$G$2459,$Z214))</f>
        <v>Auriculares BT Pro</v>
      </c>
      <c r="N214" s="61" t="str">
        <f aca="false">$M214&amp;" "&amp;$C214</f>
        <v>Auriculares BT Pro 2024</v>
      </c>
      <c r="O214" s="63" t="n">
        <f aca="false">IF(ISTEXT($AC214),VALUE($AC214),$AC214)</f>
        <v>36</v>
      </c>
      <c r="P214" s="64" t="n">
        <f aca="false">INDEX(Datos_Origen!$I$2:$I$2459,$Z214)</f>
        <v>117.6</v>
      </c>
      <c r="Q214" s="64" t="n">
        <f aca="false">INDEX(Datos_Origen!$J$2:$J$2459,$Z214)</f>
        <v>63.6</v>
      </c>
      <c r="R214" s="65" t="n">
        <f aca="false">ROUND($O214*$P214,2)</f>
        <v>4233.6</v>
      </c>
      <c r="S214" s="65" t="n">
        <f aca="false">ROUND($O214*$Q214,2)</f>
        <v>2289.6</v>
      </c>
      <c r="T214" s="65" t="n">
        <f aca="false">ROUND($R214*SUMIFS(Parametros!$E$28:$E$43,Parametros!$B$28:$B$43,$J214,Parametros!$C$28:$C$43,$C214,Parametros!$D$28:$D$43,$D214),2)</f>
        <v>50.8</v>
      </c>
      <c r="U214" s="65" t="n">
        <f aca="false">$R214-$S214-$T214</f>
        <v>1893.2</v>
      </c>
      <c r="V214" s="66" t="n">
        <f aca="false">IFERROR($U214/$R214,0)</f>
        <v>0.447184429327287</v>
      </c>
      <c r="W214" s="67" t="str">
        <f aca="false">IF(AND($V214&gt;=Parametros!$C$8,$R214&gt;=Parametros!$C$12),"Alta rentabilidad",IF(OR($V214&lt;Parametros!$C$11,$R214&lt;Parametros!$C$13),"Revisar","Estandar"))</f>
        <v>Alta rentabilidad</v>
      </c>
      <c r="X214" s="67" t="str">
        <f aca="false">IF(AND($J214="E-commerce",IFERROR($T214/$R214,0)&gt;Parametros!$C$14),"Alerta","OK")</f>
        <v>OK</v>
      </c>
      <c r="Y214" s="61" t="str">
        <f aca="false">IF($R214&gt;=Parametros!$C$12,"Alto",IF($R214&lt;Parametros!$C$13,"Bajo","Medio"))</f>
        <v>Alto</v>
      </c>
      <c r="Z214" s="61" t="n">
        <v>1091</v>
      </c>
      <c r="AA214" s="61" t="str">
        <f aca="false">IF(MATCH($A214,Datos_Origen!$A$2:$A$2459,0)=$Z214,"OK","REVISAR")</f>
        <v>OK</v>
      </c>
      <c r="AB214" s="62" t="n">
        <f aca="false">INDEX(Datos_Origen!$B$2:$B$2459,$Z214)</f>
        <v>45358</v>
      </c>
      <c r="AC214" s="61" t="n">
        <f aca="false">INDEX(Datos_Origen!$H$2:$H$2459,$Z214)</f>
        <v>36</v>
      </c>
      <c r="AD214" s="61" t="str">
        <f aca="false">INDEX(Datos_Origen!$D$2:$D$2459,$Z214)&amp;""</f>
        <v/>
      </c>
    </row>
    <row r="215" customFormat="false" ht="15" hidden="false" customHeight="false" outlineLevel="0" collapsed="false">
      <c r="A215" s="61" t="n">
        <f aca="false">INDEX(Datos_Origen!$A$2:$A$2459,$Z215)</f>
        <v>214</v>
      </c>
      <c r="B215" s="62" t="n">
        <f aca="false">IF(ISNUMBER($AB215),$AB215,IF(MID($AB215,5,1)="-",DATE(VALUE(LEFT($AB215,4)),VALUE(MID($AB215,6,2)),VALUE(RIGHT($AB215,2))),DATE(VALUE(RIGHT($AB215,4)),VALUE(MID($AB215,4,2)),VALUE(LEFT($AB215,2)))))</f>
        <v>45365</v>
      </c>
      <c r="C215" s="61" t="n">
        <f aca="false">YEAR($B215)</f>
        <v>2024</v>
      </c>
      <c r="D215" s="61" t="str">
        <f aca="false">"Q"&amp;ROUNDUP(MONTH($B215)/3,0)</f>
        <v>Q1</v>
      </c>
      <c r="E215" s="61" t="n">
        <f aca="false">MONTH($B215)</f>
        <v>3</v>
      </c>
      <c r="F215" s="61" t="str">
        <f aca="false">INDEX(Parametros!$I$5:$I$16,$E215)</f>
        <v>Mar</v>
      </c>
      <c r="G215" s="61" t="str">
        <f aca="false">TEXT($C215,"0000")&amp;"-"&amp;TEXT($E215,"00")</f>
        <v>2024-03</v>
      </c>
      <c r="H215" s="61" t="str">
        <f aca="false">INDEX(Parametros!$C$71:$C$91,MATCH(TRIM(INDEX(Datos_Origen!$C$2:$C$2459,$Z215)),Parametros!$B$71:$B$91,0))</f>
        <v>AMBA</v>
      </c>
      <c r="I215" s="61" t="str">
        <f aca="false">IF(TRIM($AD215)="",INDEX(Parametros!$I$20:$I$24,MATCH($H215,Parametros!$H$20:$H$24,0)),TRIM($AD215))</f>
        <v>Buenos Aires</v>
      </c>
      <c r="J215" s="61" t="str">
        <f aca="false">INDEX(Parametros!$C$95:$C$106,MATCH(TRIM(INDEX(Datos_Origen!$E$2:$E$2459,$Z215)),Parametros!$B$95:$B$106,0))</f>
        <v>E-commerce</v>
      </c>
      <c r="K215" s="61" t="str">
        <f aca="false">INDEX(Parametros!$C$48:$C$67,MATCH(TRIM(INDEX(Datos_Origen!$F$2:$F$2459,$Z215)),Parametros!$B$48:$B$67,0))</f>
        <v>Audio</v>
      </c>
      <c r="L215" s="61" t="str">
        <f aca="false">$K215&amp;" "&amp;$C215</f>
        <v>Audio 2024</v>
      </c>
      <c r="M215" s="61" t="str">
        <f aca="false">TRIM(INDEX(Datos_Origen!$G$2:$G$2459,$Z215))</f>
        <v>Auriculares BT Pro</v>
      </c>
      <c r="N215" s="61" t="str">
        <f aca="false">$M215&amp;" "&amp;$C215</f>
        <v>Auriculares BT Pro 2024</v>
      </c>
      <c r="O215" s="63" t="n">
        <f aca="false">IF(ISTEXT($AC215),VALUE($AC215),$AC215)</f>
        <v>14</v>
      </c>
      <c r="P215" s="64" t="n">
        <f aca="false">INDEX(Datos_Origen!$I$2:$I$2459,$Z215)</f>
        <v>117.6</v>
      </c>
      <c r="Q215" s="64" t="n">
        <f aca="false">INDEX(Datos_Origen!$J$2:$J$2459,$Z215)</f>
        <v>63.6</v>
      </c>
      <c r="R215" s="65" t="n">
        <f aca="false">ROUND($O215*$P215,2)</f>
        <v>1646.4</v>
      </c>
      <c r="S215" s="65" t="n">
        <f aca="false">ROUND($O215*$Q215,2)</f>
        <v>890.4</v>
      </c>
      <c r="T215" s="65" t="n">
        <f aca="false">ROUND($R215*SUMIFS(Parametros!$E$28:$E$43,Parametros!$B$28:$B$43,$J215,Parametros!$C$28:$C$43,$C215,Parametros!$D$28:$D$43,$D215),2)</f>
        <v>69.15</v>
      </c>
      <c r="U215" s="65" t="n">
        <f aca="false">$R215-$S215-$T215</f>
        <v>686.85</v>
      </c>
      <c r="V215" s="66" t="n">
        <f aca="false">IFERROR($U215/$R215,0)</f>
        <v>0.417182944606414</v>
      </c>
      <c r="W215" s="67" t="str">
        <f aca="false">IF(AND($V215&gt;=Parametros!$C$8,$R215&gt;=Parametros!$C$12),"Alta rentabilidad",IF(OR($V215&lt;Parametros!$C$11,$R215&lt;Parametros!$C$13),"Revisar","Estandar"))</f>
        <v>Estandar</v>
      </c>
      <c r="X215" s="67" t="str">
        <f aca="false">IF(AND($J215="E-commerce",IFERROR($T215/$R215,0)&gt;Parametros!$C$14),"Alerta","OK")</f>
        <v>OK</v>
      </c>
      <c r="Y215" s="61" t="str">
        <f aca="false">IF($R215&gt;=Parametros!$C$12,"Alto",IF($R215&lt;Parametros!$C$13,"Bajo","Medio"))</f>
        <v>Medio</v>
      </c>
      <c r="Z215" s="61" t="n">
        <v>282</v>
      </c>
      <c r="AA215" s="61" t="str">
        <f aca="false">IF(MATCH($A215,Datos_Origen!$A$2:$A$2459,0)=$Z215,"OK","REVISAR")</f>
        <v>OK</v>
      </c>
      <c r="AB215" s="61" t="str">
        <f aca="false">INDEX(Datos_Origen!$B$2:$B$2459,$Z215)</f>
        <v>14/03/2024</v>
      </c>
      <c r="AC215" s="61" t="n">
        <f aca="false">INDEX(Datos_Origen!$H$2:$H$2459,$Z215)</f>
        <v>14</v>
      </c>
      <c r="AD215" s="61" t="str">
        <f aca="false">INDEX(Datos_Origen!$D$2:$D$2459,$Z215)&amp;""</f>
        <v>Buenos Aires</v>
      </c>
    </row>
    <row r="216" customFormat="false" ht="15" hidden="false" customHeight="false" outlineLevel="0" collapsed="false">
      <c r="A216" s="61" t="n">
        <f aca="false">INDEX(Datos_Origen!$A$2:$A$2459,$Z216)</f>
        <v>215</v>
      </c>
      <c r="B216" s="62" t="n">
        <f aca="false">IF(ISNUMBER($AB216),$AB216,IF(MID($AB216,5,1)="-",DATE(VALUE(LEFT($AB216,4)),VALUE(MID($AB216,6,2)),VALUE(RIGHT($AB216,2))),DATE(VALUE(RIGHT($AB216,4)),VALUE(MID($AB216,4,2)),VALUE(LEFT($AB216,2)))))</f>
        <v>45372</v>
      </c>
      <c r="C216" s="61" t="n">
        <f aca="false">YEAR($B216)</f>
        <v>2024</v>
      </c>
      <c r="D216" s="61" t="str">
        <f aca="false">"Q"&amp;ROUNDUP(MONTH($B216)/3,0)</f>
        <v>Q1</v>
      </c>
      <c r="E216" s="61" t="n">
        <f aca="false">MONTH($B216)</f>
        <v>3</v>
      </c>
      <c r="F216" s="61" t="str">
        <f aca="false">INDEX(Parametros!$I$5:$I$16,$E216)</f>
        <v>Mar</v>
      </c>
      <c r="G216" s="61" t="str">
        <f aca="false">TEXT($C216,"0000")&amp;"-"&amp;TEXT($E216,"00")</f>
        <v>2024-03</v>
      </c>
      <c r="H216" s="61" t="str">
        <f aca="false">INDEX(Parametros!$C$71:$C$91,MATCH(TRIM(INDEX(Datos_Origen!$C$2:$C$2459,$Z216)),Parametros!$B$71:$B$91,0))</f>
        <v>AMBA</v>
      </c>
      <c r="I216" s="61" t="str">
        <f aca="false">IF(TRIM($AD216)="",INDEX(Parametros!$I$20:$I$24,MATCH($H216,Parametros!$H$20:$H$24,0)),TRIM($AD216))</f>
        <v>Buenos Aires</v>
      </c>
      <c r="J216" s="61" t="str">
        <f aca="false">INDEX(Parametros!$C$95:$C$106,MATCH(TRIM(INDEX(Datos_Origen!$E$2:$E$2459,$Z216)),Parametros!$B$95:$B$106,0))</f>
        <v>Tienda fisica</v>
      </c>
      <c r="K216" s="61" t="str">
        <f aca="false">INDEX(Parametros!$C$48:$C$67,MATCH(TRIM(INDEX(Datos_Origen!$F$2:$F$2459,$Z216)),Parametros!$B$48:$B$67,0))</f>
        <v>Audio</v>
      </c>
      <c r="L216" s="61" t="str">
        <f aca="false">$K216&amp;" "&amp;$C216</f>
        <v>Audio 2024</v>
      </c>
      <c r="M216" s="61" t="str">
        <f aca="false">TRIM(INDEX(Datos_Origen!$G$2:$G$2459,$Z216))</f>
        <v>Parlante Bluetooth</v>
      </c>
      <c r="N216" s="61" t="str">
        <f aca="false">$M216&amp;" "&amp;$C216</f>
        <v>Parlante Bluetooth 2024</v>
      </c>
      <c r="O216" s="63" t="n">
        <f aca="false">IF(ISTEXT($AC216),VALUE($AC216),$AC216)</f>
        <v>49</v>
      </c>
      <c r="P216" s="64" t="n">
        <f aca="false">INDEX(Datos_Origen!$I$2:$I$2459,$Z216)</f>
        <v>83.3</v>
      </c>
      <c r="Q216" s="64" t="n">
        <f aca="false">INDEX(Datos_Origen!$J$2:$J$2459,$Z216)</f>
        <v>48.03</v>
      </c>
      <c r="R216" s="65" t="n">
        <f aca="false">ROUND($O216*$P216,2)</f>
        <v>4081.7</v>
      </c>
      <c r="S216" s="65" t="n">
        <f aca="false">ROUND($O216*$Q216,2)</f>
        <v>2353.47</v>
      </c>
      <c r="T216" s="65" t="n">
        <f aca="false">ROUND($R216*SUMIFS(Parametros!$E$28:$E$43,Parametros!$B$28:$B$43,$J216,Parametros!$C$28:$C$43,$C216,Parametros!$D$28:$D$43,$D216),2)</f>
        <v>48.98</v>
      </c>
      <c r="U216" s="65" t="n">
        <f aca="false">$R216-$S216-$T216</f>
        <v>1679.25</v>
      </c>
      <c r="V216" s="66" t="n">
        <f aca="false">IFERROR($U216/$R216,0)</f>
        <v>0.411409461743881</v>
      </c>
      <c r="W216" s="67" t="str">
        <f aca="false">IF(AND($V216&gt;=Parametros!$C$8,$R216&gt;=Parametros!$C$12),"Alta rentabilidad",IF(OR($V216&lt;Parametros!$C$11,$R216&lt;Parametros!$C$13),"Revisar","Estandar"))</f>
        <v>Alta rentabilidad</v>
      </c>
      <c r="X216" s="67" t="str">
        <f aca="false">IF(AND($J216="E-commerce",IFERROR($T216/$R216,0)&gt;Parametros!$C$14),"Alerta","OK")</f>
        <v>OK</v>
      </c>
      <c r="Y216" s="61" t="str">
        <f aca="false">IF($R216&gt;=Parametros!$C$12,"Alto",IF($R216&lt;Parametros!$C$13,"Bajo","Medio"))</f>
        <v>Alto</v>
      </c>
      <c r="Z216" s="61" t="n">
        <v>1328</v>
      </c>
      <c r="AA216" s="61" t="str">
        <f aca="false">IF(MATCH($A216,Datos_Origen!$A$2:$A$2459,0)=$Z216,"OK","REVISAR")</f>
        <v>OK</v>
      </c>
      <c r="AB216" s="62" t="n">
        <f aca="false">INDEX(Datos_Origen!$B$2:$B$2459,$Z216)</f>
        <v>45372</v>
      </c>
      <c r="AC216" s="61" t="n">
        <f aca="false">INDEX(Datos_Origen!$H$2:$H$2459,$Z216)</f>
        <v>49</v>
      </c>
      <c r="AD216" s="61" t="str">
        <f aca="false">INDEX(Datos_Origen!$D$2:$D$2459,$Z216)&amp;""</f>
        <v>Buenos Aires</v>
      </c>
    </row>
    <row r="217" customFormat="false" ht="15" hidden="false" customHeight="false" outlineLevel="0" collapsed="false">
      <c r="A217" s="61" t="n">
        <f aca="false">INDEX(Datos_Origen!$A$2:$A$2459,$Z217)</f>
        <v>216</v>
      </c>
      <c r="B217" s="62" t="n">
        <f aca="false">IF(ISNUMBER($AB217),$AB217,IF(MID($AB217,5,1)="-",DATE(VALUE(LEFT($AB217,4)),VALUE(MID($AB217,6,2)),VALUE(RIGHT($AB217,2))),DATE(VALUE(RIGHT($AB217,4)),VALUE(MID($AB217,4,2)),VALUE(LEFT($AB217,2)))))</f>
        <v>45352</v>
      </c>
      <c r="C217" s="61" t="n">
        <f aca="false">YEAR($B217)</f>
        <v>2024</v>
      </c>
      <c r="D217" s="61" t="str">
        <f aca="false">"Q"&amp;ROUNDUP(MONTH($B217)/3,0)</f>
        <v>Q1</v>
      </c>
      <c r="E217" s="61" t="n">
        <f aca="false">MONTH($B217)</f>
        <v>3</v>
      </c>
      <c r="F217" s="61" t="str">
        <f aca="false">INDEX(Parametros!$I$5:$I$16,$E217)</f>
        <v>Mar</v>
      </c>
      <c r="G217" s="61" t="str">
        <f aca="false">TEXT($C217,"0000")&amp;"-"&amp;TEXT($E217,"00")</f>
        <v>2024-03</v>
      </c>
      <c r="H217" s="61" t="str">
        <f aca="false">INDEX(Parametros!$C$71:$C$91,MATCH(TRIM(INDEX(Datos_Origen!$C$2:$C$2459,$Z217)),Parametros!$B$71:$B$91,0))</f>
        <v>AMBA</v>
      </c>
      <c r="I217" s="61" t="str">
        <f aca="false">IF(TRIM($AD217)="",INDEX(Parametros!$I$20:$I$24,MATCH($H217,Parametros!$H$20:$H$24,0)),TRIM($AD217))</f>
        <v>Buenos Aires</v>
      </c>
      <c r="J217" s="61" t="str">
        <f aca="false">INDEX(Parametros!$C$95:$C$106,MATCH(TRIM(INDEX(Datos_Origen!$E$2:$E$2459,$Z217)),Parametros!$B$95:$B$106,0))</f>
        <v>E-commerce</v>
      </c>
      <c r="K217" s="61" t="str">
        <f aca="false">INDEX(Parametros!$C$48:$C$67,MATCH(TRIM(INDEX(Datos_Origen!$F$2:$F$2459,$Z217)),Parametros!$B$48:$B$67,0))</f>
        <v>Audio</v>
      </c>
      <c r="L217" s="61" t="str">
        <f aca="false">$K217&amp;" "&amp;$C217</f>
        <v>Audio 2024</v>
      </c>
      <c r="M217" s="61" t="str">
        <f aca="false">TRIM(INDEX(Datos_Origen!$G$2:$G$2459,$Z217))</f>
        <v>Parlante Bluetooth</v>
      </c>
      <c r="N217" s="61" t="str">
        <f aca="false">$M217&amp;" "&amp;$C217</f>
        <v>Parlante Bluetooth 2024</v>
      </c>
      <c r="O217" s="63" t="n">
        <f aca="false">IF(ISTEXT($AC217),VALUE($AC217),$AC217)</f>
        <v>14</v>
      </c>
      <c r="P217" s="64" t="n">
        <f aca="false">INDEX(Datos_Origen!$I$2:$I$2459,$Z217)</f>
        <v>83.3</v>
      </c>
      <c r="Q217" s="64" t="n">
        <f aca="false">INDEX(Datos_Origen!$J$2:$J$2459,$Z217)</f>
        <v>48.03</v>
      </c>
      <c r="R217" s="65" t="n">
        <f aca="false">ROUND($O217*$P217,2)</f>
        <v>1166.2</v>
      </c>
      <c r="S217" s="65" t="n">
        <f aca="false">ROUND($O217*$Q217,2)</f>
        <v>672.42</v>
      </c>
      <c r="T217" s="65" t="n">
        <f aca="false">ROUND($R217*SUMIFS(Parametros!$E$28:$E$43,Parametros!$B$28:$B$43,$J217,Parametros!$C$28:$C$43,$C217,Parametros!$D$28:$D$43,$D217),2)</f>
        <v>48.98</v>
      </c>
      <c r="U217" s="65" t="n">
        <f aca="false">$R217-$S217-$T217</f>
        <v>444.8</v>
      </c>
      <c r="V217" s="66" t="n">
        <f aca="false">IFERROR($U217/$R217,0)</f>
        <v>0.381409706739839</v>
      </c>
      <c r="W217" s="67" t="str">
        <f aca="false">IF(AND($V217&gt;=Parametros!$C$8,$R217&gt;=Parametros!$C$12),"Alta rentabilidad",IF(OR($V217&lt;Parametros!$C$11,$R217&lt;Parametros!$C$13),"Revisar","Estandar"))</f>
        <v>Estandar</v>
      </c>
      <c r="X217" s="67" t="str">
        <f aca="false">IF(AND($J217="E-commerce",IFERROR($T217/$R217,0)&gt;Parametros!$C$14),"Alerta","OK")</f>
        <v>OK</v>
      </c>
      <c r="Y217" s="61" t="str">
        <f aca="false">IF($R217&gt;=Parametros!$C$12,"Alto",IF($R217&lt;Parametros!$C$13,"Bajo","Medio"))</f>
        <v>Medio</v>
      </c>
      <c r="Z217" s="61" t="n">
        <v>297</v>
      </c>
      <c r="AA217" s="61" t="str">
        <f aca="false">IF(MATCH($A217,Datos_Origen!$A$2:$A$2459,0)=$Z217,"OK","REVISAR")</f>
        <v>OK</v>
      </c>
      <c r="AB217" s="61" t="str">
        <f aca="false">INDEX(Datos_Origen!$B$2:$B$2459,$Z217)</f>
        <v>01/03/2024</v>
      </c>
      <c r="AC217" s="61" t="n">
        <f aca="false">INDEX(Datos_Origen!$H$2:$H$2459,$Z217)</f>
        <v>14</v>
      </c>
      <c r="AD217" s="61" t="str">
        <f aca="false">INDEX(Datos_Origen!$D$2:$D$2459,$Z217)&amp;""</f>
        <v>Buenos Aires</v>
      </c>
    </row>
    <row r="218" customFormat="false" ht="15" hidden="false" customHeight="false" outlineLevel="0" collapsed="false">
      <c r="A218" s="61" t="n">
        <f aca="false">INDEX(Datos_Origen!$A$2:$A$2459,$Z218)</f>
        <v>217</v>
      </c>
      <c r="B218" s="62" t="n">
        <f aca="false">IF(ISNUMBER($AB218),$AB218,IF(MID($AB218,5,1)="-",DATE(VALUE(LEFT($AB218,4)),VALUE(MID($AB218,6,2)),VALUE(RIGHT($AB218,2))),DATE(VALUE(RIGHT($AB218,4)),VALUE(MID($AB218,4,2)),VALUE(LEFT($AB218,2)))))</f>
        <v>45359</v>
      </c>
      <c r="C218" s="61" t="n">
        <f aca="false">YEAR($B218)</f>
        <v>2024</v>
      </c>
      <c r="D218" s="61" t="str">
        <f aca="false">"Q"&amp;ROUNDUP(MONTH($B218)/3,0)</f>
        <v>Q1</v>
      </c>
      <c r="E218" s="61" t="n">
        <f aca="false">MONTH($B218)</f>
        <v>3</v>
      </c>
      <c r="F218" s="61" t="str">
        <f aca="false">INDEX(Parametros!$I$5:$I$16,$E218)</f>
        <v>Mar</v>
      </c>
      <c r="G218" s="61" t="str">
        <f aca="false">TEXT($C218,"0000")&amp;"-"&amp;TEXT($E218,"00")</f>
        <v>2024-03</v>
      </c>
      <c r="H218" s="61" t="str">
        <f aca="false">INDEX(Parametros!$C$71:$C$91,MATCH(TRIM(INDEX(Datos_Origen!$C$2:$C$2459,$Z218)),Parametros!$B$71:$B$91,0))</f>
        <v>AMBA</v>
      </c>
      <c r="I218" s="61" t="str">
        <f aca="false">IF(TRIM($AD218)="",INDEX(Parametros!$I$20:$I$24,MATCH($H218,Parametros!$H$20:$H$24,0)),TRIM($AD218))</f>
        <v>Buenos Aires</v>
      </c>
      <c r="J218" s="61" t="str">
        <f aca="false">INDEX(Parametros!$C$95:$C$106,MATCH(TRIM(INDEX(Datos_Origen!$E$2:$E$2459,$Z218)),Parametros!$B$95:$B$106,0))</f>
        <v>Tienda fisica</v>
      </c>
      <c r="K218" s="61" t="str">
        <f aca="false">INDEX(Parametros!$C$48:$C$67,MATCH(TRIM(INDEX(Datos_Origen!$F$2:$F$2459,$Z218)),Parametros!$B$48:$B$67,0))</f>
        <v>Almacenamiento</v>
      </c>
      <c r="L218" s="61" t="str">
        <f aca="false">$K218&amp;" "&amp;$C218</f>
        <v>Almacenamiento 2024</v>
      </c>
      <c r="M218" s="61" t="str">
        <f aca="false">TRIM(INDEX(Datos_Origen!$G$2:$G$2459,$Z218))</f>
        <v>SSD Externo 1TB</v>
      </c>
      <c r="N218" s="61" t="str">
        <f aca="false">$M218&amp;" "&amp;$C218</f>
        <v>SSD Externo 1TB 2024</v>
      </c>
      <c r="O218" s="63" t="n">
        <f aca="false">IF(ISTEXT($AC218),VALUE($AC218),$AC218)</f>
        <v>56</v>
      </c>
      <c r="P218" s="64" t="n">
        <f aca="false">INDEX(Datos_Origen!$I$2:$I$2459,$Z218)</f>
        <v>127.4</v>
      </c>
      <c r="Q218" s="64" t="n">
        <f aca="false">INDEX(Datos_Origen!$J$2:$J$2459,$Z218)</f>
        <v>76.05</v>
      </c>
      <c r="R218" s="65" t="n">
        <f aca="false">ROUND($O218*$P218,2)</f>
        <v>7134.4</v>
      </c>
      <c r="S218" s="65" t="n">
        <f aca="false">ROUND($O218*$Q218,2)</f>
        <v>4258.8</v>
      </c>
      <c r="T218" s="65" t="n">
        <f aca="false">ROUND($R218*SUMIFS(Parametros!$E$28:$E$43,Parametros!$B$28:$B$43,$J218,Parametros!$C$28:$C$43,$C218,Parametros!$D$28:$D$43,$D218),2)</f>
        <v>85.61</v>
      </c>
      <c r="U218" s="65" t="n">
        <f aca="false">$R218-$S218-$T218</f>
        <v>2789.99</v>
      </c>
      <c r="V218" s="66" t="n">
        <f aca="false">IFERROR($U218/$R218,0)</f>
        <v>0.391061616954474</v>
      </c>
      <c r="W218" s="67" t="str">
        <f aca="false">IF(AND($V218&gt;=Parametros!$C$8,$R218&gt;=Parametros!$C$12),"Alta rentabilidad",IF(OR($V218&lt;Parametros!$C$11,$R218&lt;Parametros!$C$13),"Revisar","Estandar"))</f>
        <v>Alta rentabilidad</v>
      </c>
      <c r="X218" s="67" t="str">
        <f aca="false">IF(AND($J218="E-commerce",IFERROR($T218/$R218,0)&gt;Parametros!$C$14),"Alerta","OK")</f>
        <v>OK</v>
      </c>
      <c r="Y218" s="61" t="str">
        <f aca="false">IF($R218&gt;=Parametros!$C$12,"Alto",IF($R218&lt;Parametros!$C$13,"Bajo","Medio"))</f>
        <v>Alto</v>
      </c>
      <c r="Z218" s="61" t="n">
        <v>2116</v>
      </c>
      <c r="AA218" s="61" t="str">
        <f aca="false">IF(MATCH($A218,Datos_Origen!$A$2:$A$2459,0)=$Z218,"OK","REVISAR")</f>
        <v>OK</v>
      </c>
      <c r="AB218" s="62" t="n">
        <f aca="false">INDEX(Datos_Origen!$B$2:$B$2459,$Z218)</f>
        <v>45359</v>
      </c>
      <c r="AC218" s="61" t="n">
        <f aca="false">INDEX(Datos_Origen!$H$2:$H$2459,$Z218)</f>
        <v>56</v>
      </c>
      <c r="AD218" s="61" t="str">
        <f aca="false">INDEX(Datos_Origen!$D$2:$D$2459,$Z218)&amp;""</f>
        <v>Buenos Aires</v>
      </c>
    </row>
    <row r="219" customFormat="false" ht="15" hidden="false" customHeight="false" outlineLevel="0" collapsed="false">
      <c r="A219" s="61" t="n">
        <f aca="false">INDEX(Datos_Origen!$A$2:$A$2459,$Z219)</f>
        <v>218</v>
      </c>
      <c r="B219" s="62" t="n">
        <f aca="false">IF(ISNUMBER($AB219),$AB219,IF(MID($AB219,5,1)="-",DATE(VALUE(LEFT($AB219,4)),VALUE(MID($AB219,6,2)),VALUE(RIGHT($AB219,2))),DATE(VALUE(RIGHT($AB219,4)),VALUE(MID($AB219,4,2)),VALUE(LEFT($AB219,2)))))</f>
        <v>45366</v>
      </c>
      <c r="C219" s="61" t="n">
        <f aca="false">YEAR($B219)</f>
        <v>2024</v>
      </c>
      <c r="D219" s="61" t="str">
        <f aca="false">"Q"&amp;ROUNDUP(MONTH($B219)/3,0)</f>
        <v>Q1</v>
      </c>
      <c r="E219" s="61" t="n">
        <f aca="false">MONTH($B219)</f>
        <v>3</v>
      </c>
      <c r="F219" s="61" t="str">
        <f aca="false">INDEX(Parametros!$I$5:$I$16,$E219)</f>
        <v>Mar</v>
      </c>
      <c r="G219" s="61" t="str">
        <f aca="false">TEXT($C219,"0000")&amp;"-"&amp;TEXT($E219,"00")</f>
        <v>2024-03</v>
      </c>
      <c r="H219" s="61" t="str">
        <f aca="false">INDEX(Parametros!$C$71:$C$91,MATCH(TRIM(INDEX(Datos_Origen!$C$2:$C$2459,$Z219)),Parametros!$B$71:$B$91,0))</f>
        <v>AMBA</v>
      </c>
      <c r="I219" s="61" t="str">
        <f aca="false">IF(TRIM($AD219)="",INDEX(Parametros!$I$20:$I$24,MATCH($H219,Parametros!$H$20:$H$24,0)),TRIM($AD219))</f>
        <v>Buenos Aires</v>
      </c>
      <c r="J219" s="61" t="str">
        <f aca="false">INDEX(Parametros!$C$95:$C$106,MATCH(TRIM(INDEX(Datos_Origen!$E$2:$E$2459,$Z219)),Parametros!$B$95:$B$106,0))</f>
        <v>E-commerce</v>
      </c>
      <c r="K219" s="61" t="str">
        <f aca="false">INDEX(Parametros!$C$48:$C$67,MATCH(TRIM(INDEX(Datos_Origen!$F$2:$F$2459,$Z219)),Parametros!$B$48:$B$67,0))</f>
        <v>Almacenamiento</v>
      </c>
      <c r="L219" s="61" t="str">
        <f aca="false">$K219&amp;" "&amp;$C219</f>
        <v>Almacenamiento 2024</v>
      </c>
      <c r="M219" s="61" t="str">
        <f aca="false">TRIM(INDEX(Datos_Origen!$G$2:$G$2459,$Z219))</f>
        <v>SSD Externo 1TB</v>
      </c>
      <c r="N219" s="61" t="str">
        <f aca="false">$M219&amp;" "&amp;$C219</f>
        <v>SSD Externo 1TB 2024</v>
      </c>
      <c r="O219" s="63" t="n">
        <f aca="false">IF(ISTEXT($AC219),VALUE($AC219),$AC219)</f>
        <v>19</v>
      </c>
      <c r="P219" s="64" t="n">
        <f aca="false">INDEX(Datos_Origen!$I$2:$I$2459,$Z219)</f>
        <v>127.4</v>
      </c>
      <c r="Q219" s="64" t="n">
        <f aca="false">INDEX(Datos_Origen!$J$2:$J$2459,$Z219)</f>
        <v>76.05</v>
      </c>
      <c r="R219" s="65" t="n">
        <f aca="false">ROUND($O219*$P219,2)</f>
        <v>2420.6</v>
      </c>
      <c r="S219" s="65" t="n">
        <f aca="false">ROUND($O219*$Q219,2)</f>
        <v>1444.95</v>
      </c>
      <c r="T219" s="65" t="n">
        <f aca="false">ROUND($R219*SUMIFS(Parametros!$E$28:$E$43,Parametros!$B$28:$B$43,$J219,Parametros!$C$28:$C$43,$C219,Parametros!$D$28:$D$43,$D219),2)</f>
        <v>101.67</v>
      </c>
      <c r="U219" s="65" t="n">
        <f aca="false">$R219-$S219-$T219</f>
        <v>873.98</v>
      </c>
      <c r="V219" s="66" t="n">
        <f aca="false">IFERROR($U219/$R219,0)</f>
        <v>0.361059241510369</v>
      </c>
      <c r="W219" s="67" t="str">
        <f aca="false">IF(AND($V219&gt;=Parametros!$C$8,$R219&gt;=Parametros!$C$12),"Alta rentabilidad",IF(OR($V219&lt;Parametros!$C$11,$R219&lt;Parametros!$C$13),"Revisar","Estandar"))</f>
        <v>Estandar</v>
      </c>
      <c r="X219" s="67" t="str">
        <f aca="false">IF(AND($J219="E-commerce",IFERROR($T219/$R219,0)&gt;Parametros!$C$14),"Alerta","OK")</f>
        <v>OK</v>
      </c>
      <c r="Y219" s="61" t="str">
        <f aca="false">IF($R219&gt;=Parametros!$C$12,"Alto",IF($R219&lt;Parametros!$C$13,"Bajo","Medio"))</f>
        <v>Medio</v>
      </c>
      <c r="Z219" s="61" t="n">
        <v>883</v>
      </c>
      <c r="AA219" s="61" t="str">
        <f aca="false">IF(MATCH($A219,Datos_Origen!$A$2:$A$2459,0)=$Z219,"OK","REVISAR")</f>
        <v>OK</v>
      </c>
      <c r="AB219" s="62" t="n">
        <f aca="false">INDEX(Datos_Origen!$B$2:$B$2459,$Z219)</f>
        <v>45366</v>
      </c>
      <c r="AC219" s="61" t="n">
        <f aca="false">INDEX(Datos_Origen!$H$2:$H$2459,$Z219)</f>
        <v>19</v>
      </c>
      <c r="AD219" s="61" t="str">
        <f aca="false">INDEX(Datos_Origen!$D$2:$D$2459,$Z219)&amp;""</f>
        <v>Buenos Aires</v>
      </c>
    </row>
    <row r="220" customFormat="false" ht="15" hidden="false" customHeight="false" outlineLevel="0" collapsed="false">
      <c r="A220" s="61" t="n">
        <f aca="false">INDEX(Datos_Origen!$A$2:$A$2459,$Z220)</f>
        <v>219</v>
      </c>
      <c r="B220" s="62" t="n">
        <f aca="false">IF(ISNUMBER($AB220),$AB220,IF(MID($AB220,5,1)="-",DATE(VALUE(LEFT($AB220,4)),VALUE(MID($AB220,6,2)),VALUE(RIGHT($AB220,2))),DATE(VALUE(RIGHT($AB220,4)),VALUE(MID($AB220,4,2)),VALUE(LEFT($AB220,2)))))</f>
        <v>45373</v>
      </c>
      <c r="C220" s="61" t="n">
        <f aca="false">YEAR($B220)</f>
        <v>2024</v>
      </c>
      <c r="D220" s="61" t="str">
        <f aca="false">"Q"&amp;ROUNDUP(MONTH($B220)/3,0)</f>
        <v>Q1</v>
      </c>
      <c r="E220" s="61" t="n">
        <f aca="false">MONTH($B220)</f>
        <v>3</v>
      </c>
      <c r="F220" s="61" t="str">
        <f aca="false">INDEX(Parametros!$I$5:$I$16,$E220)</f>
        <v>Mar</v>
      </c>
      <c r="G220" s="61" t="str">
        <f aca="false">TEXT($C220,"0000")&amp;"-"&amp;TEXT($E220,"00")</f>
        <v>2024-03</v>
      </c>
      <c r="H220" s="61" t="str">
        <f aca="false">INDEX(Parametros!$C$71:$C$91,MATCH(TRIM(INDEX(Datos_Origen!$C$2:$C$2459,$Z220)),Parametros!$B$71:$B$91,0))</f>
        <v>AMBA</v>
      </c>
      <c r="I220" s="61" t="str">
        <f aca="false">IF(TRIM($AD220)="",INDEX(Parametros!$I$20:$I$24,MATCH($H220,Parametros!$H$20:$H$24,0)),TRIM($AD220))</f>
        <v>Buenos Aires</v>
      </c>
      <c r="J220" s="61" t="str">
        <f aca="false">INDEX(Parametros!$C$95:$C$106,MATCH(TRIM(INDEX(Datos_Origen!$E$2:$E$2459,$Z220)),Parametros!$B$95:$B$106,0))</f>
        <v>Tienda fisica</v>
      </c>
      <c r="K220" s="61" t="str">
        <f aca="false">INDEX(Parametros!$C$48:$C$67,MATCH(TRIM(INDEX(Datos_Origen!$F$2:$F$2459,$Z220)),Parametros!$B$48:$B$67,0))</f>
        <v>Almacenamiento</v>
      </c>
      <c r="L220" s="61" t="str">
        <f aca="false">$K220&amp;" "&amp;$C220</f>
        <v>Almacenamiento 2024</v>
      </c>
      <c r="M220" s="61" t="str">
        <f aca="false">TRIM(INDEX(Datos_Origen!$G$2:$G$2459,$Z220))</f>
        <v>Pendrive 256GB</v>
      </c>
      <c r="N220" s="61" t="str">
        <f aca="false">$M220&amp;" "&amp;$C220</f>
        <v>Pendrive 256GB 2024</v>
      </c>
      <c r="O220" s="63" t="n">
        <f aca="false">IF(ISTEXT($AC220),VALUE($AC220),$AC220)</f>
        <v>53</v>
      </c>
      <c r="P220" s="64" t="n">
        <f aca="false">INDEX(Datos_Origen!$I$2:$I$2459,$Z220)</f>
        <v>34.3</v>
      </c>
      <c r="Q220" s="64" t="n">
        <f aca="false">INDEX(Datos_Origen!$J$2:$J$2459,$Z220)</f>
        <v>17.85</v>
      </c>
      <c r="R220" s="65" t="n">
        <f aca="false">ROUND($O220*$P220,2)</f>
        <v>1817.9</v>
      </c>
      <c r="S220" s="65" t="n">
        <f aca="false">ROUND($O220*$Q220,2)</f>
        <v>946.05</v>
      </c>
      <c r="T220" s="65" t="n">
        <f aca="false">ROUND($R220*SUMIFS(Parametros!$E$28:$E$43,Parametros!$B$28:$B$43,$J220,Parametros!$C$28:$C$43,$C220,Parametros!$D$28:$D$43,$D220),2)</f>
        <v>21.81</v>
      </c>
      <c r="U220" s="65" t="n">
        <f aca="false">$R220-$S220-$T220</f>
        <v>850.04</v>
      </c>
      <c r="V220" s="66" t="n">
        <f aca="false">IFERROR($U220/$R220,0)</f>
        <v>0.467594477143957</v>
      </c>
      <c r="W220" s="67" t="str">
        <f aca="false">IF(AND($V220&gt;=Parametros!$C$8,$R220&gt;=Parametros!$C$12),"Alta rentabilidad",IF(OR($V220&lt;Parametros!$C$11,$R220&lt;Parametros!$C$13),"Revisar","Estandar"))</f>
        <v>Estandar</v>
      </c>
      <c r="X220" s="67" t="str">
        <f aca="false">IF(AND($J220="E-commerce",IFERROR($T220/$R220,0)&gt;Parametros!$C$14),"Alerta","OK")</f>
        <v>OK</v>
      </c>
      <c r="Y220" s="61" t="str">
        <f aca="false">IF($R220&gt;=Parametros!$C$12,"Alto",IF($R220&lt;Parametros!$C$13,"Bajo","Medio"))</f>
        <v>Medio</v>
      </c>
      <c r="Z220" s="61" t="n">
        <v>1838</v>
      </c>
      <c r="AA220" s="61" t="str">
        <f aca="false">IF(MATCH($A220,Datos_Origen!$A$2:$A$2459,0)=$Z220,"OK","REVISAR")</f>
        <v>OK</v>
      </c>
      <c r="AB220" s="61" t="str">
        <f aca="false">INDEX(Datos_Origen!$B$2:$B$2459,$Z220)</f>
        <v>22/03/2024</v>
      </c>
      <c r="AC220" s="61" t="n">
        <f aca="false">INDEX(Datos_Origen!$H$2:$H$2459,$Z220)</f>
        <v>53</v>
      </c>
      <c r="AD220" s="61" t="str">
        <f aca="false">INDEX(Datos_Origen!$D$2:$D$2459,$Z220)&amp;""</f>
        <v>Buenos Aires</v>
      </c>
    </row>
    <row r="221" customFormat="false" ht="15" hidden="false" customHeight="false" outlineLevel="0" collapsed="false">
      <c r="A221" s="61" t="n">
        <f aca="false">INDEX(Datos_Origen!$A$2:$A$2459,$Z221)</f>
        <v>220</v>
      </c>
      <c r="B221" s="62" t="n">
        <f aca="false">IF(ISNUMBER($AB221),$AB221,IF(MID($AB221,5,1)="-",DATE(VALUE(LEFT($AB221,4)),VALUE(MID($AB221,6,2)),VALUE(RIGHT($AB221,2))),DATE(VALUE(RIGHT($AB221,4)),VALUE(MID($AB221,4,2)),VALUE(LEFT($AB221,2)))))</f>
        <v>45353</v>
      </c>
      <c r="C221" s="61" t="n">
        <f aca="false">YEAR($B221)</f>
        <v>2024</v>
      </c>
      <c r="D221" s="61" t="str">
        <f aca="false">"Q"&amp;ROUNDUP(MONTH($B221)/3,0)</f>
        <v>Q1</v>
      </c>
      <c r="E221" s="61" t="n">
        <f aca="false">MONTH($B221)</f>
        <v>3</v>
      </c>
      <c r="F221" s="61" t="str">
        <f aca="false">INDEX(Parametros!$I$5:$I$16,$E221)</f>
        <v>Mar</v>
      </c>
      <c r="G221" s="61" t="str">
        <f aca="false">TEXT($C221,"0000")&amp;"-"&amp;TEXT($E221,"00")</f>
        <v>2024-03</v>
      </c>
      <c r="H221" s="61" t="str">
        <f aca="false">INDEX(Parametros!$C$71:$C$91,MATCH(TRIM(INDEX(Datos_Origen!$C$2:$C$2459,$Z221)),Parametros!$B$71:$B$91,0))</f>
        <v>AMBA</v>
      </c>
      <c r="I221" s="61" t="str">
        <f aca="false">IF(TRIM($AD221)="",INDEX(Parametros!$I$20:$I$24,MATCH($H221,Parametros!$H$20:$H$24,0)),TRIM($AD221))</f>
        <v>Buenos Aires</v>
      </c>
      <c r="J221" s="61" t="str">
        <f aca="false">INDEX(Parametros!$C$95:$C$106,MATCH(TRIM(INDEX(Datos_Origen!$E$2:$E$2459,$Z221)),Parametros!$B$95:$B$106,0))</f>
        <v>E-commerce</v>
      </c>
      <c r="K221" s="61" t="str">
        <f aca="false">INDEX(Parametros!$C$48:$C$67,MATCH(TRIM(INDEX(Datos_Origen!$F$2:$F$2459,$Z221)),Parametros!$B$48:$B$67,0))</f>
        <v>Almacenamiento</v>
      </c>
      <c r="L221" s="61" t="str">
        <f aca="false">$K221&amp;" "&amp;$C221</f>
        <v>Almacenamiento 2024</v>
      </c>
      <c r="M221" s="61" t="str">
        <f aca="false">TRIM(INDEX(Datos_Origen!$G$2:$G$2459,$Z221))</f>
        <v>Pendrive 256GB</v>
      </c>
      <c r="N221" s="61" t="str">
        <f aca="false">$M221&amp;" "&amp;$C221</f>
        <v>Pendrive 256GB 2024</v>
      </c>
      <c r="O221" s="63" t="n">
        <f aca="false">IF(ISTEXT($AC221),VALUE($AC221),$AC221)</f>
        <v>25</v>
      </c>
      <c r="P221" s="64" t="n">
        <f aca="false">INDEX(Datos_Origen!$I$2:$I$2459,$Z221)</f>
        <v>34.3</v>
      </c>
      <c r="Q221" s="64" t="n">
        <f aca="false">INDEX(Datos_Origen!$J$2:$J$2459,$Z221)</f>
        <v>17.85</v>
      </c>
      <c r="R221" s="65" t="n">
        <f aca="false">ROUND($O221*$P221,2)</f>
        <v>857.5</v>
      </c>
      <c r="S221" s="65" t="n">
        <f aca="false">ROUND($O221*$Q221,2)</f>
        <v>446.25</v>
      </c>
      <c r="T221" s="65" t="n">
        <f aca="false">ROUND($R221*SUMIFS(Parametros!$E$28:$E$43,Parametros!$B$28:$B$43,$J221,Parametros!$C$28:$C$43,$C221,Parametros!$D$28:$D$43,$D221),2)</f>
        <v>36.02</v>
      </c>
      <c r="U221" s="65" t="n">
        <f aca="false">$R221-$S221-$T221</f>
        <v>375.23</v>
      </c>
      <c r="V221" s="66" t="n">
        <f aca="false">IFERROR($U221/$R221,0)</f>
        <v>0.437586005830904</v>
      </c>
      <c r="W221" s="67" t="str">
        <f aca="false">IF(AND($V221&gt;=Parametros!$C$8,$R221&gt;=Parametros!$C$12),"Alta rentabilidad",IF(OR($V221&lt;Parametros!$C$11,$R221&lt;Parametros!$C$13),"Revisar","Estandar"))</f>
        <v>Estandar</v>
      </c>
      <c r="X221" s="67" t="str">
        <f aca="false">IF(AND($J221="E-commerce",IFERROR($T221/$R221,0)&gt;Parametros!$C$14),"Alerta","OK")</f>
        <v>OK</v>
      </c>
      <c r="Y221" s="61" t="str">
        <f aca="false">IF($R221&gt;=Parametros!$C$12,"Alto",IF($R221&lt;Parametros!$C$13,"Bajo","Medio"))</f>
        <v>Medio</v>
      </c>
      <c r="Z221" s="61" t="n">
        <v>956</v>
      </c>
      <c r="AA221" s="61" t="str">
        <f aca="false">IF(MATCH($A221,Datos_Origen!$A$2:$A$2459,0)=$Z221,"OK","REVISAR")</f>
        <v>OK</v>
      </c>
      <c r="AB221" s="62" t="n">
        <f aca="false">INDEX(Datos_Origen!$B$2:$B$2459,$Z221)</f>
        <v>45353</v>
      </c>
      <c r="AC221" s="61" t="n">
        <f aca="false">INDEX(Datos_Origen!$H$2:$H$2459,$Z221)</f>
        <v>25</v>
      </c>
      <c r="AD221" s="61" t="str">
        <f aca="false">INDEX(Datos_Origen!$D$2:$D$2459,$Z221)&amp;""</f>
        <v>Buenos Aires</v>
      </c>
    </row>
    <row r="222" customFormat="false" ht="15" hidden="false" customHeight="false" outlineLevel="0" collapsed="false">
      <c r="A222" s="61" t="n">
        <f aca="false">INDEX(Datos_Origen!$A$2:$A$2459,$Z222)</f>
        <v>221</v>
      </c>
      <c r="B222" s="62" t="n">
        <f aca="false">IF(ISNUMBER($AB222),$AB222,IF(MID($AB222,5,1)="-",DATE(VALUE(LEFT($AB222,4)),VALUE(MID($AB222,6,2)),VALUE(RIGHT($AB222,2))),DATE(VALUE(RIGHT($AB222,4)),VALUE(MID($AB222,4,2)),VALUE(LEFT($AB222,2)))))</f>
        <v>45360</v>
      </c>
      <c r="C222" s="61" t="n">
        <f aca="false">YEAR($B222)</f>
        <v>2024</v>
      </c>
      <c r="D222" s="61" t="str">
        <f aca="false">"Q"&amp;ROUNDUP(MONTH($B222)/3,0)</f>
        <v>Q1</v>
      </c>
      <c r="E222" s="61" t="n">
        <f aca="false">MONTH($B222)</f>
        <v>3</v>
      </c>
      <c r="F222" s="61" t="str">
        <f aca="false">INDEX(Parametros!$I$5:$I$16,$E222)</f>
        <v>Mar</v>
      </c>
      <c r="G222" s="61" t="str">
        <f aca="false">TEXT($C222,"0000")&amp;"-"&amp;TEXT($E222,"00")</f>
        <v>2024-03</v>
      </c>
      <c r="H222" s="61" t="str">
        <f aca="false">INDEX(Parametros!$C$71:$C$91,MATCH(TRIM(INDEX(Datos_Origen!$C$2:$C$2459,$Z222)),Parametros!$B$71:$B$91,0))</f>
        <v>Centro</v>
      </c>
      <c r="I222" s="61" t="str">
        <f aca="false">IF(TRIM($AD222)="",INDEX(Parametros!$I$20:$I$24,MATCH($H222,Parametros!$H$20:$H$24,0)),TRIM($AD222))</f>
        <v>Cordoba</v>
      </c>
      <c r="J222" s="61" t="str">
        <f aca="false">INDEX(Parametros!$C$95:$C$106,MATCH(TRIM(INDEX(Datos_Origen!$E$2:$E$2459,$Z222)),Parametros!$B$95:$B$106,0))</f>
        <v>Tienda fisica</v>
      </c>
      <c r="K222" s="61" t="str">
        <f aca="false">INDEX(Parametros!$C$48:$C$67,MATCH(TRIM(INDEX(Datos_Origen!$F$2:$F$2459,$Z222)),Parametros!$B$48:$B$67,0))</f>
        <v>Computacion</v>
      </c>
      <c r="L222" s="61" t="str">
        <f aca="false">$K222&amp;" "&amp;$C222</f>
        <v>Computacion 2024</v>
      </c>
      <c r="M222" s="61" t="str">
        <f aca="false">TRIM(INDEX(Datos_Origen!$G$2:$G$2459,$Z222))</f>
        <v>Laptop Pro 15</v>
      </c>
      <c r="N222" s="61" t="str">
        <f aca="false">$M222&amp;" "&amp;$C222</f>
        <v>Laptop Pro 15 2024</v>
      </c>
      <c r="O222" s="63" t="n">
        <f aca="false">IF(ISTEXT($AC222),VALUE($AC222),$AC222)</f>
        <v>13</v>
      </c>
      <c r="P222" s="64" t="n">
        <f aca="false">INDEX(Datos_Origen!$I$2:$I$2459,$Z222)</f>
        <v>1176</v>
      </c>
      <c r="Q222" s="64" t="n">
        <f aca="false">INDEX(Datos_Origen!$J$2:$J$2459,$Z222)</f>
        <v>744</v>
      </c>
      <c r="R222" s="65" t="n">
        <f aca="false">ROUND($O222*$P222,2)</f>
        <v>15288</v>
      </c>
      <c r="S222" s="65" t="n">
        <f aca="false">ROUND($O222*$Q222,2)</f>
        <v>9672</v>
      </c>
      <c r="T222" s="65" t="n">
        <f aca="false">ROUND($R222*SUMIFS(Parametros!$E$28:$E$43,Parametros!$B$28:$B$43,$J222,Parametros!$C$28:$C$43,$C222,Parametros!$D$28:$D$43,$D222),2)</f>
        <v>183.46</v>
      </c>
      <c r="U222" s="65" t="n">
        <f aca="false">$R222-$S222-$T222</f>
        <v>5432.54</v>
      </c>
      <c r="V222" s="66" t="n">
        <f aca="false">IFERROR($U222/$R222,0)</f>
        <v>0.355346677132391</v>
      </c>
      <c r="W222" s="67" t="str">
        <f aca="false">IF(AND($V222&gt;=Parametros!$C$8,$R222&gt;=Parametros!$C$12),"Alta rentabilidad",IF(OR($V222&lt;Parametros!$C$11,$R222&lt;Parametros!$C$13),"Revisar","Estandar"))</f>
        <v>Alta rentabilidad</v>
      </c>
      <c r="X222" s="67" t="str">
        <f aca="false">IF(AND($J222="E-commerce",IFERROR($T222/$R222,0)&gt;Parametros!$C$14),"Alerta","OK")</f>
        <v>OK</v>
      </c>
      <c r="Y222" s="61" t="str">
        <f aca="false">IF($R222&gt;=Parametros!$C$12,"Alto",IF($R222&lt;Parametros!$C$13,"Bajo","Medio"))</f>
        <v>Alto</v>
      </c>
      <c r="Z222" s="61" t="n">
        <v>504</v>
      </c>
      <c r="AA222" s="61" t="str">
        <f aca="false">IF(MATCH($A222,Datos_Origen!$A$2:$A$2459,0)=$Z222,"OK","REVISAR")</f>
        <v>OK</v>
      </c>
      <c r="AB222" s="61" t="str">
        <f aca="false">INDEX(Datos_Origen!$B$2:$B$2459,$Z222)</f>
        <v>09/03/2024</v>
      </c>
      <c r="AC222" s="61" t="n">
        <f aca="false">INDEX(Datos_Origen!$H$2:$H$2459,$Z222)</f>
        <v>13</v>
      </c>
      <c r="AD222" s="61" t="str">
        <f aca="false">INDEX(Datos_Origen!$D$2:$D$2459,$Z222)&amp;""</f>
        <v>Cordoba</v>
      </c>
    </row>
    <row r="223" customFormat="false" ht="15" hidden="false" customHeight="false" outlineLevel="0" collapsed="false">
      <c r="A223" s="61" t="n">
        <f aca="false">INDEX(Datos_Origen!$A$2:$A$2459,$Z223)</f>
        <v>222</v>
      </c>
      <c r="B223" s="62" t="n">
        <f aca="false">IF(ISNUMBER($AB223),$AB223,IF(MID($AB223,5,1)="-",DATE(VALUE(LEFT($AB223,4)),VALUE(MID($AB223,6,2)),VALUE(RIGHT($AB223,2))),DATE(VALUE(RIGHT($AB223,4)),VALUE(MID($AB223,4,2)),VALUE(LEFT($AB223,2)))))</f>
        <v>45367</v>
      </c>
      <c r="C223" s="61" t="n">
        <f aca="false">YEAR($B223)</f>
        <v>2024</v>
      </c>
      <c r="D223" s="61" t="str">
        <f aca="false">"Q"&amp;ROUNDUP(MONTH($B223)/3,0)</f>
        <v>Q1</v>
      </c>
      <c r="E223" s="61" t="n">
        <f aca="false">MONTH($B223)</f>
        <v>3</v>
      </c>
      <c r="F223" s="61" t="str">
        <f aca="false">INDEX(Parametros!$I$5:$I$16,$E223)</f>
        <v>Mar</v>
      </c>
      <c r="G223" s="61" t="str">
        <f aca="false">TEXT($C223,"0000")&amp;"-"&amp;TEXT($E223,"00")</f>
        <v>2024-03</v>
      </c>
      <c r="H223" s="61" t="str">
        <f aca="false">INDEX(Parametros!$C$71:$C$91,MATCH(TRIM(INDEX(Datos_Origen!$C$2:$C$2459,$Z223)),Parametros!$B$71:$B$91,0))</f>
        <v>Centro</v>
      </c>
      <c r="I223" s="61" t="str">
        <f aca="false">IF(TRIM($AD223)="",INDEX(Parametros!$I$20:$I$24,MATCH($H223,Parametros!$H$20:$H$24,0)),TRIM($AD223))</f>
        <v>Cordoba</v>
      </c>
      <c r="J223" s="61" t="str">
        <f aca="false">INDEX(Parametros!$C$95:$C$106,MATCH(TRIM(INDEX(Datos_Origen!$E$2:$E$2459,$Z223)),Parametros!$B$95:$B$106,0))</f>
        <v>E-commerce</v>
      </c>
      <c r="K223" s="61" t="str">
        <f aca="false">INDEX(Parametros!$C$48:$C$67,MATCH(TRIM(INDEX(Datos_Origen!$F$2:$F$2459,$Z223)),Parametros!$B$48:$B$67,0))</f>
        <v>Computacion</v>
      </c>
      <c r="L223" s="61" t="str">
        <f aca="false">$K223&amp;" "&amp;$C223</f>
        <v>Computacion 2024</v>
      </c>
      <c r="M223" s="61" t="str">
        <f aca="false">TRIM(INDEX(Datos_Origen!$G$2:$G$2459,$Z223))</f>
        <v>Laptop Pro 15</v>
      </c>
      <c r="N223" s="61" t="str">
        <f aca="false">$M223&amp;" "&amp;$C223</f>
        <v>Laptop Pro 15 2024</v>
      </c>
      <c r="O223" s="63" t="n">
        <f aca="false">IF(ISTEXT($AC223),VALUE($AC223),$AC223)</f>
        <v>4</v>
      </c>
      <c r="P223" s="64" t="n">
        <f aca="false">INDEX(Datos_Origen!$I$2:$I$2459,$Z223)</f>
        <v>1176</v>
      </c>
      <c r="Q223" s="64" t="n">
        <f aca="false">INDEX(Datos_Origen!$J$2:$J$2459,$Z223)</f>
        <v>744</v>
      </c>
      <c r="R223" s="65" t="n">
        <f aca="false">ROUND($O223*$P223,2)</f>
        <v>4704</v>
      </c>
      <c r="S223" s="65" t="n">
        <f aca="false">ROUND($O223*$Q223,2)</f>
        <v>2976</v>
      </c>
      <c r="T223" s="65" t="n">
        <f aca="false">ROUND($R223*SUMIFS(Parametros!$E$28:$E$43,Parametros!$B$28:$B$43,$J223,Parametros!$C$28:$C$43,$C223,Parametros!$D$28:$D$43,$D223),2)</f>
        <v>197.57</v>
      </c>
      <c r="U223" s="65" t="n">
        <f aca="false">$R223-$S223-$T223</f>
        <v>1530.43</v>
      </c>
      <c r="V223" s="66" t="n">
        <f aca="false">IFERROR($U223/$R223,0)</f>
        <v>0.325346513605442</v>
      </c>
      <c r="W223" s="67" t="str">
        <f aca="false">IF(AND($V223&gt;=Parametros!$C$8,$R223&gt;=Parametros!$C$12),"Alta rentabilidad",IF(OR($V223&lt;Parametros!$C$11,$R223&lt;Parametros!$C$13),"Revisar","Estandar"))</f>
        <v>Estandar</v>
      </c>
      <c r="X223" s="67" t="str">
        <f aca="false">IF(AND($J223="E-commerce",IFERROR($T223/$R223,0)&gt;Parametros!$C$14),"Alerta","OK")</f>
        <v>OK</v>
      </c>
      <c r="Y223" s="61" t="str">
        <f aca="false">IF($R223&gt;=Parametros!$C$12,"Alto",IF($R223&lt;Parametros!$C$13,"Bajo","Medio"))</f>
        <v>Alto</v>
      </c>
      <c r="Z223" s="61" t="n">
        <v>98</v>
      </c>
      <c r="AA223" s="61" t="str">
        <f aca="false">IF(MATCH($A223,Datos_Origen!$A$2:$A$2459,0)=$Z223,"OK","REVISAR")</f>
        <v>OK</v>
      </c>
      <c r="AB223" s="62" t="n">
        <f aca="false">INDEX(Datos_Origen!$B$2:$B$2459,$Z223)</f>
        <v>45367</v>
      </c>
      <c r="AC223" s="61" t="n">
        <f aca="false">INDEX(Datos_Origen!$H$2:$H$2459,$Z223)</f>
        <v>4</v>
      </c>
      <c r="AD223" s="61" t="str">
        <f aca="false">INDEX(Datos_Origen!$D$2:$D$2459,$Z223)&amp;""</f>
        <v>Cordoba</v>
      </c>
    </row>
    <row r="224" customFormat="false" ht="15" hidden="false" customHeight="false" outlineLevel="0" collapsed="false">
      <c r="A224" s="61" t="n">
        <f aca="false">INDEX(Datos_Origen!$A$2:$A$2459,$Z224)</f>
        <v>223</v>
      </c>
      <c r="B224" s="62" t="n">
        <f aca="false">IF(ISNUMBER($AB224),$AB224,IF(MID($AB224,5,1)="-",DATE(VALUE(LEFT($AB224,4)),VALUE(MID($AB224,6,2)),VALUE(RIGHT($AB224,2))),DATE(VALUE(RIGHT($AB224,4)),VALUE(MID($AB224,4,2)),VALUE(LEFT($AB224,2)))))</f>
        <v>45374</v>
      </c>
      <c r="C224" s="61" t="n">
        <f aca="false">YEAR($B224)</f>
        <v>2024</v>
      </c>
      <c r="D224" s="61" t="str">
        <f aca="false">"Q"&amp;ROUNDUP(MONTH($B224)/3,0)</f>
        <v>Q1</v>
      </c>
      <c r="E224" s="61" t="n">
        <f aca="false">MONTH($B224)</f>
        <v>3</v>
      </c>
      <c r="F224" s="61" t="str">
        <f aca="false">INDEX(Parametros!$I$5:$I$16,$E224)</f>
        <v>Mar</v>
      </c>
      <c r="G224" s="61" t="str">
        <f aca="false">TEXT($C224,"0000")&amp;"-"&amp;TEXT($E224,"00")</f>
        <v>2024-03</v>
      </c>
      <c r="H224" s="61" t="str">
        <f aca="false">INDEX(Parametros!$C$71:$C$91,MATCH(TRIM(INDEX(Datos_Origen!$C$2:$C$2459,$Z224)),Parametros!$B$71:$B$91,0))</f>
        <v>Centro</v>
      </c>
      <c r="I224" s="61" t="str">
        <f aca="false">IF(TRIM($AD224)="",INDEX(Parametros!$I$20:$I$24,MATCH($H224,Parametros!$H$20:$H$24,0)),TRIM($AD224))</f>
        <v>Cordoba</v>
      </c>
      <c r="J224" s="61" t="str">
        <f aca="false">INDEX(Parametros!$C$95:$C$106,MATCH(TRIM(INDEX(Datos_Origen!$E$2:$E$2459,$Z224)),Parametros!$B$95:$B$106,0))</f>
        <v>Tienda fisica</v>
      </c>
      <c r="K224" s="61" t="str">
        <f aca="false">INDEX(Parametros!$C$48:$C$67,MATCH(TRIM(INDEX(Datos_Origen!$F$2:$F$2459,$Z224)),Parametros!$B$48:$B$67,0))</f>
        <v>Computacion</v>
      </c>
      <c r="L224" s="61" t="str">
        <f aca="false">$K224&amp;" "&amp;$C224</f>
        <v>Computacion 2024</v>
      </c>
      <c r="M224" s="61" t="str">
        <f aca="false">TRIM(INDEX(Datos_Origen!$G$2:$G$2459,$Z224))</f>
        <v>Monitor 4K 27</v>
      </c>
      <c r="N224" s="61" t="str">
        <f aca="false">$M224&amp;" "&amp;$C224</f>
        <v>Monitor 4K 27 2024</v>
      </c>
      <c r="O224" s="63" t="n">
        <f aca="false">IF(ISTEXT($AC224),VALUE($AC224),$AC224)</f>
        <v>13</v>
      </c>
      <c r="P224" s="64" t="n">
        <f aca="false">INDEX(Datos_Origen!$I$2:$I$2459,$Z224)</f>
        <v>441</v>
      </c>
      <c r="Q224" s="64" t="n">
        <f aca="false">INDEX(Datos_Origen!$J$2:$J$2459,$Z224)</f>
        <v>272.25</v>
      </c>
      <c r="R224" s="65" t="n">
        <f aca="false">ROUND($O224*$P224,2)</f>
        <v>5733</v>
      </c>
      <c r="S224" s="65" t="n">
        <f aca="false">ROUND($O224*$Q224,2)</f>
        <v>3539.25</v>
      </c>
      <c r="T224" s="65" t="n">
        <f aca="false">ROUND($R224*SUMIFS(Parametros!$E$28:$E$43,Parametros!$B$28:$B$43,$J224,Parametros!$C$28:$C$43,$C224,Parametros!$D$28:$D$43,$D224),2)</f>
        <v>68.8</v>
      </c>
      <c r="U224" s="65" t="n">
        <f aca="false">$R224-$S224-$T224</f>
        <v>2124.95</v>
      </c>
      <c r="V224" s="66" t="n">
        <f aca="false">IFERROR($U224/$R224,0)</f>
        <v>0.370652363509506</v>
      </c>
      <c r="W224" s="67" t="str">
        <f aca="false">IF(AND($V224&gt;=Parametros!$C$8,$R224&gt;=Parametros!$C$12),"Alta rentabilidad",IF(OR($V224&lt;Parametros!$C$11,$R224&lt;Parametros!$C$13),"Revisar","Estandar"))</f>
        <v>Alta rentabilidad</v>
      </c>
      <c r="X224" s="67" t="str">
        <f aca="false">IF(AND($J224="E-commerce",IFERROR($T224/$R224,0)&gt;Parametros!$C$14),"Alerta","OK")</f>
        <v>OK</v>
      </c>
      <c r="Y224" s="61" t="str">
        <f aca="false">IF($R224&gt;=Parametros!$C$12,"Alto",IF($R224&lt;Parametros!$C$13,"Bajo","Medio"))</f>
        <v>Alto</v>
      </c>
      <c r="Z224" s="61" t="n">
        <v>251</v>
      </c>
      <c r="AA224" s="61" t="str">
        <f aca="false">IF(MATCH($A224,Datos_Origen!$A$2:$A$2459,0)=$Z224,"OK","REVISAR")</f>
        <v>OK</v>
      </c>
      <c r="AB224" s="62" t="n">
        <f aca="false">INDEX(Datos_Origen!$B$2:$B$2459,$Z224)</f>
        <v>45374</v>
      </c>
      <c r="AC224" s="61" t="n">
        <f aca="false">INDEX(Datos_Origen!$H$2:$H$2459,$Z224)</f>
        <v>13</v>
      </c>
      <c r="AD224" s="61" t="str">
        <f aca="false">INDEX(Datos_Origen!$D$2:$D$2459,$Z224)&amp;""</f>
        <v>Cordoba</v>
      </c>
    </row>
    <row r="225" customFormat="false" ht="15" hidden="false" customHeight="false" outlineLevel="0" collapsed="false">
      <c r="A225" s="61" t="n">
        <f aca="false">INDEX(Datos_Origen!$A$2:$A$2459,$Z225)</f>
        <v>224</v>
      </c>
      <c r="B225" s="62" t="n">
        <f aca="false">IF(ISNUMBER($AB225),$AB225,IF(MID($AB225,5,1)="-",DATE(VALUE(LEFT($AB225,4)),VALUE(MID($AB225,6,2)),VALUE(RIGHT($AB225,2))),DATE(VALUE(RIGHT($AB225,4)),VALUE(MID($AB225,4,2)),VALUE(LEFT($AB225,2)))))</f>
        <v>45354</v>
      </c>
      <c r="C225" s="61" t="n">
        <f aca="false">YEAR($B225)</f>
        <v>2024</v>
      </c>
      <c r="D225" s="61" t="str">
        <f aca="false">"Q"&amp;ROUNDUP(MONTH($B225)/3,0)</f>
        <v>Q1</v>
      </c>
      <c r="E225" s="61" t="n">
        <f aca="false">MONTH($B225)</f>
        <v>3</v>
      </c>
      <c r="F225" s="61" t="str">
        <f aca="false">INDEX(Parametros!$I$5:$I$16,$E225)</f>
        <v>Mar</v>
      </c>
      <c r="G225" s="61" t="str">
        <f aca="false">TEXT($C225,"0000")&amp;"-"&amp;TEXT($E225,"00")</f>
        <v>2024-03</v>
      </c>
      <c r="H225" s="61" t="str">
        <f aca="false">INDEX(Parametros!$C$71:$C$91,MATCH(TRIM(INDEX(Datos_Origen!$C$2:$C$2459,$Z225)),Parametros!$B$71:$B$91,0))</f>
        <v>Centro</v>
      </c>
      <c r="I225" s="61" t="str">
        <f aca="false">IF(TRIM($AD225)="",INDEX(Parametros!$I$20:$I$24,MATCH($H225,Parametros!$H$20:$H$24,0)),TRIM($AD225))</f>
        <v>Cordoba</v>
      </c>
      <c r="J225" s="61" t="str">
        <f aca="false">INDEX(Parametros!$C$95:$C$106,MATCH(TRIM(INDEX(Datos_Origen!$E$2:$E$2459,$Z225)),Parametros!$B$95:$B$106,0))</f>
        <v>E-commerce</v>
      </c>
      <c r="K225" s="61" t="str">
        <f aca="false">INDEX(Parametros!$C$48:$C$67,MATCH(TRIM(INDEX(Datos_Origen!$F$2:$F$2459,$Z225)),Parametros!$B$48:$B$67,0))</f>
        <v>Computacion</v>
      </c>
      <c r="L225" s="61" t="str">
        <f aca="false">$K225&amp;" "&amp;$C225</f>
        <v>Computacion 2024</v>
      </c>
      <c r="M225" s="61" t="str">
        <f aca="false">TRIM(INDEX(Datos_Origen!$G$2:$G$2459,$Z225))</f>
        <v>Monitor 4K 27</v>
      </c>
      <c r="N225" s="61" t="str">
        <f aca="false">$M225&amp;" "&amp;$C225</f>
        <v>Monitor 4K 27 2024</v>
      </c>
      <c r="O225" s="63" t="n">
        <f aca="false">IF(ISTEXT($AC225),VALUE($AC225),$AC225)</f>
        <v>4</v>
      </c>
      <c r="P225" s="64" t="n">
        <f aca="false">INDEX(Datos_Origen!$I$2:$I$2459,$Z225)</f>
        <v>441</v>
      </c>
      <c r="Q225" s="64" t="n">
        <f aca="false">INDEX(Datos_Origen!$J$2:$J$2459,$Z225)</f>
        <v>272.25</v>
      </c>
      <c r="R225" s="65" t="n">
        <f aca="false">ROUND($O225*$P225,2)</f>
        <v>1764</v>
      </c>
      <c r="S225" s="65" t="n">
        <f aca="false">ROUND($O225*$Q225,2)</f>
        <v>1089</v>
      </c>
      <c r="T225" s="65" t="n">
        <f aca="false">ROUND($R225*SUMIFS(Parametros!$E$28:$E$43,Parametros!$B$28:$B$43,$J225,Parametros!$C$28:$C$43,$C225,Parametros!$D$28:$D$43,$D225),2)</f>
        <v>74.09</v>
      </c>
      <c r="U225" s="65" t="n">
        <f aca="false">$R225-$S225-$T225</f>
        <v>600.91</v>
      </c>
      <c r="V225" s="66" t="n">
        <f aca="false">IFERROR($U225/$R225,0)</f>
        <v>0.340651927437642</v>
      </c>
      <c r="W225" s="67" t="str">
        <f aca="false">IF(AND($V225&gt;=Parametros!$C$8,$R225&gt;=Parametros!$C$12),"Alta rentabilidad",IF(OR($V225&lt;Parametros!$C$11,$R225&lt;Parametros!$C$13),"Revisar","Estandar"))</f>
        <v>Estandar</v>
      </c>
      <c r="X225" s="67" t="str">
        <f aca="false">IF(AND($J225="E-commerce",IFERROR($T225/$R225,0)&gt;Parametros!$C$14),"Alerta","OK")</f>
        <v>OK</v>
      </c>
      <c r="Y225" s="61" t="str">
        <f aca="false">IF($R225&gt;=Parametros!$C$12,"Alto",IF($R225&lt;Parametros!$C$13,"Bajo","Medio"))</f>
        <v>Medio</v>
      </c>
      <c r="Z225" s="61" t="n">
        <v>1441</v>
      </c>
      <c r="AA225" s="61" t="str">
        <f aca="false">IF(MATCH($A225,Datos_Origen!$A$2:$A$2459,0)=$Z225,"OK","REVISAR")</f>
        <v>OK</v>
      </c>
      <c r="AB225" s="62" t="n">
        <f aca="false">INDEX(Datos_Origen!$B$2:$B$2459,$Z225)</f>
        <v>45354</v>
      </c>
      <c r="AC225" s="61" t="n">
        <f aca="false">INDEX(Datos_Origen!$H$2:$H$2459,$Z225)</f>
        <v>4</v>
      </c>
      <c r="AD225" s="61" t="str">
        <f aca="false">INDEX(Datos_Origen!$D$2:$D$2459,$Z225)&amp;""</f>
        <v>Cordoba</v>
      </c>
    </row>
    <row r="226" customFormat="false" ht="15" hidden="false" customHeight="false" outlineLevel="0" collapsed="false">
      <c r="A226" s="61" t="n">
        <f aca="false">INDEX(Datos_Origen!$A$2:$A$2459,$Z226)</f>
        <v>225</v>
      </c>
      <c r="B226" s="62" t="n">
        <f aca="false">IF(ISNUMBER($AB226),$AB226,IF(MID($AB226,5,1)="-",DATE(VALUE(LEFT($AB226,4)),VALUE(MID($AB226,6,2)),VALUE(RIGHT($AB226,2))),DATE(VALUE(RIGHT($AB226,4)),VALUE(MID($AB226,4,2)),VALUE(LEFT($AB226,2)))))</f>
        <v>45361</v>
      </c>
      <c r="C226" s="61" t="n">
        <f aca="false">YEAR($B226)</f>
        <v>2024</v>
      </c>
      <c r="D226" s="61" t="str">
        <f aca="false">"Q"&amp;ROUNDUP(MONTH($B226)/3,0)</f>
        <v>Q1</v>
      </c>
      <c r="E226" s="61" t="n">
        <f aca="false">MONTH($B226)</f>
        <v>3</v>
      </c>
      <c r="F226" s="61" t="str">
        <f aca="false">INDEX(Parametros!$I$5:$I$16,$E226)</f>
        <v>Mar</v>
      </c>
      <c r="G226" s="61" t="str">
        <f aca="false">TEXT($C226,"0000")&amp;"-"&amp;TEXT($E226,"00")</f>
        <v>2024-03</v>
      </c>
      <c r="H226" s="61" t="str">
        <f aca="false">INDEX(Parametros!$C$71:$C$91,MATCH(TRIM(INDEX(Datos_Origen!$C$2:$C$2459,$Z226)),Parametros!$B$71:$B$91,0))</f>
        <v>Centro</v>
      </c>
      <c r="I226" s="61" t="str">
        <f aca="false">IF(TRIM($AD226)="",INDEX(Parametros!$I$20:$I$24,MATCH($H226,Parametros!$H$20:$H$24,0)),TRIM($AD226))</f>
        <v>Cordoba</v>
      </c>
      <c r="J226" s="61" t="str">
        <f aca="false">INDEX(Parametros!$C$95:$C$106,MATCH(TRIM(INDEX(Datos_Origen!$E$2:$E$2459,$Z226)),Parametros!$B$95:$B$106,0))</f>
        <v>Tienda fisica</v>
      </c>
      <c r="K226" s="61" t="str">
        <f aca="false">INDEX(Parametros!$C$48:$C$67,MATCH(TRIM(INDEX(Datos_Origen!$F$2:$F$2459,$Z226)),Parametros!$B$48:$B$67,0))</f>
        <v>Computacion</v>
      </c>
      <c r="L226" s="61" t="str">
        <f aca="false">$K226&amp;" "&amp;$C226</f>
        <v>Computacion 2024</v>
      </c>
      <c r="M226" s="61" t="str">
        <f aca="false">TRIM(INDEX(Datos_Origen!$G$2:$G$2459,$Z226))</f>
        <v>PC Gamer Ryzen</v>
      </c>
      <c r="N226" s="61" t="str">
        <f aca="false">$M226&amp;" "&amp;$C226</f>
        <v>PC Gamer Ryzen 2024</v>
      </c>
      <c r="O226" s="63" t="n">
        <f aca="false">IF(ISTEXT($AC226),VALUE($AC226),$AC226)</f>
        <v>11</v>
      </c>
      <c r="P226" s="64" t="n">
        <f aca="false">INDEX(Datos_Origen!$I$2:$I$2459,$Z226)</f>
        <v>1617</v>
      </c>
      <c r="Q226" s="64" t="n">
        <f aca="false">INDEX(Datos_Origen!$J$2:$J$2459,$Z226)</f>
        <v>1122</v>
      </c>
      <c r="R226" s="65" t="n">
        <f aca="false">ROUND($O226*$P226,2)</f>
        <v>17787</v>
      </c>
      <c r="S226" s="65" t="n">
        <f aca="false">ROUND($O226*$Q226,2)</f>
        <v>12342</v>
      </c>
      <c r="T226" s="65" t="n">
        <f aca="false">ROUND($R226*SUMIFS(Parametros!$E$28:$E$43,Parametros!$B$28:$B$43,$J226,Parametros!$C$28:$C$43,$C226,Parametros!$D$28:$D$43,$D226),2)</f>
        <v>213.44</v>
      </c>
      <c r="U226" s="65" t="n">
        <f aca="false">$R226-$S226-$T226</f>
        <v>5231.56</v>
      </c>
      <c r="V226" s="66" t="n">
        <f aca="false">IFERROR($U226/$R226,0)</f>
        <v>0.294122673862934</v>
      </c>
      <c r="W226" s="67" t="str">
        <f aca="false">IF(AND($V226&gt;=Parametros!$C$8,$R226&gt;=Parametros!$C$12),"Alta rentabilidad",IF(OR($V226&lt;Parametros!$C$11,$R226&lt;Parametros!$C$13),"Revisar","Estandar"))</f>
        <v>Estandar</v>
      </c>
      <c r="X226" s="67" t="str">
        <f aca="false">IF(AND($J226="E-commerce",IFERROR($T226/$R226,0)&gt;Parametros!$C$14),"Alerta","OK")</f>
        <v>OK</v>
      </c>
      <c r="Y226" s="61" t="str">
        <f aca="false">IF($R226&gt;=Parametros!$C$12,"Alto",IF($R226&lt;Parametros!$C$13,"Bajo","Medio"))</f>
        <v>Alto</v>
      </c>
      <c r="Z226" s="61" t="n">
        <v>968</v>
      </c>
      <c r="AA226" s="61" t="str">
        <f aca="false">IF(MATCH($A226,Datos_Origen!$A$2:$A$2459,0)=$Z226,"OK","REVISAR")</f>
        <v>OK</v>
      </c>
      <c r="AB226" s="62" t="n">
        <f aca="false">INDEX(Datos_Origen!$B$2:$B$2459,$Z226)</f>
        <v>45361</v>
      </c>
      <c r="AC226" s="61" t="n">
        <f aca="false">INDEX(Datos_Origen!$H$2:$H$2459,$Z226)</f>
        <v>11</v>
      </c>
      <c r="AD226" s="61" t="str">
        <f aca="false">INDEX(Datos_Origen!$D$2:$D$2459,$Z226)&amp;""</f>
        <v>Cordoba</v>
      </c>
    </row>
    <row r="227" customFormat="false" ht="15" hidden="false" customHeight="false" outlineLevel="0" collapsed="false">
      <c r="A227" s="61" t="n">
        <f aca="false">INDEX(Datos_Origen!$A$2:$A$2459,$Z227)</f>
        <v>226</v>
      </c>
      <c r="B227" s="62" t="n">
        <f aca="false">IF(ISNUMBER($AB227),$AB227,IF(MID($AB227,5,1)="-",DATE(VALUE(LEFT($AB227,4)),VALUE(MID($AB227,6,2)),VALUE(RIGHT($AB227,2))),DATE(VALUE(RIGHT($AB227,4)),VALUE(MID($AB227,4,2)),VALUE(LEFT($AB227,2)))))</f>
        <v>45368</v>
      </c>
      <c r="C227" s="61" t="n">
        <f aca="false">YEAR($B227)</f>
        <v>2024</v>
      </c>
      <c r="D227" s="61" t="str">
        <f aca="false">"Q"&amp;ROUNDUP(MONTH($B227)/3,0)</f>
        <v>Q1</v>
      </c>
      <c r="E227" s="61" t="n">
        <f aca="false">MONTH($B227)</f>
        <v>3</v>
      </c>
      <c r="F227" s="61" t="str">
        <f aca="false">INDEX(Parametros!$I$5:$I$16,$E227)</f>
        <v>Mar</v>
      </c>
      <c r="G227" s="61" t="str">
        <f aca="false">TEXT($C227,"0000")&amp;"-"&amp;TEXT($E227,"00")</f>
        <v>2024-03</v>
      </c>
      <c r="H227" s="61" t="str">
        <f aca="false">INDEX(Parametros!$C$71:$C$91,MATCH(TRIM(INDEX(Datos_Origen!$C$2:$C$2459,$Z227)),Parametros!$B$71:$B$91,0))</f>
        <v>Centro</v>
      </c>
      <c r="I227" s="61" t="str">
        <f aca="false">IF(TRIM($AD227)="",INDEX(Parametros!$I$20:$I$24,MATCH($H227,Parametros!$H$20:$H$24,0)),TRIM($AD227))</f>
        <v>Cordoba</v>
      </c>
      <c r="J227" s="61" t="str">
        <f aca="false">INDEX(Parametros!$C$95:$C$106,MATCH(TRIM(INDEX(Datos_Origen!$E$2:$E$2459,$Z227)),Parametros!$B$95:$B$106,0))</f>
        <v>E-commerce</v>
      </c>
      <c r="K227" s="61" t="str">
        <f aca="false">INDEX(Parametros!$C$48:$C$67,MATCH(TRIM(INDEX(Datos_Origen!$F$2:$F$2459,$Z227)),Parametros!$B$48:$B$67,0))</f>
        <v>Computacion</v>
      </c>
      <c r="L227" s="61" t="str">
        <f aca="false">$K227&amp;" "&amp;$C227</f>
        <v>Computacion 2024</v>
      </c>
      <c r="M227" s="61" t="str">
        <f aca="false">TRIM(INDEX(Datos_Origen!$G$2:$G$2459,$Z227))</f>
        <v>PC Gamer Ryzen</v>
      </c>
      <c r="N227" s="61" t="str">
        <f aca="false">$M227&amp;" "&amp;$C227</f>
        <v>PC Gamer Ryzen 2024</v>
      </c>
      <c r="O227" s="63" t="n">
        <f aca="false">IF(ISTEXT($AC227),VALUE($AC227),$AC227)</f>
        <v>5</v>
      </c>
      <c r="P227" s="64" t="n">
        <f aca="false">INDEX(Datos_Origen!$I$2:$I$2459,$Z227)</f>
        <v>1617</v>
      </c>
      <c r="Q227" s="64" t="n">
        <f aca="false">INDEX(Datos_Origen!$J$2:$J$2459,$Z227)</f>
        <v>1122</v>
      </c>
      <c r="R227" s="65" t="n">
        <f aca="false">ROUND($O227*$P227,2)</f>
        <v>8085</v>
      </c>
      <c r="S227" s="65" t="n">
        <f aca="false">ROUND($O227*$Q227,2)</f>
        <v>5610</v>
      </c>
      <c r="T227" s="65" t="n">
        <f aca="false">ROUND($R227*SUMIFS(Parametros!$E$28:$E$43,Parametros!$B$28:$B$43,$J227,Parametros!$C$28:$C$43,$C227,Parametros!$D$28:$D$43,$D227),2)</f>
        <v>339.57</v>
      </c>
      <c r="U227" s="65" t="n">
        <f aca="false">$R227-$S227-$T227</f>
        <v>2135.43</v>
      </c>
      <c r="V227" s="66" t="n">
        <f aca="false">IFERROR($U227/$R227,0)</f>
        <v>0.264122448979592</v>
      </c>
      <c r="W227" s="67" t="str">
        <f aca="false">IF(AND($V227&gt;=Parametros!$C$8,$R227&gt;=Parametros!$C$12),"Alta rentabilidad",IF(OR($V227&lt;Parametros!$C$11,$R227&lt;Parametros!$C$13),"Revisar","Estandar"))</f>
        <v>Revisar</v>
      </c>
      <c r="X227" s="67" t="str">
        <f aca="false">IF(AND($J227="E-commerce",IFERROR($T227/$R227,0)&gt;Parametros!$C$14),"Alerta","OK")</f>
        <v>OK</v>
      </c>
      <c r="Y227" s="61" t="str">
        <f aca="false">IF($R227&gt;=Parametros!$C$12,"Alto",IF($R227&lt;Parametros!$C$13,"Bajo","Medio"))</f>
        <v>Alto</v>
      </c>
      <c r="Z227" s="61" t="n">
        <v>1538</v>
      </c>
      <c r="AA227" s="61" t="str">
        <f aca="false">IF(MATCH($A227,Datos_Origen!$A$2:$A$2459,0)=$Z227,"OK","REVISAR")</f>
        <v>OK</v>
      </c>
      <c r="AB227" s="61" t="str">
        <f aca="false">INDEX(Datos_Origen!$B$2:$B$2459,$Z227)</f>
        <v>17/03/2024</v>
      </c>
      <c r="AC227" s="61" t="n">
        <f aca="false">INDEX(Datos_Origen!$H$2:$H$2459,$Z227)</f>
        <v>5</v>
      </c>
      <c r="AD227" s="61" t="str">
        <f aca="false">INDEX(Datos_Origen!$D$2:$D$2459,$Z227)&amp;""</f>
        <v>Cordoba</v>
      </c>
    </row>
    <row r="228" customFormat="false" ht="15" hidden="false" customHeight="false" outlineLevel="0" collapsed="false">
      <c r="A228" s="61" t="n">
        <f aca="false">INDEX(Datos_Origen!$A$2:$A$2459,$Z228)</f>
        <v>227</v>
      </c>
      <c r="B228" s="62" t="n">
        <f aca="false">IF(ISNUMBER($AB228),$AB228,IF(MID($AB228,5,1)="-",DATE(VALUE(LEFT($AB228,4)),VALUE(MID($AB228,6,2)),VALUE(RIGHT($AB228,2))),DATE(VALUE(RIGHT($AB228,4)),VALUE(MID($AB228,4,2)),VALUE(LEFT($AB228,2)))))</f>
        <v>45375</v>
      </c>
      <c r="C228" s="61" t="n">
        <f aca="false">YEAR($B228)</f>
        <v>2024</v>
      </c>
      <c r="D228" s="61" t="str">
        <f aca="false">"Q"&amp;ROUNDUP(MONTH($B228)/3,0)</f>
        <v>Q1</v>
      </c>
      <c r="E228" s="61" t="n">
        <f aca="false">MONTH($B228)</f>
        <v>3</v>
      </c>
      <c r="F228" s="61" t="str">
        <f aca="false">INDEX(Parametros!$I$5:$I$16,$E228)</f>
        <v>Mar</v>
      </c>
      <c r="G228" s="61" t="str">
        <f aca="false">TEXT($C228,"0000")&amp;"-"&amp;TEXT($E228,"00")</f>
        <v>2024-03</v>
      </c>
      <c r="H228" s="61" t="str">
        <f aca="false">INDEX(Parametros!$C$71:$C$91,MATCH(TRIM(INDEX(Datos_Origen!$C$2:$C$2459,$Z228)),Parametros!$B$71:$B$91,0))</f>
        <v>Centro</v>
      </c>
      <c r="I228" s="61" t="str">
        <f aca="false">IF(TRIM($AD228)="",INDEX(Parametros!$I$20:$I$24,MATCH($H228,Parametros!$H$20:$H$24,0)),TRIM($AD228))</f>
        <v>Cordoba</v>
      </c>
      <c r="J228" s="61" t="str">
        <f aca="false">INDEX(Parametros!$C$95:$C$106,MATCH(TRIM(INDEX(Datos_Origen!$E$2:$E$2459,$Z228)),Parametros!$B$95:$B$106,0))</f>
        <v>Tienda fisica</v>
      </c>
      <c r="K228" s="61" t="str">
        <f aca="false">INDEX(Parametros!$C$48:$C$67,MATCH(TRIM(INDEX(Datos_Origen!$F$2:$F$2459,$Z228)),Parametros!$B$48:$B$67,0))</f>
        <v>Accesorios</v>
      </c>
      <c r="L228" s="61" t="str">
        <f aca="false">$K228&amp;" "&amp;$C228</f>
        <v>Accesorios 2024</v>
      </c>
      <c r="M228" s="61" t="str">
        <f aca="false">TRIM(INDEX(Datos_Origen!$G$2:$G$2459,$Z228))</f>
        <v>Mouse Inalambrico</v>
      </c>
      <c r="N228" s="61" t="str">
        <f aca="false">$M228&amp;" "&amp;$C228</f>
        <v>Mouse Inalambrico 2024</v>
      </c>
      <c r="O228" s="63" t="n">
        <f aca="false">IF(ISTEXT($AC228),VALUE($AC228),$AC228)</f>
        <v>58</v>
      </c>
      <c r="P228" s="64" t="n">
        <f aca="false">INDEX(Datos_Origen!$I$2:$I$2459,$Z228)</f>
        <v>27.44</v>
      </c>
      <c r="Q228" s="64" t="n">
        <f aca="false">INDEX(Datos_Origen!$J$2:$J$2459,$Z228)</f>
        <v>13.44</v>
      </c>
      <c r="R228" s="65" t="n">
        <f aca="false">ROUND($O228*$P228,2)</f>
        <v>1591.52</v>
      </c>
      <c r="S228" s="65" t="n">
        <f aca="false">ROUND($O228*$Q228,2)</f>
        <v>779.52</v>
      </c>
      <c r="T228" s="65" t="n">
        <f aca="false">ROUND($R228*SUMIFS(Parametros!$E$28:$E$43,Parametros!$B$28:$B$43,$J228,Parametros!$C$28:$C$43,$C228,Parametros!$D$28:$D$43,$D228),2)</f>
        <v>19.1</v>
      </c>
      <c r="U228" s="65" t="n">
        <f aca="false">$R228-$S228-$T228</f>
        <v>792.9</v>
      </c>
      <c r="V228" s="66" t="n">
        <f aca="false">IFERROR($U228/$R228,0)</f>
        <v>0.498202975771589</v>
      </c>
      <c r="W228" s="67" t="str">
        <f aca="false">IF(AND($V228&gt;=Parametros!$C$8,$R228&gt;=Parametros!$C$12),"Alta rentabilidad",IF(OR($V228&lt;Parametros!$C$11,$R228&lt;Parametros!$C$13),"Revisar","Estandar"))</f>
        <v>Estandar</v>
      </c>
      <c r="X228" s="67" t="str">
        <f aca="false">IF(AND($J228="E-commerce",IFERROR($T228/$R228,0)&gt;Parametros!$C$14),"Alerta","OK")</f>
        <v>OK</v>
      </c>
      <c r="Y228" s="61" t="str">
        <f aca="false">IF($R228&gt;=Parametros!$C$12,"Alto",IF($R228&lt;Parametros!$C$13,"Bajo","Medio"))</f>
        <v>Medio</v>
      </c>
      <c r="Z228" s="61" t="n">
        <v>1402</v>
      </c>
      <c r="AA228" s="61" t="str">
        <f aca="false">IF(MATCH($A228,Datos_Origen!$A$2:$A$2459,0)=$Z228,"OK","REVISAR")</f>
        <v>OK</v>
      </c>
      <c r="AB228" s="62" t="n">
        <f aca="false">INDEX(Datos_Origen!$B$2:$B$2459,$Z228)</f>
        <v>45375</v>
      </c>
      <c r="AC228" s="61" t="n">
        <f aca="false">INDEX(Datos_Origen!$H$2:$H$2459,$Z228)</f>
        <v>58</v>
      </c>
      <c r="AD228" s="61" t="str">
        <f aca="false">INDEX(Datos_Origen!$D$2:$D$2459,$Z228)&amp;""</f>
        <v>Cordoba</v>
      </c>
    </row>
    <row r="229" customFormat="false" ht="15" hidden="false" customHeight="false" outlineLevel="0" collapsed="false">
      <c r="A229" s="61" t="n">
        <f aca="false">INDEX(Datos_Origen!$A$2:$A$2459,$Z229)</f>
        <v>228</v>
      </c>
      <c r="B229" s="62" t="n">
        <f aca="false">IF(ISNUMBER($AB229),$AB229,IF(MID($AB229,5,1)="-",DATE(VALUE(LEFT($AB229,4)),VALUE(MID($AB229,6,2)),VALUE(RIGHT($AB229,2))),DATE(VALUE(RIGHT($AB229,4)),VALUE(MID($AB229,4,2)),VALUE(LEFT($AB229,2)))))</f>
        <v>45355</v>
      </c>
      <c r="C229" s="61" t="n">
        <f aca="false">YEAR($B229)</f>
        <v>2024</v>
      </c>
      <c r="D229" s="61" t="str">
        <f aca="false">"Q"&amp;ROUNDUP(MONTH($B229)/3,0)</f>
        <v>Q1</v>
      </c>
      <c r="E229" s="61" t="n">
        <f aca="false">MONTH($B229)</f>
        <v>3</v>
      </c>
      <c r="F229" s="61" t="str">
        <f aca="false">INDEX(Parametros!$I$5:$I$16,$E229)</f>
        <v>Mar</v>
      </c>
      <c r="G229" s="61" t="str">
        <f aca="false">TEXT($C229,"0000")&amp;"-"&amp;TEXT($E229,"00")</f>
        <v>2024-03</v>
      </c>
      <c r="H229" s="61" t="str">
        <f aca="false">INDEX(Parametros!$C$71:$C$91,MATCH(TRIM(INDEX(Datos_Origen!$C$2:$C$2459,$Z229)),Parametros!$B$71:$B$91,0))</f>
        <v>Centro</v>
      </c>
      <c r="I229" s="61" t="str">
        <f aca="false">IF(TRIM($AD229)="",INDEX(Parametros!$I$20:$I$24,MATCH($H229,Parametros!$H$20:$H$24,0)),TRIM($AD229))</f>
        <v>Cordoba</v>
      </c>
      <c r="J229" s="61" t="str">
        <f aca="false">INDEX(Parametros!$C$95:$C$106,MATCH(TRIM(INDEX(Datos_Origen!$E$2:$E$2459,$Z229)),Parametros!$B$95:$B$106,0))</f>
        <v>E-commerce</v>
      </c>
      <c r="K229" s="61" t="str">
        <f aca="false">INDEX(Parametros!$C$48:$C$67,MATCH(TRIM(INDEX(Datos_Origen!$F$2:$F$2459,$Z229)),Parametros!$B$48:$B$67,0))</f>
        <v>Accesorios</v>
      </c>
      <c r="L229" s="61" t="str">
        <f aca="false">$K229&amp;" "&amp;$C229</f>
        <v>Accesorios 2024</v>
      </c>
      <c r="M229" s="61" t="str">
        <f aca="false">TRIM(INDEX(Datos_Origen!$G$2:$G$2459,$Z229))</f>
        <v>Mouse Inalambrico</v>
      </c>
      <c r="N229" s="61" t="str">
        <f aca="false">$M229&amp;" "&amp;$C229</f>
        <v>Mouse Inalambrico 2024</v>
      </c>
      <c r="O229" s="63" t="n">
        <f aca="false">IF(ISTEXT($AC229),VALUE($AC229),$AC229)</f>
        <v>18</v>
      </c>
      <c r="P229" s="64" t="n">
        <f aca="false">INDEX(Datos_Origen!$I$2:$I$2459,$Z229)</f>
        <v>27.44</v>
      </c>
      <c r="Q229" s="64" t="n">
        <f aca="false">INDEX(Datos_Origen!$J$2:$J$2459,$Z229)</f>
        <v>13.44</v>
      </c>
      <c r="R229" s="65" t="n">
        <f aca="false">ROUND($O229*$P229,2)</f>
        <v>493.92</v>
      </c>
      <c r="S229" s="65" t="n">
        <f aca="false">ROUND($O229*$Q229,2)</f>
        <v>241.92</v>
      </c>
      <c r="T229" s="65" t="n">
        <f aca="false">ROUND($R229*SUMIFS(Parametros!$E$28:$E$43,Parametros!$B$28:$B$43,$J229,Parametros!$C$28:$C$43,$C229,Parametros!$D$28:$D$43,$D229),2)</f>
        <v>20.74</v>
      </c>
      <c r="U229" s="65" t="n">
        <f aca="false">$R229-$S229-$T229</f>
        <v>231.26</v>
      </c>
      <c r="V229" s="66" t="n">
        <f aca="false">IFERROR($U229/$R229,0)</f>
        <v>0.468213475866537</v>
      </c>
      <c r="W229" s="67" t="str">
        <f aca="false">IF(AND($V229&gt;=Parametros!$C$8,$R229&gt;=Parametros!$C$12),"Alta rentabilidad",IF(OR($V229&lt;Parametros!$C$11,$R229&lt;Parametros!$C$13),"Revisar","Estandar"))</f>
        <v>Estandar</v>
      </c>
      <c r="X229" s="67" t="str">
        <f aca="false">IF(AND($J229="E-commerce",IFERROR($T229/$R229,0)&gt;Parametros!$C$14),"Alerta","OK")</f>
        <v>OK</v>
      </c>
      <c r="Y229" s="61" t="str">
        <f aca="false">IF($R229&gt;=Parametros!$C$12,"Alto",IF($R229&lt;Parametros!$C$13,"Bajo","Medio"))</f>
        <v>Medio</v>
      </c>
      <c r="Z229" s="61" t="n">
        <v>999</v>
      </c>
      <c r="AA229" s="61" t="str">
        <f aca="false">IF(MATCH($A229,Datos_Origen!$A$2:$A$2459,0)=$Z229,"OK","REVISAR")</f>
        <v>OK</v>
      </c>
      <c r="AB229" s="61" t="str">
        <f aca="false">INDEX(Datos_Origen!$B$2:$B$2459,$Z229)</f>
        <v>04/03/2024</v>
      </c>
      <c r="AC229" s="61" t="n">
        <f aca="false">INDEX(Datos_Origen!$H$2:$H$2459,$Z229)</f>
        <v>18</v>
      </c>
      <c r="AD229" s="61" t="str">
        <f aca="false">INDEX(Datos_Origen!$D$2:$D$2459,$Z229)&amp;""</f>
        <v>Cordoba</v>
      </c>
    </row>
    <row r="230" customFormat="false" ht="15" hidden="false" customHeight="false" outlineLevel="0" collapsed="false">
      <c r="A230" s="61" t="n">
        <f aca="false">INDEX(Datos_Origen!$A$2:$A$2459,$Z230)</f>
        <v>229</v>
      </c>
      <c r="B230" s="62" t="n">
        <f aca="false">IF(ISNUMBER($AB230),$AB230,IF(MID($AB230,5,1)="-",DATE(VALUE(LEFT($AB230,4)),VALUE(MID($AB230,6,2)),VALUE(RIGHT($AB230,2))),DATE(VALUE(RIGHT($AB230,4)),VALUE(MID($AB230,4,2)),VALUE(LEFT($AB230,2)))))</f>
        <v>45362</v>
      </c>
      <c r="C230" s="61" t="n">
        <f aca="false">YEAR($B230)</f>
        <v>2024</v>
      </c>
      <c r="D230" s="61" t="str">
        <f aca="false">"Q"&amp;ROUNDUP(MONTH($B230)/3,0)</f>
        <v>Q1</v>
      </c>
      <c r="E230" s="61" t="n">
        <f aca="false">MONTH($B230)</f>
        <v>3</v>
      </c>
      <c r="F230" s="61" t="str">
        <f aca="false">INDEX(Parametros!$I$5:$I$16,$E230)</f>
        <v>Mar</v>
      </c>
      <c r="G230" s="61" t="str">
        <f aca="false">TEXT($C230,"0000")&amp;"-"&amp;TEXT($E230,"00")</f>
        <v>2024-03</v>
      </c>
      <c r="H230" s="61" t="str">
        <f aca="false">INDEX(Parametros!$C$71:$C$91,MATCH(TRIM(INDEX(Datos_Origen!$C$2:$C$2459,$Z230)),Parametros!$B$71:$B$91,0))</f>
        <v>Centro</v>
      </c>
      <c r="I230" s="61" t="str">
        <f aca="false">IF(TRIM($AD230)="",INDEX(Parametros!$I$20:$I$24,MATCH($H230,Parametros!$H$20:$H$24,0)),TRIM($AD230))</f>
        <v>Cordoba</v>
      </c>
      <c r="J230" s="61" t="str">
        <f aca="false">INDEX(Parametros!$C$95:$C$106,MATCH(TRIM(INDEX(Datos_Origen!$E$2:$E$2459,$Z230)),Parametros!$B$95:$B$106,0))</f>
        <v>Tienda fisica</v>
      </c>
      <c r="K230" s="61" t="str">
        <f aca="false">INDEX(Parametros!$C$48:$C$67,MATCH(TRIM(INDEX(Datos_Origen!$F$2:$F$2459,$Z230)),Parametros!$B$48:$B$67,0))</f>
        <v>Accesorios</v>
      </c>
      <c r="L230" s="61" t="str">
        <f aca="false">$K230&amp;" "&amp;$C230</f>
        <v>Accesorios 2024</v>
      </c>
      <c r="M230" s="61" t="str">
        <f aca="false">TRIM(INDEX(Datos_Origen!$G$2:$G$2459,$Z230))</f>
        <v>Teclado Mecanico</v>
      </c>
      <c r="N230" s="61" t="str">
        <f aca="false">$M230&amp;" "&amp;$C230</f>
        <v>Teclado Mecanico 2024</v>
      </c>
      <c r="O230" s="63" t="n">
        <f aca="false">IF(ISTEXT($AC230),VALUE($AC230),$AC230)</f>
        <v>52</v>
      </c>
      <c r="P230" s="64" t="n">
        <f aca="false">INDEX(Datos_Origen!$I$2:$I$2459,$Z230)</f>
        <v>93.1</v>
      </c>
      <c r="Q230" s="64" t="n">
        <f aca="false">INDEX(Datos_Origen!$J$2:$J$2459,$Z230)</f>
        <v>47.98</v>
      </c>
      <c r="R230" s="65" t="n">
        <f aca="false">ROUND($O230*$P230,2)</f>
        <v>4841.2</v>
      </c>
      <c r="S230" s="65" t="n">
        <f aca="false">ROUND($O230*$Q230,2)</f>
        <v>2494.96</v>
      </c>
      <c r="T230" s="65" t="n">
        <f aca="false">ROUND($R230*SUMIFS(Parametros!$E$28:$E$43,Parametros!$B$28:$B$43,$J230,Parametros!$C$28:$C$43,$C230,Parametros!$D$28:$D$43,$D230),2)</f>
        <v>58.09</v>
      </c>
      <c r="U230" s="65" t="n">
        <f aca="false">$R230-$S230-$T230</f>
        <v>2288.15</v>
      </c>
      <c r="V230" s="66" t="n">
        <f aca="false">IFERROR($U230/$R230,0)</f>
        <v>0.472641080723787</v>
      </c>
      <c r="W230" s="67" t="str">
        <f aca="false">IF(AND($V230&gt;=Parametros!$C$8,$R230&gt;=Parametros!$C$12),"Alta rentabilidad",IF(OR($V230&lt;Parametros!$C$11,$R230&lt;Parametros!$C$13),"Revisar","Estandar"))</f>
        <v>Alta rentabilidad</v>
      </c>
      <c r="X230" s="67" t="str">
        <f aca="false">IF(AND($J230="E-commerce",IFERROR($T230/$R230,0)&gt;Parametros!$C$14),"Alerta","OK")</f>
        <v>OK</v>
      </c>
      <c r="Y230" s="61" t="str">
        <f aca="false">IF($R230&gt;=Parametros!$C$12,"Alto",IF($R230&lt;Parametros!$C$13,"Bajo","Medio"))</f>
        <v>Alto</v>
      </c>
      <c r="Z230" s="61" t="n">
        <v>1671</v>
      </c>
      <c r="AA230" s="61" t="str">
        <f aca="false">IF(MATCH($A230,Datos_Origen!$A$2:$A$2459,0)=$Z230,"OK","REVISAR")</f>
        <v>OK</v>
      </c>
      <c r="AB230" s="62" t="n">
        <f aca="false">INDEX(Datos_Origen!$B$2:$B$2459,$Z230)</f>
        <v>45362</v>
      </c>
      <c r="AC230" s="61" t="n">
        <f aca="false">INDEX(Datos_Origen!$H$2:$H$2459,$Z230)</f>
        <v>52</v>
      </c>
      <c r="AD230" s="61" t="str">
        <f aca="false">INDEX(Datos_Origen!$D$2:$D$2459,$Z230)&amp;""</f>
        <v>Cordoba</v>
      </c>
    </row>
    <row r="231" customFormat="false" ht="15" hidden="false" customHeight="false" outlineLevel="0" collapsed="false">
      <c r="A231" s="61" t="n">
        <f aca="false">INDEX(Datos_Origen!$A$2:$A$2459,$Z231)</f>
        <v>230</v>
      </c>
      <c r="B231" s="62" t="n">
        <f aca="false">IF(ISNUMBER($AB231),$AB231,IF(MID($AB231,5,1)="-",DATE(VALUE(LEFT($AB231,4)),VALUE(MID($AB231,6,2)),VALUE(RIGHT($AB231,2))),DATE(VALUE(RIGHT($AB231,4)),VALUE(MID($AB231,4,2)),VALUE(LEFT($AB231,2)))))</f>
        <v>45369</v>
      </c>
      <c r="C231" s="61" t="n">
        <f aca="false">YEAR($B231)</f>
        <v>2024</v>
      </c>
      <c r="D231" s="61" t="str">
        <f aca="false">"Q"&amp;ROUNDUP(MONTH($B231)/3,0)</f>
        <v>Q1</v>
      </c>
      <c r="E231" s="61" t="n">
        <f aca="false">MONTH($B231)</f>
        <v>3</v>
      </c>
      <c r="F231" s="61" t="str">
        <f aca="false">INDEX(Parametros!$I$5:$I$16,$E231)</f>
        <v>Mar</v>
      </c>
      <c r="G231" s="61" t="str">
        <f aca="false">TEXT($C231,"0000")&amp;"-"&amp;TEXT($E231,"00")</f>
        <v>2024-03</v>
      </c>
      <c r="H231" s="61" t="str">
        <f aca="false">INDEX(Parametros!$C$71:$C$91,MATCH(TRIM(INDEX(Datos_Origen!$C$2:$C$2459,$Z231)),Parametros!$B$71:$B$91,0))</f>
        <v>Centro</v>
      </c>
      <c r="I231" s="61" t="str">
        <f aca="false">IF(TRIM($AD231)="",INDEX(Parametros!$I$20:$I$24,MATCH($H231,Parametros!$H$20:$H$24,0)),TRIM($AD231))</f>
        <v>Cordoba</v>
      </c>
      <c r="J231" s="61" t="str">
        <f aca="false">INDEX(Parametros!$C$95:$C$106,MATCH(TRIM(INDEX(Datos_Origen!$E$2:$E$2459,$Z231)),Parametros!$B$95:$B$106,0))</f>
        <v>E-commerce</v>
      </c>
      <c r="K231" s="61" t="str">
        <f aca="false">INDEX(Parametros!$C$48:$C$67,MATCH(TRIM(INDEX(Datos_Origen!$F$2:$F$2459,$Z231)),Parametros!$B$48:$B$67,0))</f>
        <v>Accesorios</v>
      </c>
      <c r="L231" s="61" t="str">
        <f aca="false">$K231&amp;" "&amp;$C231</f>
        <v>Accesorios 2024</v>
      </c>
      <c r="M231" s="61" t="str">
        <f aca="false">TRIM(INDEX(Datos_Origen!$G$2:$G$2459,$Z231))</f>
        <v>Teclado Mecanico</v>
      </c>
      <c r="N231" s="61" t="str">
        <f aca="false">$M231&amp;" "&amp;$C231</f>
        <v>Teclado Mecanico 2024</v>
      </c>
      <c r="O231" s="63" t="n">
        <f aca="false">IF(ISTEXT($AC231),VALUE($AC231),$AC231)</f>
        <v>22</v>
      </c>
      <c r="P231" s="64" t="n">
        <f aca="false">INDEX(Datos_Origen!$I$2:$I$2459,$Z231)</f>
        <v>93.1</v>
      </c>
      <c r="Q231" s="64" t="n">
        <f aca="false">INDEX(Datos_Origen!$J$2:$J$2459,$Z231)</f>
        <v>47.98</v>
      </c>
      <c r="R231" s="65" t="n">
        <f aca="false">ROUND($O231*$P231,2)</f>
        <v>2048.2</v>
      </c>
      <c r="S231" s="65" t="n">
        <f aca="false">ROUND($O231*$Q231,2)</f>
        <v>1055.56</v>
      </c>
      <c r="T231" s="65" t="n">
        <f aca="false">ROUND($R231*SUMIFS(Parametros!$E$28:$E$43,Parametros!$B$28:$B$43,$J231,Parametros!$C$28:$C$43,$C231,Parametros!$D$28:$D$43,$D231),2)</f>
        <v>86.02</v>
      </c>
      <c r="U231" s="65" t="n">
        <f aca="false">$R231-$S231-$T231</f>
        <v>906.62</v>
      </c>
      <c r="V231" s="66" t="n">
        <f aca="false">IFERROR($U231/$R231,0)</f>
        <v>0.442642320085929</v>
      </c>
      <c r="W231" s="67" t="str">
        <f aca="false">IF(AND($V231&gt;=Parametros!$C$8,$R231&gt;=Parametros!$C$12),"Alta rentabilidad",IF(OR($V231&lt;Parametros!$C$11,$R231&lt;Parametros!$C$13),"Revisar","Estandar"))</f>
        <v>Estandar</v>
      </c>
      <c r="X231" s="67" t="str">
        <f aca="false">IF(AND($J231="E-commerce",IFERROR($T231/$R231,0)&gt;Parametros!$C$14),"Alerta","OK")</f>
        <v>OK</v>
      </c>
      <c r="Y231" s="61" t="str">
        <f aca="false">IF($R231&gt;=Parametros!$C$12,"Alto",IF($R231&lt;Parametros!$C$13,"Bajo","Medio"))</f>
        <v>Medio</v>
      </c>
      <c r="Z231" s="61" t="n">
        <v>1002</v>
      </c>
      <c r="AA231" s="61" t="str">
        <f aca="false">IF(MATCH($A231,Datos_Origen!$A$2:$A$2459,0)=$Z231,"OK","REVISAR")</f>
        <v>OK</v>
      </c>
      <c r="AB231" s="62" t="n">
        <f aca="false">INDEX(Datos_Origen!$B$2:$B$2459,$Z231)</f>
        <v>45369</v>
      </c>
      <c r="AC231" s="61" t="str">
        <f aca="false">INDEX(Datos_Origen!$H$2:$H$2459,$Z231)</f>
        <v>22</v>
      </c>
      <c r="AD231" s="61" t="str">
        <f aca="false">INDEX(Datos_Origen!$D$2:$D$2459,$Z231)&amp;""</f>
        <v>Cordoba</v>
      </c>
    </row>
    <row r="232" customFormat="false" ht="15" hidden="false" customHeight="false" outlineLevel="0" collapsed="false">
      <c r="A232" s="61" t="n">
        <f aca="false">INDEX(Datos_Origen!$A$2:$A$2459,$Z232)</f>
        <v>231</v>
      </c>
      <c r="B232" s="62" t="n">
        <f aca="false">IF(ISNUMBER($AB232),$AB232,IF(MID($AB232,5,1)="-",DATE(VALUE(LEFT($AB232,4)),VALUE(MID($AB232,6,2)),VALUE(RIGHT($AB232,2))),DATE(VALUE(RIGHT($AB232,4)),VALUE(MID($AB232,4,2)),VALUE(LEFT($AB232,2)))))</f>
        <v>45376</v>
      </c>
      <c r="C232" s="61" t="n">
        <f aca="false">YEAR($B232)</f>
        <v>2024</v>
      </c>
      <c r="D232" s="61" t="str">
        <f aca="false">"Q"&amp;ROUNDUP(MONTH($B232)/3,0)</f>
        <v>Q1</v>
      </c>
      <c r="E232" s="61" t="n">
        <f aca="false">MONTH($B232)</f>
        <v>3</v>
      </c>
      <c r="F232" s="61" t="str">
        <f aca="false">INDEX(Parametros!$I$5:$I$16,$E232)</f>
        <v>Mar</v>
      </c>
      <c r="G232" s="61" t="str">
        <f aca="false">TEXT($C232,"0000")&amp;"-"&amp;TEXT($E232,"00")</f>
        <v>2024-03</v>
      </c>
      <c r="H232" s="61" t="str">
        <f aca="false">INDEX(Parametros!$C$71:$C$91,MATCH(TRIM(INDEX(Datos_Origen!$C$2:$C$2459,$Z232)),Parametros!$B$71:$B$91,0))</f>
        <v>Centro</v>
      </c>
      <c r="I232" s="61" t="str">
        <f aca="false">IF(TRIM($AD232)="",INDEX(Parametros!$I$20:$I$24,MATCH($H232,Parametros!$H$20:$H$24,0)),TRIM($AD232))</f>
        <v>Cordoba</v>
      </c>
      <c r="J232" s="61" t="str">
        <f aca="false">INDEX(Parametros!$C$95:$C$106,MATCH(TRIM(INDEX(Datos_Origen!$E$2:$E$2459,$Z232)),Parametros!$B$95:$B$106,0))</f>
        <v>Tienda fisica</v>
      </c>
      <c r="K232" s="61" t="str">
        <f aca="false">INDEX(Parametros!$C$48:$C$67,MATCH(TRIM(INDEX(Datos_Origen!$F$2:$F$2459,$Z232)),Parametros!$B$48:$B$67,0))</f>
        <v>Accesorios</v>
      </c>
      <c r="L232" s="61" t="str">
        <f aca="false">$K232&amp;" "&amp;$C232</f>
        <v>Accesorios 2024</v>
      </c>
      <c r="M232" s="61" t="str">
        <f aca="false">TRIM(INDEX(Datos_Origen!$G$2:$G$2459,$Z232))</f>
        <v>Webcam Full HD</v>
      </c>
      <c r="N232" s="61" t="str">
        <f aca="false">$M232&amp;" "&amp;$C232</f>
        <v>Webcam Full HD 2024</v>
      </c>
      <c r="O232" s="63" t="n">
        <f aca="false">IF(ISTEXT($AC232),VALUE($AC232),$AC232)</f>
        <v>56</v>
      </c>
      <c r="P232" s="64" t="n">
        <f aca="false">INDEX(Datos_Origen!$I$2:$I$2459,$Z232)</f>
        <v>63.7</v>
      </c>
      <c r="Q232" s="64" t="n">
        <f aca="false">INDEX(Datos_Origen!$J$2:$J$2459,$Z232)</f>
        <v>35.43</v>
      </c>
      <c r="R232" s="65" t="n">
        <f aca="false">ROUND($O232*$P232,2)</f>
        <v>3567.2</v>
      </c>
      <c r="S232" s="65" t="n">
        <f aca="false">ROUND($O232*$Q232,2)</f>
        <v>1984.08</v>
      </c>
      <c r="T232" s="65" t="n">
        <f aca="false">ROUND($R232*SUMIFS(Parametros!$E$28:$E$43,Parametros!$B$28:$B$43,$J232,Parametros!$C$28:$C$43,$C232,Parametros!$D$28:$D$43,$D232),2)</f>
        <v>42.81</v>
      </c>
      <c r="U232" s="65" t="n">
        <f aca="false">$R232-$S232-$T232</f>
        <v>1540.31</v>
      </c>
      <c r="V232" s="66" t="n">
        <f aca="false">IFERROR($U232/$R232,0)</f>
        <v>0.431798048889886</v>
      </c>
      <c r="W232" s="67" t="str">
        <f aca="false">IF(AND($V232&gt;=Parametros!$C$8,$R232&gt;=Parametros!$C$12),"Alta rentabilidad",IF(OR($V232&lt;Parametros!$C$11,$R232&lt;Parametros!$C$13),"Revisar","Estandar"))</f>
        <v>Alta rentabilidad</v>
      </c>
      <c r="X232" s="67" t="str">
        <f aca="false">IF(AND($J232="E-commerce",IFERROR($T232/$R232,0)&gt;Parametros!$C$14),"Alerta","OK")</f>
        <v>OK</v>
      </c>
      <c r="Y232" s="61" t="str">
        <f aca="false">IF($R232&gt;=Parametros!$C$12,"Alto",IF($R232&lt;Parametros!$C$13,"Bajo","Medio"))</f>
        <v>Alto</v>
      </c>
      <c r="Z232" s="61" t="n">
        <v>79</v>
      </c>
      <c r="AA232" s="61" t="str">
        <f aca="false">IF(MATCH($A232,Datos_Origen!$A$2:$A$2459,0)=$Z232,"OK","REVISAR")</f>
        <v>OK</v>
      </c>
      <c r="AB232" s="62" t="n">
        <f aca="false">INDEX(Datos_Origen!$B$2:$B$2459,$Z232)</f>
        <v>45376</v>
      </c>
      <c r="AC232" s="61" t="n">
        <f aca="false">INDEX(Datos_Origen!$H$2:$H$2459,$Z232)</f>
        <v>56</v>
      </c>
      <c r="AD232" s="61" t="str">
        <f aca="false">INDEX(Datos_Origen!$D$2:$D$2459,$Z232)&amp;""</f>
        <v>Cordoba</v>
      </c>
    </row>
    <row r="233" customFormat="false" ht="15" hidden="false" customHeight="false" outlineLevel="0" collapsed="false">
      <c r="A233" s="61" t="n">
        <f aca="false">INDEX(Datos_Origen!$A$2:$A$2459,$Z233)</f>
        <v>232</v>
      </c>
      <c r="B233" s="62" t="n">
        <f aca="false">IF(ISNUMBER($AB233),$AB233,IF(MID($AB233,5,1)="-",DATE(VALUE(LEFT($AB233,4)),VALUE(MID($AB233,6,2)),VALUE(RIGHT($AB233,2))),DATE(VALUE(RIGHT($AB233,4)),VALUE(MID($AB233,4,2)),VALUE(LEFT($AB233,2)))))</f>
        <v>45356</v>
      </c>
      <c r="C233" s="61" t="n">
        <f aca="false">YEAR($B233)</f>
        <v>2024</v>
      </c>
      <c r="D233" s="61" t="str">
        <f aca="false">"Q"&amp;ROUNDUP(MONTH($B233)/3,0)</f>
        <v>Q1</v>
      </c>
      <c r="E233" s="61" t="n">
        <f aca="false">MONTH($B233)</f>
        <v>3</v>
      </c>
      <c r="F233" s="61" t="str">
        <f aca="false">INDEX(Parametros!$I$5:$I$16,$E233)</f>
        <v>Mar</v>
      </c>
      <c r="G233" s="61" t="str">
        <f aca="false">TEXT($C233,"0000")&amp;"-"&amp;TEXT($E233,"00")</f>
        <v>2024-03</v>
      </c>
      <c r="H233" s="61" t="str">
        <f aca="false">INDEX(Parametros!$C$71:$C$91,MATCH(TRIM(INDEX(Datos_Origen!$C$2:$C$2459,$Z233)),Parametros!$B$71:$B$91,0))</f>
        <v>Centro</v>
      </c>
      <c r="I233" s="61" t="str">
        <f aca="false">IF(TRIM($AD233)="",INDEX(Parametros!$I$20:$I$24,MATCH($H233,Parametros!$H$20:$H$24,0)),TRIM($AD233))</f>
        <v>Cordoba</v>
      </c>
      <c r="J233" s="61" t="str">
        <f aca="false">INDEX(Parametros!$C$95:$C$106,MATCH(TRIM(INDEX(Datos_Origen!$E$2:$E$2459,$Z233)),Parametros!$B$95:$B$106,0))</f>
        <v>E-commerce</v>
      </c>
      <c r="K233" s="61" t="str">
        <f aca="false">INDEX(Parametros!$C$48:$C$67,MATCH(TRIM(INDEX(Datos_Origen!$F$2:$F$2459,$Z233)),Parametros!$B$48:$B$67,0))</f>
        <v>Accesorios</v>
      </c>
      <c r="L233" s="61" t="str">
        <f aca="false">$K233&amp;" "&amp;$C233</f>
        <v>Accesorios 2024</v>
      </c>
      <c r="M233" s="61" t="str">
        <f aca="false">TRIM(INDEX(Datos_Origen!$G$2:$G$2459,$Z233))</f>
        <v>Webcam Full HD</v>
      </c>
      <c r="N233" s="61" t="str">
        <f aca="false">$M233&amp;" "&amp;$C233</f>
        <v>Webcam Full HD 2024</v>
      </c>
      <c r="O233" s="63" t="n">
        <f aca="false">IF(ISTEXT($AC233),VALUE($AC233),$AC233)</f>
        <v>22</v>
      </c>
      <c r="P233" s="64" t="n">
        <f aca="false">INDEX(Datos_Origen!$I$2:$I$2459,$Z233)</f>
        <v>63.7</v>
      </c>
      <c r="Q233" s="64" t="n">
        <f aca="false">INDEX(Datos_Origen!$J$2:$J$2459,$Z233)</f>
        <v>35.43</v>
      </c>
      <c r="R233" s="65" t="n">
        <f aca="false">ROUND($O233*$P233,2)</f>
        <v>1401.4</v>
      </c>
      <c r="S233" s="65" t="n">
        <f aca="false">ROUND($O233*$Q233,2)</f>
        <v>779.46</v>
      </c>
      <c r="T233" s="65" t="n">
        <f aca="false">ROUND($R233*SUMIFS(Parametros!$E$28:$E$43,Parametros!$B$28:$B$43,$J233,Parametros!$C$28:$C$43,$C233,Parametros!$D$28:$D$43,$D233),2)</f>
        <v>58.86</v>
      </c>
      <c r="U233" s="65" t="n">
        <f aca="false">$R233-$S233-$T233</f>
        <v>563.08</v>
      </c>
      <c r="V233" s="66" t="n">
        <f aca="false">IFERROR($U233/$R233,0)</f>
        <v>0.401798201798202</v>
      </c>
      <c r="W233" s="67" t="str">
        <f aca="false">IF(AND($V233&gt;=Parametros!$C$8,$R233&gt;=Parametros!$C$12),"Alta rentabilidad",IF(OR($V233&lt;Parametros!$C$11,$R233&lt;Parametros!$C$13),"Revisar","Estandar"))</f>
        <v>Estandar</v>
      </c>
      <c r="X233" s="67" t="str">
        <f aca="false">IF(AND($J233="E-commerce",IFERROR($T233/$R233,0)&gt;Parametros!$C$14),"Alerta","OK")</f>
        <v>OK</v>
      </c>
      <c r="Y233" s="61" t="str">
        <f aca="false">IF($R233&gt;=Parametros!$C$12,"Alto",IF($R233&lt;Parametros!$C$13,"Bajo","Medio"))</f>
        <v>Medio</v>
      </c>
      <c r="Z233" s="61" t="n">
        <v>1406</v>
      </c>
      <c r="AA233" s="61" t="str">
        <f aca="false">IF(MATCH($A233,Datos_Origen!$A$2:$A$2459,0)=$Z233,"OK","REVISAR")</f>
        <v>OK</v>
      </c>
      <c r="AB233" s="62" t="n">
        <f aca="false">INDEX(Datos_Origen!$B$2:$B$2459,$Z233)</f>
        <v>45356</v>
      </c>
      <c r="AC233" s="61" t="n">
        <f aca="false">INDEX(Datos_Origen!$H$2:$H$2459,$Z233)</f>
        <v>22</v>
      </c>
      <c r="AD233" s="61" t="str">
        <f aca="false">INDEX(Datos_Origen!$D$2:$D$2459,$Z233)&amp;""</f>
        <v>Cordoba</v>
      </c>
    </row>
    <row r="234" customFormat="false" ht="15" hidden="false" customHeight="false" outlineLevel="0" collapsed="false">
      <c r="A234" s="61" t="n">
        <f aca="false">INDEX(Datos_Origen!$A$2:$A$2459,$Z234)</f>
        <v>233</v>
      </c>
      <c r="B234" s="62" t="n">
        <f aca="false">IF(ISNUMBER($AB234),$AB234,IF(MID($AB234,5,1)="-",DATE(VALUE(LEFT($AB234,4)),VALUE(MID($AB234,6,2)),VALUE(RIGHT($AB234,2))),DATE(VALUE(RIGHT($AB234,4)),VALUE(MID($AB234,4,2)),VALUE(LEFT($AB234,2)))))</f>
        <v>45363</v>
      </c>
      <c r="C234" s="61" t="n">
        <f aca="false">YEAR($B234)</f>
        <v>2024</v>
      </c>
      <c r="D234" s="61" t="str">
        <f aca="false">"Q"&amp;ROUNDUP(MONTH($B234)/3,0)</f>
        <v>Q1</v>
      </c>
      <c r="E234" s="61" t="n">
        <f aca="false">MONTH($B234)</f>
        <v>3</v>
      </c>
      <c r="F234" s="61" t="str">
        <f aca="false">INDEX(Parametros!$I$5:$I$16,$E234)</f>
        <v>Mar</v>
      </c>
      <c r="G234" s="61" t="str">
        <f aca="false">TEXT($C234,"0000")&amp;"-"&amp;TEXT($E234,"00")</f>
        <v>2024-03</v>
      </c>
      <c r="H234" s="61" t="str">
        <f aca="false">INDEX(Parametros!$C$71:$C$91,MATCH(TRIM(INDEX(Datos_Origen!$C$2:$C$2459,$Z234)),Parametros!$B$71:$B$91,0))</f>
        <v>Centro</v>
      </c>
      <c r="I234" s="61" t="str">
        <f aca="false">IF(TRIM($AD234)="",INDEX(Parametros!$I$20:$I$24,MATCH($H234,Parametros!$H$20:$H$24,0)),TRIM($AD234))</f>
        <v>Cordoba</v>
      </c>
      <c r="J234" s="61" t="str">
        <f aca="false">INDEX(Parametros!$C$95:$C$106,MATCH(TRIM(INDEX(Datos_Origen!$E$2:$E$2459,$Z234)),Parametros!$B$95:$B$106,0))</f>
        <v>Tienda fisica</v>
      </c>
      <c r="K234" s="61" t="str">
        <f aca="false">INDEX(Parametros!$C$48:$C$67,MATCH(TRIM(INDEX(Datos_Origen!$F$2:$F$2459,$Z234)),Parametros!$B$48:$B$67,0))</f>
        <v>Audio</v>
      </c>
      <c r="L234" s="61" t="str">
        <f aca="false">$K234&amp;" "&amp;$C234</f>
        <v>Audio 2024</v>
      </c>
      <c r="M234" s="61" t="str">
        <f aca="false">TRIM(INDEX(Datos_Origen!$G$2:$G$2459,$Z234))</f>
        <v>Auriculares BT Pro</v>
      </c>
      <c r="N234" s="61" t="str">
        <f aca="false">$M234&amp;" "&amp;$C234</f>
        <v>Auriculares BT Pro 2024</v>
      </c>
      <c r="O234" s="63" t="n">
        <f aca="false">IF(ISTEXT($AC234),VALUE($AC234),$AC234)</f>
        <v>23</v>
      </c>
      <c r="P234" s="64" t="n">
        <f aca="false">INDEX(Datos_Origen!$I$2:$I$2459,$Z234)</f>
        <v>117.6</v>
      </c>
      <c r="Q234" s="64" t="n">
        <f aca="false">INDEX(Datos_Origen!$J$2:$J$2459,$Z234)</f>
        <v>63.6</v>
      </c>
      <c r="R234" s="65" t="n">
        <f aca="false">ROUND($O234*$P234,2)</f>
        <v>2704.8</v>
      </c>
      <c r="S234" s="65" t="n">
        <f aca="false">ROUND($O234*$Q234,2)</f>
        <v>1462.8</v>
      </c>
      <c r="T234" s="65" t="n">
        <f aca="false">ROUND($R234*SUMIFS(Parametros!$E$28:$E$43,Parametros!$B$28:$B$43,$J234,Parametros!$C$28:$C$43,$C234,Parametros!$D$28:$D$43,$D234),2)</f>
        <v>32.46</v>
      </c>
      <c r="U234" s="65" t="n">
        <f aca="false">$R234-$S234-$T234</f>
        <v>1209.54</v>
      </c>
      <c r="V234" s="66" t="n">
        <f aca="false">IFERROR($U234/$R234,0)</f>
        <v>0.447182786157942</v>
      </c>
      <c r="W234" s="67" t="str">
        <f aca="false">IF(AND($V234&gt;=Parametros!$C$8,$R234&gt;=Parametros!$C$12),"Alta rentabilidad",IF(OR($V234&lt;Parametros!$C$11,$R234&lt;Parametros!$C$13),"Revisar","Estandar"))</f>
        <v>Estandar</v>
      </c>
      <c r="X234" s="67" t="str">
        <f aca="false">IF(AND($J234="E-commerce",IFERROR($T234/$R234,0)&gt;Parametros!$C$14),"Alerta","OK")</f>
        <v>OK</v>
      </c>
      <c r="Y234" s="61" t="str">
        <f aca="false">IF($R234&gt;=Parametros!$C$12,"Alto",IF($R234&lt;Parametros!$C$13,"Bajo","Medio"))</f>
        <v>Medio</v>
      </c>
      <c r="Z234" s="61" t="n">
        <v>46</v>
      </c>
      <c r="AA234" s="61" t="str">
        <f aca="false">IF(MATCH($A234,Datos_Origen!$A$2:$A$2459,0)=$Z234,"OK","REVISAR")</f>
        <v>OK</v>
      </c>
      <c r="AB234" s="62" t="n">
        <f aca="false">INDEX(Datos_Origen!$B$2:$B$2459,$Z234)</f>
        <v>45363</v>
      </c>
      <c r="AC234" s="61" t="n">
        <f aca="false">INDEX(Datos_Origen!$H$2:$H$2459,$Z234)</f>
        <v>23</v>
      </c>
      <c r="AD234" s="61" t="str">
        <f aca="false">INDEX(Datos_Origen!$D$2:$D$2459,$Z234)&amp;""</f>
        <v>Cordoba</v>
      </c>
    </row>
    <row r="235" customFormat="false" ht="15" hidden="false" customHeight="false" outlineLevel="0" collapsed="false">
      <c r="A235" s="61" t="n">
        <f aca="false">INDEX(Datos_Origen!$A$2:$A$2459,$Z235)</f>
        <v>234</v>
      </c>
      <c r="B235" s="62" t="n">
        <f aca="false">IF(ISNUMBER($AB235),$AB235,IF(MID($AB235,5,1)="-",DATE(VALUE(LEFT($AB235,4)),VALUE(MID($AB235,6,2)),VALUE(RIGHT($AB235,2))),DATE(VALUE(RIGHT($AB235,4)),VALUE(MID($AB235,4,2)),VALUE(LEFT($AB235,2)))))</f>
        <v>45370</v>
      </c>
      <c r="C235" s="61" t="n">
        <f aca="false">YEAR($B235)</f>
        <v>2024</v>
      </c>
      <c r="D235" s="61" t="str">
        <f aca="false">"Q"&amp;ROUNDUP(MONTH($B235)/3,0)</f>
        <v>Q1</v>
      </c>
      <c r="E235" s="61" t="n">
        <f aca="false">MONTH($B235)</f>
        <v>3</v>
      </c>
      <c r="F235" s="61" t="str">
        <f aca="false">INDEX(Parametros!$I$5:$I$16,$E235)</f>
        <v>Mar</v>
      </c>
      <c r="G235" s="61" t="str">
        <f aca="false">TEXT($C235,"0000")&amp;"-"&amp;TEXT($E235,"00")</f>
        <v>2024-03</v>
      </c>
      <c r="H235" s="61" t="str">
        <f aca="false">INDEX(Parametros!$C$71:$C$91,MATCH(TRIM(INDEX(Datos_Origen!$C$2:$C$2459,$Z235)),Parametros!$B$71:$B$91,0))</f>
        <v>Centro</v>
      </c>
      <c r="I235" s="61" t="str">
        <f aca="false">IF(TRIM($AD235)="",INDEX(Parametros!$I$20:$I$24,MATCH($H235,Parametros!$H$20:$H$24,0)),TRIM($AD235))</f>
        <v>Cordoba</v>
      </c>
      <c r="J235" s="61" t="str">
        <f aca="false">INDEX(Parametros!$C$95:$C$106,MATCH(TRIM(INDEX(Datos_Origen!$E$2:$E$2459,$Z235)),Parametros!$B$95:$B$106,0))</f>
        <v>E-commerce</v>
      </c>
      <c r="K235" s="61" t="str">
        <f aca="false">INDEX(Parametros!$C$48:$C$67,MATCH(TRIM(INDEX(Datos_Origen!$F$2:$F$2459,$Z235)),Parametros!$B$48:$B$67,0))</f>
        <v>Audio</v>
      </c>
      <c r="L235" s="61" t="str">
        <f aca="false">$K235&amp;" "&amp;$C235</f>
        <v>Audio 2024</v>
      </c>
      <c r="M235" s="61" t="str">
        <f aca="false">TRIM(INDEX(Datos_Origen!$G$2:$G$2459,$Z235))</f>
        <v>Auriculares BT Pro</v>
      </c>
      <c r="N235" s="61" t="str">
        <f aca="false">$M235&amp;" "&amp;$C235</f>
        <v>Auriculares BT Pro 2024</v>
      </c>
      <c r="O235" s="63" t="n">
        <f aca="false">IF(ISTEXT($AC235),VALUE($AC235),$AC235)</f>
        <v>9</v>
      </c>
      <c r="P235" s="64" t="n">
        <f aca="false">INDEX(Datos_Origen!$I$2:$I$2459,$Z235)</f>
        <v>117.6</v>
      </c>
      <c r="Q235" s="64" t="n">
        <f aca="false">INDEX(Datos_Origen!$J$2:$J$2459,$Z235)</f>
        <v>63.6</v>
      </c>
      <c r="R235" s="65" t="n">
        <f aca="false">ROUND($O235*$P235,2)</f>
        <v>1058.4</v>
      </c>
      <c r="S235" s="65" t="n">
        <f aca="false">ROUND($O235*$Q235,2)</f>
        <v>572.4</v>
      </c>
      <c r="T235" s="65" t="n">
        <f aca="false">ROUND($R235*SUMIFS(Parametros!$E$28:$E$43,Parametros!$B$28:$B$43,$J235,Parametros!$C$28:$C$43,$C235,Parametros!$D$28:$D$43,$D235),2)</f>
        <v>44.45</v>
      </c>
      <c r="U235" s="65" t="n">
        <f aca="false">$R235-$S235-$T235</f>
        <v>441.55</v>
      </c>
      <c r="V235" s="66" t="n">
        <f aca="false">IFERROR($U235/$R235,0)</f>
        <v>0.417186318972033</v>
      </c>
      <c r="W235" s="67" t="str">
        <f aca="false">IF(AND($V235&gt;=Parametros!$C$8,$R235&gt;=Parametros!$C$12),"Alta rentabilidad",IF(OR($V235&lt;Parametros!$C$11,$R235&lt;Parametros!$C$13),"Revisar","Estandar"))</f>
        <v>Estandar</v>
      </c>
      <c r="X235" s="67" t="str">
        <f aca="false">IF(AND($J235="E-commerce",IFERROR($T235/$R235,0)&gt;Parametros!$C$14),"Alerta","OK")</f>
        <v>OK</v>
      </c>
      <c r="Y235" s="61" t="str">
        <f aca="false">IF($R235&gt;=Parametros!$C$12,"Alto",IF($R235&lt;Parametros!$C$13,"Bajo","Medio"))</f>
        <v>Medio</v>
      </c>
      <c r="Z235" s="61" t="n">
        <v>292</v>
      </c>
      <c r="AA235" s="61" t="str">
        <f aca="false">IF(MATCH($A235,Datos_Origen!$A$2:$A$2459,0)=$Z235,"OK","REVISAR")</f>
        <v>OK</v>
      </c>
      <c r="AB235" s="62" t="n">
        <f aca="false">INDEX(Datos_Origen!$B$2:$B$2459,$Z235)</f>
        <v>45370</v>
      </c>
      <c r="AC235" s="61" t="n">
        <f aca="false">INDEX(Datos_Origen!$H$2:$H$2459,$Z235)</f>
        <v>9</v>
      </c>
      <c r="AD235" s="61" t="str">
        <f aca="false">INDEX(Datos_Origen!$D$2:$D$2459,$Z235)&amp;""</f>
        <v>Cordoba</v>
      </c>
    </row>
    <row r="236" customFormat="false" ht="15" hidden="false" customHeight="false" outlineLevel="0" collapsed="false">
      <c r="A236" s="61" t="n">
        <f aca="false">INDEX(Datos_Origen!$A$2:$A$2459,$Z236)</f>
        <v>235</v>
      </c>
      <c r="B236" s="62" t="n">
        <f aca="false">IF(ISNUMBER($AB236),$AB236,IF(MID($AB236,5,1)="-",DATE(VALUE(LEFT($AB236,4)),VALUE(MID($AB236,6,2)),VALUE(RIGHT($AB236,2))),DATE(VALUE(RIGHT($AB236,4)),VALUE(MID($AB236,4,2)),VALUE(LEFT($AB236,2)))))</f>
        <v>45377</v>
      </c>
      <c r="C236" s="61" t="n">
        <f aca="false">YEAR($B236)</f>
        <v>2024</v>
      </c>
      <c r="D236" s="61" t="str">
        <f aca="false">"Q"&amp;ROUNDUP(MONTH($B236)/3,0)</f>
        <v>Q1</v>
      </c>
      <c r="E236" s="61" t="n">
        <f aca="false">MONTH($B236)</f>
        <v>3</v>
      </c>
      <c r="F236" s="61" t="str">
        <f aca="false">INDEX(Parametros!$I$5:$I$16,$E236)</f>
        <v>Mar</v>
      </c>
      <c r="G236" s="61" t="str">
        <f aca="false">TEXT($C236,"0000")&amp;"-"&amp;TEXT($E236,"00")</f>
        <v>2024-03</v>
      </c>
      <c r="H236" s="61" t="str">
        <f aca="false">INDEX(Parametros!$C$71:$C$91,MATCH(TRIM(INDEX(Datos_Origen!$C$2:$C$2459,$Z236)),Parametros!$B$71:$B$91,0))</f>
        <v>Centro</v>
      </c>
      <c r="I236" s="61" t="str">
        <f aca="false">IF(TRIM($AD236)="",INDEX(Parametros!$I$20:$I$24,MATCH($H236,Parametros!$H$20:$H$24,0)),TRIM($AD236))</f>
        <v>Cordoba</v>
      </c>
      <c r="J236" s="61" t="str">
        <f aca="false">INDEX(Parametros!$C$95:$C$106,MATCH(TRIM(INDEX(Datos_Origen!$E$2:$E$2459,$Z236)),Parametros!$B$95:$B$106,0))</f>
        <v>Tienda fisica</v>
      </c>
      <c r="K236" s="61" t="str">
        <f aca="false">INDEX(Parametros!$C$48:$C$67,MATCH(TRIM(INDEX(Datos_Origen!$F$2:$F$2459,$Z236)),Parametros!$B$48:$B$67,0))</f>
        <v>Audio</v>
      </c>
      <c r="L236" s="61" t="str">
        <f aca="false">$K236&amp;" "&amp;$C236</f>
        <v>Audio 2024</v>
      </c>
      <c r="M236" s="61" t="str">
        <f aca="false">TRIM(INDEX(Datos_Origen!$G$2:$G$2459,$Z236))</f>
        <v>Parlante Bluetooth</v>
      </c>
      <c r="N236" s="61" t="str">
        <f aca="false">$M236&amp;" "&amp;$C236</f>
        <v>Parlante Bluetooth 2024</v>
      </c>
      <c r="O236" s="63" t="n">
        <f aca="false">IF(ISTEXT($AC236),VALUE($AC236),$AC236)</f>
        <v>28</v>
      </c>
      <c r="P236" s="64" t="n">
        <f aca="false">INDEX(Datos_Origen!$I$2:$I$2459,$Z236)</f>
        <v>83.3</v>
      </c>
      <c r="Q236" s="64" t="n">
        <f aca="false">INDEX(Datos_Origen!$J$2:$J$2459,$Z236)</f>
        <v>48.03</v>
      </c>
      <c r="R236" s="65" t="n">
        <f aca="false">ROUND($O236*$P236,2)</f>
        <v>2332.4</v>
      </c>
      <c r="S236" s="65" t="n">
        <f aca="false">ROUND($O236*$Q236,2)</f>
        <v>1344.84</v>
      </c>
      <c r="T236" s="65" t="n">
        <f aca="false">ROUND($R236*SUMIFS(Parametros!$E$28:$E$43,Parametros!$B$28:$B$43,$J236,Parametros!$C$28:$C$43,$C236,Parametros!$D$28:$D$43,$D236),2)</f>
        <v>27.99</v>
      </c>
      <c r="U236" s="65" t="n">
        <f aca="false">$R236-$S236-$T236</f>
        <v>959.57</v>
      </c>
      <c r="V236" s="66" t="n">
        <f aca="false">IFERROR($U236/$R236,0)</f>
        <v>0.411408849253987</v>
      </c>
      <c r="W236" s="67" t="str">
        <f aca="false">IF(AND($V236&gt;=Parametros!$C$8,$R236&gt;=Parametros!$C$12),"Alta rentabilidad",IF(OR($V236&lt;Parametros!$C$11,$R236&lt;Parametros!$C$13),"Revisar","Estandar"))</f>
        <v>Estandar</v>
      </c>
      <c r="X236" s="67" t="str">
        <f aca="false">IF(AND($J236="E-commerce",IFERROR($T236/$R236,0)&gt;Parametros!$C$14),"Alerta","OK")</f>
        <v>OK</v>
      </c>
      <c r="Y236" s="61" t="str">
        <f aca="false">IF($R236&gt;=Parametros!$C$12,"Alto",IF($R236&lt;Parametros!$C$13,"Bajo","Medio"))</f>
        <v>Medio</v>
      </c>
      <c r="Z236" s="61" t="n">
        <v>2442</v>
      </c>
      <c r="AA236" s="61" t="str">
        <f aca="false">IF(MATCH($A236,Datos_Origen!$A$2:$A$2459,0)=$Z236,"OK","REVISAR")</f>
        <v>OK</v>
      </c>
      <c r="AB236" s="62" t="n">
        <f aca="false">INDEX(Datos_Origen!$B$2:$B$2459,$Z236)</f>
        <v>45377</v>
      </c>
      <c r="AC236" s="61" t="n">
        <f aca="false">INDEX(Datos_Origen!$H$2:$H$2459,$Z236)</f>
        <v>28</v>
      </c>
      <c r="AD236" s="61" t="str">
        <f aca="false">INDEX(Datos_Origen!$D$2:$D$2459,$Z236)&amp;""</f>
        <v>Cordoba</v>
      </c>
    </row>
    <row r="237" customFormat="false" ht="15" hidden="false" customHeight="false" outlineLevel="0" collapsed="false">
      <c r="A237" s="61" t="n">
        <f aca="false">INDEX(Datos_Origen!$A$2:$A$2459,$Z237)</f>
        <v>236</v>
      </c>
      <c r="B237" s="62" t="n">
        <f aca="false">IF(ISNUMBER($AB237),$AB237,IF(MID($AB237,5,1)="-",DATE(VALUE(LEFT($AB237,4)),VALUE(MID($AB237,6,2)),VALUE(RIGHT($AB237,2))),DATE(VALUE(RIGHT($AB237,4)),VALUE(MID($AB237,4,2)),VALUE(LEFT($AB237,2)))))</f>
        <v>45357</v>
      </c>
      <c r="C237" s="61" t="n">
        <f aca="false">YEAR($B237)</f>
        <v>2024</v>
      </c>
      <c r="D237" s="61" t="str">
        <f aca="false">"Q"&amp;ROUNDUP(MONTH($B237)/3,0)</f>
        <v>Q1</v>
      </c>
      <c r="E237" s="61" t="n">
        <f aca="false">MONTH($B237)</f>
        <v>3</v>
      </c>
      <c r="F237" s="61" t="str">
        <f aca="false">INDEX(Parametros!$I$5:$I$16,$E237)</f>
        <v>Mar</v>
      </c>
      <c r="G237" s="61" t="str">
        <f aca="false">TEXT($C237,"0000")&amp;"-"&amp;TEXT($E237,"00")</f>
        <v>2024-03</v>
      </c>
      <c r="H237" s="61" t="str">
        <f aca="false">INDEX(Parametros!$C$71:$C$91,MATCH(TRIM(INDEX(Datos_Origen!$C$2:$C$2459,$Z237)),Parametros!$B$71:$B$91,0))</f>
        <v>Centro</v>
      </c>
      <c r="I237" s="61" t="str">
        <f aca="false">IF(TRIM($AD237)="",INDEX(Parametros!$I$20:$I$24,MATCH($H237,Parametros!$H$20:$H$24,0)),TRIM($AD237))</f>
        <v>Cordoba</v>
      </c>
      <c r="J237" s="61" t="str">
        <f aca="false">INDEX(Parametros!$C$95:$C$106,MATCH(TRIM(INDEX(Datos_Origen!$E$2:$E$2459,$Z237)),Parametros!$B$95:$B$106,0))</f>
        <v>E-commerce</v>
      </c>
      <c r="K237" s="61" t="str">
        <f aca="false">INDEX(Parametros!$C$48:$C$67,MATCH(TRIM(INDEX(Datos_Origen!$F$2:$F$2459,$Z237)),Parametros!$B$48:$B$67,0))</f>
        <v>Audio</v>
      </c>
      <c r="L237" s="61" t="str">
        <f aca="false">$K237&amp;" "&amp;$C237</f>
        <v>Audio 2024</v>
      </c>
      <c r="M237" s="61" t="str">
        <f aca="false">TRIM(INDEX(Datos_Origen!$G$2:$G$2459,$Z237))</f>
        <v>Parlante Bluetooth</v>
      </c>
      <c r="N237" s="61" t="str">
        <f aca="false">$M237&amp;" "&amp;$C237</f>
        <v>Parlante Bluetooth 2024</v>
      </c>
      <c r="O237" s="63" t="n">
        <f aca="false">IF(ISTEXT($AC237),VALUE($AC237),$AC237)</f>
        <v>9</v>
      </c>
      <c r="P237" s="64" t="n">
        <f aca="false">INDEX(Datos_Origen!$I$2:$I$2459,$Z237)</f>
        <v>83.3</v>
      </c>
      <c r="Q237" s="64" t="n">
        <f aca="false">INDEX(Datos_Origen!$J$2:$J$2459,$Z237)</f>
        <v>48.03</v>
      </c>
      <c r="R237" s="65" t="n">
        <f aca="false">ROUND($O237*$P237,2)</f>
        <v>749.7</v>
      </c>
      <c r="S237" s="65" t="n">
        <f aca="false">ROUND($O237*$Q237,2)</f>
        <v>432.27</v>
      </c>
      <c r="T237" s="65" t="n">
        <f aca="false">ROUND($R237*SUMIFS(Parametros!$E$28:$E$43,Parametros!$B$28:$B$43,$J237,Parametros!$C$28:$C$43,$C237,Parametros!$D$28:$D$43,$D237),2)</f>
        <v>31.49</v>
      </c>
      <c r="U237" s="65" t="n">
        <f aca="false">$R237-$S237-$T237</f>
        <v>285.94</v>
      </c>
      <c r="V237" s="66" t="n">
        <f aca="false">IFERROR($U237/$R237,0)</f>
        <v>0.38140589569161</v>
      </c>
      <c r="W237" s="67" t="str">
        <f aca="false">IF(AND($V237&gt;=Parametros!$C$8,$R237&gt;=Parametros!$C$12),"Alta rentabilidad",IF(OR($V237&lt;Parametros!$C$11,$R237&lt;Parametros!$C$13),"Revisar","Estandar"))</f>
        <v>Estandar</v>
      </c>
      <c r="X237" s="67" t="str">
        <f aca="false">IF(AND($J237="E-commerce",IFERROR($T237/$R237,0)&gt;Parametros!$C$14),"Alerta","OK")</f>
        <v>OK</v>
      </c>
      <c r="Y237" s="61" t="str">
        <f aca="false">IF($R237&gt;=Parametros!$C$12,"Alto",IF($R237&lt;Parametros!$C$13,"Bajo","Medio"))</f>
        <v>Medio</v>
      </c>
      <c r="Z237" s="61" t="n">
        <v>1763</v>
      </c>
      <c r="AA237" s="61" t="str">
        <f aca="false">IF(MATCH($A237,Datos_Origen!$A$2:$A$2459,0)=$Z237,"OK","REVISAR")</f>
        <v>OK</v>
      </c>
      <c r="AB237" s="61" t="str">
        <f aca="false">INDEX(Datos_Origen!$B$2:$B$2459,$Z237)</f>
        <v>2024-03-06</v>
      </c>
      <c r="AC237" s="61" t="n">
        <f aca="false">INDEX(Datos_Origen!$H$2:$H$2459,$Z237)</f>
        <v>9</v>
      </c>
      <c r="AD237" s="61" t="str">
        <f aca="false">INDEX(Datos_Origen!$D$2:$D$2459,$Z237)&amp;""</f>
        <v>Cordoba</v>
      </c>
    </row>
    <row r="238" customFormat="false" ht="15" hidden="false" customHeight="false" outlineLevel="0" collapsed="false">
      <c r="A238" s="61" t="n">
        <f aca="false">INDEX(Datos_Origen!$A$2:$A$2459,$Z238)</f>
        <v>237</v>
      </c>
      <c r="B238" s="62" t="n">
        <f aca="false">IF(ISNUMBER($AB238),$AB238,IF(MID($AB238,5,1)="-",DATE(VALUE(LEFT($AB238,4)),VALUE(MID($AB238,6,2)),VALUE(RIGHT($AB238,2))),DATE(VALUE(RIGHT($AB238,4)),VALUE(MID($AB238,4,2)),VALUE(LEFT($AB238,2)))))</f>
        <v>45364</v>
      </c>
      <c r="C238" s="61" t="n">
        <f aca="false">YEAR($B238)</f>
        <v>2024</v>
      </c>
      <c r="D238" s="61" t="str">
        <f aca="false">"Q"&amp;ROUNDUP(MONTH($B238)/3,0)</f>
        <v>Q1</v>
      </c>
      <c r="E238" s="61" t="n">
        <f aca="false">MONTH($B238)</f>
        <v>3</v>
      </c>
      <c r="F238" s="61" t="str">
        <f aca="false">INDEX(Parametros!$I$5:$I$16,$E238)</f>
        <v>Mar</v>
      </c>
      <c r="G238" s="61" t="str">
        <f aca="false">TEXT($C238,"0000")&amp;"-"&amp;TEXT($E238,"00")</f>
        <v>2024-03</v>
      </c>
      <c r="H238" s="61" t="str">
        <f aca="false">INDEX(Parametros!$C$71:$C$91,MATCH(TRIM(INDEX(Datos_Origen!$C$2:$C$2459,$Z238)),Parametros!$B$71:$B$91,0))</f>
        <v>Centro</v>
      </c>
      <c r="I238" s="61" t="str">
        <f aca="false">IF(TRIM($AD238)="",INDEX(Parametros!$I$20:$I$24,MATCH($H238,Parametros!$H$20:$H$24,0)),TRIM($AD238))</f>
        <v>Cordoba</v>
      </c>
      <c r="J238" s="61" t="str">
        <f aca="false">INDEX(Parametros!$C$95:$C$106,MATCH(TRIM(INDEX(Datos_Origen!$E$2:$E$2459,$Z238)),Parametros!$B$95:$B$106,0))</f>
        <v>Tienda fisica</v>
      </c>
      <c r="K238" s="61" t="str">
        <f aca="false">INDEX(Parametros!$C$48:$C$67,MATCH(TRIM(INDEX(Datos_Origen!$F$2:$F$2459,$Z238)),Parametros!$B$48:$B$67,0))</f>
        <v>Almacenamiento</v>
      </c>
      <c r="L238" s="61" t="str">
        <f aca="false">$K238&amp;" "&amp;$C238</f>
        <v>Almacenamiento 2024</v>
      </c>
      <c r="M238" s="61" t="str">
        <f aca="false">TRIM(INDEX(Datos_Origen!$G$2:$G$2459,$Z238))</f>
        <v>SSD Externo 1TB</v>
      </c>
      <c r="N238" s="61" t="str">
        <f aca="false">$M238&amp;" "&amp;$C238</f>
        <v>SSD Externo 1TB 2024</v>
      </c>
      <c r="O238" s="63" t="n">
        <f aca="false">IF(ISTEXT($AC238),VALUE($AC238),$AC238)</f>
        <v>37</v>
      </c>
      <c r="P238" s="64" t="n">
        <f aca="false">INDEX(Datos_Origen!$I$2:$I$2459,$Z238)</f>
        <v>127.4</v>
      </c>
      <c r="Q238" s="64" t="n">
        <f aca="false">INDEX(Datos_Origen!$J$2:$J$2459,$Z238)</f>
        <v>76.05</v>
      </c>
      <c r="R238" s="65" t="n">
        <f aca="false">ROUND($O238*$P238,2)</f>
        <v>4713.8</v>
      </c>
      <c r="S238" s="65" t="n">
        <f aca="false">ROUND($O238*$Q238,2)</f>
        <v>2813.85</v>
      </c>
      <c r="T238" s="65" t="n">
        <f aca="false">ROUND($R238*SUMIFS(Parametros!$E$28:$E$43,Parametros!$B$28:$B$43,$J238,Parametros!$C$28:$C$43,$C238,Parametros!$D$28:$D$43,$D238),2)</f>
        <v>56.57</v>
      </c>
      <c r="U238" s="65" t="n">
        <f aca="false">$R238-$S238-$T238</f>
        <v>1843.38</v>
      </c>
      <c r="V238" s="66" t="n">
        <f aca="false">IFERROR($U238/$R238,0)</f>
        <v>0.391060291060291</v>
      </c>
      <c r="W238" s="67" t="str">
        <f aca="false">IF(AND($V238&gt;=Parametros!$C$8,$R238&gt;=Parametros!$C$12),"Alta rentabilidad",IF(OR($V238&lt;Parametros!$C$11,$R238&lt;Parametros!$C$13),"Revisar","Estandar"))</f>
        <v>Alta rentabilidad</v>
      </c>
      <c r="X238" s="67" t="str">
        <f aca="false">IF(AND($J238="E-commerce",IFERROR($T238/$R238,0)&gt;Parametros!$C$14),"Alerta","OK")</f>
        <v>OK</v>
      </c>
      <c r="Y238" s="61" t="str">
        <f aca="false">IF($R238&gt;=Parametros!$C$12,"Alto",IF($R238&lt;Parametros!$C$13,"Bajo","Medio"))</f>
        <v>Alto</v>
      </c>
      <c r="Z238" s="61" t="n">
        <v>981</v>
      </c>
      <c r="AA238" s="61" t="str">
        <f aca="false">IF(MATCH($A238,Datos_Origen!$A$2:$A$2459,0)=$Z238,"OK","REVISAR")</f>
        <v>OK</v>
      </c>
      <c r="AB238" s="62" t="n">
        <f aca="false">INDEX(Datos_Origen!$B$2:$B$2459,$Z238)</f>
        <v>45364</v>
      </c>
      <c r="AC238" s="61" t="n">
        <f aca="false">INDEX(Datos_Origen!$H$2:$H$2459,$Z238)</f>
        <v>37</v>
      </c>
      <c r="AD238" s="61" t="str">
        <f aca="false">INDEX(Datos_Origen!$D$2:$D$2459,$Z238)&amp;""</f>
        <v/>
      </c>
    </row>
    <row r="239" customFormat="false" ht="15" hidden="false" customHeight="false" outlineLevel="0" collapsed="false">
      <c r="A239" s="61" t="n">
        <f aca="false">INDEX(Datos_Origen!$A$2:$A$2459,$Z239)</f>
        <v>238</v>
      </c>
      <c r="B239" s="62" t="n">
        <f aca="false">IF(ISNUMBER($AB239),$AB239,IF(MID($AB239,5,1)="-",DATE(VALUE(LEFT($AB239,4)),VALUE(MID($AB239,6,2)),VALUE(RIGHT($AB239,2))),DATE(VALUE(RIGHT($AB239,4)),VALUE(MID($AB239,4,2)),VALUE(LEFT($AB239,2)))))</f>
        <v>45371</v>
      </c>
      <c r="C239" s="61" t="n">
        <f aca="false">YEAR($B239)</f>
        <v>2024</v>
      </c>
      <c r="D239" s="61" t="str">
        <f aca="false">"Q"&amp;ROUNDUP(MONTH($B239)/3,0)</f>
        <v>Q1</v>
      </c>
      <c r="E239" s="61" t="n">
        <f aca="false">MONTH($B239)</f>
        <v>3</v>
      </c>
      <c r="F239" s="61" t="str">
        <f aca="false">INDEX(Parametros!$I$5:$I$16,$E239)</f>
        <v>Mar</v>
      </c>
      <c r="G239" s="61" t="str">
        <f aca="false">TEXT($C239,"0000")&amp;"-"&amp;TEXT($E239,"00")</f>
        <v>2024-03</v>
      </c>
      <c r="H239" s="61" t="str">
        <f aca="false">INDEX(Parametros!$C$71:$C$91,MATCH(TRIM(INDEX(Datos_Origen!$C$2:$C$2459,$Z239)),Parametros!$B$71:$B$91,0))</f>
        <v>Centro</v>
      </c>
      <c r="I239" s="61" t="str">
        <f aca="false">IF(TRIM($AD239)="",INDEX(Parametros!$I$20:$I$24,MATCH($H239,Parametros!$H$20:$H$24,0)),TRIM($AD239))</f>
        <v>Cordoba</v>
      </c>
      <c r="J239" s="61" t="str">
        <f aca="false">INDEX(Parametros!$C$95:$C$106,MATCH(TRIM(INDEX(Datos_Origen!$E$2:$E$2459,$Z239)),Parametros!$B$95:$B$106,0))</f>
        <v>E-commerce</v>
      </c>
      <c r="K239" s="61" t="str">
        <f aca="false">INDEX(Parametros!$C$48:$C$67,MATCH(TRIM(INDEX(Datos_Origen!$F$2:$F$2459,$Z239)),Parametros!$B$48:$B$67,0))</f>
        <v>Almacenamiento</v>
      </c>
      <c r="L239" s="61" t="str">
        <f aca="false">$K239&amp;" "&amp;$C239</f>
        <v>Almacenamiento 2024</v>
      </c>
      <c r="M239" s="61" t="str">
        <f aca="false">TRIM(INDEX(Datos_Origen!$G$2:$G$2459,$Z239))</f>
        <v>SSD Externo 1TB</v>
      </c>
      <c r="N239" s="61" t="str">
        <f aca="false">$M239&amp;" "&amp;$C239</f>
        <v>SSD Externo 1TB 2024</v>
      </c>
      <c r="O239" s="63" t="n">
        <f aca="false">IF(ISTEXT($AC239),VALUE($AC239),$AC239)</f>
        <v>14</v>
      </c>
      <c r="P239" s="64" t="n">
        <f aca="false">INDEX(Datos_Origen!$I$2:$I$2459,$Z239)</f>
        <v>127.4</v>
      </c>
      <c r="Q239" s="64" t="n">
        <f aca="false">INDEX(Datos_Origen!$J$2:$J$2459,$Z239)</f>
        <v>76.05</v>
      </c>
      <c r="R239" s="65" t="n">
        <f aca="false">ROUND($O239*$P239,2)</f>
        <v>1783.6</v>
      </c>
      <c r="S239" s="65" t="n">
        <f aca="false">ROUND($O239*$Q239,2)</f>
        <v>1064.7</v>
      </c>
      <c r="T239" s="65" t="n">
        <f aca="false">ROUND($R239*SUMIFS(Parametros!$E$28:$E$43,Parametros!$B$28:$B$43,$J239,Parametros!$C$28:$C$43,$C239,Parametros!$D$28:$D$43,$D239),2)</f>
        <v>74.91</v>
      </c>
      <c r="U239" s="65" t="n">
        <f aca="false">$R239-$S239-$T239</f>
        <v>643.99</v>
      </c>
      <c r="V239" s="66" t="n">
        <f aca="false">IFERROR($U239/$R239,0)</f>
        <v>0.361061897286387</v>
      </c>
      <c r="W239" s="67" t="str">
        <f aca="false">IF(AND($V239&gt;=Parametros!$C$8,$R239&gt;=Parametros!$C$12),"Alta rentabilidad",IF(OR($V239&lt;Parametros!$C$11,$R239&lt;Parametros!$C$13),"Revisar","Estandar"))</f>
        <v>Estandar</v>
      </c>
      <c r="X239" s="67" t="str">
        <f aca="false">IF(AND($J239="E-commerce",IFERROR($T239/$R239,0)&gt;Parametros!$C$14),"Alerta","OK")</f>
        <v>OK</v>
      </c>
      <c r="Y239" s="61" t="str">
        <f aca="false">IF($R239&gt;=Parametros!$C$12,"Alto",IF($R239&lt;Parametros!$C$13,"Bajo","Medio"))</f>
        <v>Medio</v>
      </c>
      <c r="Z239" s="61" t="n">
        <v>2322</v>
      </c>
      <c r="AA239" s="61" t="str">
        <f aca="false">IF(MATCH($A239,Datos_Origen!$A$2:$A$2459,0)=$Z239,"OK","REVISAR")</f>
        <v>OK</v>
      </c>
      <c r="AB239" s="61" t="str">
        <f aca="false">INDEX(Datos_Origen!$B$2:$B$2459,$Z239)</f>
        <v>20/03/2024</v>
      </c>
      <c r="AC239" s="61" t="n">
        <f aca="false">INDEX(Datos_Origen!$H$2:$H$2459,$Z239)</f>
        <v>14</v>
      </c>
      <c r="AD239" s="61" t="str">
        <f aca="false">INDEX(Datos_Origen!$D$2:$D$2459,$Z239)&amp;""</f>
        <v>Cordoba</v>
      </c>
    </row>
    <row r="240" customFormat="false" ht="15" hidden="false" customHeight="false" outlineLevel="0" collapsed="false">
      <c r="A240" s="61" t="n">
        <f aca="false">INDEX(Datos_Origen!$A$2:$A$2459,$Z240)</f>
        <v>239</v>
      </c>
      <c r="B240" s="62" t="n">
        <f aca="false">IF(ISNUMBER($AB240),$AB240,IF(MID($AB240,5,1)="-",DATE(VALUE(LEFT($AB240,4)),VALUE(MID($AB240,6,2)),VALUE(RIGHT($AB240,2))),DATE(VALUE(RIGHT($AB240,4)),VALUE(MID($AB240,4,2)),VALUE(LEFT($AB240,2)))))</f>
        <v>45378</v>
      </c>
      <c r="C240" s="61" t="n">
        <f aca="false">YEAR($B240)</f>
        <v>2024</v>
      </c>
      <c r="D240" s="61" t="str">
        <f aca="false">"Q"&amp;ROUNDUP(MONTH($B240)/3,0)</f>
        <v>Q1</v>
      </c>
      <c r="E240" s="61" t="n">
        <f aca="false">MONTH($B240)</f>
        <v>3</v>
      </c>
      <c r="F240" s="61" t="str">
        <f aca="false">INDEX(Parametros!$I$5:$I$16,$E240)</f>
        <v>Mar</v>
      </c>
      <c r="G240" s="61" t="str">
        <f aca="false">TEXT($C240,"0000")&amp;"-"&amp;TEXT($E240,"00")</f>
        <v>2024-03</v>
      </c>
      <c r="H240" s="61" t="str">
        <f aca="false">INDEX(Parametros!$C$71:$C$91,MATCH(TRIM(INDEX(Datos_Origen!$C$2:$C$2459,$Z240)),Parametros!$B$71:$B$91,0))</f>
        <v>Centro</v>
      </c>
      <c r="I240" s="61" t="str">
        <f aca="false">IF(TRIM($AD240)="",INDEX(Parametros!$I$20:$I$24,MATCH($H240,Parametros!$H$20:$H$24,0)),TRIM($AD240))</f>
        <v>Cordoba</v>
      </c>
      <c r="J240" s="61" t="str">
        <f aca="false">INDEX(Parametros!$C$95:$C$106,MATCH(TRIM(INDEX(Datos_Origen!$E$2:$E$2459,$Z240)),Parametros!$B$95:$B$106,0))</f>
        <v>Tienda fisica</v>
      </c>
      <c r="K240" s="61" t="str">
        <f aca="false">INDEX(Parametros!$C$48:$C$67,MATCH(TRIM(INDEX(Datos_Origen!$F$2:$F$2459,$Z240)),Parametros!$B$48:$B$67,0))</f>
        <v>Almacenamiento</v>
      </c>
      <c r="L240" s="61" t="str">
        <f aca="false">$K240&amp;" "&amp;$C240</f>
        <v>Almacenamiento 2024</v>
      </c>
      <c r="M240" s="61" t="str">
        <f aca="false">TRIM(INDEX(Datos_Origen!$G$2:$G$2459,$Z240))</f>
        <v>Pendrive 256GB</v>
      </c>
      <c r="N240" s="61" t="str">
        <f aca="false">$M240&amp;" "&amp;$C240</f>
        <v>Pendrive 256GB 2024</v>
      </c>
      <c r="O240" s="63" t="n">
        <f aca="false">IF(ISTEXT($AC240),VALUE($AC240),$AC240)</f>
        <v>35</v>
      </c>
      <c r="P240" s="64" t="n">
        <f aca="false">INDEX(Datos_Origen!$I$2:$I$2459,$Z240)</f>
        <v>34.3</v>
      </c>
      <c r="Q240" s="64" t="n">
        <f aca="false">INDEX(Datos_Origen!$J$2:$J$2459,$Z240)</f>
        <v>17.85</v>
      </c>
      <c r="R240" s="65" t="n">
        <f aca="false">ROUND($O240*$P240,2)</f>
        <v>1200.5</v>
      </c>
      <c r="S240" s="65" t="n">
        <f aca="false">ROUND($O240*$Q240,2)</f>
        <v>624.75</v>
      </c>
      <c r="T240" s="65" t="n">
        <f aca="false">ROUND($R240*SUMIFS(Parametros!$E$28:$E$43,Parametros!$B$28:$B$43,$J240,Parametros!$C$28:$C$43,$C240,Parametros!$D$28:$D$43,$D240),2)</f>
        <v>14.41</v>
      </c>
      <c r="U240" s="65" t="n">
        <f aca="false">$R240-$S240-$T240</f>
        <v>561.34</v>
      </c>
      <c r="V240" s="66" t="n">
        <f aca="false">IFERROR($U240/$R240,0)</f>
        <v>0.467588504789671</v>
      </c>
      <c r="W240" s="67" t="str">
        <f aca="false">IF(AND($V240&gt;=Parametros!$C$8,$R240&gt;=Parametros!$C$12),"Alta rentabilidad",IF(OR($V240&lt;Parametros!$C$11,$R240&lt;Parametros!$C$13),"Revisar","Estandar"))</f>
        <v>Estandar</v>
      </c>
      <c r="X240" s="67" t="str">
        <f aca="false">IF(AND($J240="E-commerce",IFERROR($T240/$R240,0)&gt;Parametros!$C$14),"Alerta","OK")</f>
        <v>OK</v>
      </c>
      <c r="Y240" s="61" t="str">
        <f aca="false">IF($R240&gt;=Parametros!$C$12,"Alto",IF($R240&lt;Parametros!$C$13,"Bajo","Medio"))</f>
        <v>Medio</v>
      </c>
      <c r="Z240" s="61" t="n">
        <v>1453</v>
      </c>
      <c r="AA240" s="61" t="str">
        <f aca="false">IF(MATCH($A240,Datos_Origen!$A$2:$A$2459,0)=$Z240,"OK","REVISAR")</f>
        <v>OK</v>
      </c>
      <c r="AB240" s="62" t="n">
        <f aca="false">INDEX(Datos_Origen!$B$2:$B$2459,$Z240)</f>
        <v>45378</v>
      </c>
      <c r="AC240" s="61" t="str">
        <f aca="false">INDEX(Datos_Origen!$H$2:$H$2459,$Z240)</f>
        <v>35</v>
      </c>
      <c r="AD240" s="61" t="str">
        <f aca="false">INDEX(Datos_Origen!$D$2:$D$2459,$Z240)&amp;""</f>
        <v/>
      </c>
    </row>
    <row r="241" customFormat="false" ht="15" hidden="false" customHeight="false" outlineLevel="0" collapsed="false">
      <c r="A241" s="61" t="n">
        <f aca="false">INDEX(Datos_Origen!$A$2:$A$2459,$Z241)</f>
        <v>240</v>
      </c>
      <c r="B241" s="62" t="n">
        <f aca="false">IF(ISNUMBER($AB241),$AB241,IF(MID($AB241,5,1)="-",DATE(VALUE(LEFT($AB241,4)),VALUE(MID($AB241,6,2)),VALUE(RIGHT($AB241,2))),DATE(VALUE(RIGHT($AB241,4)),VALUE(MID($AB241,4,2)),VALUE(LEFT($AB241,2)))))</f>
        <v>45358</v>
      </c>
      <c r="C241" s="61" t="n">
        <f aca="false">YEAR($B241)</f>
        <v>2024</v>
      </c>
      <c r="D241" s="61" t="str">
        <f aca="false">"Q"&amp;ROUNDUP(MONTH($B241)/3,0)</f>
        <v>Q1</v>
      </c>
      <c r="E241" s="61" t="n">
        <f aca="false">MONTH($B241)</f>
        <v>3</v>
      </c>
      <c r="F241" s="61" t="str">
        <f aca="false">INDEX(Parametros!$I$5:$I$16,$E241)</f>
        <v>Mar</v>
      </c>
      <c r="G241" s="61" t="str">
        <f aca="false">TEXT($C241,"0000")&amp;"-"&amp;TEXT($E241,"00")</f>
        <v>2024-03</v>
      </c>
      <c r="H241" s="61" t="str">
        <f aca="false">INDEX(Parametros!$C$71:$C$91,MATCH(TRIM(INDEX(Datos_Origen!$C$2:$C$2459,$Z241)),Parametros!$B$71:$B$91,0))</f>
        <v>Centro</v>
      </c>
      <c r="I241" s="61" t="str">
        <f aca="false">IF(TRIM($AD241)="",INDEX(Parametros!$I$20:$I$24,MATCH($H241,Parametros!$H$20:$H$24,0)),TRIM($AD241))</f>
        <v>Cordoba</v>
      </c>
      <c r="J241" s="61" t="str">
        <f aca="false">INDEX(Parametros!$C$95:$C$106,MATCH(TRIM(INDEX(Datos_Origen!$E$2:$E$2459,$Z241)),Parametros!$B$95:$B$106,0))</f>
        <v>E-commerce</v>
      </c>
      <c r="K241" s="61" t="str">
        <f aca="false">INDEX(Parametros!$C$48:$C$67,MATCH(TRIM(INDEX(Datos_Origen!$F$2:$F$2459,$Z241)),Parametros!$B$48:$B$67,0))</f>
        <v>Almacenamiento</v>
      </c>
      <c r="L241" s="61" t="str">
        <f aca="false">$K241&amp;" "&amp;$C241</f>
        <v>Almacenamiento 2024</v>
      </c>
      <c r="M241" s="61" t="str">
        <f aca="false">TRIM(INDEX(Datos_Origen!$G$2:$G$2459,$Z241))</f>
        <v>Pendrive 256GB</v>
      </c>
      <c r="N241" s="61" t="str">
        <f aca="false">$M241&amp;" "&amp;$C241</f>
        <v>Pendrive 256GB 2024</v>
      </c>
      <c r="O241" s="63" t="n">
        <f aca="false">IF(ISTEXT($AC241),VALUE($AC241),$AC241)</f>
        <v>14</v>
      </c>
      <c r="P241" s="64" t="n">
        <f aca="false">INDEX(Datos_Origen!$I$2:$I$2459,$Z241)</f>
        <v>34.3</v>
      </c>
      <c r="Q241" s="64" t="n">
        <f aca="false">INDEX(Datos_Origen!$J$2:$J$2459,$Z241)</f>
        <v>17.85</v>
      </c>
      <c r="R241" s="65" t="n">
        <f aca="false">ROUND($O241*$P241,2)</f>
        <v>480.2</v>
      </c>
      <c r="S241" s="65" t="n">
        <f aca="false">ROUND($O241*$Q241,2)</f>
        <v>249.9</v>
      </c>
      <c r="T241" s="65" t="n">
        <f aca="false">ROUND($R241*SUMIFS(Parametros!$E$28:$E$43,Parametros!$B$28:$B$43,$J241,Parametros!$C$28:$C$43,$C241,Parametros!$D$28:$D$43,$D241),2)</f>
        <v>20.17</v>
      </c>
      <c r="U241" s="65" t="n">
        <f aca="false">$R241-$S241-$T241</f>
        <v>210.13</v>
      </c>
      <c r="V241" s="66" t="n">
        <f aca="false">IFERROR($U241/$R241,0)</f>
        <v>0.437588504789671</v>
      </c>
      <c r="W241" s="67" t="str">
        <f aca="false">IF(AND($V241&gt;=Parametros!$C$8,$R241&gt;=Parametros!$C$12),"Alta rentabilidad",IF(OR($V241&lt;Parametros!$C$11,$R241&lt;Parametros!$C$13),"Revisar","Estandar"))</f>
        <v>Estandar</v>
      </c>
      <c r="X241" s="67" t="str">
        <f aca="false">IF(AND($J241="E-commerce",IFERROR($T241/$R241,0)&gt;Parametros!$C$14),"Alerta","OK")</f>
        <v>OK</v>
      </c>
      <c r="Y241" s="61" t="str">
        <f aca="false">IF($R241&gt;=Parametros!$C$12,"Alto",IF($R241&lt;Parametros!$C$13,"Bajo","Medio"))</f>
        <v>Medio</v>
      </c>
      <c r="Z241" s="61" t="n">
        <v>1417</v>
      </c>
      <c r="AA241" s="61" t="str">
        <f aca="false">IF(MATCH($A241,Datos_Origen!$A$2:$A$2459,0)=$Z241,"OK","REVISAR")</f>
        <v>OK</v>
      </c>
      <c r="AB241" s="62" t="n">
        <f aca="false">INDEX(Datos_Origen!$B$2:$B$2459,$Z241)</f>
        <v>45358</v>
      </c>
      <c r="AC241" s="61" t="n">
        <f aca="false">INDEX(Datos_Origen!$H$2:$H$2459,$Z241)</f>
        <v>14</v>
      </c>
      <c r="AD241" s="61" t="str">
        <f aca="false">INDEX(Datos_Origen!$D$2:$D$2459,$Z241)&amp;""</f>
        <v>Cordoba</v>
      </c>
    </row>
    <row r="242" customFormat="false" ht="15" hidden="false" customHeight="false" outlineLevel="0" collapsed="false">
      <c r="A242" s="61" t="n">
        <f aca="false">INDEX(Datos_Origen!$A$2:$A$2459,$Z242)</f>
        <v>241</v>
      </c>
      <c r="B242" s="62" t="n">
        <f aca="false">IF(ISNUMBER($AB242),$AB242,IF(MID($AB242,5,1)="-",DATE(VALUE(LEFT($AB242,4)),VALUE(MID($AB242,6,2)),VALUE(RIGHT($AB242,2))),DATE(VALUE(RIGHT($AB242,4)),VALUE(MID($AB242,4,2)),VALUE(LEFT($AB242,2)))))</f>
        <v>45365</v>
      </c>
      <c r="C242" s="61" t="n">
        <f aca="false">YEAR($B242)</f>
        <v>2024</v>
      </c>
      <c r="D242" s="61" t="str">
        <f aca="false">"Q"&amp;ROUNDUP(MONTH($B242)/3,0)</f>
        <v>Q1</v>
      </c>
      <c r="E242" s="61" t="n">
        <f aca="false">MONTH($B242)</f>
        <v>3</v>
      </c>
      <c r="F242" s="61" t="str">
        <f aca="false">INDEX(Parametros!$I$5:$I$16,$E242)</f>
        <v>Mar</v>
      </c>
      <c r="G242" s="61" t="str">
        <f aca="false">TEXT($C242,"0000")&amp;"-"&amp;TEXT($E242,"00")</f>
        <v>2024-03</v>
      </c>
      <c r="H242" s="61" t="str">
        <f aca="false">INDEX(Parametros!$C$71:$C$91,MATCH(TRIM(INDEX(Datos_Origen!$C$2:$C$2459,$Z242)),Parametros!$B$71:$B$91,0))</f>
        <v>Litoral</v>
      </c>
      <c r="I242" s="61" t="str">
        <f aca="false">IF(TRIM($AD242)="",INDEX(Parametros!$I$20:$I$24,MATCH($H242,Parametros!$H$20:$H$24,0)),TRIM($AD242))</f>
        <v>Rosario</v>
      </c>
      <c r="J242" s="61" t="str">
        <f aca="false">INDEX(Parametros!$C$95:$C$106,MATCH(TRIM(INDEX(Datos_Origen!$E$2:$E$2459,$Z242)),Parametros!$B$95:$B$106,0))</f>
        <v>Tienda fisica</v>
      </c>
      <c r="K242" s="61" t="str">
        <f aca="false">INDEX(Parametros!$C$48:$C$67,MATCH(TRIM(INDEX(Datos_Origen!$F$2:$F$2459,$Z242)),Parametros!$B$48:$B$67,0))</f>
        <v>Computacion</v>
      </c>
      <c r="L242" s="61" t="str">
        <f aca="false">$K242&amp;" "&amp;$C242</f>
        <v>Computacion 2024</v>
      </c>
      <c r="M242" s="61" t="str">
        <f aca="false">TRIM(INDEX(Datos_Origen!$G$2:$G$2459,$Z242))</f>
        <v>Laptop Pro 15</v>
      </c>
      <c r="N242" s="61" t="str">
        <f aca="false">$M242&amp;" "&amp;$C242</f>
        <v>Laptop Pro 15 2024</v>
      </c>
      <c r="O242" s="63" t="n">
        <f aca="false">IF(ISTEXT($AC242),VALUE($AC242),$AC242)</f>
        <v>10</v>
      </c>
      <c r="P242" s="64" t="n">
        <f aca="false">INDEX(Datos_Origen!$I$2:$I$2459,$Z242)</f>
        <v>1176</v>
      </c>
      <c r="Q242" s="64" t="n">
        <f aca="false">INDEX(Datos_Origen!$J$2:$J$2459,$Z242)</f>
        <v>744</v>
      </c>
      <c r="R242" s="65" t="n">
        <f aca="false">ROUND($O242*$P242,2)</f>
        <v>11760</v>
      </c>
      <c r="S242" s="65" t="n">
        <f aca="false">ROUND($O242*$Q242,2)</f>
        <v>7440</v>
      </c>
      <c r="T242" s="65" t="n">
        <f aca="false">ROUND($R242*SUMIFS(Parametros!$E$28:$E$43,Parametros!$B$28:$B$43,$J242,Parametros!$C$28:$C$43,$C242,Parametros!$D$28:$D$43,$D242),2)</f>
        <v>141.12</v>
      </c>
      <c r="U242" s="65" t="n">
        <f aca="false">$R242-$S242-$T242</f>
        <v>4178.88</v>
      </c>
      <c r="V242" s="66" t="n">
        <f aca="false">IFERROR($U242/$R242,0)</f>
        <v>0.35534693877551</v>
      </c>
      <c r="W242" s="67" t="str">
        <f aca="false">IF(AND($V242&gt;=Parametros!$C$8,$R242&gt;=Parametros!$C$12),"Alta rentabilidad",IF(OR($V242&lt;Parametros!$C$11,$R242&lt;Parametros!$C$13),"Revisar","Estandar"))</f>
        <v>Alta rentabilidad</v>
      </c>
      <c r="X242" s="67" t="str">
        <f aca="false">IF(AND($J242="E-commerce",IFERROR($T242/$R242,0)&gt;Parametros!$C$14),"Alerta","OK")</f>
        <v>OK</v>
      </c>
      <c r="Y242" s="61" t="str">
        <f aca="false">IF($R242&gt;=Parametros!$C$12,"Alto",IF($R242&lt;Parametros!$C$13,"Bajo","Medio"))</f>
        <v>Alto</v>
      </c>
      <c r="Z242" s="61" t="n">
        <v>759</v>
      </c>
      <c r="AA242" s="61" t="str">
        <f aca="false">IF(MATCH($A242,Datos_Origen!$A$2:$A$2459,0)=$Z242,"OK","REVISAR")</f>
        <v>OK</v>
      </c>
      <c r="AB242" s="61" t="str">
        <f aca="false">INDEX(Datos_Origen!$B$2:$B$2459,$Z242)</f>
        <v>2024-03-14</v>
      </c>
      <c r="AC242" s="61" t="n">
        <f aca="false">INDEX(Datos_Origen!$H$2:$H$2459,$Z242)</f>
        <v>10</v>
      </c>
      <c r="AD242" s="61" t="str">
        <f aca="false">INDEX(Datos_Origen!$D$2:$D$2459,$Z242)&amp;""</f>
        <v>Rosario</v>
      </c>
    </row>
    <row r="243" customFormat="false" ht="15" hidden="false" customHeight="false" outlineLevel="0" collapsed="false">
      <c r="A243" s="61" t="n">
        <f aca="false">INDEX(Datos_Origen!$A$2:$A$2459,$Z243)</f>
        <v>242</v>
      </c>
      <c r="B243" s="62" t="n">
        <f aca="false">IF(ISNUMBER($AB243),$AB243,IF(MID($AB243,5,1)="-",DATE(VALUE(LEFT($AB243,4)),VALUE(MID($AB243,6,2)),VALUE(RIGHT($AB243,2))),DATE(VALUE(RIGHT($AB243,4)),VALUE(MID($AB243,4,2)),VALUE(LEFT($AB243,2)))))</f>
        <v>45372</v>
      </c>
      <c r="C243" s="61" t="n">
        <f aca="false">YEAR($B243)</f>
        <v>2024</v>
      </c>
      <c r="D243" s="61" t="str">
        <f aca="false">"Q"&amp;ROUNDUP(MONTH($B243)/3,0)</f>
        <v>Q1</v>
      </c>
      <c r="E243" s="61" t="n">
        <f aca="false">MONTH($B243)</f>
        <v>3</v>
      </c>
      <c r="F243" s="61" t="str">
        <f aca="false">INDEX(Parametros!$I$5:$I$16,$E243)</f>
        <v>Mar</v>
      </c>
      <c r="G243" s="61" t="str">
        <f aca="false">TEXT($C243,"0000")&amp;"-"&amp;TEXT($E243,"00")</f>
        <v>2024-03</v>
      </c>
      <c r="H243" s="61" t="str">
        <f aca="false">INDEX(Parametros!$C$71:$C$91,MATCH(TRIM(INDEX(Datos_Origen!$C$2:$C$2459,$Z243)),Parametros!$B$71:$B$91,0))</f>
        <v>Litoral</v>
      </c>
      <c r="I243" s="61" t="str">
        <f aca="false">IF(TRIM($AD243)="",INDEX(Parametros!$I$20:$I$24,MATCH($H243,Parametros!$H$20:$H$24,0)),TRIM($AD243))</f>
        <v>Rosario</v>
      </c>
      <c r="J243" s="61" t="str">
        <f aca="false">INDEX(Parametros!$C$95:$C$106,MATCH(TRIM(INDEX(Datos_Origen!$E$2:$E$2459,$Z243)),Parametros!$B$95:$B$106,0))</f>
        <v>E-commerce</v>
      </c>
      <c r="K243" s="61" t="str">
        <f aca="false">INDEX(Parametros!$C$48:$C$67,MATCH(TRIM(INDEX(Datos_Origen!$F$2:$F$2459,$Z243)),Parametros!$B$48:$B$67,0))</f>
        <v>Computacion</v>
      </c>
      <c r="L243" s="61" t="str">
        <f aca="false">$K243&amp;" "&amp;$C243</f>
        <v>Computacion 2024</v>
      </c>
      <c r="M243" s="61" t="str">
        <f aca="false">TRIM(INDEX(Datos_Origen!$G$2:$G$2459,$Z243))</f>
        <v>Laptop Pro 15</v>
      </c>
      <c r="N243" s="61" t="str">
        <f aca="false">$M243&amp;" "&amp;$C243</f>
        <v>Laptop Pro 15 2024</v>
      </c>
      <c r="O243" s="63" t="n">
        <f aca="false">IF(ISTEXT($AC243),VALUE($AC243),$AC243)</f>
        <v>4</v>
      </c>
      <c r="P243" s="64" t="n">
        <f aca="false">INDEX(Datos_Origen!$I$2:$I$2459,$Z243)</f>
        <v>1176</v>
      </c>
      <c r="Q243" s="64" t="n">
        <f aca="false">INDEX(Datos_Origen!$J$2:$J$2459,$Z243)</f>
        <v>744</v>
      </c>
      <c r="R243" s="65" t="n">
        <f aca="false">ROUND($O243*$P243,2)</f>
        <v>4704</v>
      </c>
      <c r="S243" s="65" t="n">
        <f aca="false">ROUND($O243*$Q243,2)</f>
        <v>2976</v>
      </c>
      <c r="T243" s="65" t="n">
        <f aca="false">ROUND($R243*SUMIFS(Parametros!$E$28:$E$43,Parametros!$B$28:$B$43,$J243,Parametros!$C$28:$C$43,$C243,Parametros!$D$28:$D$43,$D243),2)</f>
        <v>197.57</v>
      </c>
      <c r="U243" s="65" t="n">
        <f aca="false">$R243-$S243-$T243</f>
        <v>1530.43</v>
      </c>
      <c r="V243" s="66" t="n">
        <f aca="false">IFERROR($U243/$R243,0)</f>
        <v>0.325346513605442</v>
      </c>
      <c r="W243" s="67" t="str">
        <f aca="false">IF(AND($V243&gt;=Parametros!$C$8,$R243&gt;=Parametros!$C$12),"Alta rentabilidad",IF(OR($V243&lt;Parametros!$C$11,$R243&lt;Parametros!$C$13),"Revisar","Estandar"))</f>
        <v>Estandar</v>
      </c>
      <c r="X243" s="67" t="str">
        <f aca="false">IF(AND($J243="E-commerce",IFERROR($T243/$R243,0)&gt;Parametros!$C$14),"Alerta","OK")</f>
        <v>OK</v>
      </c>
      <c r="Y243" s="61" t="str">
        <f aca="false">IF($R243&gt;=Parametros!$C$12,"Alto",IF($R243&lt;Parametros!$C$13,"Bajo","Medio"))</f>
        <v>Alto</v>
      </c>
      <c r="Z243" s="61" t="n">
        <v>1820</v>
      </c>
      <c r="AA243" s="61" t="str">
        <f aca="false">IF(MATCH($A243,Datos_Origen!$A$2:$A$2459,0)=$Z243,"OK","REVISAR")</f>
        <v>OK</v>
      </c>
      <c r="AB243" s="62" t="n">
        <f aca="false">INDEX(Datos_Origen!$B$2:$B$2459,$Z243)</f>
        <v>45372</v>
      </c>
      <c r="AC243" s="61" t="n">
        <f aca="false">INDEX(Datos_Origen!$H$2:$H$2459,$Z243)</f>
        <v>4</v>
      </c>
      <c r="AD243" s="61" t="str">
        <f aca="false">INDEX(Datos_Origen!$D$2:$D$2459,$Z243)&amp;""</f>
        <v>Rosario</v>
      </c>
    </row>
    <row r="244" customFormat="false" ht="15" hidden="false" customHeight="false" outlineLevel="0" collapsed="false">
      <c r="A244" s="61" t="n">
        <f aca="false">INDEX(Datos_Origen!$A$2:$A$2459,$Z244)</f>
        <v>243</v>
      </c>
      <c r="B244" s="62" t="n">
        <f aca="false">IF(ISNUMBER($AB244),$AB244,IF(MID($AB244,5,1)="-",DATE(VALUE(LEFT($AB244,4)),VALUE(MID($AB244,6,2)),VALUE(RIGHT($AB244,2))),DATE(VALUE(RIGHT($AB244,4)),VALUE(MID($AB244,4,2)),VALUE(LEFT($AB244,2)))))</f>
        <v>45352</v>
      </c>
      <c r="C244" s="61" t="n">
        <f aca="false">YEAR($B244)</f>
        <v>2024</v>
      </c>
      <c r="D244" s="61" t="str">
        <f aca="false">"Q"&amp;ROUNDUP(MONTH($B244)/3,0)</f>
        <v>Q1</v>
      </c>
      <c r="E244" s="61" t="n">
        <f aca="false">MONTH($B244)</f>
        <v>3</v>
      </c>
      <c r="F244" s="61" t="str">
        <f aca="false">INDEX(Parametros!$I$5:$I$16,$E244)</f>
        <v>Mar</v>
      </c>
      <c r="G244" s="61" t="str">
        <f aca="false">TEXT($C244,"0000")&amp;"-"&amp;TEXT($E244,"00")</f>
        <v>2024-03</v>
      </c>
      <c r="H244" s="61" t="str">
        <f aca="false">INDEX(Parametros!$C$71:$C$91,MATCH(TRIM(INDEX(Datos_Origen!$C$2:$C$2459,$Z244)),Parametros!$B$71:$B$91,0))</f>
        <v>Litoral</v>
      </c>
      <c r="I244" s="61" t="str">
        <f aca="false">IF(TRIM($AD244)="",INDEX(Parametros!$I$20:$I$24,MATCH($H244,Parametros!$H$20:$H$24,0)),TRIM($AD244))</f>
        <v>Rosario</v>
      </c>
      <c r="J244" s="61" t="str">
        <f aca="false">INDEX(Parametros!$C$95:$C$106,MATCH(TRIM(INDEX(Datos_Origen!$E$2:$E$2459,$Z244)),Parametros!$B$95:$B$106,0))</f>
        <v>Tienda fisica</v>
      </c>
      <c r="K244" s="61" t="str">
        <f aca="false">INDEX(Parametros!$C$48:$C$67,MATCH(TRIM(INDEX(Datos_Origen!$F$2:$F$2459,$Z244)),Parametros!$B$48:$B$67,0))</f>
        <v>Computacion</v>
      </c>
      <c r="L244" s="61" t="str">
        <f aca="false">$K244&amp;" "&amp;$C244</f>
        <v>Computacion 2024</v>
      </c>
      <c r="M244" s="61" t="str">
        <f aca="false">TRIM(INDEX(Datos_Origen!$G$2:$G$2459,$Z244))</f>
        <v>Monitor 4K 27</v>
      </c>
      <c r="N244" s="61" t="str">
        <f aca="false">$M244&amp;" "&amp;$C244</f>
        <v>Monitor 4K 27 2024</v>
      </c>
      <c r="O244" s="63" t="n">
        <f aca="false">IF(ISTEXT($AC244),VALUE($AC244),$AC244)</f>
        <v>9</v>
      </c>
      <c r="P244" s="64" t="n">
        <f aca="false">INDEX(Datos_Origen!$I$2:$I$2459,$Z244)</f>
        <v>441</v>
      </c>
      <c r="Q244" s="64" t="n">
        <f aca="false">INDEX(Datos_Origen!$J$2:$J$2459,$Z244)</f>
        <v>272.25</v>
      </c>
      <c r="R244" s="65" t="n">
        <f aca="false">ROUND($O244*$P244,2)</f>
        <v>3969</v>
      </c>
      <c r="S244" s="65" t="n">
        <f aca="false">ROUND($O244*$Q244,2)</f>
        <v>2450.25</v>
      </c>
      <c r="T244" s="65" t="n">
        <f aca="false">ROUND($R244*SUMIFS(Parametros!$E$28:$E$43,Parametros!$B$28:$B$43,$J244,Parametros!$C$28:$C$43,$C244,Parametros!$D$28:$D$43,$D244),2)</f>
        <v>47.63</v>
      </c>
      <c r="U244" s="65" t="n">
        <f aca="false">$R244-$S244-$T244</f>
        <v>1471.12</v>
      </c>
      <c r="V244" s="66" t="n">
        <f aca="false">IFERROR($U244/$R244,0)</f>
        <v>0.370652557319224</v>
      </c>
      <c r="W244" s="67" t="str">
        <f aca="false">IF(AND($V244&gt;=Parametros!$C$8,$R244&gt;=Parametros!$C$12),"Alta rentabilidad",IF(OR($V244&lt;Parametros!$C$11,$R244&lt;Parametros!$C$13),"Revisar","Estandar"))</f>
        <v>Alta rentabilidad</v>
      </c>
      <c r="X244" s="67" t="str">
        <f aca="false">IF(AND($J244="E-commerce",IFERROR($T244/$R244,0)&gt;Parametros!$C$14),"Alerta","OK")</f>
        <v>OK</v>
      </c>
      <c r="Y244" s="61" t="str">
        <f aca="false">IF($R244&gt;=Parametros!$C$12,"Alto",IF($R244&lt;Parametros!$C$13,"Bajo","Medio"))</f>
        <v>Alto</v>
      </c>
      <c r="Z244" s="61" t="n">
        <v>1171</v>
      </c>
      <c r="AA244" s="61" t="str">
        <f aca="false">IF(MATCH($A244,Datos_Origen!$A$2:$A$2459,0)=$Z244,"OK","REVISAR")</f>
        <v>OK</v>
      </c>
      <c r="AB244" s="61" t="str">
        <f aca="false">INDEX(Datos_Origen!$B$2:$B$2459,$Z244)</f>
        <v>01/03/2024</v>
      </c>
      <c r="AC244" s="61" t="n">
        <f aca="false">INDEX(Datos_Origen!$H$2:$H$2459,$Z244)</f>
        <v>9</v>
      </c>
      <c r="AD244" s="61" t="str">
        <f aca="false">INDEX(Datos_Origen!$D$2:$D$2459,$Z244)&amp;""</f>
        <v>Rosario</v>
      </c>
    </row>
    <row r="245" customFormat="false" ht="15" hidden="false" customHeight="false" outlineLevel="0" collapsed="false">
      <c r="A245" s="61" t="n">
        <f aca="false">INDEX(Datos_Origen!$A$2:$A$2459,$Z245)</f>
        <v>244</v>
      </c>
      <c r="B245" s="62" t="n">
        <f aca="false">IF(ISNUMBER($AB245),$AB245,IF(MID($AB245,5,1)="-",DATE(VALUE(LEFT($AB245,4)),VALUE(MID($AB245,6,2)),VALUE(RIGHT($AB245,2))),DATE(VALUE(RIGHT($AB245,4)),VALUE(MID($AB245,4,2)),VALUE(LEFT($AB245,2)))))</f>
        <v>45359</v>
      </c>
      <c r="C245" s="61" t="n">
        <f aca="false">YEAR($B245)</f>
        <v>2024</v>
      </c>
      <c r="D245" s="61" t="str">
        <f aca="false">"Q"&amp;ROUNDUP(MONTH($B245)/3,0)</f>
        <v>Q1</v>
      </c>
      <c r="E245" s="61" t="n">
        <f aca="false">MONTH($B245)</f>
        <v>3</v>
      </c>
      <c r="F245" s="61" t="str">
        <f aca="false">INDEX(Parametros!$I$5:$I$16,$E245)</f>
        <v>Mar</v>
      </c>
      <c r="G245" s="61" t="str">
        <f aca="false">TEXT($C245,"0000")&amp;"-"&amp;TEXT($E245,"00")</f>
        <v>2024-03</v>
      </c>
      <c r="H245" s="61" t="str">
        <f aca="false">INDEX(Parametros!$C$71:$C$91,MATCH(TRIM(INDEX(Datos_Origen!$C$2:$C$2459,$Z245)),Parametros!$B$71:$B$91,0))</f>
        <v>Litoral</v>
      </c>
      <c r="I245" s="61" t="str">
        <f aca="false">IF(TRIM($AD245)="",INDEX(Parametros!$I$20:$I$24,MATCH($H245,Parametros!$H$20:$H$24,0)),TRIM($AD245))</f>
        <v>Rosario</v>
      </c>
      <c r="J245" s="61" t="str">
        <f aca="false">INDEX(Parametros!$C$95:$C$106,MATCH(TRIM(INDEX(Datos_Origen!$E$2:$E$2459,$Z245)),Parametros!$B$95:$B$106,0))</f>
        <v>E-commerce</v>
      </c>
      <c r="K245" s="61" t="str">
        <f aca="false">INDEX(Parametros!$C$48:$C$67,MATCH(TRIM(INDEX(Datos_Origen!$F$2:$F$2459,$Z245)),Parametros!$B$48:$B$67,0))</f>
        <v>Computacion</v>
      </c>
      <c r="L245" s="61" t="str">
        <f aca="false">$K245&amp;" "&amp;$C245</f>
        <v>Computacion 2024</v>
      </c>
      <c r="M245" s="61" t="str">
        <f aca="false">TRIM(INDEX(Datos_Origen!$G$2:$G$2459,$Z245))</f>
        <v>Monitor 4K 27</v>
      </c>
      <c r="N245" s="61" t="str">
        <f aca="false">$M245&amp;" "&amp;$C245</f>
        <v>Monitor 4K 27 2024</v>
      </c>
      <c r="O245" s="63" t="n">
        <f aca="false">IF(ISTEXT($AC245),VALUE($AC245),$AC245)</f>
        <v>3</v>
      </c>
      <c r="P245" s="64" t="n">
        <f aca="false">INDEX(Datos_Origen!$I$2:$I$2459,$Z245)</f>
        <v>441</v>
      </c>
      <c r="Q245" s="64" t="n">
        <f aca="false">INDEX(Datos_Origen!$J$2:$J$2459,$Z245)</f>
        <v>272.25</v>
      </c>
      <c r="R245" s="65" t="n">
        <f aca="false">ROUND($O245*$P245,2)</f>
        <v>1323</v>
      </c>
      <c r="S245" s="65" t="n">
        <f aca="false">ROUND($O245*$Q245,2)</f>
        <v>816.75</v>
      </c>
      <c r="T245" s="65" t="n">
        <f aca="false">ROUND($R245*SUMIFS(Parametros!$E$28:$E$43,Parametros!$B$28:$B$43,$J245,Parametros!$C$28:$C$43,$C245,Parametros!$D$28:$D$43,$D245),2)</f>
        <v>55.57</v>
      </c>
      <c r="U245" s="65" t="n">
        <f aca="false">$R245-$S245-$T245</f>
        <v>450.68</v>
      </c>
      <c r="V245" s="66" t="n">
        <f aca="false">IFERROR($U245/$R245,0)</f>
        <v>0.340650037792895</v>
      </c>
      <c r="W245" s="67" t="str">
        <f aca="false">IF(AND($V245&gt;=Parametros!$C$8,$R245&gt;=Parametros!$C$12),"Alta rentabilidad",IF(OR($V245&lt;Parametros!$C$11,$R245&lt;Parametros!$C$13),"Revisar","Estandar"))</f>
        <v>Estandar</v>
      </c>
      <c r="X245" s="67" t="str">
        <f aca="false">IF(AND($J245="E-commerce",IFERROR($T245/$R245,0)&gt;Parametros!$C$14),"Alerta","OK")</f>
        <v>OK</v>
      </c>
      <c r="Y245" s="61" t="str">
        <f aca="false">IF($R245&gt;=Parametros!$C$12,"Alto",IF($R245&lt;Parametros!$C$13,"Bajo","Medio"))</f>
        <v>Medio</v>
      </c>
      <c r="Z245" s="61" t="n">
        <v>740</v>
      </c>
      <c r="AA245" s="61" t="str">
        <f aca="false">IF(MATCH($A245,Datos_Origen!$A$2:$A$2459,0)=$Z245,"OK","REVISAR")</f>
        <v>OK</v>
      </c>
      <c r="AB245" s="62" t="n">
        <f aca="false">INDEX(Datos_Origen!$B$2:$B$2459,$Z245)</f>
        <v>45359</v>
      </c>
      <c r="AC245" s="61" t="n">
        <f aca="false">INDEX(Datos_Origen!$H$2:$H$2459,$Z245)</f>
        <v>3</v>
      </c>
      <c r="AD245" s="61" t="str">
        <f aca="false">INDEX(Datos_Origen!$D$2:$D$2459,$Z245)&amp;""</f>
        <v>Rosario</v>
      </c>
    </row>
    <row r="246" customFormat="false" ht="15" hidden="false" customHeight="false" outlineLevel="0" collapsed="false">
      <c r="A246" s="61" t="n">
        <f aca="false">INDEX(Datos_Origen!$A$2:$A$2459,$Z246)</f>
        <v>245</v>
      </c>
      <c r="B246" s="62" t="n">
        <f aca="false">IF(ISNUMBER($AB246),$AB246,IF(MID($AB246,5,1)="-",DATE(VALUE(LEFT($AB246,4)),VALUE(MID($AB246,6,2)),VALUE(RIGHT($AB246,2))),DATE(VALUE(RIGHT($AB246,4)),VALUE(MID($AB246,4,2)),VALUE(LEFT($AB246,2)))))</f>
        <v>45366</v>
      </c>
      <c r="C246" s="61" t="n">
        <f aca="false">YEAR($B246)</f>
        <v>2024</v>
      </c>
      <c r="D246" s="61" t="str">
        <f aca="false">"Q"&amp;ROUNDUP(MONTH($B246)/3,0)</f>
        <v>Q1</v>
      </c>
      <c r="E246" s="61" t="n">
        <f aca="false">MONTH($B246)</f>
        <v>3</v>
      </c>
      <c r="F246" s="61" t="str">
        <f aca="false">INDEX(Parametros!$I$5:$I$16,$E246)</f>
        <v>Mar</v>
      </c>
      <c r="G246" s="61" t="str">
        <f aca="false">TEXT($C246,"0000")&amp;"-"&amp;TEXT($E246,"00")</f>
        <v>2024-03</v>
      </c>
      <c r="H246" s="61" t="str">
        <f aca="false">INDEX(Parametros!$C$71:$C$91,MATCH(TRIM(INDEX(Datos_Origen!$C$2:$C$2459,$Z246)),Parametros!$B$71:$B$91,0))</f>
        <v>Litoral</v>
      </c>
      <c r="I246" s="61" t="str">
        <f aca="false">IF(TRIM($AD246)="",INDEX(Parametros!$I$20:$I$24,MATCH($H246,Parametros!$H$20:$H$24,0)),TRIM($AD246))</f>
        <v>Rosario</v>
      </c>
      <c r="J246" s="61" t="str">
        <f aca="false">INDEX(Parametros!$C$95:$C$106,MATCH(TRIM(INDEX(Datos_Origen!$E$2:$E$2459,$Z246)),Parametros!$B$95:$B$106,0))</f>
        <v>Tienda fisica</v>
      </c>
      <c r="K246" s="61" t="str">
        <f aca="false">INDEX(Parametros!$C$48:$C$67,MATCH(TRIM(INDEX(Datos_Origen!$F$2:$F$2459,$Z246)),Parametros!$B$48:$B$67,0))</f>
        <v>Computacion</v>
      </c>
      <c r="L246" s="61" t="str">
        <f aca="false">$K246&amp;" "&amp;$C246</f>
        <v>Computacion 2024</v>
      </c>
      <c r="M246" s="61" t="str">
        <f aca="false">TRIM(INDEX(Datos_Origen!$G$2:$G$2459,$Z246))</f>
        <v>PC Gamer Ryzen</v>
      </c>
      <c r="N246" s="61" t="str">
        <f aca="false">$M246&amp;" "&amp;$C246</f>
        <v>PC Gamer Ryzen 2024</v>
      </c>
      <c r="O246" s="63" t="n">
        <f aca="false">IF(ISTEXT($AC246),VALUE($AC246),$AC246)</f>
        <v>9</v>
      </c>
      <c r="P246" s="64" t="n">
        <f aca="false">INDEX(Datos_Origen!$I$2:$I$2459,$Z246)</f>
        <v>1617</v>
      </c>
      <c r="Q246" s="64" t="n">
        <f aca="false">INDEX(Datos_Origen!$J$2:$J$2459,$Z246)</f>
        <v>1122</v>
      </c>
      <c r="R246" s="65" t="n">
        <f aca="false">ROUND($O246*$P246,2)</f>
        <v>14553</v>
      </c>
      <c r="S246" s="65" t="n">
        <f aca="false">ROUND($O246*$Q246,2)</f>
        <v>10098</v>
      </c>
      <c r="T246" s="65" t="n">
        <f aca="false">ROUND($R246*SUMIFS(Parametros!$E$28:$E$43,Parametros!$B$28:$B$43,$J246,Parametros!$C$28:$C$43,$C246,Parametros!$D$28:$D$43,$D246),2)</f>
        <v>174.64</v>
      </c>
      <c r="U246" s="65" t="n">
        <f aca="false">$R246-$S246-$T246</f>
        <v>4280.36</v>
      </c>
      <c r="V246" s="66" t="n">
        <f aca="false">IFERROR($U246/$R246,0)</f>
        <v>0.294122174122174</v>
      </c>
      <c r="W246" s="67" t="str">
        <f aca="false">IF(AND($V246&gt;=Parametros!$C$8,$R246&gt;=Parametros!$C$12),"Alta rentabilidad",IF(OR($V246&lt;Parametros!$C$11,$R246&lt;Parametros!$C$13),"Revisar","Estandar"))</f>
        <v>Estandar</v>
      </c>
      <c r="X246" s="67" t="str">
        <f aca="false">IF(AND($J246="E-commerce",IFERROR($T246/$R246,0)&gt;Parametros!$C$14),"Alerta","OK")</f>
        <v>OK</v>
      </c>
      <c r="Y246" s="61" t="str">
        <f aca="false">IF($R246&gt;=Parametros!$C$12,"Alto",IF($R246&lt;Parametros!$C$13,"Bajo","Medio"))</f>
        <v>Alto</v>
      </c>
      <c r="Z246" s="61" t="n">
        <v>798</v>
      </c>
      <c r="AA246" s="61" t="str">
        <f aca="false">IF(MATCH($A246,Datos_Origen!$A$2:$A$2459,0)=$Z246,"OK","REVISAR")</f>
        <v>OK</v>
      </c>
      <c r="AB246" s="62" t="n">
        <f aca="false">INDEX(Datos_Origen!$B$2:$B$2459,$Z246)</f>
        <v>45366</v>
      </c>
      <c r="AC246" s="61" t="n">
        <f aca="false">INDEX(Datos_Origen!$H$2:$H$2459,$Z246)</f>
        <v>9</v>
      </c>
      <c r="AD246" s="61" t="str">
        <f aca="false">INDEX(Datos_Origen!$D$2:$D$2459,$Z246)&amp;""</f>
        <v>Rosario</v>
      </c>
    </row>
    <row r="247" customFormat="false" ht="15" hidden="false" customHeight="false" outlineLevel="0" collapsed="false">
      <c r="A247" s="61" t="n">
        <f aca="false">INDEX(Datos_Origen!$A$2:$A$2459,$Z247)</f>
        <v>246</v>
      </c>
      <c r="B247" s="62" t="n">
        <f aca="false">IF(ISNUMBER($AB247),$AB247,IF(MID($AB247,5,1)="-",DATE(VALUE(LEFT($AB247,4)),VALUE(MID($AB247,6,2)),VALUE(RIGHT($AB247,2))),DATE(VALUE(RIGHT($AB247,4)),VALUE(MID($AB247,4,2)),VALUE(LEFT($AB247,2)))))</f>
        <v>45373</v>
      </c>
      <c r="C247" s="61" t="n">
        <f aca="false">YEAR($B247)</f>
        <v>2024</v>
      </c>
      <c r="D247" s="61" t="str">
        <f aca="false">"Q"&amp;ROUNDUP(MONTH($B247)/3,0)</f>
        <v>Q1</v>
      </c>
      <c r="E247" s="61" t="n">
        <f aca="false">MONTH($B247)</f>
        <v>3</v>
      </c>
      <c r="F247" s="61" t="str">
        <f aca="false">INDEX(Parametros!$I$5:$I$16,$E247)</f>
        <v>Mar</v>
      </c>
      <c r="G247" s="61" t="str">
        <f aca="false">TEXT($C247,"0000")&amp;"-"&amp;TEXT($E247,"00")</f>
        <v>2024-03</v>
      </c>
      <c r="H247" s="61" t="str">
        <f aca="false">INDEX(Parametros!$C$71:$C$91,MATCH(TRIM(INDEX(Datos_Origen!$C$2:$C$2459,$Z247)),Parametros!$B$71:$B$91,0))</f>
        <v>Litoral</v>
      </c>
      <c r="I247" s="61" t="str">
        <f aca="false">IF(TRIM($AD247)="",INDEX(Parametros!$I$20:$I$24,MATCH($H247,Parametros!$H$20:$H$24,0)),TRIM($AD247))</f>
        <v>Rosario</v>
      </c>
      <c r="J247" s="61" t="str">
        <f aca="false">INDEX(Parametros!$C$95:$C$106,MATCH(TRIM(INDEX(Datos_Origen!$E$2:$E$2459,$Z247)),Parametros!$B$95:$B$106,0))</f>
        <v>E-commerce</v>
      </c>
      <c r="K247" s="61" t="str">
        <f aca="false">INDEX(Parametros!$C$48:$C$67,MATCH(TRIM(INDEX(Datos_Origen!$F$2:$F$2459,$Z247)),Parametros!$B$48:$B$67,0))</f>
        <v>Computacion</v>
      </c>
      <c r="L247" s="61" t="str">
        <f aca="false">$K247&amp;" "&amp;$C247</f>
        <v>Computacion 2024</v>
      </c>
      <c r="M247" s="61" t="str">
        <f aca="false">TRIM(INDEX(Datos_Origen!$G$2:$G$2459,$Z247))</f>
        <v>PC Gamer Ryzen</v>
      </c>
      <c r="N247" s="61" t="str">
        <f aca="false">$M247&amp;" "&amp;$C247</f>
        <v>PC Gamer Ryzen 2024</v>
      </c>
      <c r="O247" s="63" t="n">
        <f aca="false">IF(ISTEXT($AC247),VALUE($AC247),$AC247)</f>
        <v>3</v>
      </c>
      <c r="P247" s="64" t="n">
        <f aca="false">INDEX(Datos_Origen!$I$2:$I$2459,$Z247)</f>
        <v>1617</v>
      </c>
      <c r="Q247" s="64" t="n">
        <f aca="false">INDEX(Datos_Origen!$J$2:$J$2459,$Z247)</f>
        <v>1122</v>
      </c>
      <c r="R247" s="65" t="n">
        <f aca="false">ROUND($O247*$P247,2)</f>
        <v>4851</v>
      </c>
      <c r="S247" s="65" t="n">
        <f aca="false">ROUND($O247*$Q247,2)</f>
        <v>3366</v>
      </c>
      <c r="T247" s="65" t="n">
        <f aca="false">ROUND($R247*SUMIFS(Parametros!$E$28:$E$43,Parametros!$B$28:$B$43,$J247,Parametros!$C$28:$C$43,$C247,Parametros!$D$28:$D$43,$D247),2)</f>
        <v>203.74</v>
      </c>
      <c r="U247" s="65" t="n">
        <f aca="false">$R247-$S247-$T247</f>
        <v>1281.26</v>
      </c>
      <c r="V247" s="66" t="n">
        <f aca="false">IFERROR($U247/$R247,0)</f>
        <v>0.264122861265718</v>
      </c>
      <c r="W247" s="67" t="str">
        <f aca="false">IF(AND($V247&gt;=Parametros!$C$8,$R247&gt;=Parametros!$C$12),"Alta rentabilidad",IF(OR($V247&lt;Parametros!$C$11,$R247&lt;Parametros!$C$13),"Revisar","Estandar"))</f>
        <v>Revisar</v>
      </c>
      <c r="X247" s="67" t="str">
        <f aca="false">IF(AND($J247="E-commerce",IFERROR($T247/$R247,0)&gt;Parametros!$C$14),"Alerta","OK")</f>
        <v>OK</v>
      </c>
      <c r="Y247" s="61" t="str">
        <f aca="false">IF($R247&gt;=Parametros!$C$12,"Alto",IF($R247&lt;Parametros!$C$13,"Bajo","Medio"))</f>
        <v>Alto</v>
      </c>
      <c r="Z247" s="61" t="n">
        <v>1294</v>
      </c>
      <c r="AA247" s="61" t="str">
        <f aca="false">IF(MATCH($A247,Datos_Origen!$A$2:$A$2459,0)=$Z247,"OK","REVISAR")</f>
        <v>OK</v>
      </c>
      <c r="AB247" s="62" t="n">
        <f aca="false">INDEX(Datos_Origen!$B$2:$B$2459,$Z247)</f>
        <v>45373</v>
      </c>
      <c r="AC247" s="61" t="n">
        <f aca="false">INDEX(Datos_Origen!$H$2:$H$2459,$Z247)</f>
        <v>3</v>
      </c>
      <c r="AD247" s="61" t="str">
        <f aca="false">INDEX(Datos_Origen!$D$2:$D$2459,$Z247)&amp;""</f>
        <v>Rosario</v>
      </c>
    </row>
    <row r="248" customFormat="false" ht="15" hidden="false" customHeight="false" outlineLevel="0" collapsed="false">
      <c r="A248" s="61" t="n">
        <f aca="false">INDEX(Datos_Origen!$A$2:$A$2459,$Z248)</f>
        <v>247</v>
      </c>
      <c r="B248" s="62" t="n">
        <f aca="false">IF(ISNUMBER($AB248),$AB248,IF(MID($AB248,5,1)="-",DATE(VALUE(LEFT($AB248,4)),VALUE(MID($AB248,6,2)),VALUE(RIGHT($AB248,2))),DATE(VALUE(RIGHT($AB248,4)),VALUE(MID($AB248,4,2)),VALUE(LEFT($AB248,2)))))</f>
        <v>45353</v>
      </c>
      <c r="C248" s="61" t="n">
        <f aca="false">YEAR($B248)</f>
        <v>2024</v>
      </c>
      <c r="D248" s="61" t="str">
        <f aca="false">"Q"&amp;ROUNDUP(MONTH($B248)/3,0)</f>
        <v>Q1</v>
      </c>
      <c r="E248" s="61" t="n">
        <f aca="false">MONTH($B248)</f>
        <v>3</v>
      </c>
      <c r="F248" s="61" t="str">
        <f aca="false">INDEX(Parametros!$I$5:$I$16,$E248)</f>
        <v>Mar</v>
      </c>
      <c r="G248" s="61" t="str">
        <f aca="false">TEXT($C248,"0000")&amp;"-"&amp;TEXT($E248,"00")</f>
        <v>2024-03</v>
      </c>
      <c r="H248" s="61" t="str">
        <f aca="false">INDEX(Parametros!$C$71:$C$91,MATCH(TRIM(INDEX(Datos_Origen!$C$2:$C$2459,$Z248)),Parametros!$B$71:$B$91,0))</f>
        <v>Litoral</v>
      </c>
      <c r="I248" s="61" t="str">
        <f aca="false">IF(TRIM($AD248)="",INDEX(Parametros!$I$20:$I$24,MATCH($H248,Parametros!$H$20:$H$24,0)),TRIM($AD248))</f>
        <v>Rosario</v>
      </c>
      <c r="J248" s="61" t="str">
        <f aca="false">INDEX(Parametros!$C$95:$C$106,MATCH(TRIM(INDEX(Datos_Origen!$E$2:$E$2459,$Z248)),Parametros!$B$95:$B$106,0))</f>
        <v>Tienda fisica</v>
      </c>
      <c r="K248" s="61" t="str">
        <f aca="false">INDEX(Parametros!$C$48:$C$67,MATCH(TRIM(INDEX(Datos_Origen!$F$2:$F$2459,$Z248)),Parametros!$B$48:$B$67,0))</f>
        <v>Accesorios</v>
      </c>
      <c r="L248" s="61" t="str">
        <f aca="false">$K248&amp;" "&amp;$C248</f>
        <v>Accesorios 2024</v>
      </c>
      <c r="M248" s="61" t="str">
        <f aca="false">TRIM(INDEX(Datos_Origen!$G$2:$G$2459,$Z248))</f>
        <v>Mouse Inalambrico</v>
      </c>
      <c r="N248" s="61" t="str">
        <f aca="false">$M248&amp;" "&amp;$C248</f>
        <v>Mouse Inalambrico 2024</v>
      </c>
      <c r="O248" s="63" t="n">
        <f aca="false">IF(ISTEXT($AC248),VALUE($AC248),$AC248)</f>
        <v>40</v>
      </c>
      <c r="P248" s="64" t="n">
        <f aca="false">INDEX(Datos_Origen!$I$2:$I$2459,$Z248)</f>
        <v>27.44</v>
      </c>
      <c r="Q248" s="64" t="n">
        <f aca="false">INDEX(Datos_Origen!$J$2:$J$2459,$Z248)</f>
        <v>13.44</v>
      </c>
      <c r="R248" s="65" t="n">
        <f aca="false">ROUND($O248*$P248,2)</f>
        <v>1097.6</v>
      </c>
      <c r="S248" s="65" t="n">
        <f aca="false">ROUND($O248*$Q248,2)</f>
        <v>537.6</v>
      </c>
      <c r="T248" s="65" t="n">
        <f aca="false">ROUND($R248*SUMIFS(Parametros!$E$28:$E$43,Parametros!$B$28:$B$43,$J248,Parametros!$C$28:$C$43,$C248,Parametros!$D$28:$D$43,$D248),2)</f>
        <v>13.17</v>
      </c>
      <c r="U248" s="65" t="n">
        <f aca="false">$R248-$S248-$T248</f>
        <v>546.83</v>
      </c>
      <c r="V248" s="66" t="n">
        <f aca="false">IFERROR($U248/$R248,0)</f>
        <v>0.498205174927114</v>
      </c>
      <c r="W248" s="67" t="str">
        <f aca="false">IF(AND($V248&gt;=Parametros!$C$8,$R248&gt;=Parametros!$C$12),"Alta rentabilidad",IF(OR($V248&lt;Parametros!$C$11,$R248&lt;Parametros!$C$13),"Revisar","Estandar"))</f>
        <v>Estandar</v>
      </c>
      <c r="X248" s="67" t="str">
        <f aca="false">IF(AND($J248="E-commerce",IFERROR($T248/$R248,0)&gt;Parametros!$C$14),"Alerta","OK")</f>
        <v>OK</v>
      </c>
      <c r="Y248" s="61" t="str">
        <f aca="false">IF($R248&gt;=Parametros!$C$12,"Alto",IF($R248&lt;Parametros!$C$13,"Bajo","Medio"))</f>
        <v>Medio</v>
      </c>
      <c r="Z248" s="61" t="n">
        <v>863</v>
      </c>
      <c r="AA248" s="61" t="str">
        <f aca="false">IF(MATCH($A248,Datos_Origen!$A$2:$A$2459,0)=$Z248,"OK","REVISAR")</f>
        <v>OK</v>
      </c>
      <c r="AB248" s="61" t="str">
        <f aca="false">INDEX(Datos_Origen!$B$2:$B$2459,$Z248)</f>
        <v>02/03/2024</v>
      </c>
      <c r="AC248" s="61" t="n">
        <f aca="false">INDEX(Datos_Origen!$H$2:$H$2459,$Z248)</f>
        <v>40</v>
      </c>
      <c r="AD248" s="61" t="str">
        <f aca="false">INDEX(Datos_Origen!$D$2:$D$2459,$Z248)&amp;""</f>
        <v>Rosario</v>
      </c>
    </row>
    <row r="249" customFormat="false" ht="15" hidden="false" customHeight="false" outlineLevel="0" collapsed="false">
      <c r="A249" s="61" t="n">
        <f aca="false">INDEX(Datos_Origen!$A$2:$A$2459,$Z249)</f>
        <v>248</v>
      </c>
      <c r="B249" s="62" t="n">
        <f aca="false">IF(ISNUMBER($AB249),$AB249,IF(MID($AB249,5,1)="-",DATE(VALUE(LEFT($AB249,4)),VALUE(MID($AB249,6,2)),VALUE(RIGHT($AB249,2))),DATE(VALUE(RIGHT($AB249,4)),VALUE(MID($AB249,4,2)),VALUE(LEFT($AB249,2)))))</f>
        <v>45360</v>
      </c>
      <c r="C249" s="61" t="n">
        <f aca="false">YEAR($B249)</f>
        <v>2024</v>
      </c>
      <c r="D249" s="61" t="str">
        <f aca="false">"Q"&amp;ROUNDUP(MONTH($B249)/3,0)</f>
        <v>Q1</v>
      </c>
      <c r="E249" s="61" t="n">
        <f aca="false">MONTH($B249)</f>
        <v>3</v>
      </c>
      <c r="F249" s="61" t="str">
        <f aca="false">INDEX(Parametros!$I$5:$I$16,$E249)</f>
        <v>Mar</v>
      </c>
      <c r="G249" s="61" t="str">
        <f aca="false">TEXT($C249,"0000")&amp;"-"&amp;TEXT($E249,"00")</f>
        <v>2024-03</v>
      </c>
      <c r="H249" s="61" t="str">
        <f aca="false">INDEX(Parametros!$C$71:$C$91,MATCH(TRIM(INDEX(Datos_Origen!$C$2:$C$2459,$Z249)),Parametros!$B$71:$B$91,0))</f>
        <v>Litoral</v>
      </c>
      <c r="I249" s="61" t="str">
        <f aca="false">IF(TRIM($AD249)="",INDEX(Parametros!$I$20:$I$24,MATCH($H249,Parametros!$H$20:$H$24,0)),TRIM($AD249))</f>
        <v>Rosario</v>
      </c>
      <c r="J249" s="61" t="str">
        <f aca="false">INDEX(Parametros!$C$95:$C$106,MATCH(TRIM(INDEX(Datos_Origen!$E$2:$E$2459,$Z249)),Parametros!$B$95:$B$106,0))</f>
        <v>E-commerce</v>
      </c>
      <c r="K249" s="61" t="str">
        <f aca="false">INDEX(Parametros!$C$48:$C$67,MATCH(TRIM(INDEX(Datos_Origen!$F$2:$F$2459,$Z249)),Parametros!$B$48:$B$67,0))</f>
        <v>Accesorios</v>
      </c>
      <c r="L249" s="61" t="str">
        <f aca="false">$K249&amp;" "&amp;$C249</f>
        <v>Accesorios 2024</v>
      </c>
      <c r="M249" s="61" t="str">
        <f aca="false">TRIM(INDEX(Datos_Origen!$G$2:$G$2459,$Z249))</f>
        <v>Mouse Inalambrico</v>
      </c>
      <c r="N249" s="61" t="str">
        <f aca="false">$M249&amp;" "&amp;$C249</f>
        <v>Mouse Inalambrico 2024</v>
      </c>
      <c r="O249" s="63" t="n">
        <f aca="false">IF(ISTEXT($AC249),VALUE($AC249),$AC249)</f>
        <v>14</v>
      </c>
      <c r="P249" s="64" t="n">
        <f aca="false">INDEX(Datos_Origen!$I$2:$I$2459,$Z249)</f>
        <v>27.44</v>
      </c>
      <c r="Q249" s="64" t="n">
        <f aca="false">INDEX(Datos_Origen!$J$2:$J$2459,$Z249)</f>
        <v>13.44</v>
      </c>
      <c r="R249" s="65" t="n">
        <f aca="false">ROUND($O249*$P249,2)</f>
        <v>384.16</v>
      </c>
      <c r="S249" s="65" t="n">
        <f aca="false">ROUND($O249*$Q249,2)</f>
        <v>188.16</v>
      </c>
      <c r="T249" s="65" t="n">
        <f aca="false">ROUND($R249*SUMIFS(Parametros!$E$28:$E$43,Parametros!$B$28:$B$43,$J249,Parametros!$C$28:$C$43,$C249,Parametros!$D$28:$D$43,$D249),2)</f>
        <v>16.13</v>
      </c>
      <c r="U249" s="65" t="n">
        <f aca="false">$R249-$S249-$T249</f>
        <v>179.87</v>
      </c>
      <c r="V249" s="66" t="n">
        <f aca="false">IFERROR($U249/$R249,0)</f>
        <v>0.468216368179925</v>
      </c>
      <c r="W249" s="67" t="str">
        <f aca="false">IF(AND($V249&gt;=Parametros!$C$8,$R249&gt;=Parametros!$C$12),"Alta rentabilidad",IF(OR($V249&lt;Parametros!$C$11,$R249&lt;Parametros!$C$13),"Revisar","Estandar"))</f>
        <v>Estandar</v>
      </c>
      <c r="X249" s="67" t="str">
        <f aca="false">IF(AND($J249="E-commerce",IFERROR($T249/$R249,0)&gt;Parametros!$C$14),"Alerta","OK")</f>
        <v>OK</v>
      </c>
      <c r="Y249" s="61" t="str">
        <f aca="false">IF($R249&gt;=Parametros!$C$12,"Alto",IF($R249&lt;Parametros!$C$13,"Bajo","Medio"))</f>
        <v>Medio</v>
      </c>
      <c r="Z249" s="61" t="n">
        <v>373</v>
      </c>
      <c r="AA249" s="61" t="str">
        <f aca="false">IF(MATCH($A249,Datos_Origen!$A$2:$A$2459,0)=$Z249,"OK","REVISAR")</f>
        <v>OK</v>
      </c>
      <c r="AB249" s="62" t="n">
        <f aca="false">INDEX(Datos_Origen!$B$2:$B$2459,$Z249)</f>
        <v>45360</v>
      </c>
      <c r="AC249" s="61" t="n">
        <f aca="false">INDEX(Datos_Origen!$H$2:$H$2459,$Z249)</f>
        <v>14</v>
      </c>
      <c r="AD249" s="61" t="str">
        <f aca="false">INDEX(Datos_Origen!$D$2:$D$2459,$Z249)&amp;""</f>
        <v>Rosario</v>
      </c>
    </row>
    <row r="250" customFormat="false" ht="15" hidden="false" customHeight="false" outlineLevel="0" collapsed="false">
      <c r="A250" s="61" t="n">
        <f aca="false">INDEX(Datos_Origen!$A$2:$A$2459,$Z250)</f>
        <v>249</v>
      </c>
      <c r="B250" s="62" t="n">
        <f aca="false">IF(ISNUMBER($AB250),$AB250,IF(MID($AB250,5,1)="-",DATE(VALUE(LEFT($AB250,4)),VALUE(MID($AB250,6,2)),VALUE(RIGHT($AB250,2))),DATE(VALUE(RIGHT($AB250,4)),VALUE(MID($AB250,4,2)),VALUE(LEFT($AB250,2)))))</f>
        <v>45367</v>
      </c>
      <c r="C250" s="61" t="n">
        <f aca="false">YEAR($B250)</f>
        <v>2024</v>
      </c>
      <c r="D250" s="61" t="str">
        <f aca="false">"Q"&amp;ROUNDUP(MONTH($B250)/3,0)</f>
        <v>Q1</v>
      </c>
      <c r="E250" s="61" t="n">
        <f aca="false">MONTH($B250)</f>
        <v>3</v>
      </c>
      <c r="F250" s="61" t="str">
        <f aca="false">INDEX(Parametros!$I$5:$I$16,$E250)</f>
        <v>Mar</v>
      </c>
      <c r="G250" s="61" t="str">
        <f aca="false">TEXT($C250,"0000")&amp;"-"&amp;TEXT($E250,"00")</f>
        <v>2024-03</v>
      </c>
      <c r="H250" s="61" t="str">
        <f aca="false">INDEX(Parametros!$C$71:$C$91,MATCH(TRIM(INDEX(Datos_Origen!$C$2:$C$2459,$Z250)),Parametros!$B$71:$B$91,0))</f>
        <v>Litoral</v>
      </c>
      <c r="I250" s="61" t="str">
        <f aca="false">IF(TRIM($AD250)="",INDEX(Parametros!$I$20:$I$24,MATCH($H250,Parametros!$H$20:$H$24,0)),TRIM($AD250))</f>
        <v>Rosario</v>
      </c>
      <c r="J250" s="61" t="str">
        <f aca="false">INDEX(Parametros!$C$95:$C$106,MATCH(TRIM(INDEX(Datos_Origen!$E$2:$E$2459,$Z250)),Parametros!$B$95:$B$106,0))</f>
        <v>Tienda fisica</v>
      </c>
      <c r="K250" s="61" t="str">
        <f aca="false">INDEX(Parametros!$C$48:$C$67,MATCH(TRIM(INDEX(Datos_Origen!$F$2:$F$2459,$Z250)),Parametros!$B$48:$B$67,0))</f>
        <v>Accesorios</v>
      </c>
      <c r="L250" s="61" t="str">
        <f aca="false">$K250&amp;" "&amp;$C250</f>
        <v>Accesorios 2024</v>
      </c>
      <c r="M250" s="61" t="str">
        <f aca="false">TRIM(INDEX(Datos_Origen!$G$2:$G$2459,$Z250))</f>
        <v>Teclado Mecanico</v>
      </c>
      <c r="N250" s="61" t="str">
        <f aca="false">$M250&amp;" "&amp;$C250</f>
        <v>Teclado Mecanico 2024</v>
      </c>
      <c r="O250" s="63" t="n">
        <f aca="false">IF(ISTEXT($AC250),VALUE($AC250),$AC250)</f>
        <v>33</v>
      </c>
      <c r="P250" s="64" t="n">
        <f aca="false">INDEX(Datos_Origen!$I$2:$I$2459,$Z250)</f>
        <v>93.1</v>
      </c>
      <c r="Q250" s="64" t="n">
        <f aca="false">INDEX(Datos_Origen!$J$2:$J$2459,$Z250)</f>
        <v>47.98</v>
      </c>
      <c r="R250" s="65" t="n">
        <f aca="false">ROUND($O250*$P250,2)</f>
        <v>3072.3</v>
      </c>
      <c r="S250" s="65" t="n">
        <f aca="false">ROUND($O250*$Q250,2)</f>
        <v>1583.34</v>
      </c>
      <c r="T250" s="65" t="n">
        <f aca="false">ROUND($R250*SUMIFS(Parametros!$E$28:$E$43,Parametros!$B$28:$B$43,$J250,Parametros!$C$28:$C$43,$C250,Parametros!$D$28:$D$43,$D250),2)</f>
        <v>36.87</v>
      </c>
      <c r="U250" s="65" t="n">
        <f aca="false">$R250-$S250-$T250</f>
        <v>1452.09</v>
      </c>
      <c r="V250" s="66" t="n">
        <f aca="false">IFERROR($U250/$R250,0)</f>
        <v>0.472639390684504</v>
      </c>
      <c r="W250" s="67" t="str">
        <f aca="false">IF(AND($V250&gt;=Parametros!$C$8,$R250&gt;=Parametros!$C$12),"Alta rentabilidad",IF(OR($V250&lt;Parametros!$C$11,$R250&lt;Parametros!$C$13),"Revisar","Estandar"))</f>
        <v>Alta rentabilidad</v>
      </c>
      <c r="X250" s="67" t="str">
        <f aca="false">IF(AND($J250="E-commerce",IFERROR($T250/$R250,0)&gt;Parametros!$C$14),"Alerta","OK")</f>
        <v>OK</v>
      </c>
      <c r="Y250" s="61" t="str">
        <f aca="false">IF($R250&gt;=Parametros!$C$12,"Alto",IF($R250&lt;Parametros!$C$13,"Bajo","Medio"))</f>
        <v>Alto</v>
      </c>
      <c r="Z250" s="61" t="n">
        <v>2208</v>
      </c>
      <c r="AA250" s="61" t="str">
        <f aca="false">IF(MATCH($A250,Datos_Origen!$A$2:$A$2459,0)=$Z250,"OK","REVISAR")</f>
        <v>OK</v>
      </c>
      <c r="AB250" s="61" t="str">
        <f aca="false">INDEX(Datos_Origen!$B$2:$B$2459,$Z250)</f>
        <v>2024-03-16</v>
      </c>
      <c r="AC250" s="61" t="str">
        <f aca="false">INDEX(Datos_Origen!$H$2:$H$2459,$Z250)</f>
        <v>33</v>
      </c>
      <c r="AD250" s="61" t="str">
        <f aca="false">INDEX(Datos_Origen!$D$2:$D$2459,$Z250)&amp;""</f>
        <v>Rosario</v>
      </c>
    </row>
    <row r="251" customFormat="false" ht="15" hidden="false" customHeight="false" outlineLevel="0" collapsed="false">
      <c r="A251" s="61" t="n">
        <f aca="false">INDEX(Datos_Origen!$A$2:$A$2459,$Z251)</f>
        <v>250</v>
      </c>
      <c r="B251" s="62" t="n">
        <f aca="false">IF(ISNUMBER($AB251),$AB251,IF(MID($AB251,5,1)="-",DATE(VALUE(LEFT($AB251,4)),VALUE(MID($AB251,6,2)),VALUE(RIGHT($AB251,2))),DATE(VALUE(RIGHT($AB251,4)),VALUE(MID($AB251,4,2)),VALUE(LEFT($AB251,2)))))</f>
        <v>45374</v>
      </c>
      <c r="C251" s="61" t="n">
        <f aca="false">YEAR($B251)</f>
        <v>2024</v>
      </c>
      <c r="D251" s="61" t="str">
        <f aca="false">"Q"&amp;ROUNDUP(MONTH($B251)/3,0)</f>
        <v>Q1</v>
      </c>
      <c r="E251" s="61" t="n">
        <f aca="false">MONTH($B251)</f>
        <v>3</v>
      </c>
      <c r="F251" s="61" t="str">
        <f aca="false">INDEX(Parametros!$I$5:$I$16,$E251)</f>
        <v>Mar</v>
      </c>
      <c r="G251" s="61" t="str">
        <f aca="false">TEXT($C251,"0000")&amp;"-"&amp;TEXT($E251,"00")</f>
        <v>2024-03</v>
      </c>
      <c r="H251" s="61" t="str">
        <f aca="false">INDEX(Parametros!$C$71:$C$91,MATCH(TRIM(INDEX(Datos_Origen!$C$2:$C$2459,$Z251)),Parametros!$B$71:$B$91,0))</f>
        <v>Litoral</v>
      </c>
      <c r="I251" s="61" t="str">
        <f aca="false">IF(TRIM($AD251)="",INDEX(Parametros!$I$20:$I$24,MATCH($H251,Parametros!$H$20:$H$24,0)),TRIM($AD251))</f>
        <v>Rosario</v>
      </c>
      <c r="J251" s="61" t="str">
        <f aca="false">INDEX(Parametros!$C$95:$C$106,MATCH(TRIM(INDEX(Datos_Origen!$E$2:$E$2459,$Z251)),Parametros!$B$95:$B$106,0))</f>
        <v>E-commerce</v>
      </c>
      <c r="K251" s="61" t="str">
        <f aca="false">INDEX(Parametros!$C$48:$C$67,MATCH(TRIM(INDEX(Datos_Origen!$F$2:$F$2459,$Z251)),Parametros!$B$48:$B$67,0))</f>
        <v>Accesorios</v>
      </c>
      <c r="L251" s="61" t="str">
        <f aca="false">$K251&amp;" "&amp;$C251</f>
        <v>Accesorios 2024</v>
      </c>
      <c r="M251" s="61" t="str">
        <f aca="false">TRIM(INDEX(Datos_Origen!$G$2:$G$2459,$Z251))</f>
        <v>Teclado Mecanico</v>
      </c>
      <c r="N251" s="61" t="str">
        <f aca="false">$M251&amp;" "&amp;$C251</f>
        <v>Teclado Mecanico 2024</v>
      </c>
      <c r="O251" s="63" t="n">
        <f aca="false">IF(ISTEXT($AC251),VALUE($AC251),$AC251)</f>
        <v>17</v>
      </c>
      <c r="P251" s="64" t="n">
        <f aca="false">INDEX(Datos_Origen!$I$2:$I$2459,$Z251)</f>
        <v>93.1</v>
      </c>
      <c r="Q251" s="64" t="n">
        <f aca="false">INDEX(Datos_Origen!$J$2:$J$2459,$Z251)</f>
        <v>47.98</v>
      </c>
      <c r="R251" s="65" t="n">
        <f aca="false">ROUND($O251*$P251,2)</f>
        <v>1582.7</v>
      </c>
      <c r="S251" s="65" t="n">
        <f aca="false">ROUND($O251*$Q251,2)</f>
        <v>815.66</v>
      </c>
      <c r="T251" s="65" t="n">
        <f aca="false">ROUND($R251*SUMIFS(Parametros!$E$28:$E$43,Parametros!$B$28:$B$43,$J251,Parametros!$C$28:$C$43,$C251,Parametros!$D$28:$D$43,$D251),2)</f>
        <v>66.47</v>
      </c>
      <c r="U251" s="65" t="n">
        <f aca="false">$R251-$S251-$T251</f>
        <v>700.57</v>
      </c>
      <c r="V251" s="66" t="n">
        <f aca="false">IFERROR($U251/$R251,0)</f>
        <v>0.442642320085929</v>
      </c>
      <c r="W251" s="67" t="str">
        <f aca="false">IF(AND($V251&gt;=Parametros!$C$8,$R251&gt;=Parametros!$C$12),"Alta rentabilidad",IF(OR($V251&lt;Parametros!$C$11,$R251&lt;Parametros!$C$13),"Revisar","Estandar"))</f>
        <v>Estandar</v>
      </c>
      <c r="X251" s="67" t="str">
        <f aca="false">IF(AND($J251="E-commerce",IFERROR($T251/$R251,0)&gt;Parametros!$C$14),"Alerta","OK")</f>
        <v>OK</v>
      </c>
      <c r="Y251" s="61" t="str">
        <f aca="false">IF($R251&gt;=Parametros!$C$12,"Alto",IF($R251&lt;Parametros!$C$13,"Bajo","Medio"))</f>
        <v>Medio</v>
      </c>
      <c r="Z251" s="61" t="n">
        <v>559</v>
      </c>
      <c r="AA251" s="61" t="str">
        <f aca="false">IF(MATCH($A251,Datos_Origen!$A$2:$A$2459,0)=$Z251,"OK","REVISAR")</f>
        <v>OK</v>
      </c>
      <c r="AB251" s="62" t="n">
        <f aca="false">INDEX(Datos_Origen!$B$2:$B$2459,$Z251)</f>
        <v>45374</v>
      </c>
      <c r="AC251" s="61" t="n">
        <f aca="false">INDEX(Datos_Origen!$H$2:$H$2459,$Z251)</f>
        <v>17</v>
      </c>
      <c r="AD251" s="61" t="str">
        <f aca="false">INDEX(Datos_Origen!$D$2:$D$2459,$Z251)&amp;""</f>
        <v>Rosario</v>
      </c>
    </row>
    <row r="252" customFormat="false" ht="15" hidden="false" customHeight="false" outlineLevel="0" collapsed="false">
      <c r="A252" s="61" t="n">
        <f aca="false">INDEX(Datos_Origen!$A$2:$A$2459,$Z252)</f>
        <v>251</v>
      </c>
      <c r="B252" s="62" t="n">
        <f aca="false">IF(ISNUMBER($AB252),$AB252,IF(MID($AB252,5,1)="-",DATE(VALUE(LEFT($AB252,4)),VALUE(MID($AB252,6,2)),VALUE(RIGHT($AB252,2))),DATE(VALUE(RIGHT($AB252,4)),VALUE(MID($AB252,4,2)),VALUE(LEFT($AB252,2)))))</f>
        <v>45354</v>
      </c>
      <c r="C252" s="61" t="n">
        <f aca="false">YEAR($B252)</f>
        <v>2024</v>
      </c>
      <c r="D252" s="61" t="str">
        <f aca="false">"Q"&amp;ROUNDUP(MONTH($B252)/3,0)</f>
        <v>Q1</v>
      </c>
      <c r="E252" s="61" t="n">
        <f aca="false">MONTH($B252)</f>
        <v>3</v>
      </c>
      <c r="F252" s="61" t="str">
        <f aca="false">INDEX(Parametros!$I$5:$I$16,$E252)</f>
        <v>Mar</v>
      </c>
      <c r="G252" s="61" t="str">
        <f aca="false">TEXT($C252,"0000")&amp;"-"&amp;TEXT($E252,"00")</f>
        <v>2024-03</v>
      </c>
      <c r="H252" s="61" t="str">
        <f aca="false">INDEX(Parametros!$C$71:$C$91,MATCH(TRIM(INDEX(Datos_Origen!$C$2:$C$2459,$Z252)),Parametros!$B$71:$B$91,0))</f>
        <v>Litoral</v>
      </c>
      <c r="I252" s="61" t="str">
        <f aca="false">IF(TRIM($AD252)="",INDEX(Parametros!$I$20:$I$24,MATCH($H252,Parametros!$H$20:$H$24,0)),TRIM($AD252))</f>
        <v>Rosario</v>
      </c>
      <c r="J252" s="61" t="str">
        <f aca="false">INDEX(Parametros!$C$95:$C$106,MATCH(TRIM(INDEX(Datos_Origen!$E$2:$E$2459,$Z252)),Parametros!$B$95:$B$106,0))</f>
        <v>Tienda fisica</v>
      </c>
      <c r="K252" s="61" t="str">
        <f aca="false">INDEX(Parametros!$C$48:$C$67,MATCH(TRIM(INDEX(Datos_Origen!$F$2:$F$2459,$Z252)),Parametros!$B$48:$B$67,0))</f>
        <v>Accesorios</v>
      </c>
      <c r="L252" s="61" t="str">
        <f aca="false">$K252&amp;" "&amp;$C252</f>
        <v>Accesorios 2024</v>
      </c>
      <c r="M252" s="61" t="str">
        <f aca="false">TRIM(INDEX(Datos_Origen!$G$2:$G$2459,$Z252))</f>
        <v>Webcam Full HD</v>
      </c>
      <c r="N252" s="61" t="str">
        <f aca="false">$M252&amp;" "&amp;$C252</f>
        <v>Webcam Full HD 2024</v>
      </c>
      <c r="O252" s="63" t="n">
        <f aca="false">IF(ISTEXT($AC252),VALUE($AC252),$AC252)</f>
        <v>42</v>
      </c>
      <c r="P252" s="64" t="n">
        <f aca="false">INDEX(Datos_Origen!$I$2:$I$2459,$Z252)</f>
        <v>63.7</v>
      </c>
      <c r="Q252" s="64" t="n">
        <f aca="false">INDEX(Datos_Origen!$J$2:$J$2459,$Z252)</f>
        <v>35.43</v>
      </c>
      <c r="R252" s="65" t="n">
        <f aca="false">ROUND($O252*$P252,2)</f>
        <v>2675.4</v>
      </c>
      <c r="S252" s="65" t="n">
        <f aca="false">ROUND($O252*$Q252,2)</f>
        <v>1488.06</v>
      </c>
      <c r="T252" s="65" t="n">
        <f aca="false">ROUND($R252*SUMIFS(Parametros!$E$28:$E$43,Parametros!$B$28:$B$43,$J252,Parametros!$C$28:$C$43,$C252,Parametros!$D$28:$D$43,$D252),2)</f>
        <v>32.1</v>
      </c>
      <c r="U252" s="65" t="n">
        <f aca="false">$R252-$S252-$T252</f>
        <v>1155.24</v>
      </c>
      <c r="V252" s="66" t="n">
        <f aca="false">IFERROR($U252/$R252,0)</f>
        <v>0.431800852209016</v>
      </c>
      <c r="W252" s="67" t="str">
        <f aca="false">IF(AND($V252&gt;=Parametros!$C$8,$R252&gt;=Parametros!$C$12),"Alta rentabilidad",IF(OR($V252&lt;Parametros!$C$11,$R252&lt;Parametros!$C$13),"Revisar","Estandar"))</f>
        <v>Estandar</v>
      </c>
      <c r="X252" s="67" t="str">
        <f aca="false">IF(AND($J252="E-commerce",IFERROR($T252/$R252,0)&gt;Parametros!$C$14),"Alerta","OK")</f>
        <v>OK</v>
      </c>
      <c r="Y252" s="61" t="str">
        <f aca="false">IF($R252&gt;=Parametros!$C$12,"Alto",IF($R252&lt;Parametros!$C$13,"Bajo","Medio"))</f>
        <v>Medio</v>
      </c>
      <c r="Z252" s="61" t="n">
        <v>381</v>
      </c>
      <c r="AA252" s="61" t="str">
        <f aca="false">IF(MATCH($A252,Datos_Origen!$A$2:$A$2459,0)=$Z252,"OK","REVISAR")</f>
        <v>OK</v>
      </c>
      <c r="AB252" s="62" t="n">
        <f aca="false">INDEX(Datos_Origen!$B$2:$B$2459,$Z252)</f>
        <v>45354</v>
      </c>
      <c r="AC252" s="61" t="n">
        <f aca="false">INDEX(Datos_Origen!$H$2:$H$2459,$Z252)</f>
        <v>42</v>
      </c>
      <c r="AD252" s="61" t="str">
        <f aca="false">INDEX(Datos_Origen!$D$2:$D$2459,$Z252)&amp;""</f>
        <v>Rosario</v>
      </c>
    </row>
    <row r="253" customFormat="false" ht="15" hidden="false" customHeight="false" outlineLevel="0" collapsed="false">
      <c r="A253" s="61" t="n">
        <f aca="false">INDEX(Datos_Origen!$A$2:$A$2459,$Z253)</f>
        <v>252</v>
      </c>
      <c r="B253" s="62" t="n">
        <f aca="false">IF(ISNUMBER($AB253),$AB253,IF(MID($AB253,5,1)="-",DATE(VALUE(LEFT($AB253,4)),VALUE(MID($AB253,6,2)),VALUE(RIGHT($AB253,2))),DATE(VALUE(RIGHT($AB253,4)),VALUE(MID($AB253,4,2)),VALUE(LEFT($AB253,2)))))</f>
        <v>45361</v>
      </c>
      <c r="C253" s="61" t="n">
        <f aca="false">YEAR($B253)</f>
        <v>2024</v>
      </c>
      <c r="D253" s="61" t="str">
        <f aca="false">"Q"&amp;ROUNDUP(MONTH($B253)/3,0)</f>
        <v>Q1</v>
      </c>
      <c r="E253" s="61" t="n">
        <f aca="false">MONTH($B253)</f>
        <v>3</v>
      </c>
      <c r="F253" s="61" t="str">
        <f aca="false">INDEX(Parametros!$I$5:$I$16,$E253)</f>
        <v>Mar</v>
      </c>
      <c r="G253" s="61" t="str">
        <f aca="false">TEXT($C253,"0000")&amp;"-"&amp;TEXT($E253,"00")</f>
        <v>2024-03</v>
      </c>
      <c r="H253" s="61" t="str">
        <f aca="false">INDEX(Parametros!$C$71:$C$91,MATCH(TRIM(INDEX(Datos_Origen!$C$2:$C$2459,$Z253)),Parametros!$B$71:$B$91,0))</f>
        <v>Litoral</v>
      </c>
      <c r="I253" s="61" t="str">
        <f aca="false">IF(TRIM($AD253)="",INDEX(Parametros!$I$20:$I$24,MATCH($H253,Parametros!$H$20:$H$24,0)),TRIM($AD253))</f>
        <v>Rosario</v>
      </c>
      <c r="J253" s="61" t="str">
        <f aca="false">INDEX(Parametros!$C$95:$C$106,MATCH(TRIM(INDEX(Datos_Origen!$E$2:$E$2459,$Z253)),Parametros!$B$95:$B$106,0))</f>
        <v>E-commerce</v>
      </c>
      <c r="K253" s="61" t="str">
        <f aca="false">INDEX(Parametros!$C$48:$C$67,MATCH(TRIM(INDEX(Datos_Origen!$F$2:$F$2459,$Z253)),Parametros!$B$48:$B$67,0))</f>
        <v>Accesorios</v>
      </c>
      <c r="L253" s="61" t="str">
        <f aca="false">$K253&amp;" "&amp;$C253</f>
        <v>Accesorios 2024</v>
      </c>
      <c r="M253" s="61" t="str">
        <f aca="false">TRIM(INDEX(Datos_Origen!$G$2:$G$2459,$Z253))</f>
        <v>Webcam Full HD</v>
      </c>
      <c r="N253" s="61" t="str">
        <f aca="false">$M253&amp;" "&amp;$C253</f>
        <v>Webcam Full HD 2024</v>
      </c>
      <c r="O253" s="63" t="n">
        <f aca="false">IF(ISTEXT($AC253),VALUE($AC253),$AC253)</f>
        <v>17</v>
      </c>
      <c r="P253" s="64" t="n">
        <f aca="false">INDEX(Datos_Origen!$I$2:$I$2459,$Z253)</f>
        <v>63.7</v>
      </c>
      <c r="Q253" s="64" t="n">
        <f aca="false">INDEX(Datos_Origen!$J$2:$J$2459,$Z253)</f>
        <v>35.43</v>
      </c>
      <c r="R253" s="65" t="n">
        <f aca="false">ROUND($O253*$P253,2)</f>
        <v>1082.9</v>
      </c>
      <c r="S253" s="65" t="n">
        <f aca="false">ROUND($O253*$Q253,2)</f>
        <v>602.31</v>
      </c>
      <c r="T253" s="65" t="n">
        <f aca="false">ROUND($R253*SUMIFS(Parametros!$E$28:$E$43,Parametros!$B$28:$B$43,$J253,Parametros!$C$28:$C$43,$C253,Parametros!$D$28:$D$43,$D253),2)</f>
        <v>45.48</v>
      </c>
      <c r="U253" s="65" t="n">
        <f aca="false">$R253-$S253-$T253</f>
        <v>435.11</v>
      </c>
      <c r="V253" s="66" t="n">
        <f aca="false">IFERROR($U253/$R253,0)</f>
        <v>0.401800720288115</v>
      </c>
      <c r="W253" s="67" t="str">
        <f aca="false">IF(AND($V253&gt;=Parametros!$C$8,$R253&gt;=Parametros!$C$12),"Alta rentabilidad",IF(OR($V253&lt;Parametros!$C$11,$R253&lt;Parametros!$C$13),"Revisar","Estandar"))</f>
        <v>Estandar</v>
      </c>
      <c r="X253" s="67" t="str">
        <f aca="false">IF(AND($J253="E-commerce",IFERROR($T253/$R253,0)&gt;Parametros!$C$14),"Alerta","OK")</f>
        <v>OK</v>
      </c>
      <c r="Y253" s="61" t="str">
        <f aca="false">IF($R253&gt;=Parametros!$C$12,"Alto",IF($R253&lt;Parametros!$C$13,"Bajo","Medio"))</f>
        <v>Medio</v>
      </c>
      <c r="Z253" s="61" t="n">
        <v>2056</v>
      </c>
      <c r="AA253" s="61" t="str">
        <f aca="false">IF(MATCH($A253,Datos_Origen!$A$2:$A$2459,0)=$Z253,"OK","REVISAR")</f>
        <v>OK</v>
      </c>
      <c r="AB253" s="62" t="n">
        <f aca="false">INDEX(Datos_Origen!$B$2:$B$2459,$Z253)</f>
        <v>45361</v>
      </c>
      <c r="AC253" s="61" t="str">
        <f aca="false">INDEX(Datos_Origen!$H$2:$H$2459,$Z253)</f>
        <v>17</v>
      </c>
      <c r="AD253" s="61" t="str">
        <f aca="false">INDEX(Datos_Origen!$D$2:$D$2459,$Z253)&amp;""</f>
        <v>Rosario</v>
      </c>
    </row>
    <row r="254" customFormat="false" ht="15" hidden="false" customHeight="false" outlineLevel="0" collapsed="false">
      <c r="A254" s="61" t="n">
        <f aca="false">INDEX(Datos_Origen!$A$2:$A$2459,$Z254)</f>
        <v>253</v>
      </c>
      <c r="B254" s="62" t="n">
        <f aca="false">IF(ISNUMBER($AB254),$AB254,IF(MID($AB254,5,1)="-",DATE(VALUE(LEFT($AB254,4)),VALUE(MID($AB254,6,2)),VALUE(RIGHT($AB254,2))),DATE(VALUE(RIGHT($AB254,4)),VALUE(MID($AB254,4,2)),VALUE(LEFT($AB254,2)))))</f>
        <v>45368</v>
      </c>
      <c r="C254" s="61" t="n">
        <f aca="false">YEAR($B254)</f>
        <v>2024</v>
      </c>
      <c r="D254" s="61" t="str">
        <f aca="false">"Q"&amp;ROUNDUP(MONTH($B254)/3,0)</f>
        <v>Q1</v>
      </c>
      <c r="E254" s="61" t="n">
        <f aca="false">MONTH($B254)</f>
        <v>3</v>
      </c>
      <c r="F254" s="61" t="str">
        <f aca="false">INDEX(Parametros!$I$5:$I$16,$E254)</f>
        <v>Mar</v>
      </c>
      <c r="G254" s="61" t="str">
        <f aca="false">TEXT($C254,"0000")&amp;"-"&amp;TEXT($E254,"00")</f>
        <v>2024-03</v>
      </c>
      <c r="H254" s="61" t="str">
        <f aca="false">INDEX(Parametros!$C$71:$C$91,MATCH(TRIM(INDEX(Datos_Origen!$C$2:$C$2459,$Z254)),Parametros!$B$71:$B$91,0))</f>
        <v>Litoral</v>
      </c>
      <c r="I254" s="61" t="str">
        <f aca="false">IF(TRIM($AD254)="",INDEX(Parametros!$I$20:$I$24,MATCH($H254,Parametros!$H$20:$H$24,0)),TRIM($AD254))</f>
        <v>Rosario</v>
      </c>
      <c r="J254" s="61" t="str">
        <f aca="false">INDEX(Parametros!$C$95:$C$106,MATCH(TRIM(INDEX(Datos_Origen!$E$2:$E$2459,$Z254)),Parametros!$B$95:$B$106,0))</f>
        <v>Tienda fisica</v>
      </c>
      <c r="K254" s="61" t="str">
        <f aca="false">INDEX(Parametros!$C$48:$C$67,MATCH(TRIM(INDEX(Datos_Origen!$F$2:$F$2459,$Z254)),Parametros!$B$48:$B$67,0))</f>
        <v>Audio</v>
      </c>
      <c r="L254" s="61" t="str">
        <f aca="false">$K254&amp;" "&amp;$C254</f>
        <v>Audio 2024</v>
      </c>
      <c r="M254" s="61" t="str">
        <f aca="false">TRIM(INDEX(Datos_Origen!$G$2:$G$2459,$Z254))</f>
        <v>Auriculares BT Pro</v>
      </c>
      <c r="N254" s="61" t="str">
        <f aca="false">$M254&amp;" "&amp;$C254</f>
        <v>Auriculares BT Pro 2024</v>
      </c>
      <c r="O254" s="63" t="n">
        <f aca="false">IF(ISTEXT($AC254),VALUE($AC254),$AC254)</f>
        <v>15</v>
      </c>
      <c r="P254" s="64" t="n">
        <f aca="false">INDEX(Datos_Origen!$I$2:$I$2459,$Z254)</f>
        <v>117.6</v>
      </c>
      <c r="Q254" s="64" t="n">
        <f aca="false">INDEX(Datos_Origen!$J$2:$J$2459,$Z254)</f>
        <v>63.6</v>
      </c>
      <c r="R254" s="65" t="n">
        <f aca="false">ROUND($O254*$P254,2)</f>
        <v>1764</v>
      </c>
      <c r="S254" s="65" t="n">
        <f aca="false">ROUND($O254*$Q254,2)</f>
        <v>954</v>
      </c>
      <c r="T254" s="65" t="n">
        <f aca="false">ROUND($R254*SUMIFS(Parametros!$E$28:$E$43,Parametros!$B$28:$B$43,$J254,Parametros!$C$28:$C$43,$C254,Parametros!$D$28:$D$43,$D254),2)</f>
        <v>21.17</v>
      </c>
      <c r="U254" s="65" t="n">
        <f aca="false">$R254-$S254-$T254</f>
        <v>788.83</v>
      </c>
      <c r="V254" s="66" t="n">
        <f aca="false">IFERROR($U254/$R254,0)</f>
        <v>0.44718253968254</v>
      </c>
      <c r="W254" s="67" t="str">
        <f aca="false">IF(AND($V254&gt;=Parametros!$C$8,$R254&gt;=Parametros!$C$12),"Alta rentabilidad",IF(OR($V254&lt;Parametros!$C$11,$R254&lt;Parametros!$C$13),"Revisar","Estandar"))</f>
        <v>Estandar</v>
      </c>
      <c r="X254" s="67" t="str">
        <f aca="false">IF(AND($J254="E-commerce",IFERROR($T254/$R254,0)&gt;Parametros!$C$14),"Alerta","OK")</f>
        <v>OK</v>
      </c>
      <c r="Y254" s="61" t="str">
        <f aca="false">IF($R254&gt;=Parametros!$C$12,"Alto",IF($R254&lt;Parametros!$C$13,"Bajo","Medio"))</f>
        <v>Medio</v>
      </c>
      <c r="Z254" s="61" t="n">
        <v>372</v>
      </c>
      <c r="AA254" s="61" t="str">
        <f aca="false">IF(MATCH($A254,Datos_Origen!$A$2:$A$2459,0)=$Z254,"OK","REVISAR")</f>
        <v>OK</v>
      </c>
      <c r="AB254" s="62" t="n">
        <f aca="false">INDEX(Datos_Origen!$B$2:$B$2459,$Z254)</f>
        <v>45368</v>
      </c>
      <c r="AC254" s="61" t="n">
        <f aca="false">INDEX(Datos_Origen!$H$2:$H$2459,$Z254)</f>
        <v>15</v>
      </c>
      <c r="AD254" s="61" t="str">
        <f aca="false">INDEX(Datos_Origen!$D$2:$D$2459,$Z254)&amp;""</f>
        <v>Rosario</v>
      </c>
    </row>
    <row r="255" customFormat="false" ht="15" hidden="false" customHeight="false" outlineLevel="0" collapsed="false">
      <c r="A255" s="61" t="n">
        <f aca="false">INDEX(Datos_Origen!$A$2:$A$2459,$Z255)</f>
        <v>254</v>
      </c>
      <c r="B255" s="62" t="n">
        <f aca="false">IF(ISNUMBER($AB255),$AB255,IF(MID($AB255,5,1)="-",DATE(VALUE(LEFT($AB255,4)),VALUE(MID($AB255,6,2)),VALUE(RIGHT($AB255,2))),DATE(VALUE(RIGHT($AB255,4)),VALUE(MID($AB255,4,2)),VALUE(LEFT($AB255,2)))))</f>
        <v>45375</v>
      </c>
      <c r="C255" s="61" t="n">
        <f aca="false">YEAR($B255)</f>
        <v>2024</v>
      </c>
      <c r="D255" s="61" t="str">
        <f aca="false">"Q"&amp;ROUNDUP(MONTH($B255)/3,0)</f>
        <v>Q1</v>
      </c>
      <c r="E255" s="61" t="n">
        <f aca="false">MONTH($B255)</f>
        <v>3</v>
      </c>
      <c r="F255" s="61" t="str">
        <f aca="false">INDEX(Parametros!$I$5:$I$16,$E255)</f>
        <v>Mar</v>
      </c>
      <c r="G255" s="61" t="str">
        <f aca="false">TEXT($C255,"0000")&amp;"-"&amp;TEXT($E255,"00")</f>
        <v>2024-03</v>
      </c>
      <c r="H255" s="61" t="str">
        <f aca="false">INDEX(Parametros!$C$71:$C$91,MATCH(TRIM(INDEX(Datos_Origen!$C$2:$C$2459,$Z255)),Parametros!$B$71:$B$91,0))</f>
        <v>Litoral</v>
      </c>
      <c r="I255" s="61" t="str">
        <f aca="false">IF(TRIM($AD255)="",INDEX(Parametros!$I$20:$I$24,MATCH($H255,Parametros!$H$20:$H$24,0)),TRIM($AD255))</f>
        <v>Rosario</v>
      </c>
      <c r="J255" s="61" t="str">
        <f aca="false">INDEX(Parametros!$C$95:$C$106,MATCH(TRIM(INDEX(Datos_Origen!$E$2:$E$2459,$Z255)),Parametros!$B$95:$B$106,0))</f>
        <v>E-commerce</v>
      </c>
      <c r="K255" s="61" t="str">
        <f aca="false">INDEX(Parametros!$C$48:$C$67,MATCH(TRIM(INDEX(Datos_Origen!$F$2:$F$2459,$Z255)),Parametros!$B$48:$B$67,0))</f>
        <v>Audio</v>
      </c>
      <c r="L255" s="61" t="str">
        <f aca="false">$K255&amp;" "&amp;$C255</f>
        <v>Audio 2024</v>
      </c>
      <c r="M255" s="61" t="str">
        <f aca="false">TRIM(INDEX(Datos_Origen!$G$2:$G$2459,$Z255))</f>
        <v>Auriculares BT Pro</v>
      </c>
      <c r="N255" s="61" t="str">
        <f aca="false">$M255&amp;" "&amp;$C255</f>
        <v>Auriculares BT Pro 2024</v>
      </c>
      <c r="O255" s="63" t="n">
        <f aca="false">IF(ISTEXT($AC255),VALUE($AC255),$AC255)</f>
        <v>6</v>
      </c>
      <c r="P255" s="64" t="n">
        <f aca="false">INDEX(Datos_Origen!$I$2:$I$2459,$Z255)</f>
        <v>117.6</v>
      </c>
      <c r="Q255" s="64" t="n">
        <f aca="false">INDEX(Datos_Origen!$J$2:$J$2459,$Z255)</f>
        <v>63.6</v>
      </c>
      <c r="R255" s="65" t="n">
        <f aca="false">ROUND($O255*$P255,2)</f>
        <v>705.6</v>
      </c>
      <c r="S255" s="65" t="n">
        <f aca="false">ROUND($O255*$Q255,2)</f>
        <v>381.6</v>
      </c>
      <c r="T255" s="65" t="n">
        <f aca="false">ROUND($R255*SUMIFS(Parametros!$E$28:$E$43,Parametros!$B$28:$B$43,$J255,Parametros!$C$28:$C$43,$C255,Parametros!$D$28:$D$43,$D255),2)</f>
        <v>29.64</v>
      </c>
      <c r="U255" s="65" t="n">
        <f aca="false">$R255-$S255-$T255</f>
        <v>294.36</v>
      </c>
      <c r="V255" s="66" t="n">
        <f aca="false">IFERROR($U255/$R255,0)</f>
        <v>0.417176870748299</v>
      </c>
      <c r="W255" s="67" t="str">
        <f aca="false">IF(AND($V255&gt;=Parametros!$C$8,$R255&gt;=Parametros!$C$12),"Alta rentabilidad",IF(OR($V255&lt;Parametros!$C$11,$R255&lt;Parametros!$C$13),"Revisar","Estandar"))</f>
        <v>Estandar</v>
      </c>
      <c r="X255" s="67" t="str">
        <f aca="false">IF(AND($J255="E-commerce",IFERROR($T255/$R255,0)&gt;Parametros!$C$14),"Alerta","OK")</f>
        <v>OK</v>
      </c>
      <c r="Y255" s="61" t="str">
        <f aca="false">IF($R255&gt;=Parametros!$C$12,"Alto",IF($R255&lt;Parametros!$C$13,"Bajo","Medio"))</f>
        <v>Medio</v>
      </c>
      <c r="Z255" s="61" t="n">
        <v>745</v>
      </c>
      <c r="AA255" s="61" t="str">
        <f aca="false">IF(MATCH($A255,Datos_Origen!$A$2:$A$2459,0)=$Z255,"OK","REVISAR")</f>
        <v>OK</v>
      </c>
      <c r="AB255" s="62" t="n">
        <f aca="false">INDEX(Datos_Origen!$B$2:$B$2459,$Z255)</f>
        <v>45375</v>
      </c>
      <c r="AC255" s="61" t="n">
        <f aca="false">INDEX(Datos_Origen!$H$2:$H$2459,$Z255)</f>
        <v>6</v>
      </c>
      <c r="AD255" s="61" t="str">
        <f aca="false">INDEX(Datos_Origen!$D$2:$D$2459,$Z255)&amp;""</f>
        <v>Rosario</v>
      </c>
    </row>
    <row r="256" customFormat="false" ht="15" hidden="false" customHeight="false" outlineLevel="0" collapsed="false">
      <c r="A256" s="61" t="n">
        <f aca="false">INDEX(Datos_Origen!$A$2:$A$2459,$Z256)</f>
        <v>255</v>
      </c>
      <c r="B256" s="62" t="n">
        <f aca="false">IF(ISNUMBER($AB256),$AB256,IF(MID($AB256,5,1)="-",DATE(VALUE(LEFT($AB256,4)),VALUE(MID($AB256,6,2)),VALUE(RIGHT($AB256,2))),DATE(VALUE(RIGHT($AB256,4)),VALUE(MID($AB256,4,2)),VALUE(LEFT($AB256,2)))))</f>
        <v>45355</v>
      </c>
      <c r="C256" s="61" t="n">
        <f aca="false">YEAR($B256)</f>
        <v>2024</v>
      </c>
      <c r="D256" s="61" t="str">
        <f aca="false">"Q"&amp;ROUNDUP(MONTH($B256)/3,0)</f>
        <v>Q1</v>
      </c>
      <c r="E256" s="61" t="n">
        <f aca="false">MONTH($B256)</f>
        <v>3</v>
      </c>
      <c r="F256" s="61" t="str">
        <f aca="false">INDEX(Parametros!$I$5:$I$16,$E256)</f>
        <v>Mar</v>
      </c>
      <c r="G256" s="61" t="str">
        <f aca="false">TEXT($C256,"0000")&amp;"-"&amp;TEXT($E256,"00")</f>
        <v>2024-03</v>
      </c>
      <c r="H256" s="61" t="str">
        <f aca="false">INDEX(Parametros!$C$71:$C$91,MATCH(TRIM(INDEX(Datos_Origen!$C$2:$C$2459,$Z256)),Parametros!$B$71:$B$91,0))</f>
        <v>Litoral</v>
      </c>
      <c r="I256" s="61" t="str">
        <f aca="false">IF(TRIM($AD256)="",INDEX(Parametros!$I$20:$I$24,MATCH($H256,Parametros!$H$20:$H$24,0)),TRIM($AD256))</f>
        <v>Rosario</v>
      </c>
      <c r="J256" s="61" t="str">
        <f aca="false">INDEX(Parametros!$C$95:$C$106,MATCH(TRIM(INDEX(Datos_Origen!$E$2:$E$2459,$Z256)),Parametros!$B$95:$B$106,0))</f>
        <v>Tienda fisica</v>
      </c>
      <c r="K256" s="61" t="str">
        <f aca="false">INDEX(Parametros!$C$48:$C$67,MATCH(TRIM(INDEX(Datos_Origen!$F$2:$F$2459,$Z256)),Parametros!$B$48:$B$67,0))</f>
        <v>Audio</v>
      </c>
      <c r="L256" s="61" t="str">
        <f aca="false">$K256&amp;" "&amp;$C256</f>
        <v>Audio 2024</v>
      </c>
      <c r="M256" s="61" t="str">
        <f aca="false">TRIM(INDEX(Datos_Origen!$G$2:$G$2459,$Z256))</f>
        <v>Parlante Bluetooth</v>
      </c>
      <c r="N256" s="61" t="str">
        <f aca="false">$M256&amp;" "&amp;$C256</f>
        <v>Parlante Bluetooth 2024</v>
      </c>
      <c r="O256" s="63" t="n">
        <f aca="false">IF(ISTEXT($AC256),VALUE($AC256),$AC256)</f>
        <v>19</v>
      </c>
      <c r="P256" s="64" t="n">
        <f aca="false">INDEX(Datos_Origen!$I$2:$I$2459,$Z256)</f>
        <v>83.3</v>
      </c>
      <c r="Q256" s="64" t="n">
        <f aca="false">INDEX(Datos_Origen!$J$2:$J$2459,$Z256)</f>
        <v>48.03</v>
      </c>
      <c r="R256" s="65" t="n">
        <f aca="false">ROUND($O256*$P256,2)</f>
        <v>1582.7</v>
      </c>
      <c r="S256" s="65" t="n">
        <f aca="false">ROUND($O256*$Q256,2)</f>
        <v>912.57</v>
      </c>
      <c r="T256" s="65" t="n">
        <f aca="false">ROUND($R256*SUMIFS(Parametros!$E$28:$E$43,Parametros!$B$28:$B$43,$J256,Parametros!$C$28:$C$43,$C256,Parametros!$D$28:$D$43,$D256),2)</f>
        <v>18.99</v>
      </c>
      <c r="U256" s="65" t="n">
        <f aca="false">$R256-$S256-$T256</f>
        <v>651.14</v>
      </c>
      <c r="V256" s="66" t="n">
        <f aca="false">IFERROR($U256/$R256,0)</f>
        <v>0.41141088014153</v>
      </c>
      <c r="W256" s="67" t="str">
        <f aca="false">IF(AND($V256&gt;=Parametros!$C$8,$R256&gt;=Parametros!$C$12),"Alta rentabilidad",IF(OR($V256&lt;Parametros!$C$11,$R256&lt;Parametros!$C$13),"Revisar","Estandar"))</f>
        <v>Estandar</v>
      </c>
      <c r="X256" s="67" t="str">
        <f aca="false">IF(AND($J256="E-commerce",IFERROR($T256/$R256,0)&gt;Parametros!$C$14),"Alerta","OK")</f>
        <v>OK</v>
      </c>
      <c r="Y256" s="61" t="str">
        <f aca="false">IF($R256&gt;=Parametros!$C$12,"Alto",IF($R256&lt;Parametros!$C$13,"Bajo","Medio"))</f>
        <v>Medio</v>
      </c>
      <c r="Z256" s="61" t="n">
        <v>917</v>
      </c>
      <c r="AA256" s="61" t="str">
        <f aca="false">IF(MATCH($A256,Datos_Origen!$A$2:$A$2459,0)=$Z256,"OK","REVISAR")</f>
        <v>OK</v>
      </c>
      <c r="AB256" s="62" t="n">
        <f aca="false">INDEX(Datos_Origen!$B$2:$B$2459,$Z256)</f>
        <v>45355</v>
      </c>
      <c r="AC256" s="61" t="str">
        <f aca="false">INDEX(Datos_Origen!$H$2:$H$2459,$Z256)</f>
        <v>19</v>
      </c>
      <c r="AD256" s="61" t="str">
        <f aca="false">INDEX(Datos_Origen!$D$2:$D$2459,$Z256)&amp;""</f>
        <v>Rosario</v>
      </c>
    </row>
    <row r="257" customFormat="false" ht="15" hidden="false" customHeight="false" outlineLevel="0" collapsed="false">
      <c r="A257" s="61" t="n">
        <f aca="false">INDEX(Datos_Origen!$A$2:$A$2459,$Z257)</f>
        <v>256</v>
      </c>
      <c r="B257" s="62" t="n">
        <f aca="false">IF(ISNUMBER($AB257),$AB257,IF(MID($AB257,5,1)="-",DATE(VALUE(LEFT($AB257,4)),VALUE(MID($AB257,6,2)),VALUE(RIGHT($AB257,2))),DATE(VALUE(RIGHT($AB257,4)),VALUE(MID($AB257,4,2)),VALUE(LEFT($AB257,2)))))</f>
        <v>45362</v>
      </c>
      <c r="C257" s="61" t="n">
        <f aca="false">YEAR($B257)</f>
        <v>2024</v>
      </c>
      <c r="D257" s="61" t="str">
        <f aca="false">"Q"&amp;ROUNDUP(MONTH($B257)/3,0)</f>
        <v>Q1</v>
      </c>
      <c r="E257" s="61" t="n">
        <f aca="false">MONTH($B257)</f>
        <v>3</v>
      </c>
      <c r="F257" s="61" t="str">
        <f aca="false">INDEX(Parametros!$I$5:$I$16,$E257)</f>
        <v>Mar</v>
      </c>
      <c r="G257" s="61" t="str">
        <f aca="false">TEXT($C257,"0000")&amp;"-"&amp;TEXT($E257,"00")</f>
        <v>2024-03</v>
      </c>
      <c r="H257" s="61" t="str">
        <f aca="false">INDEX(Parametros!$C$71:$C$91,MATCH(TRIM(INDEX(Datos_Origen!$C$2:$C$2459,$Z257)),Parametros!$B$71:$B$91,0))</f>
        <v>Litoral</v>
      </c>
      <c r="I257" s="61" t="str">
        <f aca="false">IF(TRIM($AD257)="",INDEX(Parametros!$I$20:$I$24,MATCH($H257,Parametros!$H$20:$H$24,0)),TRIM($AD257))</f>
        <v>Rosario</v>
      </c>
      <c r="J257" s="61" t="str">
        <f aca="false">INDEX(Parametros!$C$95:$C$106,MATCH(TRIM(INDEX(Datos_Origen!$E$2:$E$2459,$Z257)),Parametros!$B$95:$B$106,0))</f>
        <v>E-commerce</v>
      </c>
      <c r="K257" s="61" t="str">
        <f aca="false">INDEX(Parametros!$C$48:$C$67,MATCH(TRIM(INDEX(Datos_Origen!$F$2:$F$2459,$Z257)),Parametros!$B$48:$B$67,0))</f>
        <v>Audio</v>
      </c>
      <c r="L257" s="61" t="str">
        <f aca="false">$K257&amp;" "&amp;$C257</f>
        <v>Audio 2024</v>
      </c>
      <c r="M257" s="61" t="str">
        <f aca="false">TRIM(INDEX(Datos_Origen!$G$2:$G$2459,$Z257))</f>
        <v>Parlante Bluetooth</v>
      </c>
      <c r="N257" s="61" t="str">
        <f aca="false">$M257&amp;" "&amp;$C257</f>
        <v>Parlante Bluetooth 2024</v>
      </c>
      <c r="O257" s="63" t="n">
        <f aca="false">IF(ISTEXT($AC257),VALUE($AC257),$AC257)</f>
        <v>7</v>
      </c>
      <c r="P257" s="64" t="n">
        <f aca="false">INDEX(Datos_Origen!$I$2:$I$2459,$Z257)</f>
        <v>83.3</v>
      </c>
      <c r="Q257" s="64" t="n">
        <f aca="false">INDEX(Datos_Origen!$J$2:$J$2459,$Z257)</f>
        <v>48.03</v>
      </c>
      <c r="R257" s="65" t="n">
        <f aca="false">ROUND($O257*$P257,2)</f>
        <v>583.1</v>
      </c>
      <c r="S257" s="65" t="n">
        <f aca="false">ROUND($O257*$Q257,2)</f>
        <v>336.21</v>
      </c>
      <c r="T257" s="65" t="n">
        <f aca="false">ROUND($R257*SUMIFS(Parametros!$E$28:$E$43,Parametros!$B$28:$B$43,$J257,Parametros!$C$28:$C$43,$C257,Parametros!$D$28:$D$43,$D257),2)</f>
        <v>24.49</v>
      </c>
      <c r="U257" s="65" t="n">
        <f aca="false">$R257-$S257-$T257</f>
        <v>222.4</v>
      </c>
      <c r="V257" s="66" t="n">
        <f aca="false">IFERROR($U257/$R257,0)</f>
        <v>0.381409706739839</v>
      </c>
      <c r="W257" s="67" t="str">
        <f aca="false">IF(AND($V257&gt;=Parametros!$C$8,$R257&gt;=Parametros!$C$12),"Alta rentabilidad",IF(OR($V257&lt;Parametros!$C$11,$R257&lt;Parametros!$C$13),"Revisar","Estandar"))</f>
        <v>Estandar</v>
      </c>
      <c r="X257" s="67" t="str">
        <f aca="false">IF(AND($J257="E-commerce",IFERROR($T257/$R257,0)&gt;Parametros!$C$14),"Alerta","OK")</f>
        <v>OK</v>
      </c>
      <c r="Y257" s="61" t="str">
        <f aca="false">IF($R257&gt;=Parametros!$C$12,"Alto",IF($R257&lt;Parametros!$C$13,"Bajo","Medio"))</f>
        <v>Medio</v>
      </c>
      <c r="Z257" s="61" t="n">
        <v>426</v>
      </c>
      <c r="AA257" s="61" t="str">
        <f aca="false">IF(MATCH($A257,Datos_Origen!$A$2:$A$2459,0)=$Z257,"OK","REVISAR")</f>
        <v>OK</v>
      </c>
      <c r="AB257" s="61" t="str">
        <f aca="false">INDEX(Datos_Origen!$B$2:$B$2459,$Z257)</f>
        <v>2024-03-11</v>
      </c>
      <c r="AC257" s="61" t="n">
        <f aca="false">INDEX(Datos_Origen!$H$2:$H$2459,$Z257)</f>
        <v>7</v>
      </c>
      <c r="AD257" s="61" t="str">
        <f aca="false">INDEX(Datos_Origen!$D$2:$D$2459,$Z257)&amp;""</f>
        <v>Rosario</v>
      </c>
    </row>
    <row r="258" customFormat="false" ht="15" hidden="false" customHeight="false" outlineLevel="0" collapsed="false">
      <c r="A258" s="61" t="n">
        <f aca="false">INDEX(Datos_Origen!$A$2:$A$2459,$Z258)</f>
        <v>257</v>
      </c>
      <c r="B258" s="62" t="n">
        <f aca="false">IF(ISNUMBER($AB258),$AB258,IF(MID($AB258,5,1)="-",DATE(VALUE(LEFT($AB258,4)),VALUE(MID($AB258,6,2)),VALUE(RIGHT($AB258,2))),DATE(VALUE(RIGHT($AB258,4)),VALUE(MID($AB258,4,2)),VALUE(LEFT($AB258,2)))))</f>
        <v>45369</v>
      </c>
      <c r="C258" s="61" t="n">
        <f aca="false">YEAR($B258)</f>
        <v>2024</v>
      </c>
      <c r="D258" s="61" t="str">
        <f aca="false">"Q"&amp;ROUNDUP(MONTH($B258)/3,0)</f>
        <v>Q1</v>
      </c>
      <c r="E258" s="61" t="n">
        <f aca="false">MONTH($B258)</f>
        <v>3</v>
      </c>
      <c r="F258" s="61" t="str">
        <f aca="false">INDEX(Parametros!$I$5:$I$16,$E258)</f>
        <v>Mar</v>
      </c>
      <c r="G258" s="61" t="str">
        <f aca="false">TEXT($C258,"0000")&amp;"-"&amp;TEXT($E258,"00")</f>
        <v>2024-03</v>
      </c>
      <c r="H258" s="61" t="str">
        <f aca="false">INDEX(Parametros!$C$71:$C$91,MATCH(TRIM(INDEX(Datos_Origen!$C$2:$C$2459,$Z258)),Parametros!$B$71:$B$91,0))</f>
        <v>Litoral</v>
      </c>
      <c r="I258" s="61" t="str">
        <f aca="false">IF(TRIM($AD258)="",INDEX(Parametros!$I$20:$I$24,MATCH($H258,Parametros!$H$20:$H$24,0)),TRIM($AD258))</f>
        <v>Rosario</v>
      </c>
      <c r="J258" s="61" t="str">
        <f aca="false">INDEX(Parametros!$C$95:$C$106,MATCH(TRIM(INDEX(Datos_Origen!$E$2:$E$2459,$Z258)),Parametros!$B$95:$B$106,0))</f>
        <v>Tienda fisica</v>
      </c>
      <c r="K258" s="61" t="str">
        <f aca="false">INDEX(Parametros!$C$48:$C$67,MATCH(TRIM(INDEX(Datos_Origen!$F$2:$F$2459,$Z258)),Parametros!$B$48:$B$67,0))</f>
        <v>Almacenamiento</v>
      </c>
      <c r="L258" s="61" t="str">
        <f aca="false">$K258&amp;" "&amp;$C258</f>
        <v>Almacenamiento 2024</v>
      </c>
      <c r="M258" s="61" t="str">
        <f aca="false">TRIM(INDEX(Datos_Origen!$G$2:$G$2459,$Z258))</f>
        <v>SSD Externo 1TB</v>
      </c>
      <c r="N258" s="61" t="str">
        <f aca="false">$M258&amp;" "&amp;$C258</f>
        <v>SSD Externo 1TB 2024</v>
      </c>
      <c r="O258" s="63" t="n">
        <f aca="false">IF(ISTEXT($AC258),VALUE($AC258),$AC258)</f>
        <v>27</v>
      </c>
      <c r="P258" s="64" t="n">
        <f aca="false">INDEX(Datos_Origen!$I$2:$I$2459,$Z258)</f>
        <v>127.4</v>
      </c>
      <c r="Q258" s="64" t="n">
        <f aca="false">INDEX(Datos_Origen!$J$2:$J$2459,$Z258)</f>
        <v>76.05</v>
      </c>
      <c r="R258" s="65" t="n">
        <f aca="false">ROUND($O258*$P258,2)</f>
        <v>3439.8</v>
      </c>
      <c r="S258" s="65" t="n">
        <f aca="false">ROUND($O258*$Q258,2)</f>
        <v>2053.35</v>
      </c>
      <c r="T258" s="65" t="n">
        <f aca="false">ROUND($R258*SUMIFS(Parametros!$E$28:$E$43,Parametros!$B$28:$B$43,$J258,Parametros!$C$28:$C$43,$C258,Parametros!$D$28:$D$43,$D258),2)</f>
        <v>41.28</v>
      </c>
      <c r="U258" s="65" t="n">
        <f aca="false">$R258-$S258-$T258</f>
        <v>1345.17</v>
      </c>
      <c r="V258" s="66" t="n">
        <f aca="false">IFERROR($U258/$R258,0)</f>
        <v>0.391060526774813</v>
      </c>
      <c r="W258" s="67" t="str">
        <f aca="false">IF(AND($V258&gt;=Parametros!$C$8,$R258&gt;=Parametros!$C$12),"Alta rentabilidad",IF(OR($V258&lt;Parametros!$C$11,$R258&lt;Parametros!$C$13),"Revisar","Estandar"))</f>
        <v>Alta rentabilidad</v>
      </c>
      <c r="X258" s="67" t="str">
        <f aca="false">IF(AND($J258="E-commerce",IFERROR($T258/$R258,0)&gt;Parametros!$C$14),"Alerta","OK")</f>
        <v>OK</v>
      </c>
      <c r="Y258" s="61" t="str">
        <f aca="false">IF($R258&gt;=Parametros!$C$12,"Alto",IF($R258&lt;Parametros!$C$13,"Bajo","Medio"))</f>
        <v>Alto</v>
      </c>
      <c r="Z258" s="61" t="n">
        <v>1219</v>
      </c>
      <c r="AA258" s="61" t="str">
        <f aca="false">IF(MATCH($A258,Datos_Origen!$A$2:$A$2459,0)=$Z258,"OK","REVISAR")</f>
        <v>OK</v>
      </c>
      <c r="AB258" s="62" t="n">
        <f aca="false">INDEX(Datos_Origen!$B$2:$B$2459,$Z258)</f>
        <v>45369</v>
      </c>
      <c r="AC258" s="61" t="n">
        <f aca="false">INDEX(Datos_Origen!$H$2:$H$2459,$Z258)</f>
        <v>27</v>
      </c>
      <c r="AD258" s="61" t="str">
        <f aca="false">INDEX(Datos_Origen!$D$2:$D$2459,$Z258)&amp;""</f>
        <v>Rosario</v>
      </c>
    </row>
    <row r="259" customFormat="false" ht="15" hidden="false" customHeight="false" outlineLevel="0" collapsed="false">
      <c r="A259" s="61" t="n">
        <f aca="false">INDEX(Datos_Origen!$A$2:$A$2459,$Z259)</f>
        <v>258</v>
      </c>
      <c r="B259" s="62" t="n">
        <f aca="false">IF(ISNUMBER($AB259),$AB259,IF(MID($AB259,5,1)="-",DATE(VALUE(LEFT($AB259,4)),VALUE(MID($AB259,6,2)),VALUE(RIGHT($AB259,2))),DATE(VALUE(RIGHT($AB259,4)),VALUE(MID($AB259,4,2)),VALUE(LEFT($AB259,2)))))</f>
        <v>45376</v>
      </c>
      <c r="C259" s="61" t="n">
        <f aca="false">YEAR($B259)</f>
        <v>2024</v>
      </c>
      <c r="D259" s="61" t="str">
        <f aca="false">"Q"&amp;ROUNDUP(MONTH($B259)/3,0)</f>
        <v>Q1</v>
      </c>
      <c r="E259" s="61" t="n">
        <f aca="false">MONTH($B259)</f>
        <v>3</v>
      </c>
      <c r="F259" s="61" t="str">
        <f aca="false">INDEX(Parametros!$I$5:$I$16,$E259)</f>
        <v>Mar</v>
      </c>
      <c r="G259" s="61" t="str">
        <f aca="false">TEXT($C259,"0000")&amp;"-"&amp;TEXT($E259,"00")</f>
        <v>2024-03</v>
      </c>
      <c r="H259" s="61" t="str">
        <f aca="false">INDEX(Parametros!$C$71:$C$91,MATCH(TRIM(INDEX(Datos_Origen!$C$2:$C$2459,$Z259)),Parametros!$B$71:$B$91,0))</f>
        <v>Litoral</v>
      </c>
      <c r="I259" s="61" t="str">
        <f aca="false">IF(TRIM($AD259)="",INDEX(Parametros!$I$20:$I$24,MATCH($H259,Parametros!$H$20:$H$24,0)),TRIM($AD259))</f>
        <v>Rosario</v>
      </c>
      <c r="J259" s="61" t="str">
        <f aca="false">INDEX(Parametros!$C$95:$C$106,MATCH(TRIM(INDEX(Datos_Origen!$E$2:$E$2459,$Z259)),Parametros!$B$95:$B$106,0))</f>
        <v>E-commerce</v>
      </c>
      <c r="K259" s="61" t="str">
        <f aca="false">INDEX(Parametros!$C$48:$C$67,MATCH(TRIM(INDEX(Datos_Origen!$F$2:$F$2459,$Z259)),Parametros!$B$48:$B$67,0))</f>
        <v>Almacenamiento</v>
      </c>
      <c r="L259" s="61" t="str">
        <f aca="false">$K259&amp;" "&amp;$C259</f>
        <v>Almacenamiento 2024</v>
      </c>
      <c r="M259" s="61" t="str">
        <f aca="false">TRIM(INDEX(Datos_Origen!$G$2:$G$2459,$Z259))</f>
        <v>SSD Externo 1TB</v>
      </c>
      <c r="N259" s="61" t="str">
        <f aca="false">$M259&amp;" "&amp;$C259</f>
        <v>SSD Externo 1TB 2024</v>
      </c>
      <c r="O259" s="63" t="n">
        <f aca="false">IF(ISTEXT($AC259),VALUE($AC259),$AC259)</f>
        <v>10</v>
      </c>
      <c r="P259" s="64" t="n">
        <f aca="false">INDEX(Datos_Origen!$I$2:$I$2459,$Z259)</f>
        <v>127.4</v>
      </c>
      <c r="Q259" s="64" t="n">
        <f aca="false">INDEX(Datos_Origen!$J$2:$J$2459,$Z259)</f>
        <v>76.05</v>
      </c>
      <c r="R259" s="65" t="n">
        <f aca="false">ROUND($O259*$P259,2)</f>
        <v>1274</v>
      </c>
      <c r="S259" s="65" t="n">
        <f aca="false">ROUND($O259*$Q259,2)</f>
        <v>760.5</v>
      </c>
      <c r="T259" s="65" t="n">
        <f aca="false">ROUND($R259*SUMIFS(Parametros!$E$28:$E$43,Parametros!$B$28:$B$43,$J259,Parametros!$C$28:$C$43,$C259,Parametros!$D$28:$D$43,$D259),2)</f>
        <v>53.51</v>
      </c>
      <c r="U259" s="65" t="n">
        <f aca="false">$R259-$S259-$T259</f>
        <v>459.99</v>
      </c>
      <c r="V259" s="66" t="n">
        <f aca="false">IFERROR($U259/$R259,0)</f>
        <v>0.361059654631083</v>
      </c>
      <c r="W259" s="67" t="str">
        <f aca="false">IF(AND($V259&gt;=Parametros!$C$8,$R259&gt;=Parametros!$C$12),"Alta rentabilidad",IF(OR($V259&lt;Parametros!$C$11,$R259&lt;Parametros!$C$13),"Revisar","Estandar"))</f>
        <v>Estandar</v>
      </c>
      <c r="X259" s="67" t="str">
        <f aca="false">IF(AND($J259="E-commerce",IFERROR($T259/$R259,0)&gt;Parametros!$C$14),"Alerta","OK")</f>
        <v>OK</v>
      </c>
      <c r="Y259" s="61" t="str">
        <f aca="false">IF($R259&gt;=Parametros!$C$12,"Alto",IF($R259&lt;Parametros!$C$13,"Bajo","Medio"))</f>
        <v>Medio</v>
      </c>
      <c r="Z259" s="61" t="n">
        <v>1556</v>
      </c>
      <c r="AA259" s="61" t="str">
        <f aca="false">IF(MATCH($A259,Datos_Origen!$A$2:$A$2459,0)=$Z259,"OK","REVISAR")</f>
        <v>OK</v>
      </c>
      <c r="AB259" s="62" t="n">
        <f aca="false">INDEX(Datos_Origen!$B$2:$B$2459,$Z259)</f>
        <v>45376</v>
      </c>
      <c r="AC259" s="61" t="n">
        <f aca="false">INDEX(Datos_Origen!$H$2:$H$2459,$Z259)</f>
        <v>10</v>
      </c>
      <c r="AD259" s="61" t="str">
        <f aca="false">INDEX(Datos_Origen!$D$2:$D$2459,$Z259)&amp;""</f>
        <v>Rosario</v>
      </c>
    </row>
    <row r="260" customFormat="false" ht="15" hidden="false" customHeight="false" outlineLevel="0" collapsed="false">
      <c r="A260" s="61" t="n">
        <f aca="false">INDEX(Datos_Origen!$A$2:$A$2459,$Z260)</f>
        <v>259</v>
      </c>
      <c r="B260" s="62" t="n">
        <f aca="false">IF(ISNUMBER($AB260),$AB260,IF(MID($AB260,5,1)="-",DATE(VALUE(LEFT($AB260,4)),VALUE(MID($AB260,6,2)),VALUE(RIGHT($AB260,2))),DATE(VALUE(RIGHT($AB260,4)),VALUE(MID($AB260,4,2)),VALUE(LEFT($AB260,2)))))</f>
        <v>45356</v>
      </c>
      <c r="C260" s="61" t="n">
        <f aca="false">YEAR($B260)</f>
        <v>2024</v>
      </c>
      <c r="D260" s="61" t="str">
        <f aca="false">"Q"&amp;ROUNDUP(MONTH($B260)/3,0)</f>
        <v>Q1</v>
      </c>
      <c r="E260" s="61" t="n">
        <f aca="false">MONTH($B260)</f>
        <v>3</v>
      </c>
      <c r="F260" s="61" t="str">
        <f aca="false">INDEX(Parametros!$I$5:$I$16,$E260)</f>
        <v>Mar</v>
      </c>
      <c r="G260" s="61" t="str">
        <f aca="false">TEXT($C260,"0000")&amp;"-"&amp;TEXT($E260,"00")</f>
        <v>2024-03</v>
      </c>
      <c r="H260" s="61" t="str">
        <f aca="false">INDEX(Parametros!$C$71:$C$91,MATCH(TRIM(INDEX(Datos_Origen!$C$2:$C$2459,$Z260)),Parametros!$B$71:$B$91,0))</f>
        <v>Litoral</v>
      </c>
      <c r="I260" s="61" t="str">
        <f aca="false">IF(TRIM($AD260)="",INDEX(Parametros!$I$20:$I$24,MATCH($H260,Parametros!$H$20:$H$24,0)),TRIM($AD260))</f>
        <v>Rosario</v>
      </c>
      <c r="J260" s="61" t="str">
        <f aca="false">INDEX(Parametros!$C$95:$C$106,MATCH(TRIM(INDEX(Datos_Origen!$E$2:$E$2459,$Z260)),Parametros!$B$95:$B$106,0))</f>
        <v>Tienda fisica</v>
      </c>
      <c r="K260" s="61" t="str">
        <f aca="false">INDEX(Parametros!$C$48:$C$67,MATCH(TRIM(INDEX(Datos_Origen!$F$2:$F$2459,$Z260)),Parametros!$B$48:$B$67,0))</f>
        <v>Almacenamiento</v>
      </c>
      <c r="L260" s="61" t="str">
        <f aca="false">$K260&amp;" "&amp;$C260</f>
        <v>Almacenamiento 2024</v>
      </c>
      <c r="M260" s="61" t="str">
        <f aca="false">TRIM(INDEX(Datos_Origen!$G$2:$G$2459,$Z260))</f>
        <v>Pendrive 256GB</v>
      </c>
      <c r="N260" s="61" t="str">
        <f aca="false">$M260&amp;" "&amp;$C260</f>
        <v>Pendrive 256GB 2024</v>
      </c>
      <c r="O260" s="63" t="n">
        <f aca="false">IF(ISTEXT($AC260),VALUE($AC260),$AC260)</f>
        <v>26</v>
      </c>
      <c r="P260" s="64" t="n">
        <f aca="false">INDEX(Datos_Origen!$I$2:$I$2459,$Z260)</f>
        <v>34.3</v>
      </c>
      <c r="Q260" s="64" t="n">
        <f aca="false">INDEX(Datos_Origen!$J$2:$J$2459,$Z260)</f>
        <v>17.85</v>
      </c>
      <c r="R260" s="65" t="n">
        <f aca="false">ROUND($O260*$P260,2)</f>
        <v>891.8</v>
      </c>
      <c r="S260" s="65" t="n">
        <f aca="false">ROUND($O260*$Q260,2)</f>
        <v>464.1</v>
      </c>
      <c r="T260" s="65" t="n">
        <f aca="false">ROUND($R260*SUMIFS(Parametros!$E$28:$E$43,Parametros!$B$28:$B$43,$J260,Parametros!$C$28:$C$43,$C260,Parametros!$D$28:$D$43,$D260),2)</f>
        <v>10.7</v>
      </c>
      <c r="U260" s="65" t="n">
        <f aca="false">$R260-$S260-$T260</f>
        <v>417</v>
      </c>
      <c r="V260" s="66" t="n">
        <f aca="false">IFERROR($U260/$R260,0)</f>
        <v>0.467593630858937</v>
      </c>
      <c r="W260" s="67" t="str">
        <f aca="false">IF(AND($V260&gt;=Parametros!$C$8,$R260&gt;=Parametros!$C$12),"Alta rentabilidad",IF(OR($V260&lt;Parametros!$C$11,$R260&lt;Parametros!$C$13),"Revisar","Estandar"))</f>
        <v>Estandar</v>
      </c>
      <c r="X260" s="67" t="str">
        <f aca="false">IF(AND($J260="E-commerce",IFERROR($T260/$R260,0)&gt;Parametros!$C$14),"Alerta","OK")</f>
        <v>OK</v>
      </c>
      <c r="Y260" s="61" t="str">
        <f aca="false">IF($R260&gt;=Parametros!$C$12,"Alto",IF($R260&lt;Parametros!$C$13,"Bajo","Medio"))</f>
        <v>Medio</v>
      </c>
      <c r="Z260" s="61" t="n">
        <v>2004</v>
      </c>
      <c r="AA260" s="61" t="str">
        <f aca="false">IF(MATCH($A260,Datos_Origen!$A$2:$A$2459,0)=$Z260,"OK","REVISAR")</f>
        <v>OK</v>
      </c>
      <c r="AB260" s="61" t="str">
        <f aca="false">INDEX(Datos_Origen!$B$2:$B$2459,$Z260)</f>
        <v>05/03/2024</v>
      </c>
      <c r="AC260" s="61" t="n">
        <f aca="false">INDEX(Datos_Origen!$H$2:$H$2459,$Z260)</f>
        <v>26</v>
      </c>
      <c r="AD260" s="61" t="str">
        <f aca="false">INDEX(Datos_Origen!$D$2:$D$2459,$Z260)&amp;""</f>
        <v>Rosario</v>
      </c>
    </row>
    <row r="261" customFormat="false" ht="15" hidden="false" customHeight="false" outlineLevel="0" collapsed="false">
      <c r="A261" s="61" t="n">
        <f aca="false">INDEX(Datos_Origen!$A$2:$A$2459,$Z261)</f>
        <v>260</v>
      </c>
      <c r="B261" s="62" t="n">
        <f aca="false">IF(ISNUMBER($AB261),$AB261,IF(MID($AB261,5,1)="-",DATE(VALUE(LEFT($AB261,4)),VALUE(MID($AB261,6,2)),VALUE(RIGHT($AB261,2))),DATE(VALUE(RIGHT($AB261,4)),VALUE(MID($AB261,4,2)),VALUE(LEFT($AB261,2)))))</f>
        <v>45363</v>
      </c>
      <c r="C261" s="61" t="n">
        <f aca="false">YEAR($B261)</f>
        <v>2024</v>
      </c>
      <c r="D261" s="61" t="str">
        <f aca="false">"Q"&amp;ROUNDUP(MONTH($B261)/3,0)</f>
        <v>Q1</v>
      </c>
      <c r="E261" s="61" t="n">
        <f aca="false">MONTH($B261)</f>
        <v>3</v>
      </c>
      <c r="F261" s="61" t="str">
        <f aca="false">INDEX(Parametros!$I$5:$I$16,$E261)</f>
        <v>Mar</v>
      </c>
      <c r="G261" s="61" t="str">
        <f aca="false">TEXT($C261,"0000")&amp;"-"&amp;TEXT($E261,"00")</f>
        <v>2024-03</v>
      </c>
      <c r="H261" s="61" t="str">
        <f aca="false">INDEX(Parametros!$C$71:$C$91,MATCH(TRIM(INDEX(Datos_Origen!$C$2:$C$2459,$Z261)),Parametros!$B$71:$B$91,0))</f>
        <v>Litoral</v>
      </c>
      <c r="I261" s="61" t="str">
        <f aca="false">IF(TRIM($AD261)="",INDEX(Parametros!$I$20:$I$24,MATCH($H261,Parametros!$H$20:$H$24,0)),TRIM($AD261))</f>
        <v>Rosario</v>
      </c>
      <c r="J261" s="61" t="str">
        <f aca="false">INDEX(Parametros!$C$95:$C$106,MATCH(TRIM(INDEX(Datos_Origen!$E$2:$E$2459,$Z261)),Parametros!$B$95:$B$106,0))</f>
        <v>E-commerce</v>
      </c>
      <c r="K261" s="61" t="str">
        <f aca="false">INDEX(Parametros!$C$48:$C$67,MATCH(TRIM(INDEX(Datos_Origen!$F$2:$F$2459,$Z261)),Parametros!$B$48:$B$67,0))</f>
        <v>Almacenamiento</v>
      </c>
      <c r="L261" s="61" t="str">
        <f aca="false">$K261&amp;" "&amp;$C261</f>
        <v>Almacenamiento 2024</v>
      </c>
      <c r="M261" s="61" t="str">
        <f aca="false">TRIM(INDEX(Datos_Origen!$G$2:$G$2459,$Z261))</f>
        <v>Pendrive 256GB</v>
      </c>
      <c r="N261" s="61" t="str">
        <f aca="false">$M261&amp;" "&amp;$C261</f>
        <v>Pendrive 256GB 2024</v>
      </c>
      <c r="O261" s="63" t="n">
        <f aca="false">IF(ISTEXT($AC261),VALUE($AC261),$AC261)</f>
        <v>10</v>
      </c>
      <c r="P261" s="64" t="n">
        <f aca="false">INDEX(Datos_Origen!$I$2:$I$2459,$Z261)</f>
        <v>34.3</v>
      </c>
      <c r="Q261" s="64" t="n">
        <f aca="false">INDEX(Datos_Origen!$J$2:$J$2459,$Z261)</f>
        <v>17.85</v>
      </c>
      <c r="R261" s="65" t="n">
        <f aca="false">ROUND($O261*$P261,2)</f>
        <v>343</v>
      </c>
      <c r="S261" s="65" t="n">
        <f aca="false">ROUND($O261*$Q261,2)</f>
        <v>178.5</v>
      </c>
      <c r="T261" s="65" t="n">
        <f aca="false">ROUND($R261*SUMIFS(Parametros!$E$28:$E$43,Parametros!$B$28:$B$43,$J261,Parametros!$C$28:$C$43,$C261,Parametros!$D$28:$D$43,$D261),2)</f>
        <v>14.41</v>
      </c>
      <c r="U261" s="65" t="n">
        <f aca="false">$R261-$S261-$T261</f>
        <v>150.09</v>
      </c>
      <c r="V261" s="66" t="n">
        <f aca="false">IFERROR($U261/$R261,0)</f>
        <v>0.437580174927114</v>
      </c>
      <c r="W261" s="67" t="str">
        <f aca="false">IF(AND($V261&gt;=Parametros!$C$8,$R261&gt;=Parametros!$C$12),"Alta rentabilidad",IF(OR($V261&lt;Parametros!$C$11,$R261&lt;Parametros!$C$13),"Revisar","Estandar"))</f>
        <v>Estandar</v>
      </c>
      <c r="X261" s="67" t="str">
        <f aca="false">IF(AND($J261="E-commerce",IFERROR($T261/$R261,0)&gt;Parametros!$C$14),"Alerta","OK")</f>
        <v>OK</v>
      </c>
      <c r="Y261" s="61" t="str">
        <f aca="false">IF($R261&gt;=Parametros!$C$12,"Alto",IF($R261&lt;Parametros!$C$13,"Bajo","Medio"))</f>
        <v>Medio</v>
      </c>
      <c r="Z261" s="61" t="n">
        <v>2247</v>
      </c>
      <c r="AA261" s="61" t="str">
        <f aca="false">IF(MATCH($A261,Datos_Origen!$A$2:$A$2459,0)=$Z261,"OK","REVISAR")</f>
        <v>OK</v>
      </c>
      <c r="AB261" s="62" t="n">
        <f aca="false">INDEX(Datos_Origen!$B$2:$B$2459,$Z261)</f>
        <v>45363</v>
      </c>
      <c r="AC261" s="61" t="n">
        <f aca="false">INDEX(Datos_Origen!$H$2:$H$2459,$Z261)</f>
        <v>10</v>
      </c>
      <c r="AD261" s="61" t="str">
        <f aca="false">INDEX(Datos_Origen!$D$2:$D$2459,$Z261)&amp;""</f>
        <v>Rosario</v>
      </c>
    </row>
    <row r="262" customFormat="false" ht="15" hidden="false" customHeight="false" outlineLevel="0" collapsed="false">
      <c r="A262" s="61" t="n">
        <f aca="false">INDEX(Datos_Origen!$A$2:$A$2459,$Z262)</f>
        <v>261</v>
      </c>
      <c r="B262" s="62" t="n">
        <f aca="false">IF(ISNUMBER($AB262),$AB262,IF(MID($AB262,5,1)="-",DATE(VALUE(LEFT($AB262,4)),VALUE(MID($AB262,6,2)),VALUE(RIGHT($AB262,2))),DATE(VALUE(RIGHT($AB262,4)),VALUE(MID($AB262,4,2)),VALUE(LEFT($AB262,2)))))</f>
        <v>45370</v>
      </c>
      <c r="C262" s="61" t="n">
        <f aca="false">YEAR($B262)</f>
        <v>2024</v>
      </c>
      <c r="D262" s="61" t="str">
        <f aca="false">"Q"&amp;ROUNDUP(MONTH($B262)/3,0)</f>
        <v>Q1</v>
      </c>
      <c r="E262" s="61" t="n">
        <f aca="false">MONTH($B262)</f>
        <v>3</v>
      </c>
      <c r="F262" s="61" t="str">
        <f aca="false">INDEX(Parametros!$I$5:$I$16,$E262)</f>
        <v>Mar</v>
      </c>
      <c r="G262" s="61" t="str">
        <f aca="false">TEXT($C262,"0000")&amp;"-"&amp;TEXT($E262,"00")</f>
        <v>2024-03</v>
      </c>
      <c r="H262" s="61" t="str">
        <f aca="false">INDEX(Parametros!$C$71:$C$91,MATCH(TRIM(INDEX(Datos_Origen!$C$2:$C$2459,$Z262)),Parametros!$B$71:$B$91,0))</f>
        <v>Cuyo</v>
      </c>
      <c r="I262" s="61" t="str">
        <f aca="false">IF(TRIM($AD262)="",INDEX(Parametros!$I$20:$I$24,MATCH($H262,Parametros!$H$20:$H$24,0)),TRIM($AD262))</f>
        <v>Mendoza</v>
      </c>
      <c r="J262" s="61" t="str">
        <f aca="false">INDEX(Parametros!$C$95:$C$106,MATCH(TRIM(INDEX(Datos_Origen!$E$2:$E$2459,$Z262)),Parametros!$B$95:$B$106,0))</f>
        <v>Tienda fisica</v>
      </c>
      <c r="K262" s="61" t="str">
        <f aca="false">INDEX(Parametros!$C$48:$C$67,MATCH(TRIM(INDEX(Datos_Origen!$F$2:$F$2459,$Z262)),Parametros!$B$48:$B$67,0))</f>
        <v>Computacion</v>
      </c>
      <c r="L262" s="61" t="str">
        <f aca="false">$K262&amp;" "&amp;$C262</f>
        <v>Computacion 2024</v>
      </c>
      <c r="M262" s="61" t="str">
        <f aca="false">TRIM(INDEX(Datos_Origen!$G$2:$G$2459,$Z262))</f>
        <v>Laptop Pro 15</v>
      </c>
      <c r="N262" s="61" t="str">
        <f aca="false">$M262&amp;" "&amp;$C262</f>
        <v>Laptop Pro 15 2024</v>
      </c>
      <c r="O262" s="63" t="n">
        <f aca="false">IF(ISTEXT($AC262),VALUE($AC262),$AC262)</f>
        <v>5</v>
      </c>
      <c r="P262" s="64" t="n">
        <f aca="false">INDEX(Datos_Origen!$I$2:$I$2459,$Z262)</f>
        <v>1176</v>
      </c>
      <c r="Q262" s="64" t="n">
        <f aca="false">INDEX(Datos_Origen!$J$2:$J$2459,$Z262)</f>
        <v>744</v>
      </c>
      <c r="R262" s="65" t="n">
        <f aca="false">ROUND($O262*$P262,2)</f>
        <v>5880</v>
      </c>
      <c r="S262" s="65" t="n">
        <f aca="false">ROUND($O262*$Q262,2)</f>
        <v>3720</v>
      </c>
      <c r="T262" s="65" t="n">
        <f aca="false">ROUND($R262*SUMIFS(Parametros!$E$28:$E$43,Parametros!$B$28:$B$43,$J262,Parametros!$C$28:$C$43,$C262,Parametros!$D$28:$D$43,$D262),2)</f>
        <v>70.56</v>
      </c>
      <c r="U262" s="65" t="n">
        <f aca="false">$R262-$S262-$T262</f>
        <v>2089.44</v>
      </c>
      <c r="V262" s="66" t="n">
        <f aca="false">IFERROR($U262/$R262,0)</f>
        <v>0.35534693877551</v>
      </c>
      <c r="W262" s="67" t="str">
        <f aca="false">IF(AND($V262&gt;=Parametros!$C$8,$R262&gt;=Parametros!$C$12),"Alta rentabilidad",IF(OR($V262&lt;Parametros!$C$11,$R262&lt;Parametros!$C$13),"Revisar","Estandar"))</f>
        <v>Alta rentabilidad</v>
      </c>
      <c r="X262" s="67" t="str">
        <f aca="false">IF(AND($J262="E-commerce",IFERROR($T262/$R262,0)&gt;Parametros!$C$14),"Alerta","OK")</f>
        <v>OK</v>
      </c>
      <c r="Y262" s="61" t="str">
        <f aca="false">IF($R262&gt;=Parametros!$C$12,"Alto",IF($R262&lt;Parametros!$C$13,"Bajo","Medio"))</f>
        <v>Alto</v>
      </c>
      <c r="Z262" s="61" t="n">
        <v>2377</v>
      </c>
      <c r="AA262" s="61" t="str">
        <f aca="false">IF(MATCH($A262,Datos_Origen!$A$2:$A$2459,0)=$Z262,"OK","REVISAR")</f>
        <v>OK</v>
      </c>
      <c r="AB262" s="62" t="n">
        <f aca="false">INDEX(Datos_Origen!$B$2:$B$2459,$Z262)</f>
        <v>45370</v>
      </c>
      <c r="AC262" s="61" t="str">
        <f aca="false">INDEX(Datos_Origen!$H$2:$H$2459,$Z262)</f>
        <v>5</v>
      </c>
      <c r="AD262" s="61" t="str">
        <f aca="false">INDEX(Datos_Origen!$D$2:$D$2459,$Z262)&amp;""</f>
        <v>Mendoza</v>
      </c>
    </row>
    <row r="263" customFormat="false" ht="15" hidden="false" customHeight="false" outlineLevel="0" collapsed="false">
      <c r="A263" s="61" t="n">
        <f aca="false">INDEX(Datos_Origen!$A$2:$A$2459,$Z263)</f>
        <v>262</v>
      </c>
      <c r="B263" s="62" t="n">
        <f aca="false">IF(ISNUMBER($AB263),$AB263,IF(MID($AB263,5,1)="-",DATE(VALUE(LEFT($AB263,4)),VALUE(MID($AB263,6,2)),VALUE(RIGHT($AB263,2))),DATE(VALUE(RIGHT($AB263,4)),VALUE(MID($AB263,4,2)),VALUE(LEFT($AB263,2)))))</f>
        <v>45377</v>
      </c>
      <c r="C263" s="61" t="n">
        <f aca="false">YEAR($B263)</f>
        <v>2024</v>
      </c>
      <c r="D263" s="61" t="str">
        <f aca="false">"Q"&amp;ROUNDUP(MONTH($B263)/3,0)</f>
        <v>Q1</v>
      </c>
      <c r="E263" s="61" t="n">
        <f aca="false">MONTH($B263)</f>
        <v>3</v>
      </c>
      <c r="F263" s="61" t="str">
        <f aca="false">INDEX(Parametros!$I$5:$I$16,$E263)</f>
        <v>Mar</v>
      </c>
      <c r="G263" s="61" t="str">
        <f aca="false">TEXT($C263,"0000")&amp;"-"&amp;TEXT($E263,"00")</f>
        <v>2024-03</v>
      </c>
      <c r="H263" s="61" t="str">
        <f aca="false">INDEX(Parametros!$C$71:$C$91,MATCH(TRIM(INDEX(Datos_Origen!$C$2:$C$2459,$Z263)),Parametros!$B$71:$B$91,0))</f>
        <v>Cuyo</v>
      </c>
      <c r="I263" s="61" t="str">
        <f aca="false">IF(TRIM($AD263)="",INDEX(Parametros!$I$20:$I$24,MATCH($H263,Parametros!$H$20:$H$24,0)),TRIM($AD263))</f>
        <v>Mendoza</v>
      </c>
      <c r="J263" s="61" t="str">
        <f aca="false">INDEX(Parametros!$C$95:$C$106,MATCH(TRIM(INDEX(Datos_Origen!$E$2:$E$2459,$Z263)),Parametros!$B$95:$B$106,0))</f>
        <v>E-commerce</v>
      </c>
      <c r="K263" s="61" t="str">
        <f aca="false">INDEX(Parametros!$C$48:$C$67,MATCH(TRIM(INDEX(Datos_Origen!$F$2:$F$2459,$Z263)),Parametros!$B$48:$B$67,0))</f>
        <v>Computacion</v>
      </c>
      <c r="L263" s="61" t="str">
        <f aca="false">$K263&amp;" "&amp;$C263</f>
        <v>Computacion 2024</v>
      </c>
      <c r="M263" s="61" t="str">
        <f aca="false">TRIM(INDEX(Datos_Origen!$G$2:$G$2459,$Z263))</f>
        <v>Laptop Pro 15</v>
      </c>
      <c r="N263" s="61" t="str">
        <f aca="false">$M263&amp;" "&amp;$C263</f>
        <v>Laptop Pro 15 2024</v>
      </c>
      <c r="O263" s="63" t="n">
        <f aca="false">IF(ISTEXT($AC263),VALUE($AC263),$AC263)</f>
        <v>2</v>
      </c>
      <c r="P263" s="64" t="n">
        <f aca="false">INDEX(Datos_Origen!$I$2:$I$2459,$Z263)</f>
        <v>1176</v>
      </c>
      <c r="Q263" s="64" t="n">
        <f aca="false">INDEX(Datos_Origen!$J$2:$J$2459,$Z263)</f>
        <v>744</v>
      </c>
      <c r="R263" s="65" t="n">
        <f aca="false">ROUND($O263*$P263,2)</f>
        <v>2352</v>
      </c>
      <c r="S263" s="65" t="n">
        <f aca="false">ROUND($O263*$Q263,2)</f>
        <v>1488</v>
      </c>
      <c r="T263" s="65" t="n">
        <f aca="false">ROUND($R263*SUMIFS(Parametros!$E$28:$E$43,Parametros!$B$28:$B$43,$J263,Parametros!$C$28:$C$43,$C263,Parametros!$D$28:$D$43,$D263),2)</f>
        <v>98.78</v>
      </c>
      <c r="U263" s="65" t="n">
        <f aca="false">$R263-$S263-$T263</f>
        <v>765.22</v>
      </c>
      <c r="V263" s="66" t="n">
        <f aca="false">IFERROR($U263/$R263,0)</f>
        <v>0.325348639455782</v>
      </c>
      <c r="W263" s="67" t="str">
        <f aca="false">IF(AND($V263&gt;=Parametros!$C$8,$R263&gt;=Parametros!$C$12),"Alta rentabilidad",IF(OR($V263&lt;Parametros!$C$11,$R263&lt;Parametros!$C$13),"Revisar","Estandar"))</f>
        <v>Estandar</v>
      </c>
      <c r="X263" s="67" t="str">
        <f aca="false">IF(AND($J263="E-commerce",IFERROR($T263/$R263,0)&gt;Parametros!$C$14),"Alerta","OK")</f>
        <v>OK</v>
      </c>
      <c r="Y263" s="61" t="str">
        <f aca="false">IF($R263&gt;=Parametros!$C$12,"Alto",IF($R263&lt;Parametros!$C$13,"Bajo","Medio"))</f>
        <v>Medio</v>
      </c>
      <c r="Z263" s="61" t="n">
        <v>846</v>
      </c>
      <c r="AA263" s="61" t="str">
        <f aca="false">IF(MATCH($A263,Datos_Origen!$A$2:$A$2459,0)=$Z263,"OK","REVISAR")</f>
        <v>OK</v>
      </c>
      <c r="AB263" s="62" t="n">
        <f aca="false">INDEX(Datos_Origen!$B$2:$B$2459,$Z263)</f>
        <v>45377</v>
      </c>
      <c r="AC263" s="61" t="n">
        <f aca="false">INDEX(Datos_Origen!$H$2:$H$2459,$Z263)</f>
        <v>2</v>
      </c>
      <c r="AD263" s="61" t="str">
        <f aca="false">INDEX(Datos_Origen!$D$2:$D$2459,$Z263)&amp;""</f>
        <v>Mendoza</v>
      </c>
    </row>
    <row r="264" customFormat="false" ht="15" hidden="false" customHeight="false" outlineLevel="0" collapsed="false">
      <c r="A264" s="61" t="n">
        <f aca="false">INDEX(Datos_Origen!$A$2:$A$2459,$Z264)</f>
        <v>263</v>
      </c>
      <c r="B264" s="62" t="n">
        <f aca="false">IF(ISNUMBER($AB264),$AB264,IF(MID($AB264,5,1)="-",DATE(VALUE(LEFT($AB264,4)),VALUE(MID($AB264,6,2)),VALUE(RIGHT($AB264,2))),DATE(VALUE(RIGHT($AB264,4)),VALUE(MID($AB264,4,2)),VALUE(LEFT($AB264,2)))))</f>
        <v>45357</v>
      </c>
      <c r="C264" s="61" t="n">
        <f aca="false">YEAR($B264)</f>
        <v>2024</v>
      </c>
      <c r="D264" s="61" t="str">
        <f aca="false">"Q"&amp;ROUNDUP(MONTH($B264)/3,0)</f>
        <v>Q1</v>
      </c>
      <c r="E264" s="61" t="n">
        <f aca="false">MONTH($B264)</f>
        <v>3</v>
      </c>
      <c r="F264" s="61" t="str">
        <f aca="false">INDEX(Parametros!$I$5:$I$16,$E264)</f>
        <v>Mar</v>
      </c>
      <c r="G264" s="61" t="str">
        <f aca="false">TEXT($C264,"0000")&amp;"-"&amp;TEXT($E264,"00")</f>
        <v>2024-03</v>
      </c>
      <c r="H264" s="61" t="str">
        <f aca="false">INDEX(Parametros!$C$71:$C$91,MATCH(TRIM(INDEX(Datos_Origen!$C$2:$C$2459,$Z264)),Parametros!$B$71:$B$91,0))</f>
        <v>Cuyo</v>
      </c>
      <c r="I264" s="61" t="str">
        <f aca="false">IF(TRIM($AD264)="",INDEX(Parametros!$I$20:$I$24,MATCH($H264,Parametros!$H$20:$H$24,0)),TRIM($AD264))</f>
        <v>Mendoza</v>
      </c>
      <c r="J264" s="61" t="str">
        <f aca="false">INDEX(Parametros!$C$95:$C$106,MATCH(TRIM(INDEX(Datos_Origen!$E$2:$E$2459,$Z264)),Parametros!$B$95:$B$106,0))</f>
        <v>Tienda fisica</v>
      </c>
      <c r="K264" s="61" t="str">
        <f aca="false">INDEX(Parametros!$C$48:$C$67,MATCH(TRIM(INDEX(Datos_Origen!$F$2:$F$2459,$Z264)),Parametros!$B$48:$B$67,0))</f>
        <v>Computacion</v>
      </c>
      <c r="L264" s="61" t="str">
        <f aca="false">$K264&amp;" "&amp;$C264</f>
        <v>Computacion 2024</v>
      </c>
      <c r="M264" s="61" t="str">
        <f aca="false">TRIM(INDEX(Datos_Origen!$G$2:$G$2459,$Z264))</f>
        <v>Monitor 4K 27</v>
      </c>
      <c r="N264" s="61" t="str">
        <f aca="false">$M264&amp;" "&amp;$C264</f>
        <v>Monitor 4K 27 2024</v>
      </c>
      <c r="O264" s="63" t="n">
        <f aca="false">IF(ISTEXT($AC264),VALUE($AC264),$AC264)</f>
        <v>5</v>
      </c>
      <c r="P264" s="64" t="n">
        <f aca="false">INDEX(Datos_Origen!$I$2:$I$2459,$Z264)</f>
        <v>441</v>
      </c>
      <c r="Q264" s="64" t="n">
        <f aca="false">INDEX(Datos_Origen!$J$2:$J$2459,$Z264)</f>
        <v>272.25</v>
      </c>
      <c r="R264" s="65" t="n">
        <f aca="false">ROUND($O264*$P264,2)</f>
        <v>2205</v>
      </c>
      <c r="S264" s="65" t="n">
        <f aca="false">ROUND($O264*$Q264,2)</f>
        <v>1361.25</v>
      </c>
      <c r="T264" s="65" t="n">
        <f aca="false">ROUND($R264*SUMIFS(Parametros!$E$28:$E$43,Parametros!$B$28:$B$43,$J264,Parametros!$C$28:$C$43,$C264,Parametros!$D$28:$D$43,$D264),2)</f>
        <v>26.46</v>
      </c>
      <c r="U264" s="65" t="n">
        <f aca="false">$R264-$S264-$T264</f>
        <v>817.29</v>
      </c>
      <c r="V264" s="66" t="n">
        <f aca="false">IFERROR($U264/$R264,0)</f>
        <v>0.37065306122449</v>
      </c>
      <c r="W264" s="67" t="str">
        <f aca="false">IF(AND($V264&gt;=Parametros!$C$8,$R264&gt;=Parametros!$C$12),"Alta rentabilidad",IF(OR($V264&lt;Parametros!$C$11,$R264&lt;Parametros!$C$13),"Revisar","Estandar"))</f>
        <v>Estandar</v>
      </c>
      <c r="X264" s="67" t="str">
        <f aca="false">IF(AND($J264="E-commerce",IFERROR($T264/$R264,0)&gt;Parametros!$C$14),"Alerta","OK")</f>
        <v>OK</v>
      </c>
      <c r="Y264" s="61" t="str">
        <f aca="false">IF($R264&gt;=Parametros!$C$12,"Alto",IF($R264&lt;Parametros!$C$13,"Bajo","Medio"))</f>
        <v>Medio</v>
      </c>
      <c r="Z264" s="61" t="n">
        <v>365</v>
      </c>
      <c r="AA264" s="61" t="str">
        <f aca="false">IF(MATCH($A264,Datos_Origen!$A$2:$A$2459,0)=$Z264,"OK","REVISAR")</f>
        <v>OK</v>
      </c>
      <c r="AB264" s="62" t="n">
        <f aca="false">INDEX(Datos_Origen!$B$2:$B$2459,$Z264)</f>
        <v>45357</v>
      </c>
      <c r="AC264" s="61" t="n">
        <f aca="false">INDEX(Datos_Origen!$H$2:$H$2459,$Z264)</f>
        <v>5</v>
      </c>
      <c r="AD264" s="61" t="str">
        <f aca="false">INDEX(Datos_Origen!$D$2:$D$2459,$Z264)&amp;""</f>
        <v>Mendoza</v>
      </c>
    </row>
    <row r="265" customFormat="false" ht="15" hidden="false" customHeight="false" outlineLevel="0" collapsed="false">
      <c r="A265" s="61" t="n">
        <f aca="false">INDEX(Datos_Origen!$A$2:$A$2459,$Z265)</f>
        <v>264</v>
      </c>
      <c r="B265" s="62" t="n">
        <f aca="false">IF(ISNUMBER($AB265),$AB265,IF(MID($AB265,5,1)="-",DATE(VALUE(LEFT($AB265,4)),VALUE(MID($AB265,6,2)),VALUE(RIGHT($AB265,2))),DATE(VALUE(RIGHT($AB265,4)),VALUE(MID($AB265,4,2)),VALUE(LEFT($AB265,2)))))</f>
        <v>45364</v>
      </c>
      <c r="C265" s="61" t="n">
        <f aca="false">YEAR($B265)</f>
        <v>2024</v>
      </c>
      <c r="D265" s="61" t="str">
        <f aca="false">"Q"&amp;ROUNDUP(MONTH($B265)/3,0)</f>
        <v>Q1</v>
      </c>
      <c r="E265" s="61" t="n">
        <f aca="false">MONTH($B265)</f>
        <v>3</v>
      </c>
      <c r="F265" s="61" t="str">
        <f aca="false">INDEX(Parametros!$I$5:$I$16,$E265)</f>
        <v>Mar</v>
      </c>
      <c r="G265" s="61" t="str">
        <f aca="false">TEXT($C265,"0000")&amp;"-"&amp;TEXT($E265,"00")</f>
        <v>2024-03</v>
      </c>
      <c r="H265" s="61" t="str">
        <f aca="false">INDEX(Parametros!$C$71:$C$91,MATCH(TRIM(INDEX(Datos_Origen!$C$2:$C$2459,$Z265)),Parametros!$B$71:$B$91,0))</f>
        <v>Cuyo</v>
      </c>
      <c r="I265" s="61" t="str">
        <f aca="false">IF(TRIM($AD265)="",INDEX(Parametros!$I$20:$I$24,MATCH($H265,Parametros!$H$20:$H$24,0)),TRIM($AD265))</f>
        <v>Mendoza</v>
      </c>
      <c r="J265" s="61" t="str">
        <f aca="false">INDEX(Parametros!$C$95:$C$106,MATCH(TRIM(INDEX(Datos_Origen!$E$2:$E$2459,$Z265)),Parametros!$B$95:$B$106,0))</f>
        <v>E-commerce</v>
      </c>
      <c r="K265" s="61" t="str">
        <f aca="false">INDEX(Parametros!$C$48:$C$67,MATCH(TRIM(INDEX(Datos_Origen!$F$2:$F$2459,$Z265)),Parametros!$B$48:$B$67,0))</f>
        <v>Computacion</v>
      </c>
      <c r="L265" s="61" t="str">
        <f aca="false">$K265&amp;" "&amp;$C265</f>
        <v>Computacion 2024</v>
      </c>
      <c r="M265" s="61" t="str">
        <f aca="false">TRIM(INDEX(Datos_Origen!$G$2:$G$2459,$Z265))</f>
        <v>Monitor 4K 27</v>
      </c>
      <c r="N265" s="61" t="str">
        <f aca="false">$M265&amp;" "&amp;$C265</f>
        <v>Monitor 4K 27 2024</v>
      </c>
      <c r="O265" s="63" t="n">
        <f aca="false">IF(ISTEXT($AC265),VALUE($AC265),$AC265)</f>
        <v>2</v>
      </c>
      <c r="P265" s="64" t="n">
        <f aca="false">INDEX(Datos_Origen!$I$2:$I$2459,$Z265)</f>
        <v>441</v>
      </c>
      <c r="Q265" s="64" t="n">
        <f aca="false">INDEX(Datos_Origen!$J$2:$J$2459,$Z265)</f>
        <v>272.25</v>
      </c>
      <c r="R265" s="65" t="n">
        <f aca="false">ROUND($O265*$P265,2)</f>
        <v>882</v>
      </c>
      <c r="S265" s="65" t="n">
        <f aca="false">ROUND($O265*$Q265,2)</f>
        <v>544.5</v>
      </c>
      <c r="T265" s="65" t="n">
        <f aca="false">ROUND($R265*SUMIFS(Parametros!$E$28:$E$43,Parametros!$B$28:$B$43,$J265,Parametros!$C$28:$C$43,$C265,Parametros!$D$28:$D$43,$D265),2)</f>
        <v>37.04</v>
      </c>
      <c r="U265" s="65" t="n">
        <f aca="false">$R265-$S265-$T265</f>
        <v>300.46</v>
      </c>
      <c r="V265" s="66" t="n">
        <f aca="false">IFERROR($U265/$R265,0)</f>
        <v>0.340657596371882</v>
      </c>
      <c r="W265" s="67" t="str">
        <f aca="false">IF(AND($V265&gt;=Parametros!$C$8,$R265&gt;=Parametros!$C$12),"Alta rentabilidad",IF(OR($V265&lt;Parametros!$C$11,$R265&lt;Parametros!$C$13),"Revisar","Estandar"))</f>
        <v>Estandar</v>
      </c>
      <c r="X265" s="67" t="str">
        <f aca="false">IF(AND($J265="E-commerce",IFERROR($T265/$R265,0)&gt;Parametros!$C$14),"Alerta","OK")</f>
        <v>OK</v>
      </c>
      <c r="Y265" s="61" t="str">
        <f aca="false">IF($R265&gt;=Parametros!$C$12,"Alto",IF($R265&lt;Parametros!$C$13,"Bajo","Medio"))</f>
        <v>Medio</v>
      </c>
      <c r="Z265" s="61" t="n">
        <v>412</v>
      </c>
      <c r="AA265" s="61" t="str">
        <f aca="false">IF(MATCH($A265,Datos_Origen!$A$2:$A$2459,0)=$Z265,"OK","REVISAR")</f>
        <v>OK</v>
      </c>
      <c r="AB265" s="62" t="n">
        <f aca="false">INDEX(Datos_Origen!$B$2:$B$2459,$Z265)</f>
        <v>45364</v>
      </c>
      <c r="AC265" s="61" t="n">
        <f aca="false">INDEX(Datos_Origen!$H$2:$H$2459,$Z265)</f>
        <v>2</v>
      </c>
      <c r="AD265" s="61" t="str">
        <f aca="false">INDEX(Datos_Origen!$D$2:$D$2459,$Z265)&amp;""</f>
        <v>Mendoza</v>
      </c>
    </row>
    <row r="266" customFormat="false" ht="15" hidden="false" customHeight="false" outlineLevel="0" collapsed="false">
      <c r="A266" s="61" t="n">
        <f aca="false">INDEX(Datos_Origen!$A$2:$A$2459,$Z266)</f>
        <v>265</v>
      </c>
      <c r="B266" s="62" t="n">
        <f aca="false">IF(ISNUMBER($AB266),$AB266,IF(MID($AB266,5,1)="-",DATE(VALUE(LEFT($AB266,4)),VALUE(MID($AB266,6,2)),VALUE(RIGHT($AB266,2))),DATE(VALUE(RIGHT($AB266,4)),VALUE(MID($AB266,4,2)),VALUE(LEFT($AB266,2)))))</f>
        <v>45371</v>
      </c>
      <c r="C266" s="61" t="n">
        <f aca="false">YEAR($B266)</f>
        <v>2024</v>
      </c>
      <c r="D266" s="61" t="str">
        <f aca="false">"Q"&amp;ROUNDUP(MONTH($B266)/3,0)</f>
        <v>Q1</v>
      </c>
      <c r="E266" s="61" t="n">
        <f aca="false">MONTH($B266)</f>
        <v>3</v>
      </c>
      <c r="F266" s="61" t="str">
        <f aca="false">INDEX(Parametros!$I$5:$I$16,$E266)</f>
        <v>Mar</v>
      </c>
      <c r="G266" s="61" t="str">
        <f aca="false">TEXT($C266,"0000")&amp;"-"&amp;TEXT($E266,"00")</f>
        <v>2024-03</v>
      </c>
      <c r="H266" s="61" t="str">
        <f aca="false">INDEX(Parametros!$C$71:$C$91,MATCH(TRIM(INDEX(Datos_Origen!$C$2:$C$2459,$Z266)),Parametros!$B$71:$B$91,0))</f>
        <v>Cuyo</v>
      </c>
      <c r="I266" s="61" t="str">
        <f aca="false">IF(TRIM($AD266)="",INDEX(Parametros!$I$20:$I$24,MATCH($H266,Parametros!$H$20:$H$24,0)),TRIM($AD266))</f>
        <v>Mendoza</v>
      </c>
      <c r="J266" s="61" t="str">
        <f aca="false">INDEX(Parametros!$C$95:$C$106,MATCH(TRIM(INDEX(Datos_Origen!$E$2:$E$2459,$Z266)),Parametros!$B$95:$B$106,0))</f>
        <v>Tienda fisica</v>
      </c>
      <c r="K266" s="61" t="str">
        <f aca="false">INDEX(Parametros!$C$48:$C$67,MATCH(TRIM(INDEX(Datos_Origen!$F$2:$F$2459,$Z266)),Parametros!$B$48:$B$67,0))</f>
        <v>Computacion</v>
      </c>
      <c r="L266" s="61" t="str">
        <f aca="false">$K266&amp;" "&amp;$C266</f>
        <v>Computacion 2024</v>
      </c>
      <c r="M266" s="61" t="str">
        <f aca="false">TRIM(INDEX(Datos_Origen!$G$2:$G$2459,$Z266))</f>
        <v>PC Gamer Ryzen</v>
      </c>
      <c r="N266" s="61" t="str">
        <f aca="false">$M266&amp;" "&amp;$C266</f>
        <v>PC Gamer Ryzen 2024</v>
      </c>
      <c r="O266" s="63" t="n">
        <f aca="false">IF(ISTEXT($AC266),VALUE($AC266),$AC266)</f>
        <v>6</v>
      </c>
      <c r="P266" s="64" t="n">
        <f aca="false">INDEX(Datos_Origen!$I$2:$I$2459,$Z266)</f>
        <v>1617</v>
      </c>
      <c r="Q266" s="64" t="n">
        <f aca="false">INDEX(Datos_Origen!$J$2:$J$2459,$Z266)</f>
        <v>1122</v>
      </c>
      <c r="R266" s="65" t="n">
        <f aca="false">ROUND($O266*$P266,2)</f>
        <v>9702</v>
      </c>
      <c r="S266" s="65" t="n">
        <f aca="false">ROUND($O266*$Q266,2)</f>
        <v>6732</v>
      </c>
      <c r="T266" s="65" t="n">
        <f aca="false">ROUND($R266*SUMIFS(Parametros!$E$28:$E$43,Parametros!$B$28:$B$43,$J266,Parametros!$C$28:$C$43,$C266,Parametros!$D$28:$D$43,$D266),2)</f>
        <v>116.42</v>
      </c>
      <c r="U266" s="65" t="n">
        <f aca="false">$R266-$S266-$T266</f>
        <v>2853.58</v>
      </c>
      <c r="V266" s="66" t="n">
        <f aca="false">IFERROR($U266/$R266,0)</f>
        <v>0.294122861265718</v>
      </c>
      <c r="W266" s="67" t="str">
        <f aca="false">IF(AND($V266&gt;=Parametros!$C$8,$R266&gt;=Parametros!$C$12),"Alta rentabilidad",IF(OR($V266&lt;Parametros!$C$11,$R266&lt;Parametros!$C$13),"Revisar","Estandar"))</f>
        <v>Estandar</v>
      </c>
      <c r="X266" s="67" t="str">
        <f aca="false">IF(AND($J266="E-commerce",IFERROR($T266/$R266,0)&gt;Parametros!$C$14),"Alerta","OK")</f>
        <v>OK</v>
      </c>
      <c r="Y266" s="61" t="str">
        <f aca="false">IF($R266&gt;=Parametros!$C$12,"Alto",IF($R266&lt;Parametros!$C$13,"Bajo","Medio"))</f>
        <v>Alto</v>
      </c>
      <c r="Z266" s="61" t="n">
        <v>539</v>
      </c>
      <c r="AA266" s="61" t="str">
        <f aca="false">IF(MATCH($A266,Datos_Origen!$A$2:$A$2459,0)=$Z266,"OK","REVISAR")</f>
        <v>OK</v>
      </c>
      <c r="AB266" s="61" t="str">
        <f aca="false">INDEX(Datos_Origen!$B$2:$B$2459,$Z266)</f>
        <v>2024-03-20</v>
      </c>
      <c r="AC266" s="61" t="n">
        <f aca="false">INDEX(Datos_Origen!$H$2:$H$2459,$Z266)</f>
        <v>6</v>
      </c>
      <c r="AD266" s="61" t="str">
        <f aca="false">INDEX(Datos_Origen!$D$2:$D$2459,$Z266)&amp;""</f>
        <v>Mendoza</v>
      </c>
    </row>
    <row r="267" customFormat="false" ht="15" hidden="false" customHeight="false" outlineLevel="0" collapsed="false">
      <c r="A267" s="61" t="n">
        <f aca="false">INDEX(Datos_Origen!$A$2:$A$2459,$Z267)</f>
        <v>266</v>
      </c>
      <c r="B267" s="62" t="n">
        <f aca="false">IF(ISNUMBER($AB267),$AB267,IF(MID($AB267,5,1)="-",DATE(VALUE(LEFT($AB267,4)),VALUE(MID($AB267,6,2)),VALUE(RIGHT($AB267,2))),DATE(VALUE(RIGHT($AB267,4)),VALUE(MID($AB267,4,2)),VALUE(LEFT($AB267,2)))))</f>
        <v>45378</v>
      </c>
      <c r="C267" s="61" t="n">
        <f aca="false">YEAR($B267)</f>
        <v>2024</v>
      </c>
      <c r="D267" s="61" t="str">
        <f aca="false">"Q"&amp;ROUNDUP(MONTH($B267)/3,0)</f>
        <v>Q1</v>
      </c>
      <c r="E267" s="61" t="n">
        <f aca="false">MONTH($B267)</f>
        <v>3</v>
      </c>
      <c r="F267" s="61" t="str">
        <f aca="false">INDEX(Parametros!$I$5:$I$16,$E267)</f>
        <v>Mar</v>
      </c>
      <c r="G267" s="61" t="str">
        <f aca="false">TEXT($C267,"0000")&amp;"-"&amp;TEXT($E267,"00")</f>
        <v>2024-03</v>
      </c>
      <c r="H267" s="61" t="str">
        <f aca="false">INDEX(Parametros!$C$71:$C$91,MATCH(TRIM(INDEX(Datos_Origen!$C$2:$C$2459,$Z267)),Parametros!$B$71:$B$91,0))</f>
        <v>Cuyo</v>
      </c>
      <c r="I267" s="61" t="str">
        <f aca="false">IF(TRIM($AD267)="",INDEX(Parametros!$I$20:$I$24,MATCH($H267,Parametros!$H$20:$H$24,0)),TRIM($AD267))</f>
        <v>Mendoza</v>
      </c>
      <c r="J267" s="61" t="str">
        <f aca="false">INDEX(Parametros!$C$95:$C$106,MATCH(TRIM(INDEX(Datos_Origen!$E$2:$E$2459,$Z267)),Parametros!$B$95:$B$106,0))</f>
        <v>E-commerce</v>
      </c>
      <c r="K267" s="61" t="str">
        <f aca="false">INDEX(Parametros!$C$48:$C$67,MATCH(TRIM(INDEX(Datos_Origen!$F$2:$F$2459,$Z267)),Parametros!$B$48:$B$67,0))</f>
        <v>Computacion</v>
      </c>
      <c r="L267" s="61" t="str">
        <f aca="false">$K267&amp;" "&amp;$C267</f>
        <v>Computacion 2024</v>
      </c>
      <c r="M267" s="61" t="str">
        <f aca="false">TRIM(INDEX(Datos_Origen!$G$2:$G$2459,$Z267))</f>
        <v>PC Gamer Ryzen</v>
      </c>
      <c r="N267" s="61" t="str">
        <f aca="false">$M267&amp;" "&amp;$C267</f>
        <v>PC Gamer Ryzen 2024</v>
      </c>
      <c r="O267" s="63" t="n">
        <f aca="false">IF(ISTEXT($AC267),VALUE($AC267),$AC267)</f>
        <v>3</v>
      </c>
      <c r="P267" s="64" t="n">
        <f aca="false">INDEX(Datos_Origen!$I$2:$I$2459,$Z267)</f>
        <v>1617</v>
      </c>
      <c r="Q267" s="64" t="n">
        <f aca="false">INDEX(Datos_Origen!$J$2:$J$2459,$Z267)</f>
        <v>1122</v>
      </c>
      <c r="R267" s="65" t="n">
        <f aca="false">ROUND($O267*$P267,2)</f>
        <v>4851</v>
      </c>
      <c r="S267" s="65" t="n">
        <f aca="false">ROUND($O267*$Q267,2)</f>
        <v>3366</v>
      </c>
      <c r="T267" s="65" t="n">
        <f aca="false">ROUND($R267*SUMIFS(Parametros!$E$28:$E$43,Parametros!$B$28:$B$43,$J267,Parametros!$C$28:$C$43,$C267,Parametros!$D$28:$D$43,$D267),2)</f>
        <v>203.74</v>
      </c>
      <c r="U267" s="65" t="n">
        <f aca="false">$R267-$S267-$T267</f>
        <v>1281.26</v>
      </c>
      <c r="V267" s="66" t="n">
        <f aca="false">IFERROR($U267/$R267,0)</f>
        <v>0.264122861265718</v>
      </c>
      <c r="W267" s="67" t="str">
        <f aca="false">IF(AND($V267&gt;=Parametros!$C$8,$R267&gt;=Parametros!$C$12),"Alta rentabilidad",IF(OR($V267&lt;Parametros!$C$11,$R267&lt;Parametros!$C$13),"Revisar","Estandar"))</f>
        <v>Revisar</v>
      </c>
      <c r="X267" s="67" t="str">
        <f aca="false">IF(AND($J267="E-commerce",IFERROR($T267/$R267,0)&gt;Parametros!$C$14),"Alerta","OK")</f>
        <v>OK</v>
      </c>
      <c r="Y267" s="61" t="str">
        <f aca="false">IF($R267&gt;=Parametros!$C$12,"Alto",IF($R267&lt;Parametros!$C$13,"Bajo","Medio"))</f>
        <v>Alto</v>
      </c>
      <c r="Z267" s="61" t="n">
        <v>366</v>
      </c>
      <c r="AA267" s="61" t="str">
        <f aca="false">IF(MATCH($A267,Datos_Origen!$A$2:$A$2459,0)=$Z267,"OK","REVISAR")</f>
        <v>OK</v>
      </c>
      <c r="AB267" s="61" t="str">
        <f aca="false">INDEX(Datos_Origen!$B$2:$B$2459,$Z267)</f>
        <v>27/03/2024</v>
      </c>
      <c r="AC267" s="61" t="n">
        <f aca="false">INDEX(Datos_Origen!$H$2:$H$2459,$Z267)</f>
        <v>3</v>
      </c>
      <c r="AD267" s="61" t="str">
        <f aca="false">INDEX(Datos_Origen!$D$2:$D$2459,$Z267)&amp;""</f>
        <v>Mendoza</v>
      </c>
    </row>
    <row r="268" customFormat="false" ht="15" hidden="false" customHeight="false" outlineLevel="0" collapsed="false">
      <c r="A268" s="61" t="n">
        <f aca="false">INDEX(Datos_Origen!$A$2:$A$2459,$Z268)</f>
        <v>267</v>
      </c>
      <c r="B268" s="62" t="n">
        <f aca="false">IF(ISNUMBER($AB268),$AB268,IF(MID($AB268,5,1)="-",DATE(VALUE(LEFT($AB268,4)),VALUE(MID($AB268,6,2)),VALUE(RIGHT($AB268,2))),DATE(VALUE(RIGHT($AB268,4)),VALUE(MID($AB268,4,2)),VALUE(LEFT($AB268,2)))))</f>
        <v>45358</v>
      </c>
      <c r="C268" s="61" t="n">
        <f aca="false">YEAR($B268)</f>
        <v>2024</v>
      </c>
      <c r="D268" s="61" t="str">
        <f aca="false">"Q"&amp;ROUNDUP(MONTH($B268)/3,0)</f>
        <v>Q1</v>
      </c>
      <c r="E268" s="61" t="n">
        <f aca="false">MONTH($B268)</f>
        <v>3</v>
      </c>
      <c r="F268" s="61" t="str">
        <f aca="false">INDEX(Parametros!$I$5:$I$16,$E268)</f>
        <v>Mar</v>
      </c>
      <c r="G268" s="61" t="str">
        <f aca="false">TEXT($C268,"0000")&amp;"-"&amp;TEXT($E268,"00")</f>
        <v>2024-03</v>
      </c>
      <c r="H268" s="61" t="str">
        <f aca="false">INDEX(Parametros!$C$71:$C$91,MATCH(TRIM(INDEX(Datos_Origen!$C$2:$C$2459,$Z268)),Parametros!$B$71:$B$91,0))</f>
        <v>Cuyo</v>
      </c>
      <c r="I268" s="61" t="str">
        <f aca="false">IF(TRIM($AD268)="",INDEX(Parametros!$I$20:$I$24,MATCH($H268,Parametros!$H$20:$H$24,0)),TRIM($AD268))</f>
        <v>Mendoza</v>
      </c>
      <c r="J268" s="61" t="str">
        <f aca="false">INDEX(Parametros!$C$95:$C$106,MATCH(TRIM(INDEX(Datos_Origen!$E$2:$E$2459,$Z268)),Parametros!$B$95:$B$106,0))</f>
        <v>Tienda fisica</v>
      </c>
      <c r="K268" s="61" t="str">
        <f aca="false">INDEX(Parametros!$C$48:$C$67,MATCH(TRIM(INDEX(Datos_Origen!$F$2:$F$2459,$Z268)),Parametros!$B$48:$B$67,0))</f>
        <v>Accesorios</v>
      </c>
      <c r="L268" s="61" t="str">
        <f aca="false">$K268&amp;" "&amp;$C268</f>
        <v>Accesorios 2024</v>
      </c>
      <c r="M268" s="61" t="str">
        <f aca="false">TRIM(INDEX(Datos_Origen!$G$2:$G$2459,$Z268))</f>
        <v>Mouse Inalambrico</v>
      </c>
      <c r="N268" s="61" t="str">
        <f aca="false">$M268&amp;" "&amp;$C268</f>
        <v>Mouse Inalambrico 2024</v>
      </c>
      <c r="O268" s="63" t="n">
        <f aca="false">IF(ISTEXT($AC268),VALUE($AC268),$AC268)</f>
        <v>30</v>
      </c>
      <c r="P268" s="64" t="n">
        <f aca="false">INDEX(Datos_Origen!$I$2:$I$2459,$Z268)</f>
        <v>27.44</v>
      </c>
      <c r="Q268" s="64" t="n">
        <f aca="false">INDEX(Datos_Origen!$J$2:$J$2459,$Z268)</f>
        <v>13.44</v>
      </c>
      <c r="R268" s="65" t="n">
        <f aca="false">ROUND($O268*$P268,2)</f>
        <v>823.2</v>
      </c>
      <c r="S268" s="65" t="n">
        <f aca="false">ROUND($O268*$Q268,2)</f>
        <v>403.2</v>
      </c>
      <c r="T268" s="65" t="n">
        <f aca="false">ROUND($R268*SUMIFS(Parametros!$E$28:$E$43,Parametros!$B$28:$B$43,$J268,Parametros!$C$28:$C$43,$C268,Parametros!$D$28:$D$43,$D268),2)</f>
        <v>9.88</v>
      </c>
      <c r="U268" s="65" t="n">
        <f aca="false">$R268-$S268-$T268</f>
        <v>410.12</v>
      </c>
      <c r="V268" s="66" t="n">
        <f aca="false">IFERROR($U268/$R268,0)</f>
        <v>0.498202137998056</v>
      </c>
      <c r="W268" s="67" t="str">
        <f aca="false">IF(AND($V268&gt;=Parametros!$C$8,$R268&gt;=Parametros!$C$12),"Alta rentabilidad",IF(OR($V268&lt;Parametros!$C$11,$R268&lt;Parametros!$C$13),"Revisar","Estandar"))</f>
        <v>Estandar</v>
      </c>
      <c r="X268" s="67" t="str">
        <f aca="false">IF(AND($J268="E-commerce",IFERROR($T268/$R268,0)&gt;Parametros!$C$14),"Alerta","OK")</f>
        <v>OK</v>
      </c>
      <c r="Y268" s="61" t="str">
        <f aca="false">IF($R268&gt;=Parametros!$C$12,"Alto",IF($R268&lt;Parametros!$C$13,"Bajo","Medio"))</f>
        <v>Medio</v>
      </c>
      <c r="Z268" s="61" t="n">
        <v>1824</v>
      </c>
      <c r="AA268" s="61" t="str">
        <f aca="false">IF(MATCH($A268,Datos_Origen!$A$2:$A$2459,0)=$Z268,"OK","REVISAR")</f>
        <v>OK</v>
      </c>
      <c r="AB268" s="61" t="str">
        <f aca="false">INDEX(Datos_Origen!$B$2:$B$2459,$Z268)</f>
        <v>2024-03-07</v>
      </c>
      <c r="AC268" s="61" t="n">
        <f aca="false">INDEX(Datos_Origen!$H$2:$H$2459,$Z268)</f>
        <v>30</v>
      </c>
      <c r="AD268" s="61" t="str">
        <f aca="false">INDEX(Datos_Origen!$D$2:$D$2459,$Z268)&amp;""</f>
        <v>Mendoza</v>
      </c>
    </row>
    <row r="269" customFormat="false" ht="15" hidden="false" customHeight="false" outlineLevel="0" collapsed="false">
      <c r="A269" s="61" t="n">
        <f aca="false">INDEX(Datos_Origen!$A$2:$A$2459,$Z269)</f>
        <v>268</v>
      </c>
      <c r="B269" s="62" t="n">
        <f aca="false">IF(ISNUMBER($AB269),$AB269,IF(MID($AB269,5,1)="-",DATE(VALUE(LEFT($AB269,4)),VALUE(MID($AB269,6,2)),VALUE(RIGHT($AB269,2))),DATE(VALUE(RIGHT($AB269,4)),VALUE(MID($AB269,4,2)),VALUE(LEFT($AB269,2)))))</f>
        <v>45365</v>
      </c>
      <c r="C269" s="61" t="n">
        <f aca="false">YEAR($B269)</f>
        <v>2024</v>
      </c>
      <c r="D269" s="61" t="str">
        <f aca="false">"Q"&amp;ROUNDUP(MONTH($B269)/3,0)</f>
        <v>Q1</v>
      </c>
      <c r="E269" s="61" t="n">
        <f aca="false">MONTH($B269)</f>
        <v>3</v>
      </c>
      <c r="F269" s="61" t="str">
        <f aca="false">INDEX(Parametros!$I$5:$I$16,$E269)</f>
        <v>Mar</v>
      </c>
      <c r="G269" s="61" t="str">
        <f aca="false">TEXT($C269,"0000")&amp;"-"&amp;TEXT($E269,"00")</f>
        <v>2024-03</v>
      </c>
      <c r="H269" s="61" t="str">
        <f aca="false">INDEX(Parametros!$C$71:$C$91,MATCH(TRIM(INDEX(Datos_Origen!$C$2:$C$2459,$Z269)),Parametros!$B$71:$B$91,0))</f>
        <v>Cuyo</v>
      </c>
      <c r="I269" s="61" t="str">
        <f aca="false">IF(TRIM($AD269)="",INDEX(Parametros!$I$20:$I$24,MATCH($H269,Parametros!$H$20:$H$24,0)),TRIM($AD269))</f>
        <v>Mendoza</v>
      </c>
      <c r="J269" s="61" t="str">
        <f aca="false">INDEX(Parametros!$C$95:$C$106,MATCH(TRIM(INDEX(Datos_Origen!$E$2:$E$2459,$Z269)),Parametros!$B$95:$B$106,0))</f>
        <v>E-commerce</v>
      </c>
      <c r="K269" s="61" t="str">
        <f aca="false">INDEX(Parametros!$C$48:$C$67,MATCH(TRIM(INDEX(Datos_Origen!$F$2:$F$2459,$Z269)),Parametros!$B$48:$B$67,0))</f>
        <v>Accesorios</v>
      </c>
      <c r="L269" s="61" t="str">
        <f aca="false">$K269&amp;" "&amp;$C269</f>
        <v>Accesorios 2024</v>
      </c>
      <c r="M269" s="61" t="str">
        <f aca="false">TRIM(INDEX(Datos_Origen!$G$2:$G$2459,$Z269))</f>
        <v>Mouse Inalambrico</v>
      </c>
      <c r="N269" s="61" t="str">
        <f aca="false">$M269&amp;" "&amp;$C269</f>
        <v>Mouse Inalambrico 2024</v>
      </c>
      <c r="O269" s="63" t="n">
        <f aca="false">IF(ISTEXT($AC269),VALUE($AC269),$AC269)</f>
        <v>12</v>
      </c>
      <c r="P269" s="64" t="n">
        <f aca="false">INDEX(Datos_Origen!$I$2:$I$2459,$Z269)</f>
        <v>27.44</v>
      </c>
      <c r="Q269" s="64" t="n">
        <f aca="false">INDEX(Datos_Origen!$J$2:$J$2459,$Z269)</f>
        <v>13.44</v>
      </c>
      <c r="R269" s="65" t="n">
        <f aca="false">ROUND($O269*$P269,2)</f>
        <v>329.28</v>
      </c>
      <c r="S269" s="65" t="n">
        <f aca="false">ROUND($O269*$Q269,2)</f>
        <v>161.28</v>
      </c>
      <c r="T269" s="65" t="n">
        <f aca="false">ROUND($R269*SUMIFS(Parametros!$E$28:$E$43,Parametros!$B$28:$B$43,$J269,Parametros!$C$28:$C$43,$C269,Parametros!$D$28:$D$43,$D269),2)</f>
        <v>13.83</v>
      </c>
      <c r="U269" s="65" t="n">
        <f aca="false">$R269-$S269-$T269</f>
        <v>154.17</v>
      </c>
      <c r="V269" s="66" t="n">
        <f aca="false">IFERROR($U269/$R269,0)</f>
        <v>0.468203352769679</v>
      </c>
      <c r="W269" s="67" t="str">
        <f aca="false">IF(AND($V269&gt;=Parametros!$C$8,$R269&gt;=Parametros!$C$12),"Alta rentabilidad",IF(OR($V269&lt;Parametros!$C$11,$R269&lt;Parametros!$C$13),"Revisar","Estandar"))</f>
        <v>Estandar</v>
      </c>
      <c r="X269" s="67" t="str">
        <f aca="false">IF(AND($J269="E-commerce",IFERROR($T269/$R269,0)&gt;Parametros!$C$14),"Alerta","OK")</f>
        <v>OK</v>
      </c>
      <c r="Y269" s="61" t="str">
        <f aca="false">IF($R269&gt;=Parametros!$C$12,"Alto",IF($R269&lt;Parametros!$C$13,"Bajo","Medio"))</f>
        <v>Medio</v>
      </c>
      <c r="Z269" s="61" t="n">
        <v>1733</v>
      </c>
      <c r="AA269" s="61" t="str">
        <f aca="false">IF(MATCH($A269,Datos_Origen!$A$2:$A$2459,0)=$Z269,"OK","REVISAR")</f>
        <v>OK</v>
      </c>
      <c r="AB269" s="62" t="n">
        <f aca="false">INDEX(Datos_Origen!$B$2:$B$2459,$Z269)</f>
        <v>45365</v>
      </c>
      <c r="AC269" s="61" t="n">
        <f aca="false">INDEX(Datos_Origen!$H$2:$H$2459,$Z269)</f>
        <v>12</v>
      </c>
      <c r="AD269" s="61" t="str">
        <f aca="false">INDEX(Datos_Origen!$D$2:$D$2459,$Z269)&amp;""</f>
        <v>Mendoza</v>
      </c>
    </row>
    <row r="270" customFormat="false" ht="15" hidden="false" customHeight="false" outlineLevel="0" collapsed="false">
      <c r="A270" s="61" t="n">
        <f aca="false">INDEX(Datos_Origen!$A$2:$A$2459,$Z270)</f>
        <v>269</v>
      </c>
      <c r="B270" s="62" t="n">
        <f aca="false">IF(ISNUMBER($AB270),$AB270,IF(MID($AB270,5,1)="-",DATE(VALUE(LEFT($AB270,4)),VALUE(MID($AB270,6,2)),VALUE(RIGHT($AB270,2))),DATE(VALUE(RIGHT($AB270,4)),VALUE(MID($AB270,4,2)),VALUE(LEFT($AB270,2)))))</f>
        <v>45372</v>
      </c>
      <c r="C270" s="61" t="n">
        <f aca="false">YEAR($B270)</f>
        <v>2024</v>
      </c>
      <c r="D270" s="61" t="str">
        <f aca="false">"Q"&amp;ROUNDUP(MONTH($B270)/3,0)</f>
        <v>Q1</v>
      </c>
      <c r="E270" s="61" t="n">
        <f aca="false">MONTH($B270)</f>
        <v>3</v>
      </c>
      <c r="F270" s="61" t="str">
        <f aca="false">INDEX(Parametros!$I$5:$I$16,$E270)</f>
        <v>Mar</v>
      </c>
      <c r="G270" s="61" t="str">
        <f aca="false">TEXT($C270,"0000")&amp;"-"&amp;TEXT($E270,"00")</f>
        <v>2024-03</v>
      </c>
      <c r="H270" s="61" t="str">
        <f aca="false">INDEX(Parametros!$C$71:$C$91,MATCH(TRIM(INDEX(Datos_Origen!$C$2:$C$2459,$Z270)),Parametros!$B$71:$B$91,0))</f>
        <v>Cuyo</v>
      </c>
      <c r="I270" s="61" t="str">
        <f aca="false">IF(TRIM($AD270)="",INDEX(Parametros!$I$20:$I$24,MATCH($H270,Parametros!$H$20:$H$24,0)),TRIM($AD270))</f>
        <v>Mendoza</v>
      </c>
      <c r="J270" s="61" t="str">
        <f aca="false">INDEX(Parametros!$C$95:$C$106,MATCH(TRIM(INDEX(Datos_Origen!$E$2:$E$2459,$Z270)),Parametros!$B$95:$B$106,0))</f>
        <v>Tienda fisica</v>
      </c>
      <c r="K270" s="61" t="str">
        <f aca="false">INDEX(Parametros!$C$48:$C$67,MATCH(TRIM(INDEX(Datos_Origen!$F$2:$F$2459,$Z270)),Parametros!$B$48:$B$67,0))</f>
        <v>Accesorios</v>
      </c>
      <c r="L270" s="61" t="str">
        <f aca="false">$K270&amp;" "&amp;$C270</f>
        <v>Accesorios 2024</v>
      </c>
      <c r="M270" s="61" t="str">
        <f aca="false">TRIM(INDEX(Datos_Origen!$G$2:$G$2459,$Z270))</f>
        <v>Teclado Mecanico</v>
      </c>
      <c r="N270" s="61" t="str">
        <f aca="false">$M270&amp;" "&amp;$C270</f>
        <v>Teclado Mecanico 2024</v>
      </c>
      <c r="O270" s="63" t="n">
        <f aca="false">IF(ISTEXT($AC270),VALUE($AC270),$AC270)</f>
        <v>33</v>
      </c>
      <c r="P270" s="64" t="n">
        <f aca="false">INDEX(Datos_Origen!$I$2:$I$2459,$Z270)</f>
        <v>93.1</v>
      </c>
      <c r="Q270" s="64" t="n">
        <f aca="false">INDEX(Datos_Origen!$J$2:$J$2459,$Z270)</f>
        <v>47.98</v>
      </c>
      <c r="R270" s="65" t="n">
        <f aca="false">ROUND($O270*$P270,2)</f>
        <v>3072.3</v>
      </c>
      <c r="S270" s="65" t="n">
        <f aca="false">ROUND($O270*$Q270,2)</f>
        <v>1583.34</v>
      </c>
      <c r="T270" s="65" t="n">
        <f aca="false">ROUND($R270*SUMIFS(Parametros!$E$28:$E$43,Parametros!$B$28:$B$43,$J270,Parametros!$C$28:$C$43,$C270,Parametros!$D$28:$D$43,$D270),2)</f>
        <v>36.87</v>
      </c>
      <c r="U270" s="65" t="n">
        <f aca="false">$R270-$S270-$T270</f>
        <v>1452.09</v>
      </c>
      <c r="V270" s="66" t="n">
        <f aca="false">IFERROR($U270/$R270,0)</f>
        <v>0.472639390684504</v>
      </c>
      <c r="W270" s="67" t="str">
        <f aca="false">IF(AND($V270&gt;=Parametros!$C$8,$R270&gt;=Parametros!$C$12),"Alta rentabilidad",IF(OR($V270&lt;Parametros!$C$11,$R270&lt;Parametros!$C$13),"Revisar","Estandar"))</f>
        <v>Alta rentabilidad</v>
      </c>
      <c r="X270" s="67" t="str">
        <f aca="false">IF(AND($J270="E-commerce",IFERROR($T270/$R270,0)&gt;Parametros!$C$14),"Alerta","OK")</f>
        <v>OK</v>
      </c>
      <c r="Y270" s="61" t="str">
        <f aca="false">IF($R270&gt;=Parametros!$C$12,"Alto",IF($R270&lt;Parametros!$C$13,"Bajo","Medio"))</f>
        <v>Alto</v>
      </c>
      <c r="Z270" s="61" t="n">
        <v>1886</v>
      </c>
      <c r="AA270" s="61" t="str">
        <f aca="false">IF(MATCH($A270,Datos_Origen!$A$2:$A$2459,0)=$Z270,"OK","REVISAR")</f>
        <v>OK</v>
      </c>
      <c r="AB270" s="61" t="str">
        <f aca="false">INDEX(Datos_Origen!$B$2:$B$2459,$Z270)</f>
        <v>21/03/2024</v>
      </c>
      <c r="AC270" s="61" t="n">
        <f aca="false">INDEX(Datos_Origen!$H$2:$H$2459,$Z270)</f>
        <v>33</v>
      </c>
      <c r="AD270" s="61" t="str">
        <f aca="false">INDEX(Datos_Origen!$D$2:$D$2459,$Z270)&amp;""</f>
        <v>Mendoza</v>
      </c>
    </row>
    <row r="271" customFormat="false" ht="15" hidden="false" customHeight="false" outlineLevel="0" collapsed="false">
      <c r="A271" s="61" t="n">
        <f aca="false">INDEX(Datos_Origen!$A$2:$A$2459,$Z271)</f>
        <v>270</v>
      </c>
      <c r="B271" s="62" t="n">
        <f aca="false">IF(ISNUMBER($AB271),$AB271,IF(MID($AB271,5,1)="-",DATE(VALUE(LEFT($AB271,4)),VALUE(MID($AB271,6,2)),VALUE(RIGHT($AB271,2))),DATE(VALUE(RIGHT($AB271,4)),VALUE(MID($AB271,4,2)),VALUE(LEFT($AB271,2)))))</f>
        <v>45352</v>
      </c>
      <c r="C271" s="61" t="n">
        <f aca="false">YEAR($B271)</f>
        <v>2024</v>
      </c>
      <c r="D271" s="61" t="str">
        <f aca="false">"Q"&amp;ROUNDUP(MONTH($B271)/3,0)</f>
        <v>Q1</v>
      </c>
      <c r="E271" s="61" t="n">
        <f aca="false">MONTH($B271)</f>
        <v>3</v>
      </c>
      <c r="F271" s="61" t="str">
        <f aca="false">INDEX(Parametros!$I$5:$I$16,$E271)</f>
        <v>Mar</v>
      </c>
      <c r="G271" s="61" t="str">
        <f aca="false">TEXT($C271,"0000")&amp;"-"&amp;TEXT($E271,"00")</f>
        <v>2024-03</v>
      </c>
      <c r="H271" s="61" t="str">
        <f aca="false">INDEX(Parametros!$C$71:$C$91,MATCH(TRIM(INDEX(Datos_Origen!$C$2:$C$2459,$Z271)),Parametros!$B$71:$B$91,0))</f>
        <v>Cuyo</v>
      </c>
      <c r="I271" s="61" t="str">
        <f aca="false">IF(TRIM($AD271)="",INDEX(Parametros!$I$20:$I$24,MATCH($H271,Parametros!$H$20:$H$24,0)),TRIM($AD271))</f>
        <v>Mendoza</v>
      </c>
      <c r="J271" s="61" t="str">
        <f aca="false">INDEX(Parametros!$C$95:$C$106,MATCH(TRIM(INDEX(Datos_Origen!$E$2:$E$2459,$Z271)),Parametros!$B$95:$B$106,0))</f>
        <v>E-commerce</v>
      </c>
      <c r="K271" s="61" t="str">
        <f aca="false">INDEX(Parametros!$C$48:$C$67,MATCH(TRIM(INDEX(Datos_Origen!$F$2:$F$2459,$Z271)),Parametros!$B$48:$B$67,0))</f>
        <v>Accesorios</v>
      </c>
      <c r="L271" s="61" t="str">
        <f aca="false">$K271&amp;" "&amp;$C271</f>
        <v>Accesorios 2024</v>
      </c>
      <c r="M271" s="61" t="str">
        <f aca="false">TRIM(INDEX(Datos_Origen!$G$2:$G$2459,$Z271))</f>
        <v>Teclado Mecanico</v>
      </c>
      <c r="N271" s="61" t="str">
        <f aca="false">$M271&amp;" "&amp;$C271</f>
        <v>Teclado Mecanico 2024</v>
      </c>
      <c r="O271" s="63" t="n">
        <f aca="false">IF(ISTEXT($AC271),VALUE($AC271),$AC271)</f>
        <v>13</v>
      </c>
      <c r="P271" s="64" t="n">
        <f aca="false">INDEX(Datos_Origen!$I$2:$I$2459,$Z271)</f>
        <v>93.1</v>
      </c>
      <c r="Q271" s="64" t="n">
        <f aca="false">INDEX(Datos_Origen!$J$2:$J$2459,$Z271)</f>
        <v>47.98</v>
      </c>
      <c r="R271" s="65" t="n">
        <f aca="false">ROUND($O271*$P271,2)</f>
        <v>1210.3</v>
      </c>
      <c r="S271" s="65" t="n">
        <f aca="false">ROUND($O271*$Q271,2)</f>
        <v>623.74</v>
      </c>
      <c r="T271" s="65" t="n">
        <f aca="false">ROUND($R271*SUMIFS(Parametros!$E$28:$E$43,Parametros!$B$28:$B$43,$J271,Parametros!$C$28:$C$43,$C271,Parametros!$D$28:$D$43,$D271),2)</f>
        <v>50.83</v>
      </c>
      <c r="U271" s="65" t="n">
        <f aca="false">$R271-$S271-$T271</f>
        <v>535.73</v>
      </c>
      <c r="V271" s="66" t="n">
        <f aca="false">IFERROR($U271/$R271,0)</f>
        <v>0.442642320085929</v>
      </c>
      <c r="W271" s="67" t="str">
        <f aca="false">IF(AND($V271&gt;=Parametros!$C$8,$R271&gt;=Parametros!$C$12),"Alta rentabilidad",IF(OR($V271&lt;Parametros!$C$11,$R271&lt;Parametros!$C$13),"Revisar","Estandar"))</f>
        <v>Estandar</v>
      </c>
      <c r="X271" s="67" t="str">
        <f aca="false">IF(AND($J271="E-commerce",IFERROR($T271/$R271,0)&gt;Parametros!$C$14),"Alerta","OK")</f>
        <v>OK</v>
      </c>
      <c r="Y271" s="61" t="str">
        <f aca="false">IF($R271&gt;=Parametros!$C$12,"Alto",IF($R271&lt;Parametros!$C$13,"Bajo","Medio"))</f>
        <v>Medio</v>
      </c>
      <c r="Z271" s="61" t="n">
        <v>542</v>
      </c>
      <c r="AA271" s="61" t="str">
        <f aca="false">IF(MATCH($A271,Datos_Origen!$A$2:$A$2459,0)=$Z271,"OK","REVISAR")</f>
        <v>OK</v>
      </c>
      <c r="AB271" s="62" t="n">
        <f aca="false">INDEX(Datos_Origen!$B$2:$B$2459,$Z271)</f>
        <v>45352</v>
      </c>
      <c r="AC271" s="61" t="str">
        <f aca="false">INDEX(Datos_Origen!$H$2:$H$2459,$Z271)</f>
        <v>13</v>
      </c>
      <c r="AD271" s="61" t="str">
        <f aca="false">INDEX(Datos_Origen!$D$2:$D$2459,$Z271)&amp;""</f>
        <v>Mendoza</v>
      </c>
    </row>
    <row r="272" customFormat="false" ht="15" hidden="false" customHeight="false" outlineLevel="0" collapsed="false">
      <c r="A272" s="61" t="n">
        <f aca="false">INDEX(Datos_Origen!$A$2:$A$2459,$Z272)</f>
        <v>271</v>
      </c>
      <c r="B272" s="62" t="n">
        <f aca="false">IF(ISNUMBER($AB272),$AB272,IF(MID($AB272,5,1)="-",DATE(VALUE(LEFT($AB272,4)),VALUE(MID($AB272,6,2)),VALUE(RIGHT($AB272,2))),DATE(VALUE(RIGHT($AB272,4)),VALUE(MID($AB272,4,2)),VALUE(LEFT($AB272,2)))))</f>
        <v>45359</v>
      </c>
      <c r="C272" s="61" t="n">
        <f aca="false">YEAR($B272)</f>
        <v>2024</v>
      </c>
      <c r="D272" s="61" t="str">
        <f aca="false">"Q"&amp;ROUNDUP(MONTH($B272)/3,0)</f>
        <v>Q1</v>
      </c>
      <c r="E272" s="61" t="n">
        <f aca="false">MONTH($B272)</f>
        <v>3</v>
      </c>
      <c r="F272" s="61" t="str">
        <f aca="false">INDEX(Parametros!$I$5:$I$16,$E272)</f>
        <v>Mar</v>
      </c>
      <c r="G272" s="61" t="str">
        <f aca="false">TEXT($C272,"0000")&amp;"-"&amp;TEXT($E272,"00")</f>
        <v>2024-03</v>
      </c>
      <c r="H272" s="61" t="str">
        <f aca="false">INDEX(Parametros!$C$71:$C$91,MATCH(TRIM(INDEX(Datos_Origen!$C$2:$C$2459,$Z272)),Parametros!$B$71:$B$91,0))</f>
        <v>Cuyo</v>
      </c>
      <c r="I272" s="61" t="str">
        <f aca="false">IF(TRIM($AD272)="",INDEX(Parametros!$I$20:$I$24,MATCH($H272,Parametros!$H$20:$H$24,0)),TRIM($AD272))</f>
        <v>Mendoza</v>
      </c>
      <c r="J272" s="61" t="str">
        <f aca="false">INDEX(Parametros!$C$95:$C$106,MATCH(TRIM(INDEX(Datos_Origen!$E$2:$E$2459,$Z272)),Parametros!$B$95:$B$106,0))</f>
        <v>Tienda fisica</v>
      </c>
      <c r="K272" s="61" t="str">
        <f aca="false">INDEX(Parametros!$C$48:$C$67,MATCH(TRIM(INDEX(Datos_Origen!$F$2:$F$2459,$Z272)),Parametros!$B$48:$B$67,0))</f>
        <v>Accesorios</v>
      </c>
      <c r="L272" s="61" t="str">
        <f aca="false">$K272&amp;" "&amp;$C272</f>
        <v>Accesorios 2024</v>
      </c>
      <c r="M272" s="61" t="str">
        <f aca="false">TRIM(INDEX(Datos_Origen!$G$2:$G$2459,$Z272))</f>
        <v>Webcam Full HD</v>
      </c>
      <c r="N272" s="61" t="str">
        <f aca="false">$M272&amp;" "&amp;$C272</f>
        <v>Webcam Full HD 2024</v>
      </c>
      <c r="O272" s="63" t="n">
        <f aca="false">IF(ISTEXT($AC272),VALUE($AC272),$AC272)</f>
        <v>32</v>
      </c>
      <c r="P272" s="64" t="n">
        <f aca="false">INDEX(Datos_Origen!$I$2:$I$2459,$Z272)</f>
        <v>63.7</v>
      </c>
      <c r="Q272" s="64" t="n">
        <f aca="false">INDEX(Datos_Origen!$J$2:$J$2459,$Z272)</f>
        <v>35.43</v>
      </c>
      <c r="R272" s="65" t="n">
        <f aca="false">ROUND($O272*$P272,2)</f>
        <v>2038.4</v>
      </c>
      <c r="S272" s="65" t="n">
        <f aca="false">ROUND($O272*$Q272,2)</f>
        <v>1133.76</v>
      </c>
      <c r="T272" s="65" t="n">
        <f aca="false">ROUND($R272*SUMIFS(Parametros!$E$28:$E$43,Parametros!$B$28:$B$43,$J272,Parametros!$C$28:$C$43,$C272,Parametros!$D$28:$D$43,$D272),2)</f>
        <v>24.46</v>
      </c>
      <c r="U272" s="65" t="n">
        <f aca="false">$R272-$S272-$T272</f>
        <v>880.18</v>
      </c>
      <c r="V272" s="66" t="n">
        <f aca="false">IFERROR($U272/$R272,0)</f>
        <v>0.431799450549451</v>
      </c>
      <c r="W272" s="67" t="str">
        <f aca="false">IF(AND($V272&gt;=Parametros!$C$8,$R272&gt;=Parametros!$C$12),"Alta rentabilidad",IF(OR($V272&lt;Parametros!$C$11,$R272&lt;Parametros!$C$13),"Revisar","Estandar"))</f>
        <v>Estandar</v>
      </c>
      <c r="X272" s="67" t="str">
        <f aca="false">IF(AND($J272="E-commerce",IFERROR($T272/$R272,0)&gt;Parametros!$C$14),"Alerta","OK")</f>
        <v>OK</v>
      </c>
      <c r="Y272" s="61" t="str">
        <f aca="false">IF($R272&gt;=Parametros!$C$12,"Alto",IF($R272&lt;Parametros!$C$13,"Bajo","Medio"))</f>
        <v>Medio</v>
      </c>
      <c r="Z272" s="61" t="n">
        <v>605</v>
      </c>
      <c r="AA272" s="61" t="str">
        <f aca="false">IF(MATCH($A272,Datos_Origen!$A$2:$A$2459,0)=$Z272,"OK","REVISAR")</f>
        <v>OK</v>
      </c>
      <c r="AB272" s="62" t="n">
        <f aca="false">INDEX(Datos_Origen!$B$2:$B$2459,$Z272)</f>
        <v>45359</v>
      </c>
      <c r="AC272" s="61" t="n">
        <f aca="false">INDEX(Datos_Origen!$H$2:$H$2459,$Z272)</f>
        <v>32</v>
      </c>
      <c r="AD272" s="61" t="str">
        <f aca="false">INDEX(Datos_Origen!$D$2:$D$2459,$Z272)&amp;""</f>
        <v>Mendoza</v>
      </c>
    </row>
    <row r="273" customFormat="false" ht="15" hidden="false" customHeight="false" outlineLevel="0" collapsed="false">
      <c r="A273" s="61" t="n">
        <f aca="false">INDEX(Datos_Origen!$A$2:$A$2459,$Z273)</f>
        <v>272</v>
      </c>
      <c r="B273" s="62" t="n">
        <f aca="false">IF(ISNUMBER($AB273),$AB273,IF(MID($AB273,5,1)="-",DATE(VALUE(LEFT($AB273,4)),VALUE(MID($AB273,6,2)),VALUE(RIGHT($AB273,2))),DATE(VALUE(RIGHT($AB273,4)),VALUE(MID($AB273,4,2)),VALUE(LEFT($AB273,2)))))</f>
        <v>45366</v>
      </c>
      <c r="C273" s="61" t="n">
        <f aca="false">YEAR($B273)</f>
        <v>2024</v>
      </c>
      <c r="D273" s="61" t="str">
        <f aca="false">"Q"&amp;ROUNDUP(MONTH($B273)/3,0)</f>
        <v>Q1</v>
      </c>
      <c r="E273" s="61" t="n">
        <f aca="false">MONTH($B273)</f>
        <v>3</v>
      </c>
      <c r="F273" s="61" t="str">
        <f aca="false">INDEX(Parametros!$I$5:$I$16,$E273)</f>
        <v>Mar</v>
      </c>
      <c r="G273" s="61" t="str">
        <f aca="false">TEXT($C273,"0000")&amp;"-"&amp;TEXT($E273,"00")</f>
        <v>2024-03</v>
      </c>
      <c r="H273" s="61" t="str">
        <f aca="false">INDEX(Parametros!$C$71:$C$91,MATCH(TRIM(INDEX(Datos_Origen!$C$2:$C$2459,$Z273)),Parametros!$B$71:$B$91,0))</f>
        <v>Cuyo</v>
      </c>
      <c r="I273" s="61" t="str">
        <f aca="false">IF(TRIM($AD273)="",INDEX(Parametros!$I$20:$I$24,MATCH($H273,Parametros!$H$20:$H$24,0)),TRIM($AD273))</f>
        <v>Mendoza</v>
      </c>
      <c r="J273" s="61" t="str">
        <f aca="false">INDEX(Parametros!$C$95:$C$106,MATCH(TRIM(INDEX(Datos_Origen!$E$2:$E$2459,$Z273)),Parametros!$B$95:$B$106,0))</f>
        <v>E-commerce</v>
      </c>
      <c r="K273" s="61" t="str">
        <f aca="false">INDEX(Parametros!$C$48:$C$67,MATCH(TRIM(INDEX(Datos_Origen!$F$2:$F$2459,$Z273)),Parametros!$B$48:$B$67,0))</f>
        <v>Accesorios</v>
      </c>
      <c r="L273" s="61" t="str">
        <f aca="false">$K273&amp;" "&amp;$C273</f>
        <v>Accesorios 2024</v>
      </c>
      <c r="M273" s="61" t="str">
        <f aca="false">TRIM(INDEX(Datos_Origen!$G$2:$G$2459,$Z273))</f>
        <v>Webcam Full HD</v>
      </c>
      <c r="N273" s="61" t="str">
        <f aca="false">$M273&amp;" "&amp;$C273</f>
        <v>Webcam Full HD 2024</v>
      </c>
      <c r="O273" s="63" t="n">
        <f aca="false">IF(ISTEXT($AC273),VALUE($AC273),$AC273)</f>
        <v>11</v>
      </c>
      <c r="P273" s="64" t="n">
        <f aca="false">INDEX(Datos_Origen!$I$2:$I$2459,$Z273)</f>
        <v>63.7</v>
      </c>
      <c r="Q273" s="64" t="n">
        <f aca="false">INDEX(Datos_Origen!$J$2:$J$2459,$Z273)</f>
        <v>35.43</v>
      </c>
      <c r="R273" s="65" t="n">
        <f aca="false">ROUND($O273*$P273,2)</f>
        <v>700.7</v>
      </c>
      <c r="S273" s="65" t="n">
        <f aca="false">ROUND($O273*$Q273,2)</f>
        <v>389.73</v>
      </c>
      <c r="T273" s="65" t="n">
        <f aca="false">ROUND($R273*SUMIFS(Parametros!$E$28:$E$43,Parametros!$B$28:$B$43,$J273,Parametros!$C$28:$C$43,$C273,Parametros!$D$28:$D$43,$D273),2)</f>
        <v>29.43</v>
      </c>
      <c r="U273" s="65" t="n">
        <f aca="false">$R273-$S273-$T273</f>
        <v>281.54</v>
      </c>
      <c r="V273" s="66" t="n">
        <f aca="false">IFERROR($U273/$R273,0)</f>
        <v>0.401798201798202</v>
      </c>
      <c r="W273" s="67" t="str">
        <f aca="false">IF(AND($V273&gt;=Parametros!$C$8,$R273&gt;=Parametros!$C$12),"Alta rentabilidad",IF(OR($V273&lt;Parametros!$C$11,$R273&lt;Parametros!$C$13),"Revisar","Estandar"))</f>
        <v>Estandar</v>
      </c>
      <c r="X273" s="67" t="str">
        <f aca="false">IF(AND($J273="E-commerce",IFERROR($T273/$R273,0)&gt;Parametros!$C$14),"Alerta","OK")</f>
        <v>OK</v>
      </c>
      <c r="Y273" s="61" t="str">
        <f aca="false">IF($R273&gt;=Parametros!$C$12,"Alto",IF($R273&lt;Parametros!$C$13,"Bajo","Medio"))</f>
        <v>Medio</v>
      </c>
      <c r="Z273" s="61" t="n">
        <v>1259</v>
      </c>
      <c r="AA273" s="61" t="str">
        <f aca="false">IF(MATCH($A273,Datos_Origen!$A$2:$A$2459,0)=$Z273,"OK","REVISAR")</f>
        <v>OK</v>
      </c>
      <c r="AB273" s="62" t="n">
        <f aca="false">INDEX(Datos_Origen!$B$2:$B$2459,$Z273)</f>
        <v>45366</v>
      </c>
      <c r="AC273" s="61" t="n">
        <f aca="false">INDEX(Datos_Origen!$H$2:$H$2459,$Z273)</f>
        <v>11</v>
      </c>
      <c r="AD273" s="61" t="str">
        <f aca="false">INDEX(Datos_Origen!$D$2:$D$2459,$Z273)&amp;""</f>
        <v>Mendoza</v>
      </c>
    </row>
    <row r="274" customFormat="false" ht="15" hidden="false" customHeight="false" outlineLevel="0" collapsed="false">
      <c r="A274" s="61" t="n">
        <f aca="false">INDEX(Datos_Origen!$A$2:$A$2459,$Z274)</f>
        <v>273</v>
      </c>
      <c r="B274" s="62" t="n">
        <f aca="false">IF(ISNUMBER($AB274),$AB274,IF(MID($AB274,5,1)="-",DATE(VALUE(LEFT($AB274,4)),VALUE(MID($AB274,6,2)),VALUE(RIGHT($AB274,2))),DATE(VALUE(RIGHT($AB274,4)),VALUE(MID($AB274,4,2)),VALUE(LEFT($AB274,2)))))</f>
        <v>45373</v>
      </c>
      <c r="C274" s="61" t="n">
        <f aca="false">YEAR($B274)</f>
        <v>2024</v>
      </c>
      <c r="D274" s="61" t="str">
        <f aca="false">"Q"&amp;ROUNDUP(MONTH($B274)/3,0)</f>
        <v>Q1</v>
      </c>
      <c r="E274" s="61" t="n">
        <f aca="false">MONTH($B274)</f>
        <v>3</v>
      </c>
      <c r="F274" s="61" t="str">
        <f aca="false">INDEX(Parametros!$I$5:$I$16,$E274)</f>
        <v>Mar</v>
      </c>
      <c r="G274" s="61" t="str">
        <f aca="false">TEXT($C274,"0000")&amp;"-"&amp;TEXT($E274,"00")</f>
        <v>2024-03</v>
      </c>
      <c r="H274" s="61" t="str">
        <f aca="false">INDEX(Parametros!$C$71:$C$91,MATCH(TRIM(INDEX(Datos_Origen!$C$2:$C$2459,$Z274)),Parametros!$B$71:$B$91,0))</f>
        <v>Cuyo</v>
      </c>
      <c r="I274" s="61" t="str">
        <f aca="false">IF(TRIM($AD274)="",INDEX(Parametros!$I$20:$I$24,MATCH($H274,Parametros!$H$20:$H$24,0)),TRIM($AD274))</f>
        <v>Mendoza</v>
      </c>
      <c r="J274" s="61" t="str">
        <f aca="false">INDEX(Parametros!$C$95:$C$106,MATCH(TRIM(INDEX(Datos_Origen!$E$2:$E$2459,$Z274)),Parametros!$B$95:$B$106,0))</f>
        <v>Tienda fisica</v>
      </c>
      <c r="K274" s="61" t="str">
        <f aca="false">INDEX(Parametros!$C$48:$C$67,MATCH(TRIM(INDEX(Datos_Origen!$F$2:$F$2459,$Z274)),Parametros!$B$48:$B$67,0))</f>
        <v>Audio</v>
      </c>
      <c r="L274" s="61" t="str">
        <f aca="false">$K274&amp;" "&amp;$C274</f>
        <v>Audio 2024</v>
      </c>
      <c r="M274" s="61" t="str">
        <f aca="false">TRIM(INDEX(Datos_Origen!$G$2:$G$2459,$Z274))</f>
        <v>Auriculares BT Pro</v>
      </c>
      <c r="N274" s="61" t="str">
        <f aca="false">$M274&amp;" "&amp;$C274</f>
        <v>Auriculares BT Pro 2024</v>
      </c>
      <c r="O274" s="63" t="n">
        <f aca="false">IF(ISTEXT($AC274),VALUE($AC274),$AC274)</f>
        <v>12</v>
      </c>
      <c r="P274" s="64" t="n">
        <f aca="false">INDEX(Datos_Origen!$I$2:$I$2459,$Z274)</f>
        <v>117.6</v>
      </c>
      <c r="Q274" s="64" t="n">
        <f aca="false">INDEX(Datos_Origen!$J$2:$J$2459,$Z274)</f>
        <v>63.6</v>
      </c>
      <c r="R274" s="65" t="n">
        <f aca="false">ROUND($O274*$P274,2)</f>
        <v>1411.2</v>
      </c>
      <c r="S274" s="65" t="n">
        <f aca="false">ROUND($O274*$Q274,2)</f>
        <v>763.2</v>
      </c>
      <c r="T274" s="65" t="n">
        <f aca="false">ROUND($R274*SUMIFS(Parametros!$E$28:$E$43,Parametros!$B$28:$B$43,$J274,Parametros!$C$28:$C$43,$C274,Parametros!$D$28:$D$43,$D274),2)</f>
        <v>16.93</v>
      </c>
      <c r="U274" s="65" t="n">
        <f aca="false">$R274-$S274-$T274</f>
        <v>631.07</v>
      </c>
      <c r="V274" s="66" t="n">
        <f aca="false">IFERROR($U274/$R274,0)</f>
        <v>0.44718679138322</v>
      </c>
      <c r="W274" s="67" t="str">
        <f aca="false">IF(AND($V274&gt;=Parametros!$C$8,$R274&gt;=Parametros!$C$12),"Alta rentabilidad",IF(OR($V274&lt;Parametros!$C$11,$R274&lt;Parametros!$C$13),"Revisar","Estandar"))</f>
        <v>Estandar</v>
      </c>
      <c r="X274" s="67" t="str">
        <f aca="false">IF(AND($J274="E-commerce",IFERROR($T274/$R274,0)&gt;Parametros!$C$14),"Alerta","OK")</f>
        <v>OK</v>
      </c>
      <c r="Y274" s="61" t="str">
        <f aca="false">IF($R274&gt;=Parametros!$C$12,"Alto",IF($R274&lt;Parametros!$C$13,"Bajo","Medio"))</f>
        <v>Medio</v>
      </c>
      <c r="Z274" s="61" t="n">
        <v>1157</v>
      </c>
      <c r="AA274" s="61" t="str">
        <f aca="false">IF(MATCH($A274,Datos_Origen!$A$2:$A$2459,0)=$Z274,"OK","REVISAR")</f>
        <v>OK</v>
      </c>
      <c r="AB274" s="61" t="str">
        <f aca="false">INDEX(Datos_Origen!$B$2:$B$2459,$Z274)</f>
        <v>2024-03-22</v>
      </c>
      <c r="AC274" s="61" t="n">
        <f aca="false">INDEX(Datos_Origen!$H$2:$H$2459,$Z274)</f>
        <v>12</v>
      </c>
      <c r="AD274" s="61" t="str">
        <f aca="false">INDEX(Datos_Origen!$D$2:$D$2459,$Z274)&amp;""</f>
        <v/>
      </c>
    </row>
    <row r="275" customFormat="false" ht="15" hidden="false" customHeight="false" outlineLevel="0" collapsed="false">
      <c r="A275" s="61" t="n">
        <f aca="false">INDEX(Datos_Origen!$A$2:$A$2459,$Z275)</f>
        <v>274</v>
      </c>
      <c r="B275" s="62" t="n">
        <f aca="false">IF(ISNUMBER($AB275),$AB275,IF(MID($AB275,5,1)="-",DATE(VALUE(LEFT($AB275,4)),VALUE(MID($AB275,6,2)),VALUE(RIGHT($AB275,2))),DATE(VALUE(RIGHT($AB275,4)),VALUE(MID($AB275,4,2)),VALUE(LEFT($AB275,2)))))</f>
        <v>45353</v>
      </c>
      <c r="C275" s="61" t="n">
        <f aca="false">YEAR($B275)</f>
        <v>2024</v>
      </c>
      <c r="D275" s="61" t="str">
        <f aca="false">"Q"&amp;ROUNDUP(MONTH($B275)/3,0)</f>
        <v>Q1</v>
      </c>
      <c r="E275" s="61" t="n">
        <f aca="false">MONTH($B275)</f>
        <v>3</v>
      </c>
      <c r="F275" s="61" t="str">
        <f aca="false">INDEX(Parametros!$I$5:$I$16,$E275)</f>
        <v>Mar</v>
      </c>
      <c r="G275" s="61" t="str">
        <f aca="false">TEXT($C275,"0000")&amp;"-"&amp;TEXT($E275,"00")</f>
        <v>2024-03</v>
      </c>
      <c r="H275" s="61" t="str">
        <f aca="false">INDEX(Parametros!$C$71:$C$91,MATCH(TRIM(INDEX(Datos_Origen!$C$2:$C$2459,$Z275)),Parametros!$B$71:$B$91,0))</f>
        <v>Cuyo</v>
      </c>
      <c r="I275" s="61" t="str">
        <f aca="false">IF(TRIM($AD275)="",INDEX(Parametros!$I$20:$I$24,MATCH($H275,Parametros!$H$20:$H$24,0)),TRIM($AD275))</f>
        <v>Mendoza</v>
      </c>
      <c r="J275" s="61" t="str">
        <f aca="false">INDEX(Parametros!$C$95:$C$106,MATCH(TRIM(INDEX(Datos_Origen!$E$2:$E$2459,$Z275)),Parametros!$B$95:$B$106,0))</f>
        <v>E-commerce</v>
      </c>
      <c r="K275" s="61" t="str">
        <f aca="false">INDEX(Parametros!$C$48:$C$67,MATCH(TRIM(INDEX(Datos_Origen!$F$2:$F$2459,$Z275)),Parametros!$B$48:$B$67,0))</f>
        <v>Audio</v>
      </c>
      <c r="L275" s="61" t="str">
        <f aca="false">$K275&amp;" "&amp;$C275</f>
        <v>Audio 2024</v>
      </c>
      <c r="M275" s="61" t="str">
        <f aca="false">TRIM(INDEX(Datos_Origen!$G$2:$G$2459,$Z275))</f>
        <v>Auriculares BT Pro</v>
      </c>
      <c r="N275" s="61" t="str">
        <f aca="false">$M275&amp;" "&amp;$C275</f>
        <v>Auriculares BT Pro 2024</v>
      </c>
      <c r="O275" s="63" t="n">
        <f aca="false">IF(ISTEXT($AC275),VALUE($AC275),$AC275)</f>
        <v>5</v>
      </c>
      <c r="P275" s="64" t="n">
        <f aca="false">INDEX(Datos_Origen!$I$2:$I$2459,$Z275)</f>
        <v>117.6</v>
      </c>
      <c r="Q275" s="64" t="n">
        <f aca="false">INDEX(Datos_Origen!$J$2:$J$2459,$Z275)</f>
        <v>63.6</v>
      </c>
      <c r="R275" s="65" t="n">
        <f aca="false">ROUND($O275*$P275,2)</f>
        <v>588</v>
      </c>
      <c r="S275" s="65" t="n">
        <f aca="false">ROUND($O275*$Q275,2)</f>
        <v>318</v>
      </c>
      <c r="T275" s="65" t="n">
        <f aca="false">ROUND($R275*SUMIFS(Parametros!$E$28:$E$43,Parametros!$B$28:$B$43,$J275,Parametros!$C$28:$C$43,$C275,Parametros!$D$28:$D$43,$D275),2)</f>
        <v>24.7</v>
      </c>
      <c r="U275" s="65" t="n">
        <f aca="false">$R275-$S275-$T275</f>
        <v>245.3</v>
      </c>
      <c r="V275" s="66" t="n">
        <f aca="false">IFERROR($U275/$R275,0)</f>
        <v>0.417176870748299</v>
      </c>
      <c r="W275" s="67" t="str">
        <f aca="false">IF(AND($V275&gt;=Parametros!$C$8,$R275&gt;=Parametros!$C$12),"Alta rentabilidad",IF(OR($V275&lt;Parametros!$C$11,$R275&lt;Parametros!$C$13),"Revisar","Estandar"))</f>
        <v>Estandar</v>
      </c>
      <c r="X275" s="67" t="str">
        <f aca="false">IF(AND($J275="E-commerce",IFERROR($T275/$R275,0)&gt;Parametros!$C$14),"Alerta","OK")</f>
        <v>OK</v>
      </c>
      <c r="Y275" s="61" t="str">
        <f aca="false">IF($R275&gt;=Parametros!$C$12,"Alto",IF($R275&lt;Parametros!$C$13,"Bajo","Medio"))</f>
        <v>Medio</v>
      </c>
      <c r="Z275" s="61" t="n">
        <v>2297</v>
      </c>
      <c r="AA275" s="61" t="str">
        <f aca="false">IF(MATCH($A275,Datos_Origen!$A$2:$A$2459,0)=$Z275,"OK","REVISAR")</f>
        <v>OK</v>
      </c>
      <c r="AB275" s="61" t="str">
        <f aca="false">INDEX(Datos_Origen!$B$2:$B$2459,$Z275)</f>
        <v>02/03/2024</v>
      </c>
      <c r="AC275" s="61" t="n">
        <f aca="false">INDEX(Datos_Origen!$H$2:$H$2459,$Z275)</f>
        <v>5</v>
      </c>
      <c r="AD275" s="61" t="str">
        <f aca="false">INDEX(Datos_Origen!$D$2:$D$2459,$Z275)&amp;""</f>
        <v>Mendoza</v>
      </c>
    </row>
    <row r="276" customFormat="false" ht="15" hidden="false" customHeight="false" outlineLevel="0" collapsed="false">
      <c r="A276" s="61" t="n">
        <f aca="false">INDEX(Datos_Origen!$A$2:$A$2459,$Z276)</f>
        <v>275</v>
      </c>
      <c r="B276" s="62" t="n">
        <f aca="false">IF(ISNUMBER($AB276),$AB276,IF(MID($AB276,5,1)="-",DATE(VALUE(LEFT($AB276,4)),VALUE(MID($AB276,6,2)),VALUE(RIGHT($AB276,2))),DATE(VALUE(RIGHT($AB276,4)),VALUE(MID($AB276,4,2)),VALUE(LEFT($AB276,2)))))</f>
        <v>45360</v>
      </c>
      <c r="C276" s="61" t="n">
        <f aca="false">YEAR($B276)</f>
        <v>2024</v>
      </c>
      <c r="D276" s="61" t="str">
        <f aca="false">"Q"&amp;ROUNDUP(MONTH($B276)/3,0)</f>
        <v>Q1</v>
      </c>
      <c r="E276" s="61" t="n">
        <f aca="false">MONTH($B276)</f>
        <v>3</v>
      </c>
      <c r="F276" s="61" t="str">
        <f aca="false">INDEX(Parametros!$I$5:$I$16,$E276)</f>
        <v>Mar</v>
      </c>
      <c r="G276" s="61" t="str">
        <f aca="false">TEXT($C276,"0000")&amp;"-"&amp;TEXT($E276,"00")</f>
        <v>2024-03</v>
      </c>
      <c r="H276" s="61" t="str">
        <f aca="false">INDEX(Parametros!$C$71:$C$91,MATCH(TRIM(INDEX(Datos_Origen!$C$2:$C$2459,$Z276)),Parametros!$B$71:$B$91,0))</f>
        <v>Cuyo</v>
      </c>
      <c r="I276" s="61" t="str">
        <f aca="false">IF(TRIM($AD276)="",INDEX(Parametros!$I$20:$I$24,MATCH($H276,Parametros!$H$20:$H$24,0)),TRIM($AD276))</f>
        <v>Mendoza</v>
      </c>
      <c r="J276" s="61" t="str">
        <f aca="false">INDEX(Parametros!$C$95:$C$106,MATCH(TRIM(INDEX(Datos_Origen!$E$2:$E$2459,$Z276)),Parametros!$B$95:$B$106,0))</f>
        <v>Tienda fisica</v>
      </c>
      <c r="K276" s="61" t="str">
        <f aca="false">INDEX(Parametros!$C$48:$C$67,MATCH(TRIM(INDEX(Datos_Origen!$F$2:$F$2459,$Z276)),Parametros!$B$48:$B$67,0))</f>
        <v>Audio</v>
      </c>
      <c r="L276" s="61" t="str">
        <f aca="false">$K276&amp;" "&amp;$C276</f>
        <v>Audio 2024</v>
      </c>
      <c r="M276" s="61" t="str">
        <f aca="false">TRIM(INDEX(Datos_Origen!$G$2:$G$2459,$Z276))</f>
        <v>Parlante Bluetooth</v>
      </c>
      <c r="N276" s="61" t="str">
        <f aca="false">$M276&amp;" "&amp;$C276</f>
        <v>Parlante Bluetooth 2024</v>
      </c>
      <c r="O276" s="63" t="n">
        <f aca="false">IF(ISTEXT($AC276),VALUE($AC276),$AC276)</f>
        <v>13</v>
      </c>
      <c r="P276" s="64" t="n">
        <f aca="false">INDEX(Datos_Origen!$I$2:$I$2459,$Z276)</f>
        <v>83.3</v>
      </c>
      <c r="Q276" s="64" t="n">
        <f aca="false">INDEX(Datos_Origen!$J$2:$J$2459,$Z276)</f>
        <v>48.03</v>
      </c>
      <c r="R276" s="65" t="n">
        <f aca="false">ROUND($O276*$P276,2)</f>
        <v>1082.9</v>
      </c>
      <c r="S276" s="65" t="n">
        <f aca="false">ROUND($O276*$Q276,2)</f>
        <v>624.39</v>
      </c>
      <c r="T276" s="65" t="n">
        <f aca="false">ROUND($R276*SUMIFS(Parametros!$E$28:$E$43,Parametros!$B$28:$B$43,$J276,Parametros!$C$28:$C$43,$C276,Parametros!$D$28:$D$43,$D276),2)</f>
        <v>12.99</v>
      </c>
      <c r="U276" s="65" t="n">
        <f aca="false">$R276-$S276-$T276</f>
        <v>445.52</v>
      </c>
      <c r="V276" s="66" t="n">
        <f aca="false">IFERROR($U276/$R276,0)</f>
        <v>0.411413796287746</v>
      </c>
      <c r="W276" s="67" t="str">
        <f aca="false">IF(AND($V276&gt;=Parametros!$C$8,$R276&gt;=Parametros!$C$12),"Alta rentabilidad",IF(OR($V276&lt;Parametros!$C$11,$R276&lt;Parametros!$C$13),"Revisar","Estandar"))</f>
        <v>Estandar</v>
      </c>
      <c r="X276" s="67" t="str">
        <f aca="false">IF(AND($J276="E-commerce",IFERROR($T276/$R276,0)&gt;Parametros!$C$14),"Alerta","OK")</f>
        <v>OK</v>
      </c>
      <c r="Y276" s="61" t="str">
        <f aca="false">IF($R276&gt;=Parametros!$C$12,"Alto",IF($R276&lt;Parametros!$C$13,"Bajo","Medio"))</f>
        <v>Medio</v>
      </c>
      <c r="Z276" s="61" t="n">
        <v>1611</v>
      </c>
      <c r="AA276" s="61" t="str">
        <f aca="false">IF(MATCH($A276,Datos_Origen!$A$2:$A$2459,0)=$Z276,"OK","REVISAR")</f>
        <v>OK</v>
      </c>
      <c r="AB276" s="61" t="str">
        <f aca="false">INDEX(Datos_Origen!$B$2:$B$2459,$Z276)</f>
        <v>09/03/2024</v>
      </c>
      <c r="AC276" s="61" t="n">
        <f aca="false">INDEX(Datos_Origen!$H$2:$H$2459,$Z276)</f>
        <v>13</v>
      </c>
      <c r="AD276" s="61" t="str">
        <f aca="false">INDEX(Datos_Origen!$D$2:$D$2459,$Z276)&amp;""</f>
        <v>Mendoza</v>
      </c>
    </row>
    <row r="277" customFormat="false" ht="15" hidden="false" customHeight="false" outlineLevel="0" collapsed="false">
      <c r="A277" s="61" t="n">
        <f aca="false">INDEX(Datos_Origen!$A$2:$A$2459,$Z277)</f>
        <v>276</v>
      </c>
      <c r="B277" s="62" t="n">
        <f aca="false">IF(ISNUMBER($AB277),$AB277,IF(MID($AB277,5,1)="-",DATE(VALUE(LEFT($AB277,4)),VALUE(MID($AB277,6,2)),VALUE(RIGHT($AB277,2))),DATE(VALUE(RIGHT($AB277,4)),VALUE(MID($AB277,4,2)),VALUE(LEFT($AB277,2)))))</f>
        <v>45367</v>
      </c>
      <c r="C277" s="61" t="n">
        <f aca="false">YEAR($B277)</f>
        <v>2024</v>
      </c>
      <c r="D277" s="61" t="str">
        <f aca="false">"Q"&amp;ROUNDUP(MONTH($B277)/3,0)</f>
        <v>Q1</v>
      </c>
      <c r="E277" s="61" t="n">
        <f aca="false">MONTH($B277)</f>
        <v>3</v>
      </c>
      <c r="F277" s="61" t="str">
        <f aca="false">INDEX(Parametros!$I$5:$I$16,$E277)</f>
        <v>Mar</v>
      </c>
      <c r="G277" s="61" t="str">
        <f aca="false">TEXT($C277,"0000")&amp;"-"&amp;TEXT($E277,"00")</f>
        <v>2024-03</v>
      </c>
      <c r="H277" s="61" t="str">
        <f aca="false">INDEX(Parametros!$C$71:$C$91,MATCH(TRIM(INDEX(Datos_Origen!$C$2:$C$2459,$Z277)),Parametros!$B$71:$B$91,0))</f>
        <v>Cuyo</v>
      </c>
      <c r="I277" s="61" t="str">
        <f aca="false">IF(TRIM($AD277)="",INDEX(Parametros!$I$20:$I$24,MATCH($H277,Parametros!$H$20:$H$24,0)),TRIM($AD277))</f>
        <v>Mendoza</v>
      </c>
      <c r="J277" s="61" t="str">
        <f aca="false">INDEX(Parametros!$C$95:$C$106,MATCH(TRIM(INDEX(Datos_Origen!$E$2:$E$2459,$Z277)),Parametros!$B$95:$B$106,0))</f>
        <v>E-commerce</v>
      </c>
      <c r="K277" s="61" t="str">
        <f aca="false">INDEX(Parametros!$C$48:$C$67,MATCH(TRIM(INDEX(Datos_Origen!$F$2:$F$2459,$Z277)),Parametros!$B$48:$B$67,0))</f>
        <v>Audio</v>
      </c>
      <c r="L277" s="61" t="str">
        <f aca="false">$K277&amp;" "&amp;$C277</f>
        <v>Audio 2024</v>
      </c>
      <c r="M277" s="61" t="str">
        <f aca="false">TRIM(INDEX(Datos_Origen!$G$2:$G$2459,$Z277))</f>
        <v>Parlante Bluetooth</v>
      </c>
      <c r="N277" s="61" t="str">
        <f aca="false">$M277&amp;" "&amp;$C277</f>
        <v>Parlante Bluetooth 2024</v>
      </c>
      <c r="O277" s="63" t="n">
        <f aca="false">IF(ISTEXT($AC277),VALUE($AC277),$AC277)</f>
        <v>6</v>
      </c>
      <c r="P277" s="64" t="n">
        <f aca="false">INDEX(Datos_Origen!$I$2:$I$2459,$Z277)</f>
        <v>83.3</v>
      </c>
      <c r="Q277" s="64" t="n">
        <f aca="false">INDEX(Datos_Origen!$J$2:$J$2459,$Z277)</f>
        <v>48.03</v>
      </c>
      <c r="R277" s="65" t="n">
        <f aca="false">ROUND($O277*$P277,2)</f>
        <v>499.8</v>
      </c>
      <c r="S277" s="65" t="n">
        <f aca="false">ROUND($O277*$Q277,2)</f>
        <v>288.18</v>
      </c>
      <c r="T277" s="65" t="n">
        <f aca="false">ROUND($R277*SUMIFS(Parametros!$E$28:$E$43,Parametros!$B$28:$B$43,$J277,Parametros!$C$28:$C$43,$C277,Parametros!$D$28:$D$43,$D277),2)</f>
        <v>20.99</v>
      </c>
      <c r="U277" s="65" t="n">
        <f aca="false">$R277-$S277-$T277</f>
        <v>190.63</v>
      </c>
      <c r="V277" s="66" t="n">
        <f aca="false">IFERROR($U277/$R277,0)</f>
        <v>0.38141256502601</v>
      </c>
      <c r="W277" s="67" t="str">
        <f aca="false">IF(AND($V277&gt;=Parametros!$C$8,$R277&gt;=Parametros!$C$12),"Alta rentabilidad",IF(OR($V277&lt;Parametros!$C$11,$R277&lt;Parametros!$C$13),"Revisar","Estandar"))</f>
        <v>Estandar</v>
      </c>
      <c r="X277" s="67" t="str">
        <f aca="false">IF(AND($J277="E-commerce",IFERROR($T277/$R277,0)&gt;Parametros!$C$14),"Alerta","OK")</f>
        <v>OK</v>
      </c>
      <c r="Y277" s="61" t="str">
        <f aca="false">IF($R277&gt;=Parametros!$C$12,"Alto",IF($R277&lt;Parametros!$C$13,"Bajo","Medio"))</f>
        <v>Medio</v>
      </c>
      <c r="Z277" s="61" t="n">
        <v>1027</v>
      </c>
      <c r="AA277" s="61" t="str">
        <f aca="false">IF(MATCH($A277,Datos_Origen!$A$2:$A$2459,0)=$Z277,"OK","REVISAR")</f>
        <v>OK</v>
      </c>
      <c r="AB277" s="62" t="n">
        <f aca="false">INDEX(Datos_Origen!$B$2:$B$2459,$Z277)</f>
        <v>45367</v>
      </c>
      <c r="AC277" s="61" t="n">
        <f aca="false">INDEX(Datos_Origen!$H$2:$H$2459,$Z277)</f>
        <v>6</v>
      </c>
      <c r="AD277" s="61" t="str">
        <f aca="false">INDEX(Datos_Origen!$D$2:$D$2459,$Z277)&amp;""</f>
        <v>Mendoza</v>
      </c>
    </row>
    <row r="278" customFormat="false" ht="15" hidden="false" customHeight="false" outlineLevel="0" collapsed="false">
      <c r="A278" s="61" t="n">
        <f aca="false">INDEX(Datos_Origen!$A$2:$A$2459,$Z278)</f>
        <v>277</v>
      </c>
      <c r="B278" s="62" t="n">
        <f aca="false">IF(ISNUMBER($AB278),$AB278,IF(MID($AB278,5,1)="-",DATE(VALUE(LEFT($AB278,4)),VALUE(MID($AB278,6,2)),VALUE(RIGHT($AB278,2))),DATE(VALUE(RIGHT($AB278,4)),VALUE(MID($AB278,4,2)),VALUE(LEFT($AB278,2)))))</f>
        <v>45374</v>
      </c>
      <c r="C278" s="61" t="n">
        <f aca="false">YEAR($B278)</f>
        <v>2024</v>
      </c>
      <c r="D278" s="61" t="str">
        <f aca="false">"Q"&amp;ROUNDUP(MONTH($B278)/3,0)</f>
        <v>Q1</v>
      </c>
      <c r="E278" s="61" t="n">
        <f aca="false">MONTH($B278)</f>
        <v>3</v>
      </c>
      <c r="F278" s="61" t="str">
        <f aca="false">INDEX(Parametros!$I$5:$I$16,$E278)</f>
        <v>Mar</v>
      </c>
      <c r="G278" s="61" t="str">
        <f aca="false">TEXT($C278,"0000")&amp;"-"&amp;TEXT($E278,"00")</f>
        <v>2024-03</v>
      </c>
      <c r="H278" s="61" t="str">
        <f aca="false">INDEX(Parametros!$C$71:$C$91,MATCH(TRIM(INDEX(Datos_Origen!$C$2:$C$2459,$Z278)),Parametros!$B$71:$B$91,0))</f>
        <v>Cuyo</v>
      </c>
      <c r="I278" s="61" t="str">
        <f aca="false">IF(TRIM($AD278)="",INDEX(Parametros!$I$20:$I$24,MATCH($H278,Parametros!$H$20:$H$24,0)),TRIM($AD278))</f>
        <v>Mendoza</v>
      </c>
      <c r="J278" s="61" t="str">
        <f aca="false">INDEX(Parametros!$C$95:$C$106,MATCH(TRIM(INDEX(Datos_Origen!$E$2:$E$2459,$Z278)),Parametros!$B$95:$B$106,0))</f>
        <v>Tienda fisica</v>
      </c>
      <c r="K278" s="61" t="str">
        <f aca="false">INDEX(Parametros!$C$48:$C$67,MATCH(TRIM(INDEX(Datos_Origen!$F$2:$F$2459,$Z278)),Parametros!$B$48:$B$67,0))</f>
        <v>Almacenamiento</v>
      </c>
      <c r="L278" s="61" t="str">
        <f aca="false">$K278&amp;" "&amp;$C278</f>
        <v>Almacenamiento 2024</v>
      </c>
      <c r="M278" s="61" t="str">
        <f aca="false">TRIM(INDEX(Datos_Origen!$G$2:$G$2459,$Z278))</f>
        <v>SSD Externo 1TB</v>
      </c>
      <c r="N278" s="61" t="str">
        <f aca="false">$M278&amp;" "&amp;$C278</f>
        <v>SSD Externo 1TB 2024</v>
      </c>
      <c r="O278" s="63" t="n">
        <f aca="false">IF(ISTEXT($AC278),VALUE($AC278),$AC278)</f>
        <v>15</v>
      </c>
      <c r="P278" s="64" t="n">
        <f aca="false">INDEX(Datos_Origen!$I$2:$I$2459,$Z278)</f>
        <v>127.4</v>
      </c>
      <c r="Q278" s="64" t="n">
        <f aca="false">INDEX(Datos_Origen!$J$2:$J$2459,$Z278)</f>
        <v>76.05</v>
      </c>
      <c r="R278" s="65" t="n">
        <f aca="false">ROUND($O278*$P278,2)</f>
        <v>1911</v>
      </c>
      <c r="S278" s="65" t="n">
        <f aca="false">ROUND($O278*$Q278,2)</f>
        <v>1140.75</v>
      </c>
      <c r="T278" s="65" t="n">
        <f aca="false">ROUND($R278*SUMIFS(Parametros!$E$28:$E$43,Parametros!$B$28:$B$43,$J278,Parametros!$C$28:$C$43,$C278,Parametros!$D$28:$D$43,$D278),2)</f>
        <v>22.93</v>
      </c>
      <c r="U278" s="65" t="n">
        <f aca="false">$R278-$S278-$T278</f>
        <v>747.32</v>
      </c>
      <c r="V278" s="66" t="n">
        <f aca="false">IFERROR($U278/$R278,0)</f>
        <v>0.391062271062271</v>
      </c>
      <c r="W278" s="67" t="str">
        <f aca="false">IF(AND($V278&gt;=Parametros!$C$8,$R278&gt;=Parametros!$C$12),"Alta rentabilidad",IF(OR($V278&lt;Parametros!$C$11,$R278&lt;Parametros!$C$13),"Revisar","Estandar"))</f>
        <v>Estandar</v>
      </c>
      <c r="X278" s="67" t="str">
        <f aca="false">IF(AND($J278="E-commerce",IFERROR($T278/$R278,0)&gt;Parametros!$C$14),"Alerta","OK")</f>
        <v>OK</v>
      </c>
      <c r="Y278" s="61" t="str">
        <f aca="false">IF($R278&gt;=Parametros!$C$12,"Alto",IF($R278&lt;Parametros!$C$13,"Bajo","Medio"))</f>
        <v>Medio</v>
      </c>
      <c r="Z278" s="61" t="n">
        <v>1185</v>
      </c>
      <c r="AA278" s="61" t="str">
        <f aca="false">IF(MATCH($A278,Datos_Origen!$A$2:$A$2459,0)=$Z278,"OK","REVISAR")</f>
        <v>OK</v>
      </c>
      <c r="AB278" s="62" t="n">
        <f aca="false">INDEX(Datos_Origen!$B$2:$B$2459,$Z278)</f>
        <v>45374</v>
      </c>
      <c r="AC278" s="61" t="str">
        <f aca="false">INDEX(Datos_Origen!$H$2:$H$2459,$Z278)</f>
        <v>15</v>
      </c>
      <c r="AD278" s="61" t="str">
        <f aca="false">INDEX(Datos_Origen!$D$2:$D$2459,$Z278)&amp;""</f>
        <v>Mendoza</v>
      </c>
    </row>
    <row r="279" customFormat="false" ht="15" hidden="false" customHeight="false" outlineLevel="0" collapsed="false">
      <c r="A279" s="61" t="n">
        <f aca="false">INDEX(Datos_Origen!$A$2:$A$2459,$Z279)</f>
        <v>278</v>
      </c>
      <c r="B279" s="62" t="n">
        <f aca="false">IF(ISNUMBER($AB279),$AB279,IF(MID($AB279,5,1)="-",DATE(VALUE(LEFT($AB279,4)),VALUE(MID($AB279,6,2)),VALUE(RIGHT($AB279,2))),DATE(VALUE(RIGHT($AB279,4)),VALUE(MID($AB279,4,2)),VALUE(LEFT($AB279,2)))))</f>
        <v>45354</v>
      </c>
      <c r="C279" s="61" t="n">
        <f aca="false">YEAR($B279)</f>
        <v>2024</v>
      </c>
      <c r="D279" s="61" t="str">
        <f aca="false">"Q"&amp;ROUNDUP(MONTH($B279)/3,0)</f>
        <v>Q1</v>
      </c>
      <c r="E279" s="61" t="n">
        <f aca="false">MONTH($B279)</f>
        <v>3</v>
      </c>
      <c r="F279" s="61" t="str">
        <f aca="false">INDEX(Parametros!$I$5:$I$16,$E279)</f>
        <v>Mar</v>
      </c>
      <c r="G279" s="61" t="str">
        <f aca="false">TEXT($C279,"0000")&amp;"-"&amp;TEXT($E279,"00")</f>
        <v>2024-03</v>
      </c>
      <c r="H279" s="61" t="str">
        <f aca="false">INDEX(Parametros!$C$71:$C$91,MATCH(TRIM(INDEX(Datos_Origen!$C$2:$C$2459,$Z279)),Parametros!$B$71:$B$91,0))</f>
        <v>Cuyo</v>
      </c>
      <c r="I279" s="61" t="str">
        <f aca="false">IF(TRIM($AD279)="",INDEX(Parametros!$I$20:$I$24,MATCH($H279,Parametros!$H$20:$H$24,0)),TRIM($AD279))</f>
        <v>Mendoza</v>
      </c>
      <c r="J279" s="61" t="str">
        <f aca="false">INDEX(Parametros!$C$95:$C$106,MATCH(TRIM(INDEX(Datos_Origen!$E$2:$E$2459,$Z279)),Parametros!$B$95:$B$106,0))</f>
        <v>E-commerce</v>
      </c>
      <c r="K279" s="61" t="str">
        <f aca="false">INDEX(Parametros!$C$48:$C$67,MATCH(TRIM(INDEX(Datos_Origen!$F$2:$F$2459,$Z279)),Parametros!$B$48:$B$67,0))</f>
        <v>Almacenamiento</v>
      </c>
      <c r="L279" s="61" t="str">
        <f aca="false">$K279&amp;" "&amp;$C279</f>
        <v>Almacenamiento 2024</v>
      </c>
      <c r="M279" s="61" t="str">
        <f aca="false">TRIM(INDEX(Datos_Origen!$G$2:$G$2459,$Z279))</f>
        <v>SSD Externo 1TB</v>
      </c>
      <c r="N279" s="61" t="str">
        <f aca="false">$M279&amp;" "&amp;$C279</f>
        <v>SSD Externo 1TB 2024</v>
      </c>
      <c r="O279" s="63" t="n">
        <f aca="false">IF(ISTEXT($AC279),VALUE($AC279),$AC279)</f>
        <v>8</v>
      </c>
      <c r="P279" s="64" t="n">
        <f aca="false">INDEX(Datos_Origen!$I$2:$I$2459,$Z279)</f>
        <v>127.4</v>
      </c>
      <c r="Q279" s="64" t="n">
        <f aca="false">INDEX(Datos_Origen!$J$2:$J$2459,$Z279)</f>
        <v>76.05</v>
      </c>
      <c r="R279" s="65" t="n">
        <f aca="false">ROUND($O279*$P279,2)</f>
        <v>1019.2</v>
      </c>
      <c r="S279" s="65" t="n">
        <f aca="false">ROUND($O279*$Q279,2)</f>
        <v>608.4</v>
      </c>
      <c r="T279" s="65" t="n">
        <f aca="false">ROUND($R279*SUMIFS(Parametros!$E$28:$E$43,Parametros!$B$28:$B$43,$J279,Parametros!$C$28:$C$43,$C279,Parametros!$D$28:$D$43,$D279),2)</f>
        <v>42.81</v>
      </c>
      <c r="U279" s="65" t="n">
        <f aca="false">$R279-$S279-$T279</f>
        <v>367.99</v>
      </c>
      <c r="V279" s="66" t="n">
        <f aca="false">IFERROR($U279/$R279,0)</f>
        <v>0.361057692307692</v>
      </c>
      <c r="W279" s="67" t="str">
        <f aca="false">IF(AND($V279&gt;=Parametros!$C$8,$R279&gt;=Parametros!$C$12),"Alta rentabilidad",IF(OR($V279&lt;Parametros!$C$11,$R279&lt;Parametros!$C$13),"Revisar","Estandar"))</f>
        <v>Estandar</v>
      </c>
      <c r="X279" s="67" t="str">
        <f aca="false">IF(AND($J279="E-commerce",IFERROR($T279/$R279,0)&gt;Parametros!$C$14),"Alerta","OK")</f>
        <v>OK</v>
      </c>
      <c r="Y279" s="61" t="str">
        <f aca="false">IF($R279&gt;=Parametros!$C$12,"Alto",IF($R279&lt;Parametros!$C$13,"Bajo","Medio"))</f>
        <v>Medio</v>
      </c>
      <c r="Z279" s="61" t="n">
        <v>1343</v>
      </c>
      <c r="AA279" s="61" t="str">
        <f aca="false">IF(MATCH($A279,Datos_Origen!$A$2:$A$2459,0)=$Z279,"OK","REVISAR")</f>
        <v>OK</v>
      </c>
      <c r="AB279" s="62" t="n">
        <f aca="false">INDEX(Datos_Origen!$B$2:$B$2459,$Z279)</f>
        <v>45354</v>
      </c>
      <c r="AC279" s="61" t="n">
        <f aca="false">INDEX(Datos_Origen!$H$2:$H$2459,$Z279)</f>
        <v>8</v>
      </c>
      <c r="AD279" s="61" t="str">
        <f aca="false">INDEX(Datos_Origen!$D$2:$D$2459,$Z279)&amp;""</f>
        <v>Mendoza</v>
      </c>
    </row>
    <row r="280" customFormat="false" ht="15" hidden="false" customHeight="false" outlineLevel="0" collapsed="false">
      <c r="A280" s="61" t="n">
        <f aca="false">INDEX(Datos_Origen!$A$2:$A$2459,$Z280)</f>
        <v>279</v>
      </c>
      <c r="B280" s="62" t="n">
        <f aca="false">IF(ISNUMBER($AB280),$AB280,IF(MID($AB280,5,1)="-",DATE(VALUE(LEFT($AB280,4)),VALUE(MID($AB280,6,2)),VALUE(RIGHT($AB280,2))),DATE(VALUE(RIGHT($AB280,4)),VALUE(MID($AB280,4,2)),VALUE(LEFT($AB280,2)))))</f>
        <v>45361</v>
      </c>
      <c r="C280" s="61" t="n">
        <f aca="false">YEAR($B280)</f>
        <v>2024</v>
      </c>
      <c r="D280" s="61" t="str">
        <f aca="false">"Q"&amp;ROUNDUP(MONTH($B280)/3,0)</f>
        <v>Q1</v>
      </c>
      <c r="E280" s="61" t="n">
        <f aca="false">MONTH($B280)</f>
        <v>3</v>
      </c>
      <c r="F280" s="61" t="str">
        <f aca="false">INDEX(Parametros!$I$5:$I$16,$E280)</f>
        <v>Mar</v>
      </c>
      <c r="G280" s="61" t="str">
        <f aca="false">TEXT($C280,"0000")&amp;"-"&amp;TEXT($E280,"00")</f>
        <v>2024-03</v>
      </c>
      <c r="H280" s="61" t="str">
        <f aca="false">INDEX(Parametros!$C$71:$C$91,MATCH(TRIM(INDEX(Datos_Origen!$C$2:$C$2459,$Z280)),Parametros!$B$71:$B$91,0))</f>
        <v>Cuyo</v>
      </c>
      <c r="I280" s="61" t="str">
        <f aca="false">IF(TRIM($AD280)="",INDEX(Parametros!$I$20:$I$24,MATCH($H280,Parametros!$H$20:$H$24,0)),TRIM($AD280))</f>
        <v>Mendoza</v>
      </c>
      <c r="J280" s="61" t="str">
        <f aca="false">INDEX(Parametros!$C$95:$C$106,MATCH(TRIM(INDEX(Datos_Origen!$E$2:$E$2459,$Z280)),Parametros!$B$95:$B$106,0))</f>
        <v>Tienda fisica</v>
      </c>
      <c r="K280" s="61" t="str">
        <f aca="false">INDEX(Parametros!$C$48:$C$67,MATCH(TRIM(INDEX(Datos_Origen!$F$2:$F$2459,$Z280)),Parametros!$B$48:$B$67,0))</f>
        <v>Almacenamiento</v>
      </c>
      <c r="L280" s="61" t="str">
        <f aca="false">$K280&amp;" "&amp;$C280</f>
        <v>Almacenamiento 2024</v>
      </c>
      <c r="M280" s="61" t="str">
        <f aca="false">TRIM(INDEX(Datos_Origen!$G$2:$G$2459,$Z280))</f>
        <v>Pendrive 256GB</v>
      </c>
      <c r="N280" s="61" t="str">
        <f aca="false">$M280&amp;" "&amp;$C280</f>
        <v>Pendrive 256GB 2024</v>
      </c>
      <c r="O280" s="63" t="n">
        <f aca="false">IF(ISTEXT($AC280),VALUE($AC280),$AC280)</f>
        <v>20</v>
      </c>
      <c r="P280" s="64" t="n">
        <f aca="false">INDEX(Datos_Origen!$I$2:$I$2459,$Z280)</f>
        <v>34.3</v>
      </c>
      <c r="Q280" s="64" t="n">
        <f aca="false">INDEX(Datos_Origen!$J$2:$J$2459,$Z280)</f>
        <v>17.85</v>
      </c>
      <c r="R280" s="65" t="n">
        <f aca="false">ROUND($O280*$P280,2)</f>
        <v>686</v>
      </c>
      <c r="S280" s="65" t="n">
        <f aca="false">ROUND($O280*$Q280,2)</f>
        <v>357</v>
      </c>
      <c r="T280" s="65" t="n">
        <f aca="false">ROUND($R280*SUMIFS(Parametros!$E$28:$E$43,Parametros!$B$28:$B$43,$J280,Parametros!$C$28:$C$43,$C280,Parametros!$D$28:$D$43,$D280),2)</f>
        <v>8.23</v>
      </c>
      <c r="U280" s="65" t="n">
        <f aca="false">$R280-$S280-$T280</f>
        <v>320.77</v>
      </c>
      <c r="V280" s="66" t="n">
        <f aca="false">IFERROR($U280/$R280,0)</f>
        <v>0.467594752186589</v>
      </c>
      <c r="W280" s="67" t="str">
        <f aca="false">IF(AND($V280&gt;=Parametros!$C$8,$R280&gt;=Parametros!$C$12),"Alta rentabilidad",IF(OR($V280&lt;Parametros!$C$11,$R280&lt;Parametros!$C$13),"Revisar","Estandar"))</f>
        <v>Estandar</v>
      </c>
      <c r="X280" s="67" t="str">
        <f aca="false">IF(AND($J280="E-commerce",IFERROR($T280/$R280,0)&gt;Parametros!$C$14),"Alerta","OK")</f>
        <v>OK</v>
      </c>
      <c r="Y280" s="61" t="str">
        <f aca="false">IF($R280&gt;=Parametros!$C$12,"Alto",IF($R280&lt;Parametros!$C$13,"Bajo","Medio"))</f>
        <v>Medio</v>
      </c>
      <c r="Z280" s="61" t="n">
        <v>1683</v>
      </c>
      <c r="AA280" s="61" t="str">
        <f aca="false">IF(MATCH($A280,Datos_Origen!$A$2:$A$2459,0)=$Z280,"OK","REVISAR")</f>
        <v>OK</v>
      </c>
      <c r="AB280" s="62" t="n">
        <f aca="false">INDEX(Datos_Origen!$B$2:$B$2459,$Z280)</f>
        <v>45361</v>
      </c>
      <c r="AC280" s="61" t="n">
        <f aca="false">INDEX(Datos_Origen!$H$2:$H$2459,$Z280)</f>
        <v>20</v>
      </c>
      <c r="AD280" s="61" t="str">
        <f aca="false">INDEX(Datos_Origen!$D$2:$D$2459,$Z280)&amp;""</f>
        <v>Mendoza</v>
      </c>
    </row>
    <row r="281" customFormat="false" ht="15" hidden="false" customHeight="false" outlineLevel="0" collapsed="false">
      <c r="A281" s="61" t="n">
        <f aca="false">INDEX(Datos_Origen!$A$2:$A$2459,$Z281)</f>
        <v>280</v>
      </c>
      <c r="B281" s="62" t="n">
        <f aca="false">IF(ISNUMBER($AB281),$AB281,IF(MID($AB281,5,1)="-",DATE(VALUE(LEFT($AB281,4)),VALUE(MID($AB281,6,2)),VALUE(RIGHT($AB281,2))),DATE(VALUE(RIGHT($AB281,4)),VALUE(MID($AB281,4,2)),VALUE(LEFT($AB281,2)))))</f>
        <v>45368</v>
      </c>
      <c r="C281" s="61" t="n">
        <f aca="false">YEAR($B281)</f>
        <v>2024</v>
      </c>
      <c r="D281" s="61" t="str">
        <f aca="false">"Q"&amp;ROUNDUP(MONTH($B281)/3,0)</f>
        <v>Q1</v>
      </c>
      <c r="E281" s="61" t="n">
        <f aca="false">MONTH($B281)</f>
        <v>3</v>
      </c>
      <c r="F281" s="61" t="str">
        <f aca="false">INDEX(Parametros!$I$5:$I$16,$E281)</f>
        <v>Mar</v>
      </c>
      <c r="G281" s="61" t="str">
        <f aca="false">TEXT($C281,"0000")&amp;"-"&amp;TEXT($E281,"00")</f>
        <v>2024-03</v>
      </c>
      <c r="H281" s="61" t="str">
        <f aca="false">INDEX(Parametros!$C$71:$C$91,MATCH(TRIM(INDEX(Datos_Origen!$C$2:$C$2459,$Z281)),Parametros!$B$71:$B$91,0))</f>
        <v>Cuyo</v>
      </c>
      <c r="I281" s="61" t="str">
        <f aca="false">IF(TRIM($AD281)="",INDEX(Parametros!$I$20:$I$24,MATCH($H281,Parametros!$H$20:$H$24,0)),TRIM($AD281))</f>
        <v>Mendoza</v>
      </c>
      <c r="J281" s="61" t="str">
        <f aca="false">INDEX(Parametros!$C$95:$C$106,MATCH(TRIM(INDEX(Datos_Origen!$E$2:$E$2459,$Z281)),Parametros!$B$95:$B$106,0))</f>
        <v>E-commerce</v>
      </c>
      <c r="K281" s="61" t="str">
        <f aca="false">INDEX(Parametros!$C$48:$C$67,MATCH(TRIM(INDEX(Datos_Origen!$F$2:$F$2459,$Z281)),Parametros!$B$48:$B$67,0))</f>
        <v>Almacenamiento</v>
      </c>
      <c r="L281" s="61" t="str">
        <f aca="false">$K281&amp;" "&amp;$C281</f>
        <v>Almacenamiento 2024</v>
      </c>
      <c r="M281" s="61" t="str">
        <f aca="false">TRIM(INDEX(Datos_Origen!$G$2:$G$2459,$Z281))</f>
        <v>Pendrive 256GB</v>
      </c>
      <c r="N281" s="61" t="str">
        <f aca="false">$M281&amp;" "&amp;$C281</f>
        <v>Pendrive 256GB 2024</v>
      </c>
      <c r="O281" s="63" t="n">
        <f aca="false">IF(ISTEXT($AC281),VALUE($AC281),$AC281)</f>
        <v>6</v>
      </c>
      <c r="P281" s="64" t="n">
        <f aca="false">INDEX(Datos_Origen!$I$2:$I$2459,$Z281)</f>
        <v>34.3</v>
      </c>
      <c r="Q281" s="64" t="n">
        <f aca="false">INDEX(Datos_Origen!$J$2:$J$2459,$Z281)</f>
        <v>17.85</v>
      </c>
      <c r="R281" s="65" t="n">
        <f aca="false">ROUND($O281*$P281,2)</f>
        <v>205.8</v>
      </c>
      <c r="S281" s="65" t="n">
        <f aca="false">ROUND($O281*$Q281,2)</f>
        <v>107.1</v>
      </c>
      <c r="T281" s="65" t="n">
        <f aca="false">ROUND($R281*SUMIFS(Parametros!$E$28:$E$43,Parametros!$B$28:$B$43,$J281,Parametros!$C$28:$C$43,$C281,Parametros!$D$28:$D$43,$D281),2)</f>
        <v>8.64</v>
      </c>
      <c r="U281" s="65" t="n">
        <f aca="false">$R281-$S281-$T281</f>
        <v>90.06</v>
      </c>
      <c r="V281" s="66" t="n">
        <f aca="false">IFERROR($U281/$R281,0)</f>
        <v>0.437609329446064</v>
      </c>
      <c r="W281" s="67" t="str">
        <f aca="false">IF(AND($V281&gt;=Parametros!$C$8,$R281&gt;=Parametros!$C$12),"Alta rentabilidad",IF(OR($V281&lt;Parametros!$C$11,$R281&lt;Parametros!$C$13),"Revisar","Estandar"))</f>
        <v>Revisar</v>
      </c>
      <c r="X281" s="67" t="str">
        <f aca="false">IF(AND($J281="E-commerce",IFERROR($T281/$R281,0)&gt;Parametros!$C$14),"Alerta","OK")</f>
        <v>OK</v>
      </c>
      <c r="Y281" s="61" t="str">
        <f aca="false">IF($R281&gt;=Parametros!$C$12,"Alto",IF($R281&lt;Parametros!$C$13,"Bajo","Medio"))</f>
        <v>Bajo</v>
      </c>
      <c r="Z281" s="61" t="n">
        <v>2328</v>
      </c>
      <c r="AA281" s="61" t="str">
        <f aca="false">IF(MATCH($A281,Datos_Origen!$A$2:$A$2459,0)=$Z281,"OK","REVISAR")</f>
        <v>OK</v>
      </c>
      <c r="AB281" s="62" t="n">
        <f aca="false">INDEX(Datos_Origen!$B$2:$B$2459,$Z281)</f>
        <v>45368</v>
      </c>
      <c r="AC281" s="61" t="n">
        <f aca="false">INDEX(Datos_Origen!$H$2:$H$2459,$Z281)</f>
        <v>6</v>
      </c>
      <c r="AD281" s="61" t="str">
        <f aca="false">INDEX(Datos_Origen!$D$2:$D$2459,$Z281)&amp;""</f>
        <v>Mendoza</v>
      </c>
    </row>
    <row r="282" customFormat="false" ht="15" hidden="false" customHeight="false" outlineLevel="0" collapsed="false">
      <c r="A282" s="61" t="n">
        <f aca="false">INDEX(Datos_Origen!$A$2:$A$2459,$Z282)</f>
        <v>281</v>
      </c>
      <c r="B282" s="62" t="n">
        <f aca="false">IF(ISNUMBER($AB282),$AB282,IF(MID($AB282,5,1)="-",DATE(VALUE(LEFT($AB282,4)),VALUE(MID($AB282,6,2)),VALUE(RIGHT($AB282,2))),DATE(VALUE(RIGHT($AB282,4)),VALUE(MID($AB282,4,2)),VALUE(LEFT($AB282,2)))))</f>
        <v>45375</v>
      </c>
      <c r="C282" s="61" t="n">
        <f aca="false">YEAR($B282)</f>
        <v>2024</v>
      </c>
      <c r="D282" s="61" t="str">
        <f aca="false">"Q"&amp;ROUNDUP(MONTH($B282)/3,0)</f>
        <v>Q1</v>
      </c>
      <c r="E282" s="61" t="n">
        <f aca="false">MONTH($B282)</f>
        <v>3</v>
      </c>
      <c r="F282" s="61" t="str">
        <f aca="false">INDEX(Parametros!$I$5:$I$16,$E282)</f>
        <v>Mar</v>
      </c>
      <c r="G282" s="61" t="str">
        <f aca="false">TEXT($C282,"0000")&amp;"-"&amp;TEXT($E282,"00")</f>
        <v>2024-03</v>
      </c>
      <c r="H282" s="61" t="str">
        <f aca="false">INDEX(Parametros!$C$71:$C$91,MATCH(TRIM(INDEX(Datos_Origen!$C$2:$C$2459,$Z282)),Parametros!$B$71:$B$91,0))</f>
        <v>NOA</v>
      </c>
      <c r="I282" s="61" t="str">
        <f aca="false">IF(TRIM($AD282)="",INDEX(Parametros!$I$20:$I$24,MATCH($H282,Parametros!$H$20:$H$24,0)),TRIM($AD282))</f>
        <v>Tucuman</v>
      </c>
      <c r="J282" s="61" t="str">
        <f aca="false">INDEX(Parametros!$C$95:$C$106,MATCH(TRIM(INDEX(Datos_Origen!$E$2:$E$2459,$Z282)),Parametros!$B$95:$B$106,0))</f>
        <v>Tienda fisica</v>
      </c>
      <c r="K282" s="61" t="str">
        <f aca="false">INDEX(Parametros!$C$48:$C$67,MATCH(TRIM(INDEX(Datos_Origen!$F$2:$F$2459,$Z282)),Parametros!$B$48:$B$67,0))</f>
        <v>Computacion</v>
      </c>
      <c r="L282" s="61" t="str">
        <f aca="false">$K282&amp;" "&amp;$C282</f>
        <v>Computacion 2024</v>
      </c>
      <c r="M282" s="61" t="str">
        <f aca="false">TRIM(INDEX(Datos_Origen!$G$2:$G$2459,$Z282))</f>
        <v>Laptop Pro 15</v>
      </c>
      <c r="N282" s="61" t="str">
        <f aca="false">$M282&amp;" "&amp;$C282</f>
        <v>Laptop Pro 15 2024</v>
      </c>
      <c r="O282" s="63" t="n">
        <f aca="false">IF(ISTEXT($AC282),VALUE($AC282),$AC282)</f>
        <v>6</v>
      </c>
      <c r="P282" s="64" t="n">
        <f aca="false">INDEX(Datos_Origen!$I$2:$I$2459,$Z282)</f>
        <v>1176</v>
      </c>
      <c r="Q282" s="64" t="n">
        <f aca="false">INDEX(Datos_Origen!$J$2:$J$2459,$Z282)</f>
        <v>744</v>
      </c>
      <c r="R282" s="65" t="n">
        <f aca="false">ROUND($O282*$P282,2)</f>
        <v>7056</v>
      </c>
      <c r="S282" s="65" t="n">
        <f aca="false">ROUND($O282*$Q282,2)</f>
        <v>4464</v>
      </c>
      <c r="T282" s="65" t="n">
        <f aca="false">ROUND($R282*SUMIFS(Parametros!$E$28:$E$43,Parametros!$B$28:$B$43,$J282,Parametros!$C$28:$C$43,$C282,Parametros!$D$28:$D$43,$D282),2)</f>
        <v>84.67</v>
      </c>
      <c r="U282" s="65" t="n">
        <f aca="false">$R282-$S282-$T282</f>
        <v>2507.33</v>
      </c>
      <c r="V282" s="66" t="n">
        <f aca="false">IFERROR($U282/$R282,0)</f>
        <v>0.355347222222222</v>
      </c>
      <c r="W282" s="67" t="str">
        <f aca="false">IF(AND($V282&gt;=Parametros!$C$8,$R282&gt;=Parametros!$C$12),"Alta rentabilidad",IF(OR($V282&lt;Parametros!$C$11,$R282&lt;Parametros!$C$13),"Revisar","Estandar"))</f>
        <v>Alta rentabilidad</v>
      </c>
      <c r="X282" s="67" t="str">
        <f aca="false">IF(AND($J282="E-commerce",IFERROR($T282/$R282,0)&gt;Parametros!$C$14),"Alerta","OK")</f>
        <v>OK</v>
      </c>
      <c r="Y282" s="61" t="str">
        <f aca="false">IF($R282&gt;=Parametros!$C$12,"Alto",IF($R282&lt;Parametros!$C$13,"Bajo","Medio"))</f>
        <v>Alto</v>
      </c>
      <c r="Z282" s="61" t="n">
        <v>106</v>
      </c>
      <c r="AA282" s="61" t="str">
        <f aca="false">IF(MATCH($A282,Datos_Origen!$A$2:$A$2459,0)=$Z282,"OK","REVISAR")</f>
        <v>OK</v>
      </c>
      <c r="AB282" s="62" t="n">
        <f aca="false">INDEX(Datos_Origen!$B$2:$B$2459,$Z282)</f>
        <v>45375</v>
      </c>
      <c r="AC282" s="61" t="n">
        <f aca="false">INDEX(Datos_Origen!$H$2:$H$2459,$Z282)</f>
        <v>6</v>
      </c>
      <c r="AD282" s="61" t="str">
        <f aca="false">INDEX(Datos_Origen!$D$2:$D$2459,$Z282)&amp;""</f>
        <v>Tucuman</v>
      </c>
    </row>
    <row r="283" customFormat="false" ht="15" hidden="false" customHeight="false" outlineLevel="0" collapsed="false">
      <c r="A283" s="61" t="n">
        <f aca="false">INDEX(Datos_Origen!$A$2:$A$2459,$Z283)</f>
        <v>282</v>
      </c>
      <c r="B283" s="62" t="n">
        <f aca="false">IF(ISNUMBER($AB283),$AB283,IF(MID($AB283,5,1)="-",DATE(VALUE(LEFT($AB283,4)),VALUE(MID($AB283,6,2)),VALUE(RIGHT($AB283,2))),DATE(VALUE(RIGHT($AB283,4)),VALUE(MID($AB283,4,2)),VALUE(LEFT($AB283,2)))))</f>
        <v>45355</v>
      </c>
      <c r="C283" s="61" t="n">
        <f aca="false">YEAR($B283)</f>
        <v>2024</v>
      </c>
      <c r="D283" s="61" t="str">
        <f aca="false">"Q"&amp;ROUNDUP(MONTH($B283)/3,0)</f>
        <v>Q1</v>
      </c>
      <c r="E283" s="61" t="n">
        <f aca="false">MONTH($B283)</f>
        <v>3</v>
      </c>
      <c r="F283" s="61" t="str">
        <f aca="false">INDEX(Parametros!$I$5:$I$16,$E283)</f>
        <v>Mar</v>
      </c>
      <c r="G283" s="61" t="str">
        <f aca="false">TEXT($C283,"0000")&amp;"-"&amp;TEXT($E283,"00")</f>
        <v>2024-03</v>
      </c>
      <c r="H283" s="61" t="str">
        <f aca="false">INDEX(Parametros!$C$71:$C$91,MATCH(TRIM(INDEX(Datos_Origen!$C$2:$C$2459,$Z283)),Parametros!$B$71:$B$91,0))</f>
        <v>NOA</v>
      </c>
      <c r="I283" s="61" t="str">
        <f aca="false">IF(TRIM($AD283)="",INDEX(Parametros!$I$20:$I$24,MATCH($H283,Parametros!$H$20:$H$24,0)),TRIM($AD283))</f>
        <v>Tucuman</v>
      </c>
      <c r="J283" s="61" t="str">
        <f aca="false">INDEX(Parametros!$C$95:$C$106,MATCH(TRIM(INDEX(Datos_Origen!$E$2:$E$2459,$Z283)),Parametros!$B$95:$B$106,0))</f>
        <v>E-commerce</v>
      </c>
      <c r="K283" s="61" t="str">
        <f aca="false">INDEX(Parametros!$C$48:$C$67,MATCH(TRIM(INDEX(Datos_Origen!$F$2:$F$2459,$Z283)),Parametros!$B$48:$B$67,0))</f>
        <v>Computacion</v>
      </c>
      <c r="L283" s="61" t="str">
        <f aca="false">$K283&amp;" "&amp;$C283</f>
        <v>Computacion 2024</v>
      </c>
      <c r="M283" s="61" t="str">
        <f aca="false">TRIM(INDEX(Datos_Origen!$G$2:$G$2459,$Z283))</f>
        <v>Laptop Pro 15</v>
      </c>
      <c r="N283" s="61" t="str">
        <f aca="false">$M283&amp;" "&amp;$C283</f>
        <v>Laptop Pro 15 2024</v>
      </c>
      <c r="O283" s="63" t="n">
        <f aca="false">IF(ISTEXT($AC283),VALUE($AC283),$AC283)</f>
        <v>3</v>
      </c>
      <c r="P283" s="64" t="n">
        <f aca="false">INDEX(Datos_Origen!$I$2:$I$2459,$Z283)</f>
        <v>1176</v>
      </c>
      <c r="Q283" s="64" t="n">
        <f aca="false">INDEX(Datos_Origen!$J$2:$J$2459,$Z283)</f>
        <v>744</v>
      </c>
      <c r="R283" s="65" t="n">
        <f aca="false">ROUND($O283*$P283,2)</f>
        <v>3528</v>
      </c>
      <c r="S283" s="65" t="n">
        <f aca="false">ROUND($O283*$Q283,2)</f>
        <v>2232</v>
      </c>
      <c r="T283" s="65" t="n">
        <f aca="false">ROUND($R283*SUMIFS(Parametros!$E$28:$E$43,Parametros!$B$28:$B$43,$J283,Parametros!$C$28:$C$43,$C283,Parametros!$D$28:$D$43,$D283),2)</f>
        <v>148.18</v>
      </c>
      <c r="U283" s="65" t="n">
        <f aca="false">$R283-$S283-$T283</f>
        <v>1147.82</v>
      </c>
      <c r="V283" s="66" t="n">
        <f aca="false">IFERROR($U283/$R283,0)</f>
        <v>0.325345804988662</v>
      </c>
      <c r="W283" s="67" t="str">
        <f aca="false">IF(AND($V283&gt;=Parametros!$C$8,$R283&gt;=Parametros!$C$12),"Alta rentabilidad",IF(OR($V283&lt;Parametros!$C$11,$R283&lt;Parametros!$C$13),"Revisar","Estandar"))</f>
        <v>Estandar</v>
      </c>
      <c r="X283" s="67" t="str">
        <f aca="false">IF(AND($J283="E-commerce",IFERROR($T283/$R283,0)&gt;Parametros!$C$14),"Alerta","OK")</f>
        <v>OK</v>
      </c>
      <c r="Y283" s="61" t="str">
        <f aca="false">IF($R283&gt;=Parametros!$C$12,"Alto",IF($R283&lt;Parametros!$C$13,"Bajo","Medio"))</f>
        <v>Alto</v>
      </c>
      <c r="Z283" s="61" t="n">
        <v>1094</v>
      </c>
      <c r="AA283" s="61" t="str">
        <f aca="false">IF(MATCH($A283,Datos_Origen!$A$2:$A$2459,0)=$Z283,"OK","REVISAR")</f>
        <v>OK</v>
      </c>
      <c r="AB283" s="61" t="str">
        <f aca="false">INDEX(Datos_Origen!$B$2:$B$2459,$Z283)</f>
        <v>2024-03-04</v>
      </c>
      <c r="AC283" s="61" t="n">
        <f aca="false">INDEX(Datos_Origen!$H$2:$H$2459,$Z283)</f>
        <v>3</v>
      </c>
      <c r="AD283" s="61" t="str">
        <f aca="false">INDEX(Datos_Origen!$D$2:$D$2459,$Z283)&amp;""</f>
        <v>Tucuman</v>
      </c>
    </row>
    <row r="284" customFormat="false" ht="15" hidden="false" customHeight="false" outlineLevel="0" collapsed="false">
      <c r="A284" s="61" t="n">
        <f aca="false">INDEX(Datos_Origen!$A$2:$A$2459,$Z284)</f>
        <v>283</v>
      </c>
      <c r="B284" s="62" t="n">
        <f aca="false">IF(ISNUMBER($AB284),$AB284,IF(MID($AB284,5,1)="-",DATE(VALUE(LEFT($AB284,4)),VALUE(MID($AB284,6,2)),VALUE(RIGHT($AB284,2))),DATE(VALUE(RIGHT($AB284,4)),VALUE(MID($AB284,4,2)),VALUE(LEFT($AB284,2)))))</f>
        <v>45362</v>
      </c>
      <c r="C284" s="61" t="n">
        <f aca="false">YEAR($B284)</f>
        <v>2024</v>
      </c>
      <c r="D284" s="61" t="str">
        <f aca="false">"Q"&amp;ROUNDUP(MONTH($B284)/3,0)</f>
        <v>Q1</v>
      </c>
      <c r="E284" s="61" t="n">
        <f aca="false">MONTH($B284)</f>
        <v>3</v>
      </c>
      <c r="F284" s="61" t="str">
        <f aca="false">INDEX(Parametros!$I$5:$I$16,$E284)</f>
        <v>Mar</v>
      </c>
      <c r="G284" s="61" t="str">
        <f aca="false">TEXT($C284,"0000")&amp;"-"&amp;TEXT($E284,"00")</f>
        <v>2024-03</v>
      </c>
      <c r="H284" s="61" t="str">
        <f aca="false">INDEX(Parametros!$C$71:$C$91,MATCH(TRIM(INDEX(Datos_Origen!$C$2:$C$2459,$Z284)),Parametros!$B$71:$B$91,0))</f>
        <v>NOA</v>
      </c>
      <c r="I284" s="61" t="str">
        <f aca="false">IF(TRIM($AD284)="",INDEX(Parametros!$I$20:$I$24,MATCH($H284,Parametros!$H$20:$H$24,0)),TRIM($AD284))</f>
        <v>Tucuman</v>
      </c>
      <c r="J284" s="61" t="str">
        <f aca="false">INDEX(Parametros!$C$95:$C$106,MATCH(TRIM(INDEX(Datos_Origen!$E$2:$E$2459,$Z284)),Parametros!$B$95:$B$106,0))</f>
        <v>Tienda fisica</v>
      </c>
      <c r="K284" s="61" t="str">
        <f aca="false">INDEX(Parametros!$C$48:$C$67,MATCH(TRIM(INDEX(Datos_Origen!$F$2:$F$2459,$Z284)),Parametros!$B$48:$B$67,0))</f>
        <v>Computacion</v>
      </c>
      <c r="L284" s="61" t="str">
        <f aca="false">$K284&amp;" "&amp;$C284</f>
        <v>Computacion 2024</v>
      </c>
      <c r="M284" s="61" t="str">
        <f aca="false">TRIM(INDEX(Datos_Origen!$G$2:$G$2459,$Z284))</f>
        <v>Monitor 4K 27</v>
      </c>
      <c r="N284" s="61" t="str">
        <f aca="false">$M284&amp;" "&amp;$C284</f>
        <v>Monitor 4K 27 2024</v>
      </c>
      <c r="O284" s="63" t="n">
        <f aca="false">IF(ISTEXT($AC284),VALUE($AC284),$AC284)</f>
        <v>6</v>
      </c>
      <c r="P284" s="64" t="n">
        <f aca="false">INDEX(Datos_Origen!$I$2:$I$2459,$Z284)</f>
        <v>441</v>
      </c>
      <c r="Q284" s="64" t="n">
        <f aca="false">INDEX(Datos_Origen!$J$2:$J$2459,$Z284)</f>
        <v>272.25</v>
      </c>
      <c r="R284" s="65" t="n">
        <f aca="false">ROUND($O284*$P284,2)</f>
        <v>2646</v>
      </c>
      <c r="S284" s="65" t="n">
        <f aca="false">ROUND($O284*$Q284,2)</f>
        <v>1633.5</v>
      </c>
      <c r="T284" s="65" t="n">
        <f aca="false">ROUND($R284*SUMIFS(Parametros!$E$28:$E$43,Parametros!$B$28:$B$43,$J284,Parametros!$C$28:$C$43,$C284,Parametros!$D$28:$D$43,$D284),2)</f>
        <v>31.75</v>
      </c>
      <c r="U284" s="65" t="n">
        <f aca="false">$R284-$S284-$T284</f>
        <v>980.75</v>
      </c>
      <c r="V284" s="66" t="n">
        <f aca="false">IFERROR($U284/$R284,0)</f>
        <v>0.370653817082389</v>
      </c>
      <c r="W284" s="67" t="str">
        <f aca="false">IF(AND($V284&gt;=Parametros!$C$8,$R284&gt;=Parametros!$C$12),"Alta rentabilidad",IF(OR($V284&lt;Parametros!$C$11,$R284&lt;Parametros!$C$13),"Revisar","Estandar"))</f>
        <v>Estandar</v>
      </c>
      <c r="X284" s="67" t="str">
        <f aca="false">IF(AND($J284="E-commerce",IFERROR($T284/$R284,0)&gt;Parametros!$C$14),"Alerta","OK")</f>
        <v>OK</v>
      </c>
      <c r="Y284" s="61" t="str">
        <f aca="false">IF($R284&gt;=Parametros!$C$12,"Alto",IF($R284&lt;Parametros!$C$13,"Bajo","Medio"))</f>
        <v>Medio</v>
      </c>
      <c r="Z284" s="61" t="n">
        <v>1399</v>
      </c>
      <c r="AA284" s="61" t="str">
        <f aca="false">IF(MATCH($A284,Datos_Origen!$A$2:$A$2459,0)=$Z284,"OK","REVISAR")</f>
        <v>OK</v>
      </c>
      <c r="AB284" s="62" t="n">
        <f aca="false">INDEX(Datos_Origen!$B$2:$B$2459,$Z284)</f>
        <v>45362</v>
      </c>
      <c r="AC284" s="61" t="n">
        <f aca="false">INDEX(Datos_Origen!$H$2:$H$2459,$Z284)</f>
        <v>6</v>
      </c>
      <c r="AD284" s="61" t="str">
        <f aca="false">INDEX(Datos_Origen!$D$2:$D$2459,$Z284)&amp;""</f>
        <v>Tucuman</v>
      </c>
    </row>
    <row r="285" customFormat="false" ht="15" hidden="false" customHeight="false" outlineLevel="0" collapsed="false">
      <c r="A285" s="61" t="n">
        <f aca="false">INDEX(Datos_Origen!$A$2:$A$2459,$Z285)</f>
        <v>284</v>
      </c>
      <c r="B285" s="62" t="n">
        <f aca="false">IF(ISNUMBER($AB285),$AB285,IF(MID($AB285,5,1)="-",DATE(VALUE(LEFT($AB285,4)),VALUE(MID($AB285,6,2)),VALUE(RIGHT($AB285,2))),DATE(VALUE(RIGHT($AB285,4)),VALUE(MID($AB285,4,2)),VALUE(LEFT($AB285,2)))))</f>
        <v>45369</v>
      </c>
      <c r="C285" s="61" t="n">
        <f aca="false">YEAR($B285)</f>
        <v>2024</v>
      </c>
      <c r="D285" s="61" t="str">
        <f aca="false">"Q"&amp;ROUNDUP(MONTH($B285)/3,0)</f>
        <v>Q1</v>
      </c>
      <c r="E285" s="61" t="n">
        <f aca="false">MONTH($B285)</f>
        <v>3</v>
      </c>
      <c r="F285" s="61" t="str">
        <f aca="false">INDEX(Parametros!$I$5:$I$16,$E285)</f>
        <v>Mar</v>
      </c>
      <c r="G285" s="61" t="str">
        <f aca="false">TEXT($C285,"0000")&amp;"-"&amp;TEXT($E285,"00")</f>
        <v>2024-03</v>
      </c>
      <c r="H285" s="61" t="str">
        <f aca="false">INDEX(Parametros!$C$71:$C$91,MATCH(TRIM(INDEX(Datos_Origen!$C$2:$C$2459,$Z285)),Parametros!$B$71:$B$91,0))</f>
        <v>NOA</v>
      </c>
      <c r="I285" s="61" t="str">
        <f aca="false">IF(TRIM($AD285)="",INDEX(Parametros!$I$20:$I$24,MATCH($H285,Parametros!$H$20:$H$24,0)),TRIM($AD285))</f>
        <v>Tucuman</v>
      </c>
      <c r="J285" s="61" t="str">
        <f aca="false">INDEX(Parametros!$C$95:$C$106,MATCH(TRIM(INDEX(Datos_Origen!$E$2:$E$2459,$Z285)),Parametros!$B$95:$B$106,0))</f>
        <v>E-commerce</v>
      </c>
      <c r="K285" s="61" t="str">
        <f aca="false">INDEX(Parametros!$C$48:$C$67,MATCH(TRIM(INDEX(Datos_Origen!$F$2:$F$2459,$Z285)),Parametros!$B$48:$B$67,0))</f>
        <v>Computacion</v>
      </c>
      <c r="L285" s="61" t="str">
        <f aca="false">$K285&amp;" "&amp;$C285</f>
        <v>Computacion 2024</v>
      </c>
      <c r="M285" s="61" t="str">
        <f aca="false">TRIM(INDEX(Datos_Origen!$G$2:$G$2459,$Z285))</f>
        <v>Monitor 4K 27</v>
      </c>
      <c r="N285" s="61" t="str">
        <f aca="false">$M285&amp;" "&amp;$C285</f>
        <v>Monitor 4K 27 2024</v>
      </c>
      <c r="O285" s="63" t="n">
        <f aca="false">IF(ISTEXT($AC285),VALUE($AC285),$AC285)</f>
        <v>2</v>
      </c>
      <c r="P285" s="64" t="n">
        <f aca="false">INDEX(Datos_Origen!$I$2:$I$2459,$Z285)</f>
        <v>441</v>
      </c>
      <c r="Q285" s="64" t="n">
        <f aca="false">INDEX(Datos_Origen!$J$2:$J$2459,$Z285)</f>
        <v>272.25</v>
      </c>
      <c r="R285" s="65" t="n">
        <f aca="false">ROUND($O285*$P285,2)</f>
        <v>882</v>
      </c>
      <c r="S285" s="65" t="n">
        <f aca="false">ROUND($O285*$Q285,2)</f>
        <v>544.5</v>
      </c>
      <c r="T285" s="65" t="n">
        <f aca="false">ROUND($R285*SUMIFS(Parametros!$E$28:$E$43,Parametros!$B$28:$B$43,$J285,Parametros!$C$28:$C$43,$C285,Parametros!$D$28:$D$43,$D285),2)</f>
        <v>37.04</v>
      </c>
      <c r="U285" s="65" t="n">
        <f aca="false">$R285-$S285-$T285</f>
        <v>300.46</v>
      </c>
      <c r="V285" s="66" t="n">
        <f aca="false">IFERROR($U285/$R285,0)</f>
        <v>0.340657596371882</v>
      </c>
      <c r="W285" s="67" t="str">
        <f aca="false">IF(AND($V285&gt;=Parametros!$C$8,$R285&gt;=Parametros!$C$12),"Alta rentabilidad",IF(OR($V285&lt;Parametros!$C$11,$R285&lt;Parametros!$C$13),"Revisar","Estandar"))</f>
        <v>Estandar</v>
      </c>
      <c r="X285" s="67" t="str">
        <f aca="false">IF(AND($J285="E-commerce",IFERROR($T285/$R285,0)&gt;Parametros!$C$14),"Alerta","OK")</f>
        <v>OK</v>
      </c>
      <c r="Y285" s="61" t="str">
        <f aca="false">IF($R285&gt;=Parametros!$C$12,"Alto",IF($R285&lt;Parametros!$C$13,"Bajo","Medio"))</f>
        <v>Medio</v>
      </c>
      <c r="Z285" s="61" t="n">
        <v>1483</v>
      </c>
      <c r="AA285" s="61" t="str">
        <f aca="false">IF(MATCH($A285,Datos_Origen!$A$2:$A$2459,0)=$Z285,"OK","REVISAR")</f>
        <v>OK</v>
      </c>
      <c r="AB285" s="62" t="n">
        <f aca="false">INDEX(Datos_Origen!$B$2:$B$2459,$Z285)</f>
        <v>45369</v>
      </c>
      <c r="AC285" s="61" t="str">
        <f aca="false">INDEX(Datos_Origen!$H$2:$H$2459,$Z285)</f>
        <v>2</v>
      </c>
      <c r="AD285" s="61" t="str">
        <f aca="false">INDEX(Datos_Origen!$D$2:$D$2459,$Z285)&amp;""</f>
        <v>Tucuman</v>
      </c>
    </row>
    <row r="286" customFormat="false" ht="15" hidden="false" customHeight="false" outlineLevel="0" collapsed="false">
      <c r="A286" s="61" t="n">
        <f aca="false">INDEX(Datos_Origen!$A$2:$A$2459,$Z286)</f>
        <v>285</v>
      </c>
      <c r="B286" s="62" t="n">
        <f aca="false">IF(ISNUMBER($AB286),$AB286,IF(MID($AB286,5,1)="-",DATE(VALUE(LEFT($AB286,4)),VALUE(MID($AB286,6,2)),VALUE(RIGHT($AB286,2))),DATE(VALUE(RIGHT($AB286,4)),VALUE(MID($AB286,4,2)),VALUE(LEFT($AB286,2)))))</f>
        <v>45376</v>
      </c>
      <c r="C286" s="61" t="n">
        <f aca="false">YEAR($B286)</f>
        <v>2024</v>
      </c>
      <c r="D286" s="61" t="str">
        <f aca="false">"Q"&amp;ROUNDUP(MONTH($B286)/3,0)</f>
        <v>Q1</v>
      </c>
      <c r="E286" s="61" t="n">
        <f aca="false">MONTH($B286)</f>
        <v>3</v>
      </c>
      <c r="F286" s="61" t="str">
        <f aca="false">INDEX(Parametros!$I$5:$I$16,$E286)</f>
        <v>Mar</v>
      </c>
      <c r="G286" s="61" t="str">
        <f aca="false">TEXT($C286,"0000")&amp;"-"&amp;TEXT($E286,"00")</f>
        <v>2024-03</v>
      </c>
      <c r="H286" s="61" t="str">
        <f aca="false">INDEX(Parametros!$C$71:$C$91,MATCH(TRIM(INDEX(Datos_Origen!$C$2:$C$2459,$Z286)),Parametros!$B$71:$B$91,0))</f>
        <v>NOA</v>
      </c>
      <c r="I286" s="61" t="str">
        <f aca="false">IF(TRIM($AD286)="",INDEX(Parametros!$I$20:$I$24,MATCH($H286,Parametros!$H$20:$H$24,0)),TRIM($AD286))</f>
        <v>Tucuman</v>
      </c>
      <c r="J286" s="61" t="str">
        <f aca="false">INDEX(Parametros!$C$95:$C$106,MATCH(TRIM(INDEX(Datos_Origen!$E$2:$E$2459,$Z286)),Parametros!$B$95:$B$106,0))</f>
        <v>Tienda fisica</v>
      </c>
      <c r="K286" s="61" t="str">
        <f aca="false">INDEX(Parametros!$C$48:$C$67,MATCH(TRIM(INDEX(Datos_Origen!$F$2:$F$2459,$Z286)),Parametros!$B$48:$B$67,0))</f>
        <v>Computacion</v>
      </c>
      <c r="L286" s="61" t="str">
        <f aca="false">$K286&amp;" "&amp;$C286</f>
        <v>Computacion 2024</v>
      </c>
      <c r="M286" s="61" t="str">
        <f aca="false">TRIM(INDEX(Datos_Origen!$G$2:$G$2459,$Z286))</f>
        <v>PC Gamer Ryzen</v>
      </c>
      <c r="N286" s="61" t="str">
        <f aca="false">$M286&amp;" "&amp;$C286</f>
        <v>PC Gamer Ryzen 2024</v>
      </c>
      <c r="O286" s="63" t="n">
        <f aca="false">IF(ISTEXT($AC286),VALUE($AC286),$AC286)</f>
        <v>5</v>
      </c>
      <c r="P286" s="64" t="n">
        <f aca="false">INDEX(Datos_Origen!$I$2:$I$2459,$Z286)</f>
        <v>1617</v>
      </c>
      <c r="Q286" s="64" t="n">
        <f aca="false">INDEX(Datos_Origen!$J$2:$J$2459,$Z286)</f>
        <v>1122</v>
      </c>
      <c r="R286" s="65" t="n">
        <f aca="false">ROUND($O286*$P286,2)</f>
        <v>8085</v>
      </c>
      <c r="S286" s="65" t="n">
        <f aca="false">ROUND($O286*$Q286,2)</f>
        <v>5610</v>
      </c>
      <c r="T286" s="65" t="n">
        <f aca="false">ROUND($R286*SUMIFS(Parametros!$E$28:$E$43,Parametros!$B$28:$B$43,$J286,Parametros!$C$28:$C$43,$C286,Parametros!$D$28:$D$43,$D286),2)</f>
        <v>97.02</v>
      </c>
      <c r="U286" s="65" t="n">
        <f aca="false">$R286-$S286-$T286</f>
        <v>2377.98</v>
      </c>
      <c r="V286" s="66" t="n">
        <f aca="false">IFERROR($U286/$R286,0)</f>
        <v>0.294122448979592</v>
      </c>
      <c r="W286" s="67" t="str">
        <f aca="false">IF(AND($V286&gt;=Parametros!$C$8,$R286&gt;=Parametros!$C$12),"Alta rentabilidad",IF(OR($V286&lt;Parametros!$C$11,$R286&lt;Parametros!$C$13),"Revisar","Estandar"))</f>
        <v>Estandar</v>
      </c>
      <c r="X286" s="67" t="str">
        <f aca="false">IF(AND($J286="E-commerce",IFERROR($T286/$R286,0)&gt;Parametros!$C$14),"Alerta","OK")</f>
        <v>OK</v>
      </c>
      <c r="Y286" s="61" t="str">
        <f aca="false">IF($R286&gt;=Parametros!$C$12,"Alto",IF($R286&lt;Parametros!$C$13,"Bajo","Medio"))</f>
        <v>Alto</v>
      </c>
      <c r="Z286" s="61" t="n">
        <v>1248</v>
      </c>
      <c r="AA286" s="61" t="str">
        <f aca="false">IF(MATCH($A286,Datos_Origen!$A$2:$A$2459,0)=$Z286,"OK","REVISAR")</f>
        <v>OK</v>
      </c>
      <c r="AB286" s="61" t="str">
        <f aca="false">INDEX(Datos_Origen!$B$2:$B$2459,$Z286)</f>
        <v>25/03/2024</v>
      </c>
      <c r="AC286" s="61" t="n">
        <f aca="false">INDEX(Datos_Origen!$H$2:$H$2459,$Z286)</f>
        <v>5</v>
      </c>
      <c r="AD286" s="61" t="str">
        <f aca="false">INDEX(Datos_Origen!$D$2:$D$2459,$Z286)&amp;""</f>
        <v>Tucuman</v>
      </c>
    </row>
    <row r="287" customFormat="false" ht="15" hidden="false" customHeight="false" outlineLevel="0" collapsed="false">
      <c r="A287" s="61" t="n">
        <f aca="false">INDEX(Datos_Origen!$A$2:$A$2459,$Z287)</f>
        <v>286</v>
      </c>
      <c r="B287" s="62" t="n">
        <f aca="false">IF(ISNUMBER($AB287),$AB287,IF(MID($AB287,5,1)="-",DATE(VALUE(LEFT($AB287,4)),VALUE(MID($AB287,6,2)),VALUE(RIGHT($AB287,2))),DATE(VALUE(RIGHT($AB287,4)),VALUE(MID($AB287,4,2)),VALUE(LEFT($AB287,2)))))</f>
        <v>45356</v>
      </c>
      <c r="C287" s="61" t="n">
        <f aca="false">YEAR($B287)</f>
        <v>2024</v>
      </c>
      <c r="D287" s="61" t="str">
        <f aca="false">"Q"&amp;ROUNDUP(MONTH($B287)/3,0)</f>
        <v>Q1</v>
      </c>
      <c r="E287" s="61" t="n">
        <f aca="false">MONTH($B287)</f>
        <v>3</v>
      </c>
      <c r="F287" s="61" t="str">
        <f aca="false">INDEX(Parametros!$I$5:$I$16,$E287)</f>
        <v>Mar</v>
      </c>
      <c r="G287" s="61" t="str">
        <f aca="false">TEXT($C287,"0000")&amp;"-"&amp;TEXT($E287,"00")</f>
        <v>2024-03</v>
      </c>
      <c r="H287" s="61" t="str">
        <f aca="false">INDEX(Parametros!$C$71:$C$91,MATCH(TRIM(INDEX(Datos_Origen!$C$2:$C$2459,$Z287)),Parametros!$B$71:$B$91,0))</f>
        <v>NOA</v>
      </c>
      <c r="I287" s="61" t="str">
        <f aca="false">IF(TRIM($AD287)="",INDEX(Parametros!$I$20:$I$24,MATCH($H287,Parametros!$H$20:$H$24,0)),TRIM($AD287))</f>
        <v>Tucuman</v>
      </c>
      <c r="J287" s="61" t="str">
        <f aca="false">INDEX(Parametros!$C$95:$C$106,MATCH(TRIM(INDEX(Datos_Origen!$E$2:$E$2459,$Z287)),Parametros!$B$95:$B$106,0))</f>
        <v>E-commerce</v>
      </c>
      <c r="K287" s="61" t="str">
        <f aca="false">INDEX(Parametros!$C$48:$C$67,MATCH(TRIM(INDEX(Datos_Origen!$F$2:$F$2459,$Z287)),Parametros!$B$48:$B$67,0))</f>
        <v>Computacion</v>
      </c>
      <c r="L287" s="61" t="str">
        <f aca="false">$K287&amp;" "&amp;$C287</f>
        <v>Computacion 2024</v>
      </c>
      <c r="M287" s="61" t="str">
        <f aca="false">TRIM(INDEX(Datos_Origen!$G$2:$G$2459,$Z287))</f>
        <v>PC Gamer Ryzen</v>
      </c>
      <c r="N287" s="61" t="str">
        <f aca="false">$M287&amp;" "&amp;$C287</f>
        <v>PC Gamer Ryzen 2024</v>
      </c>
      <c r="O287" s="63" t="n">
        <f aca="false">IF(ISTEXT($AC287),VALUE($AC287),$AC287)</f>
        <v>2</v>
      </c>
      <c r="P287" s="64" t="n">
        <f aca="false">INDEX(Datos_Origen!$I$2:$I$2459,$Z287)</f>
        <v>1617</v>
      </c>
      <c r="Q287" s="64" t="n">
        <f aca="false">INDEX(Datos_Origen!$J$2:$J$2459,$Z287)</f>
        <v>1122</v>
      </c>
      <c r="R287" s="65" t="n">
        <f aca="false">ROUND($O287*$P287,2)</f>
        <v>3234</v>
      </c>
      <c r="S287" s="65" t="n">
        <f aca="false">ROUND($O287*$Q287,2)</f>
        <v>2244</v>
      </c>
      <c r="T287" s="65" t="n">
        <f aca="false">ROUND($R287*SUMIFS(Parametros!$E$28:$E$43,Parametros!$B$28:$B$43,$J287,Parametros!$C$28:$C$43,$C287,Parametros!$D$28:$D$43,$D287),2)</f>
        <v>135.83</v>
      </c>
      <c r="U287" s="65" t="n">
        <f aca="false">$R287-$S287-$T287</f>
        <v>854.17</v>
      </c>
      <c r="V287" s="66" t="n">
        <f aca="false">IFERROR($U287/$R287,0)</f>
        <v>0.264121830550402</v>
      </c>
      <c r="W287" s="67" t="str">
        <f aca="false">IF(AND($V287&gt;=Parametros!$C$8,$R287&gt;=Parametros!$C$12),"Alta rentabilidad",IF(OR($V287&lt;Parametros!$C$11,$R287&lt;Parametros!$C$13),"Revisar","Estandar"))</f>
        <v>Revisar</v>
      </c>
      <c r="X287" s="67" t="str">
        <f aca="false">IF(AND($J287="E-commerce",IFERROR($T287/$R287,0)&gt;Parametros!$C$14),"Alerta","OK")</f>
        <v>OK</v>
      </c>
      <c r="Y287" s="61" t="str">
        <f aca="false">IF($R287&gt;=Parametros!$C$12,"Alto",IF($R287&lt;Parametros!$C$13,"Bajo","Medio"))</f>
        <v>Alto</v>
      </c>
      <c r="Z287" s="61" t="n">
        <v>1707</v>
      </c>
      <c r="AA287" s="61" t="str">
        <f aca="false">IF(MATCH($A287,Datos_Origen!$A$2:$A$2459,0)=$Z287,"OK","REVISAR")</f>
        <v>OK</v>
      </c>
      <c r="AB287" s="62" t="n">
        <f aca="false">INDEX(Datos_Origen!$B$2:$B$2459,$Z287)</f>
        <v>45356</v>
      </c>
      <c r="AC287" s="61" t="n">
        <f aca="false">INDEX(Datos_Origen!$H$2:$H$2459,$Z287)</f>
        <v>2</v>
      </c>
      <c r="AD287" s="61" t="str">
        <f aca="false">INDEX(Datos_Origen!$D$2:$D$2459,$Z287)&amp;""</f>
        <v>Tucuman</v>
      </c>
    </row>
    <row r="288" customFormat="false" ht="15" hidden="false" customHeight="false" outlineLevel="0" collapsed="false">
      <c r="A288" s="61" t="n">
        <f aca="false">INDEX(Datos_Origen!$A$2:$A$2459,$Z288)</f>
        <v>287</v>
      </c>
      <c r="B288" s="62" t="n">
        <f aca="false">IF(ISNUMBER($AB288),$AB288,IF(MID($AB288,5,1)="-",DATE(VALUE(LEFT($AB288,4)),VALUE(MID($AB288,6,2)),VALUE(RIGHT($AB288,2))),DATE(VALUE(RIGHT($AB288,4)),VALUE(MID($AB288,4,2)),VALUE(LEFT($AB288,2)))))</f>
        <v>45363</v>
      </c>
      <c r="C288" s="61" t="n">
        <f aca="false">YEAR($B288)</f>
        <v>2024</v>
      </c>
      <c r="D288" s="61" t="str">
        <f aca="false">"Q"&amp;ROUNDUP(MONTH($B288)/3,0)</f>
        <v>Q1</v>
      </c>
      <c r="E288" s="61" t="n">
        <f aca="false">MONTH($B288)</f>
        <v>3</v>
      </c>
      <c r="F288" s="61" t="str">
        <f aca="false">INDEX(Parametros!$I$5:$I$16,$E288)</f>
        <v>Mar</v>
      </c>
      <c r="G288" s="61" t="str">
        <f aca="false">TEXT($C288,"0000")&amp;"-"&amp;TEXT($E288,"00")</f>
        <v>2024-03</v>
      </c>
      <c r="H288" s="61" t="str">
        <f aca="false">INDEX(Parametros!$C$71:$C$91,MATCH(TRIM(INDEX(Datos_Origen!$C$2:$C$2459,$Z288)),Parametros!$B$71:$B$91,0))</f>
        <v>NOA</v>
      </c>
      <c r="I288" s="61" t="str">
        <f aca="false">IF(TRIM($AD288)="",INDEX(Parametros!$I$20:$I$24,MATCH($H288,Parametros!$H$20:$H$24,0)),TRIM($AD288))</f>
        <v>Tucuman</v>
      </c>
      <c r="J288" s="61" t="str">
        <f aca="false">INDEX(Parametros!$C$95:$C$106,MATCH(TRIM(INDEX(Datos_Origen!$E$2:$E$2459,$Z288)),Parametros!$B$95:$B$106,0))</f>
        <v>Tienda fisica</v>
      </c>
      <c r="K288" s="61" t="str">
        <f aca="false">INDEX(Parametros!$C$48:$C$67,MATCH(TRIM(INDEX(Datos_Origen!$F$2:$F$2459,$Z288)),Parametros!$B$48:$B$67,0))</f>
        <v>Accesorios</v>
      </c>
      <c r="L288" s="61" t="str">
        <f aca="false">$K288&amp;" "&amp;$C288</f>
        <v>Accesorios 2024</v>
      </c>
      <c r="M288" s="61" t="str">
        <f aca="false">TRIM(INDEX(Datos_Origen!$G$2:$G$2459,$Z288))</f>
        <v>Mouse Inalambrico</v>
      </c>
      <c r="N288" s="61" t="str">
        <f aca="false">$M288&amp;" "&amp;$C288</f>
        <v>Mouse Inalambrico 2024</v>
      </c>
      <c r="O288" s="63" t="n">
        <f aca="false">IF(ISTEXT($AC288),VALUE($AC288),$AC288)</f>
        <v>25</v>
      </c>
      <c r="P288" s="64" t="n">
        <f aca="false">INDEX(Datos_Origen!$I$2:$I$2459,$Z288)</f>
        <v>27.44</v>
      </c>
      <c r="Q288" s="64" t="n">
        <f aca="false">INDEX(Datos_Origen!$J$2:$J$2459,$Z288)</f>
        <v>13.44</v>
      </c>
      <c r="R288" s="65" t="n">
        <f aca="false">ROUND($O288*$P288,2)</f>
        <v>686</v>
      </c>
      <c r="S288" s="65" t="n">
        <f aca="false">ROUND($O288*$Q288,2)</f>
        <v>336</v>
      </c>
      <c r="T288" s="65" t="n">
        <f aca="false">ROUND($R288*SUMIFS(Parametros!$E$28:$E$43,Parametros!$B$28:$B$43,$J288,Parametros!$C$28:$C$43,$C288,Parametros!$D$28:$D$43,$D288),2)</f>
        <v>8.23</v>
      </c>
      <c r="U288" s="65" t="n">
        <f aca="false">$R288-$S288-$T288</f>
        <v>341.77</v>
      </c>
      <c r="V288" s="66" t="n">
        <f aca="false">IFERROR($U288/$R288,0)</f>
        <v>0.498206997084548</v>
      </c>
      <c r="W288" s="67" t="str">
        <f aca="false">IF(AND($V288&gt;=Parametros!$C$8,$R288&gt;=Parametros!$C$12),"Alta rentabilidad",IF(OR($V288&lt;Parametros!$C$11,$R288&lt;Parametros!$C$13),"Revisar","Estandar"))</f>
        <v>Estandar</v>
      </c>
      <c r="X288" s="67" t="str">
        <f aca="false">IF(AND($J288="E-commerce",IFERROR($T288/$R288,0)&gt;Parametros!$C$14),"Alerta","OK")</f>
        <v>OK</v>
      </c>
      <c r="Y288" s="61" t="str">
        <f aca="false">IF($R288&gt;=Parametros!$C$12,"Alto",IF($R288&lt;Parametros!$C$13,"Bajo","Medio"))</f>
        <v>Medio</v>
      </c>
      <c r="Z288" s="61" t="n">
        <v>1810</v>
      </c>
      <c r="AA288" s="61" t="str">
        <f aca="false">IF(MATCH($A288,Datos_Origen!$A$2:$A$2459,0)=$Z288,"OK","REVISAR")</f>
        <v>OK</v>
      </c>
      <c r="AB288" s="62" t="n">
        <f aca="false">INDEX(Datos_Origen!$B$2:$B$2459,$Z288)</f>
        <v>45363</v>
      </c>
      <c r="AC288" s="61" t="n">
        <f aca="false">INDEX(Datos_Origen!$H$2:$H$2459,$Z288)</f>
        <v>25</v>
      </c>
      <c r="AD288" s="61" t="str">
        <f aca="false">INDEX(Datos_Origen!$D$2:$D$2459,$Z288)&amp;""</f>
        <v>Tucuman</v>
      </c>
    </row>
    <row r="289" customFormat="false" ht="15" hidden="false" customHeight="false" outlineLevel="0" collapsed="false">
      <c r="A289" s="61" t="n">
        <f aca="false">INDEX(Datos_Origen!$A$2:$A$2459,$Z289)</f>
        <v>288</v>
      </c>
      <c r="B289" s="62" t="n">
        <f aca="false">IF(ISNUMBER($AB289),$AB289,IF(MID($AB289,5,1)="-",DATE(VALUE(LEFT($AB289,4)),VALUE(MID($AB289,6,2)),VALUE(RIGHT($AB289,2))),DATE(VALUE(RIGHT($AB289,4)),VALUE(MID($AB289,4,2)),VALUE(LEFT($AB289,2)))))</f>
        <v>45370</v>
      </c>
      <c r="C289" s="61" t="n">
        <f aca="false">YEAR($B289)</f>
        <v>2024</v>
      </c>
      <c r="D289" s="61" t="str">
        <f aca="false">"Q"&amp;ROUNDUP(MONTH($B289)/3,0)</f>
        <v>Q1</v>
      </c>
      <c r="E289" s="61" t="n">
        <f aca="false">MONTH($B289)</f>
        <v>3</v>
      </c>
      <c r="F289" s="61" t="str">
        <f aca="false">INDEX(Parametros!$I$5:$I$16,$E289)</f>
        <v>Mar</v>
      </c>
      <c r="G289" s="61" t="str">
        <f aca="false">TEXT($C289,"0000")&amp;"-"&amp;TEXT($E289,"00")</f>
        <v>2024-03</v>
      </c>
      <c r="H289" s="61" t="str">
        <f aca="false">INDEX(Parametros!$C$71:$C$91,MATCH(TRIM(INDEX(Datos_Origen!$C$2:$C$2459,$Z289)),Parametros!$B$71:$B$91,0))</f>
        <v>NOA</v>
      </c>
      <c r="I289" s="61" t="str">
        <f aca="false">IF(TRIM($AD289)="",INDEX(Parametros!$I$20:$I$24,MATCH($H289,Parametros!$H$20:$H$24,0)),TRIM($AD289))</f>
        <v>Tucuman</v>
      </c>
      <c r="J289" s="61" t="str">
        <f aca="false">INDEX(Parametros!$C$95:$C$106,MATCH(TRIM(INDEX(Datos_Origen!$E$2:$E$2459,$Z289)),Parametros!$B$95:$B$106,0))</f>
        <v>E-commerce</v>
      </c>
      <c r="K289" s="61" t="str">
        <f aca="false">INDEX(Parametros!$C$48:$C$67,MATCH(TRIM(INDEX(Datos_Origen!$F$2:$F$2459,$Z289)),Parametros!$B$48:$B$67,0))</f>
        <v>Accesorios</v>
      </c>
      <c r="L289" s="61" t="str">
        <f aca="false">$K289&amp;" "&amp;$C289</f>
        <v>Accesorios 2024</v>
      </c>
      <c r="M289" s="61" t="str">
        <f aca="false">TRIM(INDEX(Datos_Origen!$G$2:$G$2459,$Z289))</f>
        <v>Mouse Inalambrico</v>
      </c>
      <c r="N289" s="61" t="str">
        <f aca="false">$M289&amp;" "&amp;$C289</f>
        <v>Mouse Inalambrico 2024</v>
      </c>
      <c r="O289" s="63" t="n">
        <f aca="false">IF(ISTEXT($AC289),VALUE($AC289),$AC289)</f>
        <v>12</v>
      </c>
      <c r="P289" s="64" t="n">
        <f aca="false">INDEX(Datos_Origen!$I$2:$I$2459,$Z289)</f>
        <v>27.44</v>
      </c>
      <c r="Q289" s="64" t="n">
        <f aca="false">INDEX(Datos_Origen!$J$2:$J$2459,$Z289)</f>
        <v>13.44</v>
      </c>
      <c r="R289" s="65" t="n">
        <f aca="false">ROUND($O289*$P289,2)</f>
        <v>329.28</v>
      </c>
      <c r="S289" s="65" t="n">
        <f aca="false">ROUND($O289*$Q289,2)</f>
        <v>161.28</v>
      </c>
      <c r="T289" s="65" t="n">
        <f aca="false">ROUND($R289*SUMIFS(Parametros!$E$28:$E$43,Parametros!$B$28:$B$43,$J289,Parametros!$C$28:$C$43,$C289,Parametros!$D$28:$D$43,$D289),2)</f>
        <v>13.83</v>
      </c>
      <c r="U289" s="65" t="n">
        <f aca="false">$R289-$S289-$T289</f>
        <v>154.17</v>
      </c>
      <c r="V289" s="66" t="n">
        <f aca="false">IFERROR($U289/$R289,0)</f>
        <v>0.468203352769679</v>
      </c>
      <c r="W289" s="67" t="str">
        <f aca="false">IF(AND($V289&gt;=Parametros!$C$8,$R289&gt;=Parametros!$C$12),"Alta rentabilidad",IF(OR($V289&lt;Parametros!$C$11,$R289&lt;Parametros!$C$13),"Revisar","Estandar"))</f>
        <v>Estandar</v>
      </c>
      <c r="X289" s="67" t="str">
        <f aca="false">IF(AND($J289="E-commerce",IFERROR($T289/$R289,0)&gt;Parametros!$C$14),"Alerta","OK")</f>
        <v>OK</v>
      </c>
      <c r="Y289" s="61" t="str">
        <f aca="false">IF($R289&gt;=Parametros!$C$12,"Alto",IF($R289&lt;Parametros!$C$13,"Bajo","Medio"))</f>
        <v>Medio</v>
      </c>
      <c r="Z289" s="61" t="n">
        <v>1078</v>
      </c>
      <c r="AA289" s="61" t="str">
        <f aca="false">IF(MATCH($A289,Datos_Origen!$A$2:$A$2459,0)=$Z289,"OK","REVISAR")</f>
        <v>OK</v>
      </c>
      <c r="AB289" s="62" t="n">
        <f aca="false">INDEX(Datos_Origen!$B$2:$B$2459,$Z289)</f>
        <v>45370</v>
      </c>
      <c r="AC289" s="61" t="n">
        <f aca="false">INDEX(Datos_Origen!$H$2:$H$2459,$Z289)</f>
        <v>12</v>
      </c>
      <c r="AD289" s="61" t="str">
        <f aca="false">INDEX(Datos_Origen!$D$2:$D$2459,$Z289)&amp;""</f>
        <v>Tucuman</v>
      </c>
    </row>
    <row r="290" customFormat="false" ht="15" hidden="false" customHeight="false" outlineLevel="0" collapsed="false">
      <c r="A290" s="61" t="n">
        <f aca="false">INDEX(Datos_Origen!$A$2:$A$2459,$Z290)</f>
        <v>289</v>
      </c>
      <c r="B290" s="62" t="n">
        <f aca="false">IF(ISNUMBER($AB290),$AB290,IF(MID($AB290,5,1)="-",DATE(VALUE(LEFT($AB290,4)),VALUE(MID($AB290,6,2)),VALUE(RIGHT($AB290,2))),DATE(VALUE(RIGHT($AB290,4)),VALUE(MID($AB290,4,2)),VALUE(LEFT($AB290,2)))))</f>
        <v>45377</v>
      </c>
      <c r="C290" s="61" t="n">
        <f aca="false">YEAR($B290)</f>
        <v>2024</v>
      </c>
      <c r="D290" s="61" t="str">
        <f aca="false">"Q"&amp;ROUNDUP(MONTH($B290)/3,0)</f>
        <v>Q1</v>
      </c>
      <c r="E290" s="61" t="n">
        <f aca="false">MONTH($B290)</f>
        <v>3</v>
      </c>
      <c r="F290" s="61" t="str">
        <f aca="false">INDEX(Parametros!$I$5:$I$16,$E290)</f>
        <v>Mar</v>
      </c>
      <c r="G290" s="61" t="str">
        <f aca="false">TEXT($C290,"0000")&amp;"-"&amp;TEXT($E290,"00")</f>
        <v>2024-03</v>
      </c>
      <c r="H290" s="61" t="str">
        <f aca="false">INDEX(Parametros!$C$71:$C$91,MATCH(TRIM(INDEX(Datos_Origen!$C$2:$C$2459,$Z290)),Parametros!$B$71:$B$91,0))</f>
        <v>NOA</v>
      </c>
      <c r="I290" s="61" t="str">
        <f aca="false">IF(TRIM($AD290)="",INDEX(Parametros!$I$20:$I$24,MATCH($H290,Parametros!$H$20:$H$24,0)),TRIM($AD290))</f>
        <v>Tucuman</v>
      </c>
      <c r="J290" s="61" t="str">
        <f aca="false">INDEX(Parametros!$C$95:$C$106,MATCH(TRIM(INDEX(Datos_Origen!$E$2:$E$2459,$Z290)),Parametros!$B$95:$B$106,0))</f>
        <v>Tienda fisica</v>
      </c>
      <c r="K290" s="61" t="str">
        <f aca="false">INDEX(Parametros!$C$48:$C$67,MATCH(TRIM(INDEX(Datos_Origen!$F$2:$F$2459,$Z290)),Parametros!$B$48:$B$67,0))</f>
        <v>Accesorios</v>
      </c>
      <c r="L290" s="61" t="str">
        <f aca="false">$K290&amp;" "&amp;$C290</f>
        <v>Accesorios 2024</v>
      </c>
      <c r="M290" s="61" t="str">
        <f aca="false">TRIM(INDEX(Datos_Origen!$G$2:$G$2459,$Z290))</f>
        <v>Teclado Mecanico</v>
      </c>
      <c r="N290" s="61" t="str">
        <f aca="false">$M290&amp;" "&amp;$C290</f>
        <v>Teclado Mecanico 2024</v>
      </c>
      <c r="O290" s="63" t="n">
        <f aca="false">IF(ISTEXT($AC290),VALUE($AC290),$AC290)</f>
        <v>25</v>
      </c>
      <c r="P290" s="64" t="n">
        <f aca="false">INDEX(Datos_Origen!$I$2:$I$2459,$Z290)</f>
        <v>93.1</v>
      </c>
      <c r="Q290" s="64" t="n">
        <f aca="false">INDEX(Datos_Origen!$J$2:$J$2459,$Z290)</f>
        <v>47.98</v>
      </c>
      <c r="R290" s="65" t="n">
        <f aca="false">ROUND($O290*$P290,2)</f>
        <v>2327.5</v>
      </c>
      <c r="S290" s="65" t="n">
        <f aca="false">ROUND($O290*$Q290,2)</f>
        <v>1199.5</v>
      </c>
      <c r="T290" s="65" t="n">
        <f aca="false">ROUND($R290*SUMIFS(Parametros!$E$28:$E$43,Parametros!$B$28:$B$43,$J290,Parametros!$C$28:$C$43,$C290,Parametros!$D$28:$D$43,$D290),2)</f>
        <v>27.93</v>
      </c>
      <c r="U290" s="65" t="n">
        <f aca="false">$R290-$S290-$T290</f>
        <v>1100.07</v>
      </c>
      <c r="V290" s="66" t="n">
        <f aca="false">IFERROR($U290/$R290,0)</f>
        <v>0.472640171858217</v>
      </c>
      <c r="W290" s="67" t="str">
        <f aca="false">IF(AND($V290&gt;=Parametros!$C$8,$R290&gt;=Parametros!$C$12),"Alta rentabilidad",IF(OR($V290&lt;Parametros!$C$11,$R290&lt;Parametros!$C$13),"Revisar","Estandar"))</f>
        <v>Estandar</v>
      </c>
      <c r="X290" s="67" t="str">
        <f aca="false">IF(AND($J290="E-commerce",IFERROR($T290/$R290,0)&gt;Parametros!$C$14),"Alerta","OK")</f>
        <v>OK</v>
      </c>
      <c r="Y290" s="61" t="str">
        <f aca="false">IF($R290&gt;=Parametros!$C$12,"Alto",IF($R290&lt;Parametros!$C$13,"Bajo","Medio"))</f>
        <v>Medio</v>
      </c>
      <c r="Z290" s="61" t="n">
        <v>589</v>
      </c>
      <c r="AA290" s="61" t="str">
        <f aca="false">IF(MATCH($A290,Datos_Origen!$A$2:$A$2459,0)=$Z290,"OK","REVISAR")</f>
        <v>OK</v>
      </c>
      <c r="AB290" s="61" t="str">
        <f aca="false">INDEX(Datos_Origen!$B$2:$B$2459,$Z290)</f>
        <v>2024-03-26</v>
      </c>
      <c r="AC290" s="61" t="n">
        <f aca="false">INDEX(Datos_Origen!$H$2:$H$2459,$Z290)</f>
        <v>25</v>
      </c>
      <c r="AD290" s="61" t="str">
        <f aca="false">INDEX(Datos_Origen!$D$2:$D$2459,$Z290)&amp;""</f>
        <v>Tucuman</v>
      </c>
    </row>
    <row r="291" customFormat="false" ht="15" hidden="false" customHeight="false" outlineLevel="0" collapsed="false">
      <c r="A291" s="61" t="n">
        <f aca="false">INDEX(Datos_Origen!$A$2:$A$2459,$Z291)</f>
        <v>290</v>
      </c>
      <c r="B291" s="62" t="n">
        <f aca="false">IF(ISNUMBER($AB291),$AB291,IF(MID($AB291,5,1)="-",DATE(VALUE(LEFT($AB291,4)),VALUE(MID($AB291,6,2)),VALUE(RIGHT($AB291,2))),DATE(VALUE(RIGHT($AB291,4)),VALUE(MID($AB291,4,2)),VALUE(LEFT($AB291,2)))))</f>
        <v>45357</v>
      </c>
      <c r="C291" s="61" t="n">
        <f aca="false">YEAR($B291)</f>
        <v>2024</v>
      </c>
      <c r="D291" s="61" t="str">
        <f aca="false">"Q"&amp;ROUNDUP(MONTH($B291)/3,0)</f>
        <v>Q1</v>
      </c>
      <c r="E291" s="61" t="n">
        <f aca="false">MONTH($B291)</f>
        <v>3</v>
      </c>
      <c r="F291" s="61" t="str">
        <f aca="false">INDEX(Parametros!$I$5:$I$16,$E291)</f>
        <v>Mar</v>
      </c>
      <c r="G291" s="61" t="str">
        <f aca="false">TEXT($C291,"0000")&amp;"-"&amp;TEXT($E291,"00")</f>
        <v>2024-03</v>
      </c>
      <c r="H291" s="61" t="str">
        <f aca="false">INDEX(Parametros!$C$71:$C$91,MATCH(TRIM(INDEX(Datos_Origen!$C$2:$C$2459,$Z291)),Parametros!$B$71:$B$91,0))</f>
        <v>NOA</v>
      </c>
      <c r="I291" s="61" t="str">
        <f aca="false">IF(TRIM($AD291)="",INDEX(Parametros!$I$20:$I$24,MATCH($H291,Parametros!$H$20:$H$24,0)),TRIM($AD291))</f>
        <v>Tucuman</v>
      </c>
      <c r="J291" s="61" t="str">
        <f aca="false">INDEX(Parametros!$C$95:$C$106,MATCH(TRIM(INDEX(Datos_Origen!$E$2:$E$2459,$Z291)),Parametros!$B$95:$B$106,0))</f>
        <v>E-commerce</v>
      </c>
      <c r="K291" s="61" t="str">
        <f aca="false">INDEX(Parametros!$C$48:$C$67,MATCH(TRIM(INDEX(Datos_Origen!$F$2:$F$2459,$Z291)),Parametros!$B$48:$B$67,0))</f>
        <v>Accesorios</v>
      </c>
      <c r="L291" s="61" t="str">
        <f aca="false">$K291&amp;" "&amp;$C291</f>
        <v>Accesorios 2024</v>
      </c>
      <c r="M291" s="61" t="str">
        <f aca="false">TRIM(INDEX(Datos_Origen!$G$2:$G$2459,$Z291))</f>
        <v>Teclado Mecanico</v>
      </c>
      <c r="N291" s="61" t="str">
        <f aca="false">$M291&amp;" "&amp;$C291</f>
        <v>Teclado Mecanico 2024</v>
      </c>
      <c r="O291" s="63" t="n">
        <f aca="false">IF(ISTEXT($AC291),VALUE($AC291),$AC291)</f>
        <v>11</v>
      </c>
      <c r="P291" s="64" t="n">
        <f aca="false">INDEX(Datos_Origen!$I$2:$I$2459,$Z291)</f>
        <v>93.1</v>
      </c>
      <c r="Q291" s="64" t="n">
        <f aca="false">INDEX(Datos_Origen!$J$2:$J$2459,$Z291)</f>
        <v>47.98</v>
      </c>
      <c r="R291" s="65" t="n">
        <f aca="false">ROUND($O291*$P291,2)</f>
        <v>1024.1</v>
      </c>
      <c r="S291" s="65" t="n">
        <f aca="false">ROUND($O291*$Q291,2)</f>
        <v>527.78</v>
      </c>
      <c r="T291" s="65" t="n">
        <f aca="false">ROUND($R291*SUMIFS(Parametros!$E$28:$E$43,Parametros!$B$28:$B$43,$J291,Parametros!$C$28:$C$43,$C291,Parametros!$D$28:$D$43,$D291),2)</f>
        <v>43.01</v>
      </c>
      <c r="U291" s="65" t="n">
        <f aca="false">$R291-$S291-$T291</f>
        <v>453.31</v>
      </c>
      <c r="V291" s="66" t="n">
        <f aca="false">IFERROR($U291/$R291,0)</f>
        <v>0.442642320085929</v>
      </c>
      <c r="W291" s="67" t="str">
        <f aca="false">IF(AND($V291&gt;=Parametros!$C$8,$R291&gt;=Parametros!$C$12),"Alta rentabilidad",IF(OR($V291&lt;Parametros!$C$11,$R291&lt;Parametros!$C$13),"Revisar","Estandar"))</f>
        <v>Estandar</v>
      </c>
      <c r="X291" s="67" t="str">
        <f aca="false">IF(AND($J291="E-commerce",IFERROR($T291/$R291,0)&gt;Parametros!$C$14),"Alerta","OK")</f>
        <v>OK</v>
      </c>
      <c r="Y291" s="61" t="str">
        <f aca="false">IF($R291&gt;=Parametros!$C$12,"Alto",IF($R291&lt;Parametros!$C$13,"Bajo","Medio"))</f>
        <v>Medio</v>
      </c>
      <c r="Z291" s="61" t="n">
        <v>181</v>
      </c>
      <c r="AA291" s="61" t="str">
        <f aca="false">IF(MATCH($A291,Datos_Origen!$A$2:$A$2459,0)=$Z291,"OK","REVISAR")</f>
        <v>OK</v>
      </c>
      <c r="AB291" s="62" t="n">
        <f aca="false">INDEX(Datos_Origen!$B$2:$B$2459,$Z291)</f>
        <v>45357</v>
      </c>
      <c r="AC291" s="61" t="n">
        <f aca="false">INDEX(Datos_Origen!$H$2:$H$2459,$Z291)</f>
        <v>11</v>
      </c>
      <c r="AD291" s="61" t="str">
        <f aca="false">INDEX(Datos_Origen!$D$2:$D$2459,$Z291)&amp;""</f>
        <v/>
      </c>
    </row>
    <row r="292" customFormat="false" ht="15" hidden="false" customHeight="false" outlineLevel="0" collapsed="false">
      <c r="A292" s="61" t="n">
        <f aca="false">INDEX(Datos_Origen!$A$2:$A$2459,$Z292)</f>
        <v>291</v>
      </c>
      <c r="B292" s="62" t="n">
        <f aca="false">IF(ISNUMBER($AB292),$AB292,IF(MID($AB292,5,1)="-",DATE(VALUE(LEFT($AB292,4)),VALUE(MID($AB292,6,2)),VALUE(RIGHT($AB292,2))),DATE(VALUE(RIGHT($AB292,4)),VALUE(MID($AB292,4,2)),VALUE(LEFT($AB292,2)))))</f>
        <v>45364</v>
      </c>
      <c r="C292" s="61" t="n">
        <f aca="false">YEAR($B292)</f>
        <v>2024</v>
      </c>
      <c r="D292" s="61" t="str">
        <f aca="false">"Q"&amp;ROUNDUP(MONTH($B292)/3,0)</f>
        <v>Q1</v>
      </c>
      <c r="E292" s="61" t="n">
        <f aca="false">MONTH($B292)</f>
        <v>3</v>
      </c>
      <c r="F292" s="61" t="str">
        <f aca="false">INDEX(Parametros!$I$5:$I$16,$E292)</f>
        <v>Mar</v>
      </c>
      <c r="G292" s="61" t="str">
        <f aca="false">TEXT($C292,"0000")&amp;"-"&amp;TEXT($E292,"00")</f>
        <v>2024-03</v>
      </c>
      <c r="H292" s="61" t="str">
        <f aca="false">INDEX(Parametros!$C$71:$C$91,MATCH(TRIM(INDEX(Datos_Origen!$C$2:$C$2459,$Z292)),Parametros!$B$71:$B$91,0))</f>
        <v>NOA</v>
      </c>
      <c r="I292" s="61" t="str">
        <f aca="false">IF(TRIM($AD292)="",INDEX(Parametros!$I$20:$I$24,MATCH($H292,Parametros!$H$20:$H$24,0)),TRIM($AD292))</f>
        <v>Tucuman</v>
      </c>
      <c r="J292" s="61" t="str">
        <f aca="false">INDEX(Parametros!$C$95:$C$106,MATCH(TRIM(INDEX(Datos_Origen!$E$2:$E$2459,$Z292)),Parametros!$B$95:$B$106,0))</f>
        <v>Tienda fisica</v>
      </c>
      <c r="K292" s="61" t="str">
        <f aca="false">INDEX(Parametros!$C$48:$C$67,MATCH(TRIM(INDEX(Datos_Origen!$F$2:$F$2459,$Z292)),Parametros!$B$48:$B$67,0))</f>
        <v>Accesorios</v>
      </c>
      <c r="L292" s="61" t="str">
        <f aca="false">$K292&amp;" "&amp;$C292</f>
        <v>Accesorios 2024</v>
      </c>
      <c r="M292" s="61" t="str">
        <f aca="false">TRIM(INDEX(Datos_Origen!$G$2:$G$2459,$Z292))</f>
        <v>Webcam Full HD</v>
      </c>
      <c r="N292" s="61" t="str">
        <f aca="false">$M292&amp;" "&amp;$C292</f>
        <v>Webcam Full HD 2024</v>
      </c>
      <c r="O292" s="63" t="n">
        <f aca="false">IF(ISTEXT($AC292),VALUE($AC292),$AC292)</f>
        <v>31</v>
      </c>
      <c r="P292" s="64" t="n">
        <f aca="false">INDEX(Datos_Origen!$I$2:$I$2459,$Z292)</f>
        <v>63.7</v>
      </c>
      <c r="Q292" s="64" t="n">
        <f aca="false">INDEX(Datos_Origen!$J$2:$J$2459,$Z292)</f>
        <v>35.43</v>
      </c>
      <c r="R292" s="65" t="n">
        <f aca="false">ROUND($O292*$P292,2)</f>
        <v>1974.7</v>
      </c>
      <c r="S292" s="65" t="n">
        <f aca="false">ROUND($O292*$Q292,2)</f>
        <v>1098.33</v>
      </c>
      <c r="T292" s="65" t="n">
        <f aca="false">ROUND($R292*SUMIFS(Parametros!$E$28:$E$43,Parametros!$B$28:$B$43,$J292,Parametros!$C$28:$C$43,$C292,Parametros!$D$28:$D$43,$D292),2)</f>
        <v>23.7</v>
      </c>
      <c r="U292" s="65" t="n">
        <f aca="false">$R292-$S292-$T292</f>
        <v>852.67</v>
      </c>
      <c r="V292" s="66" t="n">
        <f aca="false">IFERROR($U292/$R292,0)</f>
        <v>0.431797235023042</v>
      </c>
      <c r="W292" s="67" t="str">
        <f aca="false">IF(AND($V292&gt;=Parametros!$C$8,$R292&gt;=Parametros!$C$12),"Alta rentabilidad",IF(OR($V292&lt;Parametros!$C$11,$R292&lt;Parametros!$C$13),"Revisar","Estandar"))</f>
        <v>Estandar</v>
      </c>
      <c r="X292" s="67" t="str">
        <f aca="false">IF(AND($J292="E-commerce",IFERROR($T292/$R292,0)&gt;Parametros!$C$14),"Alerta","OK")</f>
        <v>OK</v>
      </c>
      <c r="Y292" s="61" t="str">
        <f aca="false">IF($R292&gt;=Parametros!$C$12,"Alto",IF($R292&lt;Parametros!$C$13,"Bajo","Medio"))</f>
        <v>Medio</v>
      </c>
      <c r="Z292" s="61" t="n">
        <v>1419</v>
      </c>
      <c r="AA292" s="61" t="str">
        <f aca="false">IF(MATCH($A292,Datos_Origen!$A$2:$A$2459,0)=$Z292,"OK","REVISAR")</f>
        <v>OK</v>
      </c>
      <c r="AB292" s="62" t="n">
        <f aca="false">INDEX(Datos_Origen!$B$2:$B$2459,$Z292)</f>
        <v>45364</v>
      </c>
      <c r="AC292" s="61" t="n">
        <f aca="false">INDEX(Datos_Origen!$H$2:$H$2459,$Z292)</f>
        <v>31</v>
      </c>
      <c r="AD292" s="61" t="str">
        <f aca="false">INDEX(Datos_Origen!$D$2:$D$2459,$Z292)&amp;""</f>
        <v>Tucuman</v>
      </c>
    </row>
    <row r="293" customFormat="false" ht="15" hidden="false" customHeight="false" outlineLevel="0" collapsed="false">
      <c r="A293" s="61" t="n">
        <f aca="false">INDEX(Datos_Origen!$A$2:$A$2459,$Z293)</f>
        <v>292</v>
      </c>
      <c r="B293" s="62" t="n">
        <f aca="false">IF(ISNUMBER($AB293),$AB293,IF(MID($AB293,5,1)="-",DATE(VALUE(LEFT($AB293,4)),VALUE(MID($AB293,6,2)),VALUE(RIGHT($AB293,2))),DATE(VALUE(RIGHT($AB293,4)),VALUE(MID($AB293,4,2)),VALUE(LEFT($AB293,2)))))</f>
        <v>45371</v>
      </c>
      <c r="C293" s="61" t="n">
        <f aca="false">YEAR($B293)</f>
        <v>2024</v>
      </c>
      <c r="D293" s="61" t="str">
        <f aca="false">"Q"&amp;ROUNDUP(MONTH($B293)/3,0)</f>
        <v>Q1</v>
      </c>
      <c r="E293" s="61" t="n">
        <f aca="false">MONTH($B293)</f>
        <v>3</v>
      </c>
      <c r="F293" s="61" t="str">
        <f aca="false">INDEX(Parametros!$I$5:$I$16,$E293)</f>
        <v>Mar</v>
      </c>
      <c r="G293" s="61" t="str">
        <f aca="false">TEXT($C293,"0000")&amp;"-"&amp;TEXT($E293,"00")</f>
        <v>2024-03</v>
      </c>
      <c r="H293" s="61" t="str">
        <f aca="false">INDEX(Parametros!$C$71:$C$91,MATCH(TRIM(INDEX(Datos_Origen!$C$2:$C$2459,$Z293)),Parametros!$B$71:$B$91,0))</f>
        <v>NOA</v>
      </c>
      <c r="I293" s="61" t="str">
        <f aca="false">IF(TRIM($AD293)="",INDEX(Parametros!$I$20:$I$24,MATCH($H293,Parametros!$H$20:$H$24,0)),TRIM($AD293))</f>
        <v>Tucuman</v>
      </c>
      <c r="J293" s="61" t="str">
        <f aca="false">INDEX(Parametros!$C$95:$C$106,MATCH(TRIM(INDEX(Datos_Origen!$E$2:$E$2459,$Z293)),Parametros!$B$95:$B$106,0))</f>
        <v>E-commerce</v>
      </c>
      <c r="K293" s="61" t="str">
        <f aca="false">INDEX(Parametros!$C$48:$C$67,MATCH(TRIM(INDEX(Datos_Origen!$F$2:$F$2459,$Z293)),Parametros!$B$48:$B$67,0))</f>
        <v>Accesorios</v>
      </c>
      <c r="L293" s="61" t="str">
        <f aca="false">$K293&amp;" "&amp;$C293</f>
        <v>Accesorios 2024</v>
      </c>
      <c r="M293" s="61" t="str">
        <f aca="false">TRIM(INDEX(Datos_Origen!$G$2:$G$2459,$Z293))</f>
        <v>Webcam Full HD</v>
      </c>
      <c r="N293" s="61" t="str">
        <f aca="false">$M293&amp;" "&amp;$C293</f>
        <v>Webcam Full HD 2024</v>
      </c>
      <c r="O293" s="63" t="n">
        <f aca="false">IF(ISTEXT($AC293),VALUE($AC293),$AC293)</f>
        <v>12</v>
      </c>
      <c r="P293" s="64" t="n">
        <f aca="false">INDEX(Datos_Origen!$I$2:$I$2459,$Z293)</f>
        <v>63.7</v>
      </c>
      <c r="Q293" s="64" t="n">
        <f aca="false">INDEX(Datos_Origen!$J$2:$J$2459,$Z293)</f>
        <v>35.43</v>
      </c>
      <c r="R293" s="65" t="n">
        <f aca="false">ROUND($O293*$P293,2)</f>
        <v>764.4</v>
      </c>
      <c r="S293" s="65" t="n">
        <f aca="false">ROUND($O293*$Q293,2)</f>
        <v>425.16</v>
      </c>
      <c r="T293" s="65" t="n">
        <f aca="false">ROUND($R293*SUMIFS(Parametros!$E$28:$E$43,Parametros!$B$28:$B$43,$J293,Parametros!$C$28:$C$43,$C293,Parametros!$D$28:$D$43,$D293),2)</f>
        <v>32.1</v>
      </c>
      <c r="U293" s="65" t="n">
        <f aca="false">$R293-$S293-$T293</f>
        <v>307.14</v>
      </c>
      <c r="V293" s="66" t="n">
        <f aca="false">IFERROR($U293/$R293,0)</f>
        <v>0.401805337519623</v>
      </c>
      <c r="W293" s="67" t="str">
        <f aca="false">IF(AND($V293&gt;=Parametros!$C$8,$R293&gt;=Parametros!$C$12),"Alta rentabilidad",IF(OR($V293&lt;Parametros!$C$11,$R293&lt;Parametros!$C$13),"Revisar","Estandar"))</f>
        <v>Estandar</v>
      </c>
      <c r="X293" s="67" t="str">
        <f aca="false">IF(AND($J293="E-commerce",IFERROR($T293/$R293,0)&gt;Parametros!$C$14),"Alerta","OK")</f>
        <v>OK</v>
      </c>
      <c r="Y293" s="61" t="str">
        <f aca="false">IF($R293&gt;=Parametros!$C$12,"Alto",IF($R293&lt;Parametros!$C$13,"Bajo","Medio"))</f>
        <v>Medio</v>
      </c>
      <c r="Z293" s="61" t="n">
        <v>1223</v>
      </c>
      <c r="AA293" s="61" t="str">
        <f aca="false">IF(MATCH($A293,Datos_Origen!$A$2:$A$2459,0)=$Z293,"OK","REVISAR")</f>
        <v>OK</v>
      </c>
      <c r="AB293" s="61" t="str">
        <f aca="false">INDEX(Datos_Origen!$B$2:$B$2459,$Z293)</f>
        <v>2024-03-20</v>
      </c>
      <c r="AC293" s="61" t="n">
        <f aca="false">INDEX(Datos_Origen!$H$2:$H$2459,$Z293)</f>
        <v>12</v>
      </c>
      <c r="AD293" s="61" t="str">
        <f aca="false">INDEX(Datos_Origen!$D$2:$D$2459,$Z293)&amp;""</f>
        <v>Tucuman</v>
      </c>
    </row>
    <row r="294" customFormat="false" ht="15" hidden="false" customHeight="false" outlineLevel="0" collapsed="false">
      <c r="A294" s="61" t="n">
        <f aca="false">INDEX(Datos_Origen!$A$2:$A$2459,$Z294)</f>
        <v>293</v>
      </c>
      <c r="B294" s="62" t="n">
        <f aca="false">IF(ISNUMBER($AB294),$AB294,IF(MID($AB294,5,1)="-",DATE(VALUE(LEFT($AB294,4)),VALUE(MID($AB294,6,2)),VALUE(RIGHT($AB294,2))),DATE(VALUE(RIGHT($AB294,4)),VALUE(MID($AB294,4,2)),VALUE(LEFT($AB294,2)))))</f>
        <v>45378</v>
      </c>
      <c r="C294" s="61" t="n">
        <f aca="false">YEAR($B294)</f>
        <v>2024</v>
      </c>
      <c r="D294" s="61" t="str">
        <f aca="false">"Q"&amp;ROUNDUP(MONTH($B294)/3,0)</f>
        <v>Q1</v>
      </c>
      <c r="E294" s="61" t="n">
        <f aca="false">MONTH($B294)</f>
        <v>3</v>
      </c>
      <c r="F294" s="61" t="str">
        <f aca="false">INDEX(Parametros!$I$5:$I$16,$E294)</f>
        <v>Mar</v>
      </c>
      <c r="G294" s="61" t="str">
        <f aca="false">TEXT($C294,"0000")&amp;"-"&amp;TEXT($E294,"00")</f>
        <v>2024-03</v>
      </c>
      <c r="H294" s="61" t="str">
        <f aca="false">INDEX(Parametros!$C$71:$C$91,MATCH(TRIM(INDEX(Datos_Origen!$C$2:$C$2459,$Z294)),Parametros!$B$71:$B$91,0))</f>
        <v>NOA</v>
      </c>
      <c r="I294" s="61" t="str">
        <f aca="false">IF(TRIM($AD294)="",INDEX(Parametros!$I$20:$I$24,MATCH($H294,Parametros!$H$20:$H$24,0)),TRIM($AD294))</f>
        <v>Tucuman</v>
      </c>
      <c r="J294" s="61" t="str">
        <f aca="false">INDEX(Parametros!$C$95:$C$106,MATCH(TRIM(INDEX(Datos_Origen!$E$2:$E$2459,$Z294)),Parametros!$B$95:$B$106,0))</f>
        <v>Tienda fisica</v>
      </c>
      <c r="K294" s="61" t="str">
        <f aca="false">INDEX(Parametros!$C$48:$C$67,MATCH(TRIM(INDEX(Datos_Origen!$F$2:$F$2459,$Z294)),Parametros!$B$48:$B$67,0))</f>
        <v>Audio</v>
      </c>
      <c r="L294" s="61" t="str">
        <f aca="false">$K294&amp;" "&amp;$C294</f>
        <v>Audio 2024</v>
      </c>
      <c r="M294" s="61" t="str">
        <f aca="false">TRIM(INDEX(Datos_Origen!$G$2:$G$2459,$Z294))</f>
        <v>Auriculares BT Pro</v>
      </c>
      <c r="N294" s="61" t="str">
        <f aca="false">$M294&amp;" "&amp;$C294</f>
        <v>Auriculares BT Pro 2024</v>
      </c>
      <c r="O294" s="63" t="n">
        <f aca="false">IF(ISTEXT($AC294),VALUE($AC294),$AC294)</f>
        <v>13</v>
      </c>
      <c r="P294" s="64" t="n">
        <f aca="false">INDEX(Datos_Origen!$I$2:$I$2459,$Z294)</f>
        <v>117.6</v>
      </c>
      <c r="Q294" s="64" t="n">
        <f aca="false">INDEX(Datos_Origen!$J$2:$J$2459,$Z294)</f>
        <v>63.6</v>
      </c>
      <c r="R294" s="65" t="n">
        <f aca="false">ROUND($O294*$P294,2)</f>
        <v>1528.8</v>
      </c>
      <c r="S294" s="65" t="n">
        <f aca="false">ROUND($O294*$Q294,2)</f>
        <v>826.8</v>
      </c>
      <c r="T294" s="65" t="n">
        <f aca="false">ROUND($R294*SUMIFS(Parametros!$E$28:$E$43,Parametros!$B$28:$B$43,$J294,Parametros!$C$28:$C$43,$C294,Parametros!$D$28:$D$43,$D294),2)</f>
        <v>18.35</v>
      </c>
      <c r="U294" s="65" t="n">
        <f aca="false">$R294-$S294-$T294</f>
        <v>683.65</v>
      </c>
      <c r="V294" s="66" t="n">
        <f aca="false">IFERROR($U294/$R294,0)</f>
        <v>0.447180795395081</v>
      </c>
      <c r="W294" s="67" t="str">
        <f aca="false">IF(AND($V294&gt;=Parametros!$C$8,$R294&gt;=Parametros!$C$12),"Alta rentabilidad",IF(OR($V294&lt;Parametros!$C$11,$R294&lt;Parametros!$C$13),"Revisar","Estandar"))</f>
        <v>Estandar</v>
      </c>
      <c r="X294" s="67" t="str">
        <f aca="false">IF(AND($J294="E-commerce",IFERROR($T294/$R294,0)&gt;Parametros!$C$14),"Alerta","OK")</f>
        <v>OK</v>
      </c>
      <c r="Y294" s="61" t="str">
        <f aca="false">IF($R294&gt;=Parametros!$C$12,"Alto",IF($R294&lt;Parametros!$C$13,"Bajo","Medio"))</f>
        <v>Medio</v>
      </c>
      <c r="Z294" s="61" t="n">
        <v>1771</v>
      </c>
      <c r="AA294" s="61" t="str">
        <f aca="false">IF(MATCH($A294,Datos_Origen!$A$2:$A$2459,0)=$Z294,"OK","REVISAR")</f>
        <v>OK</v>
      </c>
      <c r="AB294" s="62" t="n">
        <f aca="false">INDEX(Datos_Origen!$B$2:$B$2459,$Z294)</f>
        <v>45378</v>
      </c>
      <c r="AC294" s="61" t="n">
        <f aca="false">INDEX(Datos_Origen!$H$2:$H$2459,$Z294)</f>
        <v>13</v>
      </c>
      <c r="AD294" s="61" t="str">
        <f aca="false">INDEX(Datos_Origen!$D$2:$D$2459,$Z294)&amp;""</f>
        <v>Tucuman</v>
      </c>
    </row>
    <row r="295" customFormat="false" ht="15" hidden="false" customHeight="false" outlineLevel="0" collapsed="false">
      <c r="A295" s="61" t="n">
        <f aca="false">INDEX(Datos_Origen!$A$2:$A$2459,$Z295)</f>
        <v>294</v>
      </c>
      <c r="B295" s="62" t="n">
        <f aca="false">IF(ISNUMBER($AB295),$AB295,IF(MID($AB295,5,1)="-",DATE(VALUE(LEFT($AB295,4)),VALUE(MID($AB295,6,2)),VALUE(RIGHT($AB295,2))),DATE(VALUE(RIGHT($AB295,4)),VALUE(MID($AB295,4,2)),VALUE(LEFT($AB295,2)))))</f>
        <v>45358</v>
      </c>
      <c r="C295" s="61" t="n">
        <f aca="false">YEAR($B295)</f>
        <v>2024</v>
      </c>
      <c r="D295" s="61" t="str">
        <f aca="false">"Q"&amp;ROUNDUP(MONTH($B295)/3,0)</f>
        <v>Q1</v>
      </c>
      <c r="E295" s="61" t="n">
        <f aca="false">MONTH($B295)</f>
        <v>3</v>
      </c>
      <c r="F295" s="61" t="str">
        <f aca="false">INDEX(Parametros!$I$5:$I$16,$E295)</f>
        <v>Mar</v>
      </c>
      <c r="G295" s="61" t="str">
        <f aca="false">TEXT($C295,"0000")&amp;"-"&amp;TEXT($E295,"00")</f>
        <v>2024-03</v>
      </c>
      <c r="H295" s="61" t="str">
        <f aca="false">INDEX(Parametros!$C$71:$C$91,MATCH(TRIM(INDEX(Datos_Origen!$C$2:$C$2459,$Z295)),Parametros!$B$71:$B$91,0))</f>
        <v>NOA</v>
      </c>
      <c r="I295" s="61" t="str">
        <f aca="false">IF(TRIM($AD295)="",INDEX(Parametros!$I$20:$I$24,MATCH($H295,Parametros!$H$20:$H$24,0)),TRIM($AD295))</f>
        <v>Tucuman</v>
      </c>
      <c r="J295" s="61" t="str">
        <f aca="false">INDEX(Parametros!$C$95:$C$106,MATCH(TRIM(INDEX(Datos_Origen!$E$2:$E$2459,$Z295)),Parametros!$B$95:$B$106,0))</f>
        <v>E-commerce</v>
      </c>
      <c r="K295" s="61" t="str">
        <f aca="false">INDEX(Parametros!$C$48:$C$67,MATCH(TRIM(INDEX(Datos_Origen!$F$2:$F$2459,$Z295)),Parametros!$B$48:$B$67,0))</f>
        <v>Audio</v>
      </c>
      <c r="L295" s="61" t="str">
        <f aca="false">$K295&amp;" "&amp;$C295</f>
        <v>Audio 2024</v>
      </c>
      <c r="M295" s="61" t="str">
        <f aca="false">TRIM(INDEX(Datos_Origen!$G$2:$G$2459,$Z295))</f>
        <v>Auriculares BT Pro</v>
      </c>
      <c r="N295" s="61" t="str">
        <f aca="false">$M295&amp;" "&amp;$C295</f>
        <v>Auriculares BT Pro 2024</v>
      </c>
      <c r="O295" s="63" t="n">
        <f aca="false">IF(ISTEXT($AC295),VALUE($AC295),$AC295)</f>
        <v>5</v>
      </c>
      <c r="P295" s="64" t="n">
        <f aca="false">INDEX(Datos_Origen!$I$2:$I$2459,$Z295)</f>
        <v>117.6</v>
      </c>
      <c r="Q295" s="64" t="n">
        <f aca="false">INDEX(Datos_Origen!$J$2:$J$2459,$Z295)</f>
        <v>63.6</v>
      </c>
      <c r="R295" s="65" t="n">
        <f aca="false">ROUND($O295*$P295,2)</f>
        <v>588</v>
      </c>
      <c r="S295" s="65" t="n">
        <f aca="false">ROUND($O295*$Q295,2)</f>
        <v>318</v>
      </c>
      <c r="T295" s="65" t="n">
        <f aca="false">ROUND($R295*SUMIFS(Parametros!$E$28:$E$43,Parametros!$B$28:$B$43,$J295,Parametros!$C$28:$C$43,$C295,Parametros!$D$28:$D$43,$D295),2)</f>
        <v>24.7</v>
      </c>
      <c r="U295" s="65" t="n">
        <f aca="false">$R295-$S295-$T295</f>
        <v>245.3</v>
      </c>
      <c r="V295" s="66" t="n">
        <f aca="false">IFERROR($U295/$R295,0)</f>
        <v>0.417176870748299</v>
      </c>
      <c r="W295" s="67" t="str">
        <f aca="false">IF(AND($V295&gt;=Parametros!$C$8,$R295&gt;=Parametros!$C$12),"Alta rentabilidad",IF(OR($V295&lt;Parametros!$C$11,$R295&lt;Parametros!$C$13),"Revisar","Estandar"))</f>
        <v>Estandar</v>
      </c>
      <c r="X295" s="67" t="str">
        <f aca="false">IF(AND($J295="E-commerce",IFERROR($T295/$R295,0)&gt;Parametros!$C$14),"Alerta","OK")</f>
        <v>OK</v>
      </c>
      <c r="Y295" s="61" t="str">
        <f aca="false">IF($R295&gt;=Parametros!$C$12,"Alto",IF($R295&lt;Parametros!$C$13,"Bajo","Medio"))</f>
        <v>Medio</v>
      </c>
      <c r="Z295" s="61" t="n">
        <v>2375</v>
      </c>
      <c r="AA295" s="61" t="str">
        <f aca="false">IF(MATCH($A295,Datos_Origen!$A$2:$A$2459,0)=$Z295,"OK","REVISAR")</f>
        <v>OK</v>
      </c>
      <c r="AB295" s="61" t="str">
        <f aca="false">INDEX(Datos_Origen!$B$2:$B$2459,$Z295)</f>
        <v>07/03/2024</v>
      </c>
      <c r="AC295" s="61" t="n">
        <f aca="false">INDEX(Datos_Origen!$H$2:$H$2459,$Z295)</f>
        <v>5</v>
      </c>
      <c r="AD295" s="61" t="str">
        <f aca="false">INDEX(Datos_Origen!$D$2:$D$2459,$Z295)&amp;""</f>
        <v>Tucuman</v>
      </c>
    </row>
    <row r="296" customFormat="false" ht="15" hidden="false" customHeight="false" outlineLevel="0" collapsed="false">
      <c r="A296" s="61" t="n">
        <f aca="false">INDEX(Datos_Origen!$A$2:$A$2459,$Z296)</f>
        <v>295</v>
      </c>
      <c r="B296" s="62" t="n">
        <f aca="false">IF(ISNUMBER($AB296),$AB296,IF(MID($AB296,5,1)="-",DATE(VALUE(LEFT($AB296,4)),VALUE(MID($AB296,6,2)),VALUE(RIGHT($AB296,2))),DATE(VALUE(RIGHT($AB296,4)),VALUE(MID($AB296,4,2)),VALUE(LEFT($AB296,2)))))</f>
        <v>45365</v>
      </c>
      <c r="C296" s="61" t="n">
        <f aca="false">YEAR($B296)</f>
        <v>2024</v>
      </c>
      <c r="D296" s="61" t="str">
        <f aca="false">"Q"&amp;ROUNDUP(MONTH($B296)/3,0)</f>
        <v>Q1</v>
      </c>
      <c r="E296" s="61" t="n">
        <f aca="false">MONTH($B296)</f>
        <v>3</v>
      </c>
      <c r="F296" s="61" t="str">
        <f aca="false">INDEX(Parametros!$I$5:$I$16,$E296)</f>
        <v>Mar</v>
      </c>
      <c r="G296" s="61" t="str">
        <f aca="false">TEXT($C296,"0000")&amp;"-"&amp;TEXT($E296,"00")</f>
        <v>2024-03</v>
      </c>
      <c r="H296" s="61" t="str">
        <f aca="false">INDEX(Parametros!$C$71:$C$91,MATCH(TRIM(INDEX(Datos_Origen!$C$2:$C$2459,$Z296)),Parametros!$B$71:$B$91,0))</f>
        <v>NOA</v>
      </c>
      <c r="I296" s="61" t="str">
        <f aca="false">IF(TRIM($AD296)="",INDEX(Parametros!$I$20:$I$24,MATCH($H296,Parametros!$H$20:$H$24,0)),TRIM($AD296))</f>
        <v>Tucuman</v>
      </c>
      <c r="J296" s="61" t="str">
        <f aca="false">INDEX(Parametros!$C$95:$C$106,MATCH(TRIM(INDEX(Datos_Origen!$E$2:$E$2459,$Z296)),Parametros!$B$95:$B$106,0))</f>
        <v>Tienda fisica</v>
      </c>
      <c r="K296" s="61" t="str">
        <f aca="false">INDEX(Parametros!$C$48:$C$67,MATCH(TRIM(INDEX(Datos_Origen!$F$2:$F$2459,$Z296)),Parametros!$B$48:$B$67,0))</f>
        <v>Audio</v>
      </c>
      <c r="L296" s="61" t="str">
        <f aca="false">$K296&amp;" "&amp;$C296</f>
        <v>Audio 2024</v>
      </c>
      <c r="M296" s="61" t="str">
        <f aca="false">TRIM(INDEX(Datos_Origen!$G$2:$G$2459,$Z296))</f>
        <v>Parlante Bluetooth</v>
      </c>
      <c r="N296" s="61" t="str">
        <f aca="false">$M296&amp;" "&amp;$C296</f>
        <v>Parlante Bluetooth 2024</v>
      </c>
      <c r="O296" s="63" t="n">
        <f aca="false">IF(ISTEXT($AC296),VALUE($AC296),$AC296)</f>
        <v>12</v>
      </c>
      <c r="P296" s="64" t="n">
        <f aca="false">INDEX(Datos_Origen!$I$2:$I$2459,$Z296)</f>
        <v>83.3</v>
      </c>
      <c r="Q296" s="64" t="n">
        <f aca="false">INDEX(Datos_Origen!$J$2:$J$2459,$Z296)</f>
        <v>48.03</v>
      </c>
      <c r="R296" s="65" t="n">
        <f aca="false">ROUND($O296*$P296,2)</f>
        <v>999.6</v>
      </c>
      <c r="S296" s="65" t="n">
        <f aca="false">ROUND($O296*$Q296,2)</f>
        <v>576.36</v>
      </c>
      <c r="T296" s="65" t="n">
        <f aca="false">ROUND($R296*SUMIFS(Parametros!$E$28:$E$43,Parametros!$B$28:$B$43,$J296,Parametros!$C$28:$C$43,$C296,Parametros!$D$28:$D$43,$D296),2)</f>
        <v>12</v>
      </c>
      <c r="U296" s="65" t="n">
        <f aca="false">$R296-$S296-$T296</f>
        <v>411.24</v>
      </c>
      <c r="V296" s="66" t="n">
        <f aca="false">IFERROR($U296/$R296,0)</f>
        <v>0.41140456182473</v>
      </c>
      <c r="W296" s="67" t="str">
        <f aca="false">IF(AND($V296&gt;=Parametros!$C$8,$R296&gt;=Parametros!$C$12),"Alta rentabilidad",IF(OR($V296&lt;Parametros!$C$11,$R296&lt;Parametros!$C$13),"Revisar","Estandar"))</f>
        <v>Estandar</v>
      </c>
      <c r="X296" s="67" t="str">
        <f aca="false">IF(AND($J296="E-commerce",IFERROR($T296/$R296,0)&gt;Parametros!$C$14),"Alerta","OK")</f>
        <v>OK</v>
      </c>
      <c r="Y296" s="61" t="str">
        <f aca="false">IF($R296&gt;=Parametros!$C$12,"Alto",IF($R296&lt;Parametros!$C$13,"Bajo","Medio"))</f>
        <v>Medio</v>
      </c>
      <c r="Z296" s="61" t="n">
        <v>2222</v>
      </c>
      <c r="AA296" s="61" t="str">
        <f aca="false">IF(MATCH($A296,Datos_Origen!$A$2:$A$2459,0)=$Z296,"OK","REVISAR")</f>
        <v>OK</v>
      </c>
      <c r="AB296" s="62" t="n">
        <f aca="false">INDEX(Datos_Origen!$B$2:$B$2459,$Z296)</f>
        <v>45365</v>
      </c>
      <c r="AC296" s="61" t="n">
        <f aca="false">INDEX(Datos_Origen!$H$2:$H$2459,$Z296)</f>
        <v>12</v>
      </c>
      <c r="AD296" s="61" t="str">
        <f aca="false">INDEX(Datos_Origen!$D$2:$D$2459,$Z296)&amp;""</f>
        <v>Tucuman</v>
      </c>
    </row>
    <row r="297" customFormat="false" ht="15" hidden="false" customHeight="false" outlineLevel="0" collapsed="false">
      <c r="A297" s="61" t="n">
        <f aca="false">INDEX(Datos_Origen!$A$2:$A$2459,$Z297)</f>
        <v>296</v>
      </c>
      <c r="B297" s="62" t="n">
        <f aca="false">IF(ISNUMBER($AB297),$AB297,IF(MID($AB297,5,1)="-",DATE(VALUE(LEFT($AB297,4)),VALUE(MID($AB297,6,2)),VALUE(RIGHT($AB297,2))),DATE(VALUE(RIGHT($AB297,4)),VALUE(MID($AB297,4,2)),VALUE(LEFT($AB297,2)))))</f>
        <v>45372</v>
      </c>
      <c r="C297" s="61" t="n">
        <f aca="false">YEAR($B297)</f>
        <v>2024</v>
      </c>
      <c r="D297" s="61" t="str">
        <f aca="false">"Q"&amp;ROUNDUP(MONTH($B297)/3,0)</f>
        <v>Q1</v>
      </c>
      <c r="E297" s="61" t="n">
        <f aca="false">MONTH($B297)</f>
        <v>3</v>
      </c>
      <c r="F297" s="61" t="str">
        <f aca="false">INDEX(Parametros!$I$5:$I$16,$E297)</f>
        <v>Mar</v>
      </c>
      <c r="G297" s="61" t="str">
        <f aca="false">TEXT($C297,"0000")&amp;"-"&amp;TEXT($E297,"00")</f>
        <v>2024-03</v>
      </c>
      <c r="H297" s="61" t="str">
        <f aca="false">INDEX(Parametros!$C$71:$C$91,MATCH(TRIM(INDEX(Datos_Origen!$C$2:$C$2459,$Z297)),Parametros!$B$71:$B$91,0))</f>
        <v>NOA</v>
      </c>
      <c r="I297" s="61" t="str">
        <f aca="false">IF(TRIM($AD297)="",INDEX(Parametros!$I$20:$I$24,MATCH($H297,Parametros!$H$20:$H$24,0)),TRIM($AD297))</f>
        <v>Tucuman</v>
      </c>
      <c r="J297" s="61" t="str">
        <f aca="false">INDEX(Parametros!$C$95:$C$106,MATCH(TRIM(INDEX(Datos_Origen!$E$2:$E$2459,$Z297)),Parametros!$B$95:$B$106,0))</f>
        <v>E-commerce</v>
      </c>
      <c r="K297" s="61" t="str">
        <f aca="false">INDEX(Parametros!$C$48:$C$67,MATCH(TRIM(INDEX(Datos_Origen!$F$2:$F$2459,$Z297)),Parametros!$B$48:$B$67,0))</f>
        <v>Audio</v>
      </c>
      <c r="L297" s="61" t="str">
        <f aca="false">$K297&amp;" "&amp;$C297</f>
        <v>Audio 2024</v>
      </c>
      <c r="M297" s="61" t="str">
        <f aca="false">TRIM(INDEX(Datos_Origen!$G$2:$G$2459,$Z297))</f>
        <v>Parlante Bluetooth</v>
      </c>
      <c r="N297" s="61" t="str">
        <f aca="false">$M297&amp;" "&amp;$C297</f>
        <v>Parlante Bluetooth 2024</v>
      </c>
      <c r="O297" s="63" t="n">
        <f aca="false">IF(ISTEXT($AC297),VALUE($AC297),$AC297)</f>
        <v>5</v>
      </c>
      <c r="P297" s="64" t="n">
        <f aca="false">INDEX(Datos_Origen!$I$2:$I$2459,$Z297)</f>
        <v>83.3</v>
      </c>
      <c r="Q297" s="64" t="n">
        <f aca="false">INDEX(Datos_Origen!$J$2:$J$2459,$Z297)</f>
        <v>48.03</v>
      </c>
      <c r="R297" s="65" t="n">
        <f aca="false">ROUND($O297*$P297,2)</f>
        <v>416.5</v>
      </c>
      <c r="S297" s="65" t="n">
        <f aca="false">ROUND($O297*$Q297,2)</f>
        <v>240.15</v>
      </c>
      <c r="T297" s="65" t="n">
        <f aca="false">ROUND($R297*SUMIFS(Parametros!$E$28:$E$43,Parametros!$B$28:$B$43,$J297,Parametros!$C$28:$C$43,$C297,Parametros!$D$28:$D$43,$D297),2)</f>
        <v>17.49</v>
      </c>
      <c r="U297" s="65" t="n">
        <f aca="false">$R297-$S297-$T297</f>
        <v>158.86</v>
      </c>
      <c r="V297" s="66" t="n">
        <f aca="false">IFERROR($U297/$R297,0)</f>
        <v>0.381416566626651</v>
      </c>
      <c r="W297" s="67" t="str">
        <f aca="false">IF(AND($V297&gt;=Parametros!$C$8,$R297&gt;=Parametros!$C$12),"Alta rentabilidad",IF(OR($V297&lt;Parametros!$C$11,$R297&lt;Parametros!$C$13),"Revisar","Estandar"))</f>
        <v>Estandar</v>
      </c>
      <c r="X297" s="67" t="str">
        <f aca="false">IF(AND($J297="E-commerce",IFERROR($T297/$R297,0)&gt;Parametros!$C$14),"Alerta","OK")</f>
        <v>OK</v>
      </c>
      <c r="Y297" s="61" t="str">
        <f aca="false">IF($R297&gt;=Parametros!$C$12,"Alto",IF($R297&lt;Parametros!$C$13,"Bajo","Medio"))</f>
        <v>Medio</v>
      </c>
      <c r="Z297" s="61" t="n">
        <v>1731</v>
      </c>
      <c r="AA297" s="61" t="str">
        <f aca="false">IF(MATCH($A297,Datos_Origen!$A$2:$A$2459,0)=$Z297,"OK","REVISAR")</f>
        <v>OK</v>
      </c>
      <c r="AB297" s="62" t="n">
        <f aca="false">INDEX(Datos_Origen!$B$2:$B$2459,$Z297)</f>
        <v>45372</v>
      </c>
      <c r="AC297" s="61" t="n">
        <f aca="false">INDEX(Datos_Origen!$H$2:$H$2459,$Z297)</f>
        <v>5</v>
      </c>
      <c r="AD297" s="61" t="str">
        <f aca="false">INDEX(Datos_Origen!$D$2:$D$2459,$Z297)&amp;""</f>
        <v>Tucuman</v>
      </c>
    </row>
    <row r="298" customFormat="false" ht="15" hidden="false" customHeight="false" outlineLevel="0" collapsed="false">
      <c r="A298" s="61" t="n">
        <f aca="false">INDEX(Datos_Origen!$A$2:$A$2459,$Z298)</f>
        <v>297</v>
      </c>
      <c r="B298" s="62" t="n">
        <f aca="false">IF(ISNUMBER($AB298),$AB298,IF(MID($AB298,5,1)="-",DATE(VALUE(LEFT($AB298,4)),VALUE(MID($AB298,6,2)),VALUE(RIGHT($AB298,2))),DATE(VALUE(RIGHT($AB298,4)),VALUE(MID($AB298,4,2)),VALUE(LEFT($AB298,2)))))</f>
        <v>45352</v>
      </c>
      <c r="C298" s="61" t="n">
        <f aca="false">YEAR($B298)</f>
        <v>2024</v>
      </c>
      <c r="D298" s="61" t="str">
        <f aca="false">"Q"&amp;ROUNDUP(MONTH($B298)/3,0)</f>
        <v>Q1</v>
      </c>
      <c r="E298" s="61" t="n">
        <f aca="false">MONTH($B298)</f>
        <v>3</v>
      </c>
      <c r="F298" s="61" t="str">
        <f aca="false">INDEX(Parametros!$I$5:$I$16,$E298)</f>
        <v>Mar</v>
      </c>
      <c r="G298" s="61" t="str">
        <f aca="false">TEXT($C298,"0000")&amp;"-"&amp;TEXT($E298,"00")</f>
        <v>2024-03</v>
      </c>
      <c r="H298" s="61" t="str">
        <f aca="false">INDEX(Parametros!$C$71:$C$91,MATCH(TRIM(INDEX(Datos_Origen!$C$2:$C$2459,$Z298)),Parametros!$B$71:$B$91,0))</f>
        <v>NOA</v>
      </c>
      <c r="I298" s="61" t="str">
        <f aca="false">IF(TRIM($AD298)="",INDEX(Parametros!$I$20:$I$24,MATCH($H298,Parametros!$H$20:$H$24,0)),TRIM($AD298))</f>
        <v>Tucuman</v>
      </c>
      <c r="J298" s="61" t="str">
        <f aca="false">INDEX(Parametros!$C$95:$C$106,MATCH(TRIM(INDEX(Datos_Origen!$E$2:$E$2459,$Z298)),Parametros!$B$95:$B$106,0))</f>
        <v>Tienda fisica</v>
      </c>
      <c r="K298" s="61" t="str">
        <f aca="false">INDEX(Parametros!$C$48:$C$67,MATCH(TRIM(INDEX(Datos_Origen!$F$2:$F$2459,$Z298)),Parametros!$B$48:$B$67,0))</f>
        <v>Almacenamiento</v>
      </c>
      <c r="L298" s="61" t="str">
        <f aca="false">$K298&amp;" "&amp;$C298</f>
        <v>Almacenamiento 2024</v>
      </c>
      <c r="M298" s="61" t="str">
        <f aca="false">TRIM(INDEX(Datos_Origen!$G$2:$G$2459,$Z298))</f>
        <v>SSD Externo 1TB</v>
      </c>
      <c r="N298" s="61" t="str">
        <f aca="false">$M298&amp;" "&amp;$C298</f>
        <v>SSD Externo 1TB 2024</v>
      </c>
      <c r="O298" s="63" t="n">
        <f aca="false">IF(ISTEXT($AC298),VALUE($AC298),$AC298)</f>
        <v>19</v>
      </c>
      <c r="P298" s="64" t="n">
        <f aca="false">INDEX(Datos_Origen!$I$2:$I$2459,$Z298)</f>
        <v>127.4</v>
      </c>
      <c r="Q298" s="64" t="n">
        <f aca="false">INDEX(Datos_Origen!$J$2:$J$2459,$Z298)</f>
        <v>76.05</v>
      </c>
      <c r="R298" s="65" t="n">
        <f aca="false">ROUND($O298*$P298,2)</f>
        <v>2420.6</v>
      </c>
      <c r="S298" s="65" t="n">
        <f aca="false">ROUND($O298*$Q298,2)</f>
        <v>1444.95</v>
      </c>
      <c r="T298" s="65" t="n">
        <f aca="false">ROUND($R298*SUMIFS(Parametros!$E$28:$E$43,Parametros!$B$28:$B$43,$J298,Parametros!$C$28:$C$43,$C298,Parametros!$D$28:$D$43,$D298),2)</f>
        <v>29.05</v>
      </c>
      <c r="U298" s="65" t="n">
        <f aca="false">$R298-$S298-$T298</f>
        <v>946.6</v>
      </c>
      <c r="V298" s="66" t="n">
        <f aca="false">IFERROR($U298/$R298,0)</f>
        <v>0.391060067751797</v>
      </c>
      <c r="W298" s="67" t="str">
        <f aca="false">IF(AND($V298&gt;=Parametros!$C$8,$R298&gt;=Parametros!$C$12),"Alta rentabilidad",IF(OR($V298&lt;Parametros!$C$11,$R298&lt;Parametros!$C$13),"Revisar","Estandar"))</f>
        <v>Estandar</v>
      </c>
      <c r="X298" s="67" t="str">
        <f aca="false">IF(AND($J298="E-commerce",IFERROR($T298/$R298,0)&gt;Parametros!$C$14),"Alerta","OK")</f>
        <v>OK</v>
      </c>
      <c r="Y298" s="61" t="str">
        <f aca="false">IF($R298&gt;=Parametros!$C$12,"Alto",IF($R298&lt;Parametros!$C$13,"Bajo","Medio"))</f>
        <v>Medio</v>
      </c>
      <c r="Z298" s="61" t="n">
        <v>2362</v>
      </c>
      <c r="AA298" s="61" t="str">
        <f aca="false">IF(MATCH($A298,Datos_Origen!$A$2:$A$2459,0)=$Z298,"OK","REVISAR")</f>
        <v>OK</v>
      </c>
      <c r="AB298" s="61" t="str">
        <f aca="false">INDEX(Datos_Origen!$B$2:$B$2459,$Z298)</f>
        <v>2024-03-01</v>
      </c>
      <c r="AC298" s="61" t="n">
        <f aca="false">INDEX(Datos_Origen!$H$2:$H$2459,$Z298)</f>
        <v>19</v>
      </c>
      <c r="AD298" s="61" t="str">
        <f aca="false">INDEX(Datos_Origen!$D$2:$D$2459,$Z298)&amp;""</f>
        <v>Tucuman</v>
      </c>
    </row>
    <row r="299" customFormat="false" ht="15" hidden="false" customHeight="false" outlineLevel="0" collapsed="false">
      <c r="A299" s="61" t="n">
        <f aca="false">INDEX(Datos_Origen!$A$2:$A$2459,$Z299)</f>
        <v>298</v>
      </c>
      <c r="B299" s="62" t="n">
        <f aca="false">IF(ISNUMBER($AB299),$AB299,IF(MID($AB299,5,1)="-",DATE(VALUE(LEFT($AB299,4)),VALUE(MID($AB299,6,2)),VALUE(RIGHT($AB299,2))),DATE(VALUE(RIGHT($AB299,4)),VALUE(MID($AB299,4,2)),VALUE(LEFT($AB299,2)))))</f>
        <v>45359</v>
      </c>
      <c r="C299" s="61" t="n">
        <f aca="false">YEAR($B299)</f>
        <v>2024</v>
      </c>
      <c r="D299" s="61" t="str">
        <f aca="false">"Q"&amp;ROUNDUP(MONTH($B299)/3,0)</f>
        <v>Q1</v>
      </c>
      <c r="E299" s="61" t="n">
        <f aca="false">MONTH($B299)</f>
        <v>3</v>
      </c>
      <c r="F299" s="61" t="str">
        <f aca="false">INDEX(Parametros!$I$5:$I$16,$E299)</f>
        <v>Mar</v>
      </c>
      <c r="G299" s="61" t="str">
        <f aca="false">TEXT($C299,"0000")&amp;"-"&amp;TEXT($E299,"00")</f>
        <v>2024-03</v>
      </c>
      <c r="H299" s="61" t="str">
        <f aca="false">INDEX(Parametros!$C$71:$C$91,MATCH(TRIM(INDEX(Datos_Origen!$C$2:$C$2459,$Z299)),Parametros!$B$71:$B$91,0))</f>
        <v>NOA</v>
      </c>
      <c r="I299" s="61" t="str">
        <f aca="false">IF(TRIM($AD299)="",INDEX(Parametros!$I$20:$I$24,MATCH($H299,Parametros!$H$20:$H$24,0)),TRIM($AD299))</f>
        <v>Tucuman</v>
      </c>
      <c r="J299" s="61" t="str">
        <f aca="false">INDEX(Parametros!$C$95:$C$106,MATCH(TRIM(INDEX(Datos_Origen!$E$2:$E$2459,$Z299)),Parametros!$B$95:$B$106,0))</f>
        <v>E-commerce</v>
      </c>
      <c r="K299" s="61" t="str">
        <f aca="false">INDEX(Parametros!$C$48:$C$67,MATCH(TRIM(INDEX(Datos_Origen!$F$2:$F$2459,$Z299)),Parametros!$B$48:$B$67,0))</f>
        <v>Almacenamiento</v>
      </c>
      <c r="L299" s="61" t="str">
        <f aca="false">$K299&amp;" "&amp;$C299</f>
        <v>Almacenamiento 2024</v>
      </c>
      <c r="M299" s="61" t="str">
        <f aca="false">TRIM(INDEX(Datos_Origen!$G$2:$G$2459,$Z299))</f>
        <v>SSD Externo 1TB</v>
      </c>
      <c r="N299" s="61" t="str">
        <f aca="false">$M299&amp;" "&amp;$C299</f>
        <v>SSD Externo 1TB 2024</v>
      </c>
      <c r="O299" s="63" t="n">
        <f aca="false">IF(ISTEXT($AC299),VALUE($AC299),$AC299)</f>
        <v>7</v>
      </c>
      <c r="P299" s="64" t="n">
        <f aca="false">INDEX(Datos_Origen!$I$2:$I$2459,$Z299)</f>
        <v>127.4</v>
      </c>
      <c r="Q299" s="64" t="n">
        <f aca="false">INDEX(Datos_Origen!$J$2:$J$2459,$Z299)</f>
        <v>76.05</v>
      </c>
      <c r="R299" s="65" t="n">
        <f aca="false">ROUND($O299*$P299,2)</f>
        <v>891.8</v>
      </c>
      <c r="S299" s="65" t="n">
        <f aca="false">ROUND($O299*$Q299,2)</f>
        <v>532.35</v>
      </c>
      <c r="T299" s="65" t="n">
        <f aca="false">ROUND($R299*SUMIFS(Parametros!$E$28:$E$43,Parametros!$B$28:$B$43,$J299,Parametros!$C$28:$C$43,$C299,Parametros!$D$28:$D$43,$D299),2)</f>
        <v>37.46</v>
      </c>
      <c r="U299" s="65" t="n">
        <f aca="false">$R299-$S299-$T299</f>
        <v>321.99</v>
      </c>
      <c r="V299" s="66" t="n">
        <f aca="false">IFERROR($U299/$R299,0)</f>
        <v>0.361056290648127</v>
      </c>
      <c r="W299" s="67" t="str">
        <f aca="false">IF(AND($V299&gt;=Parametros!$C$8,$R299&gt;=Parametros!$C$12),"Alta rentabilidad",IF(OR($V299&lt;Parametros!$C$11,$R299&lt;Parametros!$C$13),"Revisar","Estandar"))</f>
        <v>Estandar</v>
      </c>
      <c r="X299" s="67" t="str">
        <f aca="false">IF(AND($J299="E-commerce",IFERROR($T299/$R299,0)&gt;Parametros!$C$14),"Alerta","OK")</f>
        <v>OK</v>
      </c>
      <c r="Y299" s="61" t="str">
        <f aca="false">IF($R299&gt;=Parametros!$C$12,"Alto",IF($R299&lt;Parametros!$C$13,"Bajo","Medio"))</f>
        <v>Medio</v>
      </c>
      <c r="Z299" s="61" t="n">
        <v>294</v>
      </c>
      <c r="AA299" s="61" t="str">
        <f aca="false">IF(MATCH($A299,Datos_Origen!$A$2:$A$2459,0)=$Z299,"OK","REVISAR")</f>
        <v>OK</v>
      </c>
      <c r="AB299" s="62" t="n">
        <f aca="false">INDEX(Datos_Origen!$B$2:$B$2459,$Z299)</f>
        <v>45359</v>
      </c>
      <c r="AC299" s="61" t="n">
        <f aca="false">INDEX(Datos_Origen!$H$2:$H$2459,$Z299)</f>
        <v>7</v>
      </c>
      <c r="AD299" s="61" t="str">
        <f aca="false">INDEX(Datos_Origen!$D$2:$D$2459,$Z299)&amp;""</f>
        <v>Tucuman</v>
      </c>
    </row>
    <row r="300" customFormat="false" ht="15" hidden="false" customHeight="false" outlineLevel="0" collapsed="false">
      <c r="A300" s="61" t="n">
        <f aca="false">INDEX(Datos_Origen!$A$2:$A$2459,$Z300)</f>
        <v>299</v>
      </c>
      <c r="B300" s="62" t="n">
        <f aca="false">IF(ISNUMBER($AB300),$AB300,IF(MID($AB300,5,1)="-",DATE(VALUE(LEFT($AB300,4)),VALUE(MID($AB300,6,2)),VALUE(RIGHT($AB300,2))),DATE(VALUE(RIGHT($AB300,4)),VALUE(MID($AB300,4,2)),VALUE(LEFT($AB300,2)))))</f>
        <v>45366</v>
      </c>
      <c r="C300" s="61" t="n">
        <f aca="false">YEAR($B300)</f>
        <v>2024</v>
      </c>
      <c r="D300" s="61" t="str">
        <f aca="false">"Q"&amp;ROUNDUP(MONTH($B300)/3,0)</f>
        <v>Q1</v>
      </c>
      <c r="E300" s="61" t="n">
        <f aca="false">MONTH($B300)</f>
        <v>3</v>
      </c>
      <c r="F300" s="61" t="str">
        <f aca="false">INDEX(Parametros!$I$5:$I$16,$E300)</f>
        <v>Mar</v>
      </c>
      <c r="G300" s="61" t="str">
        <f aca="false">TEXT($C300,"0000")&amp;"-"&amp;TEXT($E300,"00")</f>
        <v>2024-03</v>
      </c>
      <c r="H300" s="61" t="str">
        <f aca="false">INDEX(Parametros!$C$71:$C$91,MATCH(TRIM(INDEX(Datos_Origen!$C$2:$C$2459,$Z300)),Parametros!$B$71:$B$91,0))</f>
        <v>NOA</v>
      </c>
      <c r="I300" s="61" t="str">
        <f aca="false">IF(TRIM($AD300)="",INDEX(Parametros!$I$20:$I$24,MATCH($H300,Parametros!$H$20:$H$24,0)),TRIM($AD300))</f>
        <v>Tucuman</v>
      </c>
      <c r="J300" s="61" t="str">
        <f aca="false">INDEX(Parametros!$C$95:$C$106,MATCH(TRIM(INDEX(Datos_Origen!$E$2:$E$2459,$Z300)),Parametros!$B$95:$B$106,0))</f>
        <v>Tienda fisica</v>
      </c>
      <c r="K300" s="61" t="str">
        <f aca="false">INDEX(Parametros!$C$48:$C$67,MATCH(TRIM(INDEX(Datos_Origen!$F$2:$F$2459,$Z300)),Parametros!$B$48:$B$67,0))</f>
        <v>Almacenamiento</v>
      </c>
      <c r="L300" s="61" t="str">
        <f aca="false">$K300&amp;" "&amp;$C300</f>
        <v>Almacenamiento 2024</v>
      </c>
      <c r="M300" s="61" t="str">
        <f aca="false">TRIM(INDEX(Datos_Origen!$G$2:$G$2459,$Z300))</f>
        <v>Pendrive 256GB</v>
      </c>
      <c r="N300" s="61" t="str">
        <f aca="false">$M300&amp;" "&amp;$C300</f>
        <v>Pendrive 256GB 2024</v>
      </c>
      <c r="O300" s="63" t="n">
        <f aca="false">IF(ISTEXT($AC300),VALUE($AC300),$AC300)</f>
        <v>17</v>
      </c>
      <c r="P300" s="64" t="n">
        <f aca="false">INDEX(Datos_Origen!$I$2:$I$2459,$Z300)</f>
        <v>34.3</v>
      </c>
      <c r="Q300" s="64" t="n">
        <f aca="false">INDEX(Datos_Origen!$J$2:$J$2459,$Z300)</f>
        <v>17.85</v>
      </c>
      <c r="R300" s="65" t="n">
        <f aca="false">ROUND($O300*$P300,2)</f>
        <v>583.1</v>
      </c>
      <c r="S300" s="65" t="n">
        <f aca="false">ROUND($O300*$Q300,2)</f>
        <v>303.45</v>
      </c>
      <c r="T300" s="65" t="n">
        <f aca="false">ROUND($R300*SUMIFS(Parametros!$E$28:$E$43,Parametros!$B$28:$B$43,$J300,Parametros!$C$28:$C$43,$C300,Parametros!$D$28:$D$43,$D300),2)</f>
        <v>7</v>
      </c>
      <c r="U300" s="65" t="n">
        <f aca="false">$R300-$S300-$T300</f>
        <v>272.65</v>
      </c>
      <c r="V300" s="66" t="n">
        <f aca="false">IFERROR($U300/$R300,0)</f>
        <v>0.467587034813926</v>
      </c>
      <c r="W300" s="67" t="str">
        <f aca="false">IF(AND($V300&gt;=Parametros!$C$8,$R300&gt;=Parametros!$C$12),"Alta rentabilidad",IF(OR($V300&lt;Parametros!$C$11,$R300&lt;Parametros!$C$13),"Revisar","Estandar"))</f>
        <v>Estandar</v>
      </c>
      <c r="X300" s="67" t="str">
        <f aca="false">IF(AND($J300="E-commerce",IFERROR($T300/$R300,0)&gt;Parametros!$C$14),"Alerta","OK")</f>
        <v>OK</v>
      </c>
      <c r="Y300" s="61" t="str">
        <f aca="false">IF($R300&gt;=Parametros!$C$12,"Alto",IF($R300&lt;Parametros!$C$13,"Bajo","Medio"))</f>
        <v>Medio</v>
      </c>
      <c r="Z300" s="61" t="n">
        <v>866</v>
      </c>
      <c r="AA300" s="61" t="str">
        <f aca="false">IF(MATCH($A300,Datos_Origen!$A$2:$A$2459,0)=$Z300,"OK","REVISAR")</f>
        <v>OK</v>
      </c>
      <c r="AB300" s="61" t="str">
        <f aca="false">INDEX(Datos_Origen!$B$2:$B$2459,$Z300)</f>
        <v>15/03/2024</v>
      </c>
      <c r="AC300" s="61" t="str">
        <f aca="false">INDEX(Datos_Origen!$H$2:$H$2459,$Z300)</f>
        <v>17</v>
      </c>
      <c r="AD300" s="61" t="str">
        <f aca="false">INDEX(Datos_Origen!$D$2:$D$2459,$Z300)&amp;""</f>
        <v>Tucuman</v>
      </c>
    </row>
    <row r="301" customFormat="false" ht="15" hidden="false" customHeight="false" outlineLevel="0" collapsed="false">
      <c r="A301" s="61" t="n">
        <f aca="false">INDEX(Datos_Origen!$A$2:$A$2459,$Z301)</f>
        <v>300</v>
      </c>
      <c r="B301" s="62" t="n">
        <f aca="false">IF(ISNUMBER($AB301),$AB301,IF(MID($AB301,5,1)="-",DATE(VALUE(LEFT($AB301,4)),VALUE(MID($AB301,6,2)),VALUE(RIGHT($AB301,2))),DATE(VALUE(RIGHT($AB301,4)),VALUE(MID($AB301,4,2)),VALUE(LEFT($AB301,2)))))</f>
        <v>45373</v>
      </c>
      <c r="C301" s="61" t="n">
        <f aca="false">YEAR($B301)</f>
        <v>2024</v>
      </c>
      <c r="D301" s="61" t="str">
        <f aca="false">"Q"&amp;ROUNDUP(MONTH($B301)/3,0)</f>
        <v>Q1</v>
      </c>
      <c r="E301" s="61" t="n">
        <f aca="false">MONTH($B301)</f>
        <v>3</v>
      </c>
      <c r="F301" s="61" t="str">
        <f aca="false">INDEX(Parametros!$I$5:$I$16,$E301)</f>
        <v>Mar</v>
      </c>
      <c r="G301" s="61" t="str">
        <f aca="false">TEXT($C301,"0000")&amp;"-"&amp;TEXT($E301,"00")</f>
        <v>2024-03</v>
      </c>
      <c r="H301" s="61" t="str">
        <f aca="false">INDEX(Parametros!$C$71:$C$91,MATCH(TRIM(INDEX(Datos_Origen!$C$2:$C$2459,$Z301)),Parametros!$B$71:$B$91,0))</f>
        <v>NOA</v>
      </c>
      <c r="I301" s="61" t="str">
        <f aca="false">IF(TRIM($AD301)="",INDEX(Parametros!$I$20:$I$24,MATCH($H301,Parametros!$H$20:$H$24,0)),TRIM($AD301))</f>
        <v>Tucuman</v>
      </c>
      <c r="J301" s="61" t="str">
        <f aca="false">INDEX(Parametros!$C$95:$C$106,MATCH(TRIM(INDEX(Datos_Origen!$E$2:$E$2459,$Z301)),Parametros!$B$95:$B$106,0))</f>
        <v>E-commerce</v>
      </c>
      <c r="K301" s="61" t="str">
        <f aca="false">INDEX(Parametros!$C$48:$C$67,MATCH(TRIM(INDEX(Datos_Origen!$F$2:$F$2459,$Z301)),Parametros!$B$48:$B$67,0))</f>
        <v>Almacenamiento</v>
      </c>
      <c r="L301" s="61" t="str">
        <f aca="false">$K301&amp;" "&amp;$C301</f>
        <v>Almacenamiento 2024</v>
      </c>
      <c r="M301" s="61" t="str">
        <f aca="false">TRIM(INDEX(Datos_Origen!$G$2:$G$2459,$Z301))</f>
        <v>Pendrive 256GB</v>
      </c>
      <c r="N301" s="61" t="str">
        <f aca="false">$M301&amp;" "&amp;$C301</f>
        <v>Pendrive 256GB 2024</v>
      </c>
      <c r="O301" s="63" t="n">
        <f aca="false">IF(ISTEXT($AC301),VALUE($AC301),$AC301)</f>
        <v>6</v>
      </c>
      <c r="P301" s="64" t="n">
        <f aca="false">INDEX(Datos_Origen!$I$2:$I$2459,$Z301)</f>
        <v>34.3</v>
      </c>
      <c r="Q301" s="64" t="n">
        <f aca="false">INDEX(Datos_Origen!$J$2:$J$2459,$Z301)</f>
        <v>17.85</v>
      </c>
      <c r="R301" s="65" t="n">
        <f aca="false">ROUND($O301*$P301,2)</f>
        <v>205.8</v>
      </c>
      <c r="S301" s="65" t="n">
        <f aca="false">ROUND($O301*$Q301,2)</f>
        <v>107.1</v>
      </c>
      <c r="T301" s="65" t="n">
        <f aca="false">ROUND($R301*SUMIFS(Parametros!$E$28:$E$43,Parametros!$B$28:$B$43,$J301,Parametros!$C$28:$C$43,$C301,Parametros!$D$28:$D$43,$D301),2)</f>
        <v>8.64</v>
      </c>
      <c r="U301" s="65" t="n">
        <f aca="false">$R301-$S301-$T301</f>
        <v>90.06</v>
      </c>
      <c r="V301" s="66" t="n">
        <f aca="false">IFERROR($U301/$R301,0)</f>
        <v>0.437609329446064</v>
      </c>
      <c r="W301" s="67" t="str">
        <f aca="false">IF(AND($V301&gt;=Parametros!$C$8,$R301&gt;=Parametros!$C$12),"Alta rentabilidad",IF(OR($V301&lt;Parametros!$C$11,$R301&lt;Parametros!$C$13),"Revisar","Estandar"))</f>
        <v>Revisar</v>
      </c>
      <c r="X301" s="67" t="str">
        <f aca="false">IF(AND($J301="E-commerce",IFERROR($T301/$R301,0)&gt;Parametros!$C$14),"Alerta","OK")</f>
        <v>OK</v>
      </c>
      <c r="Y301" s="61" t="str">
        <f aca="false">IF($R301&gt;=Parametros!$C$12,"Alto",IF($R301&lt;Parametros!$C$13,"Bajo","Medio"))</f>
        <v>Bajo</v>
      </c>
      <c r="Z301" s="61" t="n">
        <v>1699</v>
      </c>
      <c r="AA301" s="61" t="str">
        <f aca="false">IF(MATCH($A301,Datos_Origen!$A$2:$A$2459,0)=$Z301,"OK","REVISAR")</f>
        <v>OK</v>
      </c>
      <c r="AB301" s="61" t="str">
        <f aca="false">INDEX(Datos_Origen!$B$2:$B$2459,$Z301)</f>
        <v>22/03/2024</v>
      </c>
      <c r="AC301" s="61" t="n">
        <f aca="false">INDEX(Datos_Origen!$H$2:$H$2459,$Z301)</f>
        <v>6</v>
      </c>
      <c r="AD301" s="61" t="str">
        <f aca="false">INDEX(Datos_Origen!$D$2:$D$2459,$Z301)&amp;""</f>
        <v>Tucuman</v>
      </c>
    </row>
    <row r="302" customFormat="false" ht="15" hidden="false" customHeight="false" outlineLevel="0" collapsed="false">
      <c r="A302" s="61" t="n">
        <f aca="false">INDEX(Datos_Origen!$A$2:$A$2459,$Z302)</f>
        <v>301</v>
      </c>
      <c r="B302" s="62" t="n">
        <f aca="false">IF(ISNUMBER($AB302),$AB302,IF(MID($AB302,5,1)="-",DATE(VALUE(LEFT($AB302,4)),VALUE(MID($AB302,6,2)),VALUE(RIGHT($AB302,2))),DATE(VALUE(RIGHT($AB302,4)),VALUE(MID($AB302,4,2)),VALUE(LEFT($AB302,2)))))</f>
        <v>45384</v>
      </c>
      <c r="C302" s="61" t="n">
        <f aca="false">YEAR($B302)</f>
        <v>2024</v>
      </c>
      <c r="D302" s="61" t="str">
        <f aca="false">"Q"&amp;ROUNDUP(MONTH($B302)/3,0)</f>
        <v>Q2</v>
      </c>
      <c r="E302" s="61" t="n">
        <f aca="false">MONTH($B302)</f>
        <v>4</v>
      </c>
      <c r="F302" s="61" t="str">
        <f aca="false">INDEX(Parametros!$I$5:$I$16,$E302)</f>
        <v>Abr</v>
      </c>
      <c r="G302" s="61" t="str">
        <f aca="false">TEXT($C302,"0000")&amp;"-"&amp;TEXT($E302,"00")</f>
        <v>2024-04</v>
      </c>
      <c r="H302" s="61" t="str">
        <f aca="false">INDEX(Parametros!$C$71:$C$91,MATCH(TRIM(INDEX(Datos_Origen!$C$2:$C$2459,$Z302)),Parametros!$B$71:$B$91,0))</f>
        <v>AMBA</v>
      </c>
      <c r="I302" s="61" t="str">
        <f aca="false">IF(TRIM($AD302)="",INDEX(Parametros!$I$20:$I$24,MATCH($H302,Parametros!$H$20:$H$24,0)),TRIM($AD302))</f>
        <v>Buenos Aires</v>
      </c>
      <c r="J302" s="61" t="str">
        <f aca="false">INDEX(Parametros!$C$95:$C$106,MATCH(TRIM(INDEX(Datos_Origen!$E$2:$E$2459,$Z302)),Parametros!$B$95:$B$106,0))</f>
        <v>Tienda fisica</v>
      </c>
      <c r="K302" s="61" t="str">
        <f aca="false">INDEX(Parametros!$C$48:$C$67,MATCH(TRIM(INDEX(Datos_Origen!$F$2:$F$2459,$Z302)),Parametros!$B$48:$B$67,0))</f>
        <v>Computacion</v>
      </c>
      <c r="L302" s="61" t="str">
        <f aca="false">$K302&amp;" "&amp;$C302</f>
        <v>Computacion 2024</v>
      </c>
      <c r="M302" s="61" t="str">
        <f aca="false">TRIM(INDEX(Datos_Origen!$G$2:$G$2459,$Z302))</f>
        <v>Laptop Pro 15</v>
      </c>
      <c r="N302" s="61" t="str">
        <f aca="false">$M302&amp;" "&amp;$C302</f>
        <v>Laptop Pro 15 2024</v>
      </c>
      <c r="O302" s="63" t="n">
        <f aca="false">IF(ISTEXT($AC302),VALUE($AC302),$AC302)</f>
        <v>20</v>
      </c>
      <c r="P302" s="64" t="n">
        <f aca="false">INDEX(Datos_Origen!$I$2:$I$2459,$Z302)</f>
        <v>1176</v>
      </c>
      <c r="Q302" s="64" t="n">
        <f aca="false">INDEX(Datos_Origen!$J$2:$J$2459,$Z302)</f>
        <v>744</v>
      </c>
      <c r="R302" s="65" t="n">
        <f aca="false">ROUND($O302*$P302,2)</f>
        <v>23520</v>
      </c>
      <c r="S302" s="65" t="n">
        <f aca="false">ROUND($O302*$Q302,2)</f>
        <v>14880</v>
      </c>
      <c r="T302" s="65" t="n">
        <f aca="false">ROUND($R302*SUMIFS(Parametros!$E$28:$E$43,Parametros!$B$28:$B$43,$J302,Parametros!$C$28:$C$43,$C302,Parametros!$D$28:$D$43,$D302),2)</f>
        <v>282.24</v>
      </c>
      <c r="U302" s="65" t="n">
        <f aca="false">$R302-$S302-$T302</f>
        <v>8357.76</v>
      </c>
      <c r="V302" s="66" t="n">
        <f aca="false">IFERROR($U302/$R302,0)</f>
        <v>0.35534693877551</v>
      </c>
      <c r="W302" s="67" t="str">
        <f aca="false">IF(AND($V302&gt;=Parametros!$C$8,$R302&gt;=Parametros!$C$12),"Alta rentabilidad",IF(OR($V302&lt;Parametros!$C$11,$R302&lt;Parametros!$C$13),"Revisar","Estandar"))</f>
        <v>Alta rentabilidad</v>
      </c>
      <c r="X302" s="67" t="str">
        <f aca="false">IF(AND($J302="E-commerce",IFERROR($T302/$R302,0)&gt;Parametros!$C$14),"Alerta","OK")</f>
        <v>OK</v>
      </c>
      <c r="Y302" s="61" t="str">
        <f aca="false">IF($R302&gt;=Parametros!$C$12,"Alto",IF($R302&lt;Parametros!$C$13,"Bajo","Medio"))</f>
        <v>Alto</v>
      </c>
      <c r="Z302" s="61" t="n">
        <v>1831</v>
      </c>
      <c r="AA302" s="61" t="str">
        <f aca="false">IF(MATCH($A302,Datos_Origen!$A$2:$A$2459,0)=$Z302,"OK","REVISAR")</f>
        <v>OK</v>
      </c>
      <c r="AB302" s="61" t="str">
        <f aca="false">INDEX(Datos_Origen!$B$2:$B$2459,$Z302)</f>
        <v>02/04/2024</v>
      </c>
      <c r="AC302" s="61" t="str">
        <f aca="false">INDEX(Datos_Origen!$H$2:$H$2459,$Z302)</f>
        <v>20</v>
      </c>
      <c r="AD302" s="61" t="str">
        <f aca="false">INDEX(Datos_Origen!$D$2:$D$2459,$Z302)&amp;""</f>
        <v>Buenos Aires</v>
      </c>
    </row>
    <row r="303" customFormat="false" ht="15" hidden="false" customHeight="false" outlineLevel="0" collapsed="false">
      <c r="A303" s="61" t="n">
        <f aca="false">INDEX(Datos_Origen!$A$2:$A$2459,$Z303)</f>
        <v>302</v>
      </c>
      <c r="B303" s="62" t="n">
        <f aca="false">IF(ISNUMBER($AB303),$AB303,IF(MID($AB303,5,1)="-",DATE(VALUE(LEFT($AB303,4)),VALUE(MID($AB303,6,2)),VALUE(RIGHT($AB303,2))),DATE(VALUE(RIGHT($AB303,4)),VALUE(MID($AB303,4,2)),VALUE(LEFT($AB303,2)))))</f>
        <v>45391</v>
      </c>
      <c r="C303" s="61" t="n">
        <f aca="false">YEAR($B303)</f>
        <v>2024</v>
      </c>
      <c r="D303" s="61" t="str">
        <f aca="false">"Q"&amp;ROUNDUP(MONTH($B303)/3,0)</f>
        <v>Q2</v>
      </c>
      <c r="E303" s="61" t="n">
        <f aca="false">MONTH($B303)</f>
        <v>4</v>
      </c>
      <c r="F303" s="61" t="str">
        <f aca="false">INDEX(Parametros!$I$5:$I$16,$E303)</f>
        <v>Abr</v>
      </c>
      <c r="G303" s="61" t="str">
        <f aca="false">TEXT($C303,"0000")&amp;"-"&amp;TEXT($E303,"00")</f>
        <v>2024-04</v>
      </c>
      <c r="H303" s="61" t="str">
        <f aca="false">INDEX(Parametros!$C$71:$C$91,MATCH(TRIM(INDEX(Datos_Origen!$C$2:$C$2459,$Z303)),Parametros!$B$71:$B$91,0))</f>
        <v>AMBA</v>
      </c>
      <c r="I303" s="61" t="str">
        <f aca="false">IF(TRIM($AD303)="",INDEX(Parametros!$I$20:$I$24,MATCH($H303,Parametros!$H$20:$H$24,0)),TRIM($AD303))</f>
        <v>Buenos Aires</v>
      </c>
      <c r="J303" s="61" t="str">
        <f aca="false">INDEX(Parametros!$C$95:$C$106,MATCH(TRIM(INDEX(Datos_Origen!$E$2:$E$2459,$Z303)),Parametros!$B$95:$B$106,0))</f>
        <v>E-commerce</v>
      </c>
      <c r="K303" s="61" t="str">
        <f aca="false">INDEX(Parametros!$C$48:$C$67,MATCH(TRIM(INDEX(Datos_Origen!$F$2:$F$2459,$Z303)),Parametros!$B$48:$B$67,0))</f>
        <v>Computacion</v>
      </c>
      <c r="L303" s="61" t="str">
        <f aca="false">$K303&amp;" "&amp;$C303</f>
        <v>Computacion 2024</v>
      </c>
      <c r="M303" s="61" t="str">
        <f aca="false">TRIM(INDEX(Datos_Origen!$G$2:$G$2459,$Z303))</f>
        <v>Laptop Pro 15</v>
      </c>
      <c r="N303" s="61" t="str">
        <f aca="false">$M303&amp;" "&amp;$C303</f>
        <v>Laptop Pro 15 2024</v>
      </c>
      <c r="O303" s="63" t="n">
        <f aca="false">IF(ISTEXT($AC303),VALUE($AC303),$AC303)</f>
        <v>9</v>
      </c>
      <c r="P303" s="64" t="n">
        <f aca="false">INDEX(Datos_Origen!$I$2:$I$2459,$Z303)</f>
        <v>1176</v>
      </c>
      <c r="Q303" s="64" t="n">
        <f aca="false">INDEX(Datos_Origen!$J$2:$J$2459,$Z303)</f>
        <v>744</v>
      </c>
      <c r="R303" s="65" t="n">
        <f aca="false">ROUND($O303*$P303,2)</f>
        <v>10584</v>
      </c>
      <c r="S303" s="65" t="n">
        <f aca="false">ROUND($O303*$Q303,2)</f>
        <v>6696</v>
      </c>
      <c r="T303" s="65" t="n">
        <f aca="false">ROUND($R303*SUMIFS(Parametros!$E$28:$E$43,Parametros!$B$28:$B$43,$J303,Parametros!$C$28:$C$43,$C303,Parametros!$D$28:$D$43,$D303),2)</f>
        <v>465.7</v>
      </c>
      <c r="U303" s="65" t="n">
        <f aca="false">$R303-$S303-$T303</f>
        <v>3422.3</v>
      </c>
      <c r="V303" s="66" t="n">
        <f aca="false">IFERROR($U303/$R303,0)</f>
        <v>0.323346560846561</v>
      </c>
      <c r="W303" s="67" t="str">
        <f aca="false">IF(AND($V303&gt;=Parametros!$C$8,$R303&gt;=Parametros!$C$12),"Alta rentabilidad",IF(OR($V303&lt;Parametros!$C$11,$R303&lt;Parametros!$C$13),"Revisar","Estandar"))</f>
        <v>Estandar</v>
      </c>
      <c r="X303" s="67" t="str">
        <f aca="false">IF(AND($J303="E-commerce",IFERROR($T303/$R303,0)&gt;Parametros!$C$14),"Alerta","OK")</f>
        <v>OK</v>
      </c>
      <c r="Y303" s="61" t="str">
        <f aca="false">IF($R303&gt;=Parametros!$C$12,"Alto",IF($R303&lt;Parametros!$C$13,"Bajo","Medio"))</f>
        <v>Alto</v>
      </c>
      <c r="Z303" s="61" t="n">
        <v>986</v>
      </c>
      <c r="AA303" s="61" t="str">
        <f aca="false">IF(MATCH($A303,Datos_Origen!$A$2:$A$2459,0)=$Z303,"OK","REVISAR")</f>
        <v>OK</v>
      </c>
      <c r="AB303" s="61" t="str">
        <f aca="false">INDEX(Datos_Origen!$B$2:$B$2459,$Z303)</f>
        <v>2024-04-09</v>
      </c>
      <c r="AC303" s="61" t="n">
        <f aca="false">INDEX(Datos_Origen!$H$2:$H$2459,$Z303)</f>
        <v>9</v>
      </c>
      <c r="AD303" s="61" t="str">
        <f aca="false">INDEX(Datos_Origen!$D$2:$D$2459,$Z303)&amp;""</f>
        <v>Buenos Aires</v>
      </c>
    </row>
    <row r="304" customFormat="false" ht="15" hidden="false" customHeight="false" outlineLevel="0" collapsed="false">
      <c r="A304" s="61" t="n">
        <f aca="false">INDEX(Datos_Origen!$A$2:$A$2459,$Z304)</f>
        <v>303</v>
      </c>
      <c r="B304" s="62" t="n">
        <f aca="false">IF(ISNUMBER($AB304),$AB304,IF(MID($AB304,5,1)="-",DATE(VALUE(LEFT($AB304,4)),VALUE(MID($AB304,6,2)),VALUE(RIGHT($AB304,2))),DATE(VALUE(RIGHT($AB304,4)),VALUE(MID($AB304,4,2)),VALUE(LEFT($AB304,2)))))</f>
        <v>45398</v>
      </c>
      <c r="C304" s="61" t="n">
        <f aca="false">YEAR($B304)</f>
        <v>2024</v>
      </c>
      <c r="D304" s="61" t="str">
        <f aca="false">"Q"&amp;ROUNDUP(MONTH($B304)/3,0)</f>
        <v>Q2</v>
      </c>
      <c r="E304" s="61" t="n">
        <f aca="false">MONTH($B304)</f>
        <v>4</v>
      </c>
      <c r="F304" s="61" t="str">
        <f aca="false">INDEX(Parametros!$I$5:$I$16,$E304)</f>
        <v>Abr</v>
      </c>
      <c r="G304" s="61" t="str">
        <f aca="false">TEXT($C304,"0000")&amp;"-"&amp;TEXT($E304,"00")</f>
        <v>2024-04</v>
      </c>
      <c r="H304" s="61" t="str">
        <f aca="false">INDEX(Parametros!$C$71:$C$91,MATCH(TRIM(INDEX(Datos_Origen!$C$2:$C$2459,$Z304)),Parametros!$B$71:$B$91,0))</f>
        <v>AMBA</v>
      </c>
      <c r="I304" s="61" t="str">
        <f aca="false">IF(TRIM($AD304)="",INDEX(Parametros!$I$20:$I$24,MATCH($H304,Parametros!$H$20:$H$24,0)),TRIM($AD304))</f>
        <v>Buenos Aires</v>
      </c>
      <c r="J304" s="61" t="str">
        <f aca="false">INDEX(Parametros!$C$95:$C$106,MATCH(TRIM(INDEX(Datos_Origen!$E$2:$E$2459,$Z304)),Parametros!$B$95:$B$106,0))</f>
        <v>Tienda fisica</v>
      </c>
      <c r="K304" s="61" t="str">
        <f aca="false">INDEX(Parametros!$C$48:$C$67,MATCH(TRIM(INDEX(Datos_Origen!$F$2:$F$2459,$Z304)),Parametros!$B$48:$B$67,0))</f>
        <v>Computacion</v>
      </c>
      <c r="L304" s="61" t="str">
        <f aca="false">$K304&amp;" "&amp;$C304</f>
        <v>Computacion 2024</v>
      </c>
      <c r="M304" s="61" t="str">
        <f aca="false">TRIM(INDEX(Datos_Origen!$G$2:$G$2459,$Z304))</f>
        <v>Monitor 4K 27</v>
      </c>
      <c r="N304" s="61" t="str">
        <f aca="false">$M304&amp;" "&amp;$C304</f>
        <v>Monitor 4K 27 2024</v>
      </c>
      <c r="O304" s="63" t="n">
        <f aca="false">IF(ISTEXT($AC304),VALUE($AC304),$AC304)</f>
        <v>22</v>
      </c>
      <c r="P304" s="64" t="n">
        <f aca="false">INDEX(Datos_Origen!$I$2:$I$2459,$Z304)</f>
        <v>441</v>
      </c>
      <c r="Q304" s="64" t="n">
        <f aca="false">INDEX(Datos_Origen!$J$2:$J$2459,$Z304)</f>
        <v>272.25</v>
      </c>
      <c r="R304" s="65" t="n">
        <f aca="false">ROUND($O304*$P304,2)</f>
        <v>9702</v>
      </c>
      <c r="S304" s="65" t="n">
        <f aca="false">ROUND($O304*$Q304,2)</f>
        <v>5989.5</v>
      </c>
      <c r="T304" s="65" t="n">
        <f aca="false">ROUND($R304*SUMIFS(Parametros!$E$28:$E$43,Parametros!$B$28:$B$43,$J304,Parametros!$C$28:$C$43,$C304,Parametros!$D$28:$D$43,$D304),2)</f>
        <v>116.42</v>
      </c>
      <c r="U304" s="65" t="n">
        <f aca="false">$R304-$S304-$T304</f>
        <v>3596.08</v>
      </c>
      <c r="V304" s="66" t="n">
        <f aca="false">IFERROR($U304/$R304,0)</f>
        <v>0.370653473510616</v>
      </c>
      <c r="W304" s="67" t="str">
        <f aca="false">IF(AND($V304&gt;=Parametros!$C$8,$R304&gt;=Parametros!$C$12),"Alta rentabilidad",IF(OR($V304&lt;Parametros!$C$11,$R304&lt;Parametros!$C$13),"Revisar","Estandar"))</f>
        <v>Alta rentabilidad</v>
      </c>
      <c r="X304" s="67" t="str">
        <f aca="false">IF(AND($J304="E-commerce",IFERROR($T304/$R304,0)&gt;Parametros!$C$14),"Alerta","OK")</f>
        <v>OK</v>
      </c>
      <c r="Y304" s="61" t="str">
        <f aca="false">IF($R304&gt;=Parametros!$C$12,"Alto",IF($R304&lt;Parametros!$C$13,"Bajo","Medio"))</f>
        <v>Alto</v>
      </c>
      <c r="Z304" s="61" t="n">
        <v>1235</v>
      </c>
      <c r="AA304" s="61" t="str">
        <f aca="false">IF(MATCH($A304,Datos_Origen!$A$2:$A$2459,0)=$Z304,"OK","REVISAR")</f>
        <v>OK</v>
      </c>
      <c r="AB304" s="62" t="n">
        <f aca="false">INDEX(Datos_Origen!$B$2:$B$2459,$Z304)</f>
        <v>45398</v>
      </c>
      <c r="AC304" s="61" t="n">
        <f aca="false">INDEX(Datos_Origen!$H$2:$H$2459,$Z304)</f>
        <v>22</v>
      </c>
      <c r="AD304" s="61" t="str">
        <f aca="false">INDEX(Datos_Origen!$D$2:$D$2459,$Z304)&amp;""</f>
        <v>Buenos Aires</v>
      </c>
    </row>
    <row r="305" customFormat="false" ht="15" hidden="false" customHeight="false" outlineLevel="0" collapsed="false">
      <c r="A305" s="61" t="n">
        <f aca="false">INDEX(Datos_Origen!$A$2:$A$2459,$Z305)</f>
        <v>304</v>
      </c>
      <c r="B305" s="62" t="n">
        <f aca="false">IF(ISNUMBER($AB305),$AB305,IF(MID($AB305,5,1)="-",DATE(VALUE(LEFT($AB305,4)),VALUE(MID($AB305,6,2)),VALUE(RIGHT($AB305,2))),DATE(VALUE(RIGHT($AB305,4)),VALUE(MID($AB305,4,2)),VALUE(LEFT($AB305,2)))))</f>
        <v>45405</v>
      </c>
      <c r="C305" s="61" t="n">
        <f aca="false">YEAR($B305)</f>
        <v>2024</v>
      </c>
      <c r="D305" s="61" t="str">
        <f aca="false">"Q"&amp;ROUNDUP(MONTH($B305)/3,0)</f>
        <v>Q2</v>
      </c>
      <c r="E305" s="61" t="n">
        <f aca="false">MONTH($B305)</f>
        <v>4</v>
      </c>
      <c r="F305" s="61" t="str">
        <f aca="false">INDEX(Parametros!$I$5:$I$16,$E305)</f>
        <v>Abr</v>
      </c>
      <c r="G305" s="61" t="str">
        <f aca="false">TEXT($C305,"0000")&amp;"-"&amp;TEXT($E305,"00")</f>
        <v>2024-04</v>
      </c>
      <c r="H305" s="61" t="str">
        <f aca="false">INDEX(Parametros!$C$71:$C$91,MATCH(TRIM(INDEX(Datos_Origen!$C$2:$C$2459,$Z305)),Parametros!$B$71:$B$91,0))</f>
        <v>AMBA</v>
      </c>
      <c r="I305" s="61" t="str">
        <f aca="false">IF(TRIM($AD305)="",INDEX(Parametros!$I$20:$I$24,MATCH($H305,Parametros!$H$20:$H$24,0)),TRIM($AD305))</f>
        <v>Buenos Aires</v>
      </c>
      <c r="J305" s="61" t="str">
        <f aca="false">INDEX(Parametros!$C$95:$C$106,MATCH(TRIM(INDEX(Datos_Origen!$E$2:$E$2459,$Z305)),Parametros!$B$95:$B$106,0))</f>
        <v>E-commerce</v>
      </c>
      <c r="K305" s="61" t="str">
        <f aca="false">INDEX(Parametros!$C$48:$C$67,MATCH(TRIM(INDEX(Datos_Origen!$F$2:$F$2459,$Z305)),Parametros!$B$48:$B$67,0))</f>
        <v>Computacion</v>
      </c>
      <c r="L305" s="61" t="str">
        <f aca="false">$K305&amp;" "&amp;$C305</f>
        <v>Computacion 2024</v>
      </c>
      <c r="M305" s="61" t="str">
        <f aca="false">TRIM(INDEX(Datos_Origen!$G$2:$G$2459,$Z305))</f>
        <v>Monitor 4K 27</v>
      </c>
      <c r="N305" s="61" t="str">
        <f aca="false">$M305&amp;" "&amp;$C305</f>
        <v>Monitor 4K 27 2024</v>
      </c>
      <c r="O305" s="63" t="n">
        <f aca="false">IF(ISTEXT($AC305),VALUE($AC305),$AC305)</f>
        <v>7</v>
      </c>
      <c r="P305" s="64" t="n">
        <f aca="false">INDEX(Datos_Origen!$I$2:$I$2459,$Z305)</f>
        <v>441</v>
      </c>
      <c r="Q305" s="64" t="n">
        <f aca="false">INDEX(Datos_Origen!$J$2:$J$2459,$Z305)</f>
        <v>272.25</v>
      </c>
      <c r="R305" s="65" t="n">
        <f aca="false">ROUND($O305*$P305,2)</f>
        <v>3087</v>
      </c>
      <c r="S305" s="65" t="n">
        <f aca="false">ROUND($O305*$Q305,2)</f>
        <v>1905.75</v>
      </c>
      <c r="T305" s="65" t="n">
        <f aca="false">ROUND($R305*SUMIFS(Parametros!$E$28:$E$43,Parametros!$B$28:$B$43,$J305,Parametros!$C$28:$C$43,$C305,Parametros!$D$28:$D$43,$D305),2)</f>
        <v>135.83</v>
      </c>
      <c r="U305" s="65" t="n">
        <f aca="false">$R305-$S305-$T305</f>
        <v>1045.42</v>
      </c>
      <c r="V305" s="66" t="n">
        <f aca="false">IFERROR($U305/$R305,0)</f>
        <v>0.338652413346291</v>
      </c>
      <c r="W305" s="67" t="str">
        <f aca="false">IF(AND($V305&gt;=Parametros!$C$8,$R305&gt;=Parametros!$C$12),"Alta rentabilidad",IF(OR($V305&lt;Parametros!$C$11,$R305&lt;Parametros!$C$13),"Revisar","Estandar"))</f>
        <v>Estandar</v>
      </c>
      <c r="X305" s="67" t="str">
        <f aca="false">IF(AND($J305="E-commerce",IFERROR($T305/$R305,0)&gt;Parametros!$C$14),"Alerta","OK")</f>
        <v>OK</v>
      </c>
      <c r="Y305" s="61" t="str">
        <f aca="false">IF($R305&gt;=Parametros!$C$12,"Alto",IF($R305&lt;Parametros!$C$13,"Bajo","Medio"))</f>
        <v>Alto</v>
      </c>
      <c r="Z305" s="61" t="n">
        <v>1292</v>
      </c>
      <c r="AA305" s="61" t="str">
        <f aca="false">IF(MATCH($A305,Datos_Origen!$A$2:$A$2459,0)=$Z305,"OK","REVISAR")</f>
        <v>OK</v>
      </c>
      <c r="AB305" s="62" t="n">
        <f aca="false">INDEX(Datos_Origen!$B$2:$B$2459,$Z305)</f>
        <v>45405</v>
      </c>
      <c r="AC305" s="61" t="str">
        <f aca="false">INDEX(Datos_Origen!$H$2:$H$2459,$Z305)</f>
        <v>7</v>
      </c>
      <c r="AD305" s="61" t="str">
        <f aca="false">INDEX(Datos_Origen!$D$2:$D$2459,$Z305)&amp;""</f>
        <v>Buenos Aires</v>
      </c>
    </row>
    <row r="306" customFormat="false" ht="15" hidden="false" customHeight="false" outlineLevel="0" collapsed="false">
      <c r="A306" s="61" t="n">
        <f aca="false">INDEX(Datos_Origen!$A$2:$A$2459,$Z306)</f>
        <v>305</v>
      </c>
      <c r="B306" s="62" t="n">
        <f aca="false">IF(ISNUMBER($AB306),$AB306,IF(MID($AB306,5,1)="-",DATE(VALUE(LEFT($AB306,4)),VALUE(MID($AB306,6,2)),VALUE(RIGHT($AB306,2))),DATE(VALUE(RIGHT($AB306,4)),VALUE(MID($AB306,4,2)),VALUE(LEFT($AB306,2)))))</f>
        <v>45385</v>
      </c>
      <c r="C306" s="61" t="n">
        <f aca="false">YEAR($B306)</f>
        <v>2024</v>
      </c>
      <c r="D306" s="61" t="str">
        <f aca="false">"Q"&amp;ROUNDUP(MONTH($B306)/3,0)</f>
        <v>Q2</v>
      </c>
      <c r="E306" s="61" t="n">
        <f aca="false">MONTH($B306)</f>
        <v>4</v>
      </c>
      <c r="F306" s="61" t="str">
        <f aca="false">INDEX(Parametros!$I$5:$I$16,$E306)</f>
        <v>Abr</v>
      </c>
      <c r="G306" s="61" t="str">
        <f aca="false">TEXT($C306,"0000")&amp;"-"&amp;TEXT($E306,"00")</f>
        <v>2024-04</v>
      </c>
      <c r="H306" s="61" t="str">
        <f aca="false">INDEX(Parametros!$C$71:$C$91,MATCH(TRIM(INDEX(Datos_Origen!$C$2:$C$2459,$Z306)),Parametros!$B$71:$B$91,0))</f>
        <v>AMBA</v>
      </c>
      <c r="I306" s="61" t="str">
        <f aca="false">IF(TRIM($AD306)="",INDEX(Parametros!$I$20:$I$24,MATCH($H306,Parametros!$H$20:$H$24,0)),TRIM($AD306))</f>
        <v>Buenos Aires</v>
      </c>
      <c r="J306" s="61" t="str">
        <f aca="false">INDEX(Parametros!$C$95:$C$106,MATCH(TRIM(INDEX(Datos_Origen!$E$2:$E$2459,$Z306)),Parametros!$B$95:$B$106,0))</f>
        <v>Tienda fisica</v>
      </c>
      <c r="K306" s="61" t="str">
        <f aca="false">INDEX(Parametros!$C$48:$C$67,MATCH(TRIM(INDEX(Datos_Origen!$F$2:$F$2459,$Z306)),Parametros!$B$48:$B$67,0))</f>
        <v>Computacion</v>
      </c>
      <c r="L306" s="61" t="str">
        <f aca="false">$K306&amp;" "&amp;$C306</f>
        <v>Computacion 2024</v>
      </c>
      <c r="M306" s="61" t="str">
        <f aca="false">TRIM(INDEX(Datos_Origen!$G$2:$G$2459,$Z306))</f>
        <v>PC Gamer Ryzen</v>
      </c>
      <c r="N306" s="61" t="str">
        <f aca="false">$M306&amp;" "&amp;$C306</f>
        <v>PC Gamer Ryzen 2024</v>
      </c>
      <c r="O306" s="63" t="n">
        <f aca="false">IF(ISTEXT($AC306),VALUE($AC306),$AC306)</f>
        <v>17</v>
      </c>
      <c r="P306" s="64" t="n">
        <f aca="false">INDEX(Datos_Origen!$I$2:$I$2459,$Z306)</f>
        <v>1617</v>
      </c>
      <c r="Q306" s="64" t="n">
        <f aca="false">INDEX(Datos_Origen!$J$2:$J$2459,$Z306)</f>
        <v>1122</v>
      </c>
      <c r="R306" s="65" t="n">
        <f aca="false">ROUND($O306*$P306,2)</f>
        <v>27489</v>
      </c>
      <c r="S306" s="65" t="n">
        <f aca="false">ROUND($O306*$Q306,2)</f>
        <v>19074</v>
      </c>
      <c r="T306" s="65" t="n">
        <f aca="false">ROUND($R306*SUMIFS(Parametros!$E$28:$E$43,Parametros!$B$28:$B$43,$J306,Parametros!$C$28:$C$43,$C306,Parametros!$D$28:$D$43,$D306),2)</f>
        <v>329.87</v>
      </c>
      <c r="U306" s="65" t="n">
        <f aca="false">$R306-$S306-$T306</f>
        <v>8085.13</v>
      </c>
      <c r="V306" s="66" t="n">
        <f aca="false">IFERROR($U306/$R306,0)</f>
        <v>0.294122376223217</v>
      </c>
      <c r="W306" s="67" t="str">
        <f aca="false">IF(AND($V306&gt;=Parametros!$C$8,$R306&gt;=Parametros!$C$12),"Alta rentabilidad",IF(OR($V306&lt;Parametros!$C$11,$R306&lt;Parametros!$C$13),"Revisar","Estandar"))</f>
        <v>Estandar</v>
      </c>
      <c r="X306" s="67" t="str">
        <f aca="false">IF(AND($J306="E-commerce",IFERROR($T306/$R306,0)&gt;Parametros!$C$14),"Alerta","OK")</f>
        <v>OK</v>
      </c>
      <c r="Y306" s="61" t="str">
        <f aca="false">IF($R306&gt;=Parametros!$C$12,"Alto",IF($R306&lt;Parametros!$C$13,"Bajo","Medio"))</f>
        <v>Alto</v>
      </c>
      <c r="Z306" s="61" t="n">
        <v>581</v>
      </c>
      <c r="AA306" s="61" t="str">
        <f aca="false">IF(MATCH($A306,Datos_Origen!$A$2:$A$2459,0)=$Z306,"OK","REVISAR")</f>
        <v>OK</v>
      </c>
      <c r="AB306" s="61" t="str">
        <f aca="false">INDEX(Datos_Origen!$B$2:$B$2459,$Z306)</f>
        <v>03/04/2024</v>
      </c>
      <c r="AC306" s="61" t="n">
        <f aca="false">INDEX(Datos_Origen!$H$2:$H$2459,$Z306)</f>
        <v>17</v>
      </c>
      <c r="AD306" s="61" t="str">
        <f aca="false">INDEX(Datos_Origen!$D$2:$D$2459,$Z306)&amp;""</f>
        <v/>
      </c>
    </row>
    <row r="307" customFormat="false" ht="15" hidden="false" customHeight="false" outlineLevel="0" collapsed="false">
      <c r="A307" s="61" t="n">
        <f aca="false">INDEX(Datos_Origen!$A$2:$A$2459,$Z307)</f>
        <v>306</v>
      </c>
      <c r="B307" s="62" t="n">
        <f aca="false">IF(ISNUMBER($AB307),$AB307,IF(MID($AB307,5,1)="-",DATE(VALUE(LEFT($AB307,4)),VALUE(MID($AB307,6,2)),VALUE(RIGHT($AB307,2))),DATE(VALUE(RIGHT($AB307,4)),VALUE(MID($AB307,4,2)),VALUE(LEFT($AB307,2)))))</f>
        <v>45392</v>
      </c>
      <c r="C307" s="61" t="n">
        <f aca="false">YEAR($B307)</f>
        <v>2024</v>
      </c>
      <c r="D307" s="61" t="str">
        <f aca="false">"Q"&amp;ROUNDUP(MONTH($B307)/3,0)</f>
        <v>Q2</v>
      </c>
      <c r="E307" s="61" t="n">
        <f aca="false">MONTH($B307)</f>
        <v>4</v>
      </c>
      <c r="F307" s="61" t="str">
        <f aca="false">INDEX(Parametros!$I$5:$I$16,$E307)</f>
        <v>Abr</v>
      </c>
      <c r="G307" s="61" t="str">
        <f aca="false">TEXT($C307,"0000")&amp;"-"&amp;TEXT($E307,"00")</f>
        <v>2024-04</v>
      </c>
      <c r="H307" s="61" t="str">
        <f aca="false">INDEX(Parametros!$C$71:$C$91,MATCH(TRIM(INDEX(Datos_Origen!$C$2:$C$2459,$Z307)),Parametros!$B$71:$B$91,0))</f>
        <v>AMBA</v>
      </c>
      <c r="I307" s="61" t="str">
        <f aca="false">IF(TRIM($AD307)="",INDEX(Parametros!$I$20:$I$24,MATCH($H307,Parametros!$H$20:$H$24,0)),TRIM($AD307))</f>
        <v>Buenos Aires</v>
      </c>
      <c r="J307" s="61" t="str">
        <f aca="false">INDEX(Parametros!$C$95:$C$106,MATCH(TRIM(INDEX(Datos_Origen!$E$2:$E$2459,$Z307)),Parametros!$B$95:$B$106,0))</f>
        <v>E-commerce</v>
      </c>
      <c r="K307" s="61" t="str">
        <f aca="false">INDEX(Parametros!$C$48:$C$67,MATCH(TRIM(INDEX(Datos_Origen!$F$2:$F$2459,$Z307)),Parametros!$B$48:$B$67,0))</f>
        <v>Computacion</v>
      </c>
      <c r="L307" s="61" t="str">
        <f aca="false">$K307&amp;" "&amp;$C307</f>
        <v>Computacion 2024</v>
      </c>
      <c r="M307" s="61" t="str">
        <f aca="false">TRIM(INDEX(Datos_Origen!$G$2:$G$2459,$Z307))</f>
        <v>PC Gamer Ryzen</v>
      </c>
      <c r="N307" s="61" t="str">
        <f aca="false">$M307&amp;" "&amp;$C307</f>
        <v>PC Gamer Ryzen 2024</v>
      </c>
      <c r="O307" s="63" t="n">
        <f aca="false">IF(ISTEXT($AC307),VALUE($AC307),$AC307)</f>
        <v>9</v>
      </c>
      <c r="P307" s="64" t="n">
        <f aca="false">INDEX(Datos_Origen!$I$2:$I$2459,$Z307)</f>
        <v>1617</v>
      </c>
      <c r="Q307" s="64" t="n">
        <f aca="false">INDEX(Datos_Origen!$J$2:$J$2459,$Z307)</f>
        <v>1122</v>
      </c>
      <c r="R307" s="65" t="n">
        <f aca="false">ROUND($O307*$P307,2)</f>
        <v>14553</v>
      </c>
      <c r="S307" s="65" t="n">
        <f aca="false">ROUND($O307*$Q307,2)</f>
        <v>10098</v>
      </c>
      <c r="T307" s="65" t="n">
        <f aca="false">ROUND($R307*SUMIFS(Parametros!$E$28:$E$43,Parametros!$B$28:$B$43,$J307,Parametros!$C$28:$C$43,$C307,Parametros!$D$28:$D$43,$D307),2)</f>
        <v>640.33</v>
      </c>
      <c r="U307" s="65" t="n">
        <f aca="false">$R307-$S307-$T307</f>
        <v>3814.67</v>
      </c>
      <c r="V307" s="66" t="n">
        <f aca="false">IFERROR($U307/$R307,0)</f>
        <v>0.262122586408301</v>
      </c>
      <c r="W307" s="67" t="str">
        <f aca="false">IF(AND($V307&gt;=Parametros!$C$8,$R307&gt;=Parametros!$C$12),"Alta rentabilidad",IF(OR($V307&lt;Parametros!$C$11,$R307&lt;Parametros!$C$13),"Revisar","Estandar"))</f>
        <v>Revisar</v>
      </c>
      <c r="X307" s="67" t="str">
        <f aca="false">IF(AND($J307="E-commerce",IFERROR($T307/$R307,0)&gt;Parametros!$C$14),"Alerta","OK")</f>
        <v>OK</v>
      </c>
      <c r="Y307" s="61" t="str">
        <f aca="false">IF($R307&gt;=Parametros!$C$12,"Alto",IF($R307&lt;Parametros!$C$13,"Bajo","Medio"))</f>
        <v>Alto</v>
      </c>
      <c r="Z307" s="61" t="n">
        <v>1917</v>
      </c>
      <c r="AA307" s="61" t="str">
        <f aca="false">IF(MATCH($A307,Datos_Origen!$A$2:$A$2459,0)=$Z307,"OK","REVISAR")</f>
        <v>OK</v>
      </c>
      <c r="AB307" s="62" t="n">
        <f aca="false">INDEX(Datos_Origen!$B$2:$B$2459,$Z307)</f>
        <v>45392</v>
      </c>
      <c r="AC307" s="61" t="n">
        <f aca="false">INDEX(Datos_Origen!$H$2:$H$2459,$Z307)</f>
        <v>9</v>
      </c>
      <c r="AD307" s="61" t="str">
        <f aca="false">INDEX(Datos_Origen!$D$2:$D$2459,$Z307)&amp;""</f>
        <v>Buenos Aires</v>
      </c>
    </row>
    <row r="308" customFormat="false" ht="15" hidden="false" customHeight="false" outlineLevel="0" collapsed="false">
      <c r="A308" s="61" t="n">
        <f aca="false">INDEX(Datos_Origen!$A$2:$A$2459,$Z308)</f>
        <v>307</v>
      </c>
      <c r="B308" s="62" t="n">
        <f aca="false">IF(ISNUMBER($AB308),$AB308,IF(MID($AB308,5,1)="-",DATE(VALUE(LEFT($AB308,4)),VALUE(MID($AB308,6,2)),VALUE(RIGHT($AB308,2))),DATE(VALUE(RIGHT($AB308,4)),VALUE(MID($AB308,4,2)),VALUE(LEFT($AB308,2)))))</f>
        <v>45399</v>
      </c>
      <c r="C308" s="61" t="n">
        <f aca="false">YEAR($B308)</f>
        <v>2024</v>
      </c>
      <c r="D308" s="61" t="str">
        <f aca="false">"Q"&amp;ROUNDUP(MONTH($B308)/3,0)</f>
        <v>Q2</v>
      </c>
      <c r="E308" s="61" t="n">
        <f aca="false">MONTH($B308)</f>
        <v>4</v>
      </c>
      <c r="F308" s="61" t="str">
        <f aca="false">INDEX(Parametros!$I$5:$I$16,$E308)</f>
        <v>Abr</v>
      </c>
      <c r="G308" s="61" t="str">
        <f aca="false">TEXT($C308,"0000")&amp;"-"&amp;TEXT($E308,"00")</f>
        <v>2024-04</v>
      </c>
      <c r="H308" s="61" t="str">
        <f aca="false">INDEX(Parametros!$C$71:$C$91,MATCH(TRIM(INDEX(Datos_Origen!$C$2:$C$2459,$Z308)),Parametros!$B$71:$B$91,0))</f>
        <v>AMBA</v>
      </c>
      <c r="I308" s="61" t="str">
        <f aca="false">IF(TRIM($AD308)="",INDEX(Parametros!$I$20:$I$24,MATCH($H308,Parametros!$H$20:$H$24,0)),TRIM($AD308))</f>
        <v>Buenos Aires</v>
      </c>
      <c r="J308" s="61" t="str">
        <f aca="false">INDEX(Parametros!$C$95:$C$106,MATCH(TRIM(INDEX(Datos_Origen!$E$2:$E$2459,$Z308)),Parametros!$B$95:$B$106,0))</f>
        <v>Tienda fisica</v>
      </c>
      <c r="K308" s="61" t="str">
        <f aca="false">INDEX(Parametros!$C$48:$C$67,MATCH(TRIM(INDEX(Datos_Origen!$F$2:$F$2459,$Z308)),Parametros!$B$48:$B$67,0))</f>
        <v>Accesorios</v>
      </c>
      <c r="L308" s="61" t="str">
        <f aca="false">$K308&amp;" "&amp;$C308</f>
        <v>Accesorios 2024</v>
      </c>
      <c r="M308" s="61" t="str">
        <f aca="false">TRIM(INDEX(Datos_Origen!$G$2:$G$2459,$Z308))</f>
        <v>Mouse Inalambrico</v>
      </c>
      <c r="N308" s="61" t="str">
        <f aca="false">$M308&amp;" "&amp;$C308</f>
        <v>Mouse Inalambrico 2024</v>
      </c>
      <c r="O308" s="63" t="n">
        <f aca="false">IF(ISTEXT($AC308),VALUE($AC308),$AC308)</f>
        <v>101</v>
      </c>
      <c r="P308" s="64" t="n">
        <f aca="false">INDEX(Datos_Origen!$I$2:$I$2459,$Z308)</f>
        <v>27.44</v>
      </c>
      <c r="Q308" s="64" t="n">
        <f aca="false">INDEX(Datos_Origen!$J$2:$J$2459,$Z308)</f>
        <v>13.44</v>
      </c>
      <c r="R308" s="65" t="n">
        <f aca="false">ROUND($O308*$P308,2)</f>
        <v>2771.44</v>
      </c>
      <c r="S308" s="65" t="n">
        <f aca="false">ROUND($O308*$Q308,2)</f>
        <v>1357.44</v>
      </c>
      <c r="T308" s="65" t="n">
        <f aca="false">ROUND($R308*SUMIFS(Parametros!$E$28:$E$43,Parametros!$B$28:$B$43,$J308,Parametros!$C$28:$C$43,$C308,Parametros!$D$28:$D$43,$D308),2)</f>
        <v>33.26</v>
      </c>
      <c r="U308" s="65" t="n">
        <f aca="false">$R308-$S308-$T308</f>
        <v>1380.74</v>
      </c>
      <c r="V308" s="66" t="n">
        <f aca="false">IFERROR($U308/$R308,0)</f>
        <v>0.498203100193401</v>
      </c>
      <c r="W308" s="67" t="str">
        <f aca="false">IF(AND($V308&gt;=Parametros!$C$8,$R308&gt;=Parametros!$C$12),"Alta rentabilidad",IF(OR($V308&lt;Parametros!$C$11,$R308&lt;Parametros!$C$13),"Revisar","Estandar"))</f>
        <v>Estandar</v>
      </c>
      <c r="X308" s="67" t="str">
        <f aca="false">IF(AND($J308="E-commerce",IFERROR($T308/$R308,0)&gt;Parametros!$C$14),"Alerta","OK")</f>
        <v>OK</v>
      </c>
      <c r="Y308" s="61" t="str">
        <f aca="false">IF($R308&gt;=Parametros!$C$12,"Alto",IF($R308&lt;Parametros!$C$13,"Bajo","Medio"))</f>
        <v>Medio</v>
      </c>
      <c r="Z308" s="61" t="n">
        <v>1889</v>
      </c>
      <c r="AA308" s="61" t="str">
        <f aca="false">IF(MATCH($A308,Datos_Origen!$A$2:$A$2459,0)=$Z308,"OK","REVISAR")</f>
        <v>OK</v>
      </c>
      <c r="AB308" s="61" t="str">
        <f aca="false">INDEX(Datos_Origen!$B$2:$B$2459,$Z308)</f>
        <v>2024-04-17</v>
      </c>
      <c r="AC308" s="61" t="n">
        <f aca="false">INDEX(Datos_Origen!$H$2:$H$2459,$Z308)</f>
        <v>101</v>
      </c>
      <c r="AD308" s="61" t="str">
        <f aca="false">INDEX(Datos_Origen!$D$2:$D$2459,$Z308)&amp;""</f>
        <v>Buenos Aires</v>
      </c>
    </row>
    <row r="309" customFormat="false" ht="15" hidden="false" customHeight="false" outlineLevel="0" collapsed="false">
      <c r="A309" s="61" t="n">
        <f aca="false">INDEX(Datos_Origen!$A$2:$A$2459,$Z309)</f>
        <v>308</v>
      </c>
      <c r="B309" s="62" t="n">
        <f aca="false">IF(ISNUMBER($AB309),$AB309,IF(MID($AB309,5,1)="-",DATE(VALUE(LEFT($AB309,4)),VALUE(MID($AB309,6,2)),VALUE(RIGHT($AB309,2))),DATE(VALUE(RIGHT($AB309,4)),VALUE(MID($AB309,4,2)),VALUE(LEFT($AB309,2)))))</f>
        <v>45406</v>
      </c>
      <c r="C309" s="61" t="n">
        <f aca="false">YEAR($B309)</f>
        <v>2024</v>
      </c>
      <c r="D309" s="61" t="str">
        <f aca="false">"Q"&amp;ROUNDUP(MONTH($B309)/3,0)</f>
        <v>Q2</v>
      </c>
      <c r="E309" s="61" t="n">
        <f aca="false">MONTH($B309)</f>
        <v>4</v>
      </c>
      <c r="F309" s="61" t="str">
        <f aca="false">INDEX(Parametros!$I$5:$I$16,$E309)</f>
        <v>Abr</v>
      </c>
      <c r="G309" s="61" t="str">
        <f aca="false">TEXT($C309,"0000")&amp;"-"&amp;TEXT($E309,"00")</f>
        <v>2024-04</v>
      </c>
      <c r="H309" s="61" t="str">
        <f aca="false">INDEX(Parametros!$C$71:$C$91,MATCH(TRIM(INDEX(Datos_Origen!$C$2:$C$2459,$Z309)),Parametros!$B$71:$B$91,0))</f>
        <v>AMBA</v>
      </c>
      <c r="I309" s="61" t="str">
        <f aca="false">IF(TRIM($AD309)="",INDEX(Parametros!$I$20:$I$24,MATCH($H309,Parametros!$H$20:$H$24,0)),TRIM($AD309))</f>
        <v>Buenos Aires</v>
      </c>
      <c r="J309" s="61" t="str">
        <f aca="false">INDEX(Parametros!$C$95:$C$106,MATCH(TRIM(INDEX(Datos_Origen!$E$2:$E$2459,$Z309)),Parametros!$B$95:$B$106,0))</f>
        <v>E-commerce</v>
      </c>
      <c r="K309" s="61" t="str">
        <f aca="false">INDEX(Parametros!$C$48:$C$67,MATCH(TRIM(INDEX(Datos_Origen!$F$2:$F$2459,$Z309)),Parametros!$B$48:$B$67,0))</f>
        <v>Accesorios</v>
      </c>
      <c r="L309" s="61" t="str">
        <f aca="false">$K309&amp;" "&amp;$C309</f>
        <v>Accesorios 2024</v>
      </c>
      <c r="M309" s="61" t="str">
        <f aca="false">TRIM(INDEX(Datos_Origen!$G$2:$G$2459,$Z309))</f>
        <v>Mouse Inalambrico</v>
      </c>
      <c r="N309" s="61" t="str">
        <f aca="false">$M309&amp;" "&amp;$C309</f>
        <v>Mouse Inalambrico 2024</v>
      </c>
      <c r="O309" s="63" t="n">
        <f aca="false">IF(ISTEXT($AC309),VALUE($AC309),$AC309)</f>
        <v>32</v>
      </c>
      <c r="P309" s="64" t="n">
        <f aca="false">INDEX(Datos_Origen!$I$2:$I$2459,$Z309)</f>
        <v>27.44</v>
      </c>
      <c r="Q309" s="64" t="n">
        <f aca="false">INDEX(Datos_Origen!$J$2:$J$2459,$Z309)</f>
        <v>13.44</v>
      </c>
      <c r="R309" s="65" t="n">
        <f aca="false">ROUND($O309*$P309,2)</f>
        <v>878.08</v>
      </c>
      <c r="S309" s="65" t="n">
        <f aca="false">ROUND($O309*$Q309,2)</f>
        <v>430.08</v>
      </c>
      <c r="T309" s="65" t="n">
        <f aca="false">ROUND($R309*SUMIFS(Parametros!$E$28:$E$43,Parametros!$B$28:$B$43,$J309,Parametros!$C$28:$C$43,$C309,Parametros!$D$28:$D$43,$D309),2)</f>
        <v>38.64</v>
      </c>
      <c r="U309" s="65" t="n">
        <f aca="false">$R309-$S309-$T309</f>
        <v>409.36</v>
      </c>
      <c r="V309" s="66" t="n">
        <f aca="false">IFERROR($U309/$R309,0)</f>
        <v>0.466198979591837</v>
      </c>
      <c r="W309" s="67" t="str">
        <f aca="false">IF(AND($V309&gt;=Parametros!$C$8,$R309&gt;=Parametros!$C$12),"Alta rentabilidad",IF(OR($V309&lt;Parametros!$C$11,$R309&lt;Parametros!$C$13),"Revisar","Estandar"))</f>
        <v>Estandar</v>
      </c>
      <c r="X309" s="67" t="str">
        <f aca="false">IF(AND($J309="E-commerce",IFERROR($T309/$R309,0)&gt;Parametros!$C$14),"Alerta","OK")</f>
        <v>OK</v>
      </c>
      <c r="Y309" s="61" t="str">
        <f aca="false">IF($R309&gt;=Parametros!$C$12,"Alto",IF($R309&lt;Parametros!$C$13,"Bajo","Medio"))</f>
        <v>Medio</v>
      </c>
      <c r="Z309" s="61" t="n">
        <v>2097</v>
      </c>
      <c r="AA309" s="61" t="str">
        <f aca="false">IF(MATCH($A309,Datos_Origen!$A$2:$A$2459,0)=$Z309,"OK","REVISAR")</f>
        <v>OK</v>
      </c>
      <c r="AB309" s="62" t="n">
        <f aca="false">INDEX(Datos_Origen!$B$2:$B$2459,$Z309)</f>
        <v>45406</v>
      </c>
      <c r="AC309" s="61" t="n">
        <f aca="false">INDEX(Datos_Origen!$H$2:$H$2459,$Z309)</f>
        <v>32</v>
      </c>
      <c r="AD309" s="61" t="str">
        <f aca="false">INDEX(Datos_Origen!$D$2:$D$2459,$Z309)&amp;""</f>
        <v>Buenos Aires</v>
      </c>
    </row>
    <row r="310" customFormat="false" ht="15" hidden="false" customHeight="false" outlineLevel="0" collapsed="false">
      <c r="A310" s="61" t="n">
        <f aca="false">INDEX(Datos_Origen!$A$2:$A$2459,$Z310)</f>
        <v>309</v>
      </c>
      <c r="B310" s="62" t="n">
        <f aca="false">IF(ISNUMBER($AB310),$AB310,IF(MID($AB310,5,1)="-",DATE(VALUE(LEFT($AB310,4)),VALUE(MID($AB310,6,2)),VALUE(RIGHT($AB310,2))),DATE(VALUE(RIGHT($AB310,4)),VALUE(MID($AB310,4,2)),VALUE(LEFT($AB310,2)))))</f>
        <v>45386</v>
      </c>
      <c r="C310" s="61" t="n">
        <f aca="false">YEAR($B310)</f>
        <v>2024</v>
      </c>
      <c r="D310" s="61" t="str">
        <f aca="false">"Q"&amp;ROUNDUP(MONTH($B310)/3,0)</f>
        <v>Q2</v>
      </c>
      <c r="E310" s="61" t="n">
        <f aca="false">MONTH($B310)</f>
        <v>4</v>
      </c>
      <c r="F310" s="61" t="str">
        <f aca="false">INDEX(Parametros!$I$5:$I$16,$E310)</f>
        <v>Abr</v>
      </c>
      <c r="G310" s="61" t="str">
        <f aca="false">TEXT($C310,"0000")&amp;"-"&amp;TEXT($E310,"00")</f>
        <v>2024-04</v>
      </c>
      <c r="H310" s="61" t="str">
        <f aca="false">INDEX(Parametros!$C$71:$C$91,MATCH(TRIM(INDEX(Datos_Origen!$C$2:$C$2459,$Z310)),Parametros!$B$71:$B$91,0))</f>
        <v>AMBA</v>
      </c>
      <c r="I310" s="61" t="str">
        <f aca="false">IF(TRIM($AD310)="",INDEX(Parametros!$I$20:$I$24,MATCH($H310,Parametros!$H$20:$H$24,0)),TRIM($AD310))</f>
        <v>Buenos Aires</v>
      </c>
      <c r="J310" s="61" t="str">
        <f aca="false">INDEX(Parametros!$C$95:$C$106,MATCH(TRIM(INDEX(Datos_Origen!$E$2:$E$2459,$Z310)),Parametros!$B$95:$B$106,0))</f>
        <v>Tienda fisica</v>
      </c>
      <c r="K310" s="61" t="str">
        <f aca="false">INDEX(Parametros!$C$48:$C$67,MATCH(TRIM(INDEX(Datos_Origen!$F$2:$F$2459,$Z310)),Parametros!$B$48:$B$67,0))</f>
        <v>Accesorios</v>
      </c>
      <c r="L310" s="61" t="str">
        <f aca="false">$K310&amp;" "&amp;$C310</f>
        <v>Accesorios 2024</v>
      </c>
      <c r="M310" s="61" t="str">
        <f aca="false">TRIM(INDEX(Datos_Origen!$G$2:$G$2459,$Z310))</f>
        <v>Teclado Mecanico</v>
      </c>
      <c r="N310" s="61" t="str">
        <f aca="false">$M310&amp;" "&amp;$C310</f>
        <v>Teclado Mecanico 2024</v>
      </c>
      <c r="O310" s="63" t="n">
        <f aca="false">IF(ISTEXT($AC310),VALUE($AC310),$AC310)</f>
        <v>97</v>
      </c>
      <c r="P310" s="64" t="n">
        <f aca="false">INDEX(Datos_Origen!$I$2:$I$2459,$Z310)</f>
        <v>93.1</v>
      </c>
      <c r="Q310" s="64" t="n">
        <f aca="false">INDEX(Datos_Origen!$J$2:$J$2459,$Z310)</f>
        <v>47.98</v>
      </c>
      <c r="R310" s="65" t="n">
        <f aca="false">ROUND($O310*$P310,2)</f>
        <v>9030.7</v>
      </c>
      <c r="S310" s="65" t="n">
        <f aca="false">ROUND($O310*$Q310,2)</f>
        <v>4654.06</v>
      </c>
      <c r="T310" s="65" t="n">
        <f aca="false">ROUND($R310*SUMIFS(Parametros!$E$28:$E$43,Parametros!$B$28:$B$43,$J310,Parametros!$C$28:$C$43,$C310,Parametros!$D$28:$D$43,$D310),2)</f>
        <v>108.37</v>
      </c>
      <c r="U310" s="65" t="n">
        <f aca="false">$R310-$S310-$T310</f>
        <v>4268.27</v>
      </c>
      <c r="V310" s="66" t="n">
        <f aca="false">IFERROR($U310/$R310,0)</f>
        <v>0.472639994684797</v>
      </c>
      <c r="W310" s="67" t="str">
        <f aca="false">IF(AND($V310&gt;=Parametros!$C$8,$R310&gt;=Parametros!$C$12),"Alta rentabilidad",IF(OR($V310&lt;Parametros!$C$11,$R310&lt;Parametros!$C$13),"Revisar","Estandar"))</f>
        <v>Alta rentabilidad</v>
      </c>
      <c r="X310" s="67" t="str">
        <f aca="false">IF(AND($J310="E-commerce",IFERROR($T310/$R310,0)&gt;Parametros!$C$14),"Alerta","OK")</f>
        <v>OK</v>
      </c>
      <c r="Y310" s="61" t="str">
        <f aca="false">IF($R310&gt;=Parametros!$C$12,"Alto",IF($R310&lt;Parametros!$C$13,"Bajo","Medio"))</f>
        <v>Alto</v>
      </c>
      <c r="Z310" s="61" t="n">
        <v>1842</v>
      </c>
      <c r="AA310" s="61" t="str">
        <f aca="false">IF(MATCH($A310,Datos_Origen!$A$2:$A$2459,0)=$Z310,"OK","REVISAR")</f>
        <v>OK</v>
      </c>
      <c r="AB310" s="62" t="n">
        <f aca="false">INDEX(Datos_Origen!$B$2:$B$2459,$Z310)</f>
        <v>45386</v>
      </c>
      <c r="AC310" s="61" t="n">
        <f aca="false">INDEX(Datos_Origen!$H$2:$H$2459,$Z310)</f>
        <v>97</v>
      </c>
      <c r="AD310" s="61" t="str">
        <f aca="false">INDEX(Datos_Origen!$D$2:$D$2459,$Z310)&amp;""</f>
        <v>Buenos Aires</v>
      </c>
    </row>
    <row r="311" customFormat="false" ht="15" hidden="false" customHeight="false" outlineLevel="0" collapsed="false">
      <c r="A311" s="61" t="n">
        <f aca="false">INDEX(Datos_Origen!$A$2:$A$2459,$Z311)</f>
        <v>310</v>
      </c>
      <c r="B311" s="62" t="n">
        <f aca="false">IF(ISNUMBER($AB311),$AB311,IF(MID($AB311,5,1)="-",DATE(VALUE(LEFT($AB311,4)),VALUE(MID($AB311,6,2)),VALUE(RIGHT($AB311,2))),DATE(VALUE(RIGHT($AB311,4)),VALUE(MID($AB311,4,2)),VALUE(LEFT($AB311,2)))))</f>
        <v>45393</v>
      </c>
      <c r="C311" s="61" t="n">
        <f aca="false">YEAR($B311)</f>
        <v>2024</v>
      </c>
      <c r="D311" s="61" t="str">
        <f aca="false">"Q"&amp;ROUNDUP(MONTH($B311)/3,0)</f>
        <v>Q2</v>
      </c>
      <c r="E311" s="61" t="n">
        <f aca="false">MONTH($B311)</f>
        <v>4</v>
      </c>
      <c r="F311" s="61" t="str">
        <f aca="false">INDEX(Parametros!$I$5:$I$16,$E311)</f>
        <v>Abr</v>
      </c>
      <c r="G311" s="61" t="str">
        <f aca="false">TEXT($C311,"0000")&amp;"-"&amp;TEXT($E311,"00")</f>
        <v>2024-04</v>
      </c>
      <c r="H311" s="61" t="str">
        <f aca="false">INDEX(Parametros!$C$71:$C$91,MATCH(TRIM(INDEX(Datos_Origen!$C$2:$C$2459,$Z311)),Parametros!$B$71:$B$91,0))</f>
        <v>AMBA</v>
      </c>
      <c r="I311" s="61" t="str">
        <f aca="false">IF(TRIM($AD311)="",INDEX(Parametros!$I$20:$I$24,MATCH($H311,Parametros!$H$20:$H$24,0)),TRIM($AD311))</f>
        <v>Buenos Aires</v>
      </c>
      <c r="J311" s="61" t="str">
        <f aca="false">INDEX(Parametros!$C$95:$C$106,MATCH(TRIM(INDEX(Datos_Origen!$E$2:$E$2459,$Z311)),Parametros!$B$95:$B$106,0))</f>
        <v>E-commerce</v>
      </c>
      <c r="K311" s="61" t="str">
        <f aca="false">INDEX(Parametros!$C$48:$C$67,MATCH(TRIM(INDEX(Datos_Origen!$F$2:$F$2459,$Z311)),Parametros!$B$48:$B$67,0))</f>
        <v>Accesorios</v>
      </c>
      <c r="L311" s="61" t="str">
        <f aca="false">$K311&amp;" "&amp;$C311</f>
        <v>Accesorios 2024</v>
      </c>
      <c r="M311" s="61" t="str">
        <f aca="false">TRIM(INDEX(Datos_Origen!$G$2:$G$2459,$Z311))</f>
        <v>Teclado Mecanico</v>
      </c>
      <c r="N311" s="61" t="str">
        <f aca="false">$M311&amp;" "&amp;$C311</f>
        <v>Teclado Mecanico 2024</v>
      </c>
      <c r="O311" s="63" t="n">
        <f aca="false">IF(ISTEXT($AC311),VALUE($AC311),$AC311)</f>
        <v>35</v>
      </c>
      <c r="P311" s="64" t="n">
        <f aca="false">INDEX(Datos_Origen!$I$2:$I$2459,$Z311)</f>
        <v>93.1</v>
      </c>
      <c r="Q311" s="64" t="n">
        <f aca="false">INDEX(Datos_Origen!$J$2:$J$2459,$Z311)</f>
        <v>47.98</v>
      </c>
      <c r="R311" s="65" t="n">
        <f aca="false">ROUND($O311*$P311,2)</f>
        <v>3258.5</v>
      </c>
      <c r="S311" s="65" t="n">
        <f aca="false">ROUND($O311*$Q311,2)</f>
        <v>1679.3</v>
      </c>
      <c r="T311" s="65" t="n">
        <f aca="false">ROUND($R311*SUMIFS(Parametros!$E$28:$E$43,Parametros!$B$28:$B$43,$J311,Parametros!$C$28:$C$43,$C311,Parametros!$D$28:$D$43,$D311),2)</f>
        <v>143.37</v>
      </c>
      <c r="U311" s="65" t="n">
        <f aca="false">$R311-$S311-$T311</f>
        <v>1435.83</v>
      </c>
      <c r="V311" s="66" t="n">
        <f aca="false">IFERROR($U311/$R311,0)</f>
        <v>0.44064139941691</v>
      </c>
      <c r="W311" s="67" t="str">
        <f aca="false">IF(AND($V311&gt;=Parametros!$C$8,$R311&gt;=Parametros!$C$12),"Alta rentabilidad",IF(OR($V311&lt;Parametros!$C$11,$R311&lt;Parametros!$C$13),"Revisar","Estandar"))</f>
        <v>Alta rentabilidad</v>
      </c>
      <c r="X311" s="67" t="str">
        <f aca="false">IF(AND($J311="E-commerce",IFERROR($T311/$R311,0)&gt;Parametros!$C$14),"Alerta","OK")</f>
        <v>OK</v>
      </c>
      <c r="Y311" s="61" t="str">
        <f aca="false">IF($R311&gt;=Parametros!$C$12,"Alto",IF($R311&lt;Parametros!$C$13,"Bajo","Medio"))</f>
        <v>Alto</v>
      </c>
      <c r="Z311" s="61" t="n">
        <v>530</v>
      </c>
      <c r="AA311" s="61" t="str">
        <f aca="false">IF(MATCH($A311,Datos_Origen!$A$2:$A$2459,0)=$Z311,"OK","REVISAR")</f>
        <v>OK</v>
      </c>
      <c r="AB311" s="61" t="str">
        <f aca="false">INDEX(Datos_Origen!$B$2:$B$2459,$Z311)</f>
        <v>2024-04-11</v>
      </c>
      <c r="AC311" s="61" t="n">
        <f aca="false">INDEX(Datos_Origen!$H$2:$H$2459,$Z311)</f>
        <v>35</v>
      </c>
      <c r="AD311" s="61" t="str">
        <f aca="false">INDEX(Datos_Origen!$D$2:$D$2459,$Z311)&amp;""</f>
        <v>Buenos Aires</v>
      </c>
    </row>
    <row r="312" customFormat="false" ht="15" hidden="false" customHeight="false" outlineLevel="0" collapsed="false">
      <c r="A312" s="61" t="n">
        <f aca="false">INDEX(Datos_Origen!$A$2:$A$2459,$Z312)</f>
        <v>311</v>
      </c>
      <c r="B312" s="62" t="n">
        <f aca="false">IF(ISNUMBER($AB312),$AB312,IF(MID($AB312,5,1)="-",DATE(VALUE(LEFT($AB312,4)),VALUE(MID($AB312,6,2)),VALUE(RIGHT($AB312,2))),DATE(VALUE(RIGHT($AB312,4)),VALUE(MID($AB312,4,2)),VALUE(LEFT($AB312,2)))))</f>
        <v>45400</v>
      </c>
      <c r="C312" s="61" t="n">
        <f aca="false">YEAR($B312)</f>
        <v>2024</v>
      </c>
      <c r="D312" s="61" t="str">
        <f aca="false">"Q"&amp;ROUNDUP(MONTH($B312)/3,0)</f>
        <v>Q2</v>
      </c>
      <c r="E312" s="61" t="n">
        <f aca="false">MONTH($B312)</f>
        <v>4</v>
      </c>
      <c r="F312" s="61" t="str">
        <f aca="false">INDEX(Parametros!$I$5:$I$16,$E312)</f>
        <v>Abr</v>
      </c>
      <c r="G312" s="61" t="str">
        <f aca="false">TEXT($C312,"0000")&amp;"-"&amp;TEXT($E312,"00")</f>
        <v>2024-04</v>
      </c>
      <c r="H312" s="61" t="str">
        <f aca="false">INDEX(Parametros!$C$71:$C$91,MATCH(TRIM(INDEX(Datos_Origen!$C$2:$C$2459,$Z312)),Parametros!$B$71:$B$91,0))</f>
        <v>AMBA</v>
      </c>
      <c r="I312" s="61" t="str">
        <f aca="false">IF(TRIM($AD312)="",INDEX(Parametros!$I$20:$I$24,MATCH($H312,Parametros!$H$20:$H$24,0)),TRIM($AD312))</f>
        <v>Buenos Aires</v>
      </c>
      <c r="J312" s="61" t="str">
        <f aca="false">INDEX(Parametros!$C$95:$C$106,MATCH(TRIM(INDEX(Datos_Origen!$E$2:$E$2459,$Z312)),Parametros!$B$95:$B$106,0))</f>
        <v>Tienda fisica</v>
      </c>
      <c r="K312" s="61" t="str">
        <f aca="false">INDEX(Parametros!$C$48:$C$67,MATCH(TRIM(INDEX(Datos_Origen!$F$2:$F$2459,$Z312)),Parametros!$B$48:$B$67,0))</f>
        <v>Accesorios</v>
      </c>
      <c r="L312" s="61" t="str">
        <f aca="false">$K312&amp;" "&amp;$C312</f>
        <v>Accesorios 2024</v>
      </c>
      <c r="M312" s="61" t="str">
        <f aca="false">TRIM(INDEX(Datos_Origen!$G$2:$G$2459,$Z312))</f>
        <v>Webcam Full HD</v>
      </c>
      <c r="N312" s="61" t="str">
        <f aca="false">$M312&amp;" "&amp;$C312</f>
        <v>Webcam Full HD 2024</v>
      </c>
      <c r="O312" s="63" t="n">
        <f aca="false">IF(ISTEXT($AC312),VALUE($AC312),$AC312)</f>
        <v>104</v>
      </c>
      <c r="P312" s="64" t="n">
        <f aca="false">INDEX(Datos_Origen!$I$2:$I$2459,$Z312)</f>
        <v>63.7</v>
      </c>
      <c r="Q312" s="64" t="n">
        <f aca="false">INDEX(Datos_Origen!$J$2:$J$2459,$Z312)</f>
        <v>35.43</v>
      </c>
      <c r="R312" s="65" t="n">
        <f aca="false">ROUND($O312*$P312,2)</f>
        <v>6624.8</v>
      </c>
      <c r="S312" s="65" t="n">
        <f aca="false">ROUND($O312*$Q312,2)</f>
        <v>3684.72</v>
      </c>
      <c r="T312" s="65" t="n">
        <f aca="false">ROUND($R312*SUMIFS(Parametros!$E$28:$E$43,Parametros!$B$28:$B$43,$J312,Parametros!$C$28:$C$43,$C312,Parametros!$D$28:$D$43,$D312),2)</f>
        <v>79.5</v>
      </c>
      <c r="U312" s="65" t="n">
        <f aca="false">$R312-$S312-$T312</f>
        <v>2860.58</v>
      </c>
      <c r="V312" s="66" t="n">
        <f aca="false">IFERROR($U312/$R312,0)</f>
        <v>0.431798695809685</v>
      </c>
      <c r="W312" s="67" t="str">
        <f aca="false">IF(AND($V312&gt;=Parametros!$C$8,$R312&gt;=Parametros!$C$12),"Alta rentabilidad",IF(OR($V312&lt;Parametros!$C$11,$R312&lt;Parametros!$C$13),"Revisar","Estandar"))</f>
        <v>Alta rentabilidad</v>
      </c>
      <c r="X312" s="67" t="str">
        <f aca="false">IF(AND($J312="E-commerce",IFERROR($T312/$R312,0)&gt;Parametros!$C$14),"Alerta","OK")</f>
        <v>OK</v>
      </c>
      <c r="Y312" s="61" t="str">
        <f aca="false">IF($R312&gt;=Parametros!$C$12,"Alto",IF($R312&lt;Parametros!$C$13,"Bajo","Medio"))</f>
        <v>Alto</v>
      </c>
      <c r="Z312" s="61" t="n">
        <v>518</v>
      </c>
      <c r="AA312" s="61" t="str">
        <f aca="false">IF(MATCH($A312,Datos_Origen!$A$2:$A$2459,0)=$Z312,"OK","REVISAR")</f>
        <v>OK</v>
      </c>
      <c r="AB312" s="62" t="n">
        <f aca="false">INDEX(Datos_Origen!$B$2:$B$2459,$Z312)</f>
        <v>45400</v>
      </c>
      <c r="AC312" s="61" t="n">
        <f aca="false">INDEX(Datos_Origen!$H$2:$H$2459,$Z312)</f>
        <v>104</v>
      </c>
      <c r="AD312" s="61" t="str">
        <f aca="false">INDEX(Datos_Origen!$D$2:$D$2459,$Z312)&amp;""</f>
        <v>Buenos Aires</v>
      </c>
    </row>
    <row r="313" customFormat="false" ht="15" hidden="false" customHeight="false" outlineLevel="0" collapsed="false">
      <c r="A313" s="61" t="n">
        <f aca="false">INDEX(Datos_Origen!$A$2:$A$2459,$Z313)</f>
        <v>312</v>
      </c>
      <c r="B313" s="62" t="n">
        <f aca="false">IF(ISNUMBER($AB313),$AB313,IF(MID($AB313,5,1)="-",DATE(VALUE(LEFT($AB313,4)),VALUE(MID($AB313,6,2)),VALUE(RIGHT($AB313,2))),DATE(VALUE(RIGHT($AB313,4)),VALUE(MID($AB313,4,2)),VALUE(LEFT($AB313,2)))))</f>
        <v>45407</v>
      </c>
      <c r="C313" s="61" t="n">
        <f aca="false">YEAR($B313)</f>
        <v>2024</v>
      </c>
      <c r="D313" s="61" t="str">
        <f aca="false">"Q"&amp;ROUNDUP(MONTH($B313)/3,0)</f>
        <v>Q2</v>
      </c>
      <c r="E313" s="61" t="n">
        <f aca="false">MONTH($B313)</f>
        <v>4</v>
      </c>
      <c r="F313" s="61" t="str">
        <f aca="false">INDEX(Parametros!$I$5:$I$16,$E313)</f>
        <v>Abr</v>
      </c>
      <c r="G313" s="61" t="str">
        <f aca="false">TEXT($C313,"0000")&amp;"-"&amp;TEXT($E313,"00")</f>
        <v>2024-04</v>
      </c>
      <c r="H313" s="61" t="str">
        <f aca="false">INDEX(Parametros!$C$71:$C$91,MATCH(TRIM(INDEX(Datos_Origen!$C$2:$C$2459,$Z313)),Parametros!$B$71:$B$91,0))</f>
        <v>AMBA</v>
      </c>
      <c r="I313" s="61" t="str">
        <f aca="false">IF(TRIM($AD313)="",INDEX(Parametros!$I$20:$I$24,MATCH($H313,Parametros!$H$20:$H$24,0)),TRIM($AD313))</f>
        <v>Buenos Aires</v>
      </c>
      <c r="J313" s="61" t="str">
        <f aca="false">INDEX(Parametros!$C$95:$C$106,MATCH(TRIM(INDEX(Datos_Origen!$E$2:$E$2459,$Z313)),Parametros!$B$95:$B$106,0))</f>
        <v>E-commerce</v>
      </c>
      <c r="K313" s="61" t="str">
        <f aca="false">INDEX(Parametros!$C$48:$C$67,MATCH(TRIM(INDEX(Datos_Origen!$F$2:$F$2459,$Z313)),Parametros!$B$48:$B$67,0))</f>
        <v>Accesorios</v>
      </c>
      <c r="L313" s="61" t="str">
        <f aca="false">$K313&amp;" "&amp;$C313</f>
        <v>Accesorios 2024</v>
      </c>
      <c r="M313" s="61" t="str">
        <f aca="false">TRIM(INDEX(Datos_Origen!$G$2:$G$2459,$Z313))</f>
        <v>Webcam Full HD</v>
      </c>
      <c r="N313" s="61" t="str">
        <f aca="false">$M313&amp;" "&amp;$C313</f>
        <v>Webcam Full HD 2024</v>
      </c>
      <c r="O313" s="63" t="n">
        <f aca="false">IF(ISTEXT($AC313),VALUE($AC313),$AC313)</f>
        <v>37</v>
      </c>
      <c r="P313" s="64" t="n">
        <f aca="false">INDEX(Datos_Origen!$I$2:$I$2459,$Z313)</f>
        <v>63.7</v>
      </c>
      <c r="Q313" s="64" t="n">
        <f aca="false">INDEX(Datos_Origen!$J$2:$J$2459,$Z313)</f>
        <v>35.43</v>
      </c>
      <c r="R313" s="65" t="n">
        <f aca="false">ROUND($O313*$P313,2)</f>
        <v>2356.9</v>
      </c>
      <c r="S313" s="65" t="n">
        <f aca="false">ROUND($O313*$Q313,2)</f>
        <v>1310.91</v>
      </c>
      <c r="T313" s="65" t="n">
        <f aca="false">ROUND($R313*SUMIFS(Parametros!$E$28:$E$43,Parametros!$B$28:$B$43,$J313,Parametros!$C$28:$C$43,$C313,Parametros!$D$28:$D$43,$D313),2)</f>
        <v>103.7</v>
      </c>
      <c r="U313" s="65" t="n">
        <f aca="false">$R313-$S313-$T313</f>
        <v>942.29</v>
      </c>
      <c r="V313" s="66" t="n">
        <f aca="false">IFERROR($U313/$R313,0)</f>
        <v>0.399800585514871</v>
      </c>
      <c r="W313" s="67" t="str">
        <f aca="false">IF(AND($V313&gt;=Parametros!$C$8,$R313&gt;=Parametros!$C$12),"Alta rentabilidad",IF(OR($V313&lt;Parametros!$C$11,$R313&lt;Parametros!$C$13),"Revisar","Estandar"))</f>
        <v>Estandar</v>
      </c>
      <c r="X313" s="67" t="str">
        <f aca="false">IF(AND($J313="E-commerce",IFERROR($T313/$R313,0)&gt;Parametros!$C$14),"Alerta","OK")</f>
        <v>OK</v>
      </c>
      <c r="Y313" s="61" t="str">
        <f aca="false">IF($R313&gt;=Parametros!$C$12,"Alto",IF($R313&lt;Parametros!$C$13,"Bajo","Medio"))</f>
        <v>Medio</v>
      </c>
      <c r="Z313" s="61" t="n">
        <v>82</v>
      </c>
      <c r="AA313" s="61" t="str">
        <f aca="false">IF(MATCH($A313,Datos_Origen!$A$2:$A$2459,0)=$Z313,"OK","REVISAR")</f>
        <v>OK</v>
      </c>
      <c r="AB313" s="61" t="str">
        <f aca="false">INDEX(Datos_Origen!$B$2:$B$2459,$Z313)</f>
        <v>25/04/2024</v>
      </c>
      <c r="AC313" s="61" t="n">
        <f aca="false">INDEX(Datos_Origen!$H$2:$H$2459,$Z313)</f>
        <v>37</v>
      </c>
      <c r="AD313" s="61" t="str">
        <f aca="false">INDEX(Datos_Origen!$D$2:$D$2459,$Z313)&amp;""</f>
        <v>Buenos Aires</v>
      </c>
    </row>
    <row r="314" customFormat="false" ht="15" hidden="false" customHeight="false" outlineLevel="0" collapsed="false">
      <c r="A314" s="61" t="n">
        <f aca="false">INDEX(Datos_Origen!$A$2:$A$2459,$Z314)</f>
        <v>313</v>
      </c>
      <c r="B314" s="62" t="n">
        <f aca="false">IF(ISNUMBER($AB314),$AB314,IF(MID($AB314,5,1)="-",DATE(VALUE(LEFT($AB314,4)),VALUE(MID($AB314,6,2)),VALUE(RIGHT($AB314,2))),DATE(VALUE(RIGHT($AB314,4)),VALUE(MID($AB314,4,2)),VALUE(LEFT($AB314,2)))))</f>
        <v>45387</v>
      </c>
      <c r="C314" s="61" t="n">
        <f aca="false">YEAR($B314)</f>
        <v>2024</v>
      </c>
      <c r="D314" s="61" t="str">
        <f aca="false">"Q"&amp;ROUNDUP(MONTH($B314)/3,0)</f>
        <v>Q2</v>
      </c>
      <c r="E314" s="61" t="n">
        <f aca="false">MONTH($B314)</f>
        <v>4</v>
      </c>
      <c r="F314" s="61" t="str">
        <f aca="false">INDEX(Parametros!$I$5:$I$16,$E314)</f>
        <v>Abr</v>
      </c>
      <c r="G314" s="61" t="str">
        <f aca="false">TEXT($C314,"0000")&amp;"-"&amp;TEXT($E314,"00")</f>
        <v>2024-04</v>
      </c>
      <c r="H314" s="61" t="str">
        <f aca="false">INDEX(Parametros!$C$71:$C$91,MATCH(TRIM(INDEX(Datos_Origen!$C$2:$C$2459,$Z314)),Parametros!$B$71:$B$91,0))</f>
        <v>AMBA</v>
      </c>
      <c r="I314" s="61" t="str">
        <f aca="false">IF(TRIM($AD314)="",INDEX(Parametros!$I$20:$I$24,MATCH($H314,Parametros!$H$20:$H$24,0)),TRIM($AD314))</f>
        <v>Buenos Aires</v>
      </c>
      <c r="J314" s="61" t="str">
        <f aca="false">INDEX(Parametros!$C$95:$C$106,MATCH(TRIM(INDEX(Datos_Origen!$E$2:$E$2459,$Z314)),Parametros!$B$95:$B$106,0))</f>
        <v>Tienda fisica</v>
      </c>
      <c r="K314" s="61" t="str">
        <f aca="false">INDEX(Parametros!$C$48:$C$67,MATCH(TRIM(INDEX(Datos_Origen!$F$2:$F$2459,$Z314)),Parametros!$B$48:$B$67,0))</f>
        <v>Audio</v>
      </c>
      <c r="L314" s="61" t="str">
        <f aca="false">$K314&amp;" "&amp;$C314</f>
        <v>Audio 2024</v>
      </c>
      <c r="M314" s="61" t="str">
        <f aca="false">TRIM(INDEX(Datos_Origen!$G$2:$G$2459,$Z314))</f>
        <v>Auriculares BT Pro</v>
      </c>
      <c r="N314" s="61" t="str">
        <f aca="false">$M314&amp;" "&amp;$C314</f>
        <v>Auriculares BT Pro 2024</v>
      </c>
      <c r="O314" s="63" t="n">
        <f aca="false">IF(ISTEXT($AC314),VALUE($AC314),$AC314)</f>
        <v>46</v>
      </c>
      <c r="P314" s="64" t="n">
        <f aca="false">INDEX(Datos_Origen!$I$2:$I$2459,$Z314)</f>
        <v>117.6</v>
      </c>
      <c r="Q314" s="64" t="n">
        <f aca="false">INDEX(Datos_Origen!$J$2:$J$2459,$Z314)</f>
        <v>63.6</v>
      </c>
      <c r="R314" s="65" t="n">
        <f aca="false">ROUND($O314*$P314,2)</f>
        <v>5409.6</v>
      </c>
      <c r="S314" s="65" t="n">
        <f aca="false">ROUND($O314*$Q314,2)</f>
        <v>2925.6</v>
      </c>
      <c r="T314" s="65" t="n">
        <f aca="false">ROUND($R314*SUMIFS(Parametros!$E$28:$E$43,Parametros!$B$28:$B$43,$J314,Parametros!$C$28:$C$43,$C314,Parametros!$D$28:$D$43,$D314),2)</f>
        <v>64.92</v>
      </c>
      <c r="U314" s="65" t="n">
        <f aca="false">$R314-$S314-$T314</f>
        <v>2419.08</v>
      </c>
      <c r="V314" s="66" t="n">
        <f aca="false">IFERROR($U314/$R314,0)</f>
        <v>0.447182786157942</v>
      </c>
      <c r="W314" s="67" t="str">
        <f aca="false">IF(AND($V314&gt;=Parametros!$C$8,$R314&gt;=Parametros!$C$12),"Alta rentabilidad",IF(OR($V314&lt;Parametros!$C$11,$R314&lt;Parametros!$C$13),"Revisar","Estandar"))</f>
        <v>Alta rentabilidad</v>
      </c>
      <c r="X314" s="67" t="str">
        <f aca="false">IF(AND($J314="E-commerce",IFERROR($T314/$R314,0)&gt;Parametros!$C$14),"Alerta","OK")</f>
        <v>OK</v>
      </c>
      <c r="Y314" s="61" t="str">
        <f aca="false">IF($R314&gt;=Parametros!$C$12,"Alto",IF($R314&lt;Parametros!$C$13,"Bajo","Medio"))</f>
        <v>Alto</v>
      </c>
      <c r="Z314" s="61" t="n">
        <v>952</v>
      </c>
      <c r="AA314" s="61" t="str">
        <f aca="false">IF(MATCH($A314,Datos_Origen!$A$2:$A$2459,0)=$Z314,"OK","REVISAR")</f>
        <v>OK</v>
      </c>
      <c r="AB314" s="62" t="n">
        <f aca="false">INDEX(Datos_Origen!$B$2:$B$2459,$Z314)</f>
        <v>45387</v>
      </c>
      <c r="AC314" s="61" t="n">
        <f aca="false">INDEX(Datos_Origen!$H$2:$H$2459,$Z314)</f>
        <v>46</v>
      </c>
      <c r="AD314" s="61" t="str">
        <f aca="false">INDEX(Datos_Origen!$D$2:$D$2459,$Z314)&amp;""</f>
        <v>Buenos Aires</v>
      </c>
    </row>
    <row r="315" customFormat="false" ht="15" hidden="false" customHeight="false" outlineLevel="0" collapsed="false">
      <c r="A315" s="61" t="n">
        <f aca="false">INDEX(Datos_Origen!$A$2:$A$2459,$Z315)</f>
        <v>314</v>
      </c>
      <c r="B315" s="62" t="n">
        <f aca="false">IF(ISNUMBER($AB315),$AB315,IF(MID($AB315,5,1)="-",DATE(VALUE(LEFT($AB315,4)),VALUE(MID($AB315,6,2)),VALUE(RIGHT($AB315,2))),DATE(VALUE(RIGHT($AB315,4)),VALUE(MID($AB315,4,2)),VALUE(LEFT($AB315,2)))))</f>
        <v>45394</v>
      </c>
      <c r="C315" s="61" t="n">
        <f aca="false">YEAR($B315)</f>
        <v>2024</v>
      </c>
      <c r="D315" s="61" t="str">
        <f aca="false">"Q"&amp;ROUNDUP(MONTH($B315)/3,0)</f>
        <v>Q2</v>
      </c>
      <c r="E315" s="61" t="n">
        <f aca="false">MONTH($B315)</f>
        <v>4</v>
      </c>
      <c r="F315" s="61" t="str">
        <f aca="false">INDEX(Parametros!$I$5:$I$16,$E315)</f>
        <v>Abr</v>
      </c>
      <c r="G315" s="61" t="str">
        <f aca="false">TEXT($C315,"0000")&amp;"-"&amp;TEXT($E315,"00")</f>
        <v>2024-04</v>
      </c>
      <c r="H315" s="61" t="str">
        <f aca="false">INDEX(Parametros!$C$71:$C$91,MATCH(TRIM(INDEX(Datos_Origen!$C$2:$C$2459,$Z315)),Parametros!$B$71:$B$91,0))</f>
        <v>AMBA</v>
      </c>
      <c r="I315" s="61" t="str">
        <f aca="false">IF(TRIM($AD315)="",INDEX(Parametros!$I$20:$I$24,MATCH($H315,Parametros!$H$20:$H$24,0)),TRIM($AD315))</f>
        <v>Buenos Aires</v>
      </c>
      <c r="J315" s="61" t="str">
        <f aca="false">INDEX(Parametros!$C$95:$C$106,MATCH(TRIM(INDEX(Datos_Origen!$E$2:$E$2459,$Z315)),Parametros!$B$95:$B$106,0))</f>
        <v>E-commerce</v>
      </c>
      <c r="K315" s="61" t="str">
        <f aca="false">INDEX(Parametros!$C$48:$C$67,MATCH(TRIM(INDEX(Datos_Origen!$F$2:$F$2459,$Z315)),Parametros!$B$48:$B$67,0))</f>
        <v>Audio</v>
      </c>
      <c r="L315" s="61" t="str">
        <f aca="false">$K315&amp;" "&amp;$C315</f>
        <v>Audio 2024</v>
      </c>
      <c r="M315" s="61" t="str">
        <f aca="false">TRIM(INDEX(Datos_Origen!$G$2:$G$2459,$Z315))</f>
        <v>Auriculares BT Pro</v>
      </c>
      <c r="N315" s="61" t="str">
        <f aca="false">$M315&amp;" "&amp;$C315</f>
        <v>Auriculares BT Pro 2024</v>
      </c>
      <c r="O315" s="63" t="n">
        <f aca="false">IF(ISTEXT($AC315),VALUE($AC315),$AC315)</f>
        <v>18</v>
      </c>
      <c r="P315" s="64" t="n">
        <f aca="false">INDEX(Datos_Origen!$I$2:$I$2459,$Z315)</f>
        <v>117.6</v>
      </c>
      <c r="Q315" s="64" t="n">
        <f aca="false">INDEX(Datos_Origen!$J$2:$J$2459,$Z315)</f>
        <v>63.6</v>
      </c>
      <c r="R315" s="65" t="n">
        <f aca="false">ROUND($O315*$P315,2)</f>
        <v>2116.8</v>
      </c>
      <c r="S315" s="65" t="n">
        <f aca="false">ROUND($O315*$Q315,2)</f>
        <v>1144.8</v>
      </c>
      <c r="T315" s="65" t="n">
        <f aca="false">ROUND($R315*SUMIFS(Parametros!$E$28:$E$43,Parametros!$B$28:$B$43,$J315,Parametros!$C$28:$C$43,$C315,Parametros!$D$28:$D$43,$D315),2)</f>
        <v>93.14</v>
      </c>
      <c r="U315" s="65" t="n">
        <f aca="false">$R315-$S315-$T315</f>
        <v>878.86</v>
      </c>
      <c r="V315" s="66" t="n">
        <f aca="false">IFERROR($U315/$R315,0)</f>
        <v>0.415183295540439</v>
      </c>
      <c r="W315" s="67" t="str">
        <f aca="false">IF(AND($V315&gt;=Parametros!$C$8,$R315&gt;=Parametros!$C$12),"Alta rentabilidad",IF(OR($V315&lt;Parametros!$C$11,$R315&lt;Parametros!$C$13),"Revisar","Estandar"))</f>
        <v>Estandar</v>
      </c>
      <c r="X315" s="67" t="str">
        <f aca="false">IF(AND($J315="E-commerce",IFERROR($T315/$R315,0)&gt;Parametros!$C$14),"Alerta","OK")</f>
        <v>OK</v>
      </c>
      <c r="Y315" s="61" t="str">
        <f aca="false">IF($R315&gt;=Parametros!$C$12,"Alto",IF($R315&lt;Parametros!$C$13,"Bajo","Medio"))</f>
        <v>Medio</v>
      </c>
      <c r="Z315" s="61" t="n">
        <v>2288</v>
      </c>
      <c r="AA315" s="61" t="str">
        <f aca="false">IF(MATCH($A315,Datos_Origen!$A$2:$A$2459,0)=$Z315,"OK","REVISAR")</f>
        <v>OK</v>
      </c>
      <c r="AB315" s="62" t="n">
        <f aca="false">INDEX(Datos_Origen!$B$2:$B$2459,$Z315)</f>
        <v>45394</v>
      </c>
      <c r="AC315" s="61" t="n">
        <f aca="false">INDEX(Datos_Origen!$H$2:$H$2459,$Z315)</f>
        <v>18</v>
      </c>
      <c r="AD315" s="61" t="str">
        <f aca="false">INDEX(Datos_Origen!$D$2:$D$2459,$Z315)&amp;""</f>
        <v>Buenos Aires</v>
      </c>
    </row>
    <row r="316" customFormat="false" ht="15" hidden="false" customHeight="false" outlineLevel="0" collapsed="false">
      <c r="A316" s="61" t="n">
        <f aca="false">INDEX(Datos_Origen!$A$2:$A$2459,$Z316)</f>
        <v>315</v>
      </c>
      <c r="B316" s="62" t="n">
        <f aca="false">IF(ISNUMBER($AB316),$AB316,IF(MID($AB316,5,1)="-",DATE(VALUE(LEFT($AB316,4)),VALUE(MID($AB316,6,2)),VALUE(RIGHT($AB316,2))),DATE(VALUE(RIGHT($AB316,4)),VALUE(MID($AB316,4,2)),VALUE(LEFT($AB316,2)))))</f>
        <v>45401</v>
      </c>
      <c r="C316" s="61" t="n">
        <f aca="false">YEAR($B316)</f>
        <v>2024</v>
      </c>
      <c r="D316" s="61" t="str">
        <f aca="false">"Q"&amp;ROUNDUP(MONTH($B316)/3,0)</f>
        <v>Q2</v>
      </c>
      <c r="E316" s="61" t="n">
        <f aca="false">MONTH($B316)</f>
        <v>4</v>
      </c>
      <c r="F316" s="61" t="str">
        <f aca="false">INDEX(Parametros!$I$5:$I$16,$E316)</f>
        <v>Abr</v>
      </c>
      <c r="G316" s="61" t="str">
        <f aca="false">TEXT($C316,"0000")&amp;"-"&amp;TEXT($E316,"00")</f>
        <v>2024-04</v>
      </c>
      <c r="H316" s="61" t="str">
        <f aca="false">INDEX(Parametros!$C$71:$C$91,MATCH(TRIM(INDEX(Datos_Origen!$C$2:$C$2459,$Z316)),Parametros!$B$71:$B$91,0))</f>
        <v>AMBA</v>
      </c>
      <c r="I316" s="61" t="str">
        <f aca="false">IF(TRIM($AD316)="",INDEX(Parametros!$I$20:$I$24,MATCH($H316,Parametros!$H$20:$H$24,0)),TRIM($AD316))</f>
        <v>Buenos Aires</v>
      </c>
      <c r="J316" s="61" t="str">
        <f aca="false">INDEX(Parametros!$C$95:$C$106,MATCH(TRIM(INDEX(Datos_Origen!$E$2:$E$2459,$Z316)),Parametros!$B$95:$B$106,0))</f>
        <v>Tienda fisica</v>
      </c>
      <c r="K316" s="61" t="str">
        <f aca="false">INDEX(Parametros!$C$48:$C$67,MATCH(TRIM(INDEX(Datos_Origen!$F$2:$F$2459,$Z316)),Parametros!$B$48:$B$67,0))</f>
        <v>Audio</v>
      </c>
      <c r="L316" s="61" t="str">
        <f aca="false">$K316&amp;" "&amp;$C316</f>
        <v>Audio 2024</v>
      </c>
      <c r="M316" s="61" t="str">
        <f aca="false">TRIM(INDEX(Datos_Origen!$G$2:$G$2459,$Z316))</f>
        <v>Parlante Bluetooth</v>
      </c>
      <c r="N316" s="61" t="str">
        <f aca="false">$M316&amp;" "&amp;$C316</f>
        <v>Parlante Bluetooth 2024</v>
      </c>
      <c r="O316" s="63" t="n">
        <f aca="false">IF(ISTEXT($AC316),VALUE($AC316),$AC316)</f>
        <v>35</v>
      </c>
      <c r="P316" s="64" t="n">
        <f aca="false">INDEX(Datos_Origen!$I$2:$I$2459,$Z316)</f>
        <v>83.3</v>
      </c>
      <c r="Q316" s="64" t="n">
        <f aca="false">INDEX(Datos_Origen!$J$2:$J$2459,$Z316)</f>
        <v>48.03</v>
      </c>
      <c r="R316" s="65" t="n">
        <f aca="false">ROUND($O316*$P316,2)</f>
        <v>2915.5</v>
      </c>
      <c r="S316" s="65" t="n">
        <f aca="false">ROUND($O316*$Q316,2)</f>
        <v>1681.05</v>
      </c>
      <c r="T316" s="65" t="n">
        <f aca="false">ROUND($R316*SUMIFS(Parametros!$E$28:$E$43,Parametros!$B$28:$B$43,$J316,Parametros!$C$28:$C$43,$C316,Parametros!$D$28:$D$43,$D316),2)</f>
        <v>34.99</v>
      </c>
      <c r="U316" s="65" t="n">
        <f aca="false">$R316-$S316-$T316</f>
        <v>1199.46</v>
      </c>
      <c r="V316" s="66" t="n">
        <f aca="false">IFERROR($U316/$R316,0)</f>
        <v>0.411407991768136</v>
      </c>
      <c r="W316" s="67" t="str">
        <f aca="false">IF(AND($V316&gt;=Parametros!$C$8,$R316&gt;=Parametros!$C$12),"Alta rentabilidad",IF(OR($V316&lt;Parametros!$C$11,$R316&lt;Parametros!$C$13),"Revisar","Estandar"))</f>
        <v>Estandar</v>
      </c>
      <c r="X316" s="67" t="str">
        <f aca="false">IF(AND($J316="E-commerce",IFERROR($T316/$R316,0)&gt;Parametros!$C$14),"Alerta","OK")</f>
        <v>OK</v>
      </c>
      <c r="Y316" s="61" t="str">
        <f aca="false">IF($R316&gt;=Parametros!$C$12,"Alto",IF($R316&lt;Parametros!$C$13,"Bajo","Medio"))</f>
        <v>Medio</v>
      </c>
      <c r="Z316" s="61" t="n">
        <v>1582</v>
      </c>
      <c r="AA316" s="61" t="str">
        <f aca="false">IF(MATCH($A316,Datos_Origen!$A$2:$A$2459,0)=$Z316,"OK","REVISAR")</f>
        <v>OK</v>
      </c>
      <c r="AB316" s="61" t="str">
        <f aca="false">INDEX(Datos_Origen!$B$2:$B$2459,$Z316)</f>
        <v>2024-04-19</v>
      </c>
      <c r="AC316" s="61" t="n">
        <f aca="false">INDEX(Datos_Origen!$H$2:$H$2459,$Z316)</f>
        <v>35</v>
      </c>
      <c r="AD316" s="61" t="str">
        <f aca="false">INDEX(Datos_Origen!$D$2:$D$2459,$Z316)&amp;""</f>
        <v>Buenos Aires</v>
      </c>
    </row>
    <row r="317" customFormat="false" ht="15" hidden="false" customHeight="false" outlineLevel="0" collapsed="false">
      <c r="A317" s="61" t="n">
        <f aca="false">INDEX(Datos_Origen!$A$2:$A$2459,$Z317)</f>
        <v>316</v>
      </c>
      <c r="B317" s="62" t="n">
        <f aca="false">IF(ISNUMBER($AB317),$AB317,IF(MID($AB317,5,1)="-",DATE(VALUE(LEFT($AB317,4)),VALUE(MID($AB317,6,2)),VALUE(RIGHT($AB317,2))),DATE(VALUE(RIGHT($AB317,4)),VALUE(MID($AB317,4,2)),VALUE(LEFT($AB317,2)))))</f>
        <v>45408</v>
      </c>
      <c r="C317" s="61" t="n">
        <f aca="false">YEAR($B317)</f>
        <v>2024</v>
      </c>
      <c r="D317" s="61" t="str">
        <f aca="false">"Q"&amp;ROUNDUP(MONTH($B317)/3,0)</f>
        <v>Q2</v>
      </c>
      <c r="E317" s="61" t="n">
        <f aca="false">MONTH($B317)</f>
        <v>4</v>
      </c>
      <c r="F317" s="61" t="str">
        <f aca="false">INDEX(Parametros!$I$5:$I$16,$E317)</f>
        <v>Abr</v>
      </c>
      <c r="G317" s="61" t="str">
        <f aca="false">TEXT($C317,"0000")&amp;"-"&amp;TEXT($E317,"00")</f>
        <v>2024-04</v>
      </c>
      <c r="H317" s="61" t="str">
        <f aca="false">INDEX(Parametros!$C$71:$C$91,MATCH(TRIM(INDEX(Datos_Origen!$C$2:$C$2459,$Z317)),Parametros!$B$71:$B$91,0))</f>
        <v>AMBA</v>
      </c>
      <c r="I317" s="61" t="str">
        <f aca="false">IF(TRIM($AD317)="",INDEX(Parametros!$I$20:$I$24,MATCH($H317,Parametros!$H$20:$H$24,0)),TRIM($AD317))</f>
        <v>Buenos Aires</v>
      </c>
      <c r="J317" s="61" t="str">
        <f aca="false">INDEX(Parametros!$C$95:$C$106,MATCH(TRIM(INDEX(Datos_Origen!$E$2:$E$2459,$Z317)),Parametros!$B$95:$B$106,0))</f>
        <v>E-commerce</v>
      </c>
      <c r="K317" s="61" t="str">
        <f aca="false">INDEX(Parametros!$C$48:$C$67,MATCH(TRIM(INDEX(Datos_Origen!$F$2:$F$2459,$Z317)),Parametros!$B$48:$B$67,0))</f>
        <v>Audio</v>
      </c>
      <c r="L317" s="61" t="str">
        <f aca="false">$K317&amp;" "&amp;$C317</f>
        <v>Audio 2024</v>
      </c>
      <c r="M317" s="61" t="str">
        <f aca="false">TRIM(INDEX(Datos_Origen!$G$2:$G$2459,$Z317))</f>
        <v>Parlante Bluetooth</v>
      </c>
      <c r="N317" s="61" t="str">
        <f aca="false">$M317&amp;" "&amp;$C317</f>
        <v>Parlante Bluetooth 2024</v>
      </c>
      <c r="O317" s="63" t="n">
        <f aca="false">IF(ISTEXT($AC317),VALUE($AC317),$AC317)</f>
        <v>18</v>
      </c>
      <c r="P317" s="64" t="n">
        <f aca="false">INDEX(Datos_Origen!$I$2:$I$2459,$Z317)</f>
        <v>83.3</v>
      </c>
      <c r="Q317" s="64" t="n">
        <f aca="false">INDEX(Datos_Origen!$J$2:$J$2459,$Z317)</f>
        <v>48.03</v>
      </c>
      <c r="R317" s="65" t="n">
        <f aca="false">ROUND($O317*$P317,2)</f>
        <v>1499.4</v>
      </c>
      <c r="S317" s="65" t="n">
        <f aca="false">ROUND($O317*$Q317,2)</f>
        <v>864.54</v>
      </c>
      <c r="T317" s="65" t="n">
        <f aca="false">ROUND($R317*SUMIFS(Parametros!$E$28:$E$43,Parametros!$B$28:$B$43,$J317,Parametros!$C$28:$C$43,$C317,Parametros!$D$28:$D$43,$D317),2)</f>
        <v>65.97</v>
      </c>
      <c r="U317" s="65" t="n">
        <f aca="false">$R317-$S317-$T317</f>
        <v>568.89</v>
      </c>
      <c r="V317" s="66" t="n">
        <f aca="false">IFERROR($U317/$R317,0)</f>
        <v>0.379411764705882</v>
      </c>
      <c r="W317" s="67" t="str">
        <f aca="false">IF(AND($V317&gt;=Parametros!$C$8,$R317&gt;=Parametros!$C$12),"Alta rentabilidad",IF(OR($V317&lt;Parametros!$C$11,$R317&lt;Parametros!$C$13),"Revisar","Estandar"))</f>
        <v>Estandar</v>
      </c>
      <c r="X317" s="67" t="str">
        <f aca="false">IF(AND($J317="E-commerce",IFERROR($T317/$R317,0)&gt;Parametros!$C$14),"Alerta","OK")</f>
        <v>OK</v>
      </c>
      <c r="Y317" s="61" t="str">
        <f aca="false">IF($R317&gt;=Parametros!$C$12,"Alto",IF($R317&lt;Parametros!$C$13,"Bajo","Medio"))</f>
        <v>Medio</v>
      </c>
      <c r="Z317" s="61" t="n">
        <v>2304</v>
      </c>
      <c r="AA317" s="61" t="str">
        <f aca="false">IF(MATCH($A317,Datos_Origen!$A$2:$A$2459,0)=$Z317,"OK","REVISAR")</f>
        <v>OK</v>
      </c>
      <c r="AB317" s="62" t="n">
        <f aca="false">INDEX(Datos_Origen!$B$2:$B$2459,$Z317)</f>
        <v>45408</v>
      </c>
      <c r="AC317" s="61" t="n">
        <f aca="false">INDEX(Datos_Origen!$H$2:$H$2459,$Z317)</f>
        <v>18</v>
      </c>
      <c r="AD317" s="61" t="str">
        <f aca="false">INDEX(Datos_Origen!$D$2:$D$2459,$Z317)&amp;""</f>
        <v>Buenos Aires</v>
      </c>
    </row>
    <row r="318" customFormat="false" ht="15" hidden="false" customHeight="false" outlineLevel="0" collapsed="false">
      <c r="A318" s="61" t="n">
        <f aca="false">INDEX(Datos_Origen!$A$2:$A$2459,$Z318)</f>
        <v>317</v>
      </c>
      <c r="B318" s="62" t="n">
        <f aca="false">IF(ISNUMBER($AB318),$AB318,IF(MID($AB318,5,1)="-",DATE(VALUE(LEFT($AB318,4)),VALUE(MID($AB318,6,2)),VALUE(RIGHT($AB318,2))),DATE(VALUE(RIGHT($AB318,4)),VALUE(MID($AB318,4,2)),VALUE(LEFT($AB318,2)))))</f>
        <v>45388</v>
      </c>
      <c r="C318" s="61" t="n">
        <f aca="false">YEAR($B318)</f>
        <v>2024</v>
      </c>
      <c r="D318" s="61" t="str">
        <f aca="false">"Q"&amp;ROUNDUP(MONTH($B318)/3,0)</f>
        <v>Q2</v>
      </c>
      <c r="E318" s="61" t="n">
        <f aca="false">MONTH($B318)</f>
        <v>4</v>
      </c>
      <c r="F318" s="61" t="str">
        <f aca="false">INDEX(Parametros!$I$5:$I$16,$E318)</f>
        <v>Abr</v>
      </c>
      <c r="G318" s="61" t="str">
        <f aca="false">TEXT($C318,"0000")&amp;"-"&amp;TEXT($E318,"00")</f>
        <v>2024-04</v>
      </c>
      <c r="H318" s="61" t="str">
        <f aca="false">INDEX(Parametros!$C$71:$C$91,MATCH(TRIM(INDEX(Datos_Origen!$C$2:$C$2459,$Z318)),Parametros!$B$71:$B$91,0))</f>
        <v>AMBA</v>
      </c>
      <c r="I318" s="61" t="str">
        <f aca="false">IF(TRIM($AD318)="",INDEX(Parametros!$I$20:$I$24,MATCH($H318,Parametros!$H$20:$H$24,0)),TRIM($AD318))</f>
        <v>Buenos Aires</v>
      </c>
      <c r="J318" s="61" t="str">
        <f aca="false">INDEX(Parametros!$C$95:$C$106,MATCH(TRIM(INDEX(Datos_Origen!$E$2:$E$2459,$Z318)),Parametros!$B$95:$B$106,0))</f>
        <v>Tienda fisica</v>
      </c>
      <c r="K318" s="61" t="str">
        <f aca="false">INDEX(Parametros!$C$48:$C$67,MATCH(TRIM(INDEX(Datos_Origen!$F$2:$F$2459,$Z318)),Parametros!$B$48:$B$67,0))</f>
        <v>Almacenamiento</v>
      </c>
      <c r="L318" s="61" t="str">
        <f aca="false">$K318&amp;" "&amp;$C318</f>
        <v>Almacenamiento 2024</v>
      </c>
      <c r="M318" s="61" t="str">
        <f aca="false">TRIM(INDEX(Datos_Origen!$G$2:$G$2459,$Z318))</f>
        <v>SSD Externo 1TB</v>
      </c>
      <c r="N318" s="61" t="str">
        <f aca="false">$M318&amp;" "&amp;$C318</f>
        <v>SSD Externo 1TB 2024</v>
      </c>
      <c r="O318" s="63" t="n">
        <f aca="false">IF(ISTEXT($AC318),VALUE($AC318),$AC318)</f>
        <v>43</v>
      </c>
      <c r="P318" s="64" t="n">
        <f aca="false">INDEX(Datos_Origen!$I$2:$I$2459,$Z318)</f>
        <v>127.4</v>
      </c>
      <c r="Q318" s="64" t="n">
        <f aca="false">INDEX(Datos_Origen!$J$2:$J$2459,$Z318)</f>
        <v>76.05</v>
      </c>
      <c r="R318" s="65" t="n">
        <f aca="false">ROUND($O318*$P318,2)</f>
        <v>5478.2</v>
      </c>
      <c r="S318" s="65" t="n">
        <f aca="false">ROUND($O318*$Q318,2)</f>
        <v>3270.15</v>
      </c>
      <c r="T318" s="65" t="n">
        <f aca="false">ROUND($R318*SUMIFS(Parametros!$E$28:$E$43,Parametros!$B$28:$B$43,$J318,Parametros!$C$28:$C$43,$C318,Parametros!$D$28:$D$43,$D318),2)</f>
        <v>65.74</v>
      </c>
      <c r="U318" s="65" t="n">
        <f aca="false">$R318-$S318-$T318</f>
        <v>2142.31</v>
      </c>
      <c r="V318" s="66" t="n">
        <f aca="false">IFERROR($U318/$R318,0)</f>
        <v>0.391060932423059</v>
      </c>
      <c r="W318" s="67" t="str">
        <f aca="false">IF(AND($V318&gt;=Parametros!$C$8,$R318&gt;=Parametros!$C$12),"Alta rentabilidad",IF(OR($V318&lt;Parametros!$C$11,$R318&lt;Parametros!$C$13),"Revisar","Estandar"))</f>
        <v>Alta rentabilidad</v>
      </c>
      <c r="X318" s="67" t="str">
        <f aca="false">IF(AND($J318="E-commerce",IFERROR($T318/$R318,0)&gt;Parametros!$C$14),"Alerta","OK")</f>
        <v>OK</v>
      </c>
      <c r="Y318" s="61" t="str">
        <f aca="false">IF($R318&gt;=Parametros!$C$12,"Alto",IF($R318&lt;Parametros!$C$13,"Bajo","Medio"))</f>
        <v>Alto</v>
      </c>
      <c r="Z318" s="61" t="n">
        <v>1495</v>
      </c>
      <c r="AA318" s="61" t="str">
        <f aca="false">IF(MATCH($A318,Datos_Origen!$A$2:$A$2459,0)=$Z318,"OK","REVISAR")</f>
        <v>OK</v>
      </c>
      <c r="AB318" s="62" t="n">
        <f aca="false">INDEX(Datos_Origen!$B$2:$B$2459,$Z318)</f>
        <v>45388</v>
      </c>
      <c r="AC318" s="61" t="n">
        <f aca="false">INDEX(Datos_Origen!$H$2:$H$2459,$Z318)</f>
        <v>43</v>
      </c>
      <c r="AD318" s="61" t="str">
        <f aca="false">INDEX(Datos_Origen!$D$2:$D$2459,$Z318)&amp;""</f>
        <v/>
      </c>
    </row>
    <row r="319" customFormat="false" ht="15" hidden="false" customHeight="false" outlineLevel="0" collapsed="false">
      <c r="A319" s="61" t="n">
        <f aca="false">INDEX(Datos_Origen!$A$2:$A$2459,$Z319)</f>
        <v>318</v>
      </c>
      <c r="B319" s="62" t="n">
        <f aca="false">IF(ISNUMBER($AB319),$AB319,IF(MID($AB319,5,1)="-",DATE(VALUE(LEFT($AB319,4)),VALUE(MID($AB319,6,2)),VALUE(RIGHT($AB319,2))),DATE(VALUE(RIGHT($AB319,4)),VALUE(MID($AB319,4,2)),VALUE(LEFT($AB319,2)))))</f>
        <v>45395</v>
      </c>
      <c r="C319" s="61" t="n">
        <f aca="false">YEAR($B319)</f>
        <v>2024</v>
      </c>
      <c r="D319" s="61" t="str">
        <f aca="false">"Q"&amp;ROUNDUP(MONTH($B319)/3,0)</f>
        <v>Q2</v>
      </c>
      <c r="E319" s="61" t="n">
        <f aca="false">MONTH($B319)</f>
        <v>4</v>
      </c>
      <c r="F319" s="61" t="str">
        <f aca="false">INDEX(Parametros!$I$5:$I$16,$E319)</f>
        <v>Abr</v>
      </c>
      <c r="G319" s="61" t="str">
        <f aca="false">TEXT($C319,"0000")&amp;"-"&amp;TEXT($E319,"00")</f>
        <v>2024-04</v>
      </c>
      <c r="H319" s="61" t="str">
        <f aca="false">INDEX(Parametros!$C$71:$C$91,MATCH(TRIM(INDEX(Datos_Origen!$C$2:$C$2459,$Z319)),Parametros!$B$71:$B$91,0))</f>
        <v>AMBA</v>
      </c>
      <c r="I319" s="61" t="str">
        <f aca="false">IF(TRIM($AD319)="",INDEX(Parametros!$I$20:$I$24,MATCH($H319,Parametros!$H$20:$H$24,0)),TRIM($AD319))</f>
        <v>Buenos Aires</v>
      </c>
      <c r="J319" s="61" t="str">
        <f aca="false">INDEX(Parametros!$C$95:$C$106,MATCH(TRIM(INDEX(Datos_Origen!$E$2:$E$2459,$Z319)),Parametros!$B$95:$B$106,0))</f>
        <v>E-commerce</v>
      </c>
      <c r="K319" s="61" t="str">
        <f aca="false">INDEX(Parametros!$C$48:$C$67,MATCH(TRIM(INDEX(Datos_Origen!$F$2:$F$2459,$Z319)),Parametros!$B$48:$B$67,0))</f>
        <v>Almacenamiento</v>
      </c>
      <c r="L319" s="61" t="str">
        <f aca="false">$K319&amp;" "&amp;$C319</f>
        <v>Almacenamiento 2024</v>
      </c>
      <c r="M319" s="61" t="str">
        <f aca="false">TRIM(INDEX(Datos_Origen!$G$2:$G$2459,$Z319))</f>
        <v>SSD Externo 1TB</v>
      </c>
      <c r="N319" s="61" t="str">
        <f aca="false">$M319&amp;" "&amp;$C319</f>
        <v>SSD Externo 1TB 2024</v>
      </c>
      <c r="O319" s="63" t="n">
        <f aca="false">IF(ISTEXT($AC319),VALUE($AC319),$AC319)</f>
        <v>17</v>
      </c>
      <c r="P319" s="64" t="n">
        <f aca="false">INDEX(Datos_Origen!$I$2:$I$2459,$Z319)</f>
        <v>127.4</v>
      </c>
      <c r="Q319" s="64" t="n">
        <f aca="false">INDEX(Datos_Origen!$J$2:$J$2459,$Z319)</f>
        <v>76.05</v>
      </c>
      <c r="R319" s="65" t="n">
        <f aca="false">ROUND($O319*$P319,2)</f>
        <v>2165.8</v>
      </c>
      <c r="S319" s="65" t="n">
        <f aca="false">ROUND($O319*$Q319,2)</f>
        <v>1292.85</v>
      </c>
      <c r="T319" s="65" t="n">
        <f aca="false">ROUND($R319*SUMIFS(Parametros!$E$28:$E$43,Parametros!$B$28:$B$43,$J319,Parametros!$C$28:$C$43,$C319,Parametros!$D$28:$D$43,$D319),2)</f>
        <v>95.3</v>
      </c>
      <c r="U319" s="65" t="n">
        <f aca="false">$R319-$S319-$T319</f>
        <v>777.65</v>
      </c>
      <c r="V319" s="66" t="n">
        <f aca="false">IFERROR($U319/$R319,0)</f>
        <v>0.359059008218672</v>
      </c>
      <c r="W319" s="67" t="str">
        <f aca="false">IF(AND($V319&gt;=Parametros!$C$8,$R319&gt;=Parametros!$C$12),"Alta rentabilidad",IF(OR($V319&lt;Parametros!$C$11,$R319&lt;Parametros!$C$13),"Revisar","Estandar"))</f>
        <v>Estandar</v>
      </c>
      <c r="X319" s="67" t="str">
        <f aca="false">IF(AND($J319="E-commerce",IFERROR($T319/$R319,0)&gt;Parametros!$C$14),"Alerta","OK")</f>
        <v>OK</v>
      </c>
      <c r="Y319" s="61" t="str">
        <f aca="false">IF($R319&gt;=Parametros!$C$12,"Alto",IF($R319&lt;Parametros!$C$13,"Bajo","Medio"))</f>
        <v>Medio</v>
      </c>
      <c r="Z319" s="61" t="n">
        <v>485</v>
      </c>
      <c r="AA319" s="61" t="str">
        <f aca="false">IF(MATCH($A319,Datos_Origen!$A$2:$A$2459,0)=$Z319,"OK","REVISAR")</f>
        <v>OK</v>
      </c>
      <c r="AB319" s="62" t="n">
        <f aca="false">INDEX(Datos_Origen!$B$2:$B$2459,$Z319)</f>
        <v>45395</v>
      </c>
      <c r="AC319" s="61" t="n">
        <f aca="false">INDEX(Datos_Origen!$H$2:$H$2459,$Z319)</f>
        <v>17</v>
      </c>
      <c r="AD319" s="61" t="str">
        <f aca="false">INDEX(Datos_Origen!$D$2:$D$2459,$Z319)&amp;""</f>
        <v>Buenos Aires</v>
      </c>
    </row>
    <row r="320" customFormat="false" ht="15" hidden="false" customHeight="false" outlineLevel="0" collapsed="false">
      <c r="A320" s="61" t="n">
        <f aca="false">INDEX(Datos_Origen!$A$2:$A$2459,$Z320)</f>
        <v>319</v>
      </c>
      <c r="B320" s="62" t="n">
        <f aca="false">IF(ISNUMBER($AB320),$AB320,IF(MID($AB320,5,1)="-",DATE(VALUE(LEFT($AB320,4)),VALUE(MID($AB320,6,2)),VALUE(RIGHT($AB320,2))),DATE(VALUE(RIGHT($AB320,4)),VALUE(MID($AB320,4,2)),VALUE(LEFT($AB320,2)))))</f>
        <v>45402</v>
      </c>
      <c r="C320" s="61" t="n">
        <f aca="false">YEAR($B320)</f>
        <v>2024</v>
      </c>
      <c r="D320" s="61" t="str">
        <f aca="false">"Q"&amp;ROUNDUP(MONTH($B320)/3,0)</f>
        <v>Q2</v>
      </c>
      <c r="E320" s="61" t="n">
        <f aca="false">MONTH($B320)</f>
        <v>4</v>
      </c>
      <c r="F320" s="61" t="str">
        <f aca="false">INDEX(Parametros!$I$5:$I$16,$E320)</f>
        <v>Abr</v>
      </c>
      <c r="G320" s="61" t="str">
        <f aca="false">TEXT($C320,"0000")&amp;"-"&amp;TEXT($E320,"00")</f>
        <v>2024-04</v>
      </c>
      <c r="H320" s="61" t="str">
        <f aca="false">INDEX(Parametros!$C$71:$C$91,MATCH(TRIM(INDEX(Datos_Origen!$C$2:$C$2459,$Z320)),Parametros!$B$71:$B$91,0))</f>
        <v>AMBA</v>
      </c>
      <c r="I320" s="61" t="str">
        <f aca="false">IF(TRIM($AD320)="",INDEX(Parametros!$I$20:$I$24,MATCH($H320,Parametros!$H$20:$H$24,0)),TRIM($AD320))</f>
        <v>Buenos Aires</v>
      </c>
      <c r="J320" s="61" t="str">
        <f aca="false">INDEX(Parametros!$C$95:$C$106,MATCH(TRIM(INDEX(Datos_Origen!$E$2:$E$2459,$Z320)),Parametros!$B$95:$B$106,0))</f>
        <v>Tienda fisica</v>
      </c>
      <c r="K320" s="61" t="str">
        <f aca="false">INDEX(Parametros!$C$48:$C$67,MATCH(TRIM(INDEX(Datos_Origen!$F$2:$F$2459,$Z320)),Parametros!$B$48:$B$67,0))</f>
        <v>Almacenamiento</v>
      </c>
      <c r="L320" s="61" t="str">
        <f aca="false">$K320&amp;" "&amp;$C320</f>
        <v>Almacenamiento 2024</v>
      </c>
      <c r="M320" s="61" t="str">
        <f aca="false">TRIM(INDEX(Datos_Origen!$G$2:$G$2459,$Z320))</f>
        <v>Pendrive 256GB</v>
      </c>
      <c r="N320" s="61" t="str">
        <f aca="false">$M320&amp;" "&amp;$C320</f>
        <v>Pendrive 256GB 2024</v>
      </c>
      <c r="O320" s="63" t="n">
        <f aca="false">IF(ISTEXT($AC320),VALUE($AC320),$AC320)</f>
        <v>53</v>
      </c>
      <c r="P320" s="64" t="n">
        <f aca="false">INDEX(Datos_Origen!$I$2:$I$2459,$Z320)</f>
        <v>34.3</v>
      </c>
      <c r="Q320" s="64" t="n">
        <f aca="false">INDEX(Datos_Origen!$J$2:$J$2459,$Z320)</f>
        <v>17.85</v>
      </c>
      <c r="R320" s="65" t="n">
        <f aca="false">ROUND($O320*$P320,2)</f>
        <v>1817.9</v>
      </c>
      <c r="S320" s="65" t="n">
        <f aca="false">ROUND($O320*$Q320,2)</f>
        <v>946.05</v>
      </c>
      <c r="T320" s="65" t="n">
        <f aca="false">ROUND($R320*SUMIFS(Parametros!$E$28:$E$43,Parametros!$B$28:$B$43,$J320,Parametros!$C$28:$C$43,$C320,Parametros!$D$28:$D$43,$D320),2)</f>
        <v>21.81</v>
      </c>
      <c r="U320" s="65" t="n">
        <f aca="false">$R320-$S320-$T320</f>
        <v>850.04</v>
      </c>
      <c r="V320" s="66" t="n">
        <f aca="false">IFERROR($U320/$R320,0)</f>
        <v>0.467594477143957</v>
      </c>
      <c r="W320" s="67" t="str">
        <f aca="false">IF(AND($V320&gt;=Parametros!$C$8,$R320&gt;=Parametros!$C$12),"Alta rentabilidad",IF(OR($V320&lt;Parametros!$C$11,$R320&lt;Parametros!$C$13),"Revisar","Estandar"))</f>
        <v>Estandar</v>
      </c>
      <c r="X320" s="67" t="str">
        <f aca="false">IF(AND($J320="E-commerce",IFERROR($T320/$R320,0)&gt;Parametros!$C$14),"Alerta","OK")</f>
        <v>OK</v>
      </c>
      <c r="Y320" s="61" t="str">
        <f aca="false">IF($R320&gt;=Parametros!$C$12,"Alto",IF($R320&lt;Parametros!$C$13,"Bajo","Medio"))</f>
        <v>Medio</v>
      </c>
      <c r="Z320" s="61" t="n">
        <v>835</v>
      </c>
      <c r="AA320" s="61" t="str">
        <f aca="false">IF(MATCH($A320,Datos_Origen!$A$2:$A$2459,0)=$Z320,"OK","REVISAR")</f>
        <v>OK</v>
      </c>
      <c r="AB320" s="61" t="str">
        <f aca="false">INDEX(Datos_Origen!$B$2:$B$2459,$Z320)</f>
        <v>20/04/2024</v>
      </c>
      <c r="AC320" s="61" t="n">
        <f aca="false">INDEX(Datos_Origen!$H$2:$H$2459,$Z320)</f>
        <v>53</v>
      </c>
      <c r="AD320" s="61" t="str">
        <f aca="false">INDEX(Datos_Origen!$D$2:$D$2459,$Z320)&amp;""</f>
        <v>Buenos Aires</v>
      </c>
    </row>
    <row r="321" customFormat="false" ht="15" hidden="false" customHeight="false" outlineLevel="0" collapsed="false">
      <c r="A321" s="61" t="n">
        <f aca="false">INDEX(Datos_Origen!$A$2:$A$2459,$Z321)</f>
        <v>320</v>
      </c>
      <c r="B321" s="62" t="n">
        <f aca="false">IF(ISNUMBER($AB321),$AB321,IF(MID($AB321,5,1)="-",DATE(VALUE(LEFT($AB321,4)),VALUE(MID($AB321,6,2)),VALUE(RIGHT($AB321,2))),DATE(VALUE(RIGHT($AB321,4)),VALUE(MID($AB321,4,2)),VALUE(LEFT($AB321,2)))))</f>
        <v>45409</v>
      </c>
      <c r="C321" s="61" t="n">
        <f aca="false">YEAR($B321)</f>
        <v>2024</v>
      </c>
      <c r="D321" s="61" t="str">
        <f aca="false">"Q"&amp;ROUNDUP(MONTH($B321)/3,0)</f>
        <v>Q2</v>
      </c>
      <c r="E321" s="61" t="n">
        <f aca="false">MONTH($B321)</f>
        <v>4</v>
      </c>
      <c r="F321" s="61" t="str">
        <f aca="false">INDEX(Parametros!$I$5:$I$16,$E321)</f>
        <v>Abr</v>
      </c>
      <c r="G321" s="61" t="str">
        <f aca="false">TEXT($C321,"0000")&amp;"-"&amp;TEXT($E321,"00")</f>
        <v>2024-04</v>
      </c>
      <c r="H321" s="61" t="str">
        <f aca="false">INDEX(Parametros!$C$71:$C$91,MATCH(TRIM(INDEX(Datos_Origen!$C$2:$C$2459,$Z321)),Parametros!$B$71:$B$91,0))</f>
        <v>AMBA</v>
      </c>
      <c r="I321" s="61" t="str">
        <f aca="false">IF(TRIM($AD321)="",INDEX(Parametros!$I$20:$I$24,MATCH($H321,Parametros!$H$20:$H$24,0)),TRIM($AD321))</f>
        <v>Buenos Aires</v>
      </c>
      <c r="J321" s="61" t="str">
        <f aca="false">INDEX(Parametros!$C$95:$C$106,MATCH(TRIM(INDEX(Datos_Origen!$E$2:$E$2459,$Z321)),Parametros!$B$95:$B$106,0))</f>
        <v>E-commerce</v>
      </c>
      <c r="K321" s="61" t="str">
        <f aca="false">INDEX(Parametros!$C$48:$C$67,MATCH(TRIM(INDEX(Datos_Origen!$F$2:$F$2459,$Z321)),Parametros!$B$48:$B$67,0))</f>
        <v>Almacenamiento</v>
      </c>
      <c r="L321" s="61" t="str">
        <f aca="false">$K321&amp;" "&amp;$C321</f>
        <v>Almacenamiento 2024</v>
      </c>
      <c r="M321" s="61" t="str">
        <f aca="false">TRIM(INDEX(Datos_Origen!$G$2:$G$2459,$Z321))</f>
        <v>Pendrive 256GB</v>
      </c>
      <c r="N321" s="61" t="str">
        <f aca="false">$M321&amp;" "&amp;$C321</f>
        <v>Pendrive 256GB 2024</v>
      </c>
      <c r="O321" s="63" t="n">
        <f aca="false">IF(ISTEXT($AC321),VALUE($AC321),$AC321)</f>
        <v>20</v>
      </c>
      <c r="P321" s="64" t="n">
        <f aca="false">INDEX(Datos_Origen!$I$2:$I$2459,$Z321)</f>
        <v>34.3</v>
      </c>
      <c r="Q321" s="64" t="n">
        <f aca="false">INDEX(Datos_Origen!$J$2:$J$2459,$Z321)</f>
        <v>17.85</v>
      </c>
      <c r="R321" s="65" t="n">
        <f aca="false">ROUND($O321*$P321,2)</f>
        <v>686</v>
      </c>
      <c r="S321" s="65" t="n">
        <f aca="false">ROUND($O321*$Q321,2)</f>
        <v>357</v>
      </c>
      <c r="T321" s="65" t="n">
        <f aca="false">ROUND($R321*SUMIFS(Parametros!$E$28:$E$43,Parametros!$B$28:$B$43,$J321,Parametros!$C$28:$C$43,$C321,Parametros!$D$28:$D$43,$D321),2)</f>
        <v>30.18</v>
      </c>
      <c r="U321" s="65" t="n">
        <f aca="false">$R321-$S321-$T321</f>
        <v>298.82</v>
      </c>
      <c r="V321" s="66" t="n">
        <f aca="false">IFERROR($U321/$R321,0)</f>
        <v>0.435597667638484</v>
      </c>
      <c r="W321" s="67" t="str">
        <f aca="false">IF(AND($V321&gt;=Parametros!$C$8,$R321&gt;=Parametros!$C$12),"Alta rentabilidad",IF(OR($V321&lt;Parametros!$C$11,$R321&lt;Parametros!$C$13),"Revisar","Estandar"))</f>
        <v>Estandar</v>
      </c>
      <c r="X321" s="67" t="str">
        <f aca="false">IF(AND($J321="E-commerce",IFERROR($T321/$R321,0)&gt;Parametros!$C$14),"Alerta","OK")</f>
        <v>OK</v>
      </c>
      <c r="Y321" s="61" t="str">
        <f aca="false">IF($R321&gt;=Parametros!$C$12,"Alto",IF($R321&lt;Parametros!$C$13,"Bajo","Medio"))</f>
        <v>Medio</v>
      </c>
      <c r="Z321" s="61" t="n">
        <v>2156</v>
      </c>
      <c r="AA321" s="61" t="str">
        <f aca="false">IF(MATCH($A321,Datos_Origen!$A$2:$A$2459,0)=$Z321,"OK","REVISAR")</f>
        <v>OK</v>
      </c>
      <c r="AB321" s="61" t="str">
        <f aca="false">INDEX(Datos_Origen!$B$2:$B$2459,$Z321)</f>
        <v>27/04/2024</v>
      </c>
      <c r="AC321" s="61" t="n">
        <f aca="false">INDEX(Datos_Origen!$H$2:$H$2459,$Z321)</f>
        <v>20</v>
      </c>
      <c r="AD321" s="61" t="str">
        <f aca="false">INDEX(Datos_Origen!$D$2:$D$2459,$Z321)&amp;""</f>
        <v>Buenos Aires</v>
      </c>
    </row>
    <row r="322" customFormat="false" ht="15" hidden="false" customHeight="false" outlineLevel="0" collapsed="false">
      <c r="A322" s="61" t="n">
        <f aca="false">INDEX(Datos_Origen!$A$2:$A$2459,$Z322)</f>
        <v>321</v>
      </c>
      <c r="B322" s="62" t="n">
        <f aca="false">IF(ISNUMBER($AB322),$AB322,IF(MID($AB322,5,1)="-",DATE(VALUE(LEFT($AB322,4)),VALUE(MID($AB322,6,2)),VALUE(RIGHT($AB322,2))),DATE(VALUE(RIGHT($AB322,4)),VALUE(MID($AB322,4,2)),VALUE(LEFT($AB322,2)))))</f>
        <v>45389</v>
      </c>
      <c r="C322" s="61" t="n">
        <f aca="false">YEAR($B322)</f>
        <v>2024</v>
      </c>
      <c r="D322" s="61" t="str">
        <f aca="false">"Q"&amp;ROUNDUP(MONTH($B322)/3,0)</f>
        <v>Q2</v>
      </c>
      <c r="E322" s="61" t="n">
        <f aca="false">MONTH($B322)</f>
        <v>4</v>
      </c>
      <c r="F322" s="61" t="str">
        <f aca="false">INDEX(Parametros!$I$5:$I$16,$E322)</f>
        <v>Abr</v>
      </c>
      <c r="G322" s="61" t="str">
        <f aca="false">TEXT($C322,"0000")&amp;"-"&amp;TEXT($E322,"00")</f>
        <v>2024-04</v>
      </c>
      <c r="H322" s="61" t="str">
        <f aca="false">INDEX(Parametros!$C$71:$C$91,MATCH(TRIM(INDEX(Datos_Origen!$C$2:$C$2459,$Z322)),Parametros!$B$71:$B$91,0))</f>
        <v>Centro</v>
      </c>
      <c r="I322" s="61" t="str">
        <f aca="false">IF(TRIM($AD322)="",INDEX(Parametros!$I$20:$I$24,MATCH($H322,Parametros!$H$20:$H$24,0)),TRIM($AD322))</f>
        <v>Cordoba</v>
      </c>
      <c r="J322" s="61" t="str">
        <f aca="false">INDEX(Parametros!$C$95:$C$106,MATCH(TRIM(INDEX(Datos_Origen!$E$2:$E$2459,$Z322)),Parametros!$B$95:$B$106,0))</f>
        <v>Tienda fisica</v>
      </c>
      <c r="K322" s="61" t="str">
        <f aca="false">INDEX(Parametros!$C$48:$C$67,MATCH(TRIM(INDEX(Datos_Origen!$F$2:$F$2459,$Z322)),Parametros!$B$48:$B$67,0))</f>
        <v>Computacion</v>
      </c>
      <c r="L322" s="61" t="str">
        <f aca="false">$K322&amp;" "&amp;$C322</f>
        <v>Computacion 2024</v>
      </c>
      <c r="M322" s="61" t="str">
        <f aca="false">TRIM(INDEX(Datos_Origen!$G$2:$G$2459,$Z322))</f>
        <v>Laptop Pro 15</v>
      </c>
      <c r="N322" s="61" t="str">
        <f aca="false">$M322&amp;" "&amp;$C322</f>
        <v>Laptop Pro 15 2024</v>
      </c>
      <c r="O322" s="63" t="n">
        <f aca="false">IF(ISTEXT($AC322),VALUE($AC322),$AC322)</f>
        <v>13</v>
      </c>
      <c r="P322" s="64" t="n">
        <f aca="false">INDEX(Datos_Origen!$I$2:$I$2459,$Z322)</f>
        <v>1176</v>
      </c>
      <c r="Q322" s="64" t="n">
        <f aca="false">INDEX(Datos_Origen!$J$2:$J$2459,$Z322)</f>
        <v>744</v>
      </c>
      <c r="R322" s="65" t="n">
        <f aca="false">ROUND($O322*$P322,2)</f>
        <v>15288</v>
      </c>
      <c r="S322" s="65" t="n">
        <f aca="false">ROUND($O322*$Q322,2)</f>
        <v>9672</v>
      </c>
      <c r="T322" s="65" t="n">
        <f aca="false">ROUND($R322*SUMIFS(Parametros!$E$28:$E$43,Parametros!$B$28:$B$43,$J322,Parametros!$C$28:$C$43,$C322,Parametros!$D$28:$D$43,$D322),2)</f>
        <v>183.46</v>
      </c>
      <c r="U322" s="65" t="n">
        <f aca="false">$R322-$S322-$T322</f>
        <v>5432.54</v>
      </c>
      <c r="V322" s="66" t="n">
        <f aca="false">IFERROR($U322/$R322,0)</f>
        <v>0.355346677132391</v>
      </c>
      <c r="W322" s="67" t="str">
        <f aca="false">IF(AND($V322&gt;=Parametros!$C$8,$R322&gt;=Parametros!$C$12),"Alta rentabilidad",IF(OR($V322&lt;Parametros!$C$11,$R322&lt;Parametros!$C$13),"Revisar","Estandar"))</f>
        <v>Alta rentabilidad</v>
      </c>
      <c r="X322" s="67" t="str">
        <f aca="false">IF(AND($J322="E-commerce",IFERROR($T322/$R322,0)&gt;Parametros!$C$14),"Alerta","OK")</f>
        <v>OK</v>
      </c>
      <c r="Y322" s="61" t="str">
        <f aca="false">IF($R322&gt;=Parametros!$C$12,"Alto",IF($R322&lt;Parametros!$C$13,"Bajo","Medio"))</f>
        <v>Alto</v>
      </c>
      <c r="Z322" s="61" t="n">
        <v>1832</v>
      </c>
      <c r="AA322" s="61" t="str">
        <f aca="false">IF(MATCH($A322,Datos_Origen!$A$2:$A$2459,0)=$Z322,"OK","REVISAR")</f>
        <v>OK</v>
      </c>
      <c r="AB322" s="61" t="str">
        <f aca="false">INDEX(Datos_Origen!$B$2:$B$2459,$Z322)</f>
        <v>07/04/2024</v>
      </c>
      <c r="AC322" s="61" t="n">
        <f aca="false">INDEX(Datos_Origen!$H$2:$H$2459,$Z322)</f>
        <v>13</v>
      </c>
      <c r="AD322" s="61" t="str">
        <f aca="false">INDEX(Datos_Origen!$D$2:$D$2459,$Z322)&amp;""</f>
        <v>Cordoba</v>
      </c>
    </row>
    <row r="323" customFormat="false" ht="15" hidden="false" customHeight="false" outlineLevel="0" collapsed="false">
      <c r="A323" s="61" t="n">
        <f aca="false">INDEX(Datos_Origen!$A$2:$A$2459,$Z323)</f>
        <v>322</v>
      </c>
      <c r="B323" s="62" t="n">
        <f aca="false">IF(ISNUMBER($AB323),$AB323,IF(MID($AB323,5,1)="-",DATE(VALUE(LEFT($AB323,4)),VALUE(MID($AB323,6,2)),VALUE(RIGHT($AB323,2))),DATE(VALUE(RIGHT($AB323,4)),VALUE(MID($AB323,4,2)),VALUE(LEFT($AB323,2)))))</f>
        <v>45396</v>
      </c>
      <c r="C323" s="61" t="n">
        <f aca="false">YEAR($B323)</f>
        <v>2024</v>
      </c>
      <c r="D323" s="61" t="str">
        <f aca="false">"Q"&amp;ROUNDUP(MONTH($B323)/3,0)</f>
        <v>Q2</v>
      </c>
      <c r="E323" s="61" t="n">
        <f aca="false">MONTH($B323)</f>
        <v>4</v>
      </c>
      <c r="F323" s="61" t="str">
        <f aca="false">INDEX(Parametros!$I$5:$I$16,$E323)</f>
        <v>Abr</v>
      </c>
      <c r="G323" s="61" t="str">
        <f aca="false">TEXT($C323,"0000")&amp;"-"&amp;TEXT($E323,"00")</f>
        <v>2024-04</v>
      </c>
      <c r="H323" s="61" t="str">
        <f aca="false">INDEX(Parametros!$C$71:$C$91,MATCH(TRIM(INDEX(Datos_Origen!$C$2:$C$2459,$Z323)),Parametros!$B$71:$B$91,0))</f>
        <v>Centro</v>
      </c>
      <c r="I323" s="61" t="str">
        <f aca="false">IF(TRIM($AD323)="",INDEX(Parametros!$I$20:$I$24,MATCH($H323,Parametros!$H$20:$H$24,0)),TRIM($AD323))</f>
        <v>Cordoba</v>
      </c>
      <c r="J323" s="61" t="str">
        <f aca="false">INDEX(Parametros!$C$95:$C$106,MATCH(TRIM(INDEX(Datos_Origen!$E$2:$E$2459,$Z323)),Parametros!$B$95:$B$106,0))</f>
        <v>E-commerce</v>
      </c>
      <c r="K323" s="61" t="str">
        <f aca="false">INDEX(Parametros!$C$48:$C$67,MATCH(TRIM(INDEX(Datos_Origen!$F$2:$F$2459,$Z323)),Parametros!$B$48:$B$67,0))</f>
        <v>Computacion</v>
      </c>
      <c r="L323" s="61" t="str">
        <f aca="false">$K323&amp;" "&amp;$C323</f>
        <v>Computacion 2024</v>
      </c>
      <c r="M323" s="61" t="str">
        <f aca="false">TRIM(INDEX(Datos_Origen!$G$2:$G$2459,$Z323))</f>
        <v>Laptop Pro 15</v>
      </c>
      <c r="N323" s="61" t="str">
        <f aca="false">$M323&amp;" "&amp;$C323</f>
        <v>Laptop Pro 15 2024</v>
      </c>
      <c r="O323" s="63" t="n">
        <f aca="false">IF(ISTEXT($AC323),VALUE($AC323),$AC323)</f>
        <v>5</v>
      </c>
      <c r="P323" s="64" t="n">
        <f aca="false">INDEX(Datos_Origen!$I$2:$I$2459,$Z323)</f>
        <v>1176</v>
      </c>
      <c r="Q323" s="64" t="n">
        <f aca="false">INDEX(Datos_Origen!$J$2:$J$2459,$Z323)</f>
        <v>744</v>
      </c>
      <c r="R323" s="65" t="n">
        <f aca="false">ROUND($O323*$P323,2)</f>
        <v>5880</v>
      </c>
      <c r="S323" s="65" t="n">
        <f aca="false">ROUND($O323*$Q323,2)</f>
        <v>3720</v>
      </c>
      <c r="T323" s="65" t="n">
        <f aca="false">ROUND($R323*SUMIFS(Parametros!$E$28:$E$43,Parametros!$B$28:$B$43,$J323,Parametros!$C$28:$C$43,$C323,Parametros!$D$28:$D$43,$D323),2)</f>
        <v>258.72</v>
      </c>
      <c r="U323" s="65" t="n">
        <f aca="false">$R323-$S323-$T323</f>
        <v>1901.28</v>
      </c>
      <c r="V323" s="66" t="n">
        <f aca="false">IFERROR($U323/$R323,0)</f>
        <v>0.32334693877551</v>
      </c>
      <c r="W323" s="67" t="str">
        <f aca="false">IF(AND($V323&gt;=Parametros!$C$8,$R323&gt;=Parametros!$C$12),"Alta rentabilidad",IF(OR($V323&lt;Parametros!$C$11,$R323&lt;Parametros!$C$13),"Revisar","Estandar"))</f>
        <v>Estandar</v>
      </c>
      <c r="X323" s="67" t="str">
        <f aca="false">IF(AND($J323="E-commerce",IFERROR($T323/$R323,0)&gt;Parametros!$C$14),"Alerta","OK")</f>
        <v>OK</v>
      </c>
      <c r="Y323" s="61" t="str">
        <f aca="false">IF($R323&gt;=Parametros!$C$12,"Alto",IF($R323&lt;Parametros!$C$13,"Bajo","Medio"))</f>
        <v>Alto</v>
      </c>
      <c r="Z323" s="61" t="n">
        <v>593</v>
      </c>
      <c r="AA323" s="61" t="str">
        <f aca="false">IF(MATCH($A323,Datos_Origen!$A$2:$A$2459,0)=$Z323,"OK","REVISAR")</f>
        <v>OK</v>
      </c>
      <c r="AB323" s="61" t="str">
        <f aca="false">INDEX(Datos_Origen!$B$2:$B$2459,$Z323)</f>
        <v>2024-04-14</v>
      </c>
      <c r="AC323" s="61" t="n">
        <f aca="false">INDEX(Datos_Origen!$H$2:$H$2459,$Z323)</f>
        <v>5</v>
      </c>
      <c r="AD323" s="61" t="str">
        <f aca="false">INDEX(Datos_Origen!$D$2:$D$2459,$Z323)&amp;""</f>
        <v>Cordoba</v>
      </c>
    </row>
    <row r="324" customFormat="false" ht="15" hidden="false" customHeight="false" outlineLevel="0" collapsed="false">
      <c r="A324" s="61" t="n">
        <f aca="false">INDEX(Datos_Origen!$A$2:$A$2459,$Z324)</f>
        <v>323</v>
      </c>
      <c r="B324" s="62" t="n">
        <f aca="false">IF(ISNUMBER($AB324),$AB324,IF(MID($AB324,5,1)="-",DATE(VALUE(LEFT($AB324,4)),VALUE(MID($AB324,6,2)),VALUE(RIGHT($AB324,2))),DATE(VALUE(RIGHT($AB324,4)),VALUE(MID($AB324,4,2)),VALUE(LEFT($AB324,2)))))</f>
        <v>45403</v>
      </c>
      <c r="C324" s="61" t="n">
        <f aca="false">YEAR($B324)</f>
        <v>2024</v>
      </c>
      <c r="D324" s="61" t="str">
        <f aca="false">"Q"&amp;ROUNDUP(MONTH($B324)/3,0)</f>
        <v>Q2</v>
      </c>
      <c r="E324" s="61" t="n">
        <f aca="false">MONTH($B324)</f>
        <v>4</v>
      </c>
      <c r="F324" s="61" t="str">
        <f aca="false">INDEX(Parametros!$I$5:$I$16,$E324)</f>
        <v>Abr</v>
      </c>
      <c r="G324" s="61" t="str">
        <f aca="false">TEXT($C324,"0000")&amp;"-"&amp;TEXT($E324,"00")</f>
        <v>2024-04</v>
      </c>
      <c r="H324" s="61" t="str">
        <f aca="false">INDEX(Parametros!$C$71:$C$91,MATCH(TRIM(INDEX(Datos_Origen!$C$2:$C$2459,$Z324)),Parametros!$B$71:$B$91,0))</f>
        <v>Centro</v>
      </c>
      <c r="I324" s="61" t="str">
        <f aca="false">IF(TRIM($AD324)="",INDEX(Parametros!$I$20:$I$24,MATCH($H324,Parametros!$H$20:$H$24,0)),TRIM($AD324))</f>
        <v>Cordoba</v>
      </c>
      <c r="J324" s="61" t="str">
        <f aca="false">INDEX(Parametros!$C$95:$C$106,MATCH(TRIM(INDEX(Datos_Origen!$E$2:$E$2459,$Z324)),Parametros!$B$95:$B$106,0))</f>
        <v>Tienda fisica</v>
      </c>
      <c r="K324" s="61" t="str">
        <f aca="false">INDEX(Parametros!$C$48:$C$67,MATCH(TRIM(INDEX(Datos_Origen!$F$2:$F$2459,$Z324)),Parametros!$B$48:$B$67,0))</f>
        <v>Computacion</v>
      </c>
      <c r="L324" s="61" t="str">
        <f aca="false">$K324&amp;" "&amp;$C324</f>
        <v>Computacion 2024</v>
      </c>
      <c r="M324" s="61" t="str">
        <f aca="false">TRIM(INDEX(Datos_Origen!$G$2:$G$2459,$Z324))</f>
        <v>Monitor 4K 27</v>
      </c>
      <c r="N324" s="61" t="str">
        <f aca="false">$M324&amp;" "&amp;$C324</f>
        <v>Monitor 4K 27 2024</v>
      </c>
      <c r="O324" s="63" t="n">
        <f aca="false">IF(ISTEXT($AC324),VALUE($AC324),$AC324)</f>
        <v>13</v>
      </c>
      <c r="P324" s="64" t="n">
        <f aca="false">INDEX(Datos_Origen!$I$2:$I$2459,$Z324)</f>
        <v>441</v>
      </c>
      <c r="Q324" s="64" t="n">
        <f aca="false">INDEX(Datos_Origen!$J$2:$J$2459,$Z324)</f>
        <v>272.25</v>
      </c>
      <c r="R324" s="65" t="n">
        <f aca="false">ROUND($O324*$P324,2)</f>
        <v>5733</v>
      </c>
      <c r="S324" s="65" t="n">
        <f aca="false">ROUND($O324*$Q324,2)</f>
        <v>3539.25</v>
      </c>
      <c r="T324" s="65" t="n">
        <f aca="false">ROUND($R324*SUMIFS(Parametros!$E$28:$E$43,Parametros!$B$28:$B$43,$J324,Parametros!$C$28:$C$43,$C324,Parametros!$D$28:$D$43,$D324),2)</f>
        <v>68.8</v>
      </c>
      <c r="U324" s="65" t="n">
        <f aca="false">$R324-$S324-$T324</f>
        <v>2124.95</v>
      </c>
      <c r="V324" s="66" t="n">
        <f aca="false">IFERROR($U324/$R324,0)</f>
        <v>0.370652363509506</v>
      </c>
      <c r="W324" s="67" t="str">
        <f aca="false">IF(AND($V324&gt;=Parametros!$C$8,$R324&gt;=Parametros!$C$12),"Alta rentabilidad",IF(OR($V324&lt;Parametros!$C$11,$R324&lt;Parametros!$C$13),"Revisar","Estandar"))</f>
        <v>Alta rentabilidad</v>
      </c>
      <c r="X324" s="67" t="str">
        <f aca="false">IF(AND($J324="E-commerce",IFERROR($T324/$R324,0)&gt;Parametros!$C$14),"Alerta","OK")</f>
        <v>OK</v>
      </c>
      <c r="Y324" s="61" t="str">
        <f aca="false">IF($R324&gt;=Parametros!$C$12,"Alto",IF($R324&lt;Parametros!$C$13,"Bajo","Medio"))</f>
        <v>Alto</v>
      </c>
      <c r="Z324" s="61" t="n">
        <v>1210</v>
      </c>
      <c r="AA324" s="61" t="str">
        <f aca="false">IF(MATCH($A324,Datos_Origen!$A$2:$A$2459,0)=$Z324,"OK","REVISAR")</f>
        <v>OK</v>
      </c>
      <c r="AB324" s="62" t="n">
        <f aca="false">INDEX(Datos_Origen!$B$2:$B$2459,$Z324)</f>
        <v>45403</v>
      </c>
      <c r="AC324" s="61" t="n">
        <f aca="false">INDEX(Datos_Origen!$H$2:$H$2459,$Z324)</f>
        <v>13</v>
      </c>
      <c r="AD324" s="61" t="str">
        <f aca="false">INDEX(Datos_Origen!$D$2:$D$2459,$Z324)&amp;""</f>
        <v>Cordoba</v>
      </c>
    </row>
    <row r="325" customFormat="false" ht="15" hidden="false" customHeight="false" outlineLevel="0" collapsed="false">
      <c r="A325" s="61" t="n">
        <f aca="false">INDEX(Datos_Origen!$A$2:$A$2459,$Z325)</f>
        <v>324</v>
      </c>
      <c r="B325" s="62" t="n">
        <f aca="false">IF(ISNUMBER($AB325),$AB325,IF(MID($AB325,5,1)="-",DATE(VALUE(LEFT($AB325,4)),VALUE(MID($AB325,6,2)),VALUE(RIGHT($AB325,2))),DATE(VALUE(RIGHT($AB325,4)),VALUE(MID($AB325,4,2)),VALUE(LEFT($AB325,2)))))</f>
        <v>45383</v>
      </c>
      <c r="C325" s="61" t="n">
        <f aca="false">YEAR($B325)</f>
        <v>2024</v>
      </c>
      <c r="D325" s="61" t="str">
        <f aca="false">"Q"&amp;ROUNDUP(MONTH($B325)/3,0)</f>
        <v>Q2</v>
      </c>
      <c r="E325" s="61" t="n">
        <f aca="false">MONTH($B325)</f>
        <v>4</v>
      </c>
      <c r="F325" s="61" t="str">
        <f aca="false">INDEX(Parametros!$I$5:$I$16,$E325)</f>
        <v>Abr</v>
      </c>
      <c r="G325" s="61" t="str">
        <f aca="false">TEXT($C325,"0000")&amp;"-"&amp;TEXT($E325,"00")</f>
        <v>2024-04</v>
      </c>
      <c r="H325" s="61" t="str">
        <f aca="false">INDEX(Parametros!$C$71:$C$91,MATCH(TRIM(INDEX(Datos_Origen!$C$2:$C$2459,$Z325)),Parametros!$B$71:$B$91,0))</f>
        <v>Centro</v>
      </c>
      <c r="I325" s="61" t="str">
        <f aca="false">IF(TRIM($AD325)="",INDEX(Parametros!$I$20:$I$24,MATCH($H325,Parametros!$H$20:$H$24,0)),TRIM($AD325))</f>
        <v>Cordoba</v>
      </c>
      <c r="J325" s="61" t="str">
        <f aca="false">INDEX(Parametros!$C$95:$C$106,MATCH(TRIM(INDEX(Datos_Origen!$E$2:$E$2459,$Z325)),Parametros!$B$95:$B$106,0))</f>
        <v>E-commerce</v>
      </c>
      <c r="K325" s="61" t="str">
        <f aca="false">INDEX(Parametros!$C$48:$C$67,MATCH(TRIM(INDEX(Datos_Origen!$F$2:$F$2459,$Z325)),Parametros!$B$48:$B$67,0))</f>
        <v>Computacion</v>
      </c>
      <c r="L325" s="61" t="str">
        <f aca="false">$K325&amp;" "&amp;$C325</f>
        <v>Computacion 2024</v>
      </c>
      <c r="M325" s="61" t="str">
        <f aca="false">TRIM(INDEX(Datos_Origen!$G$2:$G$2459,$Z325))</f>
        <v>Monitor 4K 27</v>
      </c>
      <c r="N325" s="61" t="str">
        <f aca="false">$M325&amp;" "&amp;$C325</f>
        <v>Monitor 4K 27 2024</v>
      </c>
      <c r="O325" s="63" t="n">
        <f aca="false">IF(ISTEXT($AC325),VALUE($AC325),$AC325)</f>
        <v>4</v>
      </c>
      <c r="P325" s="64" t="n">
        <f aca="false">INDEX(Datos_Origen!$I$2:$I$2459,$Z325)</f>
        <v>441</v>
      </c>
      <c r="Q325" s="64" t="n">
        <f aca="false">INDEX(Datos_Origen!$J$2:$J$2459,$Z325)</f>
        <v>272.25</v>
      </c>
      <c r="R325" s="65" t="n">
        <f aca="false">ROUND($O325*$P325,2)</f>
        <v>1764</v>
      </c>
      <c r="S325" s="65" t="n">
        <f aca="false">ROUND($O325*$Q325,2)</f>
        <v>1089</v>
      </c>
      <c r="T325" s="65" t="n">
        <f aca="false">ROUND($R325*SUMIFS(Parametros!$E$28:$E$43,Parametros!$B$28:$B$43,$J325,Parametros!$C$28:$C$43,$C325,Parametros!$D$28:$D$43,$D325),2)</f>
        <v>77.62</v>
      </c>
      <c r="U325" s="65" t="n">
        <f aca="false">$R325-$S325-$T325</f>
        <v>597.38</v>
      </c>
      <c r="V325" s="66" t="n">
        <f aca="false">IFERROR($U325/$R325,0)</f>
        <v>0.338650793650794</v>
      </c>
      <c r="W325" s="67" t="str">
        <f aca="false">IF(AND($V325&gt;=Parametros!$C$8,$R325&gt;=Parametros!$C$12),"Alta rentabilidad",IF(OR($V325&lt;Parametros!$C$11,$R325&lt;Parametros!$C$13),"Revisar","Estandar"))</f>
        <v>Estandar</v>
      </c>
      <c r="X325" s="67" t="str">
        <f aca="false">IF(AND($J325="E-commerce",IFERROR($T325/$R325,0)&gt;Parametros!$C$14),"Alerta","OK")</f>
        <v>OK</v>
      </c>
      <c r="Y325" s="61" t="str">
        <f aca="false">IF($R325&gt;=Parametros!$C$12,"Alto",IF($R325&lt;Parametros!$C$13,"Bajo","Medio"))</f>
        <v>Medio</v>
      </c>
      <c r="Z325" s="61" t="n">
        <v>2249</v>
      </c>
      <c r="AA325" s="61" t="str">
        <f aca="false">IF(MATCH($A325,Datos_Origen!$A$2:$A$2459,0)=$Z325,"OK","REVISAR")</f>
        <v>OK</v>
      </c>
      <c r="AB325" s="62" t="n">
        <f aca="false">INDEX(Datos_Origen!$B$2:$B$2459,$Z325)</f>
        <v>45383</v>
      </c>
      <c r="AC325" s="61" t="n">
        <f aca="false">INDEX(Datos_Origen!$H$2:$H$2459,$Z325)</f>
        <v>4</v>
      </c>
      <c r="AD325" s="61" t="str">
        <f aca="false">INDEX(Datos_Origen!$D$2:$D$2459,$Z325)&amp;""</f>
        <v>Cordoba</v>
      </c>
    </row>
    <row r="326" customFormat="false" ht="15" hidden="false" customHeight="false" outlineLevel="0" collapsed="false">
      <c r="A326" s="61" t="n">
        <f aca="false">INDEX(Datos_Origen!$A$2:$A$2459,$Z326)</f>
        <v>325</v>
      </c>
      <c r="B326" s="62" t="n">
        <f aca="false">IF(ISNUMBER($AB326),$AB326,IF(MID($AB326,5,1)="-",DATE(VALUE(LEFT($AB326,4)),VALUE(MID($AB326,6,2)),VALUE(RIGHT($AB326,2))),DATE(VALUE(RIGHT($AB326,4)),VALUE(MID($AB326,4,2)),VALUE(LEFT($AB326,2)))))</f>
        <v>45390</v>
      </c>
      <c r="C326" s="61" t="n">
        <f aca="false">YEAR($B326)</f>
        <v>2024</v>
      </c>
      <c r="D326" s="61" t="str">
        <f aca="false">"Q"&amp;ROUNDUP(MONTH($B326)/3,0)</f>
        <v>Q2</v>
      </c>
      <c r="E326" s="61" t="n">
        <f aca="false">MONTH($B326)</f>
        <v>4</v>
      </c>
      <c r="F326" s="61" t="str">
        <f aca="false">INDEX(Parametros!$I$5:$I$16,$E326)</f>
        <v>Abr</v>
      </c>
      <c r="G326" s="61" t="str">
        <f aca="false">TEXT($C326,"0000")&amp;"-"&amp;TEXT($E326,"00")</f>
        <v>2024-04</v>
      </c>
      <c r="H326" s="61" t="str">
        <f aca="false">INDEX(Parametros!$C$71:$C$91,MATCH(TRIM(INDEX(Datos_Origen!$C$2:$C$2459,$Z326)),Parametros!$B$71:$B$91,0))</f>
        <v>Centro</v>
      </c>
      <c r="I326" s="61" t="str">
        <f aca="false">IF(TRIM($AD326)="",INDEX(Parametros!$I$20:$I$24,MATCH($H326,Parametros!$H$20:$H$24,0)),TRIM($AD326))</f>
        <v>Cordoba</v>
      </c>
      <c r="J326" s="61" t="str">
        <f aca="false">INDEX(Parametros!$C$95:$C$106,MATCH(TRIM(INDEX(Datos_Origen!$E$2:$E$2459,$Z326)),Parametros!$B$95:$B$106,0))</f>
        <v>Tienda fisica</v>
      </c>
      <c r="K326" s="61" t="str">
        <f aca="false">INDEX(Parametros!$C$48:$C$67,MATCH(TRIM(INDEX(Datos_Origen!$F$2:$F$2459,$Z326)),Parametros!$B$48:$B$67,0))</f>
        <v>Computacion</v>
      </c>
      <c r="L326" s="61" t="str">
        <f aca="false">$K326&amp;" "&amp;$C326</f>
        <v>Computacion 2024</v>
      </c>
      <c r="M326" s="61" t="str">
        <f aca="false">TRIM(INDEX(Datos_Origen!$G$2:$G$2459,$Z326))</f>
        <v>PC Gamer Ryzen</v>
      </c>
      <c r="N326" s="61" t="str">
        <f aca="false">$M326&amp;" "&amp;$C326</f>
        <v>PC Gamer Ryzen 2024</v>
      </c>
      <c r="O326" s="63" t="n">
        <f aca="false">IF(ISTEXT($AC326),VALUE($AC326),$AC326)</f>
        <v>10</v>
      </c>
      <c r="P326" s="64" t="n">
        <f aca="false">INDEX(Datos_Origen!$I$2:$I$2459,$Z326)</f>
        <v>1617</v>
      </c>
      <c r="Q326" s="64" t="n">
        <f aca="false">INDEX(Datos_Origen!$J$2:$J$2459,$Z326)</f>
        <v>1122</v>
      </c>
      <c r="R326" s="65" t="n">
        <f aca="false">ROUND($O326*$P326,2)</f>
        <v>16170</v>
      </c>
      <c r="S326" s="65" t="n">
        <f aca="false">ROUND($O326*$Q326,2)</f>
        <v>11220</v>
      </c>
      <c r="T326" s="65" t="n">
        <f aca="false">ROUND($R326*SUMIFS(Parametros!$E$28:$E$43,Parametros!$B$28:$B$43,$J326,Parametros!$C$28:$C$43,$C326,Parametros!$D$28:$D$43,$D326),2)</f>
        <v>194.04</v>
      </c>
      <c r="U326" s="65" t="n">
        <f aca="false">$R326-$S326-$T326</f>
        <v>4755.96</v>
      </c>
      <c r="V326" s="66" t="n">
        <f aca="false">IFERROR($U326/$R326,0)</f>
        <v>0.294122448979592</v>
      </c>
      <c r="W326" s="67" t="str">
        <f aca="false">IF(AND($V326&gt;=Parametros!$C$8,$R326&gt;=Parametros!$C$12),"Alta rentabilidad",IF(OR($V326&lt;Parametros!$C$11,$R326&lt;Parametros!$C$13),"Revisar","Estandar"))</f>
        <v>Estandar</v>
      </c>
      <c r="X326" s="67" t="str">
        <f aca="false">IF(AND($J326="E-commerce",IFERROR($T326/$R326,0)&gt;Parametros!$C$14),"Alerta","OK")</f>
        <v>OK</v>
      </c>
      <c r="Y326" s="61" t="str">
        <f aca="false">IF($R326&gt;=Parametros!$C$12,"Alto",IF($R326&lt;Parametros!$C$13,"Bajo","Medio"))</f>
        <v>Alto</v>
      </c>
      <c r="Z326" s="61" t="n">
        <v>913</v>
      </c>
      <c r="AA326" s="61" t="str">
        <f aca="false">IF(MATCH($A326,Datos_Origen!$A$2:$A$2459,0)=$Z326,"OK","REVISAR")</f>
        <v>OK</v>
      </c>
      <c r="AB326" s="61" t="str">
        <f aca="false">INDEX(Datos_Origen!$B$2:$B$2459,$Z326)</f>
        <v>08/04/2024</v>
      </c>
      <c r="AC326" s="61" t="n">
        <f aca="false">INDEX(Datos_Origen!$H$2:$H$2459,$Z326)</f>
        <v>10</v>
      </c>
      <c r="AD326" s="61" t="str">
        <f aca="false">INDEX(Datos_Origen!$D$2:$D$2459,$Z326)&amp;""</f>
        <v>Cordoba</v>
      </c>
    </row>
    <row r="327" customFormat="false" ht="15" hidden="false" customHeight="false" outlineLevel="0" collapsed="false">
      <c r="A327" s="61" t="n">
        <f aca="false">INDEX(Datos_Origen!$A$2:$A$2459,$Z327)</f>
        <v>326</v>
      </c>
      <c r="B327" s="62" t="n">
        <f aca="false">IF(ISNUMBER($AB327),$AB327,IF(MID($AB327,5,1)="-",DATE(VALUE(LEFT($AB327,4)),VALUE(MID($AB327,6,2)),VALUE(RIGHT($AB327,2))),DATE(VALUE(RIGHT($AB327,4)),VALUE(MID($AB327,4,2)),VALUE(LEFT($AB327,2)))))</f>
        <v>45397</v>
      </c>
      <c r="C327" s="61" t="n">
        <f aca="false">YEAR($B327)</f>
        <v>2024</v>
      </c>
      <c r="D327" s="61" t="str">
        <f aca="false">"Q"&amp;ROUNDUP(MONTH($B327)/3,0)</f>
        <v>Q2</v>
      </c>
      <c r="E327" s="61" t="n">
        <f aca="false">MONTH($B327)</f>
        <v>4</v>
      </c>
      <c r="F327" s="61" t="str">
        <f aca="false">INDEX(Parametros!$I$5:$I$16,$E327)</f>
        <v>Abr</v>
      </c>
      <c r="G327" s="61" t="str">
        <f aca="false">TEXT($C327,"0000")&amp;"-"&amp;TEXT($E327,"00")</f>
        <v>2024-04</v>
      </c>
      <c r="H327" s="61" t="str">
        <f aca="false">INDEX(Parametros!$C$71:$C$91,MATCH(TRIM(INDEX(Datos_Origen!$C$2:$C$2459,$Z327)),Parametros!$B$71:$B$91,0))</f>
        <v>Centro</v>
      </c>
      <c r="I327" s="61" t="str">
        <f aca="false">IF(TRIM($AD327)="",INDEX(Parametros!$I$20:$I$24,MATCH($H327,Parametros!$H$20:$H$24,0)),TRIM($AD327))</f>
        <v>Cordoba</v>
      </c>
      <c r="J327" s="61" t="str">
        <f aca="false">INDEX(Parametros!$C$95:$C$106,MATCH(TRIM(INDEX(Datos_Origen!$E$2:$E$2459,$Z327)),Parametros!$B$95:$B$106,0))</f>
        <v>E-commerce</v>
      </c>
      <c r="K327" s="61" t="str">
        <f aca="false">INDEX(Parametros!$C$48:$C$67,MATCH(TRIM(INDEX(Datos_Origen!$F$2:$F$2459,$Z327)),Parametros!$B$48:$B$67,0))</f>
        <v>Computacion</v>
      </c>
      <c r="L327" s="61" t="str">
        <f aca="false">$K327&amp;" "&amp;$C327</f>
        <v>Computacion 2024</v>
      </c>
      <c r="M327" s="61" t="str">
        <f aca="false">TRIM(INDEX(Datos_Origen!$G$2:$G$2459,$Z327))</f>
        <v>PC Gamer Ryzen</v>
      </c>
      <c r="N327" s="61" t="str">
        <f aca="false">$M327&amp;" "&amp;$C327</f>
        <v>PC Gamer Ryzen 2024</v>
      </c>
      <c r="O327" s="63" t="n">
        <f aca="false">IF(ISTEXT($AC327),VALUE($AC327),$AC327)</f>
        <v>4</v>
      </c>
      <c r="P327" s="64" t="n">
        <f aca="false">INDEX(Datos_Origen!$I$2:$I$2459,$Z327)</f>
        <v>1617</v>
      </c>
      <c r="Q327" s="64" t="n">
        <f aca="false">INDEX(Datos_Origen!$J$2:$J$2459,$Z327)</f>
        <v>1122</v>
      </c>
      <c r="R327" s="65" t="n">
        <f aca="false">ROUND($O327*$P327,2)</f>
        <v>6468</v>
      </c>
      <c r="S327" s="65" t="n">
        <f aca="false">ROUND($O327*$Q327,2)</f>
        <v>4488</v>
      </c>
      <c r="T327" s="65" t="n">
        <f aca="false">ROUND($R327*SUMIFS(Parametros!$E$28:$E$43,Parametros!$B$28:$B$43,$J327,Parametros!$C$28:$C$43,$C327,Parametros!$D$28:$D$43,$D327),2)</f>
        <v>284.59</v>
      </c>
      <c r="U327" s="65" t="n">
        <f aca="false">$R327-$S327-$T327</f>
        <v>1695.41</v>
      </c>
      <c r="V327" s="66" t="n">
        <f aca="false">IFERROR($U327/$R327,0)</f>
        <v>0.262122758194187</v>
      </c>
      <c r="W327" s="67" t="str">
        <f aca="false">IF(AND($V327&gt;=Parametros!$C$8,$R327&gt;=Parametros!$C$12),"Alta rentabilidad",IF(OR($V327&lt;Parametros!$C$11,$R327&lt;Parametros!$C$13),"Revisar","Estandar"))</f>
        <v>Revisar</v>
      </c>
      <c r="X327" s="67" t="str">
        <f aca="false">IF(AND($J327="E-commerce",IFERROR($T327/$R327,0)&gt;Parametros!$C$14),"Alerta","OK")</f>
        <v>OK</v>
      </c>
      <c r="Y327" s="61" t="str">
        <f aca="false">IF($R327&gt;=Parametros!$C$12,"Alto",IF($R327&lt;Parametros!$C$13,"Bajo","Medio"))</f>
        <v>Alto</v>
      </c>
      <c r="Z327" s="61" t="n">
        <v>196</v>
      </c>
      <c r="AA327" s="61" t="str">
        <f aca="false">IF(MATCH($A327,Datos_Origen!$A$2:$A$2459,0)=$Z327,"OK","REVISAR")</f>
        <v>OK</v>
      </c>
      <c r="AB327" s="61" t="str">
        <f aca="false">INDEX(Datos_Origen!$B$2:$B$2459,$Z327)</f>
        <v>2024-04-15</v>
      </c>
      <c r="AC327" s="61" t="n">
        <f aca="false">INDEX(Datos_Origen!$H$2:$H$2459,$Z327)</f>
        <v>4</v>
      </c>
      <c r="AD327" s="61" t="str">
        <f aca="false">INDEX(Datos_Origen!$D$2:$D$2459,$Z327)&amp;""</f>
        <v>Cordoba</v>
      </c>
    </row>
    <row r="328" customFormat="false" ht="15" hidden="false" customHeight="false" outlineLevel="0" collapsed="false">
      <c r="A328" s="61" t="n">
        <f aca="false">INDEX(Datos_Origen!$A$2:$A$2459,$Z328)</f>
        <v>327</v>
      </c>
      <c r="B328" s="62" t="n">
        <f aca="false">IF(ISNUMBER($AB328),$AB328,IF(MID($AB328,5,1)="-",DATE(VALUE(LEFT($AB328,4)),VALUE(MID($AB328,6,2)),VALUE(RIGHT($AB328,2))),DATE(VALUE(RIGHT($AB328,4)),VALUE(MID($AB328,4,2)),VALUE(LEFT($AB328,2)))))</f>
        <v>45404</v>
      </c>
      <c r="C328" s="61" t="n">
        <f aca="false">YEAR($B328)</f>
        <v>2024</v>
      </c>
      <c r="D328" s="61" t="str">
        <f aca="false">"Q"&amp;ROUNDUP(MONTH($B328)/3,0)</f>
        <v>Q2</v>
      </c>
      <c r="E328" s="61" t="n">
        <f aca="false">MONTH($B328)</f>
        <v>4</v>
      </c>
      <c r="F328" s="61" t="str">
        <f aca="false">INDEX(Parametros!$I$5:$I$16,$E328)</f>
        <v>Abr</v>
      </c>
      <c r="G328" s="61" t="str">
        <f aca="false">TEXT($C328,"0000")&amp;"-"&amp;TEXT($E328,"00")</f>
        <v>2024-04</v>
      </c>
      <c r="H328" s="61" t="str">
        <f aca="false">INDEX(Parametros!$C$71:$C$91,MATCH(TRIM(INDEX(Datos_Origen!$C$2:$C$2459,$Z328)),Parametros!$B$71:$B$91,0))</f>
        <v>Centro</v>
      </c>
      <c r="I328" s="61" t="str">
        <f aca="false">IF(TRIM($AD328)="",INDEX(Parametros!$I$20:$I$24,MATCH($H328,Parametros!$H$20:$H$24,0)),TRIM($AD328))</f>
        <v>Cordoba</v>
      </c>
      <c r="J328" s="61" t="str">
        <f aca="false">INDEX(Parametros!$C$95:$C$106,MATCH(TRIM(INDEX(Datos_Origen!$E$2:$E$2459,$Z328)),Parametros!$B$95:$B$106,0))</f>
        <v>Tienda fisica</v>
      </c>
      <c r="K328" s="61" t="str">
        <f aca="false">INDEX(Parametros!$C$48:$C$67,MATCH(TRIM(INDEX(Datos_Origen!$F$2:$F$2459,$Z328)),Parametros!$B$48:$B$67,0))</f>
        <v>Accesorios</v>
      </c>
      <c r="L328" s="61" t="str">
        <f aca="false">$K328&amp;" "&amp;$C328</f>
        <v>Accesorios 2024</v>
      </c>
      <c r="M328" s="61" t="str">
        <f aca="false">TRIM(INDEX(Datos_Origen!$G$2:$G$2459,$Z328))</f>
        <v>Mouse Inalambrico</v>
      </c>
      <c r="N328" s="61" t="str">
        <f aca="false">$M328&amp;" "&amp;$C328</f>
        <v>Mouse Inalambrico 2024</v>
      </c>
      <c r="O328" s="63" t="n">
        <f aca="false">IF(ISTEXT($AC328),VALUE($AC328),$AC328)</f>
        <v>52</v>
      </c>
      <c r="P328" s="64" t="n">
        <f aca="false">INDEX(Datos_Origen!$I$2:$I$2459,$Z328)</f>
        <v>27.44</v>
      </c>
      <c r="Q328" s="64" t="n">
        <f aca="false">INDEX(Datos_Origen!$J$2:$J$2459,$Z328)</f>
        <v>13.44</v>
      </c>
      <c r="R328" s="65" t="n">
        <f aca="false">ROUND($O328*$P328,2)</f>
        <v>1426.88</v>
      </c>
      <c r="S328" s="65" t="n">
        <f aca="false">ROUND($O328*$Q328,2)</f>
        <v>698.88</v>
      </c>
      <c r="T328" s="65" t="n">
        <f aca="false">ROUND($R328*SUMIFS(Parametros!$E$28:$E$43,Parametros!$B$28:$B$43,$J328,Parametros!$C$28:$C$43,$C328,Parametros!$D$28:$D$43,$D328),2)</f>
        <v>17.12</v>
      </c>
      <c r="U328" s="65" t="n">
        <f aca="false">$R328-$S328-$T328</f>
        <v>710.88</v>
      </c>
      <c r="V328" s="66" t="n">
        <f aca="false">IFERROR($U328/$R328,0)</f>
        <v>0.498205875756896</v>
      </c>
      <c r="W328" s="67" t="str">
        <f aca="false">IF(AND($V328&gt;=Parametros!$C$8,$R328&gt;=Parametros!$C$12),"Alta rentabilidad",IF(OR($V328&lt;Parametros!$C$11,$R328&lt;Parametros!$C$13),"Revisar","Estandar"))</f>
        <v>Estandar</v>
      </c>
      <c r="X328" s="67" t="str">
        <f aca="false">IF(AND($J328="E-commerce",IFERROR($T328/$R328,0)&gt;Parametros!$C$14),"Alerta","OK")</f>
        <v>OK</v>
      </c>
      <c r="Y328" s="61" t="str">
        <f aca="false">IF($R328&gt;=Parametros!$C$12,"Alto",IF($R328&lt;Parametros!$C$13,"Bajo","Medio"))</f>
        <v>Medio</v>
      </c>
      <c r="Z328" s="61" t="n">
        <v>2369</v>
      </c>
      <c r="AA328" s="61" t="str">
        <f aca="false">IF(MATCH($A328,Datos_Origen!$A$2:$A$2459,0)=$Z328,"OK","REVISAR")</f>
        <v>OK</v>
      </c>
      <c r="AB328" s="61" t="str">
        <f aca="false">INDEX(Datos_Origen!$B$2:$B$2459,$Z328)</f>
        <v>22/04/2024</v>
      </c>
      <c r="AC328" s="61" t="n">
        <f aca="false">INDEX(Datos_Origen!$H$2:$H$2459,$Z328)</f>
        <v>52</v>
      </c>
      <c r="AD328" s="61" t="str">
        <f aca="false">INDEX(Datos_Origen!$D$2:$D$2459,$Z328)&amp;""</f>
        <v>Cordoba</v>
      </c>
    </row>
    <row r="329" customFormat="false" ht="15" hidden="false" customHeight="false" outlineLevel="0" collapsed="false">
      <c r="A329" s="61" t="n">
        <f aca="false">INDEX(Datos_Origen!$A$2:$A$2459,$Z329)</f>
        <v>328</v>
      </c>
      <c r="B329" s="62" t="n">
        <f aca="false">IF(ISNUMBER($AB329),$AB329,IF(MID($AB329,5,1)="-",DATE(VALUE(LEFT($AB329,4)),VALUE(MID($AB329,6,2)),VALUE(RIGHT($AB329,2))),DATE(VALUE(RIGHT($AB329,4)),VALUE(MID($AB329,4,2)),VALUE(LEFT($AB329,2)))))</f>
        <v>45384</v>
      </c>
      <c r="C329" s="61" t="n">
        <f aca="false">YEAR($B329)</f>
        <v>2024</v>
      </c>
      <c r="D329" s="61" t="str">
        <f aca="false">"Q"&amp;ROUNDUP(MONTH($B329)/3,0)</f>
        <v>Q2</v>
      </c>
      <c r="E329" s="61" t="n">
        <f aca="false">MONTH($B329)</f>
        <v>4</v>
      </c>
      <c r="F329" s="61" t="str">
        <f aca="false">INDEX(Parametros!$I$5:$I$16,$E329)</f>
        <v>Abr</v>
      </c>
      <c r="G329" s="61" t="str">
        <f aca="false">TEXT($C329,"0000")&amp;"-"&amp;TEXT($E329,"00")</f>
        <v>2024-04</v>
      </c>
      <c r="H329" s="61" t="str">
        <f aca="false">INDEX(Parametros!$C$71:$C$91,MATCH(TRIM(INDEX(Datos_Origen!$C$2:$C$2459,$Z329)),Parametros!$B$71:$B$91,0))</f>
        <v>Centro</v>
      </c>
      <c r="I329" s="61" t="str">
        <f aca="false">IF(TRIM($AD329)="",INDEX(Parametros!$I$20:$I$24,MATCH($H329,Parametros!$H$20:$H$24,0)),TRIM($AD329))</f>
        <v>Cordoba</v>
      </c>
      <c r="J329" s="61" t="str">
        <f aca="false">INDEX(Parametros!$C$95:$C$106,MATCH(TRIM(INDEX(Datos_Origen!$E$2:$E$2459,$Z329)),Parametros!$B$95:$B$106,0))</f>
        <v>E-commerce</v>
      </c>
      <c r="K329" s="61" t="str">
        <f aca="false">INDEX(Parametros!$C$48:$C$67,MATCH(TRIM(INDEX(Datos_Origen!$F$2:$F$2459,$Z329)),Parametros!$B$48:$B$67,0))</f>
        <v>Accesorios</v>
      </c>
      <c r="L329" s="61" t="str">
        <f aca="false">$K329&amp;" "&amp;$C329</f>
        <v>Accesorios 2024</v>
      </c>
      <c r="M329" s="61" t="str">
        <f aca="false">TRIM(INDEX(Datos_Origen!$G$2:$G$2459,$Z329))</f>
        <v>Mouse Inalambrico</v>
      </c>
      <c r="N329" s="61" t="str">
        <f aca="false">$M329&amp;" "&amp;$C329</f>
        <v>Mouse Inalambrico 2024</v>
      </c>
      <c r="O329" s="63" t="n">
        <f aca="false">IF(ISTEXT($AC329),VALUE($AC329),$AC329)</f>
        <v>22</v>
      </c>
      <c r="P329" s="64" t="n">
        <f aca="false">INDEX(Datos_Origen!$I$2:$I$2459,$Z329)</f>
        <v>27.44</v>
      </c>
      <c r="Q329" s="64" t="n">
        <f aca="false">INDEX(Datos_Origen!$J$2:$J$2459,$Z329)</f>
        <v>13.44</v>
      </c>
      <c r="R329" s="65" t="n">
        <f aca="false">ROUND($O329*$P329,2)</f>
        <v>603.68</v>
      </c>
      <c r="S329" s="65" t="n">
        <f aca="false">ROUND($O329*$Q329,2)</f>
        <v>295.68</v>
      </c>
      <c r="T329" s="65" t="n">
        <f aca="false">ROUND($R329*SUMIFS(Parametros!$E$28:$E$43,Parametros!$B$28:$B$43,$J329,Parametros!$C$28:$C$43,$C329,Parametros!$D$28:$D$43,$D329),2)</f>
        <v>26.56</v>
      </c>
      <c r="U329" s="65" t="n">
        <f aca="false">$R329-$S329-$T329</f>
        <v>281.44</v>
      </c>
      <c r="V329" s="66" t="n">
        <f aca="false">IFERROR($U329/$R329,0)</f>
        <v>0.466207262125629</v>
      </c>
      <c r="W329" s="67" t="str">
        <f aca="false">IF(AND($V329&gt;=Parametros!$C$8,$R329&gt;=Parametros!$C$12),"Alta rentabilidad",IF(OR($V329&lt;Parametros!$C$11,$R329&lt;Parametros!$C$13),"Revisar","Estandar"))</f>
        <v>Estandar</v>
      </c>
      <c r="X329" s="67" t="str">
        <f aca="false">IF(AND($J329="E-commerce",IFERROR($T329/$R329,0)&gt;Parametros!$C$14),"Alerta","OK")</f>
        <v>OK</v>
      </c>
      <c r="Y329" s="61" t="str">
        <f aca="false">IF($R329&gt;=Parametros!$C$12,"Alto",IF($R329&lt;Parametros!$C$13,"Bajo","Medio"))</f>
        <v>Medio</v>
      </c>
      <c r="Z329" s="61" t="n">
        <v>1513</v>
      </c>
      <c r="AA329" s="61" t="str">
        <f aca="false">IF(MATCH($A329,Datos_Origen!$A$2:$A$2459,0)=$Z329,"OK","REVISAR")</f>
        <v>OK</v>
      </c>
      <c r="AB329" s="62" t="n">
        <f aca="false">INDEX(Datos_Origen!$B$2:$B$2459,$Z329)</f>
        <v>45384</v>
      </c>
      <c r="AC329" s="61" t="n">
        <f aca="false">INDEX(Datos_Origen!$H$2:$H$2459,$Z329)</f>
        <v>22</v>
      </c>
      <c r="AD329" s="61" t="str">
        <f aca="false">INDEX(Datos_Origen!$D$2:$D$2459,$Z329)&amp;""</f>
        <v>Cordoba</v>
      </c>
    </row>
    <row r="330" customFormat="false" ht="15" hidden="false" customHeight="false" outlineLevel="0" collapsed="false">
      <c r="A330" s="61" t="n">
        <f aca="false">INDEX(Datos_Origen!$A$2:$A$2459,$Z330)</f>
        <v>329</v>
      </c>
      <c r="B330" s="62" t="n">
        <f aca="false">IF(ISNUMBER($AB330),$AB330,IF(MID($AB330,5,1)="-",DATE(VALUE(LEFT($AB330,4)),VALUE(MID($AB330,6,2)),VALUE(RIGHT($AB330,2))),DATE(VALUE(RIGHT($AB330,4)),VALUE(MID($AB330,4,2)),VALUE(LEFT($AB330,2)))))</f>
        <v>45391</v>
      </c>
      <c r="C330" s="61" t="n">
        <f aca="false">YEAR($B330)</f>
        <v>2024</v>
      </c>
      <c r="D330" s="61" t="str">
        <f aca="false">"Q"&amp;ROUNDUP(MONTH($B330)/3,0)</f>
        <v>Q2</v>
      </c>
      <c r="E330" s="61" t="n">
        <f aca="false">MONTH($B330)</f>
        <v>4</v>
      </c>
      <c r="F330" s="61" t="str">
        <f aca="false">INDEX(Parametros!$I$5:$I$16,$E330)</f>
        <v>Abr</v>
      </c>
      <c r="G330" s="61" t="str">
        <f aca="false">TEXT($C330,"0000")&amp;"-"&amp;TEXT($E330,"00")</f>
        <v>2024-04</v>
      </c>
      <c r="H330" s="61" t="str">
        <f aca="false">INDEX(Parametros!$C$71:$C$91,MATCH(TRIM(INDEX(Datos_Origen!$C$2:$C$2459,$Z330)),Parametros!$B$71:$B$91,0))</f>
        <v>Centro</v>
      </c>
      <c r="I330" s="61" t="str">
        <f aca="false">IF(TRIM($AD330)="",INDEX(Parametros!$I$20:$I$24,MATCH($H330,Parametros!$H$20:$H$24,0)),TRIM($AD330))</f>
        <v>Cordoba</v>
      </c>
      <c r="J330" s="61" t="str">
        <f aca="false">INDEX(Parametros!$C$95:$C$106,MATCH(TRIM(INDEX(Datos_Origen!$E$2:$E$2459,$Z330)),Parametros!$B$95:$B$106,0))</f>
        <v>Tienda fisica</v>
      </c>
      <c r="K330" s="61" t="str">
        <f aca="false">INDEX(Parametros!$C$48:$C$67,MATCH(TRIM(INDEX(Datos_Origen!$F$2:$F$2459,$Z330)),Parametros!$B$48:$B$67,0))</f>
        <v>Accesorios</v>
      </c>
      <c r="L330" s="61" t="str">
        <f aca="false">$K330&amp;" "&amp;$C330</f>
        <v>Accesorios 2024</v>
      </c>
      <c r="M330" s="61" t="str">
        <f aca="false">TRIM(INDEX(Datos_Origen!$G$2:$G$2459,$Z330))</f>
        <v>Teclado Mecanico</v>
      </c>
      <c r="N330" s="61" t="str">
        <f aca="false">$M330&amp;" "&amp;$C330</f>
        <v>Teclado Mecanico 2024</v>
      </c>
      <c r="O330" s="63" t="n">
        <f aca="false">IF(ISTEXT($AC330),VALUE($AC330),$AC330)</f>
        <v>56</v>
      </c>
      <c r="P330" s="64" t="n">
        <f aca="false">INDEX(Datos_Origen!$I$2:$I$2459,$Z330)</f>
        <v>93.1</v>
      </c>
      <c r="Q330" s="64" t="n">
        <f aca="false">INDEX(Datos_Origen!$J$2:$J$2459,$Z330)</f>
        <v>47.98</v>
      </c>
      <c r="R330" s="65" t="n">
        <f aca="false">ROUND($O330*$P330,2)</f>
        <v>5213.6</v>
      </c>
      <c r="S330" s="65" t="n">
        <f aca="false">ROUND($O330*$Q330,2)</f>
        <v>2686.88</v>
      </c>
      <c r="T330" s="65" t="n">
        <f aca="false">ROUND($R330*SUMIFS(Parametros!$E$28:$E$43,Parametros!$B$28:$B$43,$J330,Parametros!$C$28:$C$43,$C330,Parametros!$D$28:$D$43,$D330),2)</f>
        <v>62.56</v>
      </c>
      <c r="U330" s="65" t="n">
        <f aca="false">$R330-$S330-$T330</f>
        <v>2464.16</v>
      </c>
      <c r="V330" s="66" t="n">
        <f aca="false">IFERROR($U330/$R330,0)</f>
        <v>0.472640785637563</v>
      </c>
      <c r="W330" s="67" t="str">
        <f aca="false">IF(AND($V330&gt;=Parametros!$C$8,$R330&gt;=Parametros!$C$12),"Alta rentabilidad",IF(OR($V330&lt;Parametros!$C$11,$R330&lt;Parametros!$C$13),"Revisar","Estandar"))</f>
        <v>Alta rentabilidad</v>
      </c>
      <c r="X330" s="67" t="str">
        <f aca="false">IF(AND($J330="E-commerce",IFERROR($T330/$R330,0)&gt;Parametros!$C$14),"Alerta","OK")</f>
        <v>OK</v>
      </c>
      <c r="Y330" s="61" t="str">
        <f aca="false">IF($R330&gt;=Parametros!$C$12,"Alto",IF($R330&lt;Parametros!$C$13,"Bajo","Medio"))</f>
        <v>Alto</v>
      </c>
      <c r="Z330" s="61" t="n">
        <v>1268</v>
      </c>
      <c r="AA330" s="61" t="str">
        <f aca="false">IF(MATCH($A330,Datos_Origen!$A$2:$A$2459,0)=$Z330,"OK","REVISAR")</f>
        <v>OK</v>
      </c>
      <c r="AB330" s="62" t="n">
        <f aca="false">INDEX(Datos_Origen!$B$2:$B$2459,$Z330)</f>
        <v>45391</v>
      </c>
      <c r="AC330" s="61" t="n">
        <f aca="false">INDEX(Datos_Origen!$H$2:$H$2459,$Z330)</f>
        <v>56</v>
      </c>
      <c r="AD330" s="61" t="str">
        <f aca="false">INDEX(Datos_Origen!$D$2:$D$2459,$Z330)&amp;""</f>
        <v>Cordoba</v>
      </c>
    </row>
    <row r="331" customFormat="false" ht="15" hidden="false" customHeight="false" outlineLevel="0" collapsed="false">
      <c r="A331" s="61" t="n">
        <f aca="false">INDEX(Datos_Origen!$A$2:$A$2459,$Z331)</f>
        <v>330</v>
      </c>
      <c r="B331" s="62" t="n">
        <f aca="false">IF(ISNUMBER($AB331),$AB331,IF(MID($AB331,5,1)="-",DATE(VALUE(LEFT($AB331,4)),VALUE(MID($AB331,6,2)),VALUE(RIGHT($AB331,2))),DATE(VALUE(RIGHT($AB331,4)),VALUE(MID($AB331,4,2)),VALUE(LEFT($AB331,2)))))</f>
        <v>45398</v>
      </c>
      <c r="C331" s="61" t="n">
        <f aca="false">YEAR($B331)</f>
        <v>2024</v>
      </c>
      <c r="D331" s="61" t="str">
        <f aca="false">"Q"&amp;ROUNDUP(MONTH($B331)/3,0)</f>
        <v>Q2</v>
      </c>
      <c r="E331" s="61" t="n">
        <f aca="false">MONTH($B331)</f>
        <v>4</v>
      </c>
      <c r="F331" s="61" t="str">
        <f aca="false">INDEX(Parametros!$I$5:$I$16,$E331)</f>
        <v>Abr</v>
      </c>
      <c r="G331" s="61" t="str">
        <f aca="false">TEXT($C331,"0000")&amp;"-"&amp;TEXT($E331,"00")</f>
        <v>2024-04</v>
      </c>
      <c r="H331" s="61" t="str">
        <f aca="false">INDEX(Parametros!$C$71:$C$91,MATCH(TRIM(INDEX(Datos_Origen!$C$2:$C$2459,$Z331)),Parametros!$B$71:$B$91,0))</f>
        <v>Centro</v>
      </c>
      <c r="I331" s="61" t="str">
        <f aca="false">IF(TRIM($AD331)="",INDEX(Parametros!$I$20:$I$24,MATCH($H331,Parametros!$H$20:$H$24,0)),TRIM($AD331))</f>
        <v>Cordoba</v>
      </c>
      <c r="J331" s="61" t="str">
        <f aca="false">INDEX(Parametros!$C$95:$C$106,MATCH(TRIM(INDEX(Datos_Origen!$E$2:$E$2459,$Z331)),Parametros!$B$95:$B$106,0))</f>
        <v>E-commerce</v>
      </c>
      <c r="K331" s="61" t="str">
        <f aca="false">INDEX(Parametros!$C$48:$C$67,MATCH(TRIM(INDEX(Datos_Origen!$F$2:$F$2459,$Z331)),Parametros!$B$48:$B$67,0))</f>
        <v>Accesorios</v>
      </c>
      <c r="L331" s="61" t="str">
        <f aca="false">$K331&amp;" "&amp;$C331</f>
        <v>Accesorios 2024</v>
      </c>
      <c r="M331" s="61" t="str">
        <f aca="false">TRIM(INDEX(Datos_Origen!$G$2:$G$2459,$Z331))</f>
        <v>Teclado Mecanico</v>
      </c>
      <c r="N331" s="61" t="str">
        <f aca="false">$M331&amp;" "&amp;$C331</f>
        <v>Teclado Mecanico 2024</v>
      </c>
      <c r="O331" s="63" t="n">
        <f aca="false">IF(ISTEXT($AC331),VALUE($AC331),$AC331)</f>
        <v>19</v>
      </c>
      <c r="P331" s="64" t="n">
        <f aca="false">INDEX(Datos_Origen!$I$2:$I$2459,$Z331)</f>
        <v>93.1</v>
      </c>
      <c r="Q331" s="64" t="n">
        <f aca="false">INDEX(Datos_Origen!$J$2:$J$2459,$Z331)</f>
        <v>47.98</v>
      </c>
      <c r="R331" s="65" t="n">
        <f aca="false">ROUND($O331*$P331,2)</f>
        <v>1768.9</v>
      </c>
      <c r="S331" s="65" t="n">
        <f aca="false">ROUND($O331*$Q331,2)</f>
        <v>911.62</v>
      </c>
      <c r="T331" s="65" t="n">
        <f aca="false">ROUND($R331*SUMIFS(Parametros!$E$28:$E$43,Parametros!$B$28:$B$43,$J331,Parametros!$C$28:$C$43,$C331,Parametros!$D$28:$D$43,$D331),2)</f>
        <v>77.83</v>
      </c>
      <c r="U331" s="65" t="n">
        <f aca="false">$R331-$S331-$T331</f>
        <v>779.45</v>
      </c>
      <c r="V331" s="66" t="n">
        <f aca="false">IFERROR($U331/$R331,0)</f>
        <v>0.440641076375148</v>
      </c>
      <c r="W331" s="67" t="str">
        <f aca="false">IF(AND($V331&gt;=Parametros!$C$8,$R331&gt;=Parametros!$C$12),"Alta rentabilidad",IF(OR($V331&lt;Parametros!$C$11,$R331&lt;Parametros!$C$13),"Revisar","Estandar"))</f>
        <v>Estandar</v>
      </c>
      <c r="X331" s="67" t="str">
        <f aca="false">IF(AND($J331="E-commerce",IFERROR($T331/$R331,0)&gt;Parametros!$C$14),"Alerta","OK")</f>
        <v>OK</v>
      </c>
      <c r="Y331" s="61" t="str">
        <f aca="false">IF($R331&gt;=Parametros!$C$12,"Alto",IF($R331&lt;Parametros!$C$13,"Bajo","Medio"))</f>
        <v>Medio</v>
      </c>
      <c r="Z331" s="61" t="n">
        <v>1561</v>
      </c>
      <c r="AA331" s="61" t="str">
        <f aca="false">IF(MATCH($A331,Datos_Origen!$A$2:$A$2459,0)=$Z331,"OK","REVISAR")</f>
        <v>OK</v>
      </c>
      <c r="AB331" s="62" t="n">
        <f aca="false">INDEX(Datos_Origen!$B$2:$B$2459,$Z331)</f>
        <v>45398</v>
      </c>
      <c r="AC331" s="61" t="str">
        <f aca="false">INDEX(Datos_Origen!$H$2:$H$2459,$Z331)</f>
        <v>19</v>
      </c>
      <c r="AD331" s="61" t="str">
        <f aca="false">INDEX(Datos_Origen!$D$2:$D$2459,$Z331)&amp;""</f>
        <v/>
      </c>
    </row>
    <row r="332" customFormat="false" ht="15" hidden="false" customHeight="false" outlineLevel="0" collapsed="false">
      <c r="A332" s="61" t="n">
        <f aca="false">INDEX(Datos_Origen!$A$2:$A$2459,$Z332)</f>
        <v>331</v>
      </c>
      <c r="B332" s="62" t="n">
        <f aca="false">IF(ISNUMBER($AB332),$AB332,IF(MID($AB332,5,1)="-",DATE(VALUE(LEFT($AB332,4)),VALUE(MID($AB332,6,2)),VALUE(RIGHT($AB332,2))),DATE(VALUE(RIGHT($AB332,4)),VALUE(MID($AB332,4,2)),VALUE(LEFT($AB332,2)))))</f>
        <v>45405</v>
      </c>
      <c r="C332" s="61" t="n">
        <f aca="false">YEAR($B332)</f>
        <v>2024</v>
      </c>
      <c r="D332" s="61" t="str">
        <f aca="false">"Q"&amp;ROUNDUP(MONTH($B332)/3,0)</f>
        <v>Q2</v>
      </c>
      <c r="E332" s="61" t="n">
        <f aca="false">MONTH($B332)</f>
        <v>4</v>
      </c>
      <c r="F332" s="61" t="str">
        <f aca="false">INDEX(Parametros!$I$5:$I$16,$E332)</f>
        <v>Abr</v>
      </c>
      <c r="G332" s="61" t="str">
        <f aca="false">TEXT($C332,"0000")&amp;"-"&amp;TEXT($E332,"00")</f>
        <v>2024-04</v>
      </c>
      <c r="H332" s="61" t="str">
        <f aca="false">INDEX(Parametros!$C$71:$C$91,MATCH(TRIM(INDEX(Datos_Origen!$C$2:$C$2459,$Z332)),Parametros!$B$71:$B$91,0))</f>
        <v>Centro</v>
      </c>
      <c r="I332" s="61" t="str">
        <f aca="false">IF(TRIM($AD332)="",INDEX(Parametros!$I$20:$I$24,MATCH($H332,Parametros!$H$20:$H$24,0)),TRIM($AD332))</f>
        <v>Cordoba</v>
      </c>
      <c r="J332" s="61" t="str">
        <f aca="false">INDEX(Parametros!$C$95:$C$106,MATCH(TRIM(INDEX(Datos_Origen!$E$2:$E$2459,$Z332)),Parametros!$B$95:$B$106,0))</f>
        <v>Tienda fisica</v>
      </c>
      <c r="K332" s="61" t="str">
        <f aca="false">INDEX(Parametros!$C$48:$C$67,MATCH(TRIM(INDEX(Datos_Origen!$F$2:$F$2459,$Z332)),Parametros!$B$48:$B$67,0))</f>
        <v>Accesorios</v>
      </c>
      <c r="L332" s="61" t="str">
        <f aca="false">$K332&amp;" "&amp;$C332</f>
        <v>Accesorios 2024</v>
      </c>
      <c r="M332" s="61" t="str">
        <f aca="false">TRIM(INDEX(Datos_Origen!$G$2:$G$2459,$Z332))</f>
        <v>Webcam Full HD</v>
      </c>
      <c r="N332" s="61" t="str">
        <f aca="false">$M332&amp;" "&amp;$C332</f>
        <v>Webcam Full HD 2024</v>
      </c>
      <c r="O332" s="63" t="n">
        <f aca="false">IF(ISTEXT($AC332),VALUE($AC332),$AC332)</f>
        <v>50</v>
      </c>
      <c r="P332" s="64" t="n">
        <f aca="false">INDEX(Datos_Origen!$I$2:$I$2459,$Z332)</f>
        <v>63.7</v>
      </c>
      <c r="Q332" s="64" t="n">
        <f aca="false">INDEX(Datos_Origen!$J$2:$J$2459,$Z332)</f>
        <v>35.43</v>
      </c>
      <c r="R332" s="65" t="n">
        <f aca="false">ROUND($O332*$P332,2)</f>
        <v>3185</v>
      </c>
      <c r="S332" s="65" t="n">
        <f aca="false">ROUND($O332*$Q332,2)</f>
        <v>1771.5</v>
      </c>
      <c r="T332" s="65" t="n">
        <f aca="false">ROUND($R332*SUMIFS(Parametros!$E$28:$E$43,Parametros!$B$28:$B$43,$J332,Parametros!$C$28:$C$43,$C332,Parametros!$D$28:$D$43,$D332),2)</f>
        <v>38.22</v>
      </c>
      <c r="U332" s="65" t="n">
        <f aca="false">$R332-$S332-$T332</f>
        <v>1375.28</v>
      </c>
      <c r="V332" s="66" t="n">
        <f aca="false">IFERROR($U332/$R332,0)</f>
        <v>0.431799058084772</v>
      </c>
      <c r="W332" s="67" t="str">
        <f aca="false">IF(AND($V332&gt;=Parametros!$C$8,$R332&gt;=Parametros!$C$12),"Alta rentabilidad",IF(OR($V332&lt;Parametros!$C$11,$R332&lt;Parametros!$C$13),"Revisar","Estandar"))</f>
        <v>Alta rentabilidad</v>
      </c>
      <c r="X332" s="67" t="str">
        <f aca="false">IF(AND($J332="E-commerce",IFERROR($T332/$R332,0)&gt;Parametros!$C$14),"Alerta","OK")</f>
        <v>OK</v>
      </c>
      <c r="Y332" s="61" t="str">
        <f aca="false">IF($R332&gt;=Parametros!$C$12,"Alto",IF($R332&lt;Parametros!$C$13,"Bajo","Medio"))</f>
        <v>Alto</v>
      </c>
      <c r="Z332" s="61" t="n">
        <v>1139</v>
      </c>
      <c r="AA332" s="61" t="str">
        <f aca="false">IF(MATCH($A332,Datos_Origen!$A$2:$A$2459,0)=$Z332,"OK","REVISAR")</f>
        <v>OK</v>
      </c>
      <c r="AB332" s="62" t="n">
        <f aca="false">INDEX(Datos_Origen!$B$2:$B$2459,$Z332)</f>
        <v>45405</v>
      </c>
      <c r="AC332" s="61" t="n">
        <f aca="false">INDEX(Datos_Origen!$H$2:$H$2459,$Z332)</f>
        <v>50</v>
      </c>
      <c r="AD332" s="61" t="str">
        <f aca="false">INDEX(Datos_Origen!$D$2:$D$2459,$Z332)&amp;""</f>
        <v>Cordoba</v>
      </c>
    </row>
    <row r="333" customFormat="false" ht="15" hidden="false" customHeight="false" outlineLevel="0" collapsed="false">
      <c r="A333" s="61" t="n">
        <f aca="false">INDEX(Datos_Origen!$A$2:$A$2459,$Z333)</f>
        <v>332</v>
      </c>
      <c r="B333" s="62" t="n">
        <f aca="false">IF(ISNUMBER($AB333),$AB333,IF(MID($AB333,5,1)="-",DATE(VALUE(LEFT($AB333,4)),VALUE(MID($AB333,6,2)),VALUE(RIGHT($AB333,2))),DATE(VALUE(RIGHT($AB333,4)),VALUE(MID($AB333,4,2)),VALUE(LEFT($AB333,2)))))</f>
        <v>45385</v>
      </c>
      <c r="C333" s="61" t="n">
        <f aca="false">YEAR($B333)</f>
        <v>2024</v>
      </c>
      <c r="D333" s="61" t="str">
        <f aca="false">"Q"&amp;ROUNDUP(MONTH($B333)/3,0)</f>
        <v>Q2</v>
      </c>
      <c r="E333" s="61" t="n">
        <f aca="false">MONTH($B333)</f>
        <v>4</v>
      </c>
      <c r="F333" s="61" t="str">
        <f aca="false">INDEX(Parametros!$I$5:$I$16,$E333)</f>
        <v>Abr</v>
      </c>
      <c r="G333" s="61" t="str">
        <f aca="false">TEXT($C333,"0000")&amp;"-"&amp;TEXT($E333,"00")</f>
        <v>2024-04</v>
      </c>
      <c r="H333" s="61" t="str">
        <f aca="false">INDEX(Parametros!$C$71:$C$91,MATCH(TRIM(INDEX(Datos_Origen!$C$2:$C$2459,$Z333)),Parametros!$B$71:$B$91,0))</f>
        <v>Centro</v>
      </c>
      <c r="I333" s="61" t="str">
        <f aca="false">IF(TRIM($AD333)="",INDEX(Parametros!$I$20:$I$24,MATCH($H333,Parametros!$H$20:$H$24,0)),TRIM($AD333))</f>
        <v>Cordoba</v>
      </c>
      <c r="J333" s="61" t="str">
        <f aca="false">INDEX(Parametros!$C$95:$C$106,MATCH(TRIM(INDEX(Datos_Origen!$E$2:$E$2459,$Z333)),Parametros!$B$95:$B$106,0))</f>
        <v>E-commerce</v>
      </c>
      <c r="K333" s="61" t="str">
        <f aca="false">INDEX(Parametros!$C$48:$C$67,MATCH(TRIM(INDEX(Datos_Origen!$F$2:$F$2459,$Z333)),Parametros!$B$48:$B$67,0))</f>
        <v>Accesorios</v>
      </c>
      <c r="L333" s="61" t="str">
        <f aca="false">$K333&amp;" "&amp;$C333</f>
        <v>Accesorios 2024</v>
      </c>
      <c r="M333" s="61" t="str">
        <f aca="false">TRIM(INDEX(Datos_Origen!$G$2:$G$2459,$Z333))</f>
        <v>Webcam Full HD</v>
      </c>
      <c r="N333" s="61" t="str">
        <f aca="false">$M333&amp;" "&amp;$C333</f>
        <v>Webcam Full HD 2024</v>
      </c>
      <c r="O333" s="63" t="n">
        <f aca="false">IF(ISTEXT($AC333),VALUE($AC333),$AC333)</f>
        <v>21</v>
      </c>
      <c r="P333" s="64" t="n">
        <f aca="false">INDEX(Datos_Origen!$I$2:$I$2459,$Z333)</f>
        <v>63.7</v>
      </c>
      <c r="Q333" s="64" t="n">
        <f aca="false">INDEX(Datos_Origen!$J$2:$J$2459,$Z333)</f>
        <v>35.43</v>
      </c>
      <c r="R333" s="65" t="n">
        <f aca="false">ROUND($O333*$P333,2)</f>
        <v>1337.7</v>
      </c>
      <c r="S333" s="65" t="n">
        <f aca="false">ROUND($O333*$Q333,2)</f>
        <v>744.03</v>
      </c>
      <c r="T333" s="65" t="n">
        <f aca="false">ROUND($R333*SUMIFS(Parametros!$E$28:$E$43,Parametros!$B$28:$B$43,$J333,Parametros!$C$28:$C$43,$C333,Parametros!$D$28:$D$43,$D333),2)</f>
        <v>58.86</v>
      </c>
      <c r="U333" s="65" t="n">
        <f aca="false">$R333-$S333-$T333</f>
        <v>534.81</v>
      </c>
      <c r="V333" s="66" t="n">
        <f aca="false">IFERROR($U333/$R333,0)</f>
        <v>0.399798161022651</v>
      </c>
      <c r="W333" s="67" t="str">
        <f aca="false">IF(AND($V333&gt;=Parametros!$C$8,$R333&gt;=Parametros!$C$12),"Alta rentabilidad",IF(OR($V333&lt;Parametros!$C$11,$R333&lt;Parametros!$C$13),"Revisar","Estandar"))</f>
        <v>Estandar</v>
      </c>
      <c r="X333" s="67" t="str">
        <f aca="false">IF(AND($J333="E-commerce",IFERROR($T333/$R333,0)&gt;Parametros!$C$14),"Alerta","OK")</f>
        <v>OK</v>
      </c>
      <c r="Y333" s="61" t="str">
        <f aca="false">IF($R333&gt;=Parametros!$C$12,"Alto",IF($R333&lt;Parametros!$C$13,"Bajo","Medio"))</f>
        <v>Medio</v>
      </c>
      <c r="Z333" s="61" t="n">
        <v>2353</v>
      </c>
      <c r="AA333" s="61" t="str">
        <f aca="false">IF(MATCH($A333,Datos_Origen!$A$2:$A$2459,0)=$Z333,"OK","REVISAR")</f>
        <v>OK</v>
      </c>
      <c r="AB333" s="61" t="str">
        <f aca="false">INDEX(Datos_Origen!$B$2:$B$2459,$Z333)</f>
        <v>03/04/2024</v>
      </c>
      <c r="AC333" s="61" t="n">
        <f aca="false">INDEX(Datos_Origen!$H$2:$H$2459,$Z333)</f>
        <v>21</v>
      </c>
      <c r="AD333" s="61" t="str">
        <f aca="false">INDEX(Datos_Origen!$D$2:$D$2459,$Z333)&amp;""</f>
        <v>Cordoba</v>
      </c>
    </row>
    <row r="334" customFormat="false" ht="15" hidden="false" customHeight="false" outlineLevel="0" collapsed="false">
      <c r="A334" s="61" t="n">
        <f aca="false">INDEX(Datos_Origen!$A$2:$A$2459,$Z334)</f>
        <v>333</v>
      </c>
      <c r="B334" s="62" t="n">
        <f aca="false">IF(ISNUMBER($AB334),$AB334,IF(MID($AB334,5,1)="-",DATE(VALUE(LEFT($AB334,4)),VALUE(MID($AB334,6,2)),VALUE(RIGHT($AB334,2))),DATE(VALUE(RIGHT($AB334,4)),VALUE(MID($AB334,4,2)),VALUE(LEFT($AB334,2)))))</f>
        <v>45392</v>
      </c>
      <c r="C334" s="61" t="n">
        <f aca="false">YEAR($B334)</f>
        <v>2024</v>
      </c>
      <c r="D334" s="61" t="str">
        <f aca="false">"Q"&amp;ROUNDUP(MONTH($B334)/3,0)</f>
        <v>Q2</v>
      </c>
      <c r="E334" s="61" t="n">
        <f aca="false">MONTH($B334)</f>
        <v>4</v>
      </c>
      <c r="F334" s="61" t="str">
        <f aca="false">INDEX(Parametros!$I$5:$I$16,$E334)</f>
        <v>Abr</v>
      </c>
      <c r="G334" s="61" t="str">
        <f aca="false">TEXT($C334,"0000")&amp;"-"&amp;TEXT($E334,"00")</f>
        <v>2024-04</v>
      </c>
      <c r="H334" s="61" t="str">
        <f aca="false">INDEX(Parametros!$C$71:$C$91,MATCH(TRIM(INDEX(Datos_Origen!$C$2:$C$2459,$Z334)),Parametros!$B$71:$B$91,0))</f>
        <v>Centro</v>
      </c>
      <c r="I334" s="61" t="str">
        <f aca="false">IF(TRIM($AD334)="",INDEX(Parametros!$I$20:$I$24,MATCH($H334,Parametros!$H$20:$H$24,0)),TRIM($AD334))</f>
        <v>Cordoba</v>
      </c>
      <c r="J334" s="61" t="str">
        <f aca="false">INDEX(Parametros!$C$95:$C$106,MATCH(TRIM(INDEX(Datos_Origen!$E$2:$E$2459,$Z334)),Parametros!$B$95:$B$106,0))</f>
        <v>Tienda fisica</v>
      </c>
      <c r="K334" s="61" t="str">
        <f aca="false">INDEX(Parametros!$C$48:$C$67,MATCH(TRIM(INDEX(Datos_Origen!$F$2:$F$2459,$Z334)),Parametros!$B$48:$B$67,0))</f>
        <v>Audio</v>
      </c>
      <c r="L334" s="61" t="str">
        <f aca="false">$K334&amp;" "&amp;$C334</f>
        <v>Audio 2024</v>
      </c>
      <c r="M334" s="61" t="str">
        <f aca="false">TRIM(INDEX(Datos_Origen!$G$2:$G$2459,$Z334))</f>
        <v>Auriculares BT Pro</v>
      </c>
      <c r="N334" s="61" t="str">
        <f aca="false">$M334&amp;" "&amp;$C334</f>
        <v>Auriculares BT Pro 2024</v>
      </c>
      <c r="O334" s="63" t="n">
        <f aca="false">IF(ISTEXT($AC334),VALUE($AC334),$AC334)</f>
        <v>24</v>
      </c>
      <c r="P334" s="64" t="n">
        <f aca="false">INDEX(Datos_Origen!$I$2:$I$2459,$Z334)</f>
        <v>117.6</v>
      </c>
      <c r="Q334" s="64" t="n">
        <f aca="false">INDEX(Datos_Origen!$J$2:$J$2459,$Z334)</f>
        <v>63.6</v>
      </c>
      <c r="R334" s="65" t="n">
        <f aca="false">ROUND($O334*$P334,2)</f>
        <v>2822.4</v>
      </c>
      <c r="S334" s="65" t="n">
        <f aca="false">ROUND($O334*$Q334,2)</f>
        <v>1526.4</v>
      </c>
      <c r="T334" s="65" t="n">
        <f aca="false">ROUND($R334*SUMIFS(Parametros!$E$28:$E$43,Parametros!$B$28:$B$43,$J334,Parametros!$C$28:$C$43,$C334,Parametros!$D$28:$D$43,$D334),2)</f>
        <v>33.87</v>
      </c>
      <c r="U334" s="65" t="n">
        <f aca="false">$R334-$S334-$T334</f>
        <v>1262.13</v>
      </c>
      <c r="V334" s="66" t="n">
        <f aca="false">IFERROR($U334/$R334,0)</f>
        <v>0.44718324829932</v>
      </c>
      <c r="W334" s="67" t="str">
        <f aca="false">IF(AND($V334&gt;=Parametros!$C$8,$R334&gt;=Parametros!$C$12),"Alta rentabilidad",IF(OR($V334&lt;Parametros!$C$11,$R334&lt;Parametros!$C$13),"Revisar","Estandar"))</f>
        <v>Estandar</v>
      </c>
      <c r="X334" s="67" t="str">
        <f aca="false">IF(AND($J334="E-commerce",IFERROR($T334/$R334,0)&gt;Parametros!$C$14),"Alerta","OK")</f>
        <v>OK</v>
      </c>
      <c r="Y334" s="61" t="str">
        <f aca="false">IF($R334&gt;=Parametros!$C$12,"Alto",IF($R334&lt;Parametros!$C$13,"Bajo","Medio"))</f>
        <v>Medio</v>
      </c>
      <c r="Z334" s="61" t="n">
        <v>1226</v>
      </c>
      <c r="AA334" s="61" t="str">
        <f aca="false">IF(MATCH($A334,Datos_Origen!$A$2:$A$2459,0)=$Z334,"OK","REVISAR")</f>
        <v>OK</v>
      </c>
      <c r="AB334" s="62" t="n">
        <f aca="false">INDEX(Datos_Origen!$B$2:$B$2459,$Z334)</f>
        <v>45392</v>
      </c>
      <c r="AC334" s="61" t="n">
        <f aca="false">INDEX(Datos_Origen!$H$2:$H$2459,$Z334)</f>
        <v>24</v>
      </c>
      <c r="AD334" s="61" t="str">
        <f aca="false">INDEX(Datos_Origen!$D$2:$D$2459,$Z334)&amp;""</f>
        <v>Cordoba</v>
      </c>
    </row>
    <row r="335" customFormat="false" ht="15" hidden="false" customHeight="false" outlineLevel="0" collapsed="false">
      <c r="A335" s="61" t="n">
        <f aca="false">INDEX(Datos_Origen!$A$2:$A$2459,$Z335)</f>
        <v>334</v>
      </c>
      <c r="B335" s="62" t="n">
        <f aca="false">IF(ISNUMBER($AB335),$AB335,IF(MID($AB335,5,1)="-",DATE(VALUE(LEFT($AB335,4)),VALUE(MID($AB335,6,2)),VALUE(RIGHT($AB335,2))),DATE(VALUE(RIGHT($AB335,4)),VALUE(MID($AB335,4,2)),VALUE(LEFT($AB335,2)))))</f>
        <v>45399</v>
      </c>
      <c r="C335" s="61" t="n">
        <f aca="false">YEAR($B335)</f>
        <v>2024</v>
      </c>
      <c r="D335" s="61" t="str">
        <f aca="false">"Q"&amp;ROUNDUP(MONTH($B335)/3,0)</f>
        <v>Q2</v>
      </c>
      <c r="E335" s="61" t="n">
        <f aca="false">MONTH($B335)</f>
        <v>4</v>
      </c>
      <c r="F335" s="61" t="str">
        <f aca="false">INDEX(Parametros!$I$5:$I$16,$E335)</f>
        <v>Abr</v>
      </c>
      <c r="G335" s="61" t="str">
        <f aca="false">TEXT($C335,"0000")&amp;"-"&amp;TEXT($E335,"00")</f>
        <v>2024-04</v>
      </c>
      <c r="H335" s="61" t="str">
        <f aca="false">INDEX(Parametros!$C$71:$C$91,MATCH(TRIM(INDEX(Datos_Origen!$C$2:$C$2459,$Z335)),Parametros!$B$71:$B$91,0))</f>
        <v>Centro</v>
      </c>
      <c r="I335" s="61" t="str">
        <f aca="false">IF(TRIM($AD335)="",INDEX(Parametros!$I$20:$I$24,MATCH($H335,Parametros!$H$20:$H$24,0)),TRIM($AD335))</f>
        <v>Cordoba</v>
      </c>
      <c r="J335" s="61" t="str">
        <f aca="false">INDEX(Parametros!$C$95:$C$106,MATCH(TRIM(INDEX(Datos_Origen!$E$2:$E$2459,$Z335)),Parametros!$B$95:$B$106,0))</f>
        <v>E-commerce</v>
      </c>
      <c r="K335" s="61" t="str">
        <f aca="false">INDEX(Parametros!$C$48:$C$67,MATCH(TRIM(INDEX(Datos_Origen!$F$2:$F$2459,$Z335)),Parametros!$B$48:$B$67,0))</f>
        <v>Audio</v>
      </c>
      <c r="L335" s="61" t="str">
        <f aca="false">$K335&amp;" "&amp;$C335</f>
        <v>Audio 2024</v>
      </c>
      <c r="M335" s="61" t="str">
        <f aca="false">TRIM(INDEX(Datos_Origen!$G$2:$G$2459,$Z335))</f>
        <v>Auriculares BT Pro</v>
      </c>
      <c r="N335" s="61" t="str">
        <f aca="false">$M335&amp;" "&amp;$C335</f>
        <v>Auriculares BT Pro 2024</v>
      </c>
      <c r="O335" s="63" t="n">
        <f aca="false">IF(ISTEXT($AC335),VALUE($AC335),$AC335)</f>
        <v>9</v>
      </c>
      <c r="P335" s="64" t="n">
        <f aca="false">INDEX(Datos_Origen!$I$2:$I$2459,$Z335)</f>
        <v>117.6</v>
      </c>
      <c r="Q335" s="64" t="n">
        <f aca="false">INDEX(Datos_Origen!$J$2:$J$2459,$Z335)</f>
        <v>63.6</v>
      </c>
      <c r="R335" s="65" t="n">
        <f aca="false">ROUND($O335*$P335,2)</f>
        <v>1058.4</v>
      </c>
      <c r="S335" s="65" t="n">
        <f aca="false">ROUND($O335*$Q335,2)</f>
        <v>572.4</v>
      </c>
      <c r="T335" s="65" t="n">
        <f aca="false">ROUND($R335*SUMIFS(Parametros!$E$28:$E$43,Parametros!$B$28:$B$43,$J335,Parametros!$C$28:$C$43,$C335,Parametros!$D$28:$D$43,$D335),2)</f>
        <v>46.57</v>
      </c>
      <c r="U335" s="65" t="n">
        <f aca="false">$R335-$S335-$T335</f>
        <v>439.43</v>
      </c>
      <c r="V335" s="66" t="n">
        <f aca="false">IFERROR($U335/$R335,0)</f>
        <v>0.415183295540439</v>
      </c>
      <c r="W335" s="67" t="str">
        <f aca="false">IF(AND($V335&gt;=Parametros!$C$8,$R335&gt;=Parametros!$C$12),"Alta rentabilidad",IF(OR($V335&lt;Parametros!$C$11,$R335&lt;Parametros!$C$13),"Revisar","Estandar"))</f>
        <v>Estandar</v>
      </c>
      <c r="X335" s="67" t="str">
        <f aca="false">IF(AND($J335="E-commerce",IFERROR($T335/$R335,0)&gt;Parametros!$C$14),"Alerta","OK")</f>
        <v>OK</v>
      </c>
      <c r="Y335" s="61" t="str">
        <f aca="false">IF($R335&gt;=Parametros!$C$12,"Alto",IF($R335&lt;Parametros!$C$13,"Bajo","Medio"))</f>
        <v>Medio</v>
      </c>
      <c r="Z335" s="61" t="n">
        <v>126</v>
      </c>
      <c r="AA335" s="61" t="str">
        <f aca="false">IF(MATCH($A335,Datos_Origen!$A$2:$A$2459,0)=$Z335,"OK","REVISAR")</f>
        <v>OK</v>
      </c>
      <c r="AB335" s="62" t="n">
        <f aca="false">INDEX(Datos_Origen!$B$2:$B$2459,$Z335)</f>
        <v>45399</v>
      </c>
      <c r="AC335" s="61" t="n">
        <f aca="false">INDEX(Datos_Origen!$H$2:$H$2459,$Z335)</f>
        <v>9</v>
      </c>
      <c r="AD335" s="61" t="str">
        <f aca="false">INDEX(Datos_Origen!$D$2:$D$2459,$Z335)&amp;""</f>
        <v/>
      </c>
    </row>
    <row r="336" customFormat="false" ht="15" hidden="false" customHeight="false" outlineLevel="0" collapsed="false">
      <c r="A336" s="61" t="n">
        <f aca="false">INDEX(Datos_Origen!$A$2:$A$2459,$Z336)</f>
        <v>335</v>
      </c>
      <c r="B336" s="62" t="n">
        <f aca="false">IF(ISNUMBER($AB336),$AB336,IF(MID($AB336,5,1)="-",DATE(VALUE(LEFT($AB336,4)),VALUE(MID($AB336,6,2)),VALUE(RIGHT($AB336,2))),DATE(VALUE(RIGHT($AB336,4)),VALUE(MID($AB336,4,2)),VALUE(LEFT($AB336,2)))))</f>
        <v>45406</v>
      </c>
      <c r="C336" s="61" t="n">
        <f aca="false">YEAR($B336)</f>
        <v>2024</v>
      </c>
      <c r="D336" s="61" t="str">
        <f aca="false">"Q"&amp;ROUNDUP(MONTH($B336)/3,0)</f>
        <v>Q2</v>
      </c>
      <c r="E336" s="61" t="n">
        <f aca="false">MONTH($B336)</f>
        <v>4</v>
      </c>
      <c r="F336" s="61" t="str">
        <f aca="false">INDEX(Parametros!$I$5:$I$16,$E336)</f>
        <v>Abr</v>
      </c>
      <c r="G336" s="61" t="str">
        <f aca="false">TEXT($C336,"0000")&amp;"-"&amp;TEXT($E336,"00")</f>
        <v>2024-04</v>
      </c>
      <c r="H336" s="61" t="str">
        <f aca="false">INDEX(Parametros!$C$71:$C$91,MATCH(TRIM(INDEX(Datos_Origen!$C$2:$C$2459,$Z336)),Parametros!$B$71:$B$91,0))</f>
        <v>Centro</v>
      </c>
      <c r="I336" s="61" t="str">
        <f aca="false">IF(TRIM($AD336)="",INDEX(Parametros!$I$20:$I$24,MATCH($H336,Parametros!$H$20:$H$24,0)),TRIM($AD336))</f>
        <v>Cordoba</v>
      </c>
      <c r="J336" s="61" t="str">
        <f aca="false">INDEX(Parametros!$C$95:$C$106,MATCH(TRIM(INDEX(Datos_Origen!$E$2:$E$2459,$Z336)),Parametros!$B$95:$B$106,0))</f>
        <v>Tienda fisica</v>
      </c>
      <c r="K336" s="61" t="str">
        <f aca="false">INDEX(Parametros!$C$48:$C$67,MATCH(TRIM(INDEX(Datos_Origen!$F$2:$F$2459,$Z336)),Parametros!$B$48:$B$67,0))</f>
        <v>Audio</v>
      </c>
      <c r="L336" s="61" t="str">
        <f aca="false">$K336&amp;" "&amp;$C336</f>
        <v>Audio 2024</v>
      </c>
      <c r="M336" s="61" t="str">
        <f aca="false">TRIM(INDEX(Datos_Origen!$G$2:$G$2459,$Z336))</f>
        <v>Parlante Bluetooth</v>
      </c>
      <c r="N336" s="61" t="str">
        <f aca="false">$M336&amp;" "&amp;$C336</f>
        <v>Parlante Bluetooth 2024</v>
      </c>
      <c r="O336" s="63" t="n">
        <f aca="false">IF(ISTEXT($AC336),VALUE($AC336),$AC336)</f>
        <v>22</v>
      </c>
      <c r="P336" s="64" t="n">
        <f aca="false">INDEX(Datos_Origen!$I$2:$I$2459,$Z336)</f>
        <v>83.3</v>
      </c>
      <c r="Q336" s="64" t="n">
        <f aca="false">INDEX(Datos_Origen!$J$2:$J$2459,$Z336)</f>
        <v>48.03</v>
      </c>
      <c r="R336" s="65" t="n">
        <f aca="false">ROUND($O336*$P336,2)</f>
        <v>1832.6</v>
      </c>
      <c r="S336" s="65" t="n">
        <f aca="false">ROUND($O336*$Q336,2)</f>
        <v>1056.66</v>
      </c>
      <c r="T336" s="65" t="n">
        <f aca="false">ROUND($R336*SUMIFS(Parametros!$E$28:$E$43,Parametros!$B$28:$B$43,$J336,Parametros!$C$28:$C$43,$C336,Parametros!$D$28:$D$43,$D336),2)</f>
        <v>21.99</v>
      </c>
      <c r="U336" s="65" t="n">
        <f aca="false">$R336-$S336-$T336</f>
        <v>753.95</v>
      </c>
      <c r="V336" s="66" t="n">
        <f aca="false">IFERROR($U336/$R336,0)</f>
        <v>0.411410018552876</v>
      </c>
      <c r="W336" s="67" t="str">
        <f aca="false">IF(AND($V336&gt;=Parametros!$C$8,$R336&gt;=Parametros!$C$12),"Alta rentabilidad",IF(OR($V336&lt;Parametros!$C$11,$R336&lt;Parametros!$C$13),"Revisar","Estandar"))</f>
        <v>Estandar</v>
      </c>
      <c r="X336" s="67" t="str">
        <f aca="false">IF(AND($J336="E-commerce",IFERROR($T336/$R336,0)&gt;Parametros!$C$14),"Alerta","OK")</f>
        <v>OK</v>
      </c>
      <c r="Y336" s="61" t="str">
        <f aca="false">IF($R336&gt;=Parametros!$C$12,"Alto",IF($R336&lt;Parametros!$C$13,"Bajo","Medio"))</f>
        <v>Medio</v>
      </c>
      <c r="Z336" s="61" t="n">
        <v>338</v>
      </c>
      <c r="AA336" s="61" t="str">
        <f aca="false">IF(MATCH($A336,Datos_Origen!$A$2:$A$2459,0)=$Z336,"OK","REVISAR")</f>
        <v>OK</v>
      </c>
      <c r="AB336" s="61" t="str">
        <f aca="false">INDEX(Datos_Origen!$B$2:$B$2459,$Z336)</f>
        <v>24/04/2024</v>
      </c>
      <c r="AC336" s="61" t="n">
        <f aca="false">INDEX(Datos_Origen!$H$2:$H$2459,$Z336)</f>
        <v>22</v>
      </c>
      <c r="AD336" s="61" t="str">
        <f aca="false">INDEX(Datos_Origen!$D$2:$D$2459,$Z336)&amp;""</f>
        <v>Cordoba</v>
      </c>
    </row>
    <row r="337" customFormat="false" ht="15" hidden="false" customHeight="false" outlineLevel="0" collapsed="false">
      <c r="A337" s="61" t="n">
        <f aca="false">INDEX(Datos_Origen!$A$2:$A$2459,$Z337)</f>
        <v>336</v>
      </c>
      <c r="B337" s="62" t="n">
        <f aca="false">IF(ISNUMBER($AB337),$AB337,IF(MID($AB337,5,1)="-",DATE(VALUE(LEFT($AB337,4)),VALUE(MID($AB337,6,2)),VALUE(RIGHT($AB337,2))),DATE(VALUE(RIGHT($AB337,4)),VALUE(MID($AB337,4,2)),VALUE(LEFT($AB337,2)))))</f>
        <v>45386</v>
      </c>
      <c r="C337" s="61" t="n">
        <f aca="false">YEAR($B337)</f>
        <v>2024</v>
      </c>
      <c r="D337" s="61" t="str">
        <f aca="false">"Q"&amp;ROUNDUP(MONTH($B337)/3,0)</f>
        <v>Q2</v>
      </c>
      <c r="E337" s="61" t="n">
        <f aca="false">MONTH($B337)</f>
        <v>4</v>
      </c>
      <c r="F337" s="61" t="str">
        <f aca="false">INDEX(Parametros!$I$5:$I$16,$E337)</f>
        <v>Abr</v>
      </c>
      <c r="G337" s="61" t="str">
        <f aca="false">TEXT($C337,"0000")&amp;"-"&amp;TEXT($E337,"00")</f>
        <v>2024-04</v>
      </c>
      <c r="H337" s="61" t="str">
        <f aca="false">INDEX(Parametros!$C$71:$C$91,MATCH(TRIM(INDEX(Datos_Origen!$C$2:$C$2459,$Z337)),Parametros!$B$71:$B$91,0))</f>
        <v>Centro</v>
      </c>
      <c r="I337" s="61" t="str">
        <f aca="false">IF(TRIM($AD337)="",INDEX(Parametros!$I$20:$I$24,MATCH($H337,Parametros!$H$20:$H$24,0)),TRIM($AD337))</f>
        <v>Cordoba</v>
      </c>
      <c r="J337" s="61" t="str">
        <f aca="false">INDEX(Parametros!$C$95:$C$106,MATCH(TRIM(INDEX(Datos_Origen!$E$2:$E$2459,$Z337)),Parametros!$B$95:$B$106,0))</f>
        <v>E-commerce</v>
      </c>
      <c r="K337" s="61" t="str">
        <f aca="false">INDEX(Parametros!$C$48:$C$67,MATCH(TRIM(INDEX(Datos_Origen!$F$2:$F$2459,$Z337)),Parametros!$B$48:$B$67,0))</f>
        <v>Audio</v>
      </c>
      <c r="L337" s="61" t="str">
        <f aca="false">$K337&amp;" "&amp;$C337</f>
        <v>Audio 2024</v>
      </c>
      <c r="M337" s="61" t="str">
        <f aca="false">TRIM(INDEX(Datos_Origen!$G$2:$G$2459,$Z337))</f>
        <v>Parlante Bluetooth</v>
      </c>
      <c r="N337" s="61" t="str">
        <f aca="false">$M337&amp;" "&amp;$C337</f>
        <v>Parlante Bluetooth 2024</v>
      </c>
      <c r="O337" s="63" t="n">
        <f aca="false">IF(ISTEXT($AC337),VALUE($AC337),$AC337)</f>
        <v>11</v>
      </c>
      <c r="P337" s="64" t="n">
        <f aca="false">INDEX(Datos_Origen!$I$2:$I$2459,$Z337)</f>
        <v>83.3</v>
      </c>
      <c r="Q337" s="64" t="n">
        <f aca="false">INDEX(Datos_Origen!$J$2:$J$2459,$Z337)</f>
        <v>48.03</v>
      </c>
      <c r="R337" s="65" t="n">
        <f aca="false">ROUND($O337*$P337,2)</f>
        <v>916.3</v>
      </c>
      <c r="S337" s="65" t="n">
        <f aca="false">ROUND($O337*$Q337,2)</f>
        <v>528.33</v>
      </c>
      <c r="T337" s="65" t="n">
        <f aca="false">ROUND($R337*SUMIFS(Parametros!$E$28:$E$43,Parametros!$B$28:$B$43,$J337,Parametros!$C$28:$C$43,$C337,Parametros!$D$28:$D$43,$D337),2)</f>
        <v>40.32</v>
      </c>
      <c r="U337" s="65" t="n">
        <f aca="false">$R337-$S337-$T337</f>
        <v>347.65</v>
      </c>
      <c r="V337" s="66" t="n">
        <f aca="false">IFERROR($U337/$R337,0)</f>
        <v>0.379406307977737</v>
      </c>
      <c r="W337" s="67" t="str">
        <f aca="false">IF(AND($V337&gt;=Parametros!$C$8,$R337&gt;=Parametros!$C$12),"Alta rentabilidad",IF(OR($V337&lt;Parametros!$C$11,$R337&lt;Parametros!$C$13),"Revisar","Estandar"))</f>
        <v>Estandar</v>
      </c>
      <c r="X337" s="67" t="str">
        <f aca="false">IF(AND($J337="E-commerce",IFERROR($T337/$R337,0)&gt;Parametros!$C$14),"Alerta","OK")</f>
        <v>OK</v>
      </c>
      <c r="Y337" s="61" t="str">
        <f aca="false">IF($R337&gt;=Parametros!$C$12,"Alto",IF($R337&lt;Parametros!$C$13,"Bajo","Medio"))</f>
        <v>Medio</v>
      </c>
      <c r="Z337" s="61" t="n">
        <v>497</v>
      </c>
      <c r="AA337" s="61" t="str">
        <f aca="false">IF(MATCH($A337,Datos_Origen!$A$2:$A$2459,0)=$Z337,"OK","REVISAR")</f>
        <v>OK</v>
      </c>
      <c r="AB337" s="62" t="n">
        <f aca="false">INDEX(Datos_Origen!$B$2:$B$2459,$Z337)</f>
        <v>45386</v>
      </c>
      <c r="AC337" s="61" t="n">
        <f aca="false">INDEX(Datos_Origen!$H$2:$H$2459,$Z337)</f>
        <v>11</v>
      </c>
      <c r="AD337" s="61" t="str">
        <f aca="false">INDEX(Datos_Origen!$D$2:$D$2459,$Z337)&amp;""</f>
        <v>Cordoba</v>
      </c>
    </row>
    <row r="338" customFormat="false" ht="15" hidden="false" customHeight="false" outlineLevel="0" collapsed="false">
      <c r="A338" s="61" t="n">
        <f aca="false">INDEX(Datos_Origen!$A$2:$A$2459,$Z338)</f>
        <v>337</v>
      </c>
      <c r="B338" s="62" t="n">
        <f aca="false">IF(ISNUMBER($AB338),$AB338,IF(MID($AB338,5,1)="-",DATE(VALUE(LEFT($AB338,4)),VALUE(MID($AB338,6,2)),VALUE(RIGHT($AB338,2))),DATE(VALUE(RIGHT($AB338,4)),VALUE(MID($AB338,4,2)),VALUE(LEFT($AB338,2)))))</f>
        <v>45393</v>
      </c>
      <c r="C338" s="61" t="n">
        <f aca="false">YEAR($B338)</f>
        <v>2024</v>
      </c>
      <c r="D338" s="61" t="str">
        <f aca="false">"Q"&amp;ROUNDUP(MONTH($B338)/3,0)</f>
        <v>Q2</v>
      </c>
      <c r="E338" s="61" t="n">
        <f aca="false">MONTH($B338)</f>
        <v>4</v>
      </c>
      <c r="F338" s="61" t="str">
        <f aca="false">INDEX(Parametros!$I$5:$I$16,$E338)</f>
        <v>Abr</v>
      </c>
      <c r="G338" s="61" t="str">
        <f aca="false">TEXT($C338,"0000")&amp;"-"&amp;TEXT($E338,"00")</f>
        <v>2024-04</v>
      </c>
      <c r="H338" s="61" t="str">
        <f aca="false">INDEX(Parametros!$C$71:$C$91,MATCH(TRIM(INDEX(Datos_Origen!$C$2:$C$2459,$Z338)),Parametros!$B$71:$B$91,0))</f>
        <v>Centro</v>
      </c>
      <c r="I338" s="61" t="str">
        <f aca="false">IF(TRIM($AD338)="",INDEX(Parametros!$I$20:$I$24,MATCH($H338,Parametros!$H$20:$H$24,0)),TRIM($AD338))</f>
        <v>Cordoba</v>
      </c>
      <c r="J338" s="61" t="str">
        <f aca="false">INDEX(Parametros!$C$95:$C$106,MATCH(TRIM(INDEX(Datos_Origen!$E$2:$E$2459,$Z338)),Parametros!$B$95:$B$106,0))</f>
        <v>Tienda fisica</v>
      </c>
      <c r="K338" s="61" t="str">
        <f aca="false">INDEX(Parametros!$C$48:$C$67,MATCH(TRIM(INDEX(Datos_Origen!$F$2:$F$2459,$Z338)),Parametros!$B$48:$B$67,0))</f>
        <v>Almacenamiento</v>
      </c>
      <c r="L338" s="61" t="str">
        <f aca="false">$K338&amp;" "&amp;$C338</f>
        <v>Almacenamiento 2024</v>
      </c>
      <c r="M338" s="61" t="str">
        <f aca="false">TRIM(INDEX(Datos_Origen!$G$2:$G$2459,$Z338))</f>
        <v>SSD Externo 1TB</v>
      </c>
      <c r="N338" s="61" t="str">
        <f aca="false">$M338&amp;" "&amp;$C338</f>
        <v>SSD Externo 1TB 2024</v>
      </c>
      <c r="O338" s="63" t="n">
        <f aca="false">IF(ISTEXT($AC338),VALUE($AC338),$AC338)</f>
        <v>31</v>
      </c>
      <c r="P338" s="64" t="n">
        <f aca="false">INDEX(Datos_Origen!$I$2:$I$2459,$Z338)</f>
        <v>127.4</v>
      </c>
      <c r="Q338" s="64" t="n">
        <f aca="false">INDEX(Datos_Origen!$J$2:$J$2459,$Z338)</f>
        <v>76.05</v>
      </c>
      <c r="R338" s="65" t="n">
        <f aca="false">ROUND($O338*$P338,2)</f>
        <v>3949.4</v>
      </c>
      <c r="S338" s="65" t="n">
        <f aca="false">ROUND($O338*$Q338,2)</f>
        <v>2357.55</v>
      </c>
      <c r="T338" s="65" t="n">
        <f aca="false">ROUND($R338*SUMIFS(Parametros!$E$28:$E$43,Parametros!$B$28:$B$43,$J338,Parametros!$C$28:$C$43,$C338,Parametros!$D$28:$D$43,$D338),2)</f>
        <v>47.39</v>
      </c>
      <c r="U338" s="65" t="n">
        <f aca="false">$R338-$S338-$T338</f>
        <v>1544.46</v>
      </c>
      <c r="V338" s="66" t="n">
        <f aca="false">IFERROR($U338/$R338,0)</f>
        <v>0.391061933458247</v>
      </c>
      <c r="W338" s="67" t="str">
        <f aca="false">IF(AND($V338&gt;=Parametros!$C$8,$R338&gt;=Parametros!$C$12),"Alta rentabilidad",IF(OR($V338&lt;Parametros!$C$11,$R338&lt;Parametros!$C$13),"Revisar","Estandar"))</f>
        <v>Alta rentabilidad</v>
      </c>
      <c r="X338" s="67" t="str">
        <f aca="false">IF(AND($J338="E-commerce",IFERROR($T338/$R338,0)&gt;Parametros!$C$14),"Alerta","OK")</f>
        <v>OK</v>
      </c>
      <c r="Y338" s="61" t="str">
        <f aca="false">IF($R338&gt;=Parametros!$C$12,"Alto",IF($R338&lt;Parametros!$C$13,"Bajo","Medio"))</f>
        <v>Alto</v>
      </c>
      <c r="Z338" s="61" t="n">
        <v>1052</v>
      </c>
      <c r="AA338" s="61" t="str">
        <f aca="false">IF(MATCH($A338,Datos_Origen!$A$2:$A$2459,0)=$Z338,"OK","REVISAR")</f>
        <v>OK</v>
      </c>
      <c r="AB338" s="62" t="n">
        <f aca="false">INDEX(Datos_Origen!$B$2:$B$2459,$Z338)</f>
        <v>45393</v>
      </c>
      <c r="AC338" s="61" t="str">
        <f aca="false">INDEX(Datos_Origen!$H$2:$H$2459,$Z338)</f>
        <v>31</v>
      </c>
      <c r="AD338" s="61" t="str">
        <f aca="false">INDEX(Datos_Origen!$D$2:$D$2459,$Z338)&amp;""</f>
        <v>Cordoba</v>
      </c>
    </row>
    <row r="339" customFormat="false" ht="15" hidden="false" customHeight="false" outlineLevel="0" collapsed="false">
      <c r="A339" s="61" t="n">
        <f aca="false">INDEX(Datos_Origen!$A$2:$A$2459,$Z339)</f>
        <v>338</v>
      </c>
      <c r="B339" s="62" t="n">
        <f aca="false">IF(ISNUMBER($AB339),$AB339,IF(MID($AB339,5,1)="-",DATE(VALUE(LEFT($AB339,4)),VALUE(MID($AB339,6,2)),VALUE(RIGHT($AB339,2))),DATE(VALUE(RIGHT($AB339,4)),VALUE(MID($AB339,4,2)),VALUE(LEFT($AB339,2)))))</f>
        <v>45400</v>
      </c>
      <c r="C339" s="61" t="n">
        <f aca="false">YEAR($B339)</f>
        <v>2024</v>
      </c>
      <c r="D339" s="61" t="str">
        <f aca="false">"Q"&amp;ROUNDUP(MONTH($B339)/3,0)</f>
        <v>Q2</v>
      </c>
      <c r="E339" s="61" t="n">
        <f aca="false">MONTH($B339)</f>
        <v>4</v>
      </c>
      <c r="F339" s="61" t="str">
        <f aca="false">INDEX(Parametros!$I$5:$I$16,$E339)</f>
        <v>Abr</v>
      </c>
      <c r="G339" s="61" t="str">
        <f aca="false">TEXT($C339,"0000")&amp;"-"&amp;TEXT($E339,"00")</f>
        <v>2024-04</v>
      </c>
      <c r="H339" s="61" t="str">
        <f aca="false">INDEX(Parametros!$C$71:$C$91,MATCH(TRIM(INDEX(Datos_Origen!$C$2:$C$2459,$Z339)),Parametros!$B$71:$B$91,0))</f>
        <v>Centro</v>
      </c>
      <c r="I339" s="61" t="str">
        <f aca="false">IF(TRIM($AD339)="",INDEX(Parametros!$I$20:$I$24,MATCH($H339,Parametros!$H$20:$H$24,0)),TRIM($AD339))</f>
        <v>Cordoba</v>
      </c>
      <c r="J339" s="61" t="str">
        <f aca="false">INDEX(Parametros!$C$95:$C$106,MATCH(TRIM(INDEX(Datos_Origen!$E$2:$E$2459,$Z339)),Parametros!$B$95:$B$106,0))</f>
        <v>E-commerce</v>
      </c>
      <c r="K339" s="61" t="str">
        <f aca="false">INDEX(Parametros!$C$48:$C$67,MATCH(TRIM(INDEX(Datos_Origen!$F$2:$F$2459,$Z339)),Parametros!$B$48:$B$67,0))</f>
        <v>Almacenamiento</v>
      </c>
      <c r="L339" s="61" t="str">
        <f aca="false">$K339&amp;" "&amp;$C339</f>
        <v>Almacenamiento 2024</v>
      </c>
      <c r="M339" s="61" t="str">
        <f aca="false">TRIM(INDEX(Datos_Origen!$G$2:$G$2459,$Z339))</f>
        <v>SSD Externo 1TB</v>
      </c>
      <c r="N339" s="61" t="str">
        <f aca="false">$M339&amp;" "&amp;$C339</f>
        <v>SSD Externo 1TB 2024</v>
      </c>
      <c r="O339" s="63" t="n">
        <f aca="false">IF(ISTEXT($AC339),VALUE($AC339),$AC339)</f>
        <v>12</v>
      </c>
      <c r="P339" s="64" t="n">
        <f aca="false">INDEX(Datos_Origen!$I$2:$I$2459,$Z339)</f>
        <v>127.4</v>
      </c>
      <c r="Q339" s="64" t="n">
        <f aca="false">INDEX(Datos_Origen!$J$2:$J$2459,$Z339)</f>
        <v>76.05</v>
      </c>
      <c r="R339" s="65" t="n">
        <f aca="false">ROUND($O339*$P339,2)</f>
        <v>1528.8</v>
      </c>
      <c r="S339" s="65" t="n">
        <f aca="false">ROUND($O339*$Q339,2)</f>
        <v>912.6</v>
      </c>
      <c r="T339" s="65" t="n">
        <f aca="false">ROUND($R339*SUMIFS(Parametros!$E$28:$E$43,Parametros!$B$28:$B$43,$J339,Parametros!$C$28:$C$43,$C339,Parametros!$D$28:$D$43,$D339),2)</f>
        <v>67.27</v>
      </c>
      <c r="U339" s="65" t="n">
        <f aca="false">$R339-$S339-$T339</f>
        <v>548.93</v>
      </c>
      <c r="V339" s="66" t="n">
        <f aca="false">IFERROR($U339/$R339,0)</f>
        <v>0.359059392987964</v>
      </c>
      <c r="W339" s="67" t="str">
        <f aca="false">IF(AND($V339&gt;=Parametros!$C$8,$R339&gt;=Parametros!$C$12),"Alta rentabilidad",IF(OR($V339&lt;Parametros!$C$11,$R339&lt;Parametros!$C$13),"Revisar","Estandar"))</f>
        <v>Estandar</v>
      </c>
      <c r="X339" s="67" t="str">
        <f aca="false">IF(AND($J339="E-commerce",IFERROR($T339/$R339,0)&gt;Parametros!$C$14),"Alerta","OK")</f>
        <v>OK</v>
      </c>
      <c r="Y339" s="61" t="str">
        <f aca="false">IF($R339&gt;=Parametros!$C$12,"Alto",IF($R339&lt;Parametros!$C$13,"Bajo","Medio"))</f>
        <v>Medio</v>
      </c>
      <c r="Z339" s="61" t="n">
        <v>1442</v>
      </c>
      <c r="AA339" s="61" t="str">
        <f aca="false">IF(MATCH($A339,Datos_Origen!$A$2:$A$2459,0)=$Z339,"OK","REVISAR")</f>
        <v>OK</v>
      </c>
      <c r="AB339" s="61" t="str">
        <f aca="false">INDEX(Datos_Origen!$B$2:$B$2459,$Z339)</f>
        <v>18/04/2024</v>
      </c>
      <c r="AC339" s="61" t="n">
        <f aca="false">INDEX(Datos_Origen!$H$2:$H$2459,$Z339)</f>
        <v>12</v>
      </c>
      <c r="AD339" s="61" t="str">
        <f aca="false">INDEX(Datos_Origen!$D$2:$D$2459,$Z339)&amp;""</f>
        <v>Cordoba</v>
      </c>
    </row>
    <row r="340" customFormat="false" ht="15" hidden="false" customHeight="false" outlineLevel="0" collapsed="false">
      <c r="A340" s="61" t="n">
        <f aca="false">INDEX(Datos_Origen!$A$2:$A$2459,$Z340)</f>
        <v>339</v>
      </c>
      <c r="B340" s="62" t="n">
        <f aca="false">IF(ISNUMBER($AB340),$AB340,IF(MID($AB340,5,1)="-",DATE(VALUE(LEFT($AB340,4)),VALUE(MID($AB340,6,2)),VALUE(RIGHT($AB340,2))),DATE(VALUE(RIGHT($AB340,4)),VALUE(MID($AB340,4,2)),VALUE(LEFT($AB340,2)))))</f>
        <v>45407</v>
      </c>
      <c r="C340" s="61" t="n">
        <f aca="false">YEAR($B340)</f>
        <v>2024</v>
      </c>
      <c r="D340" s="61" t="str">
        <f aca="false">"Q"&amp;ROUNDUP(MONTH($B340)/3,0)</f>
        <v>Q2</v>
      </c>
      <c r="E340" s="61" t="n">
        <f aca="false">MONTH($B340)</f>
        <v>4</v>
      </c>
      <c r="F340" s="61" t="str">
        <f aca="false">INDEX(Parametros!$I$5:$I$16,$E340)</f>
        <v>Abr</v>
      </c>
      <c r="G340" s="61" t="str">
        <f aca="false">TEXT($C340,"0000")&amp;"-"&amp;TEXT($E340,"00")</f>
        <v>2024-04</v>
      </c>
      <c r="H340" s="61" t="str">
        <f aca="false">INDEX(Parametros!$C$71:$C$91,MATCH(TRIM(INDEX(Datos_Origen!$C$2:$C$2459,$Z340)),Parametros!$B$71:$B$91,0))</f>
        <v>Centro</v>
      </c>
      <c r="I340" s="61" t="str">
        <f aca="false">IF(TRIM($AD340)="",INDEX(Parametros!$I$20:$I$24,MATCH($H340,Parametros!$H$20:$H$24,0)),TRIM($AD340))</f>
        <v>Cordoba</v>
      </c>
      <c r="J340" s="61" t="str">
        <f aca="false">INDEX(Parametros!$C$95:$C$106,MATCH(TRIM(INDEX(Datos_Origen!$E$2:$E$2459,$Z340)),Parametros!$B$95:$B$106,0))</f>
        <v>Tienda fisica</v>
      </c>
      <c r="K340" s="61" t="str">
        <f aca="false">INDEX(Parametros!$C$48:$C$67,MATCH(TRIM(INDEX(Datos_Origen!$F$2:$F$2459,$Z340)),Parametros!$B$48:$B$67,0))</f>
        <v>Almacenamiento</v>
      </c>
      <c r="L340" s="61" t="str">
        <f aca="false">$K340&amp;" "&amp;$C340</f>
        <v>Almacenamiento 2024</v>
      </c>
      <c r="M340" s="61" t="str">
        <f aca="false">TRIM(INDEX(Datos_Origen!$G$2:$G$2459,$Z340))</f>
        <v>Pendrive 256GB</v>
      </c>
      <c r="N340" s="61" t="str">
        <f aca="false">$M340&amp;" "&amp;$C340</f>
        <v>Pendrive 256GB 2024</v>
      </c>
      <c r="O340" s="63" t="n">
        <f aca="false">IF(ISTEXT($AC340),VALUE($AC340),$AC340)</f>
        <v>34</v>
      </c>
      <c r="P340" s="64" t="n">
        <f aca="false">INDEX(Datos_Origen!$I$2:$I$2459,$Z340)</f>
        <v>34.3</v>
      </c>
      <c r="Q340" s="64" t="n">
        <f aca="false">INDEX(Datos_Origen!$J$2:$J$2459,$Z340)</f>
        <v>17.85</v>
      </c>
      <c r="R340" s="65" t="n">
        <f aca="false">ROUND($O340*$P340,2)</f>
        <v>1166.2</v>
      </c>
      <c r="S340" s="65" t="n">
        <f aca="false">ROUND($O340*$Q340,2)</f>
        <v>606.9</v>
      </c>
      <c r="T340" s="65" t="n">
        <f aca="false">ROUND($R340*SUMIFS(Parametros!$E$28:$E$43,Parametros!$B$28:$B$43,$J340,Parametros!$C$28:$C$43,$C340,Parametros!$D$28:$D$43,$D340),2)</f>
        <v>13.99</v>
      </c>
      <c r="U340" s="65" t="n">
        <f aca="false">$R340-$S340-$T340</f>
        <v>545.31</v>
      </c>
      <c r="V340" s="66" t="n">
        <f aca="false">IFERROR($U340/$R340,0)</f>
        <v>0.46759560967244</v>
      </c>
      <c r="W340" s="67" t="str">
        <f aca="false">IF(AND($V340&gt;=Parametros!$C$8,$R340&gt;=Parametros!$C$12),"Alta rentabilidad",IF(OR($V340&lt;Parametros!$C$11,$R340&lt;Parametros!$C$13),"Revisar","Estandar"))</f>
        <v>Estandar</v>
      </c>
      <c r="X340" s="67" t="str">
        <f aca="false">IF(AND($J340="E-commerce",IFERROR($T340/$R340,0)&gt;Parametros!$C$14),"Alerta","OK")</f>
        <v>OK</v>
      </c>
      <c r="Y340" s="61" t="str">
        <f aca="false">IF($R340&gt;=Parametros!$C$12,"Alto",IF($R340&lt;Parametros!$C$13,"Bajo","Medio"))</f>
        <v>Medio</v>
      </c>
      <c r="Z340" s="61" t="n">
        <v>447</v>
      </c>
      <c r="AA340" s="61" t="str">
        <f aca="false">IF(MATCH($A340,Datos_Origen!$A$2:$A$2459,0)=$Z340,"OK","REVISAR")</f>
        <v>OK</v>
      </c>
      <c r="AB340" s="61" t="str">
        <f aca="false">INDEX(Datos_Origen!$B$2:$B$2459,$Z340)</f>
        <v>25/04/2024</v>
      </c>
      <c r="AC340" s="61" t="n">
        <f aca="false">INDEX(Datos_Origen!$H$2:$H$2459,$Z340)</f>
        <v>34</v>
      </c>
      <c r="AD340" s="61" t="str">
        <f aca="false">INDEX(Datos_Origen!$D$2:$D$2459,$Z340)&amp;""</f>
        <v/>
      </c>
    </row>
    <row r="341" customFormat="false" ht="15" hidden="false" customHeight="false" outlineLevel="0" collapsed="false">
      <c r="A341" s="61" t="n">
        <f aca="false">INDEX(Datos_Origen!$A$2:$A$2459,$Z341)</f>
        <v>340</v>
      </c>
      <c r="B341" s="62" t="n">
        <f aca="false">IF(ISNUMBER($AB341),$AB341,IF(MID($AB341,5,1)="-",DATE(VALUE(LEFT($AB341,4)),VALUE(MID($AB341,6,2)),VALUE(RIGHT($AB341,2))),DATE(VALUE(RIGHT($AB341,4)),VALUE(MID($AB341,4,2)),VALUE(LEFT($AB341,2)))))</f>
        <v>45387</v>
      </c>
      <c r="C341" s="61" t="n">
        <f aca="false">YEAR($B341)</f>
        <v>2024</v>
      </c>
      <c r="D341" s="61" t="str">
        <f aca="false">"Q"&amp;ROUNDUP(MONTH($B341)/3,0)</f>
        <v>Q2</v>
      </c>
      <c r="E341" s="61" t="n">
        <f aca="false">MONTH($B341)</f>
        <v>4</v>
      </c>
      <c r="F341" s="61" t="str">
        <f aca="false">INDEX(Parametros!$I$5:$I$16,$E341)</f>
        <v>Abr</v>
      </c>
      <c r="G341" s="61" t="str">
        <f aca="false">TEXT($C341,"0000")&amp;"-"&amp;TEXT($E341,"00")</f>
        <v>2024-04</v>
      </c>
      <c r="H341" s="61" t="str">
        <f aca="false">INDEX(Parametros!$C$71:$C$91,MATCH(TRIM(INDEX(Datos_Origen!$C$2:$C$2459,$Z341)),Parametros!$B$71:$B$91,0))</f>
        <v>Centro</v>
      </c>
      <c r="I341" s="61" t="str">
        <f aca="false">IF(TRIM($AD341)="",INDEX(Parametros!$I$20:$I$24,MATCH($H341,Parametros!$H$20:$H$24,0)),TRIM($AD341))</f>
        <v>Cordoba</v>
      </c>
      <c r="J341" s="61" t="str">
        <f aca="false">INDEX(Parametros!$C$95:$C$106,MATCH(TRIM(INDEX(Datos_Origen!$E$2:$E$2459,$Z341)),Parametros!$B$95:$B$106,0))</f>
        <v>E-commerce</v>
      </c>
      <c r="K341" s="61" t="str">
        <f aca="false">INDEX(Parametros!$C$48:$C$67,MATCH(TRIM(INDEX(Datos_Origen!$F$2:$F$2459,$Z341)),Parametros!$B$48:$B$67,0))</f>
        <v>Almacenamiento</v>
      </c>
      <c r="L341" s="61" t="str">
        <f aca="false">$K341&amp;" "&amp;$C341</f>
        <v>Almacenamiento 2024</v>
      </c>
      <c r="M341" s="61" t="str">
        <f aca="false">TRIM(INDEX(Datos_Origen!$G$2:$G$2459,$Z341))</f>
        <v>Pendrive 256GB</v>
      </c>
      <c r="N341" s="61" t="str">
        <f aca="false">$M341&amp;" "&amp;$C341</f>
        <v>Pendrive 256GB 2024</v>
      </c>
      <c r="O341" s="63" t="n">
        <f aca="false">IF(ISTEXT($AC341),VALUE($AC341),$AC341)</f>
        <v>11</v>
      </c>
      <c r="P341" s="64" t="n">
        <f aca="false">INDEX(Datos_Origen!$I$2:$I$2459,$Z341)</f>
        <v>34.3</v>
      </c>
      <c r="Q341" s="64" t="n">
        <f aca="false">INDEX(Datos_Origen!$J$2:$J$2459,$Z341)</f>
        <v>17.85</v>
      </c>
      <c r="R341" s="65" t="n">
        <f aca="false">ROUND($O341*$P341,2)</f>
        <v>377.3</v>
      </c>
      <c r="S341" s="65" t="n">
        <f aca="false">ROUND($O341*$Q341,2)</f>
        <v>196.35</v>
      </c>
      <c r="T341" s="65" t="n">
        <f aca="false">ROUND($R341*SUMIFS(Parametros!$E$28:$E$43,Parametros!$B$28:$B$43,$J341,Parametros!$C$28:$C$43,$C341,Parametros!$D$28:$D$43,$D341),2)</f>
        <v>16.6</v>
      </c>
      <c r="U341" s="65" t="n">
        <f aca="false">$R341-$S341-$T341</f>
        <v>164.35</v>
      </c>
      <c r="V341" s="66" t="n">
        <f aca="false">IFERROR($U341/$R341,0)</f>
        <v>0.43559501722767</v>
      </c>
      <c r="W341" s="67" t="str">
        <f aca="false">IF(AND($V341&gt;=Parametros!$C$8,$R341&gt;=Parametros!$C$12),"Alta rentabilidad",IF(OR($V341&lt;Parametros!$C$11,$R341&lt;Parametros!$C$13),"Revisar","Estandar"))</f>
        <v>Estandar</v>
      </c>
      <c r="X341" s="67" t="str">
        <f aca="false">IF(AND($J341="E-commerce",IFERROR($T341/$R341,0)&gt;Parametros!$C$14),"Alerta","OK")</f>
        <v>OK</v>
      </c>
      <c r="Y341" s="61" t="str">
        <f aca="false">IF($R341&gt;=Parametros!$C$12,"Alto",IF($R341&lt;Parametros!$C$13,"Bajo","Medio"))</f>
        <v>Medio</v>
      </c>
      <c r="Z341" s="61" t="n">
        <v>1799</v>
      </c>
      <c r="AA341" s="61" t="str">
        <f aca="false">IF(MATCH($A341,Datos_Origen!$A$2:$A$2459,0)=$Z341,"OK","REVISAR")</f>
        <v>OK</v>
      </c>
      <c r="AB341" s="62" t="n">
        <f aca="false">INDEX(Datos_Origen!$B$2:$B$2459,$Z341)</f>
        <v>45387</v>
      </c>
      <c r="AC341" s="61" t="n">
        <f aca="false">INDEX(Datos_Origen!$H$2:$H$2459,$Z341)</f>
        <v>11</v>
      </c>
      <c r="AD341" s="61" t="str">
        <f aca="false">INDEX(Datos_Origen!$D$2:$D$2459,$Z341)&amp;""</f>
        <v>Cordoba</v>
      </c>
    </row>
    <row r="342" customFormat="false" ht="15" hidden="false" customHeight="false" outlineLevel="0" collapsed="false">
      <c r="A342" s="61" t="n">
        <f aca="false">INDEX(Datos_Origen!$A$2:$A$2459,$Z342)</f>
        <v>341</v>
      </c>
      <c r="B342" s="62" t="n">
        <f aca="false">IF(ISNUMBER($AB342),$AB342,IF(MID($AB342,5,1)="-",DATE(VALUE(LEFT($AB342,4)),VALUE(MID($AB342,6,2)),VALUE(RIGHT($AB342,2))),DATE(VALUE(RIGHT($AB342,4)),VALUE(MID($AB342,4,2)),VALUE(LEFT($AB342,2)))))</f>
        <v>45394</v>
      </c>
      <c r="C342" s="61" t="n">
        <f aca="false">YEAR($B342)</f>
        <v>2024</v>
      </c>
      <c r="D342" s="61" t="str">
        <f aca="false">"Q"&amp;ROUNDUP(MONTH($B342)/3,0)</f>
        <v>Q2</v>
      </c>
      <c r="E342" s="61" t="n">
        <f aca="false">MONTH($B342)</f>
        <v>4</v>
      </c>
      <c r="F342" s="61" t="str">
        <f aca="false">INDEX(Parametros!$I$5:$I$16,$E342)</f>
        <v>Abr</v>
      </c>
      <c r="G342" s="61" t="str">
        <f aca="false">TEXT($C342,"0000")&amp;"-"&amp;TEXT($E342,"00")</f>
        <v>2024-04</v>
      </c>
      <c r="H342" s="61" t="str">
        <f aca="false">INDEX(Parametros!$C$71:$C$91,MATCH(TRIM(INDEX(Datos_Origen!$C$2:$C$2459,$Z342)),Parametros!$B$71:$B$91,0))</f>
        <v>Litoral</v>
      </c>
      <c r="I342" s="61" t="str">
        <f aca="false">IF(TRIM($AD342)="",INDEX(Parametros!$I$20:$I$24,MATCH($H342,Parametros!$H$20:$H$24,0)),TRIM($AD342))</f>
        <v>Rosario</v>
      </c>
      <c r="J342" s="61" t="str">
        <f aca="false">INDEX(Parametros!$C$95:$C$106,MATCH(TRIM(INDEX(Datos_Origen!$E$2:$E$2459,$Z342)),Parametros!$B$95:$B$106,0))</f>
        <v>Tienda fisica</v>
      </c>
      <c r="K342" s="61" t="str">
        <f aca="false">INDEX(Parametros!$C$48:$C$67,MATCH(TRIM(INDEX(Datos_Origen!$F$2:$F$2459,$Z342)),Parametros!$B$48:$B$67,0))</f>
        <v>Computacion</v>
      </c>
      <c r="L342" s="61" t="str">
        <f aca="false">$K342&amp;" "&amp;$C342</f>
        <v>Computacion 2024</v>
      </c>
      <c r="M342" s="61" t="str">
        <f aca="false">TRIM(INDEX(Datos_Origen!$G$2:$G$2459,$Z342))</f>
        <v>Laptop Pro 15</v>
      </c>
      <c r="N342" s="61" t="str">
        <f aca="false">$M342&amp;" "&amp;$C342</f>
        <v>Laptop Pro 15 2024</v>
      </c>
      <c r="O342" s="63" t="n">
        <f aca="false">IF(ISTEXT($AC342),VALUE($AC342),$AC342)</f>
        <v>9</v>
      </c>
      <c r="P342" s="64" t="n">
        <f aca="false">INDEX(Datos_Origen!$I$2:$I$2459,$Z342)</f>
        <v>1176</v>
      </c>
      <c r="Q342" s="64" t="n">
        <f aca="false">INDEX(Datos_Origen!$J$2:$J$2459,$Z342)</f>
        <v>744</v>
      </c>
      <c r="R342" s="65" t="n">
        <f aca="false">ROUND($O342*$P342,2)</f>
        <v>10584</v>
      </c>
      <c r="S342" s="65" t="n">
        <f aca="false">ROUND($O342*$Q342,2)</f>
        <v>6696</v>
      </c>
      <c r="T342" s="65" t="n">
        <f aca="false">ROUND($R342*SUMIFS(Parametros!$E$28:$E$43,Parametros!$B$28:$B$43,$J342,Parametros!$C$28:$C$43,$C342,Parametros!$D$28:$D$43,$D342),2)</f>
        <v>127.01</v>
      </c>
      <c r="U342" s="65" t="n">
        <f aca="false">$R342-$S342-$T342</f>
        <v>3760.99</v>
      </c>
      <c r="V342" s="66" t="n">
        <f aca="false">IFERROR($U342/$R342,0)</f>
        <v>0.355346749811036</v>
      </c>
      <c r="W342" s="67" t="str">
        <f aca="false">IF(AND($V342&gt;=Parametros!$C$8,$R342&gt;=Parametros!$C$12),"Alta rentabilidad",IF(OR($V342&lt;Parametros!$C$11,$R342&lt;Parametros!$C$13),"Revisar","Estandar"))</f>
        <v>Alta rentabilidad</v>
      </c>
      <c r="X342" s="67" t="str">
        <f aca="false">IF(AND($J342="E-commerce",IFERROR($T342/$R342,0)&gt;Parametros!$C$14),"Alerta","OK")</f>
        <v>OK</v>
      </c>
      <c r="Y342" s="61" t="str">
        <f aca="false">IF($R342&gt;=Parametros!$C$12,"Alto",IF($R342&lt;Parametros!$C$13,"Bajo","Medio"))</f>
        <v>Alto</v>
      </c>
      <c r="Z342" s="61" t="n">
        <v>299</v>
      </c>
      <c r="AA342" s="61" t="str">
        <f aca="false">IF(MATCH($A342,Datos_Origen!$A$2:$A$2459,0)=$Z342,"OK","REVISAR")</f>
        <v>OK</v>
      </c>
      <c r="AB342" s="62" t="n">
        <f aca="false">INDEX(Datos_Origen!$B$2:$B$2459,$Z342)</f>
        <v>45394</v>
      </c>
      <c r="AC342" s="61" t="n">
        <f aca="false">INDEX(Datos_Origen!$H$2:$H$2459,$Z342)</f>
        <v>9</v>
      </c>
      <c r="AD342" s="61" t="str">
        <f aca="false">INDEX(Datos_Origen!$D$2:$D$2459,$Z342)&amp;""</f>
        <v>Rosario</v>
      </c>
    </row>
    <row r="343" customFormat="false" ht="15" hidden="false" customHeight="false" outlineLevel="0" collapsed="false">
      <c r="A343" s="61" t="n">
        <f aca="false">INDEX(Datos_Origen!$A$2:$A$2459,$Z343)</f>
        <v>342</v>
      </c>
      <c r="B343" s="62" t="n">
        <f aca="false">IF(ISNUMBER($AB343),$AB343,IF(MID($AB343,5,1)="-",DATE(VALUE(LEFT($AB343,4)),VALUE(MID($AB343,6,2)),VALUE(RIGHT($AB343,2))),DATE(VALUE(RIGHT($AB343,4)),VALUE(MID($AB343,4,2)),VALUE(LEFT($AB343,2)))))</f>
        <v>45401</v>
      </c>
      <c r="C343" s="61" t="n">
        <f aca="false">YEAR($B343)</f>
        <v>2024</v>
      </c>
      <c r="D343" s="61" t="str">
        <f aca="false">"Q"&amp;ROUNDUP(MONTH($B343)/3,0)</f>
        <v>Q2</v>
      </c>
      <c r="E343" s="61" t="n">
        <f aca="false">MONTH($B343)</f>
        <v>4</v>
      </c>
      <c r="F343" s="61" t="str">
        <f aca="false">INDEX(Parametros!$I$5:$I$16,$E343)</f>
        <v>Abr</v>
      </c>
      <c r="G343" s="61" t="str">
        <f aca="false">TEXT($C343,"0000")&amp;"-"&amp;TEXT($E343,"00")</f>
        <v>2024-04</v>
      </c>
      <c r="H343" s="61" t="str">
        <f aca="false">INDEX(Parametros!$C$71:$C$91,MATCH(TRIM(INDEX(Datos_Origen!$C$2:$C$2459,$Z343)),Parametros!$B$71:$B$91,0))</f>
        <v>Litoral</v>
      </c>
      <c r="I343" s="61" t="str">
        <f aca="false">IF(TRIM($AD343)="",INDEX(Parametros!$I$20:$I$24,MATCH($H343,Parametros!$H$20:$H$24,0)),TRIM($AD343))</f>
        <v>Rosario</v>
      </c>
      <c r="J343" s="61" t="str">
        <f aca="false">INDEX(Parametros!$C$95:$C$106,MATCH(TRIM(INDEX(Datos_Origen!$E$2:$E$2459,$Z343)),Parametros!$B$95:$B$106,0))</f>
        <v>E-commerce</v>
      </c>
      <c r="K343" s="61" t="str">
        <f aca="false">INDEX(Parametros!$C$48:$C$67,MATCH(TRIM(INDEX(Datos_Origen!$F$2:$F$2459,$Z343)),Parametros!$B$48:$B$67,0))</f>
        <v>Computacion</v>
      </c>
      <c r="L343" s="61" t="str">
        <f aca="false">$K343&amp;" "&amp;$C343</f>
        <v>Computacion 2024</v>
      </c>
      <c r="M343" s="61" t="str">
        <f aca="false">TRIM(INDEX(Datos_Origen!$G$2:$G$2459,$Z343))</f>
        <v>Laptop Pro 15</v>
      </c>
      <c r="N343" s="61" t="str">
        <f aca="false">$M343&amp;" "&amp;$C343</f>
        <v>Laptop Pro 15 2024</v>
      </c>
      <c r="O343" s="63" t="n">
        <f aca="false">IF(ISTEXT($AC343),VALUE($AC343),$AC343)</f>
        <v>4</v>
      </c>
      <c r="P343" s="64" t="n">
        <f aca="false">INDEX(Datos_Origen!$I$2:$I$2459,$Z343)</f>
        <v>1176</v>
      </c>
      <c r="Q343" s="64" t="n">
        <f aca="false">INDEX(Datos_Origen!$J$2:$J$2459,$Z343)</f>
        <v>744</v>
      </c>
      <c r="R343" s="65" t="n">
        <f aca="false">ROUND($O343*$P343,2)</f>
        <v>4704</v>
      </c>
      <c r="S343" s="65" t="n">
        <f aca="false">ROUND($O343*$Q343,2)</f>
        <v>2976</v>
      </c>
      <c r="T343" s="65" t="n">
        <f aca="false">ROUND($R343*SUMIFS(Parametros!$E$28:$E$43,Parametros!$B$28:$B$43,$J343,Parametros!$C$28:$C$43,$C343,Parametros!$D$28:$D$43,$D343),2)</f>
        <v>206.98</v>
      </c>
      <c r="U343" s="65" t="n">
        <f aca="false">$R343-$S343-$T343</f>
        <v>1521.02</v>
      </c>
      <c r="V343" s="66" t="n">
        <f aca="false">IFERROR($U343/$R343,0)</f>
        <v>0.323346088435374</v>
      </c>
      <c r="W343" s="67" t="str">
        <f aca="false">IF(AND($V343&gt;=Parametros!$C$8,$R343&gt;=Parametros!$C$12),"Alta rentabilidad",IF(OR($V343&lt;Parametros!$C$11,$R343&lt;Parametros!$C$13),"Revisar","Estandar"))</f>
        <v>Estandar</v>
      </c>
      <c r="X343" s="67" t="str">
        <f aca="false">IF(AND($J343="E-commerce",IFERROR($T343/$R343,0)&gt;Parametros!$C$14),"Alerta","OK")</f>
        <v>OK</v>
      </c>
      <c r="Y343" s="61" t="str">
        <f aca="false">IF($R343&gt;=Parametros!$C$12,"Alto",IF($R343&lt;Parametros!$C$13,"Bajo","Medio"))</f>
        <v>Alto</v>
      </c>
      <c r="Z343" s="61" t="n">
        <v>650</v>
      </c>
      <c r="AA343" s="61" t="str">
        <f aca="false">IF(MATCH($A343,Datos_Origen!$A$2:$A$2459,0)=$Z343,"OK","REVISAR")</f>
        <v>OK</v>
      </c>
      <c r="AB343" s="62" t="n">
        <f aca="false">INDEX(Datos_Origen!$B$2:$B$2459,$Z343)</f>
        <v>45401</v>
      </c>
      <c r="AC343" s="61" t="n">
        <f aca="false">INDEX(Datos_Origen!$H$2:$H$2459,$Z343)</f>
        <v>4</v>
      </c>
      <c r="AD343" s="61" t="str">
        <f aca="false">INDEX(Datos_Origen!$D$2:$D$2459,$Z343)&amp;""</f>
        <v>Rosario</v>
      </c>
    </row>
    <row r="344" customFormat="false" ht="15" hidden="false" customHeight="false" outlineLevel="0" collapsed="false">
      <c r="A344" s="61" t="n">
        <f aca="false">INDEX(Datos_Origen!$A$2:$A$2459,$Z344)</f>
        <v>343</v>
      </c>
      <c r="B344" s="62" t="n">
        <f aca="false">IF(ISNUMBER($AB344),$AB344,IF(MID($AB344,5,1)="-",DATE(VALUE(LEFT($AB344,4)),VALUE(MID($AB344,6,2)),VALUE(RIGHT($AB344,2))),DATE(VALUE(RIGHT($AB344,4)),VALUE(MID($AB344,4,2)),VALUE(LEFT($AB344,2)))))</f>
        <v>45408</v>
      </c>
      <c r="C344" s="61" t="n">
        <f aca="false">YEAR($B344)</f>
        <v>2024</v>
      </c>
      <c r="D344" s="61" t="str">
        <f aca="false">"Q"&amp;ROUNDUP(MONTH($B344)/3,0)</f>
        <v>Q2</v>
      </c>
      <c r="E344" s="61" t="n">
        <f aca="false">MONTH($B344)</f>
        <v>4</v>
      </c>
      <c r="F344" s="61" t="str">
        <f aca="false">INDEX(Parametros!$I$5:$I$16,$E344)</f>
        <v>Abr</v>
      </c>
      <c r="G344" s="61" t="str">
        <f aca="false">TEXT($C344,"0000")&amp;"-"&amp;TEXT($E344,"00")</f>
        <v>2024-04</v>
      </c>
      <c r="H344" s="61" t="str">
        <f aca="false">INDEX(Parametros!$C$71:$C$91,MATCH(TRIM(INDEX(Datos_Origen!$C$2:$C$2459,$Z344)),Parametros!$B$71:$B$91,0))</f>
        <v>Litoral</v>
      </c>
      <c r="I344" s="61" t="str">
        <f aca="false">IF(TRIM($AD344)="",INDEX(Parametros!$I$20:$I$24,MATCH($H344,Parametros!$H$20:$H$24,0)),TRIM($AD344))</f>
        <v>Rosario</v>
      </c>
      <c r="J344" s="61" t="str">
        <f aca="false">INDEX(Parametros!$C$95:$C$106,MATCH(TRIM(INDEX(Datos_Origen!$E$2:$E$2459,$Z344)),Parametros!$B$95:$B$106,0))</f>
        <v>Tienda fisica</v>
      </c>
      <c r="K344" s="61" t="str">
        <f aca="false">INDEX(Parametros!$C$48:$C$67,MATCH(TRIM(INDEX(Datos_Origen!$F$2:$F$2459,$Z344)),Parametros!$B$48:$B$67,0))</f>
        <v>Computacion</v>
      </c>
      <c r="L344" s="61" t="str">
        <f aca="false">$K344&amp;" "&amp;$C344</f>
        <v>Computacion 2024</v>
      </c>
      <c r="M344" s="61" t="str">
        <f aca="false">TRIM(INDEX(Datos_Origen!$G$2:$G$2459,$Z344))</f>
        <v>Monitor 4K 27</v>
      </c>
      <c r="N344" s="61" t="str">
        <f aca="false">$M344&amp;" "&amp;$C344</f>
        <v>Monitor 4K 27 2024</v>
      </c>
      <c r="O344" s="63" t="n">
        <f aca="false">IF(ISTEXT($AC344),VALUE($AC344),$AC344)</f>
        <v>7</v>
      </c>
      <c r="P344" s="64" t="n">
        <f aca="false">INDEX(Datos_Origen!$I$2:$I$2459,$Z344)</f>
        <v>441</v>
      </c>
      <c r="Q344" s="64" t="n">
        <f aca="false">INDEX(Datos_Origen!$J$2:$J$2459,$Z344)</f>
        <v>272.25</v>
      </c>
      <c r="R344" s="65" t="n">
        <f aca="false">ROUND($O344*$P344,2)</f>
        <v>3087</v>
      </c>
      <c r="S344" s="65" t="n">
        <f aca="false">ROUND($O344*$Q344,2)</f>
        <v>1905.75</v>
      </c>
      <c r="T344" s="65" t="n">
        <f aca="false">ROUND($R344*SUMIFS(Parametros!$E$28:$E$43,Parametros!$B$28:$B$43,$J344,Parametros!$C$28:$C$43,$C344,Parametros!$D$28:$D$43,$D344),2)</f>
        <v>37.04</v>
      </c>
      <c r="U344" s="65" t="n">
        <f aca="false">$R344-$S344-$T344</f>
        <v>1144.21</v>
      </c>
      <c r="V344" s="66" t="n">
        <f aca="false">IFERROR($U344/$R344,0)</f>
        <v>0.370654356980888</v>
      </c>
      <c r="W344" s="67" t="str">
        <f aca="false">IF(AND($V344&gt;=Parametros!$C$8,$R344&gt;=Parametros!$C$12),"Alta rentabilidad",IF(OR($V344&lt;Parametros!$C$11,$R344&lt;Parametros!$C$13),"Revisar","Estandar"))</f>
        <v>Alta rentabilidad</v>
      </c>
      <c r="X344" s="67" t="str">
        <f aca="false">IF(AND($J344="E-commerce",IFERROR($T344/$R344,0)&gt;Parametros!$C$14),"Alerta","OK")</f>
        <v>OK</v>
      </c>
      <c r="Y344" s="61" t="str">
        <f aca="false">IF($R344&gt;=Parametros!$C$12,"Alto",IF($R344&lt;Parametros!$C$13,"Bajo","Medio"))</f>
        <v>Alto</v>
      </c>
      <c r="Z344" s="61" t="n">
        <v>2318</v>
      </c>
      <c r="AA344" s="61" t="str">
        <f aca="false">IF(MATCH($A344,Datos_Origen!$A$2:$A$2459,0)=$Z344,"OK","REVISAR")</f>
        <v>OK</v>
      </c>
      <c r="AB344" s="61" t="str">
        <f aca="false">INDEX(Datos_Origen!$B$2:$B$2459,$Z344)</f>
        <v>26/04/2024</v>
      </c>
      <c r="AC344" s="61" t="n">
        <f aca="false">INDEX(Datos_Origen!$H$2:$H$2459,$Z344)</f>
        <v>7</v>
      </c>
      <c r="AD344" s="61" t="str">
        <f aca="false">INDEX(Datos_Origen!$D$2:$D$2459,$Z344)&amp;""</f>
        <v>Rosario</v>
      </c>
    </row>
    <row r="345" customFormat="false" ht="15" hidden="false" customHeight="false" outlineLevel="0" collapsed="false">
      <c r="A345" s="61" t="n">
        <f aca="false">INDEX(Datos_Origen!$A$2:$A$2459,$Z345)</f>
        <v>344</v>
      </c>
      <c r="B345" s="62" t="n">
        <f aca="false">IF(ISNUMBER($AB345),$AB345,IF(MID($AB345,5,1)="-",DATE(VALUE(LEFT($AB345,4)),VALUE(MID($AB345,6,2)),VALUE(RIGHT($AB345,2))),DATE(VALUE(RIGHT($AB345,4)),VALUE(MID($AB345,4,2)),VALUE(LEFT($AB345,2)))))</f>
        <v>45388</v>
      </c>
      <c r="C345" s="61" t="n">
        <f aca="false">YEAR($B345)</f>
        <v>2024</v>
      </c>
      <c r="D345" s="61" t="str">
        <f aca="false">"Q"&amp;ROUNDUP(MONTH($B345)/3,0)</f>
        <v>Q2</v>
      </c>
      <c r="E345" s="61" t="n">
        <f aca="false">MONTH($B345)</f>
        <v>4</v>
      </c>
      <c r="F345" s="61" t="str">
        <f aca="false">INDEX(Parametros!$I$5:$I$16,$E345)</f>
        <v>Abr</v>
      </c>
      <c r="G345" s="61" t="str">
        <f aca="false">TEXT($C345,"0000")&amp;"-"&amp;TEXT($E345,"00")</f>
        <v>2024-04</v>
      </c>
      <c r="H345" s="61" t="str">
        <f aca="false">INDEX(Parametros!$C$71:$C$91,MATCH(TRIM(INDEX(Datos_Origen!$C$2:$C$2459,$Z345)),Parametros!$B$71:$B$91,0))</f>
        <v>Litoral</v>
      </c>
      <c r="I345" s="61" t="str">
        <f aca="false">IF(TRIM($AD345)="",INDEX(Parametros!$I$20:$I$24,MATCH($H345,Parametros!$H$20:$H$24,0)),TRIM($AD345))</f>
        <v>Rosario</v>
      </c>
      <c r="J345" s="61" t="str">
        <f aca="false">INDEX(Parametros!$C$95:$C$106,MATCH(TRIM(INDEX(Datos_Origen!$E$2:$E$2459,$Z345)),Parametros!$B$95:$B$106,0))</f>
        <v>E-commerce</v>
      </c>
      <c r="K345" s="61" t="str">
        <f aca="false">INDEX(Parametros!$C$48:$C$67,MATCH(TRIM(INDEX(Datos_Origen!$F$2:$F$2459,$Z345)),Parametros!$B$48:$B$67,0))</f>
        <v>Computacion</v>
      </c>
      <c r="L345" s="61" t="str">
        <f aca="false">$K345&amp;" "&amp;$C345</f>
        <v>Computacion 2024</v>
      </c>
      <c r="M345" s="61" t="str">
        <f aca="false">TRIM(INDEX(Datos_Origen!$G$2:$G$2459,$Z345))</f>
        <v>Monitor 4K 27</v>
      </c>
      <c r="N345" s="61" t="str">
        <f aca="false">$M345&amp;" "&amp;$C345</f>
        <v>Monitor 4K 27 2024</v>
      </c>
      <c r="O345" s="63" t="n">
        <f aca="false">IF(ISTEXT($AC345),VALUE($AC345),$AC345)</f>
        <v>4</v>
      </c>
      <c r="P345" s="64" t="n">
        <f aca="false">INDEX(Datos_Origen!$I$2:$I$2459,$Z345)</f>
        <v>441</v>
      </c>
      <c r="Q345" s="64" t="n">
        <f aca="false">INDEX(Datos_Origen!$J$2:$J$2459,$Z345)</f>
        <v>272.25</v>
      </c>
      <c r="R345" s="65" t="n">
        <f aca="false">ROUND($O345*$P345,2)</f>
        <v>1764</v>
      </c>
      <c r="S345" s="65" t="n">
        <f aca="false">ROUND($O345*$Q345,2)</f>
        <v>1089</v>
      </c>
      <c r="T345" s="65" t="n">
        <f aca="false">ROUND($R345*SUMIFS(Parametros!$E$28:$E$43,Parametros!$B$28:$B$43,$J345,Parametros!$C$28:$C$43,$C345,Parametros!$D$28:$D$43,$D345),2)</f>
        <v>77.62</v>
      </c>
      <c r="U345" s="65" t="n">
        <f aca="false">$R345-$S345-$T345</f>
        <v>597.38</v>
      </c>
      <c r="V345" s="66" t="n">
        <f aca="false">IFERROR($U345/$R345,0)</f>
        <v>0.338650793650794</v>
      </c>
      <c r="W345" s="67" t="str">
        <f aca="false">IF(AND($V345&gt;=Parametros!$C$8,$R345&gt;=Parametros!$C$12),"Alta rentabilidad",IF(OR($V345&lt;Parametros!$C$11,$R345&lt;Parametros!$C$13),"Revisar","Estandar"))</f>
        <v>Estandar</v>
      </c>
      <c r="X345" s="67" t="str">
        <f aca="false">IF(AND($J345="E-commerce",IFERROR($T345/$R345,0)&gt;Parametros!$C$14),"Alerta","OK")</f>
        <v>OK</v>
      </c>
      <c r="Y345" s="61" t="str">
        <f aca="false">IF($R345&gt;=Parametros!$C$12,"Alto",IF($R345&lt;Parametros!$C$13,"Bajo","Medio"))</f>
        <v>Medio</v>
      </c>
      <c r="Z345" s="61" t="n">
        <v>2283</v>
      </c>
      <c r="AA345" s="61" t="str">
        <f aca="false">IF(MATCH($A345,Datos_Origen!$A$2:$A$2459,0)=$Z345,"OK","REVISAR")</f>
        <v>OK</v>
      </c>
      <c r="AB345" s="62" t="n">
        <f aca="false">INDEX(Datos_Origen!$B$2:$B$2459,$Z345)</f>
        <v>45388</v>
      </c>
      <c r="AC345" s="61" t="n">
        <f aca="false">INDEX(Datos_Origen!$H$2:$H$2459,$Z345)</f>
        <v>4</v>
      </c>
      <c r="AD345" s="61" t="str">
        <f aca="false">INDEX(Datos_Origen!$D$2:$D$2459,$Z345)&amp;""</f>
        <v>Rosario</v>
      </c>
    </row>
    <row r="346" customFormat="false" ht="15" hidden="false" customHeight="false" outlineLevel="0" collapsed="false">
      <c r="A346" s="61" t="n">
        <f aca="false">INDEX(Datos_Origen!$A$2:$A$2459,$Z346)</f>
        <v>345</v>
      </c>
      <c r="B346" s="62" t="n">
        <f aca="false">IF(ISNUMBER($AB346),$AB346,IF(MID($AB346,5,1)="-",DATE(VALUE(LEFT($AB346,4)),VALUE(MID($AB346,6,2)),VALUE(RIGHT($AB346,2))),DATE(VALUE(RIGHT($AB346,4)),VALUE(MID($AB346,4,2)),VALUE(LEFT($AB346,2)))))</f>
        <v>45395</v>
      </c>
      <c r="C346" s="61" t="n">
        <f aca="false">YEAR($B346)</f>
        <v>2024</v>
      </c>
      <c r="D346" s="61" t="str">
        <f aca="false">"Q"&amp;ROUNDUP(MONTH($B346)/3,0)</f>
        <v>Q2</v>
      </c>
      <c r="E346" s="61" t="n">
        <f aca="false">MONTH($B346)</f>
        <v>4</v>
      </c>
      <c r="F346" s="61" t="str">
        <f aca="false">INDEX(Parametros!$I$5:$I$16,$E346)</f>
        <v>Abr</v>
      </c>
      <c r="G346" s="61" t="str">
        <f aca="false">TEXT($C346,"0000")&amp;"-"&amp;TEXT($E346,"00")</f>
        <v>2024-04</v>
      </c>
      <c r="H346" s="61" t="str">
        <f aca="false">INDEX(Parametros!$C$71:$C$91,MATCH(TRIM(INDEX(Datos_Origen!$C$2:$C$2459,$Z346)),Parametros!$B$71:$B$91,0))</f>
        <v>Litoral</v>
      </c>
      <c r="I346" s="61" t="str">
        <f aca="false">IF(TRIM($AD346)="",INDEX(Parametros!$I$20:$I$24,MATCH($H346,Parametros!$H$20:$H$24,0)),TRIM($AD346))</f>
        <v>Rosario</v>
      </c>
      <c r="J346" s="61" t="str">
        <f aca="false">INDEX(Parametros!$C$95:$C$106,MATCH(TRIM(INDEX(Datos_Origen!$E$2:$E$2459,$Z346)),Parametros!$B$95:$B$106,0))</f>
        <v>Tienda fisica</v>
      </c>
      <c r="K346" s="61" t="str">
        <f aca="false">INDEX(Parametros!$C$48:$C$67,MATCH(TRIM(INDEX(Datos_Origen!$F$2:$F$2459,$Z346)),Parametros!$B$48:$B$67,0))</f>
        <v>Computacion</v>
      </c>
      <c r="L346" s="61" t="str">
        <f aca="false">$K346&amp;" "&amp;$C346</f>
        <v>Computacion 2024</v>
      </c>
      <c r="M346" s="61" t="str">
        <f aca="false">TRIM(INDEX(Datos_Origen!$G$2:$G$2459,$Z346))</f>
        <v>PC Gamer Ryzen</v>
      </c>
      <c r="N346" s="61" t="str">
        <f aca="false">$M346&amp;" "&amp;$C346</f>
        <v>PC Gamer Ryzen 2024</v>
      </c>
      <c r="O346" s="63" t="n">
        <f aca="false">IF(ISTEXT($AC346),VALUE($AC346),$AC346)</f>
        <v>8</v>
      </c>
      <c r="P346" s="64" t="n">
        <f aca="false">INDEX(Datos_Origen!$I$2:$I$2459,$Z346)</f>
        <v>1617</v>
      </c>
      <c r="Q346" s="64" t="n">
        <f aca="false">INDEX(Datos_Origen!$J$2:$J$2459,$Z346)</f>
        <v>1122</v>
      </c>
      <c r="R346" s="65" t="n">
        <f aca="false">ROUND($O346*$P346,2)</f>
        <v>12936</v>
      </c>
      <c r="S346" s="65" t="n">
        <f aca="false">ROUND($O346*$Q346,2)</f>
        <v>8976</v>
      </c>
      <c r="T346" s="65" t="n">
        <f aca="false">ROUND($R346*SUMIFS(Parametros!$E$28:$E$43,Parametros!$B$28:$B$43,$J346,Parametros!$C$28:$C$43,$C346,Parametros!$D$28:$D$43,$D346),2)</f>
        <v>155.23</v>
      </c>
      <c r="U346" s="65" t="n">
        <f aca="false">$R346-$S346-$T346</f>
        <v>3804.77</v>
      </c>
      <c r="V346" s="66" t="n">
        <f aca="false">IFERROR($U346/$R346,0)</f>
        <v>0.294122603586889</v>
      </c>
      <c r="W346" s="67" t="str">
        <f aca="false">IF(AND($V346&gt;=Parametros!$C$8,$R346&gt;=Parametros!$C$12),"Alta rentabilidad",IF(OR($V346&lt;Parametros!$C$11,$R346&lt;Parametros!$C$13),"Revisar","Estandar"))</f>
        <v>Estandar</v>
      </c>
      <c r="X346" s="67" t="str">
        <f aca="false">IF(AND($J346="E-commerce",IFERROR($T346/$R346,0)&gt;Parametros!$C$14),"Alerta","OK")</f>
        <v>OK</v>
      </c>
      <c r="Y346" s="61" t="str">
        <f aca="false">IF($R346&gt;=Parametros!$C$12,"Alto",IF($R346&lt;Parametros!$C$13,"Bajo","Medio"))</f>
        <v>Alto</v>
      </c>
      <c r="Z346" s="61" t="n">
        <v>1870</v>
      </c>
      <c r="AA346" s="61" t="str">
        <f aca="false">IF(MATCH($A346,Datos_Origen!$A$2:$A$2459,0)=$Z346,"OK","REVISAR")</f>
        <v>OK</v>
      </c>
      <c r="AB346" s="61" t="str">
        <f aca="false">INDEX(Datos_Origen!$B$2:$B$2459,$Z346)</f>
        <v>2024-04-13</v>
      </c>
      <c r="AC346" s="61" t="n">
        <f aca="false">INDEX(Datos_Origen!$H$2:$H$2459,$Z346)</f>
        <v>8</v>
      </c>
      <c r="AD346" s="61" t="str">
        <f aca="false">INDEX(Datos_Origen!$D$2:$D$2459,$Z346)&amp;""</f>
        <v>Rosario</v>
      </c>
    </row>
    <row r="347" customFormat="false" ht="15" hidden="false" customHeight="false" outlineLevel="0" collapsed="false">
      <c r="A347" s="61" t="n">
        <f aca="false">INDEX(Datos_Origen!$A$2:$A$2459,$Z347)</f>
        <v>346</v>
      </c>
      <c r="B347" s="62" t="n">
        <f aca="false">IF(ISNUMBER($AB347),$AB347,IF(MID($AB347,5,1)="-",DATE(VALUE(LEFT($AB347,4)),VALUE(MID($AB347,6,2)),VALUE(RIGHT($AB347,2))),DATE(VALUE(RIGHT($AB347,4)),VALUE(MID($AB347,4,2)),VALUE(LEFT($AB347,2)))))</f>
        <v>45402</v>
      </c>
      <c r="C347" s="61" t="n">
        <f aca="false">YEAR($B347)</f>
        <v>2024</v>
      </c>
      <c r="D347" s="61" t="str">
        <f aca="false">"Q"&amp;ROUNDUP(MONTH($B347)/3,0)</f>
        <v>Q2</v>
      </c>
      <c r="E347" s="61" t="n">
        <f aca="false">MONTH($B347)</f>
        <v>4</v>
      </c>
      <c r="F347" s="61" t="str">
        <f aca="false">INDEX(Parametros!$I$5:$I$16,$E347)</f>
        <v>Abr</v>
      </c>
      <c r="G347" s="61" t="str">
        <f aca="false">TEXT($C347,"0000")&amp;"-"&amp;TEXT($E347,"00")</f>
        <v>2024-04</v>
      </c>
      <c r="H347" s="61" t="str">
        <f aca="false">INDEX(Parametros!$C$71:$C$91,MATCH(TRIM(INDEX(Datos_Origen!$C$2:$C$2459,$Z347)),Parametros!$B$71:$B$91,0))</f>
        <v>Litoral</v>
      </c>
      <c r="I347" s="61" t="str">
        <f aca="false">IF(TRIM($AD347)="",INDEX(Parametros!$I$20:$I$24,MATCH($H347,Parametros!$H$20:$H$24,0)),TRIM($AD347))</f>
        <v>Rosario</v>
      </c>
      <c r="J347" s="61" t="str">
        <f aca="false">INDEX(Parametros!$C$95:$C$106,MATCH(TRIM(INDEX(Datos_Origen!$E$2:$E$2459,$Z347)),Parametros!$B$95:$B$106,0))</f>
        <v>E-commerce</v>
      </c>
      <c r="K347" s="61" t="str">
        <f aca="false">INDEX(Parametros!$C$48:$C$67,MATCH(TRIM(INDEX(Datos_Origen!$F$2:$F$2459,$Z347)),Parametros!$B$48:$B$67,0))</f>
        <v>Computacion</v>
      </c>
      <c r="L347" s="61" t="str">
        <f aca="false">$K347&amp;" "&amp;$C347</f>
        <v>Computacion 2024</v>
      </c>
      <c r="M347" s="61" t="str">
        <f aca="false">TRIM(INDEX(Datos_Origen!$G$2:$G$2459,$Z347))</f>
        <v>PC Gamer Ryzen</v>
      </c>
      <c r="N347" s="61" t="str">
        <f aca="false">$M347&amp;" "&amp;$C347</f>
        <v>PC Gamer Ryzen 2024</v>
      </c>
      <c r="O347" s="63" t="n">
        <f aca="false">IF(ISTEXT($AC347),VALUE($AC347),$AC347)</f>
        <v>3</v>
      </c>
      <c r="P347" s="64" t="n">
        <f aca="false">INDEX(Datos_Origen!$I$2:$I$2459,$Z347)</f>
        <v>1617</v>
      </c>
      <c r="Q347" s="64" t="n">
        <f aca="false">INDEX(Datos_Origen!$J$2:$J$2459,$Z347)</f>
        <v>1122</v>
      </c>
      <c r="R347" s="65" t="n">
        <f aca="false">ROUND($O347*$P347,2)</f>
        <v>4851</v>
      </c>
      <c r="S347" s="65" t="n">
        <f aca="false">ROUND($O347*$Q347,2)</f>
        <v>3366</v>
      </c>
      <c r="T347" s="65" t="n">
        <f aca="false">ROUND($R347*SUMIFS(Parametros!$E$28:$E$43,Parametros!$B$28:$B$43,$J347,Parametros!$C$28:$C$43,$C347,Parametros!$D$28:$D$43,$D347),2)</f>
        <v>213.44</v>
      </c>
      <c r="U347" s="65" t="n">
        <f aca="false">$R347-$S347-$T347</f>
        <v>1271.56</v>
      </c>
      <c r="V347" s="66" t="n">
        <f aca="false">IFERROR($U347/$R347,0)</f>
        <v>0.262123273551845</v>
      </c>
      <c r="W347" s="67" t="str">
        <f aca="false">IF(AND($V347&gt;=Parametros!$C$8,$R347&gt;=Parametros!$C$12),"Alta rentabilidad",IF(OR($V347&lt;Parametros!$C$11,$R347&lt;Parametros!$C$13),"Revisar","Estandar"))</f>
        <v>Revisar</v>
      </c>
      <c r="X347" s="67" t="str">
        <f aca="false">IF(AND($J347="E-commerce",IFERROR($T347/$R347,0)&gt;Parametros!$C$14),"Alerta","OK")</f>
        <v>OK</v>
      </c>
      <c r="Y347" s="61" t="str">
        <f aca="false">IF($R347&gt;=Parametros!$C$12,"Alto",IF($R347&lt;Parametros!$C$13,"Bajo","Medio"))</f>
        <v>Alto</v>
      </c>
      <c r="Z347" s="61" t="n">
        <v>1122</v>
      </c>
      <c r="AA347" s="61" t="str">
        <f aca="false">IF(MATCH($A347,Datos_Origen!$A$2:$A$2459,0)=$Z347,"OK","REVISAR")</f>
        <v>OK</v>
      </c>
      <c r="AB347" s="62" t="n">
        <f aca="false">INDEX(Datos_Origen!$B$2:$B$2459,$Z347)</f>
        <v>45402</v>
      </c>
      <c r="AC347" s="61" t="n">
        <f aca="false">INDEX(Datos_Origen!$H$2:$H$2459,$Z347)</f>
        <v>3</v>
      </c>
      <c r="AD347" s="61" t="str">
        <f aca="false">INDEX(Datos_Origen!$D$2:$D$2459,$Z347)&amp;""</f>
        <v>Rosario</v>
      </c>
    </row>
    <row r="348" customFormat="false" ht="15" hidden="false" customHeight="false" outlineLevel="0" collapsed="false">
      <c r="A348" s="61" t="n">
        <f aca="false">INDEX(Datos_Origen!$A$2:$A$2459,$Z348)</f>
        <v>347</v>
      </c>
      <c r="B348" s="62" t="n">
        <f aca="false">IF(ISNUMBER($AB348),$AB348,IF(MID($AB348,5,1)="-",DATE(VALUE(LEFT($AB348,4)),VALUE(MID($AB348,6,2)),VALUE(RIGHT($AB348,2))),DATE(VALUE(RIGHT($AB348,4)),VALUE(MID($AB348,4,2)),VALUE(LEFT($AB348,2)))))</f>
        <v>45409</v>
      </c>
      <c r="C348" s="61" t="n">
        <f aca="false">YEAR($B348)</f>
        <v>2024</v>
      </c>
      <c r="D348" s="61" t="str">
        <f aca="false">"Q"&amp;ROUNDUP(MONTH($B348)/3,0)</f>
        <v>Q2</v>
      </c>
      <c r="E348" s="61" t="n">
        <f aca="false">MONTH($B348)</f>
        <v>4</v>
      </c>
      <c r="F348" s="61" t="str">
        <f aca="false">INDEX(Parametros!$I$5:$I$16,$E348)</f>
        <v>Abr</v>
      </c>
      <c r="G348" s="61" t="str">
        <f aca="false">TEXT($C348,"0000")&amp;"-"&amp;TEXT($E348,"00")</f>
        <v>2024-04</v>
      </c>
      <c r="H348" s="61" t="str">
        <f aca="false">INDEX(Parametros!$C$71:$C$91,MATCH(TRIM(INDEX(Datos_Origen!$C$2:$C$2459,$Z348)),Parametros!$B$71:$B$91,0))</f>
        <v>Litoral</v>
      </c>
      <c r="I348" s="61" t="str">
        <f aca="false">IF(TRIM($AD348)="",INDEX(Parametros!$I$20:$I$24,MATCH($H348,Parametros!$H$20:$H$24,0)),TRIM($AD348))</f>
        <v>Rosario</v>
      </c>
      <c r="J348" s="61" t="str">
        <f aca="false">INDEX(Parametros!$C$95:$C$106,MATCH(TRIM(INDEX(Datos_Origen!$E$2:$E$2459,$Z348)),Parametros!$B$95:$B$106,0))</f>
        <v>Tienda fisica</v>
      </c>
      <c r="K348" s="61" t="str">
        <f aca="false">INDEX(Parametros!$C$48:$C$67,MATCH(TRIM(INDEX(Datos_Origen!$F$2:$F$2459,$Z348)),Parametros!$B$48:$B$67,0))</f>
        <v>Accesorios</v>
      </c>
      <c r="L348" s="61" t="str">
        <f aca="false">$K348&amp;" "&amp;$C348</f>
        <v>Accesorios 2024</v>
      </c>
      <c r="M348" s="61" t="str">
        <f aca="false">TRIM(INDEX(Datos_Origen!$G$2:$G$2459,$Z348))</f>
        <v>Mouse Inalambrico</v>
      </c>
      <c r="N348" s="61" t="str">
        <f aca="false">$M348&amp;" "&amp;$C348</f>
        <v>Mouse Inalambrico 2024</v>
      </c>
      <c r="O348" s="63" t="n">
        <f aca="false">IF(ISTEXT($AC348),VALUE($AC348),$AC348)</f>
        <v>35</v>
      </c>
      <c r="P348" s="64" t="n">
        <f aca="false">INDEX(Datos_Origen!$I$2:$I$2459,$Z348)</f>
        <v>27.44</v>
      </c>
      <c r="Q348" s="64" t="n">
        <f aca="false">INDEX(Datos_Origen!$J$2:$J$2459,$Z348)</f>
        <v>13.44</v>
      </c>
      <c r="R348" s="65" t="n">
        <f aca="false">ROUND($O348*$P348,2)</f>
        <v>960.4</v>
      </c>
      <c r="S348" s="65" t="n">
        <f aca="false">ROUND($O348*$Q348,2)</f>
        <v>470.4</v>
      </c>
      <c r="T348" s="65" t="n">
        <f aca="false">ROUND($R348*SUMIFS(Parametros!$E$28:$E$43,Parametros!$B$28:$B$43,$J348,Parametros!$C$28:$C$43,$C348,Parametros!$D$28:$D$43,$D348),2)</f>
        <v>11.52</v>
      </c>
      <c r="U348" s="65" t="n">
        <f aca="false">$R348-$S348-$T348</f>
        <v>478.48</v>
      </c>
      <c r="V348" s="66" t="n">
        <f aca="false">IFERROR($U348/$R348,0)</f>
        <v>0.498209079550187</v>
      </c>
      <c r="W348" s="67" t="str">
        <f aca="false">IF(AND($V348&gt;=Parametros!$C$8,$R348&gt;=Parametros!$C$12),"Alta rentabilidad",IF(OR($V348&lt;Parametros!$C$11,$R348&lt;Parametros!$C$13),"Revisar","Estandar"))</f>
        <v>Estandar</v>
      </c>
      <c r="X348" s="67" t="str">
        <f aca="false">IF(AND($J348="E-commerce",IFERROR($T348/$R348,0)&gt;Parametros!$C$14),"Alerta","OK")</f>
        <v>OK</v>
      </c>
      <c r="Y348" s="61" t="str">
        <f aca="false">IF($R348&gt;=Parametros!$C$12,"Alto",IF($R348&lt;Parametros!$C$13,"Bajo","Medio"))</f>
        <v>Medio</v>
      </c>
      <c r="Z348" s="61" t="n">
        <v>1937</v>
      </c>
      <c r="AA348" s="61" t="str">
        <f aca="false">IF(MATCH($A348,Datos_Origen!$A$2:$A$2459,0)=$Z348,"OK","REVISAR")</f>
        <v>OK</v>
      </c>
      <c r="AB348" s="62" t="n">
        <f aca="false">INDEX(Datos_Origen!$B$2:$B$2459,$Z348)</f>
        <v>45409</v>
      </c>
      <c r="AC348" s="61" t="n">
        <f aca="false">INDEX(Datos_Origen!$H$2:$H$2459,$Z348)</f>
        <v>35</v>
      </c>
      <c r="AD348" s="61" t="str">
        <f aca="false">INDEX(Datos_Origen!$D$2:$D$2459,$Z348)&amp;""</f>
        <v/>
      </c>
    </row>
    <row r="349" customFormat="false" ht="15" hidden="false" customHeight="false" outlineLevel="0" collapsed="false">
      <c r="A349" s="61" t="n">
        <f aca="false">INDEX(Datos_Origen!$A$2:$A$2459,$Z349)</f>
        <v>348</v>
      </c>
      <c r="B349" s="62" t="n">
        <f aca="false">IF(ISNUMBER($AB349),$AB349,IF(MID($AB349,5,1)="-",DATE(VALUE(LEFT($AB349,4)),VALUE(MID($AB349,6,2)),VALUE(RIGHT($AB349,2))),DATE(VALUE(RIGHT($AB349,4)),VALUE(MID($AB349,4,2)),VALUE(LEFT($AB349,2)))))</f>
        <v>45389</v>
      </c>
      <c r="C349" s="61" t="n">
        <f aca="false">YEAR($B349)</f>
        <v>2024</v>
      </c>
      <c r="D349" s="61" t="str">
        <f aca="false">"Q"&amp;ROUNDUP(MONTH($B349)/3,0)</f>
        <v>Q2</v>
      </c>
      <c r="E349" s="61" t="n">
        <f aca="false">MONTH($B349)</f>
        <v>4</v>
      </c>
      <c r="F349" s="61" t="str">
        <f aca="false">INDEX(Parametros!$I$5:$I$16,$E349)</f>
        <v>Abr</v>
      </c>
      <c r="G349" s="61" t="str">
        <f aca="false">TEXT($C349,"0000")&amp;"-"&amp;TEXT($E349,"00")</f>
        <v>2024-04</v>
      </c>
      <c r="H349" s="61" t="str">
        <f aca="false">INDEX(Parametros!$C$71:$C$91,MATCH(TRIM(INDEX(Datos_Origen!$C$2:$C$2459,$Z349)),Parametros!$B$71:$B$91,0))</f>
        <v>Litoral</v>
      </c>
      <c r="I349" s="61" t="str">
        <f aca="false">IF(TRIM($AD349)="",INDEX(Parametros!$I$20:$I$24,MATCH($H349,Parametros!$H$20:$H$24,0)),TRIM($AD349))</f>
        <v>Rosario</v>
      </c>
      <c r="J349" s="61" t="str">
        <f aca="false">INDEX(Parametros!$C$95:$C$106,MATCH(TRIM(INDEX(Datos_Origen!$E$2:$E$2459,$Z349)),Parametros!$B$95:$B$106,0))</f>
        <v>E-commerce</v>
      </c>
      <c r="K349" s="61" t="str">
        <f aca="false">INDEX(Parametros!$C$48:$C$67,MATCH(TRIM(INDEX(Datos_Origen!$F$2:$F$2459,$Z349)),Parametros!$B$48:$B$67,0))</f>
        <v>Accesorios</v>
      </c>
      <c r="L349" s="61" t="str">
        <f aca="false">$K349&amp;" "&amp;$C349</f>
        <v>Accesorios 2024</v>
      </c>
      <c r="M349" s="61" t="str">
        <f aca="false">TRIM(INDEX(Datos_Origen!$G$2:$G$2459,$Z349))</f>
        <v>Mouse Inalambrico</v>
      </c>
      <c r="N349" s="61" t="str">
        <f aca="false">$M349&amp;" "&amp;$C349</f>
        <v>Mouse Inalambrico 2024</v>
      </c>
      <c r="O349" s="63" t="n">
        <f aca="false">IF(ISTEXT($AC349),VALUE($AC349),$AC349)</f>
        <v>14</v>
      </c>
      <c r="P349" s="64" t="n">
        <f aca="false">INDEX(Datos_Origen!$I$2:$I$2459,$Z349)</f>
        <v>27.44</v>
      </c>
      <c r="Q349" s="64" t="n">
        <f aca="false">INDEX(Datos_Origen!$J$2:$J$2459,$Z349)</f>
        <v>13.44</v>
      </c>
      <c r="R349" s="65" t="n">
        <f aca="false">ROUND($O349*$P349,2)</f>
        <v>384.16</v>
      </c>
      <c r="S349" s="65" t="n">
        <f aca="false">ROUND($O349*$Q349,2)</f>
        <v>188.16</v>
      </c>
      <c r="T349" s="65" t="n">
        <f aca="false">ROUND($R349*SUMIFS(Parametros!$E$28:$E$43,Parametros!$B$28:$B$43,$J349,Parametros!$C$28:$C$43,$C349,Parametros!$D$28:$D$43,$D349),2)</f>
        <v>16.9</v>
      </c>
      <c r="U349" s="65" t="n">
        <f aca="false">$R349-$S349-$T349</f>
        <v>179.1</v>
      </c>
      <c r="V349" s="66" t="n">
        <f aca="false">IFERROR($U349/$R349,0)</f>
        <v>0.466211995002083</v>
      </c>
      <c r="W349" s="67" t="str">
        <f aca="false">IF(AND($V349&gt;=Parametros!$C$8,$R349&gt;=Parametros!$C$12),"Alta rentabilidad",IF(OR($V349&lt;Parametros!$C$11,$R349&lt;Parametros!$C$13),"Revisar","Estandar"))</f>
        <v>Estandar</v>
      </c>
      <c r="X349" s="67" t="str">
        <f aca="false">IF(AND($J349="E-commerce",IFERROR($T349/$R349,0)&gt;Parametros!$C$14),"Alerta","OK")</f>
        <v>OK</v>
      </c>
      <c r="Y349" s="61" t="str">
        <f aca="false">IF($R349&gt;=Parametros!$C$12,"Alto",IF($R349&lt;Parametros!$C$13,"Bajo","Medio"))</f>
        <v>Medio</v>
      </c>
      <c r="Z349" s="61" t="n">
        <v>1537</v>
      </c>
      <c r="AA349" s="61" t="str">
        <f aca="false">IF(MATCH($A349,Datos_Origen!$A$2:$A$2459,0)=$Z349,"OK","REVISAR")</f>
        <v>OK</v>
      </c>
      <c r="AB349" s="61" t="str">
        <f aca="false">INDEX(Datos_Origen!$B$2:$B$2459,$Z349)</f>
        <v>07/04/2024</v>
      </c>
      <c r="AC349" s="61" t="n">
        <f aca="false">INDEX(Datos_Origen!$H$2:$H$2459,$Z349)</f>
        <v>14</v>
      </c>
      <c r="AD349" s="61" t="str">
        <f aca="false">INDEX(Datos_Origen!$D$2:$D$2459,$Z349)&amp;""</f>
        <v>Rosario</v>
      </c>
    </row>
    <row r="350" customFormat="false" ht="15" hidden="false" customHeight="false" outlineLevel="0" collapsed="false">
      <c r="A350" s="61" t="n">
        <f aca="false">INDEX(Datos_Origen!$A$2:$A$2459,$Z350)</f>
        <v>349</v>
      </c>
      <c r="B350" s="62" t="n">
        <f aca="false">IF(ISNUMBER($AB350),$AB350,IF(MID($AB350,5,1)="-",DATE(VALUE(LEFT($AB350,4)),VALUE(MID($AB350,6,2)),VALUE(RIGHT($AB350,2))),DATE(VALUE(RIGHT($AB350,4)),VALUE(MID($AB350,4,2)),VALUE(LEFT($AB350,2)))))</f>
        <v>45396</v>
      </c>
      <c r="C350" s="61" t="n">
        <f aca="false">YEAR($B350)</f>
        <v>2024</v>
      </c>
      <c r="D350" s="61" t="str">
        <f aca="false">"Q"&amp;ROUNDUP(MONTH($B350)/3,0)</f>
        <v>Q2</v>
      </c>
      <c r="E350" s="61" t="n">
        <f aca="false">MONTH($B350)</f>
        <v>4</v>
      </c>
      <c r="F350" s="61" t="str">
        <f aca="false">INDEX(Parametros!$I$5:$I$16,$E350)</f>
        <v>Abr</v>
      </c>
      <c r="G350" s="61" t="str">
        <f aca="false">TEXT($C350,"0000")&amp;"-"&amp;TEXT($E350,"00")</f>
        <v>2024-04</v>
      </c>
      <c r="H350" s="61" t="str">
        <f aca="false">INDEX(Parametros!$C$71:$C$91,MATCH(TRIM(INDEX(Datos_Origen!$C$2:$C$2459,$Z350)),Parametros!$B$71:$B$91,0))</f>
        <v>Litoral</v>
      </c>
      <c r="I350" s="61" t="str">
        <f aca="false">IF(TRIM($AD350)="",INDEX(Parametros!$I$20:$I$24,MATCH($H350,Parametros!$H$20:$H$24,0)),TRIM($AD350))</f>
        <v>Rosario</v>
      </c>
      <c r="J350" s="61" t="str">
        <f aca="false">INDEX(Parametros!$C$95:$C$106,MATCH(TRIM(INDEX(Datos_Origen!$E$2:$E$2459,$Z350)),Parametros!$B$95:$B$106,0))</f>
        <v>Tienda fisica</v>
      </c>
      <c r="K350" s="61" t="str">
        <f aca="false">INDEX(Parametros!$C$48:$C$67,MATCH(TRIM(INDEX(Datos_Origen!$F$2:$F$2459,$Z350)),Parametros!$B$48:$B$67,0))</f>
        <v>Accesorios</v>
      </c>
      <c r="L350" s="61" t="str">
        <f aca="false">$K350&amp;" "&amp;$C350</f>
        <v>Accesorios 2024</v>
      </c>
      <c r="M350" s="61" t="str">
        <f aca="false">TRIM(INDEX(Datos_Origen!$G$2:$G$2459,$Z350))</f>
        <v>Teclado Mecanico</v>
      </c>
      <c r="N350" s="61" t="str">
        <f aca="false">$M350&amp;" "&amp;$C350</f>
        <v>Teclado Mecanico 2024</v>
      </c>
      <c r="O350" s="63" t="n">
        <f aca="false">IF(ISTEXT($AC350),VALUE($AC350),$AC350)</f>
        <v>37</v>
      </c>
      <c r="P350" s="64" t="n">
        <f aca="false">INDEX(Datos_Origen!$I$2:$I$2459,$Z350)</f>
        <v>93.1</v>
      </c>
      <c r="Q350" s="64" t="n">
        <f aca="false">INDEX(Datos_Origen!$J$2:$J$2459,$Z350)</f>
        <v>47.98</v>
      </c>
      <c r="R350" s="65" t="n">
        <f aca="false">ROUND($O350*$P350,2)</f>
        <v>3444.7</v>
      </c>
      <c r="S350" s="65" t="n">
        <f aca="false">ROUND($O350*$Q350,2)</f>
        <v>1775.26</v>
      </c>
      <c r="T350" s="65" t="n">
        <f aca="false">ROUND($R350*SUMIFS(Parametros!$E$28:$E$43,Parametros!$B$28:$B$43,$J350,Parametros!$C$28:$C$43,$C350,Parametros!$D$28:$D$43,$D350),2)</f>
        <v>41.34</v>
      </c>
      <c r="U350" s="65" t="n">
        <f aca="false">$R350-$S350-$T350</f>
        <v>1628.1</v>
      </c>
      <c r="V350" s="66" t="n">
        <f aca="false">IFERROR($U350/$R350,0)</f>
        <v>0.472639126774465</v>
      </c>
      <c r="W350" s="67" t="str">
        <f aca="false">IF(AND($V350&gt;=Parametros!$C$8,$R350&gt;=Parametros!$C$12),"Alta rentabilidad",IF(OR($V350&lt;Parametros!$C$11,$R350&lt;Parametros!$C$13),"Revisar","Estandar"))</f>
        <v>Alta rentabilidad</v>
      </c>
      <c r="X350" s="67" t="str">
        <f aca="false">IF(AND($J350="E-commerce",IFERROR($T350/$R350,0)&gt;Parametros!$C$14),"Alerta","OK")</f>
        <v>OK</v>
      </c>
      <c r="Y350" s="61" t="str">
        <f aca="false">IF($R350&gt;=Parametros!$C$12,"Alto",IF($R350&lt;Parametros!$C$13,"Bajo","Medio"))</f>
        <v>Alto</v>
      </c>
      <c r="Z350" s="61" t="n">
        <v>1271</v>
      </c>
      <c r="AA350" s="61" t="str">
        <f aca="false">IF(MATCH($A350,Datos_Origen!$A$2:$A$2459,0)=$Z350,"OK","REVISAR")</f>
        <v>OK</v>
      </c>
      <c r="AB350" s="62" t="n">
        <f aca="false">INDEX(Datos_Origen!$B$2:$B$2459,$Z350)</f>
        <v>45396</v>
      </c>
      <c r="AC350" s="61" t="str">
        <f aca="false">INDEX(Datos_Origen!$H$2:$H$2459,$Z350)</f>
        <v>37</v>
      </c>
      <c r="AD350" s="61" t="str">
        <f aca="false">INDEX(Datos_Origen!$D$2:$D$2459,$Z350)&amp;""</f>
        <v>Rosario</v>
      </c>
    </row>
    <row r="351" customFormat="false" ht="15" hidden="false" customHeight="false" outlineLevel="0" collapsed="false">
      <c r="A351" s="61" t="n">
        <f aca="false">INDEX(Datos_Origen!$A$2:$A$2459,$Z351)</f>
        <v>350</v>
      </c>
      <c r="B351" s="62" t="n">
        <f aca="false">IF(ISNUMBER($AB351),$AB351,IF(MID($AB351,5,1)="-",DATE(VALUE(LEFT($AB351,4)),VALUE(MID($AB351,6,2)),VALUE(RIGHT($AB351,2))),DATE(VALUE(RIGHT($AB351,4)),VALUE(MID($AB351,4,2)),VALUE(LEFT($AB351,2)))))</f>
        <v>45403</v>
      </c>
      <c r="C351" s="61" t="n">
        <f aca="false">YEAR($B351)</f>
        <v>2024</v>
      </c>
      <c r="D351" s="61" t="str">
        <f aca="false">"Q"&amp;ROUNDUP(MONTH($B351)/3,0)</f>
        <v>Q2</v>
      </c>
      <c r="E351" s="61" t="n">
        <f aca="false">MONTH($B351)</f>
        <v>4</v>
      </c>
      <c r="F351" s="61" t="str">
        <f aca="false">INDEX(Parametros!$I$5:$I$16,$E351)</f>
        <v>Abr</v>
      </c>
      <c r="G351" s="61" t="str">
        <f aca="false">TEXT($C351,"0000")&amp;"-"&amp;TEXT($E351,"00")</f>
        <v>2024-04</v>
      </c>
      <c r="H351" s="61" t="str">
        <f aca="false">INDEX(Parametros!$C$71:$C$91,MATCH(TRIM(INDEX(Datos_Origen!$C$2:$C$2459,$Z351)),Parametros!$B$71:$B$91,0))</f>
        <v>Litoral</v>
      </c>
      <c r="I351" s="61" t="str">
        <f aca="false">IF(TRIM($AD351)="",INDEX(Parametros!$I$20:$I$24,MATCH($H351,Parametros!$H$20:$H$24,0)),TRIM($AD351))</f>
        <v>Rosario</v>
      </c>
      <c r="J351" s="61" t="str">
        <f aca="false">INDEX(Parametros!$C$95:$C$106,MATCH(TRIM(INDEX(Datos_Origen!$E$2:$E$2459,$Z351)),Parametros!$B$95:$B$106,0))</f>
        <v>E-commerce</v>
      </c>
      <c r="K351" s="61" t="str">
        <f aca="false">INDEX(Parametros!$C$48:$C$67,MATCH(TRIM(INDEX(Datos_Origen!$F$2:$F$2459,$Z351)),Parametros!$B$48:$B$67,0))</f>
        <v>Accesorios</v>
      </c>
      <c r="L351" s="61" t="str">
        <f aca="false">$K351&amp;" "&amp;$C351</f>
        <v>Accesorios 2024</v>
      </c>
      <c r="M351" s="61" t="str">
        <f aca="false">TRIM(INDEX(Datos_Origen!$G$2:$G$2459,$Z351))</f>
        <v>Teclado Mecanico</v>
      </c>
      <c r="N351" s="61" t="str">
        <f aca="false">$M351&amp;" "&amp;$C351</f>
        <v>Teclado Mecanico 2024</v>
      </c>
      <c r="O351" s="63" t="n">
        <f aca="false">IF(ISTEXT($AC351),VALUE($AC351),$AC351)</f>
        <v>13</v>
      </c>
      <c r="P351" s="64" t="n">
        <f aca="false">INDEX(Datos_Origen!$I$2:$I$2459,$Z351)</f>
        <v>93.1</v>
      </c>
      <c r="Q351" s="64" t="n">
        <f aca="false">INDEX(Datos_Origen!$J$2:$J$2459,$Z351)</f>
        <v>47.98</v>
      </c>
      <c r="R351" s="65" t="n">
        <f aca="false">ROUND($O351*$P351,2)</f>
        <v>1210.3</v>
      </c>
      <c r="S351" s="65" t="n">
        <f aca="false">ROUND($O351*$Q351,2)</f>
        <v>623.74</v>
      </c>
      <c r="T351" s="65" t="n">
        <f aca="false">ROUND($R351*SUMIFS(Parametros!$E$28:$E$43,Parametros!$B$28:$B$43,$J351,Parametros!$C$28:$C$43,$C351,Parametros!$D$28:$D$43,$D351),2)</f>
        <v>53.25</v>
      </c>
      <c r="U351" s="65" t="n">
        <f aca="false">$R351-$S351-$T351</f>
        <v>533.31</v>
      </c>
      <c r="V351" s="66" t="n">
        <f aca="false">IFERROR($U351/$R351,0)</f>
        <v>0.440642815830786</v>
      </c>
      <c r="W351" s="67" t="str">
        <f aca="false">IF(AND($V351&gt;=Parametros!$C$8,$R351&gt;=Parametros!$C$12),"Alta rentabilidad",IF(OR($V351&lt;Parametros!$C$11,$R351&lt;Parametros!$C$13),"Revisar","Estandar"))</f>
        <v>Estandar</v>
      </c>
      <c r="X351" s="67" t="str">
        <f aca="false">IF(AND($J351="E-commerce",IFERROR($T351/$R351,0)&gt;Parametros!$C$14),"Alerta","OK")</f>
        <v>OK</v>
      </c>
      <c r="Y351" s="61" t="str">
        <f aca="false">IF($R351&gt;=Parametros!$C$12,"Alto",IF($R351&lt;Parametros!$C$13,"Bajo","Medio"))</f>
        <v>Medio</v>
      </c>
      <c r="Z351" s="61" t="n">
        <v>374</v>
      </c>
      <c r="AA351" s="61" t="str">
        <f aca="false">IF(MATCH($A351,Datos_Origen!$A$2:$A$2459,0)=$Z351,"OK","REVISAR")</f>
        <v>OK</v>
      </c>
      <c r="AB351" s="61" t="str">
        <f aca="false">INDEX(Datos_Origen!$B$2:$B$2459,$Z351)</f>
        <v>21/04/2024</v>
      </c>
      <c r="AC351" s="61" t="n">
        <f aca="false">INDEX(Datos_Origen!$H$2:$H$2459,$Z351)</f>
        <v>13</v>
      </c>
      <c r="AD351" s="61" t="str">
        <f aca="false">INDEX(Datos_Origen!$D$2:$D$2459,$Z351)&amp;""</f>
        <v>Rosario</v>
      </c>
    </row>
    <row r="352" customFormat="false" ht="15" hidden="false" customHeight="false" outlineLevel="0" collapsed="false">
      <c r="A352" s="61" t="n">
        <f aca="false">INDEX(Datos_Origen!$A$2:$A$2459,$Z352)</f>
        <v>351</v>
      </c>
      <c r="B352" s="62" t="n">
        <f aca="false">IF(ISNUMBER($AB352),$AB352,IF(MID($AB352,5,1)="-",DATE(VALUE(LEFT($AB352,4)),VALUE(MID($AB352,6,2)),VALUE(RIGHT($AB352,2))),DATE(VALUE(RIGHT($AB352,4)),VALUE(MID($AB352,4,2)),VALUE(LEFT($AB352,2)))))</f>
        <v>45383</v>
      </c>
      <c r="C352" s="61" t="n">
        <f aca="false">YEAR($B352)</f>
        <v>2024</v>
      </c>
      <c r="D352" s="61" t="str">
        <f aca="false">"Q"&amp;ROUNDUP(MONTH($B352)/3,0)</f>
        <v>Q2</v>
      </c>
      <c r="E352" s="61" t="n">
        <f aca="false">MONTH($B352)</f>
        <v>4</v>
      </c>
      <c r="F352" s="61" t="str">
        <f aca="false">INDEX(Parametros!$I$5:$I$16,$E352)</f>
        <v>Abr</v>
      </c>
      <c r="G352" s="61" t="str">
        <f aca="false">TEXT($C352,"0000")&amp;"-"&amp;TEXT($E352,"00")</f>
        <v>2024-04</v>
      </c>
      <c r="H352" s="61" t="str">
        <f aca="false">INDEX(Parametros!$C$71:$C$91,MATCH(TRIM(INDEX(Datos_Origen!$C$2:$C$2459,$Z352)),Parametros!$B$71:$B$91,0))</f>
        <v>Litoral</v>
      </c>
      <c r="I352" s="61" t="str">
        <f aca="false">IF(TRIM($AD352)="",INDEX(Parametros!$I$20:$I$24,MATCH($H352,Parametros!$H$20:$H$24,0)),TRIM($AD352))</f>
        <v>Rosario</v>
      </c>
      <c r="J352" s="61" t="str">
        <f aca="false">INDEX(Parametros!$C$95:$C$106,MATCH(TRIM(INDEX(Datos_Origen!$E$2:$E$2459,$Z352)),Parametros!$B$95:$B$106,0))</f>
        <v>Tienda fisica</v>
      </c>
      <c r="K352" s="61" t="str">
        <f aca="false">INDEX(Parametros!$C$48:$C$67,MATCH(TRIM(INDEX(Datos_Origen!$F$2:$F$2459,$Z352)),Parametros!$B$48:$B$67,0))</f>
        <v>Accesorios</v>
      </c>
      <c r="L352" s="61" t="str">
        <f aca="false">$K352&amp;" "&amp;$C352</f>
        <v>Accesorios 2024</v>
      </c>
      <c r="M352" s="61" t="str">
        <f aca="false">TRIM(INDEX(Datos_Origen!$G$2:$G$2459,$Z352))</f>
        <v>Webcam Full HD</v>
      </c>
      <c r="N352" s="61" t="str">
        <f aca="false">$M352&amp;" "&amp;$C352</f>
        <v>Webcam Full HD 2024</v>
      </c>
      <c r="O352" s="63" t="n">
        <f aca="false">IF(ISTEXT($AC352),VALUE($AC352),$AC352)</f>
        <v>38</v>
      </c>
      <c r="P352" s="64" t="n">
        <f aca="false">INDEX(Datos_Origen!$I$2:$I$2459,$Z352)</f>
        <v>63.7</v>
      </c>
      <c r="Q352" s="64" t="n">
        <f aca="false">INDEX(Datos_Origen!$J$2:$J$2459,$Z352)</f>
        <v>35.43</v>
      </c>
      <c r="R352" s="65" t="n">
        <f aca="false">ROUND($O352*$P352,2)</f>
        <v>2420.6</v>
      </c>
      <c r="S352" s="65" t="n">
        <f aca="false">ROUND($O352*$Q352,2)</f>
        <v>1346.34</v>
      </c>
      <c r="T352" s="65" t="n">
        <f aca="false">ROUND($R352*SUMIFS(Parametros!$E$28:$E$43,Parametros!$B$28:$B$43,$J352,Parametros!$C$28:$C$43,$C352,Parametros!$D$28:$D$43,$D352),2)</f>
        <v>29.05</v>
      </c>
      <c r="U352" s="65" t="n">
        <f aca="false">$R352-$S352-$T352</f>
        <v>1045.21</v>
      </c>
      <c r="V352" s="66" t="n">
        <f aca="false">IFERROR($U352/$R352,0)</f>
        <v>0.431797901346774</v>
      </c>
      <c r="W352" s="67" t="str">
        <f aca="false">IF(AND($V352&gt;=Parametros!$C$8,$R352&gt;=Parametros!$C$12),"Alta rentabilidad",IF(OR($V352&lt;Parametros!$C$11,$R352&lt;Parametros!$C$13),"Revisar","Estandar"))</f>
        <v>Estandar</v>
      </c>
      <c r="X352" s="67" t="str">
        <f aca="false">IF(AND($J352="E-commerce",IFERROR($T352/$R352,0)&gt;Parametros!$C$14),"Alerta","OK")</f>
        <v>OK</v>
      </c>
      <c r="Y352" s="61" t="str">
        <f aca="false">IF($R352&gt;=Parametros!$C$12,"Alto",IF($R352&lt;Parametros!$C$13,"Bajo","Medio"))</f>
        <v>Medio</v>
      </c>
      <c r="Z352" s="61" t="n">
        <v>89</v>
      </c>
      <c r="AA352" s="61" t="str">
        <f aca="false">IF(MATCH($A352,Datos_Origen!$A$2:$A$2459,0)=$Z352,"OK","REVISAR")</f>
        <v>OK</v>
      </c>
      <c r="AB352" s="62" t="n">
        <f aca="false">INDEX(Datos_Origen!$B$2:$B$2459,$Z352)</f>
        <v>45383</v>
      </c>
      <c r="AC352" s="61" t="n">
        <f aca="false">INDEX(Datos_Origen!$H$2:$H$2459,$Z352)</f>
        <v>38</v>
      </c>
      <c r="AD352" s="61" t="str">
        <f aca="false">INDEX(Datos_Origen!$D$2:$D$2459,$Z352)&amp;""</f>
        <v>Rosario</v>
      </c>
    </row>
    <row r="353" customFormat="false" ht="15" hidden="false" customHeight="false" outlineLevel="0" collapsed="false">
      <c r="A353" s="61" t="n">
        <f aca="false">INDEX(Datos_Origen!$A$2:$A$2459,$Z353)</f>
        <v>352</v>
      </c>
      <c r="B353" s="62" t="n">
        <f aca="false">IF(ISNUMBER($AB353),$AB353,IF(MID($AB353,5,1)="-",DATE(VALUE(LEFT($AB353,4)),VALUE(MID($AB353,6,2)),VALUE(RIGHT($AB353,2))),DATE(VALUE(RIGHT($AB353,4)),VALUE(MID($AB353,4,2)),VALUE(LEFT($AB353,2)))))</f>
        <v>45390</v>
      </c>
      <c r="C353" s="61" t="n">
        <f aca="false">YEAR($B353)</f>
        <v>2024</v>
      </c>
      <c r="D353" s="61" t="str">
        <f aca="false">"Q"&amp;ROUNDUP(MONTH($B353)/3,0)</f>
        <v>Q2</v>
      </c>
      <c r="E353" s="61" t="n">
        <f aca="false">MONTH($B353)</f>
        <v>4</v>
      </c>
      <c r="F353" s="61" t="str">
        <f aca="false">INDEX(Parametros!$I$5:$I$16,$E353)</f>
        <v>Abr</v>
      </c>
      <c r="G353" s="61" t="str">
        <f aca="false">TEXT($C353,"0000")&amp;"-"&amp;TEXT($E353,"00")</f>
        <v>2024-04</v>
      </c>
      <c r="H353" s="61" t="str">
        <f aca="false">INDEX(Parametros!$C$71:$C$91,MATCH(TRIM(INDEX(Datos_Origen!$C$2:$C$2459,$Z353)),Parametros!$B$71:$B$91,0))</f>
        <v>Litoral</v>
      </c>
      <c r="I353" s="61" t="str">
        <f aca="false">IF(TRIM($AD353)="",INDEX(Parametros!$I$20:$I$24,MATCH($H353,Parametros!$H$20:$H$24,0)),TRIM($AD353))</f>
        <v>Rosario</v>
      </c>
      <c r="J353" s="61" t="str">
        <f aca="false">INDEX(Parametros!$C$95:$C$106,MATCH(TRIM(INDEX(Datos_Origen!$E$2:$E$2459,$Z353)),Parametros!$B$95:$B$106,0))</f>
        <v>E-commerce</v>
      </c>
      <c r="K353" s="61" t="str">
        <f aca="false">INDEX(Parametros!$C$48:$C$67,MATCH(TRIM(INDEX(Datos_Origen!$F$2:$F$2459,$Z353)),Parametros!$B$48:$B$67,0))</f>
        <v>Accesorios</v>
      </c>
      <c r="L353" s="61" t="str">
        <f aca="false">$K353&amp;" "&amp;$C353</f>
        <v>Accesorios 2024</v>
      </c>
      <c r="M353" s="61" t="str">
        <f aca="false">TRIM(INDEX(Datos_Origen!$G$2:$G$2459,$Z353))</f>
        <v>Webcam Full HD</v>
      </c>
      <c r="N353" s="61" t="str">
        <f aca="false">$M353&amp;" "&amp;$C353</f>
        <v>Webcam Full HD 2024</v>
      </c>
      <c r="O353" s="63" t="n">
        <f aca="false">IF(ISTEXT($AC353),VALUE($AC353),$AC353)</f>
        <v>15</v>
      </c>
      <c r="P353" s="64" t="n">
        <f aca="false">INDEX(Datos_Origen!$I$2:$I$2459,$Z353)</f>
        <v>63.7</v>
      </c>
      <c r="Q353" s="64" t="n">
        <f aca="false">INDEX(Datos_Origen!$J$2:$J$2459,$Z353)</f>
        <v>35.43</v>
      </c>
      <c r="R353" s="65" t="n">
        <f aca="false">ROUND($O353*$P353,2)</f>
        <v>955.5</v>
      </c>
      <c r="S353" s="65" t="n">
        <f aca="false">ROUND($O353*$Q353,2)</f>
        <v>531.45</v>
      </c>
      <c r="T353" s="65" t="n">
        <f aca="false">ROUND($R353*SUMIFS(Parametros!$E$28:$E$43,Parametros!$B$28:$B$43,$J353,Parametros!$C$28:$C$43,$C353,Parametros!$D$28:$D$43,$D353),2)</f>
        <v>42.04</v>
      </c>
      <c r="U353" s="65" t="n">
        <f aca="false">$R353-$S353-$T353</f>
        <v>382.01</v>
      </c>
      <c r="V353" s="66" t="n">
        <f aca="false">IFERROR($U353/$R353,0)</f>
        <v>0.399801151229723</v>
      </c>
      <c r="W353" s="67" t="str">
        <f aca="false">IF(AND($V353&gt;=Parametros!$C$8,$R353&gt;=Parametros!$C$12),"Alta rentabilidad",IF(OR($V353&lt;Parametros!$C$11,$R353&lt;Parametros!$C$13),"Revisar","Estandar"))</f>
        <v>Estandar</v>
      </c>
      <c r="X353" s="67" t="str">
        <f aca="false">IF(AND($J353="E-commerce",IFERROR($T353/$R353,0)&gt;Parametros!$C$14),"Alerta","OK")</f>
        <v>OK</v>
      </c>
      <c r="Y353" s="61" t="str">
        <f aca="false">IF($R353&gt;=Parametros!$C$12,"Alto",IF($R353&lt;Parametros!$C$13,"Bajo","Medio"))</f>
        <v>Medio</v>
      </c>
      <c r="Z353" s="61" t="n">
        <v>908</v>
      </c>
      <c r="AA353" s="61" t="str">
        <f aca="false">IF(MATCH($A353,Datos_Origen!$A$2:$A$2459,0)=$Z353,"OK","REVISAR")</f>
        <v>OK</v>
      </c>
      <c r="AB353" s="62" t="n">
        <f aca="false">INDEX(Datos_Origen!$B$2:$B$2459,$Z353)</f>
        <v>45390</v>
      </c>
      <c r="AC353" s="61" t="n">
        <f aca="false">INDEX(Datos_Origen!$H$2:$H$2459,$Z353)</f>
        <v>15</v>
      </c>
      <c r="AD353" s="61" t="str">
        <f aca="false">INDEX(Datos_Origen!$D$2:$D$2459,$Z353)&amp;""</f>
        <v>Rosario</v>
      </c>
    </row>
    <row r="354" customFormat="false" ht="15" hidden="false" customHeight="false" outlineLevel="0" collapsed="false">
      <c r="A354" s="61" t="n">
        <f aca="false">INDEX(Datos_Origen!$A$2:$A$2459,$Z354)</f>
        <v>353</v>
      </c>
      <c r="B354" s="62" t="n">
        <f aca="false">IF(ISNUMBER($AB354),$AB354,IF(MID($AB354,5,1)="-",DATE(VALUE(LEFT($AB354,4)),VALUE(MID($AB354,6,2)),VALUE(RIGHT($AB354,2))),DATE(VALUE(RIGHT($AB354,4)),VALUE(MID($AB354,4,2)),VALUE(LEFT($AB354,2)))))</f>
        <v>45397</v>
      </c>
      <c r="C354" s="61" t="n">
        <f aca="false">YEAR($B354)</f>
        <v>2024</v>
      </c>
      <c r="D354" s="61" t="str">
        <f aca="false">"Q"&amp;ROUNDUP(MONTH($B354)/3,0)</f>
        <v>Q2</v>
      </c>
      <c r="E354" s="61" t="n">
        <f aca="false">MONTH($B354)</f>
        <v>4</v>
      </c>
      <c r="F354" s="61" t="str">
        <f aca="false">INDEX(Parametros!$I$5:$I$16,$E354)</f>
        <v>Abr</v>
      </c>
      <c r="G354" s="61" t="str">
        <f aca="false">TEXT($C354,"0000")&amp;"-"&amp;TEXT($E354,"00")</f>
        <v>2024-04</v>
      </c>
      <c r="H354" s="61" t="str">
        <f aca="false">INDEX(Parametros!$C$71:$C$91,MATCH(TRIM(INDEX(Datos_Origen!$C$2:$C$2459,$Z354)),Parametros!$B$71:$B$91,0))</f>
        <v>Litoral</v>
      </c>
      <c r="I354" s="61" t="str">
        <f aca="false">IF(TRIM($AD354)="",INDEX(Parametros!$I$20:$I$24,MATCH($H354,Parametros!$H$20:$H$24,0)),TRIM($AD354))</f>
        <v>Rosario</v>
      </c>
      <c r="J354" s="61" t="str">
        <f aca="false">INDEX(Parametros!$C$95:$C$106,MATCH(TRIM(INDEX(Datos_Origen!$E$2:$E$2459,$Z354)),Parametros!$B$95:$B$106,0))</f>
        <v>Tienda fisica</v>
      </c>
      <c r="K354" s="61" t="str">
        <f aca="false">INDEX(Parametros!$C$48:$C$67,MATCH(TRIM(INDEX(Datos_Origen!$F$2:$F$2459,$Z354)),Parametros!$B$48:$B$67,0))</f>
        <v>Audio</v>
      </c>
      <c r="L354" s="61" t="str">
        <f aca="false">$K354&amp;" "&amp;$C354</f>
        <v>Audio 2024</v>
      </c>
      <c r="M354" s="61" t="str">
        <f aca="false">TRIM(INDEX(Datos_Origen!$G$2:$G$2459,$Z354))</f>
        <v>Auriculares BT Pro</v>
      </c>
      <c r="N354" s="61" t="str">
        <f aca="false">$M354&amp;" "&amp;$C354</f>
        <v>Auriculares BT Pro 2024</v>
      </c>
      <c r="O354" s="63" t="n">
        <f aca="false">IF(ISTEXT($AC354),VALUE($AC354),$AC354)</f>
        <v>18</v>
      </c>
      <c r="P354" s="64" t="n">
        <f aca="false">INDEX(Datos_Origen!$I$2:$I$2459,$Z354)</f>
        <v>117.6</v>
      </c>
      <c r="Q354" s="64" t="n">
        <f aca="false">INDEX(Datos_Origen!$J$2:$J$2459,$Z354)</f>
        <v>63.6</v>
      </c>
      <c r="R354" s="65" t="n">
        <f aca="false">ROUND($O354*$P354,2)</f>
        <v>2116.8</v>
      </c>
      <c r="S354" s="65" t="n">
        <f aca="false">ROUND($O354*$Q354,2)</f>
        <v>1144.8</v>
      </c>
      <c r="T354" s="65" t="n">
        <f aca="false">ROUND($R354*SUMIFS(Parametros!$E$28:$E$43,Parametros!$B$28:$B$43,$J354,Parametros!$C$28:$C$43,$C354,Parametros!$D$28:$D$43,$D354),2)</f>
        <v>25.4</v>
      </c>
      <c r="U354" s="65" t="n">
        <f aca="false">$R354-$S354-$T354</f>
        <v>946.6</v>
      </c>
      <c r="V354" s="66" t="n">
        <f aca="false">IFERROR($U354/$R354,0)</f>
        <v>0.447184429327287</v>
      </c>
      <c r="W354" s="67" t="str">
        <f aca="false">IF(AND($V354&gt;=Parametros!$C$8,$R354&gt;=Parametros!$C$12),"Alta rentabilidad",IF(OR($V354&lt;Parametros!$C$11,$R354&lt;Parametros!$C$13),"Revisar","Estandar"))</f>
        <v>Estandar</v>
      </c>
      <c r="X354" s="67" t="str">
        <f aca="false">IF(AND($J354="E-commerce",IFERROR($T354/$R354,0)&gt;Parametros!$C$14),"Alerta","OK")</f>
        <v>OK</v>
      </c>
      <c r="Y354" s="61" t="str">
        <f aca="false">IF($R354&gt;=Parametros!$C$12,"Alto",IF($R354&lt;Parametros!$C$13,"Bajo","Medio"))</f>
        <v>Medio</v>
      </c>
      <c r="Z354" s="61" t="n">
        <v>50</v>
      </c>
      <c r="AA354" s="61" t="str">
        <f aca="false">IF(MATCH($A354,Datos_Origen!$A$2:$A$2459,0)=$Z354,"OK","REVISAR")</f>
        <v>OK</v>
      </c>
      <c r="AB354" s="61" t="str">
        <f aca="false">INDEX(Datos_Origen!$B$2:$B$2459,$Z354)</f>
        <v>15/04/2024</v>
      </c>
      <c r="AC354" s="61" t="n">
        <f aca="false">INDEX(Datos_Origen!$H$2:$H$2459,$Z354)</f>
        <v>18</v>
      </c>
      <c r="AD354" s="61" t="str">
        <f aca="false">INDEX(Datos_Origen!$D$2:$D$2459,$Z354)&amp;""</f>
        <v>Rosario</v>
      </c>
    </row>
    <row r="355" customFormat="false" ht="15" hidden="false" customHeight="false" outlineLevel="0" collapsed="false">
      <c r="A355" s="61" t="n">
        <f aca="false">INDEX(Datos_Origen!$A$2:$A$2459,$Z355)</f>
        <v>354</v>
      </c>
      <c r="B355" s="62" t="n">
        <f aca="false">IF(ISNUMBER($AB355),$AB355,IF(MID($AB355,5,1)="-",DATE(VALUE(LEFT($AB355,4)),VALUE(MID($AB355,6,2)),VALUE(RIGHT($AB355,2))),DATE(VALUE(RIGHT($AB355,4)),VALUE(MID($AB355,4,2)),VALUE(LEFT($AB355,2)))))</f>
        <v>45404</v>
      </c>
      <c r="C355" s="61" t="n">
        <f aca="false">YEAR($B355)</f>
        <v>2024</v>
      </c>
      <c r="D355" s="61" t="str">
        <f aca="false">"Q"&amp;ROUNDUP(MONTH($B355)/3,0)</f>
        <v>Q2</v>
      </c>
      <c r="E355" s="61" t="n">
        <f aca="false">MONTH($B355)</f>
        <v>4</v>
      </c>
      <c r="F355" s="61" t="str">
        <f aca="false">INDEX(Parametros!$I$5:$I$16,$E355)</f>
        <v>Abr</v>
      </c>
      <c r="G355" s="61" t="str">
        <f aca="false">TEXT($C355,"0000")&amp;"-"&amp;TEXT($E355,"00")</f>
        <v>2024-04</v>
      </c>
      <c r="H355" s="61" t="str">
        <f aca="false">INDEX(Parametros!$C$71:$C$91,MATCH(TRIM(INDEX(Datos_Origen!$C$2:$C$2459,$Z355)),Parametros!$B$71:$B$91,0))</f>
        <v>Litoral</v>
      </c>
      <c r="I355" s="61" t="str">
        <f aca="false">IF(TRIM($AD355)="",INDEX(Parametros!$I$20:$I$24,MATCH($H355,Parametros!$H$20:$H$24,0)),TRIM($AD355))</f>
        <v>Rosario</v>
      </c>
      <c r="J355" s="61" t="str">
        <f aca="false">INDEX(Parametros!$C$95:$C$106,MATCH(TRIM(INDEX(Datos_Origen!$E$2:$E$2459,$Z355)),Parametros!$B$95:$B$106,0))</f>
        <v>E-commerce</v>
      </c>
      <c r="K355" s="61" t="str">
        <f aca="false">INDEX(Parametros!$C$48:$C$67,MATCH(TRIM(INDEX(Datos_Origen!$F$2:$F$2459,$Z355)),Parametros!$B$48:$B$67,0))</f>
        <v>Audio</v>
      </c>
      <c r="L355" s="61" t="str">
        <f aca="false">$K355&amp;" "&amp;$C355</f>
        <v>Audio 2024</v>
      </c>
      <c r="M355" s="61" t="str">
        <f aca="false">TRIM(INDEX(Datos_Origen!$G$2:$G$2459,$Z355))</f>
        <v>Auriculares BT Pro</v>
      </c>
      <c r="N355" s="61" t="str">
        <f aca="false">$M355&amp;" "&amp;$C355</f>
        <v>Auriculares BT Pro 2024</v>
      </c>
      <c r="O355" s="63" t="n">
        <f aca="false">IF(ISTEXT($AC355),VALUE($AC355),$AC355)</f>
        <v>6</v>
      </c>
      <c r="P355" s="64" t="n">
        <f aca="false">INDEX(Datos_Origen!$I$2:$I$2459,$Z355)</f>
        <v>117.6</v>
      </c>
      <c r="Q355" s="64" t="n">
        <f aca="false">INDEX(Datos_Origen!$J$2:$J$2459,$Z355)</f>
        <v>63.6</v>
      </c>
      <c r="R355" s="65" t="n">
        <f aca="false">ROUND($O355*$P355,2)</f>
        <v>705.6</v>
      </c>
      <c r="S355" s="65" t="n">
        <f aca="false">ROUND($O355*$Q355,2)</f>
        <v>381.6</v>
      </c>
      <c r="T355" s="65" t="n">
        <f aca="false">ROUND($R355*SUMIFS(Parametros!$E$28:$E$43,Parametros!$B$28:$B$43,$J355,Parametros!$C$28:$C$43,$C355,Parametros!$D$28:$D$43,$D355),2)</f>
        <v>31.05</v>
      </c>
      <c r="U355" s="65" t="n">
        <f aca="false">$R355-$S355-$T355</f>
        <v>292.95</v>
      </c>
      <c r="V355" s="66" t="n">
        <f aca="false">IFERROR($U355/$R355,0)</f>
        <v>0.415178571428571</v>
      </c>
      <c r="W355" s="67" t="str">
        <f aca="false">IF(AND($V355&gt;=Parametros!$C$8,$R355&gt;=Parametros!$C$12),"Alta rentabilidad",IF(OR($V355&lt;Parametros!$C$11,$R355&lt;Parametros!$C$13),"Revisar","Estandar"))</f>
        <v>Estandar</v>
      </c>
      <c r="X355" s="67" t="str">
        <f aca="false">IF(AND($J355="E-commerce",IFERROR($T355/$R355,0)&gt;Parametros!$C$14),"Alerta","OK")</f>
        <v>OK</v>
      </c>
      <c r="Y355" s="61" t="str">
        <f aca="false">IF($R355&gt;=Parametros!$C$12,"Alto",IF($R355&lt;Parametros!$C$13,"Bajo","Medio"))</f>
        <v>Medio</v>
      </c>
      <c r="Z355" s="61" t="n">
        <v>896</v>
      </c>
      <c r="AA355" s="61" t="str">
        <f aca="false">IF(MATCH($A355,Datos_Origen!$A$2:$A$2459,0)=$Z355,"OK","REVISAR")</f>
        <v>OK</v>
      </c>
      <c r="AB355" s="61" t="str">
        <f aca="false">INDEX(Datos_Origen!$B$2:$B$2459,$Z355)</f>
        <v>2024-04-22</v>
      </c>
      <c r="AC355" s="61" t="n">
        <f aca="false">INDEX(Datos_Origen!$H$2:$H$2459,$Z355)</f>
        <v>6</v>
      </c>
      <c r="AD355" s="61" t="str">
        <f aca="false">INDEX(Datos_Origen!$D$2:$D$2459,$Z355)&amp;""</f>
        <v>Rosario</v>
      </c>
    </row>
    <row r="356" customFormat="false" ht="15" hidden="false" customHeight="false" outlineLevel="0" collapsed="false">
      <c r="A356" s="61" t="n">
        <f aca="false">INDEX(Datos_Origen!$A$2:$A$2459,$Z356)</f>
        <v>355</v>
      </c>
      <c r="B356" s="62" t="n">
        <f aca="false">IF(ISNUMBER($AB356),$AB356,IF(MID($AB356,5,1)="-",DATE(VALUE(LEFT($AB356,4)),VALUE(MID($AB356,6,2)),VALUE(RIGHT($AB356,2))),DATE(VALUE(RIGHT($AB356,4)),VALUE(MID($AB356,4,2)),VALUE(LEFT($AB356,2)))))</f>
        <v>45384</v>
      </c>
      <c r="C356" s="61" t="n">
        <f aca="false">YEAR($B356)</f>
        <v>2024</v>
      </c>
      <c r="D356" s="61" t="str">
        <f aca="false">"Q"&amp;ROUNDUP(MONTH($B356)/3,0)</f>
        <v>Q2</v>
      </c>
      <c r="E356" s="61" t="n">
        <f aca="false">MONTH($B356)</f>
        <v>4</v>
      </c>
      <c r="F356" s="61" t="str">
        <f aca="false">INDEX(Parametros!$I$5:$I$16,$E356)</f>
        <v>Abr</v>
      </c>
      <c r="G356" s="61" t="str">
        <f aca="false">TEXT($C356,"0000")&amp;"-"&amp;TEXT($E356,"00")</f>
        <v>2024-04</v>
      </c>
      <c r="H356" s="61" t="str">
        <f aca="false">INDEX(Parametros!$C$71:$C$91,MATCH(TRIM(INDEX(Datos_Origen!$C$2:$C$2459,$Z356)),Parametros!$B$71:$B$91,0))</f>
        <v>Litoral</v>
      </c>
      <c r="I356" s="61" t="str">
        <f aca="false">IF(TRIM($AD356)="",INDEX(Parametros!$I$20:$I$24,MATCH($H356,Parametros!$H$20:$H$24,0)),TRIM($AD356))</f>
        <v>Rosario</v>
      </c>
      <c r="J356" s="61" t="str">
        <f aca="false">INDEX(Parametros!$C$95:$C$106,MATCH(TRIM(INDEX(Datos_Origen!$E$2:$E$2459,$Z356)),Parametros!$B$95:$B$106,0))</f>
        <v>Tienda fisica</v>
      </c>
      <c r="K356" s="61" t="str">
        <f aca="false">INDEX(Parametros!$C$48:$C$67,MATCH(TRIM(INDEX(Datos_Origen!$F$2:$F$2459,$Z356)),Parametros!$B$48:$B$67,0))</f>
        <v>Audio</v>
      </c>
      <c r="L356" s="61" t="str">
        <f aca="false">$K356&amp;" "&amp;$C356</f>
        <v>Audio 2024</v>
      </c>
      <c r="M356" s="61" t="str">
        <f aca="false">TRIM(INDEX(Datos_Origen!$G$2:$G$2459,$Z356))</f>
        <v>Parlante Bluetooth</v>
      </c>
      <c r="N356" s="61" t="str">
        <f aca="false">$M356&amp;" "&amp;$C356</f>
        <v>Parlante Bluetooth 2024</v>
      </c>
      <c r="O356" s="63" t="n">
        <f aca="false">IF(ISTEXT($AC356),VALUE($AC356),$AC356)</f>
        <v>15</v>
      </c>
      <c r="P356" s="64" t="n">
        <f aca="false">INDEX(Datos_Origen!$I$2:$I$2459,$Z356)</f>
        <v>83.3</v>
      </c>
      <c r="Q356" s="64" t="n">
        <f aca="false">INDEX(Datos_Origen!$J$2:$J$2459,$Z356)</f>
        <v>48.03</v>
      </c>
      <c r="R356" s="65" t="n">
        <f aca="false">ROUND($O356*$P356,2)</f>
        <v>1249.5</v>
      </c>
      <c r="S356" s="65" t="n">
        <f aca="false">ROUND($O356*$Q356,2)</f>
        <v>720.45</v>
      </c>
      <c r="T356" s="65" t="n">
        <f aca="false">ROUND($R356*SUMIFS(Parametros!$E$28:$E$43,Parametros!$B$28:$B$43,$J356,Parametros!$C$28:$C$43,$C356,Parametros!$D$28:$D$43,$D356),2)</f>
        <v>14.99</v>
      </c>
      <c r="U356" s="65" t="n">
        <f aca="false">$R356-$S356-$T356</f>
        <v>514.06</v>
      </c>
      <c r="V356" s="66" t="n">
        <f aca="false">IFERROR($U356/$R356,0)</f>
        <v>0.41141256502601</v>
      </c>
      <c r="W356" s="67" t="str">
        <f aca="false">IF(AND($V356&gt;=Parametros!$C$8,$R356&gt;=Parametros!$C$12),"Alta rentabilidad",IF(OR($V356&lt;Parametros!$C$11,$R356&lt;Parametros!$C$13),"Revisar","Estandar"))</f>
        <v>Estandar</v>
      </c>
      <c r="X356" s="67" t="str">
        <f aca="false">IF(AND($J356="E-commerce",IFERROR($T356/$R356,0)&gt;Parametros!$C$14),"Alerta","OK")</f>
        <v>OK</v>
      </c>
      <c r="Y356" s="61" t="str">
        <f aca="false">IF($R356&gt;=Parametros!$C$12,"Alto",IF($R356&lt;Parametros!$C$13,"Bajo","Medio"))</f>
        <v>Medio</v>
      </c>
      <c r="Z356" s="61" t="n">
        <v>1187</v>
      </c>
      <c r="AA356" s="61" t="str">
        <f aca="false">IF(MATCH($A356,Datos_Origen!$A$2:$A$2459,0)=$Z356,"OK","REVISAR")</f>
        <v>OK</v>
      </c>
      <c r="AB356" s="61" t="str">
        <f aca="false">INDEX(Datos_Origen!$B$2:$B$2459,$Z356)</f>
        <v>02/04/2024</v>
      </c>
      <c r="AC356" s="61" t="n">
        <f aca="false">INDEX(Datos_Origen!$H$2:$H$2459,$Z356)</f>
        <v>15</v>
      </c>
      <c r="AD356" s="61" t="str">
        <f aca="false">INDEX(Datos_Origen!$D$2:$D$2459,$Z356)&amp;""</f>
        <v>Rosario</v>
      </c>
    </row>
    <row r="357" customFormat="false" ht="15" hidden="false" customHeight="false" outlineLevel="0" collapsed="false">
      <c r="A357" s="61" t="n">
        <f aca="false">INDEX(Datos_Origen!$A$2:$A$2459,$Z357)</f>
        <v>356</v>
      </c>
      <c r="B357" s="62" t="n">
        <f aca="false">IF(ISNUMBER($AB357),$AB357,IF(MID($AB357,5,1)="-",DATE(VALUE(LEFT($AB357,4)),VALUE(MID($AB357,6,2)),VALUE(RIGHT($AB357,2))),DATE(VALUE(RIGHT($AB357,4)),VALUE(MID($AB357,4,2)),VALUE(LEFT($AB357,2)))))</f>
        <v>45391</v>
      </c>
      <c r="C357" s="61" t="n">
        <f aca="false">YEAR($B357)</f>
        <v>2024</v>
      </c>
      <c r="D357" s="61" t="str">
        <f aca="false">"Q"&amp;ROUNDUP(MONTH($B357)/3,0)</f>
        <v>Q2</v>
      </c>
      <c r="E357" s="61" t="n">
        <f aca="false">MONTH($B357)</f>
        <v>4</v>
      </c>
      <c r="F357" s="61" t="str">
        <f aca="false">INDEX(Parametros!$I$5:$I$16,$E357)</f>
        <v>Abr</v>
      </c>
      <c r="G357" s="61" t="str">
        <f aca="false">TEXT($C357,"0000")&amp;"-"&amp;TEXT($E357,"00")</f>
        <v>2024-04</v>
      </c>
      <c r="H357" s="61" t="str">
        <f aca="false">INDEX(Parametros!$C$71:$C$91,MATCH(TRIM(INDEX(Datos_Origen!$C$2:$C$2459,$Z357)),Parametros!$B$71:$B$91,0))</f>
        <v>Litoral</v>
      </c>
      <c r="I357" s="61" t="str">
        <f aca="false">IF(TRIM($AD357)="",INDEX(Parametros!$I$20:$I$24,MATCH($H357,Parametros!$H$20:$H$24,0)),TRIM($AD357))</f>
        <v>Rosario</v>
      </c>
      <c r="J357" s="61" t="str">
        <f aca="false">INDEX(Parametros!$C$95:$C$106,MATCH(TRIM(INDEX(Datos_Origen!$E$2:$E$2459,$Z357)),Parametros!$B$95:$B$106,0))</f>
        <v>E-commerce</v>
      </c>
      <c r="K357" s="61" t="str">
        <f aca="false">INDEX(Parametros!$C$48:$C$67,MATCH(TRIM(INDEX(Datos_Origen!$F$2:$F$2459,$Z357)),Parametros!$B$48:$B$67,0))</f>
        <v>Audio</v>
      </c>
      <c r="L357" s="61" t="str">
        <f aca="false">$K357&amp;" "&amp;$C357</f>
        <v>Audio 2024</v>
      </c>
      <c r="M357" s="61" t="str">
        <f aca="false">TRIM(INDEX(Datos_Origen!$G$2:$G$2459,$Z357))</f>
        <v>Parlante Bluetooth</v>
      </c>
      <c r="N357" s="61" t="str">
        <f aca="false">$M357&amp;" "&amp;$C357</f>
        <v>Parlante Bluetooth 2024</v>
      </c>
      <c r="O357" s="63" t="n">
        <f aca="false">IF(ISTEXT($AC357),VALUE($AC357),$AC357)</f>
        <v>6</v>
      </c>
      <c r="P357" s="64" t="n">
        <f aca="false">INDEX(Datos_Origen!$I$2:$I$2459,$Z357)</f>
        <v>83.3</v>
      </c>
      <c r="Q357" s="64" t="n">
        <f aca="false">INDEX(Datos_Origen!$J$2:$J$2459,$Z357)</f>
        <v>48.03</v>
      </c>
      <c r="R357" s="65" t="n">
        <f aca="false">ROUND($O357*$P357,2)</f>
        <v>499.8</v>
      </c>
      <c r="S357" s="65" t="n">
        <f aca="false">ROUND($O357*$Q357,2)</f>
        <v>288.18</v>
      </c>
      <c r="T357" s="65" t="n">
        <f aca="false">ROUND($R357*SUMIFS(Parametros!$E$28:$E$43,Parametros!$B$28:$B$43,$J357,Parametros!$C$28:$C$43,$C357,Parametros!$D$28:$D$43,$D357),2)</f>
        <v>21.99</v>
      </c>
      <c r="U357" s="65" t="n">
        <f aca="false">$R357-$S357-$T357</f>
        <v>189.63</v>
      </c>
      <c r="V357" s="66" t="n">
        <f aca="false">IFERROR($U357/$R357,0)</f>
        <v>0.379411764705882</v>
      </c>
      <c r="W357" s="67" t="str">
        <f aca="false">IF(AND($V357&gt;=Parametros!$C$8,$R357&gt;=Parametros!$C$12),"Alta rentabilidad",IF(OR($V357&lt;Parametros!$C$11,$R357&lt;Parametros!$C$13),"Revisar","Estandar"))</f>
        <v>Estandar</v>
      </c>
      <c r="X357" s="67" t="str">
        <f aca="false">IF(AND($J357="E-commerce",IFERROR($T357/$R357,0)&gt;Parametros!$C$14),"Alerta","OK")</f>
        <v>OK</v>
      </c>
      <c r="Y357" s="61" t="str">
        <f aca="false">IF($R357&gt;=Parametros!$C$12,"Alto",IF($R357&lt;Parametros!$C$13,"Bajo","Medio"))</f>
        <v>Medio</v>
      </c>
      <c r="Z357" s="61" t="n">
        <v>324</v>
      </c>
      <c r="AA357" s="61" t="str">
        <f aca="false">IF(MATCH($A357,Datos_Origen!$A$2:$A$2459,0)=$Z357,"OK","REVISAR")</f>
        <v>OK</v>
      </c>
      <c r="AB357" s="62" t="n">
        <f aca="false">INDEX(Datos_Origen!$B$2:$B$2459,$Z357)</f>
        <v>45391</v>
      </c>
      <c r="AC357" s="61" t="n">
        <f aca="false">INDEX(Datos_Origen!$H$2:$H$2459,$Z357)</f>
        <v>6</v>
      </c>
      <c r="AD357" s="61" t="str">
        <f aca="false">INDEX(Datos_Origen!$D$2:$D$2459,$Z357)&amp;""</f>
        <v>Rosario</v>
      </c>
    </row>
    <row r="358" customFormat="false" ht="15" hidden="false" customHeight="false" outlineLevel="0" collapsed="false">
      <c r="A358" s="61" t="n">
        <f aca="false">INDEX(Datos_Origen!$A$2:$A$2459,$Z358)</f>
        <v>357</v>
      </c>
      <c r="B358" s="62" t="n">
        <f aca="false">IF(ISNUMBER($AB358),$AB358,IF(MID($AB358,5,1)="-",DATE(VALUE(LEFT($AB358,4)),VALUE(MID($AB358,6,2)),VALUE(RIGHT($AB358,2))),DATE(VALUE(RIGHT($AB358,4)),VALUE(MID($AB358,4,2)),VALUE(LEFT($AB358,2)))))</f>
        <v>45398</v>
      </c>
      <c r="C358" s="61" t="n">
        <f aca="false">YEAR($B358)</f>
        <v>2024</v>
      </c>
      <c r="D358" s="61" t="str">
        <f aca="false">"Q"&amp;ROUNDUP(MONTH($B358)/3,0)</f>
        <v>Q2</v>
      </c>
      <c r="E358" s="61" t="n">
        <f aca="false">MONTH($B358)</f>
        <v>4</v>
      </c>
      <c r="F358" s="61" t="str">
        <f aca="false">INDEX(Parametros!$I$5:$I$16,$E358)</f>
        <v>Abr</v>
      </c>
      <c r="G358" s="61" t="str">
        <f aca="false">TEXT($C358,"0000")&amp;"-"&amp;TEXT($E358,"00")</f>
        <v>2024-04</v>
      </c>
      <c r="H358" s="61" t="str">
        <f aca="false">INDEX(Parametros!$C$71:$C$91,MATCH(TRIM(INDEX(Datos_Origen!$C$2:$C$2459,$Z358)),Parametros!$B$71:$B$91,0))</f>
        <v>Litoral</v>
      </c>
      <c r="I358" s="61" t="str">
        <f aca="false">IF(TRIM($AD358)="",INDEX(Parametros!$I$20:$I$24,MATCH($H358,Parametros!$H$20:$H$24,0)),TRIM($AD358))</f>
        <v>Rosario</v>
      </c>
      <c r="J358" s="61" t="str">
        <f aca="false">INDEX(Parametros!$C$95:$C$106,MATCH(TRIM(INDEX(Datos_Origen!$E$2:$E$2459,$Z358)),Parametros!$B$95:$B$106,0))</f>
        <v>Tienda fisica</v>
      </c>
      <c r="K358" s="61" t="str">
        <f aca="false">INDEX(Parametros!$C$48:$C$67,MATCH(TRIM(INDEX(Datos_Origen!$F$2:$F$2459,$Z358)),Parametros!$B$48:$B$67,0))</f>
        <v>Almacenamiento</v>
      </c>
      <c r="L358" s="61" t="str">
        <f aca="false">$K358&amp;" "&amp;$C358</f>
        <v>Almacenamiento 2024</v>
      </c>
      <c r="M358" s="61" t="str">
        <f aca="false">TRIM(INDEX(Datos_Origen!$G$2:$G$2459,$Z358))</f>
        <v>SSD Externo 1TB</v>
      </c>
      <c r="N358" s="61" t="str">
        <f aca="false">$M358&amp;" "&amp;$C358</f>
        <v>SSD Externo 1TB 2024</v>
      </c>
      <c r="O358" s="63" t="n">
        <f aca="false">IF(ISTEXT($AC358),VALUE($AC358),$AC358)</f>
        <v>24</v>
      </c>
      <c r="P358" s="64" t="n">
        <f aca="false">INDEX(Datos_Origen!$I$2:$I$2459,$Z358)</f>
        <v>127.4</v>
      </c>
      <c r="Q358" s="64" t="n">
        <f aca="false">INDEX(Datos_Origen!$J$2:$J$2459,$Z358)</f>
        <v>76.05</v>
      </c>
      <c r="R358" s="65" t="n">
        <f aca="false">ROUND($O358*$P358,2)</f>
        <v>3057.6</v>
      </c>
      <c r="S358" s="65" t="n">
        <f aca="false">ROUND($O358*$Q358,2)</f>
        <v>1825.2</v>
      </c>
      <c r="T358" s="65" t="n">
        <f aca="false">ROUND($R358*SUMIFS(Parametros!$E$28:$E$43,Parametros!$B$28:$B$43,$J358,Parametros!$C$28:$C$43,$C358,Parametros!$D$28:$D$43,$D358),2)</f>
        <v>36.69</v>
      </c>
      <c r="U358" s="65" t="n">
        <f aca="false">$R358-$S358-$T358</f>
        <v>1195.71</v>
      </c>
      <c r="V358" s="66" t="n">
        <f aca="false">IFERROR($U358/$R358,0)</f>
        <v>0.391061616954474</v>
      </c>
      <c r="W358" s="67" t="str">
        <f aca="false">IF(AND($V358&gt;=Parametros!$C$8,$R358&gt;=Parametros!$C$12),"Alta rentabilidad",IF(OR($V358&lt;Parametros!$C$11,$R358&lt;Parametros!$C$13),"Revisar","Estandar"))</f>
        <v>Alta rentabilidad</v>
      </c>
      <c r="X358" s="67" t="str">
        <f aca="false">IF(AND($J358="E-commerce",IFERROR($T358/$R358,0)&gt;Parametros!$C$14),"Alerta","OK")</f>
        <v>OK</v>
      </c>
      <c r="Y358" s="61" t="str">
        <f aca="false">IF($R358&gt;=Parametros!$C$12,"Alto",IF($R358&lt;Parametros!$C$13,"Bajo","Medio"))</f>
        <v>Alto</v>
      </c>
      <c r="Z358" s="61" t="n">
        <v>1409</v>
      </c>
      <c r="AA358" s="61" t="str">
        <f aca="false">IF(MATCH($A358,Datos_Origen!$A$2:$A$2459,0)=$Z358,"OK","REVISAR")</f>
        <v>OK</v>
      </c>
      <c r="AB358" s="61" t="str">
        <f aca="false">INDEX(Datos_Origen!$B$2:$B$2459,$Z358)</f>
        <v>16/04/2024</v>
      </c>
      <c r="AC358" s="61" t="n">
        <f aca="false">INDEX(Datos_Origen!$H$2:$H$2459,$Z358)</f>
        <v>24</v>
      </c>
      <c r="AD358" s="61" t="str">
        <f aca="false">INDEX(Datos_Origen!$D$2:$D$2459,$Z358)&amp;""</f>
        <v>Rosario</v>
      </c>
    </row>
    <row r="359" customFormat="false" ht="15" hidden="false" customHeight="false" outlineLevel="0" collapsed="false">
      <c r="A359" s="61" t="n">
        <f aca="false">INDEX(Datos_Origen!$A$2:$A$2459,$Z359)</f>
        <v>358</v>
      </c>
      <c r="B359" s="62" t="n">
        <f aca="false">IF(ISNUMBER($AB359),$AB359,IF(MID($AB359,5,1)="-",DATE(VALUE(LEFT($AB359,4)),VALUE(MID($AB359,6,2)),VALUE(RIGHT($AB359,2))),DATE(VALUE(RIGHT($AB359,4)),VALUE(MID($AB359,4,2)),VALUE(LEFT($AB359,2)))))</f>
        <v>45405</v>
      </c>
      <c r="C359" s="61" t="n">
        <f aca="false">YEAR($B359)</f>
        <v>2024</v>
      </c>
      <c r="D359" s="61" t="str">
        <f aca="false">"Q"&amp;ROUNDUP(MONTH($B359)/3,0)</f>
        <v>Q2</v>
      </c>
      <c r="E359" s="61" t="n">
        <f aca="false">MONTH($B359)</f>
        <v>4</v>
      </c>
      <c r="F359" s="61" t="str">
        <f aca="false">INDEX(Parametros!$I$5:$I$16,$E359)</f>
        <v>Abr</v>
      </c>
      <c r="G359" s="61" t="str">
        <f aca="false">TEXT($C359,"0000")&amp;"-"&amp;TEXT($E359,"00")</f>
        <v>2024-04</v>
      </c>
      <c r="H359" s="61" t="str">
        <f aca="false">INDEX(Parametros!$C$71:$C$91,MATCH(TRIM(INDEX(Datos_Origen!$C$2:$C$2459,$Z359)),Parametros!$B$71:$B$91,0))</f>
        <v>Litoral</v>
      </c>
      <c r="I359" s="61" t="str">
        <f aca="false">IF(TRIM($AD359)="",INDEX(Parametros!$I$20:$I$24,MATCH($H359,Parametros!$H$20:$H$24,0)),TRIM($AD359))</f>
        <v>Rosario</v>
      </c>
      <c r="J359" s="61" t="str">
        <f aca="false">INDEX(Parametros!$C$95:$C$106,MATCH(TRIM(INDEX(Datos_Origen!$E$2:$E$2459,$Z359)),Parametros!$B$95:$B$106,0))</f>
        <v>E-commerce</v>
      </c>
      <c r="K359" s="61" t="str">
        <f aca="false">INDEX(Parametros!$C$48:$C$67,MATCH(TRIM(INDEX(Datos_Origen!$F$2:$F$2459,$Z359)),Parametros!$B$48:$B$67,0))</f>
        <v>Almacenamiento</v>
      </c>
      <c r="L359" s="61" t="str">
        <f aca="false">$K359&amp;" "&amp;$C359</f>
        <v>Almacenamiento 2024</v>
      </c>
      <c r="M359" s="61" t="str">
        <f aca="false">TRIM(INDEX(Datos_Origen!$G$2:$G$2459,$Z359))</f>
        <v>SSD Externo 1TB</v>
      </c>
      <c r="N359" s="61" t="str">
        <f aca="false">$M359&amp;" "&amp;$C359</f>
        <v>SSD Externo 1TB 2024</v>
      </c>
      <c r="O359" s="63" t="n">
        <f aca="false">IF(ISTEXT($AC359),VALUE($AC359),$AC359)</f>
        <v>7</v>
      </c>
      <c r="P359" s="64" t="n">
        <f aca="false">INDEX(Datos_Origen!$I$2:$I$2459,$Z359)</f>
        <v>127.4</v>
      </c>
      <c r="Q359" s="64" t="n">
        <f aca="false">INDEX(Datos_Origen!$J$2:$J$2459,$Z359)</f>
        <v>76.05</v>
      </c>
      <c r="R359" s="65" t="n">
        <f aca="false">ROUND($O359*$P359,2)</f>
        <v>891.8</v>
      </c>
      <c r="S359" s="65" t="n">
        <f aca="false">ROUND($O359*$Q359,2)</f>
        <v>532.35</v>
      </c>
      <c r="T359" s="65" t="n">
        <f aca="false">ROUND($R359*SUMIFS(Parametros!$E$28:$E$43,Parametros!$B$28:$B$43,$J359,Parametros!$C$28:$C$43,$C359,Parametros!$D$28:$D$43,$D359),2)</f>
        <v>39.24</v>
      </c>
      <c r="U359" s="65" t="n">
        <f aca="false">$R359-$S359-$T359</f>
        <v>320.21</v>
      </c>
      <c r="V359" s="66" t="n">
        <f aca="false">IFERROR($U359/$R359,0)</f>
        <v>0.359060327427674</v>
      </c>
      <c r="W359" s="67" t="str">
        <f aca="false">IF(AND($V359&gt;=Parametros!$C$8,$R359&gt;=Parametros!$C$12),"Alta rentabilidad",IF(OR($V359&lt;Parametros!$C$11,$R359&lt;Parametros!$C$13),"Revisar","Estandar"))</f>
        <v>Estandar</v>
      </c>
      <c r="X359" s="67" t="str">
        <f aca="false">IF(AND($J359="E-commerce",IFERROR($T359/$R359,0)&gt;Parametros!$C$14),"Alerta","OK")</f>
        <v>OK</v>
      </c>
      <c r="Y359" s="61" t="str">
        <f aca="false">IF($R359&gt;=Parametros!$C$12,"Alto",IF($R359&lt;Parametros!$C$13,"Bajo","Medio"))</f>
        <v>Medio</v>
      </c>
      <c r="Z359" s="61" t="n">
        <v>2165</v>
      </c>
      <c r="AA359" s="61" t="str">
        <f aca="false">IF(MATCH($A359,Datos_Origen!$A$2:$A$2459,0)=$Z359,"OK","REVISAR")</f>
        <v>OK</v>
      </c>
      <c r="AB359" s="61" t="str">
        <f aca="false">INDEX(Datos_Origen!$B$2:$B$2459,$Z359)</f>
        <v>2024-04-23</v>
      </c>
      <c r="AC359" s="61" t="n">
        <f aca="false">INDEX(Datos_Origen!$H$2:$H$2459,$Z359)</f>
        <v>7</v>
      </c>
      <c r="AD359" s="61" t="str">
        <f aca="false">INDEX(Datos_Origen!$D$2:$D$2459,$Z359)&amp;""</f>
        <v>Rosario</v>
      </c>
    </row>
    <row r="360" customFormat="false" ht="15" hidden="false" customHeight="false" outlineLevel="0" collapsed="false">
      <c r="A360" s="61" t="n">
        <f aca="false">INDEX(Datos_Origen!$A$2:$A$2459,$Z360)</f>
        <v>359</v>
      </c>
      <c r="B360" s="62" t="n">
        <f aca="false">IF(ISNUMBER($AB360),$AB360,IF(MID($AB360,5,1)="-",DATE(VALUE(LEFT($AB360,4)),VALUE(MID($AB360,6,2)),VALUE(RIGHT($AB360,2))),DATE(VALUE(RIGHT($AB360,4)),VALUE(MID($AB360,4,2)),VALUE(LEFT($AB360,2)))))</f>
        <v>45385</v>
      </c>
      <c r="C360" s="61" t="n">
        <f aca="false">YEAR($B360)</f>
        <v>2024</v>
      </c>
      <c r="D360" s="61" t="str">
        <f aca="false">"Q"&amp;ROUNDUP(MONTH($B360)/3,0)</f>
        <v>Q2</v>
      </c>
      <c r="E360" s="61" t="n">
        <f aca="false">MONTH($B360)</f>
        <v>4</v>
      </c>
      <c r="F360" s="61" t="str">
        <f aca="false">INDEX(Parametros!$I$5:$I$16,$E360)</f>
        <v>Abr</v>
      </c>
      <c r="G360" s="61" t="str">
        <f aca="false">TEXT($C360,"0000")&amp;"-"&amp;TEXT($E360,"00")</f>
        <v>2024-04</v>
      </c>
      <c r="H360" s="61" t="str">
        <f aca="false">INDEX(Parametros!$C$71:$C$91,MATCH(TRIM(INDEX(Datos_Origen!$C$2:$C$2459,$Z360)),Parametros!$B$71:$B$91,0))</f>
        <v>Litoral</v>
      </c>
      <c r="I360" s="61" t="str">
        <f aca="false">IF(TRIM($AD360)="",INDEX(Parametros!$I$20:$I$24,MATCH($H360,Parametros!$H$20:$H$24,0)),TRIM($AD360))</f>
        <v>Rosario</v>
      </c>
      <c r="J360" s="61" t="str">
        <f aca="false">INDEX(Parametros!$C$95:$C$106,MATCH(TRIM(INDEX(Datos_Origen!$E$2:$E$2459,$Z360)),Parametros!$B$95:$B$106,0))</f>
        <v>Tienda fisica</v>
      </c>
      <c r="K360" s="61" t="str">
        <f aca="false">INDEX(Parametros!$C$48:$C$67,MATCH(TRIM(INDEX(Datos_Origen!$F$2:$F$2459,$Z360)),Parametros!$B$48:$B$67,0))</f>
        <v>Almacenamiento</v>
      </c>
      <c r="L360" s="61" t="str">
        <f aca="false">$K360&amp;" "&amp;$C360</f>
        <v>Almacenamiento 2024</v>
      </c>
      <c r="M360" s="61" t="str">
        <f aca="false">TRIM(INDEX(Datos_Origen!$G$2:$G$2459,$Z360))</f>
        <v>Pendrive 256GB</v>
      </c>
      <c r="N360" s="61" t="str">
        <f aca="false">$M360&amp;" "&amp;$C360</f>
        <v>Pendrive 256GB 2024</v>
      </c>
      <c r="O360" s="63" t="n">
        <f aca="false">IF(ISTEXT($AC360),VALUE($AC360),$AC360)</f>
        <v>23</v>
      </c>
      <c r="P360" s="64" t="n">
        <f aca="false">INDEX(Datos_Origen!$I$2:$I$2459,$Z360)</f>
        <v>34.3</v>
      </c>
      <c r="Q360" s="64" t="n">
        <f aca="false">INDEX(Datos_Origen!$J$2:$J$2459,$Z360)</f>
        <v>17.85</v>
      </c>
      <c r="R360" s="65" t="n">
        <f aca="false">ROUND($O360*$P360,2)</f>
        <v>788.9</v>
      </c>
      <c r="S360" s="65" t="n">
        <f aca="false">ROUND($O360*$Q360,2)</f>
        <v>410.55</v>
      </c>
      <c r="T360" s="65" t="n">
        <f aca="false">ROUND($R360*SUMIFS(Parametros!$E$28:$E$43,Parametros!$B$28:$B$43,$J360,Parametros!$C$28:$C$43,$C360,Parametros!$D$28:$D$43,$D360),2)</f>
        <v>9.47</v>
      </c>
      <c r="U360" s="65" t="n">
        <f aca="false">$R360-$S360-$T360</f>
        <v>368.88</v>
      </c>
      <c r="V360" s="66" t="n">
        <f aca="false">IFERROR($U360/$R360,0)</f>
        <v>0.467587780453796</v>
      </c>
      <c r="W360" s="67" t="str">
        <f aca="false">IF(AND($V360&gt;=Parametros!$C$8,$R360&gt;=Parametros!$C$12),"Alta rentabilidad",IF(OR($V360&lt;Parametros!$C$11,$R360&lt;Parametros!$C$13),"Revisar","Estandar"))</f>
        <v>Estandar</v>
      </c>
      <c r="X360" s="67" t="str">
        <f aca="false">IF(AND($J360="E-commerce",IFERROR($T360/$R360,0)&gt;Parametros!$C$14),"Alerta","OK")</f>
        <v>OK</v>
      </c>
      <c r="Y360" s="61" t="str">
        <f aca="false">IF($R360&gt;=Parametros!$C$12,"Alto",IF($R360&lt;Parametros!$C$13,"Bajo","Medio"))</f>
        <v>Medio</v>
      </c>
      <c r="Z360" s="61" t="n">
        <v>1850</v>
      </c>
      <c r="AA360" s="61" t="str">
        <f aca="false">IF(MATCH($A360,Datos_Origen!$A$2:$A$2459,0)=$Z360,"OK","REVISAR")</f>
        <v>OK</v>
      </c>
      <c r="AB360" s="62" t="n">
        <f aca="false">INDEX(Datos_Origen!$B$2:$B$2459,$Z360)</f>
        <v>45385</v>
      </c>
      <c r="AC360" s="61" t="n">
        <f aca="false">INDEX(Datos_Origen!$H$2:$H$2459,$Z360)</f>
        <v>23</v>
      </c>
      <c r="AD360" s="61" t="str">
        <f aca="false">INDEX(Datos_Origen!$D$2:$D$2459,$Z360)&amp;""</f>
        <v>Rosario</v>
      </c>
    </row>
    <row r="361" customFormat="false" ht="15" hidden="false" customHeight="false" outlineLevel="0" collapsed="false">
      <c r="A361" s="61" t="n">
        <f aca="false">INDEX(Datos_Origen!$A$2:$A$2459,$Z361)</f>
        <v>360</v>
      </c>
      <c r="B361" s="62" t="n">
        <f aca="false">IF(ISNUMBER($AB361),$AB361,IF(MID($AB361,5,1)="-",DATE(VALUE(LEFT($AB361,4)),VALUE(MID($AB361,6,2)),VALUE(RIGHT($AB361,2))),DATE(VALUE(RIGHT($AB361,4)),VALUE(MID($AB361,4,2)),VALUE(LEFT($AB361,2)))))</f>
        <v>45392</v>
      </c>
      <c r="C361" s="61" t="n">
        <f aca="false">YEAR($B361)</f>
        <v>2024</v>
      </c>
      <c r="D361" s="61" t="str">
        <f aca="false">"Q"&amp;ROUNDUP(MONTH($B361)/3,0)</f>
        <v>Q2</v>
      </c>
      <c r="E361" s="61" t="n">
        <f aca="false">MONTH($B361)</f>
        <v>4</v>
      </c>
      <c r="F361" s="61" t="str">
        <f aca="false">INDEX(Parametros!$I$5:$I$16,$E361)</f>
        <v>Abr</v>
      </c>
      <c r="G361" s="61" t="str">
        <f aca="false">TEXT($C361,"0000")&amp;"-"&amp;TEXT($E361,"00")</f>
        <v>2024-04</v>
      </c>
      <c r="H361" s="61" t="str">
        <f aca="false">INDEX(Parametros!$C$71:$C$91,MATCH(TRIM(INDEX(Datos_Origen!$C$2:$C$2459,$Z361)),Parametros!$B$71:$B$91,0))</f>
        <v>Litoral</v>
      </c>
      <c r="I361" s="61" t="str">
        <f aca="false">IF(TRIM($AD361)="",INDEX(Parametros!$I$20:$I$24,MATCH($H361,Parametros!$H$20:$H$24,0)),TRIM($AD361))</f>
        <v>Rosario</v>
      </c>
      <c r="J361" s="61" t="str">
        <f aca="false">INDEX(Parametros!$C$95:$C$106,MATCH(TRIM(INDEX(Datos_Origen!$E$2:$E$2459,$Z361)),Parametros!$B$95:$B$106,0))</f>
        <v>E-commerce</v>
      </c>
      <c r="K361" s="61" t="str">
        <f aca="false">INDEX(Parametros!$C$48:$C$67,MATCH(TRIM(INDEX(Datos_Origen!$F$2:$F$2459,$Z361)),Parametros!$B$48:$B$67,0))</f>
        <v>Almacenamiento</v>
      </c>
      <c r="L361" s="61" t="str">
        <f aca="false">$K361&amp;" "&amp;$C361</f>
        <v>Almacenamiento 2024</v>
      </c>
      <c r="M361" s="61" t="str">
        <f aca="false">TRIM(INDEX(Datos_Origen!$G$2:$G$2459,$Z361))</f>
        <v>Pendrive 256GB</v>
      </c>
      <c r="N361" s="61" t="str">
        <f aca="false">$M361&amp;" "&amp;$C361</f>
        <v>Pendrive 256GB 2024</v>
      </c>
      <c r="O361" s="63" t="n">
        <f aca="false">IF(ISTEXT($AC361),VALUE($AC361),$AC361)</f>
        <v>10</v>
      </c>
      <c r="P361" s="64" t="n">
        <f aca="false">INDEX(Datos_Origen!$I$2:$I$2459,$Z361)</f>
        <v>34.3</v>
      </c>
      <c r="Q361" s="64" t="n">
        <f aca="false">INDEX(Datos_Origen!$J$2:$J$2459,$Z361)</f>
        <v>17.85</v>
      </c>
      <c r="R361" s="65" t="n">
        <f aca="false">ROUND($O361*$P361,2)</f>
        <v>343</v>
      </c>
      <c r="S361" s="65" t="n">
        <f aca="false">ROUND($O361*$Q361,2)</f>
        <v>178.5</v>
      </c>
      <c r="T361" s="65" t="n">
        <f aca="false">ROUND($R361*SUMIFS(Parametros!$E$28:$E$43,Parametros!$B$28:$B$43,$J361,Parametros!$C$28:$C$43,$C361,Parametros!$D$28:$D$43,$D361),2)</f>
        <v>15.09</v>
      </c>
      <c r="U361" s="65" t="n">
        <f aca="false">$R361-$S361-$T361</f>
        <v>149.41</v>
      </c>
      <c r="V361" s="66" t="n">
        <f aca="false">IFERROR($U361/$R361,0)</f>
        <v>0.435597667638484</v>
      </c>
      <c r="W361" s="67" t="str">
        <f aca="false">IF(AND($V361&gt;=Parametros!$C$8,$R361&gt;=Parametros!$C$12),"Alta rentabilidad",IF(OR($V361&lt;Parametros!$C$11,$R361&lt;Parametros!$C$13),"Revisar","Estandar"))</f>
        <v>Estandar</v>
      </c>
      <c r="X361" s="67" t="str">
        <f aca="false">IF(AND($J361="E-commerce",IFERROR($T361/$R361,0)&gt;Parametros!$C$14),"Alerta","OK")</f>
        <v>OK</v>
      </c>
      <c r="Y361" s="61" t="str">
        <f aca="false">IF($R361&gt;=Parametros!$C$12,"Alto",IF($R361&lt;Parametros!$C$13,"Bajo","Medio"))</f>
        <v>Medio</v>
      </c>
      <c r="Z361" s="61" t="n">
        <v>1632</v>
      </c>
      <c r="AA361" s="61" t="str">
        <f aca="false">IF(MATCH($A361,Datos_Origen!$A$2:$A$2459,0)=$Z361,"OK","REVISAR")</f>
        <v>OK</v>
      </c>
      <c r="AB361" s="62" t="n">
        <f aca="false">INDEX(Datos_Origen!$B$2:$B$2459,$Z361)</f>
        <v>45392</v>
      </c>
      <c r="AC361" s="61" t="n">
        <f aca="false">INDEX(Datos_Origen!$H$2:$H$2459,$Z361)</f>
        <v>10</v>
      </c>
      <c r="AD361" s="61" t="str">
        <f aca="false">INDEX(Datos_Origen!$D$2:$D$2459,$Z361)&amp;""</f>
        <v>Rosario</v>
      </c>
    </row>
    <row r="362" customFormat="false" ht="15" hidden="false" customHeight="false" outlineLevel="0" collapsed="false">
      <c r="A362" s="61" t="n">
        <f aca="false">INDEX(Datos_Origen!$A$2:$A$2459,$Z362)</f>
        <v>361</v>
      </c>
      <c r="B362" s="62" t="n">
        <f aca="false">IF(ISNUMBER($AB362),$AB362,IF(MID($AB362,5,1)="-",DATE(VALUE(LEFT($AB362,4)),VALUE(MID($AB362,6,2)),VALUE(RIGHT($AB362,2))),DATE(VALUE(RIGHT($AB362,4)),VALUE(MID($AB362,4,2)),VALUE(LEFT($AB362,2)))))</f>
        <v>45399</v>
      </c>
      <c r="C362" s="61" t="n">
        <f aca="false">YEAR($B362)</f>
        <v>2024</v>
      </c>
      <c r="D362" s="61" t="str">
        <f aca="false">"Q"&amp;ROUNDUP(MONTH($B362)/3,0)</f>
        <v>Q2</v>
      </c>
      <c r="E362" s="61" t="n">
        <f aca="false">MONTH($B362)</f>
        <v>4</v>
      </c>
      <c r="F362" s="61" t="str">
        <f aca="false">INDEX(Parametros!$I$5:$I$16,$E362)</f>
        <v>Abr</v>
      </c>
      <c r="G362" s="61" t="str">
        <f aca="false">TEXT($C362,"0000")&amp;"-"&amp;TEXT($E362,"00")</f>
        <v>2024-04</v>
      </c>
      <c r="H362" s="61" t="str">
        <f aca="false">INDEX(Parametros!$C$71:$C$91,MATCH(TRIM(INDEX(Datos_Origen!$C$2:$C$2459,$Z362)),Parametros!$B$71:$B$91,0))</f>
        <v>Cuyo</v>
      </c>
      <c r="I362" s="61" t="str">
        <f aca="false">IF(TRIM($AD362)="",INDEX(Parametros!$I$20:$I$24,MATCH($H362,Parametros!$H$20:$H$24,0)),TRIM($AD362))</f>
        <v>Mendoza</v>
      </c>
      <c r="J362" s="61" t="str">
        <f aca="false">INDEX(Parametros!$C$95:$C$106,MATCH(TRIM(INDEX(Datos_Origen!$E$2:$E$2459,$Z362)),Parametros!$B$95:$B$106,0))</f>
        <v>Tienda fisica</v>
      </c>
      <c r="K362" s="61" t="str">
        <f aca="false">INDEX(Parametros!$C$48:$C$67,MATCH(TRIM(INDEX(Datos_Origen!$F$2:$F$2459,$Z362)),Parametros!$B$48:$B$67,0))</f>
        <v>Computacion</v>
      </c>
      <c r="L362" s="61" t="str">
        <f aca="false">$K362&amp;" "&amp;$C362</f>
        <v>Computacion 2024</v>
      </c>
      <c r="M362" s="61" t="str">
        <f aca="false">TRIM(INDEX(Datos_Origen!$G$2:$G$2459,$Z362))</f>
        <v>Laptop Pro 15</v>
      </c>
      <c r="N362" s="61" t="str">
        <f aca="false">$M362&amp;" "&amp;$C362</f>
        <v>Laptop Pro 15 2024</v>
      </c>
      <c r="O362" s="63" t="n">
        <f aca="false">IF(ISTEXT($AC362),VALUE($AC362),$AC362)</f>
        <v>6</v>
      </c>
      <c r="P362" s="64" t="n">
        <f aca="false">INDEX(Datos_Origen!$I$2:$I$2459,$Z362)</f>
        <v>1176</v>
      </c>
      <c r="Q362" s="64" t="n">
        <f aca="false">INDEX(Datos_Origen!$J$2:$J$2459,$Z362)</f>
        <v>744</v>
      </c>
      <c r="R362" s="65" t="n">
        <f aca="false">ROUND($O362*$P362,2)</f>
        <v>7056</v>
      </c>
      <c r="S362" s="65" t="n">
        <f aca="false">ROUND($O362*$Q362,2)</f>
        <v>4464</v>
      </c>
      <c r="T362" s="65" t="n">
        <f aca="false">ROUND($R362*SUMIFS(Parametros!$E$28:$E$43,Parametros!$B$28:$B$43,$J362,Parametros!$C$28:$C$43,$C362,Parametros!$D$28:$D$43,$D362),2)</f>
        <v>84.67</v>
      </c>
      <c r="U362" s="65" t="n">
        <f aca="false">$R362-$S362-$T362</f>
        <v>2507.33</v>
      </c>
      <c r="V362" s="66" t="n">
        <f aca="false">IFERROR($U362/$R362,0)</f>
        <v>0.355347222222222</v>
      </c>
      <c r="W362" s="67" t="str">
        <f aca="false">IF(AND($V362&gt;=Parametros!$C$8,$R362&gt;=Parametros!$C$12),"Alta rentabilidad",IF(OR($V362&lt;Parametros!$C$11,$R362&lt;Parametros!$C$13),"Revisar","Estandar"))</f>
        <v>Alta rentabilidad</v>
      </c>
      <c r="X362" s="67" t="str">
        <f aca="false">IF(AND($J362="E-commerce",IFERROR($T362/$R362,0)&gt;Parametros!$C$14),"Alerta","OK")</f>
        <v>OK</v>
      </c>
      <c r="Y362" s="61" t="str">
        <f aca="false">IF($R362&gt;=Parametros!$C$12,"Alto",IF($R362&lt;Parametros!$C$13,"Bajo","Medio"))</f>
        <v>Alto</v>
      </c>
      <c r="Z362" s="61" t="n">
        <v>1436</v>
      </c>
      <c r="AA362" s="61" t="str">
        <f aca="false">IF(MATCH($A362,Datos_Origen!$A$2:$A$2459,0)=$Z362,"OK","REVISAR")</f>
        <v>OK</v>
      </c>
      <c r="AB362" s="61" t="str">
        <f aca="false">INDEX(Datos_Origen!$B$2:$B$2459,$Z362)</f>
        <v>17/04/2024</v>
      </c>
      <c r="AC362" s="61" t="n">
        <f aca="false">INDEX(Datos_Origen!$H$2:$H$2459,$Z362)</f>
        <v>6</v>
      </c>
      <c r="AD362" s="61" t="str">
        <f aca="false">INDEX(Datos_Origen!$D$2:$D$2459,$Z362)&amp;""</f>
        <v>Mendoza</v>
      </c>
    </row>
    <row r="363" customFormat="false" ht="15" hidden="false" customHeight="false" outlineLevel="0" collapsed="false">
      <c r="A363" s="61" t="n">
        <f aca="false">INDEX(Datos_Origen!$A$2:$A$2459,$Z363)</f>
        <v>362</v>
      </c>
      <c r="B363" s="62" t="n">
        <f aca="false">IF(ISNUMBER($AB363),$AB363,IF(MID($AB363,5,1)="-",DATE(VALUE(LEFT($AB363,4)),VALUE(MID($AB363,6,2)),VALUE(RIGHT($AB363,2))),DATE(VALUE(RIGHT($AB363,4)),VALUE(MID($AB363,4,2)),VALUE(LEFT($AB363,2)))))</f>
        <v>45406</v>
      </c>
      <c r="C363" s="61" t="n">
        <f aca="false">YEAR($B363)</f>
        <v>2024</v>
      </c>
      <c r="D363" s="61" t="str">
        <f aca="false">"Q"&amp;ROUNDUP(MONTH($B363)/3,0)</f>
        <v>Q2</v>
      </c>
      <c r="E363" s="61" t="n">
        <f aca="false">MONTH($B363)</f>
        <v>4</v>
      </c>
      <c r="F363" s="61" t="str">
        <f aca="false">INDEX(Parametros!$I$5:$I$16,$E363)</f>
        <v>Abr</v>
      </c>
      <c r="G363" s="61" t="str">
        <f aca="false">TEXT($C363,"0000")&amp;"-"&amp;TEXT($E363,"00")</f>
        <v>2024-04</v>
      </c>
      <c r="H363" s="61" t="str">
        <f aca="false">INDEX(Parametros!$C$71:$C$91,MATCH(TRIM(INDEX(Datos_Origen!$C$2:$C$2459,$Z363)),Parametros!$B$71:$B$91,0))</f>
        <v>Cuyo</v>
      </c>
      <c r="I363" s="61" t="str">
        <f aca="false">IF(TRIM($AD363)="",INDEX(Parametros!$I$20:$I$24,MATCH($H363,Parametros!$H$20:$H$24,0)),TRIM($AD363))</f>
        <v>Mendoza</v>
      </c>
      <c r="J363" s="61" t="str">
        <f aca="false">INDEX(Parametros!$C$95:$C$106,MATCH(TRIM(INDEX(Datos_Origen!$E$2:$E$2459,$Z363)),Parametros!$B$95:$B$106,0))</f>
        <v>E-commerce</v>
      </c>
      <c r="K363" s="61" t="str">
        <f aca="false">INDEX(Parametros!$C$48:$C$67,MATCH(TRIM(INDEX(Datos_Origen!$F$2:$F$2459,$Z363)),Parametros!$B$48:$B$67,0))</f>
        <v>Computacion</v>
      </c>
      <c r="L363" s="61" t="str">
        <f aca="false">$K363&amp;" "&amp;$C363</f>
        <v>Computacion 2024</v>
      </c>
      <c r="M363" s="61" t="str">
        <f aca="false">TRIM(INDEX(Datos_Origen!$G$2:$G$2459,$Z363))</f>
        <v>Laptop Pro 15</v>
      </c>
      <c r="N363" s="61" t="str">
        <f aca="false">$M363&amp;" "&amp;$C363</f>
        <v>Laptop Pro 15 2024</v>
      </c>
      <c r="O363" s="63" t="n">
        <f aca="false">IF(ISTEXT($AC363),VALUE($AC363),$AC363)</f>
        <v>2</v>
      </c>
      <c r="P363" s="64" t="n">
        <f aca="false">INDEX(Datos_Origen!$I$2:$I$2459,$Z363)</f>
        <v>1176</v>
      </c>
      <c r="Q363" s="64" t="n">
        <f aca="false">INDEX(Datos_Origen!$J$2:$J$2459,$Z363)</f>
        <v>744</v>
      </c>
      <c r="R363" s="65" t="n">
        <f aca="false">ROUND($O363*$P363,2)</f>
        <v>2352</v>
      </c>
      <c r="S363" s="65" t="n">
        <f aca="false">ROUND($O363*$Q363,2)</f>
        <v>1488</v>
      </c>
      <c r="T363" s="65" t="n">
        <f aca="false">ROUND($R363*SUMIFS(Parametros!$E$28:$E$43,Parametros!$B$28:$B$43,$J363,Parametros!$C$28:$C$43,$C363,Parametros!$D$28:$D$43,$D363),2)</f>
        <v>103.49</v>
      </c>
      <c r="U363" s="65" t="n">
        <f aca="false">$R363-$S363-$T363</f>
        <v>760.51</v>
      </c>
      <c r="V363" s="66" t="n">
        <f aca="false">IFERROR($U363/$R363,0)</f>
        <v>0.323346088435374</v>
      </c>
      <c r="W363" s="67" t="str">
        <f aca="false">IF(AND($V363&gt;=Parametros!$C$8,$R363&gt;=Parametros!$C$12),"Alta rentabilidad",IF(OR($V363&lt;Parametros!$C$11,$R363&lt;Parametros!$C$13),"Revisar","Estandar"))</f>
        <v>Estandar</v>
      </c>
      <c r="X363" s="67" t="str">
        <f aca="false">IF(AND($J363="E-commerce",IFERROR($T363/$R363,0)&gt;Parametros!$C$14),"Alerta","OK")</f>
        <v>OK</v>
      </c>
      <c r="Y363" s="61" t="str">
        <f aca="false">IF($R363&gt;=Parametros!$C$12,"Alto",IF($R363&lt;Parametros!$C$13,"Bajo","Medio"))</f>
        <v>Medio</v>
      </c>
      <c r="Z363" s="61" t="n">
        <v>85</v>
      </c>
      <c r="AA363" s="61" t="str">
        <f aca="false">IF(MATCH($A363,Datos_Origen!$A$2:$A$2459,0)=$Z363,"OK","REVISAR")</f>
        <v>OK</v>
      </c>
      <c r="AB363" s="61" t="str">
        <f aca="false">INDEX(Datos_Origen!$B$2:$B$2459,$Z363)</f>
        <v>24/04/2024</v>
      </c>
      <c r="AC363" s="61" t="n">
        <f aca="false">INDEX(Datos_Origen!$H$2:$H$2459,$Z363)</f>
        <v>2</v>
      </c>
      <c r="AD363" s="61" t="str">
        <f aca="false">INDEX(Datos_Origen!$D$2:$D$2459,$Z363)&amp;""</f>
        <v>Mendoza</v>
      </c>
    </row>
    <row r="364" customFormat="false" ht="15" hidden="false" customHeight="false" outlineLevel="0" collapsed="false">
      <c r="A364" s="61" t="n">
        <f aca="false">INDEX(Datos_Origen!$A$2:$A$2459,$Z364)</f>
        <v>363</v>
      </c>
      <c r="B364" s="62" t="n">
        <f aca="false">IF(ISNUMBER($AB364),$AB364,IF(MID($AB364,5,1)="-",DATE(VALUE(LEFT($AB364,4)),VALUE(MID($AB364,6,2)),VALUE(RIGHT($AB364,2))),DATE(VALUE(RIGHT($AB364,4)),VALUE(MID($AB364,4,2)),VALUE(LEFT($AB364,2)))))</f>
        <v>45386</v>
      </c>
      <c r="C364" s="61" t="n">
        <f aca="false">YEAR($B364)</f>
        <v>2024</v>
      </c>
      <c r="D364" s="61" t="str">
        <f aca="false">"Q"&amp;ROUNDUP(MONTH($B364)/3,0)</f>
        <v>Q2</v>
      </c>
      <c r="E364" s="61" t="n">
        <f aca="false">MONTH($B364)</f>
        <v>4</v>
      </c>
      <c r="F364" s="61" t="str">
        <f aca="false">INDEX(Parametros!$I$5:$I$16,$E364)</f>
        <v>Abr</v>
      </c>
      <c r="G364" s="61" t="str">
        <f aca="false">TEXT($C364,"0000")&amp;"-"&amp;TEXT($E364,"00")</f>
        <v>2024-04</v>
      </c>
      <c r="H364" s="61" t="str">
        <f aca="false">INDEX(Parametros!$C$71:$C$91,MATCH(TRIM(INDEX(Datos_Origen!$C$2:$C$2459,$Z364)),Parametros!$B$71:$B$91,0))</f>
        <v>Cuyo</v>
      </c>
      <c r="I364" s="61" t="str">
        <f aca="false">IF(TRIM($AD364)="",INDEX(Parametros!$I$20:$I$24,MATCH($H364,Parametros!$H$20:$H$24,0)),TRIM($AD364))</f>
        <v>Mendoza</v>
      </c>
      <c r="J364" s="61" t="str">
        <f aca="false">INDEX(Parametros!$C$95:$C$106,MATCH(TRIM(INDEX(Datos_Origen!$E$2:$E$2459,$Z364)),Parametros!$B$95:$B$106,0))</f>
        <v>Tienda fisica</v>
      </c>
      <c r="K364" s="61" t="str">
        <f aca="false">INDEX(Parametros!$C$48:$C$67,MATCH(TRIM(INDEX(Datos_Origen!$F$2:$F$2459,$Z364)),Parametros!$B$48:$B$67,0))</f>
        <v>Computacion</v>
      </c>
      <c r="L364" s="61" t="str">
        <f aca="false">$K364&amp;" "&amp;$C364</f>
        <v>Computacion 2024</v>
      </c>
      <c r="M364" s="61" t="str">
        <f aca="false">TRIM(INDEX(Datos_Origen!$G$2:$G$2459,$Z364))</f>
        <v>Monitor 4K 27</v>
      </c>
      <c r="N364" s="61" t="str">
        <f aca="false">$M364&amp;" "&amp;$C364</f>
        <v>Monitor 4K 27 2024</v>
      </c>
      <c r="O364" s="63" t="n">
        <f aca="false">IF(ISTEXT($AC364),VALUE($AC364),$AC364)</f>
        <v>6</v>
      </c>
      <c r="P364" s="64" t="n">
        <f aca="false">INDEX(Datos_Origen!$I$2:$I$2459,$Z364)</f>
        <v>441</v>
      </c>
      <c r="Q364" s="64" t="n">
        <f aca="false">INDEX(Datos_Origen!$J$2:$J$2459,$Z364)</f>
        <v>272.25</v>
      </c>
      <c r="R364" s="65" t="n">
        <f aca="false">ROUND($O364*$P364,2)</f>
        <v>2646</v>
      </c>
      <c r="S364" s="65" t="n">
        <f aca="false">ROUND($O364*$Q364,2)</f>
        <v>1633.5</v>
      </c>
      <c r="T364" s="65" t="n">
        <f aca="false">ROUND($R364*SUMIFS(Parametros!$E$28:$E$43,Parametros!$B$28:$B$43,$J364,Parametros!$C$28:$C$43,$C364,Parametros!$D$28:$D$43,$D364),2)</f>
        <v>31.75</v>
      </c>
      <c r="U364" s="65" t="n">
        <f aca="false">$R364-$S364-$T364</f>
        <v>980.75</v>
      </c>
      <c r="V364" s="66" t="n">
        <f aca="false">IFERROR($U364/$R364,0)</f>
        <v>0.370653817082389</v>
      </c>
      <c r="W364" s="67" t="str">
        <f aca="false">IF(AND($V364&gt;=Parametros!$C$8,$R364&gt;=Parametros!$C$12),"Alta rentabilidad",IF(OR($V364&lt;Parametros!$C$11,$R364&lt;Parametros!$C$13),"Revisar","Estandar"))</f>
        <v>Estandar</v>
      </c>
      <c r="X364" s="67" t="str">
        <f aca="false">IF(AND($J364="E-commerce",IFERROR($T364/$R364,0)&gt;Parametros!$C$14),"Alerta","OK")</f>
        <v>OK</v>
      </c>
      <c r="Y364" s="61" t="str">
        <f aca="false">IF($R364&gt;=Parametros!$C$12,"Alto",IF($R364&lt;Parametros!$C$13,"Bajo","Medio"))</f>
        <v>Medio</v>
      </c>
      <c r="Z364" s="61" t="n">
        <v>1719</v>
      </c>
      <c r="AA364" s="61" t="str">
        <f aca="false">IF(MATCH($A364,Datos_Origen!$A$2:$A$2459,0)=$Z364,"OK","REVISAR")</f>
        <v>OK</v>
      </c>
      <c r="AB364" s="62" t="n">
        <f aca="false">INDEX(Datos_Origen!$B$2:$B$2459,$Z364)</f>
        <v>45386</v>
      </c>
      <c r="AC364" s="61" t="n">
        <f aca="false">INDEX(Datos_Origen!$H$2:$H$2459,$Z364)</f>
        <v>6</v>
      </c>
      <c r="AD364" s="61" t="str">
        <f aca="false">INDEX(Datos_Origen!$D$2:$D$2459,$Z364)&amp;""</f>
        <v>Mendoza</v>
      </c>
    </row>
    <row r="365" customFormat="false" ht="15" hidden="false" customHeight="false" outlineLevel="0" collapsed="false">
      <c r="A365" s="61" t="n">
        <f aca="false">INDEX(Datos_Origen!$A$2:$A$2459,$Z365)</f>
        <v>364</v>
      </c>
      <c r="B365" s="62" t="n">
        <f aca="false">IF(ISNUMBER($AB365),$AB365,IF(MID($AB365,5,1)="-",DATE(VALUE(LEFT($AB365,4)),VALUE(MID($AB365,6,2)),VALUE(RIGHT($AB365,2))),DATE(VALUE(RIGHT($AB365,4)),VALUE(MID($AB365,4,2)),VALUE(LEFT($AB365,2)))))</f>
        <v>45393</v>
      </c>
      <c r="C365" s="61" t="n">
        <f aca="false">YEAR($B365)</f>
        <v>2024</v>
      </c>
      <c r="D365" s="61" t="str">
        <f aca="false">"Q"&amp;ROUNDUP(MONTH($B365)/3,0)</f>
        <v>Q2</v>
      </c>
      <c r="E365" s="61" t="n">
        <f aca="false">MONTH($B365)</f>
        <v>4</v>
      </c>
      <c r="F365" s="61" t="str">
        <f aca="false">INDEX(Parametros!$I$5:$I$16,$E365)</f>
        <v>Abr</v>
      </c>
      <c r="G365" s="61" t="str">
        <f aca="false">TEXT($C365,"0000")&amp;"-"&amp;TEXT($E365,"00")</f>
        <v>2024-04</v>
      </c>
      <c r="H365" s="61" t="str">
        <f aca="false">INDEX(Parametros!$C$71:$C$91,MATCH(TRIM(INDEX(Datos_Origen!$C$2:$C$2459,$Z365)),Parametros!$B$71:$B$91,0))</f>
        <v>Cuyo</v>
      </c>
      <c r="I365" s="61" t="str">
        <f aca="false">IF(TRIM($AD365)="",INDEX(Parametros!$I$20:$I$24,MATCH($H365,Parametros!$H$20:$H$24,0)),TRIM($AD365))</f>
        <v>Mendoza</v>
      </c>
      <c r="J365" s="61" t="str">
        <f aca="false">INDEX(Parametros!$C$95:$C$106,MATCH(TRIM(INDEX(Datos_Origen!$E$2:$E$2459,$Z365)),Parametros!$B$95:$B$106,0))</f>
        <v>E-commerce</v>
      </c>
      <c r="K365" s="61" t="str">
        <f aca="false">INDEX(Parametros!$C$48:$C$67,MATCH(TRIM(INDEX(Datos_Origen!$F$2:$F$2459,$Z365)),Parametros!$B$48:$B$67,0))</f>
        <v>Computacion</v>
      </c>
      <c r="L365" s="61" t="str">
        <f aca="false">$K365&amp;" "&amp;$C365</f>
        <v>Computacion 2024</v>
      </c>
      <c r="M365" s="61" t="str">
        <f aca="false">TRIM(INDEX(Datos_Origen!$G$2:$G$2459,$Z365))</f>
        <v>Monitor 4K 27</v>
      </c>
      <c r="N365" s="61" t="str">
        <f aca="false">$M365&amp;" "&amp;$C365</f>
        <v>Monitor 4K 27 2024</v>
      </c>
      <c r="O365" s="63" t="n">
        <f aca="false">IF(ISTEXT($AC365),VALUE($AC365),$AC365)</f>
        <v>2</v>
      </c>
      <c r="P365" s="64" t="n">
        <f aca="false">INDEX(Datos_Origen!$I$2:$I$2459,$Z365)</f>
        <v>441</v>
      </c>
      <c r="Q365" s="64" t="n">
        <f aca="false">INDEX(Datos_Origen!$J$2:$J$2459,$Z365)</f>
        <v>272.25</v>
      </c>
      <c r="R365" s="65" t="n">
        <f aca="false">ROUND($O365*$P365,2)</f>
        <v>882</v>
      </c>
      <c r="S365" s="65" t="n">
        <f aca="false">ROUND($O365*$Q365,2)</f>
        <v>544.5</v>
      </c>
      <c r="T365" s="65" t="n">
        <f aca="false">ROUND($R365*SUMIFS(Parametros!$E$28:$E$43,Parametros!$B$28:$B$43,$J365,Parametros!$C$28:$C$43,$C365,Parametros!$D$28:$D$43,$D365),2)</f>
        <v>38.81</v>
      </c>
      <c r="U365" s="65" t="n">
        <f aca="false">$R365-$S365-$T365</f>
        <v>298.69</v>
      </c>
      <c r="V365" s="66" t="n">
        <f aca="false">IFERROR($U365/$R365,0)</f>
        <v>0.338650793650794</v>
      </c>
      <c r="W365" s="67" t="str">
        <f aca="false">IF(AND($V365&gt;=Parametros!$C$8,$R365&gt;=Parametros!$C$12),"Alta rentabilidad",IF(OR($V365&lt;Parametros!$C$11,$R365&lt;Parametros!$C$13),"Revisar","Estandar"))</f>
        <v>Estandar</v>
      </c>
      <c r="X365" s="67" t="str">
        <f aca="false">IF(AND($J365="E-commerce",IFERROR($T365/$R365,0)&gt;Parametros!$C$14),"Alerta","OK")</f>
        <v>OK</v>
      </c>
      <c r="Y365" s="61" t="str">
        <f aca="false">IF($R365&gt;=Parametros!$C$12,"Alto",IF($R365&lt;Parametros!$C$13,"Bajo","Medio"))</f>
        <v>Medio</v>
      </c>
      <c r="Z365" s="61" t="n">
        <v>2400</v>
      </c>
      <c r="AA365" s="61" t="str">
        <f aca="false">IF(MATCH($A365,Datos_Origen!$A$2:$A$2459,0)=$Z365,"OK","REVISAR")</f>
        <v>OK</v>
      </c>
      <c r="AB365" s="61" t="str">
        <f aca="false">INDEX(Datos_Origen!$B$2:$B$2459,$Z365)</f>
        <v>11/04/2024</v>
      </c>
      <c r="AC365" s="61" t="n">
        <f aca="false">INDEX(Datos_Origen!$H$2:$H$2459,$Z365)</f>
        <v>2</v>
      </c>
      <c r="AD365" s="61" t="str">
        <f aca="false">INDEX(Datos_Origen!$D$2:$D$2459,$Z365)&amp;""</f>
        <v>Mendoza</v>
      </c>
    </row>
    <row r="366" customFormat="false" ht="15" hidden="false" customHeight="false" outlineLevel="0" collapsed="false">
      <c r="A366" s="61" t="n">
        <f aca="false">INDEX(Datos_Origen!$A$2:$A$2459,$Z366)</f>
        <v>365</v>
      </c>
      <c r="B366" s="62" t="n">
        <f aca="false">IF(ISNUMBER($AB366),$AB366,IF(MID($AB366,5,1)="-",DATE(VALUE(LEFT($AB366,4)),VALUE(MID($AB366,6,2)),VALUE(RIGHT($AB366,2))),DATE(VALUE(RIGHT($AB366,4)),VALUE(MID($AB366,4,2)),VALUE(LEFT($AB366,2)))))</f>
        <v>45400</v>
      </c>
      <c r="C366" s="61" t="n">
        <f aca="false">YEAR($B366)</f>
        <v>2024</v>
      </c>
      <c r="D366" s="61" t="str">
        <f aca="false">"Q"&amp;ROUNDUP(MONTH($B366)/3,0)</f>
        <v>Q2</v>
      </c>
      <c r="E366" s="61" t="n">
        <f aca="false">MONTH($B366)</f>
        <v>4</v>
      </c>
      <c r="F366" s="61" t="str">
        <f aca="false">INDEX(Parametros!$I$5:$I$16,$E366)</f>
        <v>Abr</v>
      </c>
      <c r="G366" s="61" t="str">
        <f aca="false">TEXT($C366,"0000")&amp;"-"&amp;TEXT($E366,"00")</f>
        <v>2024-04</v>
      </c>
      <c r="H366" s="61" t="str">
        <f aca="false">INDEX(Parametros!$C$71:$C$91,MATCH(TRIM(INDEX(Datos_Origen!$C$2:$C$2459,$Z366)),Parametros!$B$71:$B$91,0))</f>
        <v>Cuyo</v>
      </c>
      <c r="I366" s="61" t="str">
        <f aca="false">IF(TRIM($AD366)="",INDEX(Parametros!$I$20:$I$24,MATCH($H366,Parametros!$H$20:$H$24,0)),TRIM($AD366))</f>
        <v>Mendoza</v>
      </c>
      <c r="J366" s="61" t="str">
        <f aca="false">INDEX(Parametros!$C$95:$C$106,MATCH(TRIM(INDEX(Datos_Origen!$E$2:$E$2459,$Z366)),Parametros!$B$95:$B$106,0))</f>
        <v>Tienda fisica</v>
      </c>
      <c r="K366" s="61" t="str">
        <f aca="false">INDEX(Parametros!$C$48:$C$67,MATCH(TRIM(INDEX(Datos_Origen!$F$2:$F$2459,$Z366)),Parametros!$B$48:$B$67,0))</f>
        <v>Computacion</v>
      </c>
      <c r="L366" s="61" t="str">
        <f aca="false">$K366&amp;" "&amp;$C366</f>
        <v>Computacion 2024</v>
      </c>
      <c r="M366" s="61" t="str">
        <f aca="false">TRIM(INDEX(Datos_Origen!$G$2:$G$2459,$Z366))</f>
        <v>PC Gamer Ryzen</v>
      </c>
      <c r="N366" s="61" t="str">
        <f aca="false">$M366&amp;" "&amp;$C366</f>
        <v>PC Gamer Ryzen 2024</v>
      </c>
      <c r="O366" s="63" t="n">
        <f aca="false">IF(ISTEXT($AC366),VALUE($AC366),$AC366)</f>
        <v>6</v>
      </c>
      <c r="P366" s="64" t="n">
        <f aca="false">INDEX(Datos_Origen!$I$2:$I$2459,$Z366)</f>
        <v>1617</v>
      </c>
      <c r="Q366" s="64" t="n">
        <f aca="false">INDEX(Datos_Origen!$J$2:$J$2459,$Z366)</f>
        <v>1122</v>
      </c>
      <c r="R366" s="65" t="n">
        <f aca="false">ROUND($O366*$P366,2)</f>
        <v>9702</v>
      </c>
      <c r="S366" s="65" t="n">
        <f aca="false">ROUND($O366*$Q366,2)</f>
        <v>6732</v>
      </c>
      <c r="T366" s="65" t="n">
        <f aca="false">ROUND($R366*SUMIFS(Parametros!$E$28:$E$43,Parametros!$B$28:$B$43,$J366,Parametros!$C$28:$C$43,$C366,Parametros!$D$28:$D$43,$D366),2)</f>
        <v>116.42</v>
      </c>
      <c r="U366" s="65" t="n">
        <f aca="false">$R366-$S366-$T366</f>
        <v>2853.58</v>
      </c>
      <c r="V366" s="66" t="n">
        <f aca="false">IFERROR($U366/$R366,0)</f>
        <v>0.294122861265718</v>
      </c>
      <c r="W366" s="67" t="str">
        <f aca="false">IF(AND($V366&gt;=Parametros!$C$8,$R366&gt;=Parametros!$C$12),"Alta rentabilidad",IF(OR($V366&lt;Parametros!$C$11,$R366&lt;Parametros!$C$13),"Revisar","Estandar"))</f>
        <v>Estandar</v>
      </c>
      <c r="X366" s="67" t="str">
        <f aca="false">IF(AND($J366="E-commerce",IFERROR($T366/$R366,0)&gt;Parametros!$C$14),"Alerta","OK")</f>
        <v>OK</v>
      </c>
      <c r="Y366" s="61" t="str">
        <f aca="false">IF($R366&gt;=Parametros!$C$12,"Alto",IF($R366&lt;Parametros!$C$13,"Bajo","Medio"))</f>
        <v>Alto</v>
      </c>
      <c r="Z366" s="61" t="n">
        <v>519</v>
      </c>
      <c r="AA366" s="61" t="str">
        <f aca="false">IF(MATCH($A366,Datos_Origen!$A$2:$A$2459,0)=$Z366,"OK","REVISAR")</f>
        <v>OK</v>
      </c>
      <c r="AB366" s="62" t="n">
        <f aca="false">INDEX(Datos_Origen!$B$2:$B$2459,$Z366)</f>
        <v>45400</v>
      </c>
      <c r="AC366" s="61" t="n">
        <f aca="false">INDEX(Datos_Origen!$H$2:$H$2459,$Z366)</f>
        <v>6</v>
      </c>
      <c r="AD366" s="61" t="str">
        <f aca="false">INDEX(Datos_Origen!$D$2:$D$2459,$Z366)&amp;""</f>
        <v>Mendoza</v>
      </c>
    </row>
    <row r="367" customFormat="false" ht="15" hidden="false" customHeight="false" outlineLevel="0" collapsed="false">
      <c r="A367" s="61" t="n">
        <f aca="false">INDEX(Datos_Origen!$A$2:$A$2459,$Z367)</f>
        <v>366</v>
      </c>
      <c r="B367" s="62" t="n">
        <f aca="false">IF(ISNUMBER($AB367),$AB367,IF(MID($AB367,5,1)="-",DATE(VALUE(LEFT($AB367,4)),VALUE(MID($AB367,6,2)),VALUE(RIGHT($AB367,2))),DATE(VALUE(RIGHT($AB367,4)),VALUE(MID($AB367,4,2)),VALUE(LEFT($AB367,2)))))</f>
        <v>45407</v>
      </c>
      <c r="C367" s="61" t="n">
        <f aca="false">YEAR($B367)</f>
        <v>2024</v>
      </c>
      <c r="D367" s="61" t="str">
        <f aca="false">"Q"&amp;ROUNDUP(MONTH($B367)/3,0)</f>
        <v>Q2</v>
      </c>
      <c r="E367" s="61" t="n">
        <f aca="false">MONTH($B367)</f>
        <v>4</v>
      </c>
      <c r="F367" s="61" t="str">
        <f aca="false">INDEX(Parametros!$I$5:$I$16,$E367)</f>
        <v>Abr</v>
      </c>
      <c r="G367" s="61" t="str">
        <f aca="false">TEXT($C367,"0000")&amp;"-"&amp;TEXT($E367,"00")</f>
        <v>2024-04</v>
      </c>
      <c r="H367" s="61" t="str">
        <f aca="false">INDEX(Parametros!$C$71:$C$91,MATCH(TRIM(INDEX(Datos_Origen!$C$2:$C$2459,$Z367)),Parametros!$B$71:$B$91,0))</f>
        <v>Cuyo</v>
      </c>
      <c r="I367" s="61" t="str">
        <f aca="false">IF(TRIM($AD367)="",INDEX(Parametros!$I$20:$I$24,MATCH($H367,Parametros!$H$20:$H$24,0)),TRIM($AD367))</f>
        <v>Mendoza</v>
      </c>
      <c r="J367" s="61" t="str">
        <f aca="false">INDEX(Parametros!$C$95:$C$106,MATCH(TRIM(INDEX(Datos_Origen!$E$2:$E$2459,$Z367)),Parametros!$B$95:$B$106,0))</f>
        <v>E-commerce</v>
      </c>
      <c r="K367" s="61" t="str">
        <f aca="false">INDEX(Parametros!$C$48:$C$67,MATCH(TRIM(INDEX(Datos_Origen!$F$2:$F$2459,$Z367)),Parametros!$B$48:$B$67,0))</f>
        <v>Computacion</v>
      </c>
      <c r="L367" s="61" t="str">
        <f aca="false">$K367&amp;" "&amp;$C367</f>
        <v>Computacion 2024</v>
      </c>
      <c r="M367" s="61" t="str">
        <f aca="false">TRIM(INDEX(Datos_Origen!$G$2:$G$2459,$Z367))</f>
        <v>PC Gamer Ryzen</v>
      </c>
      <c r="N367" s="61" t="str">
        <f aca="false">$M367&amp;" "&amp;$C367</f>
        <v>PC Gamer Ryzen 2024</v>
      </c>
      <c r="O367" s="63" t="n">
        <f aca="false">IF(ISTEXT($AC367),VALUE($AC367),$AC367)</f>
        <v>2</v>
      </c>
      <c r="P367" s="64" t="n">
        <f aca="false">INDEX(Datos_Origen!$I$2:$I$2459,$Z367)</f>
        <v>1617</v>
      </c>
      <c r="Q367" s="64" t="n">
        <f aca="false">INDEX(Datos_Origen!$J$2:$J$2459,$Z367)</f>
        <v>1122</v>
      </c>
      <c r="R367" s="65" t="n">
        <f aca="false">ROUND($O367*$P367,2)</f>
        <v>3234</v>
      </c>
      <c r="S367" s="65" t="n">
        <f aca="false">ROUND($O367*$Q367,2)</f>
        <v>2244</v>
      </c>
      <c r="T367" s="65" t="n">
        <f aca="false">ROUND($R367*SUMIFS(Parametros!$E$28:$E$43,Parametros!$B$28:$B$43,$J367,Parametros!$C$28:$C$43,$C367,Parametros!$D$28:$D$43,$D367),2)</f>
        <v>142.3</v>
      </c>
      <c r="U367" s="65" t="n">
        <f aca="false">$R367-$S367-$T367</f>
        <v>847.7</v>
      </c>
      <c r="V367" s="66" t="n">
        <f aca="false">IFERROR($U367/$R367,0)</f>
        <v>0.262121212121212</v>
      </c>
      <c r="W367" s="67" t="str">
        <f aca="false">IF(AND($V367&gt;=Parametros!$C$8,$R367&gt;=Parametros!$C$12),"Alta rentabilidad",IF(OR($V367&lt;Parametros!$C$11,$R367&lt;Parametros!$C$13),"Revisar","Estandar"))</f>
        <v>Revisar</v>
      </c>
      <c r="X367" s="67" t="str">
        <f aca="false">IF(AND($J367="E-commerce",IFERROR($T367/$R367,0)&gt;Parametros!$C$14),"Alerta","OK")</f>
        <v>OK</v>
      </c>
      <c r="Y367" s="61" t="str">
        <f aca="false">IF($R367&gt;=Parametros!$C$12,"Alto",IF($R367&lt;Parametros!$C$13,"Bajo","Medio"))</f>
        <v>Alto</v>
      </c>
      <c r="Z367" s="61" t="n">
        <v>225</v>
      </c>
      <c r="AA367" s="61" t="str">
        <f aca="false">IF(MATCH($A367,Datos_Origen!$A$2:$A$2459,0)=$Z367,"OK","REVISAR")</f>
        <v>OK</v>
      </c>
      <c r="AB367" s="62" t="n">
        <f aca="false">INDEX(Datos_Origen!$B$2:$B$2459,$Z367)</f>
        <v>45407</v>
      </c>
      <c r="AC367" s="61" t="n">
        <f aca="false">INDEX(Datos_Origen!$H$2:$H$2459,$Z367)</f>
        <v>2</v>
      </c>
      <c r="AD367" s="61" t="str">
        <f aca="false">INDEX(Datos_Origen!$D$2:$D$2459,$Z367)&amp;""</f>
        <v>Mendoza</v>
      </c>
    </row>
    <row r="368" customFormat="false" ht="15" hidden="false" customHeight="false" outlineLevel="0" collapsed="false">
      <c r="A368" s="61" t="n">
        <f aca="false">INDEX(Datos_Origen!$A$2:$A$2459,$Z368)</f>
        <v>367</v>
      </c>
      <c r="B368" s="62" t="n">
        <f aca="false">IF(ISNUMBER($AB368),$AB368,IF(MID($AB368,5,1)="-",DATE(VALUE(LEFT($AB368,4)),VALUE(MID($AB368,6,2)),VALUE(RIGHT($AB368,2))),DATE(VALUE(RIGHT($AB368,4)),VALUE(MID($AB368,4,2)),VALUE(LEFT($AB368,2)))))</f>
        <v>45387</v>
      </c>
      <c r="C368" s="61" t="n">
        <f aca="false">YEAR($B368)</f>
        <v>2024</v>
      </c>
      <c r="D368" s="61" t="str">
        <f aca="false">"Q"&amp;ROUNDUP(MONTH($B368)/3,0)</f>
        <v>Q2</v>
      </c>
      <c r="E368" s="61" t="n">
        <f aca="false">MONTH($B368)</f>
        <v>4</v>
      </c>
      <c r="F368" s="61" t="str">
        <f aca="false">INDEX(Parametros!$I$5:$I$16,$E368)</f>
        <v>Abr</v>
      </c>
      <c r="G368" s="61" t="str">
        <f aca="false">TEXT($C368,"0000")&amp;"-"&amp;TEXT($E368,"00")</f>
        <v>2024-04</v>
      </c>
      <c r="H368" s="61" t="str">
        <f aca="false">INDEX(Parametros!$C$71:$C$91,MATCH(TRIM(INDEX(Datos_Origen!$C$2:$C$2459,$Z368)),Parametros!$B$71:$B$91,0))</f>
        <v>Cuyo</v>
      </c>
      <c r="I368" s="61" t="str">
        <f aca="false">IF(TRIM($AD368)="",INDEX(Parametros!$I$20:$I$24,MATCH($H368,Parametros!$H$20:$H$24,0)),TRIM($AD368))</f>
        <v>Mendoza</v>
      </c>
      <c r="J368" s="61" t="str">
        <f aca="false">INDEX(Parametros!$C$95:$C$106,MATCH(TRIM(INDEX(Datos_Origen!$E$2:$E$2459,$Z368)),Parametros!$B$95:$B$106,0))</f>
        <v>Tienda fisica</v>
      </c>
      <c r="K368" s="61" t="str">
        <f aca="false">INDEX(Parametros!$C$48:$C$67,MATCH(TRIM(INDEX(Datos_Origen!$F$2:$F$2459,$Z368)),Parametros!$B$48:$B$67,0))</f>
        <v>Accesorios</v>
      </c>
      <c r="L368" s="61" t="str">
        <f aca="false">$K368&amp;" "&amp;$C368</f>
        <v>Accesorios 2024</v>
      </c>
      <c r="M368" s="61" t="str">
        <f aca="false">TRIM(INDEX(Datos_Origen!$G$2:$G$2459,$Z368))</f>
        <v>Mouse Inalambrico</v>
      </c>
      <c r="N368" s="61" t="str">
        <f aca="false">$M368&amp;" "&amp;$C368</f>
        <v>Mouse Inalambrico 2024</v>
      </c>
      <c r="O368" s="63" t="n">
        <f aca="false">IF(ISTEXT($AC368),VALUE($AC368),$AC368)</f>
        <v>24</v>
      </c>
      <c r="P368" s="64" t="n">
        <f aca="false">INDEX(Datos_Origen!$I$2:$I$2459,$Z368)</f>
        <v>27.44</v>
      </c>
      <c r="Q368" s="64" t="n">
        <f aca="false">INDEX(Datos_Origen!$J$2:$J$2459,$Z368)</f>
        <v>13.44</v>
      </c>
      <c r="R368" s="65" t="n">
        <f aca="false">ROUND($O368*$P368,2)</f>
        <v>658.56</v>
      </c>
      <c r="S368" s="65" t="n">
        <f aca="false">ROUND($O368*$Q368,2)</f>
        <v>322.56</v>
      </c>
      <c r="T368" s="65" t="n">
        <f aca="false">ROUND($R368*SUMIFS(Parametros!$E$28:$E$43,Parametros!$B$28:$B$43,$J368,Parametros!$C$28:$C$43,$C368,Parametros!$D$28:$D$43,$D368),2)</f>
        <v>7.9</v>
      </c>
      <c r="U368" s="65" t="n">
        <f aca="false">$R368-$S368-$T368</f>
        <v>328.1</v>
      </c>
      <c r="V368" s="66" t="n">
        <f aca="false">IFERROR($U368/$R368,0)</f>
        <v>0.498208211856171</v>
      </c>
      <c r="W368" s="67" t="str">
        <f aca="false">IF(AND($V368&gt;=Parametros!$C$8,$R368&gt;=Parametros!$C$12),"Alta rentabilidad",IF(OR($V368&lt;Parametros!$C$11,$R368&lt;Parametros!$C$13),"Revisar","Estandar"))</f>
        <v>Estandar</v>
      </c>
      <c r="X368" s="67" t="str">
        <f aca="false">IF(AND($J368="E-commerce",IFERROR($T368/$R368,0)&gt;Parametros!$C$14),"Alerta","OK")</f>
        <v>OK</v>
      </c>
      <c r="Y368" s="61" t="str">
        <f aca="false">IF($R368&gt;=Parametros!$C$12,"Alto",IF($R368&lt;Parametros!$C$13,"Bajo","Medio"))</f>
        <v>Medio</v>
      </c>
      <c r="Z368" s="61" t="n">
        <v>1466</v>
      </c>
      <c r="AA368" s="61" t="str">
        <f aca="false">IF(MATCH($A368,Datos_Origen!$A$2:$A$2459,0)=$Z368,"OK","REVISAR")</f>
        <v>OK</v>
      </c>
      <c r="AB368" s="61" t="str">
        <f aca="false">INDEX(Datos_Origen!$B$2:$B$2459,$Z368)</f>
        <v>05/04/2024</v>
      </c>
      <c r="AC368" s="61" t="str">
        <f aca="false">INDEX(Datos_Origen!$H$2:$H$2459,$Z368)</f>
        <v>24</v>
      </c>
      <c r="AD368" s="61" t="str">
        <f aca="false">INDEX(Datos_Origen!$D$2:$D$2459,$Z368)&amp;""</f>
        <v>Mendoza</v>
      </c>
    </row>
    <row r="369" customFormat="false" ht="15" hidden="false" customHeight="false" outlineLevel="0" collapsed="false">
      <c r="A369" s="61" t="n">
        <f aca="false">INDEX(Datos_Origen!$A$2:$A$2459,$Z369)</f>
        <v>368</v>
      </c>
      <c r="B369" s="62" t="n">
        <f aca="false">IF(ISNUMBER($AB369),$AB369,IF(MID($AB369,5,1)="-",DATE(VALUE(LEFT($AB369,4)),VALUE(MID($AB369,6,2)),VALUE(RIGHT($AB369,2))),DATE(VALUE(RIGHT($AB369,4)),VALUE(MID($AB369,4,2)),VALUE(LEFT($AB369,2)))))</f>
        <v>45394</v>
      </c>
      <c r="C369" s="61" t="n">
        <f aca="false">YEAR($B369)</f>
        <v>2024</v>
      </c>
      <c r="D369" s="61" t="str">
        <f aca="false">"Q"&amp;ROUNDUP(MONTH($B369)/3,0)</f>
        <v>Q2</v>
      </c>
      <c r="E369" s="61" t="n">
        <f aca="false">MONTH($B369)</f>
        <v>4</v>
      </c>
      <c r="F369" s="61" t="str">
        <f aca="false">INDEX(Parametros!$I$5:$I$16,$E369)</f>
        <v>Abr</v>
      </c>
      <c r="G369" s="61" t="str">
        <f aca="false">TEXT($C369,"0000")&amp;"-"&amp;TEXT($E369,"00")</f>
        <v>2024-04</v>
      </c>
      <c r="H369" s="61" t="str">
        <f aca="false">INDEX(Parametros!$C$71:$C$91,MATCH(TRIM(INDEX(Datos_Origen!$C$2:$C$2459,$Z369)),Parametros!$B$71:$B$91,0))</f>
        <v>Cuyo</v>
      </c>
      <c r="I369" s="61" t="str">
        <f aca="false">IF(TRIM($AD369)="",INDEX(Parametros!$I$20:$I$24,MATCH($H369,Parametros!$H$20:$H$24,0)),TRIM($AD369))</f>
        <v>Mendoza</v>
      </c>
      <c r="J369" s="61" t="str">
        <f aca="false">INDEX(Parametros!$C$95:$C$106,MATCH(TRIM(INDEX(Datos_Origen!$E$2:$E$2459,$Z369)),Parametros!$B$95:$B$106,0))</f>
        <v>E-commerce</v>
      </c>
      <c r="K369" s="61" t="str">
        <f aca="false">INDEX(Parametros!$C$48:$C$67,MATCH(TRIM(INDEX(Datos_Origen!$F$2:$F$2459,$Z369)),Parametros!$B$48:$B$67,0))</f>
        <v>Accesorios</v>
      </c>
      <c r="L369" s="61" t="str">
        <f aca="false">$K369&amp;" "&amp;$C369</f>
        <v>Accesorios 2024</v>
      </c>
      <c r="M369" s="61" t="str">
        <f aca="false">TRIM(INDEX(Datos_Origen!$G$2:$G$2459,$Z369))</f>
        <v>Mouse Inalambrico</v>
      </c>
      <c r="N369" s="61" t="str">
        <f aca="false">$M369&amp;" "&amp;$C369</f>
        <v>Mouse Inalambrico 2024</v>
      </c>
      <c r="O369" s="63" t="n">
        <f aca="false">IF(ISTEXT($AC369),VALUE($AC369),$AC369)</f>
        <v>11</v>
      </c>
      <c r="P369" s="64" t="n">
        <f aca="false">INDEX(Datos_Origen!$I$2:$I$2459,$Z369)</f>
        <v>27.44</v>
      </c>
      <c r="Q369" s="64" t="n">
        <f aca="false">INDEX(Datos_Origen!$J$2:$J$2459,$Z369)</f>
        <v>13.44</v>
      </c>
      <c r="R369" s="65" t="n">
        <f aca="false">ROUND($O369*$P369,2)</f>
        <v>301.84</v>
      </c>
      <c r="S369" s="65" t="n">
        <f aca="false">ROUND($O369*$Q369,2)</f>
        <v>147.84</v>
      </c>
      <c r="T369" s="65" t="n">
        <f aca="false">ROUND($R369*SUMIFS(Parametros!$E$28:$E$43,Parametros!$B$28:$B$43,$J369,Parametros!$C$28:$C$43,$C369,Parametros!$D$28:$D$43,$D369),2)</f>
        <v>13.28</v>
      </c>
      <c r="U369" s="65" t="n">
        <f aca="false">$R369-$S369-$T369</f>
        <v>140.72</v>
      </c>
      <c r="V369" s="66" t="n">
        <f aca="false">IFERROR($U369/$R369,0)</f>
        <v>0.466207262125629</v>
      </c>
      <c r="W369" s="67" t="str">
        <f aca="false">IF(AND($V369&gt;=Parametros!$C$8,$R369&gt;=Parametros!$C$12),"Alta rentabilidad",IF(OR($V369&lt;Parametros!$C$11,$R369&lt;Parametros!$C$13),"Revisar","Estandar"))</f>
        <v>Estandar</v>
      </c>
      <c r="X369" s="67" t="str">
        <f aca="false">IF(AND($J369="E-commerce",IFERROR($T369/$R369,0)&gt;Parametros!$C$14),"Alerta","OK")</f>
        <v>OK</v>
      </c>
      <c r="Y369" s="61" t="str">
        <f aca="false">IF($R369&gt;=Parametros!$C$12,"Alto",IF($R369&lt;Parametros!$C$13,"Bajo","Medio"))</f>
        <v>Medio</v>
      </c>
      <c r="Z369" s="61" t="n">
        <v>290</v>
      </c>
      <c r="AA369" s="61" t="str">
        <f aca="false">IF(MATCH($A369,Datos_Origen!$A$2:$A$2459,0)=$Z369,"OK","REVISAR")</f>
        <v>OK</v>
      </c>
      <c r="AB369" s="61" t="str">
        <f aca="false">INDEX(Datos_Origen!$B$2:$B$2459,$Z369)</f>
        <v>12/04/2024</v>
      </c>
      <c r="AC369" s="61" t="n">
        <f aca="false">INDEX(Datos_Origen!$H$2:$H$2459,$Z369)</f>
        <v>11</v>
      </c>
      <c r="AD369" s="61" t="str">
        <f aca="false">INDEX(Datos_Origen!$D$2:$D$2459,$Z369)&amp;""</f>
        <v>Mendoza</v>
      </c>
    </row>
    <row r="370" customFormat="false" ht="15" hidden="false" customHeight="false" outlineLevel="0" collapsed="false">
      <c r="A370" s="61" t="n">
        <f aca="false">INDEX(Datos_Origen!$A$2:$A$2459,$Z370)</f>
        <v>369</v>
      </c>
      <c r="B370" s="62" t="n">
        <f aca="false">IF(ISNUMBER($AB370),$AB370,IF(MID($AB370,5,1)="-",DATE(VALUE(LEFT($AB370,4)),VALUE(MID($AB370,6,2)),VALUE(RIGHT($AB370,2))),DATE(VALUE(RIGHT($AB370,4)),VALUE(MID($AB370,4,2)),VALUE(LEFT($AB370,2)))))</f>
        <v>45401</v>
      </c>
      <c r="C370" s="61" t="n">
        <f aca="false">YEAR($B370)</f>
        <v>2024</v>
      </c>
      <c r="D370" s="61" t="str">
        <f aca="false">"Q"&amp;ROUNDUP(MONTH($B370)/3,0)</f>
        <v>Q2</v>
      </c>
      <c r="E370" s="61" t="n">
        <f aca="false">MONTH($B370)</f>
        <v>4</v>
      </c>
      <c r="F370" s="61" t="str">
        <f aca="false">INDEX(Parametros!$I$5:$I$16,$E370)</f>
        <v>Abr</v>
      </c>
      <c r="G370" s="61" t="str">
        <f aca="false">TEXT($C370,"0000")&amp;"-"&amp;TEXT($E370,"00")</f>
        <v>2024-04</v>
      </c>
      <c r="H370" s="61" t="str">
        <f aca="false">INDEX(Parametros!$C$71:$C$91,MATCH(TRIM(INDEX(Datos_Origen!$C$2:$C$2459,$Z370)),Parametros!$B$71:$B$91,0))</f>
        <v>Cuyo</v>
      </c>
      <c r="I370" s="61" t="str">
        <f aca="false">IF(TRIM($AD370)="",INDEX(Parametros!$I$20:$I$24,MATCH($H370,Parametros!$H$20:$H$24,0)),TRIM($AD370))</f>
        <v>Mendoza</v>
      </c>
      <c r="J370" s="61" t="str">
        <f aca="false">INDEX(Parametros!$C$95:$C$106,MATCH(TRIM(INDEX(Datos_Origen!$E$2:$E$2459,$Z370)),Parametros!$B$95:$B$106,0))</f>
        <v>Tienda fisica</v>
      </c>
      <c r="K370" s="61" t="str">
        <f aca="false">INDEX(Parametros!$C$48:$C$67,MATCH(TRIM(INDEX(Datos_Origen!$F$2:$F$2459,$Z370)),Parametros!$B$48:$B$67,0))</f>
        <v>Accesorios</v>
      </c>
      <c r="L370" s="61" t="str">
        <f aca="false">$K370&amp;" "&amp;$C370</f>
        <v>Accesorios 2024</v>
      </c>
      <c r="M370" s="61" t="str">
        <f aca="false">TRIM(INDEX(Datos_Origen!$G$2:$G$2459,$Z370))</f>
        <v>Teclado Mecanico</v>
      </c>
      <c r="N370" s="61" t="str">
        <f aca="false">$M370&amp;" "&amp;$C370</f>
        <v>Teclado Mecanico 2024</v>
      </c>
      <c r="O370" s="63" t="n">
        <f aca="false">IF(ISTEXT($AC370),VALUE($AC370),$AC370)</f>
        <v>28</v>
      </c>
      <c r="P370" s="64" t="n">
        <f aca="false">INDEX(Datos_Origen!$I$2:$I$2459,$Z370)</f>
        <v>93.1</v>
      </c>
      <c r="Q370" s="64" t="n">
        <f aca="false">INDEX(Datos_Origen!$J$2:$J$2459,$Z370)</f>
        <v>47.98</v>
      </c>
      <c r="R370" s="65" t="n">
        <f aca="false">ROUND($O370*$P370,2)</f>
        <v>2606.8</v>
      </c>
      <c r="S370" s="65" t="n">
        <f aca="false">ROUND($O370*$Q370,2)</f>
        <v>1343.44</v>
      </c>
      <c r="T370" s="65" t="n">
        <f aca="false">ROUND($R370*SUMIFS(Parametros!$E$28:$E$43,Parametros!$B$28:$B$43,$J370,Parametros!$C$28:$C$43,$C370,Parametros!$D$28:$D$43,$D370),2)</f>
        <v>31.28</v>
      </c>
      <c r="U370" s="65" t="n">
        <f aca="false">$R370-$S370-$T370</f>
        <v>1232.08</v>
      </c>
      <c r="V370" s="66" t="n">
        <f aca="false">IFERROR($U370/$R370,0)</f>
        <v>0.472640785637563</v>
      </c>
      <c r="W370" s="67" t="str">
        <f aca="false">IF(AND($V370&gt;=Parametros!$C$8,$R370&gt;=Parametros!$C$12),"Alta rentabilidad",IF(OR($V370&lt;Parametros!$C$11,$R370&lt;Parametros!$C$13),"Revisar","Estandar"))</f>
        <v>Estandar</v>
      </c>
      <c r="X370" s="67" t="str">
        <f aca="false">IF(AND($J370="E-commerce",IFERROR($T370/$R370,0)&gt;Parametros!$C$14),"Alerta","OK")</f>
        <v>OK</v>
      </c>
      <c r="Y370" s="61" t="str">
        <f aca="false">IF($R370&gt;=Parametros!$C$12,"Alto",IF($R370&lt;Parametros!$C$13,"Bajo","Medio"))</f>
        <v>Medio</v>
      </c>
      <c r="Z370" s="61" t="n">
        <v>2113</v>
      </c>
      <c r="AA370" s="61" t="str">
        <f aca="false">IF(MATCH($A370,Datos_Origen!$A$2:$A$2459,0)=$Z370,"OK","REVISAR")</f>
        <v>OK</v>
      </c>
      <c r="AB370" s="62" t="n">
        <f aca="false">INDEX(Datos_Origen!$B$2:$B$2459,$Z370)</f>
        <v>45401</v>
      </c>
      <c r="AC370" s="61" t="n">
        <f aca="false">INDEX(Datos_Origen!$H$2:$H$2459,$Z370)</f>
        <v>28</v>
      </c>
      <c r="AD370" s="61" t="str">
        <f aca="false">INDEX(Datos_Origen!$D$2:$D$2459,$Z370)&amp;""</f>
        <v>Mendoza</v>
      </c>
    </row>
    <row r="371" customFormat="false" ht="15" hidden="false" customHeight="false" outlineLevel="0" collapsed="false">
      <c r="A371" s="61" t="n">
        <f aca="false">INDEX(Datos_Origen!$A$2:$A$2459,$Z371)</f>
        <v>370</v>
      </c>
      <c r="B371" s="62" t="n">
        <f aca="false">IF(ISNUMBER($AB371),$AB371,IF(MID($AB371,5,1)="-",DATE(VALUE(LEFT($AB371,4)),VALUE(MID($AB371,6,2)),VALUE(RIGHT($AB371,2))),DATE(VALUE(RIGHT($AB371,4)),VALUE(MID($AB371,4,2)),VALUE(LEFT($AB371,2)))))</f>
        <v>45408</v>
      </c>
      <c r="C371" s="61" t="n">
        <f aca="false">YEAR($B371)</f>
        <v>2024</v>
      </c>
      <c r="D371" s="61" t="str">
        <f aca="false">"Q"&amp;ROUNDUP(MONTH($B371)/3,0)</f>
        <v>Q2</v>
      </c>
      <c r="E371" s="61" t="n">
        <f aca="false">MONTH($B371)</f>
        <v>4</v>
      </c>
      <c r="F371" s="61" t="str">
        <f aca="false">INDEX(Parametros!$I$5:$I$16,$E371)</f>
        <v>Abr</v>
      </c>
      <c r="G371" s="61" t="str">
        <f aca="false">TEXT($C371,"0000")&amp;"-"&amp;TEXT($E371,"00")</f>
        <v>2024-04</v>
      </c>
      <c r="H371" s="61" t="str">
        <f aca="false">INDEX(Parametros!$C$71:$C$91,MATCH(TRIM(INDEX(Datos_Origen!$C$2:$C$2459,$Z371)),Parametros!$B$71:$B$91,0))</f>
        <v>Cuyo</v>
      </c>
      <c r="I371" s="61" t="str">
        <f aca="false">IF(TRIM($AD371)="",INDEX(Parametros!$I$20:$I$24,MATCH($H371,Parametros!$H$20:$H$24,0)),TRIM($AD371))</f>
        <v>Mendoza</v>
      </c>
      <c r="J371" s="61" t="str">
        <f aca="false">INDEX(Parametros!$C$95:$C$106,MATCH(TRIM(INDEX(Datos_Origen!$E$2:$E$2459,$Z371)),Parametros!$B$95:$B$106,0))</f>
        <v>E-commerce</v>
      </c>
      <c r="K371" s="61" t="str">
        <f aca="false">INDEX(Parametros!$C$48:$C$67,MATCH(TRIM(INDEX(Datos_Origen!$F$2:$F$2459,$Z371)),Parametros!$B$48:$B$67,0))</f>
        <v>Accesorios</v>
      </c>
      <c r="L371" s="61" t="str">
        <f aca="false">$K371&amp;" "&amp;$C371</f>
        <v>Accesorios 2024</v>
      </c>
      <c r="M371" s="61" t="str">
        <f aca="false">TRIM(INDEX(Datos_Origen!$G$2:$G$2459,$Z371))</f>
        <v>Teclado Mecanico</v>
      </c>
      <c r="N371" s="61" t="str">
        <f aca="false">$M371&amp;" "&amp;$C371</f>
        <v>Teclado Mecanico 2024</v>
      </c>
      <c r="O371" s="63" t="n">
        <f aca="false">IF(ISTEXT($AC371),VALUE($AC371),$AC371)</f>
        <v>10</v>
      </c>
      <c r="P371" s="64" t="n">
        <f aca="false">INDEX(Datos_Origen!$I$2:$I$2459,$Z371)</f>
        <v>93.1</v>
      </c>
      <c r="Q371" s="64" t="n">
        <f aca="false">INDEX(Datos_Origen!$J$2:$J$2459,$Z371)</f>
        <v>47.98</v>
      </c>
      <c r="R371" s="65" t="n">
        <f aca="false">ROUND($O371*$P371,2)</f>
        <v>931</v>
      </c>
      <c r="S371" s="65" t="n">
        <f aca="false">ROUND($O371*$Q371,2)</f>
        <v>479.8</v>
      </c>
      <c r="T371" s="65" t="n">
        <f aca="false">ROUND($R371*SUMIFS(Parametros!$E$28:$E$43,Parametros!$B$28:$B$43,$J371,Parametros!$C$28:$C$43,$C371,Parametros!$D$28:$D$43,$D371),2)</f>
        <v>40.96</v>
      </c>
      <c r="U371" s="65" t="n">
        <f aca="false">$R371-$S371-$T371</f>
        <v>410.24</v>
      </c>
      <c r="V371" s="66" t="n">
        <f aca="false">IFERROR($U371/$R371,0)</f>
        <v>0.440644468313641</v>
      </c>
      <c r="W371" s="67" t="str">
        <f aca="false">IF(AND($V371&gt;=Parametros!$C$8,$R371&gt;=Parametros!$C$12),"Alta rentabilidad",IF(OR($V371&lt;Parametros!$C$11,$R371&lt;Parametros!$C$13),"Revisar","Estandar"))</f>
        <v>Estandar</v>
      </c>
      <c r="X371" s="67" t="str">
        <f aca="false">IF(AND($J371="E-commerce",IFERROR($T371/$R371,0)&gt;Parametros!$C$14),"Alerta","OK")</f>
        <v>OK</v>
      </c>
      <c r="Y371" s="61" t="str">
        <f aca="false">IF($R371&gt;=Parametros!$C$12,"Alto",IF($R371&lt;Parametros!$C$13,"Bajo","Medio"))</f>
        <v>Medio</v>
      </c>
      <c r="Z371" s="61" t="n">
        <v>1594</v>
      </c>
      <c r="AA371" s="61" t="str">
        <f aca="false">IF(MATCH($A371,Datos_Origen!$A$2:$A$2459,0)=$Z371,"OK","REVISAR")</f>
        <v>OK</v>
      </c>
      <c r="AB371" s="61" t="str">
        <f aca="false">INDEX(Datos_Origen!$B$2:$B$2459,$Z371)</f>
        <v>26/04/2024</v>
      </c>
      <c r="AC371" s="61" t="n">
        <f aca="false">INDEX(Datos_Origen!$H$2:$H$2459,$Z371)</f>
        <v>10</v>
      </c>
      <c r="AD371" s="61" t="str">
        <f aca="false">INDEX(Datos_Origen!$D$2:$D$2459,$Z371)&amp;""</f>
        <v>Mendoza</v>
      </c>
    </row>
    <row r="372" customFormat="false" ht="15" hidden="false" customHeight="false" outlineLevel="0" collapsed="false">
      <c r="A372" s="61" t="n">
        <f aca="false">INDEX(Datos_Origen!$A$2:$A$2459,$Z372)</f>
        <v>371</v>
      </c>
      <c r="B372" s="62" t="n">
        <f aca="false">IF(ISNUMBER($AB372),$AB372,IF(MID($AB372,5,1)="-",DATE(VALUE(LEFT($AB372,4)),VALUE(MID($AB372,6,2)),VALUE(RIGHT($AB372,2))),DATE(VALUE(RIGHT($AB372,4)),VALUE(MID($AB372,4,2)),VALUE(LEFT($AB372,2)))))</f>
        <v>45388</v>
      </c>
      <c r="C372" s="61" t="n">
        <f aca="false">YEAR($B372)</f>
        <v>2024</v>
      </c>
      <c r="D372" s="61" t="str">
        <f aca="false">"Q"&amp;ROUNDUP(MONTH($B372)/3,0)</f>
        <v>Q2</v>
      </c>
      <c r="E372" s="61" t="n">
        <f aca="false">MONTH($B372)</f>
        <v>4</v>
      </c>
      <c r="F372" s="61" t="str">
        <f aca="false">INDEX(Parametros!$I$5:$I$16,$E372)</f>
        <v>Abr</v>
      </c>
      <c r="G372" s="61" t="str">
        <f aca="false">TEXT($C372,"0000")&amp;"-"&amp;TEXT($E372,"00")</f>
        <v>2024-04</v>
      </c>
      <c r="H372" s="61" t="str">
        <f aca="false">INDEX(Parametros!$C$71:$C$91,MATCH(TRIM(INDEX(Datos_Origen!$C$2:$C$2459,$Z372)),Parametros!$B$71:$B$91,0))</f>
        <v>Cuyo</v>
      </c>
      <c r="I372" s="61" t="str">
        <f aca="false">IF(TRIM($AD372)="",INDEX(Parametros!$I$20:$I$24,MATCH($H372,Parametros!$H$20:$H$24,0)),TRIM($AD372))</f>
        <v>Mendoza</v>
      </c>
      <c r="J372" s="61" t="str">
        <f aca="false">INDEX(Parametros!$C$95:$C$106,MATCH(TRIM(INDEX(Datos_Origen!$E$2:$E$2459,$Z372)),Parametros!$B$95:$B$106,0))</f>
        <v>Tienda fisica</v>
      </c>
      <c r="K372" s="61" t="str">
        <f aca="false">INDEX(Parametros!$C$48:$C$67,MATCH(TRIM(INDEX(Datos_Origen!$F$2:$F$2459,$Z372)),Parametros!$B$48:$B$67,0))</f>
        <v>Accesorios</v>
      </c>
      <c r="L372" s="61" t="str">
        <f aca="false">$K372&amp;" "&amp;$C372</f>
        <v>Accesorios 2024</v>
      </c>
      <c r="M372" s="61" t="str">
        <f aca="false">TRIM(INDEX(Datos_Origen!$G$2:$G$2459,$Z372))</f>
        <v>Webcam Full HD</v>
      </c>
      <c r="N372" s="61" t="str">
        <f aca="false">$M372&amp;" "&amp;$C372</f>
        <v>Webcam Full HD 2024</v>
      </c>
      <c r="O372" s="63" t="n">
        <f aca="false">IF(ISTEXT($AC372),VALUE($AC372),$AC372)</f>
        <v>26</v>
      </c>
      <c r="P372" s="64" t="n">
        <f aca="false">INDEX(Datos_Origen!$I$2:$I$2459,$Z372)</f>
        <v>63.7</v>
      </c>
      <c r="Q372" s="64" t="n">
        <f aca="false">INDEX(Datos_Origen!$J$2:$J$2459,$Z372)</f>
        <v>35.43</v>
      </c>
      <c r="R372" s="65" t="n">
        <f aca="false">ROUND($O372*$P372,2)</f>
        <v>1656.2</v>
      </c>
      <c r="S372" s="65" t="n">
        <f aca="false">ROUND($O372*$Q372,2)</f>
        <v>921.18</v>
      </c>
      <c r="T372" s="65" t="n">
        <f aca="false">ROUND($R372*SUMIFS(Parametros!$E$28:$E$43,Parametros!$B$28:$B$43,$J372,Parametros!$C$28:$C$43,$C372,Parametros!$D$28:$D$43,$D372),2)</f>
        <v>19.87</v>
      </c>
      <c r="U372" s="65" t="n">
        <f aca="false">$R372-$S372-$T372</f>
        <v>715.15</v>
      </c>
      <c r="V372" s="66" t="n">
        <f aca="false">IFERROR($U372/$R372,0)</f>
        <v>0.431801714768748</v>
      </c>
      <c r="W372" s="67" t="str">
        <f aca="false">IF(AND($V372&gt;=Parametros!$C$8,$R372&gt;=Parametros!$C$12),"Alta rentabilidad",IF(OR($V372&lt;Parametros!$C$11,$R372&lt;Parametros!$C$13),"Revisar","Estandar"))</f>
        <v>Estandar</v>
      </c>
      <c r="X372" s="67" t="str">
        <f aca="false">IF(AND($J372="E-commerce",IFERROR($T372/$R372,0)&gt;Parametros!$C$14),"Alerta","OK")</f>
        <v>OK</v>
      </c>
      <c r="Y372" s="61" t="str">
        <f aca="false">IF($R372&gt;=Parametros!$C$12,"Alto",IF($R372&lt;Parametros!$C$13,"Bajo","Medio"))</f>
        <v>Medio</v>
      </c>
      <c r="Z372" s="61" t="n">
        <v>2123</v>
      </c>
      <c r="AA372" s="61" t="str">
        <f aca="false">IF(MATCH($A372,Datos_Origen!$A$2:$A$2459,0)=$Z372,"OK","REVISAR")</f>
        <v>OK</v>
      </c>
      <c r="AB372" s="62" t="n">
        <f aca="false">INDEX(Datos_Origen!$B$2:$B$2459,$Z372)</f>
        <v>45388</v>
      </c>
      <c r="AC372" s="61" t="n">
        <f aca="false">INDEX(Datos_Origen!$H$2:$H$2459,$Z372)</f>
        <v>26</v>
      </c>
      <c r="AD372" s="61" t="str">
        <f aca="false">INDEX(Datos_Origen!$D$2:$D$2459,$Z372)&amp;""</f>
        <v>Mendoza</v>
      </c>
    </row>
    <row r="373" customFormat="false" ht="15" hidden="false" customHeight="false" outlineLevel="0" collapsed="false">
      <c r="A373" s="61" t="n">
        <f aca="false">INDEX(Datos_Origen!$A$2:$A$2459,$Z373)</f>
        <v>372</v>
      </c>
      <c r="B373" s="62" t="n">
        <f aca="false">IF(ISNUMBER($AB373),$AB373,IF(MID($AB373,5,1)="-",DATE(VALUE(LEFT($AB373,4)),VALUE(MID($AB373,6,2)),VALUE(RIGHT($AB373,2))),DATE(VALUE(RIGHT($AB373,4)),VALUE(MID($AB373,4,2)),VALUE(LEFT($AB373,2)))))</f>
        <v>45395</v>
      </c>
      <c r="C373" s="61" t="n">
        <f aca="false">YEAR($B373)</f>
        <v>2024</v>
      </c>
      <c r="D373" s="61" t="str">
        <f aca="false">"Q"&amp;ROUNDUP(MONTH($B373)/3,0)</f>
        <v>Q2</v>
      </c>
      <c r="E373" s="61" t="n">
        <f aca="false">MONTH($B373)</f>
        <v>4</v>
      </c>
      <c r="F373" s="61" t="str">
        <f aca="false">INDEX(Parametros!$I$5:$I$16,$E373)</f>
        <v>Abr</v>
      </c>
      <c r="G373" s="61" t="str">
        <f aca="false">TEXT($C373,"0000")&amp;"-"&amp;TEXT($E373,"00")</f>
        <v>2024-04</v>
      </c>
      <c r="H373" s="61" t="str">
        <f aca="false">INDEX(Parametros!$C$71:$C$91,MATCH(TRIM(INDEX(Datos_Origen!$C$2:$C$2459,$Z373)),Parametros!$B$71:$B$91,0))</f>
        <v>Cuyo</v>
      </c>
      <c r="I373" s="61" t="str">
        <f aca="false">IF(TRIM($AD373)="",INDEX(Parametros!$I$20:$I$24,MATCH($H373,Parametros!$H$20:$H$24,0)),TRIM($AD373))</f>
        <v>Mendoza</v>
      </c>
      <c r="J373" s="61" t="str">
        <f aca="false">INDEX(Parametros!$C$95:$C$106,MATCH(TRIM(INDEX(Datos_Origen!$E$2:$E$2459,$Z373)),Parametros!$B$95:$B$106,0))</f>
        <v>E-commerce</v>
      </c>
      <c r="K373" s="61" t="str">
        <f aca="false">INDEX(Parametros!$C$48:$C$67,MATCH(TRIM(INDEX(Datos_Origen!$F$2:$F$2459,$Z373)),Parametros!$B$48:$B$67,0))</f>
        <v>Accesorios</v>
      </c>
      <c r="L373" s="61" t="str">
        <f aca="false">$K373&amp;" "&amp;$C373</f>
        <v>Accesorios 2024</v>
      </c>
      <c r="M373" s="61" t="str">
        <f aca="false">TRIM(INDEX(Datos_Origen!$G$2:$G$2459,$Z373))</f>
        <v>Webcam Full HD</v>
      </c>
      <c r="N373" s="61" t="str">
        <f aca="false">$M373&amp;" "&amp;$C373</f>
        <v>Webcam Full HD 2024</v>
      </c>
      <c r="O373" s="63" t="n">
        <f aca="false">IF(ISTEXT($AC373),VALUE($AC373),$AC373)</f>
        <v>12</v>
      </c>
      <c r="P373" s="64" t="n">
        <f aca="false">INDEX(Datos_Origen!$I$2:$I$2459,$Z373)</f>
        <v>63.7</v>
      </c>
      <c r="Q373" s="64" t="n">
        <f aca="false">INDEX(Datos_Origen!$J$2:$J$2459,$Z373)</f>
        <v>35.43</v>
      </c>
      <c r="R373" s="65" t="n">
        <f aca="false">ROUND($O373*$P373,2)</f>
        <v>764.4</v>
      </c>
      <c r="S373" s="65" t="n">
        <f aca="false">ROUND($O373*$Q373,2)</f>
        <v>425.16</v>
      </c>
      <c r="T373" s="65" t="n">
        <f aca="false">ROUND($R373*SUMIFS(Parametros!$E$28:$E$43,Parametros!$B$28:$B$43,$J373,Parametros!$C$28:$C$43,$C373,Parametros!$D$28:$D$43,$D373),2)</f>
        <v>33.63</v>
      </c>
      <c r="U373" s="65" t="n">
        <f aca="false">$R373-$S373-$T373</f>
        <v>305.61</v>
      </c>
      <c r="V373" s="66" t="n">
        <f aca="false">IFERROR($U373/$R373,0)</f>
        <v>0.39980376766091</v>
      </c>
      <c r="W373" s="67" t="str">
        <f aca="false">IF(AND($V373&gt;=Parametros!$C$8,$R373&gt;=Parametros!$C$12),"Alta rentabilidad",IF(OR($V373&lt;Parametros!$C$11,$R373&lt;Parametros!$C$13),"Revisar","Estandar"))</f>
        <v>Estandar</v>
      </c>
      <c r="X373" s="67" t="str">
        <f aca="false">IF(AND($J373="E-commerce",IFERROR($T373/$R373,0)&gt;Parametros!$C$14),"Alerta","OK")</f>
        <v>OK</v>
      </c>
      <c r="Y373" s="61" t="str">
        <f aca="false">IF($R373&gt;=Parametros!$C$12,"Alto",IF($R373&lt;Parametros!$C$13,"Bajo","Medio"))</f>
        <v>Medio</v>
      </c>
      <c r="Z373" s="61" t="n">
        <v>2054</v>
      </c>
      <c r="AA373" s="61" t="str">
        <f aca="false">IF(MATCH($A373,Datos_Origen!$A$2:$A$2459,0)=$Z373,"OK","REVISAR")</f>
        <v>OK</v>
      </c>
      <c r="AB373" s="62" t="n">
        <f aca="false">INDEX(Datos_Origen!$B$2:$B$2459,$Z373)</f>
        <v>45395</v>
      </c>
      <c r="AC373" s="61" t="n">
        <f aca="false">INDEX(Datos_Origen!$H$2:$H$2459,$Z373)</f>
        <v>12</v>
      </c>
      <c r="AD373" s="61" t="str">
        <f aca="false">INDEX(Datos_Origen!$D$2:$D$2459,$Z373)&amp;""</f>
        <v>Mendoza</v>
      </c>
    </row>
    <row r="374" customFormat="false" ht="15" hidden="false" customHeight="false" outlineLevel="0" collapsed="false">
      <c r="A374" s="61" t="n">
        <f aca="false">INDEX(Datos_Origen!$A$2:$A$2459,$Z374)</f>
        <v>373</v>
      </c>
      <c r="B374" s="62" t="n">
        <f aca="false">IF(ISNUMBER($AB374),$AB374,IF(MID($AB374,5,1)="-",DATE(VALUE(LEFT($AB374,4)),VALUE(MID($AB374,6,2)),VALUE(RIGHT($AB374,2))),DATE(VALUE(RIGHT($AB374,4)),VALUE(MID($AB374,4,2)),VALUE(LEFT($AB374,2)))))</f>
        <v>45402</v>
      </c>
      <c r="C374" s="61" t="n">
        <f aca="false">YEAR($B374)</f>
        <v>2024</v>
      </c>
      <c r="D374" s="61" t="str">
        <f aca="false">"Q"&amp;ROUNDUP(MONTH($B374)/3,0)</f>
        <v>Q2</v>
      </c>
      <c r="E374" s="61" t="n">
        <f aca="false">MONTH($B374)</f>
        <v>4</v>
      </c>
      <c r="F374" s="61" t="str">
        <f aca="false">INDEX(Parametros!$I$5:$I$16,$E374)</f>
        <v>Abr</v>
      </c>
      <c r="G374" s="61" t="str">
        <f aca="false">TEXT($C374,"0000")&amp;"-"&amp;TEXT($E374,"00")</f>
        <v>2024-04</v>
      </c>
      <c r="H374" s="61" t="str">
        <f aca="false">INDEX(Parametros!$C$71:$C$91,MATCH(TRIM(INDEX(Datos_Origen!$C$2:$C$2459,$Z374)),Parametros!$B$71:$B$91,0))</f>
        <v>Cuyo</v>
      </c>
      <c r="I374" s="61" t="str">
        <f aca="false">IF(TRIM($AD374)="",INDEX(Parametros!$I$20:$I$24,MATCH($H374,Parametros!$H$20:$H$24,0)),TRIM($AD374))</f>
        <v>Mendoza</v>
      </c>
      <c r="J374" s="61" t="str">
        <f aca="false">INDEX(Parametros!$C$95:$C$106,MATCH(TRIM(INDEX(Datos_Origen!$E$2:$E$2459,$Z374)),Parametros!$B$95:$B$106,0))</f>
        <v>Tienda fisica</v>
      </c>
      <c r="K374" s="61" t="str">
        <f aca="false">INDEX(Parametros!$C$48:$C$67,MATCH(TRIM(INDEX(Datos_Origen!$F$2:$F$2459,$Z374)),Parametros!$B$48:$B$67,0))</f>
        <v>Audio</v>
      </c>
      <c r="L374" s="61" t="str">
        <f aca="false">$K374&amp;" "&amp;$C374</f>
        <v>Audio 2024</v>
      </c>
      <c r="M374" s="61" t="str">
        <f aca="false">TRIM(INDEX(Datos_Origen!$G$2:$G$2459,$Z374))</f>
        <v>Auriculares BT Pro</v>
      </c>
      <c r="N374" s="61" t="str">
        <f aca="false">$M374&amp;" "&amp;$C374</f>
        <v>Auriculares BT Pro 2024</v>
      </c>
      <c r="O374" s="63" t="n">
        <f aca="false">IF(ISTEXT($AC374),VALUE($AC374),$AC374)</f>
        <v>11</v>
      </c>
      <c r="P374" s="64" t="n">
        <f aca="false">INDEX(Datos_Origen!$I$2:$I$2459,$Z374)</f>
        <v>117.6</v>
      </c>
      <c r="Q374" s="64" t="n">
        <f aca="false">INDEX(Datos_Origen!$J$2:$J$2459,$Z374)</f>
        <v>63.6</v>
      </c>
      <c r="R374" s="65" t="n">
        <f aca="false">ROUND($O374*$P374,2)</f>
        <v>1293.6</v>
      </c>
      <c r="S374" s="65" t="n">
        <f aca="false">ROUND($O374*$Q374,2)</f>
        <v>699.6</v>
      </c>
      <c r="T374" s="65" t="n">
        <f aca="false">ROUND($R374*SUMIFS(Parametros!$E$28:$E$43,Parametros!$B$28:$B$43,$J374,Parametros!$C$28:$C$43,$C374,Parametros!$D$28:$D$43,$D374),2)</f>
        <v>15.52</v>
      </c>
      <c r="U374" s="65" t="n">
        <f aca="false">$R374-$S374-$T374</f>
        <v>578.48</v>
      </c>
      <c r="V374" s="66" t="n">
        <f aca="false">IFERROR($U374/$R374,0)</f>
        <v>0.447186147186147</v>
      </c>
      <c r="W374" s="67" t="str">
        <f aca="false">IF(AND($V374&gt;=Parametros!$C$8,$R374&gt;=Parametros!$C$12),"Alta rentabilidad",IF(OR($V374&lt;Parametros!$C$11,$R374&lt;Parametros!$C$13),"Revisar","Estandar"))</f>
        <v>Estandar</v>
      </c>
      <c r="X374" s="67" t="str">
        <f aca="false">IF(AND($J374="E-commerce",IFERROR($T374/$R374,0)&gt;Parametros!$C$14),"Alerta","OK")</f>
        <v>OK</v>
      </c>
      <c r="Y374" s="61" t="str">
        <f aca="false">IF($R374&gt;=Parametros!$C$12,"Alto",IF($R374&lt;Parametros!$C$13,"Bajo","Medio"))</f>
        <v>Medio</v>
      </c>
      <c r="Z374" s="61" t="n">
        <v>681</v>
      </c>
      <c r="AA374" s="61" t="str">
        <f aca="false">IF(MATCH($A374,Datos_Origen!$A$2:$A$2459,0)=$Z374,"OK","REVISAR")</f>
        <v>OK</v>
      </c>
      <c r="AB374" s="62" t="n">
        <f aca="false">INDEX(Datos_Origen!$B$2:$B$2459,$Z374)</f>
        <v>45402</v>
      </c>
      <c r="AC374" s="61" t="n">
        <f aca="false">INDEX(Datos_Origen!$H$2:$H$2459,$Z374)</f>
        <v>11</v>
      </c>
      <c r="AD374" s="61" t="str">
        <f aca="false">INDEX(Datos_Origen!$D$2:$D$2459,$Z374)&amp;""</f>
        <v>Mendoza</v>
      </c>
    </row>
    <row r="375" customFormat="false" ht="15" hidden="false" customHeight="false" outlineLevel="0" collapsed="false">
      <c r="A375" s="61" t="n">
        <f aca="false">INDEX(Datos_Origen!$A$2:$A$2459,$Z375)</f>
        <v>374</v>
      </c>
      <c r="B375" s="62" t="n">
        <f aca="false">IF(ISNUMBER($AB375),$AB375,IF(MID($AB375,5,1)="-",DATE(VALUE(LEFT($AB375,4)),VALUE(MID($AB375,6,2)),VALUE(RIGHT($AB375,2))),DATE(VALUE(RIGHT($AB375,4)),VALUE(MID($AB375,4,2)),VALUE(LEFT($AB375,2)))))</f>
        <v>45409</v>
      </c>
      <c r="C375" s="61" t="n">
        <f aca="false">YEAR($B375)</f>
        <v>2024</v>
      </c>
      <c r="D375" s="61" t="str">
        <f aca="false">"Q"&amp;ROUNDUP(MONTH($B375)/3,0)</f>
        <v>Q2</v>
      </c>
      <c r="E375" s="61" t="n">
        <f aca="false">MONTH($B375)</f>
        <v>4</v>
      </c>
      <c r="F375" s="61" t="str">
        <f aca="false">INDEX(Parametros!$I$5:$I$16,$E375)</f>
        <v>Abr</v>
      </c>
      <c r="G375" s="61" t="str">
        <f aca="false">TEXT($C375,"0000")&amp;"-"&amp;TEXT($E375,"00")</f>
        <v>2024-04</v>
      </c>
      <c r="H375" s="61" t="str">
        <f aca="false">INDEX(Parametros!$C$71:$C$91,MATCH(TRIM(INDEX(Datos_Origen!$C$2:$C$2459,$Z375)),Parametros!$B$71:$B$91,0))</f>
        <v>Cuyo</v>
      </c>
      <c r="I375" s="61" t="str">
        <f aca="false">IF(TRIM($AD375)="",INDEX(Parametros!$I$20:$I$24,MATCH($H375,Parametros!$H$20:$H$24,0)),TRIM($AD375))</f>
        <v>Mendoza</v>
      </c>
      <c r="J375" s="61" t="str">
        <f aca="false">INDEX(Parametros!$C$95:$C$106,MATCH(TRIM(INDEX(Datos_Origen!$E$2:$E$2459,$Z375)),Parametros!$B$95:$B$106,0))</f>
        <v>E-commerce</v>
      </c>
      <c r="K375" s="61" t="str">
        <f aca="false">INDEX(Parametros!$C$48:$C$67,MATCH(TRIM(INDEX(Datos_Origen!$F$2:$F$2459,$Z375)),Parametros!$B$48:$B$67,0))</f>
        <v>Audio</v>
      </c>
      <c r="L375" s="61" t="str">
        <f aca="false">$K375&amp;" "&amp;$C375</f>
        <v>Audio 2024</v>
      </c>
      <c r="M375" s="61" t="str">
        <f aca="false">TRIM(INDEX(Datos_Origen!$G$2:$G$2459,$Z375))</f>
        <v>Auriculares BT Pro</v>
      </c>
      <c r="N375" s="61" t="str">
        <f aca="false">$M375&amp;" "&amp;$C375</f>
        <v>Auriculares BT Pro 2024</v>
      </c>
      <c r="O375" s="63" t="n">
        <f aca="false">IF(ISTEXT($AC375),VALUE($AC375),$AC375)</f>
        <v>5</v>
      </c>
      <c r="P375" s="64" t="n">
        <f aca="false">INDEX(Datos_Origen!$I$2:$I$2459,$Z375)</f>
        <v>117.6</v>
      </c>
      <c r="Q375" s="64" t="n">
        <f aca="false">INDEX(Datos_Origen!$J$2:$J$2459,$Z375)</f>
        <v>63.6</v>
      </c>
      <c r="R375" s="65" t="n">
        <f aca="false">ROUND($O375*$P375,2)</f>
        <v>588</v>
      </c>
      <c r="S375" s="65" t="n">
        <f aca="false">ROUND($O375*$Q375,2)</f>
        <v>318</v>
      </c>
      <c r="T375" s="65" t="n">
        <f aca="false">ROUND($R375*SUMIFS(Parametros!$E$28:$E$43,Parametros!$B$28:$B$43,$J375,Parametros!$C$28:$C$43,$C375,Parametros!$D$28:$D$43,$D375),2)</f>
        <v>25.87</v>
      </c>
      <c r="U375" s="65" t="n">
        <f aca="false">$R375-$S375-$T375</f>
        <v>244.13</v>
      </c>
      <c r="V375" s="66" t="n">
        <f aca="false">IFERROR($U375/$R375,0)</f>
        <v>0.415187074829932</v>
      </c>
      <c r="W375" s="67" t="str">
        <f aca="false">IF(AND($V375&gt;=Parametros!$C$8,$R375&gt;=Parametros!$C$12),"Alta rentabilidad",IF(OR($V375&lt;Parametros!$C$11,$R375&lt;Parametros!$C$13),"Revisar","Estandar"))</f>
        <v>Estandar</v>
      </c>
      <c r="X375" s="67" t="str">
        <f aca="false">IF(AND($J375="E-commerce",IFERROR($T375/$R375,0)&gt;Parametros!$C$14),"Alerta","OK")</f>
        <v>OK</v>
      </c>
      <c r="Y375" s="61" t="str">
        <f aca="false">IF($R375&gt;=Parametros!$C$12,"Alto",IF($R375&lt;Parametros!$C$13,"Bajo","Medio"))</f>
        <v>Medio</v>
      </c>
      <c r="Z375" s="61" t="n">
        <v>1275</v>
      </c>
      <c r="AA375" s="61" t="str">
        <f aca="false">IF(MATCH($A375,Datos_Origen!$A$2:$A$2459,0)=$Z375,"OK","REVISAR")</f>
        <v>OK</v>
      </c>
      <c r="AB375" s="61" t="str">
        <f aca="false">INDEX(Datos_Origen!$B$2:$B$2459,$Z375)</f>
        <v>2024-04-27</v>
      </c>
      <c r="AC375" s="61" t="n">
        <f aca="false">INDEX(Datos_Origen!$H$2:$H$2459,$Z375)</f>
        <v>5</v>
      </c>
      <c r="AD375" s="61" t="str">
        <f aca="false">INDEX(Datos_Origen!$D$2:$D$2459,$Z375)&amp;""</f>
        <v>Mendoza</v>
      </c>
    </row>
    <row r="376" customFormat="false" ht="15" hidden="false" customHeight="false" outlineLevel="0" collapsed="false">
      <c r="A376" s="61" t="n">
        <f aca="false">INDEX(Datos_Origen!$A$2:$A$2459,$Z376)</f>
        <v>375</v>
      </c>
      <c r="B376" s="62" t="n">
        <f aca="false">IF(ISNUMBER($AB376),$AB376,IF(MID($AB376,5,1)="-",DATE(VALUE(LEFT($AB376,4)),VALUE(MID($AB376,6,2)),VALUE(RIGHT($AB376,2))),DATE(VALUE(RIGHT($AB376,4)),VALUE(MID($AB376,4,2)),VALUE(LEFT($AB376,2)))))</f>
        <v>45389</v>
      </c>
      <c r="C376" s="61" t="n">
        <f aca="false">YEAR($B376)</f>
        <v>2024</v>
      </c>
      <c r="D376" s="61" t="str">
        <f aca="false">"Q"&amp;ROUNDUP(MONTH($B376)/3,0)</f>
        <v>Q2</v>
      </c>
      <c r="E376" s="61" t="n">
        <f aca="false">MONTH($B376)</f>
        <v>4</v>
      </c>
      <c r="F376" s="61" t="str">
        <f aca="false">INDEX(Parametros!$I$5:$I$16,$E376)</f>
        <v>Abr</v>
      </c>
      <c r="G376" s="61" t="str">
        <f aca="false">TEXT($C376,"0000")&amp;"-"&amp;TEXT($E376,"00")</f>
        <v>2024-04</v>
      </c>
      <c r="H376" s="61" t="str">
        <f aca="false">INDEX(Parametros!$C$71:$C$91,MATCH(TRIM(INDEX(Datos_Origen!$C$2:$C$2459,$Z376)),Parametros!$B$71:$B$91,0))</f>
        <v>Cuyo</v>
      </c>
      <c r="I376" s="61" t="str">
        <f aca="false">IF(TRIM($AD376)="",INDEX(Parametros!$I$20:$I$24,MATCH($H376,Parametros!$H$20:$H$24,0)),TRIM($AD376))</f>
        <v>Mendoza</v>
      </c>
      <c r="J376" s="61" t="str">
        <f aca="false">INDEX(Parametros!$C$95:$C$106,MATCH(TRIM(INDEX(Datos_Origen!$E$2:$E$2459,$Z376)),Parametros!$B$95:$B$106,0))</f>
        <v>Tienda fisica</v>
      </c>
      <c r="K376" s="61" t="str">
        <f aca="false">INDEX(Parametros!$C$48:$C$67,MATCH(TRIM(INDEX(Datos_Origen!$F$2:$F$2459,$Z376)),Parametros!$B$48:$B$67,0))</f>
        <v>Audio</v>
      </c>
      <c r="L376" s="61" t="str">
        <f aca="false">$K376&amp;" "&amp;$C376</f>
        <v>Audio 2024</v>
      </c>
      <c r="M376" s="61" t="str">
        <f aca="false">TRIM(INDEX(Datos_Origen!$G$2:$G$2459,$Z376))</f>
        <v>Parlante Bluetooth</v>
      </c>
      <c r="N376" s="61" t="str">
        <f aca="false">$M376&amp;" "&amp;$C376</f>
        <v>Parlante Bluetooth 2024</v>
      </c>
      <c r="O376" s="63" t="n">
        <f aca="false">IF(ISTEXT($AC376),VALUE($AC376),$AC376)</f>
        <v>15</v>
      </c>
      <c r="P376" s="64" t="n">
        <f aca="false">INDEX(Datos_Origen!$I$2:$I$2459,$Z376)</f>
        <v>83.3</v>
      </c>
      <c r="Q376" s="64" t="n">
        <f aca="false">INDEX(Datos_Origen!$J$2:$J$2459,$Z376)</f>
        <v>48.03</v>
      </c>
      <c r="R376" s="65" t="n">
        <f aca="false">ROUND($O376*$P376,2)</f>
        <v>1249.5</v>
      </c>
      <c r="S376" s="65" t="n">
        <f aca="false">ROUND($O376*$Q376,2)</f>
        <v>720.45</v>
      </c>
      <c r="T376" s="65" t="n">
        <f aca="false">ROUND($R376*SUMIFS(Parametros!$E$28:$E$43,Parametros!$B$28:$B$43,$J376,Parametros!$C$28:$C$43,$C376,Parametros!$D$28:$D$43,$D376),2)</f>
        <v>14.99</v>
      </c>
      <c r="U376" s="65" t="n">
        <f aca="false">$R376-$S376-$T376</f>
        <v>514.06</v>
      </c>
      <c r="V376" s="66" t="n">
        <f aca="false">IFERROR($U376/$R376,0)</f>
        <v>0.41141256502601</v>
      </c>
      <c r="W376" s="67" t="str">
        <f aca="false">IF(AND($V376&gt;=Parametros!$C$8,$R376&gt;=Parametros!$C$12),"Alta rentabilidad",IF(OR($V376&lt;Parametros!$C$11,$R376&lt;Parametros!$C$13),"Revisar","Estandar"))</f>
        <v>Estandar</v>
      </c>
      <c r="X376" s="67" t="str">
        <f aca="false">IF(AND($J376="E-commerce",IFERROR($T376/$R376,0)&gt;Parametros!$C$14),"Alerta","OK")</f>
        <v>OK</v>
      </c>
      <c r="Y376" s="61" t="str">
        <f aca="false">IF($R376&gt;=Parametros!$C$12,"Alto",IF($R376&lt;Parametros!$C$13,"Bajo","Medio"))</f>
        <v>Medio</v>
      </c>
      <c r="Z376" s="61" t="n">
        <v>475</v>
      </c>
      <c r="AA376" s="61" t="str">
        <f aca="false">IF(MATCH($A376,Datos_Origen!$A$2:$A$2459,0)=$Z376,"OK","REVISAR")</f>
        <v>OK</v>
      </c>
      <c r="AB376" s="61" t="str">
        <f aca="false">INDEX(Datos_Origen!$B$2:$B$2459,$Z376)</f>
        <v>07/04/2024</v>
      </c>
      <c r="AC376" s="61" t="str">
        <f aca="false">INDEX(Datos_Origen!$H$2:$H$2459,$Z376)</f>
        <v>15</v>
      </c>
      <c r="AD376" s="61" t="str">
        <f aca="false">INDEX(Datos_Origen!$D$2:$D$2459,$Z376)&amp;""</f>
        <v>Mendoza</v>
      </c>
    </row>
    <row r="377" customFormat="false" ht="15" hidden="false" customHeight="false" outlineLevel="0" collapsed="false">
      <c r="A377" s="61" t="n">
        <f aca="false">INDEX(Datos_Origen!$A$2:$A$2459,$Z377)</f>
        <v>376</v>
      </c>
      <c r="B377" s="62" t="n">
        <f aca="false">IF(ISNUMBER($AB377),$AB377,IF(MID($AB377,5,1)="-",DATE(VALUE(LEFT($AB377,4)),VALUE(MID($AB377,6,2)),VALUE(RIGHT($AB377,2))),DATE(VALUE(RIGHT($AB377,4)),VALUE(MID($AB377,4,2)),VALUE(LEFT($AB377,2)))))</f>
        <v>45396</v>
      </c>
      <c r="C377" s="61" t="n">
        <f aca="false">YEAR($B377)</f>
        <v>2024</v>
      </c>
      <c r="D377" s="61" t="str">
        <f aca="false">"Q"&amp;ROUNDUP(MONTH($B377)/3,0)</f>
        <v>Q2</v>
      </c>
      <c r="E377" s="61" t="n">
        <f aca="false">MONTH($B377)</f>
        <v>4</v>
      </c>
      <c r="F377" s="61" t="str">
        <f aca="false">INDEX(Parametros!$I$5:$I$16,$E377)</f>
        <v>Abr</v>
      </c>
      <c r="G377" s="61" t="str">
        <f aca="false">TEXT($C377,"0000")&amp;"-"&amp;TEXT($E377,"00")</f>
        <v>2024-04</v>
      </c>
      <c r="H377" s="61" t="str">
        <f aca="false">INDEX(Parametros!$C$71:$C$91,MATCH(TRIM(INDEX(Datos_Origen!$C$2:$C$2459,$Z377)),Parametros!$B$71:$B$91,0))</f>
        <v>Cuyo</v>
      </c>
      <c r="I377" s="61" t="str">
        <f aca="false">IF(TRIM($AD377)="",INDEX(Parametros!$I$20:$I$24,MATCH($H377,Parametros!$H$20:$H$24,0)),TRIM($AD377))</f>
        <v>Mendoza</v>
      </c>
      <c r="J377" s="61" t="str">
        <f aca="false">INDEX(Parametros!$C$95:$C$106,MATCH(TRIM(INDEX(Datos_Origen!$E$2:$E$2459,$Z377)),Parametros!$B$95:$B$106,0))</f>
        <v>E-commerce</v>
      </c>
      <c r="K377" s="61" t="str">
        <f aca="false">INDEX(Parametros!$C$48:$C$67,MATCH(TRIM(INDEX(Datos_Origen!$F$2:$F$2459,$Z377)),Parametros!$B$48:$B$67,0))</f>
        <v>Audio</v>
      </c>
      <c r="L377" s="61" t="str">
        <f aca="false">$K377&amp;" "&amp;$C377</f>
        <v>Audio 2024</v>
      </c>
      <c r="M377" s="61" t="str">
        <f aca="false">TRIM(INDEX(Datos_Origen!$G$2:$G$2459,$Z377))</f>
        <v>Parlante Bluetooth</v>
      </c>
      <c r="N377" s="61" t="str">
        <f aca="false">$M377&amp;" "&amp;$C377</f>
        <v>Parlante Bluetooth 2024</v>
      </c>
      <c r="O377" s="63" t="n">
        <f aca="false">IF(ISTEXT($AC377),VALUE($AC377),$AC377)</f>
        <v>4</v>
      </c>
      <c r="P377" s="64" t="n">
        <f aca="false">INDEX(Datos_Origen!$I$2:$I$2459,$Z377)</f>
        <v>83.3</v>
      </c>
      <c r="Q377" s="64" t="n">
        <f aca="false">INDEX(Datos_Origen!$J$2:$J$2459,$Z377)</f>
        <v>48.03</v>
      </c>
      <c r="R377" s="65" t="n">
        <f aca="false">ROUND($O377*$P377,2)</f>
        <v>333.2</v>
      </c>
      <c r="S377" s="65" t="n">
        <f aca="false">ROUND($O377*$Q377,2)</f>
        <v>192.12</v>
      </c>
      <c r="T377" s="65" t="n">
        <f aca="false">ROUND($R377*SUMIFS(Parametros!$E$28:$E$43,Parametros!$B$28:$B$43,$J377,Parametros!$C$28:$C$43,$C377,Parametros!$D$28:$D$43,$D377),2)</f>
        <v>14.66</v>
      </c>
      <c r="U377" s="65" t="n">
        <f aca="false">$R377-$S377-$T377</f>
        <v>126.42</v>
      </c>
      <c r="V377" s="66" t="n">
        <f aca="false">IFERROR($U377/$R377,0)</f>
        <v>0.379411764705882</v>
      </c>
      <c r="W377" s="67" t="str">
        <f aca="false">IF(AND($V377&gt;=Parametros!$C$8,$R377&gt;=Parametros!$C$12),"Alta rentabilidad",IF(OR($V377&lt;Parametros!$C$11,$R377&lt;Parametros!$C$13),"Revisar","Estandar"))</f>
        <v>Estandar</v>
      </c>
      <c r="X377" s="67" t="str">
        <f aca="false">IF(AND($J377="E-commerce",IFERROR($T377/$R377,0)&gt;Parametros!$C$14),"Alerta","OK")</f>
        <v>OK</v>
      </c>
      <c r="Y377" s="61" t="str">
        <f aca="false">IF($R377&gt;=Parametros!$C$12,"Alto",IF($R377&lt;Parametros!$C$13,"Bajo","Medio"))</f>
        <v>Medio</v>
      </c>
      <c r="Z377" s="61" t="n">
        <v>1095</v>
      </c>
      <c r="AA377" s="61" t="str">
        <f aca="false">IF(MATCH($A377,Datos_Origen!$A$2:$A$2459,0)=$Z377,"OK","REVISAR")</f>
        <v>OK</v>
      </c>
      <c r="AB377" s="61" t="str">
        <f aca="false">INDEX(Datos_Origen!$B$2:$B$2459,$Z377)</f>
        <v>2024-04-14</v>
      </c>
      <c r="AC377" s="61" t="n">
        <f aca="false">INDEX(Datos_Origen!$H$2:$H$2459,$Z377)</f>
        <v>4</v>
      </c>
      <c r="AD377" s="61" t="str">
        <f aca="false">INDEX(Datos_Origen!$D$2:$D$2459,$Z377)&amp;""</f>
        <v>Mendoza</v>
      </c>
    </row>
    <row r="378" customFormat="false" ht="15" hidden="false" customHeight="false" outlineLevel="0" collapsed="false">
      <c r="A378" s="61" t="n">
        <f aca="false">INDEX(Datos_Origen!$A$2:$A$2459,$Z378)</f>
        <v>377</v>
      </c>
      <c r="B378" s="62" t="n">
        <f aca="false">IF(ISNUMBER($AB378),$AB378,IF(MID($AB378,5,1)="-",DATE(VALUE(LEFT($AB378,4)),VALUE(MID($AB378,6,2)),VALUE(RIGHT($AB378,2))),DATE(VALUE(RIGHT($AB378,4)),VALUE(MID($AB378,4,2)),VALUE(LEFT($AB378,2)))))</f>
        <v>45403</v>
      </c>
      <c r="C378" s="61" t="n">
        <f aca="false">YEAR($B378)</f>
        <v>2024</v>
      </c>
      <c r="D378" s="61" t="str">
        <f aca="false">"Q"&amp;ROUNDUP(MONTH($B378)/3,0)</f>
        <v>Q2</v>
      </c>
      <c r="E378" s="61" t="n">
        <f aca="false">MONTH($B378)</f>
        <v>4</v>
      </c>
      <c r="F378" s="61" t="str">
        <f aca="false">INDEX(Parametros!$I$5:$I$16,$E378)</f>
        <v>Abr</v>
      </c>
      <c r="G378" s="61" t="str">
        <f aca="false">TEXT($C378,"0000")&amp;"-"&amp;TEXT($E378,"00")</f>
        <v>2024-04</v>
      </c>
      <c r="H378" s="61" t="str">
        <f aca="false">INDEX(Parametros!$C$71:$C$91,MATCH(TRIM(INDEX(Datos_Origen!$C$2:$C$2459,$Z378)),Parametros!$B$71:$B$91,0))</f>
        <v>Cuyo</v>
      </c>
      <c r="I378" s="61" t="str">
        <f aca="false">IF(TRIM($AD378)="",INDEX(Parametros!$I$20:$I$24,MATCH($H378,Parametros!$H$20:$H$24,0)),TRIM($AD378))</f>
        <v>Mendoza</v>
      </c>
      <c r="J378" s="61" t="str">
        <f aca="false">INDEX(Parametros!$C$95:$C$106,MATCH(TRIM(INDEX(Datos_Origen!$E$2:$E$2459,$Z378)),Parametros!$B$95:$B$106,0))</f>
        <v>Tienda fisica</v>
      </c>
      <c r="K378" s="61" t="str">
        <f aca="false">INDEX(Parametros!$C$48:$C$67,MATCH(TRIM(INDEX(Datos_Origen!$F$2:$F$2459,$Z378)),Parametros!$B$48:$B$67,0))</f>
        <v>Almacenamiento</v>
      </c>
      <c r="L378" s="61" t="str">
        <f aca="false">$K378&amp;" "&amp;$C378</f>
        <v>Almacenamiento 2024</v>
      </c>
      <c r="M378" s="61" t="str">
        <f aca="false">TRIM(INDEX(Datos_Origen!$G$2:$G$2459,$Z378))</f>
        <v>SSD Externo 1TB</v>
      </c>
      <c r="N378" s="61" t="str">
        <f aca="false">$M378&amp;" "&amp;$C378</f>
        <v>SSD Externo 1TB 2024</v>
      </c>
      <c r="O378" s="63" t="n">
        <f aca="false">IF(ISTEXT($AC378),VALUE($AC378),$AC378)</f>
        <v>17</v>
      </c>
      <c r="P378" s="64" t="n">
        <f aca="false">INDEX(Datos_Origen!$I$2:$I$2459,$Z378)</f>
        <v>127.4</v>
      </c>
      <c r="Q378" s="64" t="n">
        <f aca="false">INDEX(Datos_Origen!$J$2:$J$2459,$Z378)</f>
        <v>76.05</v>
      </c>
      <c r="R378" s="65" t="n">
        <f aca="false">ROUND($O378*$P378,2)</f>
        <v>2165.8</v>
      </c>
      <c r="S378" s="65" t="n">
        <f aca="false">ROUND($O378*$Q378,2)</f>
        <v>1292.85</v>
      </c>
      <c r="T378" s="65" t="n">
        <f aca="false">ROUND($R378*SUMIFS(Parametros!$E$28:$E$43,Parametros!$B$28:$B$43,$J378,Parametros!$C$28:$C$43,$C378,Parametros!$D$28:$D$43,$D378),2)</f>
        <v>25.99</v>
      </c>
      <c r="U378" s="65" t="n">
        <f aca="false">$R378-$S378-$T378</f>
        <v>846.96</v>
      </c>
      <c r="V378" s="66" t="n">
        <f aca="false">IFERROR($U378/$R378,0)</f>
        <v>0.391061039800536</v>
      </c>
      <c r="W378" s="67" t="str">
        <f aca="false">IF(AND($V378&gt;=Parametros!$C$8,$R378&gt;=Parametros!$C$12),"Alta rentabilidad",IF(OR($V378&lt;Parametros!$C$11,$R378&lt;Parametros!$C$13),"Revisar","Estandar"))</f>
        <v>Estandar</v>
      </c>
      <c r="X378" s="67" t="str">
        <f aca="false">IF(AND($J378="E-commerce",IFERROR($T378/$R378,0)&gt;Parametros!$C$14),"Alerta","OK")</f>
        <v>OK</v>
      </c>
      <c r="Y378" s="61" t="str">
        <f aca="false">IF($R378&gt;=Parametros!$C$12,"Alto",IF($R378&lt;Parametros!$C$13,"Bajo","Medio"))</f>
        <v>Medio</v>
      </c>
      <c r="Z378" s="61" t="n">
        <v>1730</v>
      </c>
      <c r="AA378" s="61" t="str">
        <f aca="false">IF(MATCH($A378,Datos_Origen!$A$2:$A$2459,0)=$Z378,"OK","REVISAR")</f>
        <v>OK</v>
      </c>
      <c r="AB378" s="62" t="n">
        <f aca="false">INDEX(Datos_Origen!$B$2:$B$2459,$Z378)</f>
        <v>45403</v>
      </c>
      <c r="AC378" s="61" t="n">
        <f aca="false">INDEX(Datos_Origen!$H$2:$H$2459,$Z378)</f>
        <v>17</v>
      </c>
      <c r="AD378" s="61" t="str">
        <f aca="false">INDEX(Datos_Origen!$D$2:$D$2459,$Z378)&amp;""</f>
        <v>Mendoza</v>
      </c>
    </row>
    <row r="379" customFormat="false" ht="15" hidden="false" customHeight="false" outlineLevel="0" collapsed="false">
      <c r="A379" s="61" t="n">
        <f aca="false">INDEX(Datos_Origen!$A$2:$A$2459,$Z379)</f>
        <v>378</v>
      </c>
      <c r="B379" s="62" t="n">
        <f aca="false">IF(ISNUMBER($AB379),$AB379,IF(MID($AB379,5,1)="-",DATE(VALUE(LEFT($AB379,4)),VALUE(MID($AB379,6,2)),VALUE(RIGHT($AB379,2))),DATE(VALUE(RIGHT($AB379,4)),VALUE(MID($AB379,4,2)),VALUE(LEFT($AB379,2)))))</f>
        <v>45383</v>
      </c>
      <c r="C379" s="61" t="n">
        <f aca="false">YEAR($B379)</f>
        <v>2024</v>
      </c>
      <c r="D379" s="61" t="str">
        <f aca="false">"Q"&amp;ROUNDUP(MONTH($B379)/3,0)</f>
        <v>Q2</v>
      </c>
      <c r="E379" s="61" t="n">
        <f aca="false">MONTH($B379)</f>
        <v>4</v>
      </c>
      <c r="F379" s="61" t="str">
        <f aca="false">INDEX(Parametros!$I$5:$I$16,$E379)</f>
        <v>Abr</v>
      </c>
      <c r="G379" s="61" t="str">
        <f aca="false">TEXT($C379,"0000")&amp;"-"&amp;TEXT($E379,"00")</f>
        <v>2024-04</v>
      </c>
      <c r="H379" s="61" t="str">
        <f aca="false">INDEX(Parametros!$C$71:$C$91,MATCH(TRIM(INDEX(Datos_Origen!$C$2:$C$2459,$Z379)),Parametros!$B$71:$B$91,0))</f>
        <v>Cuyo</v>
      </c>
      <c r="I379" s="61" t="str">
        <f aca="false">IF(TRIM($AD379)="",INDEX(Parametros!$I$20:$I$24,MATCH($H379,Parametros!$H$20:$H$24,0)),TRIM($AD379))</f>
        <v>Mendoza</v>
      </c>
      <c r="J379" s="61" t="str">
        <f aca="false">INDEX(Parametros!$C$95:$C$106,MATCH(TRIM(INDEX(Datos_Origen!$E$2:$E$2459,$Z379)),Parametros!$B$95:$B$106,0))</f>
        <v>E-commerce</v>
      </c>
      <c r="K379" s="61" t="str">
        <f aca="false">INDEX(Parametros!$C$48:$C$67,MATCH(TRIM(INDEX(Datos_Origen!$F$2:$F$2459,$Z379)),Parametros!$B$48:$B$67,0))</f>
        <v>Almacenamiento</v>
      </c>
      <c r="L379" s="61" t="str">
        <f aca="false">$K379&amp;" "&amp;$C379</f>
        <v>Almacenamiento 2024</v>
      </c>
      <c r="M379" s="61" t="str">
        <f aca="false">TRIM(INDEX(Datos_Origen!$G$2:$G$2459,$Z379))</f>
        <v>SSD Externo 1TB</v>
      </c>
      <c r="N379" s="61" t="str">
        <f aca="false">$M379&amp;" "&amp;$C379</f>
        <v>SSD Externo 1TB 2024</v>
      </c>
      <c r="O379" s="63" t="n">
        <f aca="false">IF(ISTEXT($AC379),VALUE($AC379),$AC379)</f>
        <v>6</v>
      </c>
      <c r="P379" s="64" t="n">
        <f aca="false">INDEX(Datos_Origen!$I$2:$I$2459,$Z379)</f>
        <v>127.4</v>
      </c>
      <c r="Q379" s="64" t="n">
        <f aca="false">INDEX(Datos_Origen!$J$2:$J$2459,$Z379)</f>
        <v>76.05</v>
      </c>
      <c r="R379" s="65" t="n">
        <f aca="false">ROUND($O379*$P379,2)</f>
        <v>764.4</v>
      </c>
      <c r="S379" s="65" t="n">
        <f aca="false">ROUND($O379*$Q379,2)</f>
        <v>456.3</v>
      </c>
      <c r="T379" s="65" t="n">
        <f aca="false">ROUND($R379*SUMIFS(Parametros!$E$28:$E$43,Parametros!$B$28:$B$43,$J379,Parametros!$C$28:$C$43,$C379,Parametros!$D$28:$D$43,$D379),2)</f>
        <v>33.63</v>
      </c>
      <c r="U379" s="65" t="n">
        <f aca="false">$R379-$S379-$T379</f>
        <v>274.47</v>
      </c>
      <c r="V379" s="66" t="n">
        <f aca="false">IFERROR($U379/$R379,0)</f>
        <v>0.359065934065934</v>
      </c>
      <c r="W379" s="67" t="str">
        <f aca="false">IF(AND($V379&gt;=Parametros!$C$8,$R379&gt;=Parametros!$C$12),"Alta rentabilidad",IF(OR($V379&lt;Parametros!$C$11,$R379&lt;Parametros!$C$13),"Revisar","Estandar"))</f>
        <v>Estandar</v>
      </c>
      <c r="X379" s="67" t="str">
        <f aca="false">IF(AND($J379="E-commerce",IFERROR($T379/$R379,0)&gt;Parametros!$C$14),"Alerta","OK")</f>
        <v>OK</v>
      </c>
      <c r="Y379" s="61" t="str">
        <f aca="false">IF($R379&gt;=Parametros!$C$12,"Alto",IF($R379&lt;Parametros!$C$13,"Bajo","Medio"))</f>
        <v>Medio</v>
      </c>
      <c r="Z379" s="61" t="n">
        <v>2272</v>
      </c>
      <c r="AA379" s="61" t="str">
        <f aca="false">IF(MATCH($A379,Datos_Origen!$A$2:$A$2459,0)=$Z379,"OK","REVISAR")</f>
        <v>OK</v>
      </c>
      <c r="AB379" s="62" t="n">
        <f aca="false">INDEX(Datos_Origen!$B$2:$B$2459,$Z379)</f>
        <v>45383</v>
      </c>
      <c r="AC379" s="61" t="n">
        <f aca="false">INDEX(Datos_Origen!$H$2:$H$2459,$Z379)</f>
        <v>6</v>
      </c>
      <c r="AD379" s="61" t="str">
        <f aca="false">INDEX(Datos_Origen!$D$2:$D$2459,$Z379)&amp;""</f>
        <v>Mendoza</v>
      </c>
    </row>
    <row r="380" customFormat="false" ht="15" hidden="false" customHeight="false" outlineLevel="0" collapsed="false">
      <c r="A380" s="61" t="n">
        <f aca="false">INDEX(Datos_Origen!$A$2:$A$2459,$Z380)</f>
        <v>379</v>
      </c>
      <c r="B380" s="62" t="n">
        <f aca="false">IF(ISNUMBER($AB380),$AB380,IF(MID($AB380,5,1)="-",DATE(VALUE(LEFT($AB380,4)),VALUE(MID($AB380,6,2)),VALUE(RIGHT($AB380,2))),DATE(VALUE(RIGHT($AB380,4)),VALUE(MID($AB380,4,2)),VALUE(LEFT($AB380,2)))))</f>
        <v>45390</v>
      </c>
      <c r="C380" s="61" t="n">
        <f aca="false">YEAR($B380)</f>
        <v>2024</v>
      </c>
      <c r="D380" s="61" t="str">
        <f aca="false">"Q"&amp;ROUNDUP(MONTH($B380)/3,0)</f>
        <v>Q2</v>
      </c>
      <c r="E380" s="61" t="n">
        <f aca="false">MONTH($B380)</f>
        <v>4</v>
      </c>
      <c r="F380" s="61" t="str">
        <f aca="false">INDEX(Parametros!$I$5:$I$16,$E380)</f>
        <v>Abr</v>
      </c>
      <c r="G380" s="61" t="str">
        <f aca="false">TEXT($C380,"0000")&amp;"-"&amp;TEXT($E380,"00")</f>
        <v>2024-04</v>
      </c>
      <c r="H380" s="61" t="str">
        <f aca="false">INDEX(Parametros!$C$71:$C$91,MATCH(TRIM(INDEX(Datos_Origen!$C$2:$C$2459,$Z380)),Parametros!$B$71:$B$91,0))</f>
        <v>Cuyo</v>
      </c>
      <c r="I380" s="61" t="str">
        <f aca="false">IF(TRIM($AD380)="",INDEX(Parametros!$I$20:$I$24,MATCH($H380,Parametros!$H$20:$H$24,0)),TRIM($AD380))</f>
        <v>Mendoza</v>
      </c>
      <c r="J380" s="61" t="str">
        <f aca="false">INDEX(Parametros!$C$95:$C$106,MATCH(TRIM(INDEX(Datos_Origen!$E$2:$E$2459,$Z380)),Parametros!$B$95:$B$106,0))</f>
        <v>Tienda fisica</v>
      </c>
      <c r="K380" s="61" t="str">
        <f aca="false">INDEX(Parametros!$C$48:$C$67,MATCH(TRIM(INDEX(Datos_Origen!$F$2:$F$2459,$Z380)),Parametros!$B$48:$B$67,0))</f>
        <v>Almacenamiento</v>
      </c>
      <c r="L380" s="61" t="str">
        <f aca="false">$K380&amp;" "&amp;$C380</f>
        <v>Almacenamiento 2024</v>
      </c>
      <c r="M380" s="61" t="str">
        <f aca="false">TRIM(INDEX(Datos_Origen!$G$2:$G$2459,$Z380))</f>
        <v>Pendrive 256GB</v>
      </c>
      <c r="N380" s="61" t="str">
        <f aca="false">$M380&amp;" "&amp;$C380</f>
        <v>Pendrive 256GB 2024</v>
      </c>
      <c r="O380" s="63" t="n">
        <f aca="false">IF(ISTEXT($AC380),VALUE($AC380),$AC380)</f>
        <v>19</v>
      </c>
      <c r="P380" s="64" t="n">
        <f aca="false">INDEX(Datos_Origen!$I$2:$I$2459,$Z380)</f>
        <v>34.3</v>
      </c>
      <c r="Q380" s="64" t="n">
        <f aca="false">INDEX(Datos_Origen!$J$2:$J$2459,$Z380)</f>
        <v>17.85</v>
      </c>
      <c r="R380" s="65" t="n">
        <f aca="false">ROUND($O380*$P380,2)</f>
        <v>651.7</v>
      </c>
      <c r="S380" s="65" t="n">
        <f aca="false">ROUND($O380*$Q380,2)</f>
        <v>339.15</v>
      </c>
      <c r="T380" s="65" t="n">
        <f aca="false">ROUND($R380*SUMIFS(Parametros!$E$28:$E$43,Parametros!$B$28:$B$43,$J380,Parametros!$C$28:$C$43,$C380,Parametros!$D$28:$D$43,$D380),2)</f>
        <v>7.82</v>
      </c>
      <c r="U380" s="65" t="n">
        <f aca="false">$R380-$S380-$T380</f>
        <v>304.73</v>
      </c>
      <c r="V380" s="66" t="n">
        <f aca="false">IFERROR($U380/$R380,0)</f>
        <v>0.46759245051404</v>
      </c>
      <c r="W380" s="67" t="str">
        <f aca="false">IF(AND($V380&gt;=Parametros!$C$8,$R380&gt;=Parametros!$C$12),"Alta rentabilidad",IF(OR($V380&lt;Parametros!$C$11,$R380&lt;Parametros!$C$13),"Revisar","Estandar"))</f>
        <v>Estandar</v>
      </c>
      <c r="X380" s="67" t="str">
        <f aca="false">IF(AND($J380="E-commerce",IFERROR($T380/$R380,0)&gt;Parametros!$C$14),"Alerta","OK")</f>
        <v>OK</v>
      </c>
      <c r="Y380" s="61" t="str">
        <f aca="false">IF($R380&gt;=Parametros!$C$12,"Alto",IF($R380&lt;Parametros!$C$13,"Bajo","Medio"))</f>
        <v>Medio</v>
      </c>
      <c r="Z380" s="61" t="n">
        <v>997</v>
      </c>
      <c r="AA380" s="61" t="str">
        <f aca="false">IF(MATCH($A380,Datos_Origen!$A$2:$A$2459,0)=$Z380,"OK","REVISAR")</f>
        <v>OK</v>
      </c>
      <c r="AB380" s="61" t="str">
        <f aca="false">INDEX(Datos_Origen!$B$2:$B$2459,$Z380)</f>
        <v>2024-04-08</v>
      </c>
      <c r="AC380" s="61" t="n">
        <f aca="false">INDEX(Datos_Origen!$H$2:$H$2459,$Z380)</f>
        <v>19</v>
      </c>
      <c r="AD380" s="61" t="str">
        <f aca="false">INDEX(Datos_Origen!$D$2:$D$2459,$Z380)&amp;""</f>
        <v>Mendoza</v>
      </c>
    </row>
    <row r="381" customFormat="false" ht="15" hidden="false" customHeight="false" outlineLevel="0" collapsed="false">
      <c r="A381" s="61" t="n">
        <f aca="false">INDEX(Datos_Origen!$A$2:$A$2459,$Z381)</f>
        <v>380</v>
      </c>
      <c r="B381" s="62" t="n">
        <f aca="false">IF(ISNUMBER($AB381),$AB381,IF(MID($AB381,5,1)="-",DATE(VALUE(LEFT($AB381,4)),VALUE(MID($AB381,6,2)),VALUE(RIGHT($AB381,2))),DATE(VALUE(RIGHT($AB381,4)),VALUE(MID($AB381,4,2)),VALUE(LEFT($AB381,2)))))</f>
        <v>45397</v>
      </c>
      <c r="C381" s="61" t="n">
        <f aca="false">YEAR($B381)</f>
        <v>2024</v>
      </c>
      <c r="D381" s="61" t="str">
        <f aca="false">"Q"&amp;ROUNDUP(MONTH($B381)/3,0)</f>
        <v>Q2</v>
      </c>
      <c r="E381" s="61" t="n">
        <f aca="false">MONTH($B381)</f>
        <v>4</v>
      </c>
      <c r="F381" s="61" t="str">
        <f aca="false">INDEX(Parametros!$I$5:$I$16,$E381)</f>
        <v>Abr</v>
      </c>
      <c r="G381" s="61" t="str">
        <f aca="false">TEXT($C381,"0000")&amp;"-"&amp;TEXT($E381,"00")</f>
        <v>2024-04</v>
      </c>
      <c r="H381" s="61" t="str">
        <f aca="false">INDEX(Parametros!$C$71:$C$91,MATCH(TRIM(INDEX(Datos_Origen!$C$2:$C$2459,$Z381)),Parametros!$B$71:$B$91,0))</f>
        <v>Cuyo</v>
      </c>
      <c r="I381" s="61" t="str">
        <f aca="false">IF(TRIM($AD381)="",INDEX(Parametros!$I$20:$I$24,MATCH($H381,Parametros!$H$20:$H$24,0)),TRIM($AD381))</f>
        <v>Mendoza</v>
      </c>
      <c r="J381" s="61" t="str">
        <f aca="false">INDEX(Parametros!$C$95:$C$106,MATCH(TRIM(INDEX(Datos_Origen!$E$2:$E$2459,$Z381)),Parametros!$B$95:$B$106,0))</f>
        <v>E-commerce</v>
      </c>
      <c r="K381" s="61" t="str">
        <f aca="false">INDEX(Parametros!$C$48:$C$67,MATCH(TRIM(INDEX(Datos_Origen!$F$2:$F$2459,$Z381)),Parametros!$B$48:$B$67,0))</f>
        <v>Almacenamiento</v>
      </c>
      <c r="L381" s="61" t="str">
        <f aca="false">$K381&amp;" "&amp;$C381</f>
        <v>Almacenamiento 2024</v>
      </c>
      <c r="M381" s="61" t="str">
        <f aca="false">TRIM(INDEX(Datos_Origen!$G$2:$G$2459,$Z381))</f>
        <v>Pendrive 256GB</v>
      </c>
      <c r="N381" s="61" t="str">
        <f aca="false">$M381&amp;" "&amp;$C381</f>
        <v>Pendrive 256GB 2024</v>
      </c>
      <c r="O381" s="63" t="n">
        <f aca="false">IF(ISTEXT($AC381),VALUE($AC381),$AC381)</f>
        <v>7</v>
      </c>
      <c r="P381" s="64" t="n">
        <f aca="false">INDEX(Datos_Origen!$I$2:$I$2459,$Z381)</f>
        <v>34.3</v>
      </c>
      <c r="Q381" s="64" t="n">
        <f aca="false">INDEX(Datos_Origen!$J$2:$J$2459,$Z381)</f>
        <v>17.85</v>
      </c>
      <c r="R381" s="65" t="n">
        <f aca="false">ROUND($O381*$P381,2)</f>
        <v>240.1</v>
      </c>
      <c r="S381" s="65" t="n">
        <f aca="false">ROUND($O381*$Q381,2)</f>
        <v>124.95</v>
      </c>
      <c r="T381" s="65" t="n">
        <f aca="false">ROUND($R381*SUMIFS(Parametros!$E$28:$E$43,Parametros!$B$28:$B$43,$J381,Parametros!$C$28:$C$43,$C381,Parametros!$D$28:$D$43,$D381),2)</f>
        <v>10.56</v>
      </c>
      <c r="U381" s="65" t="n">
        <f aca="false">$R381-$S381-$T381</f>
        <v>104.59</v>
      </c>
      <c r="V381" s="66" t="n">
        <f aca="false">IFERROR($U381/$R381,0)</f>
        <v>0.43561016243232</v>
      </c>
      <c r="W381" s="67" t="str">
        <f aca="false">IF(AND($V381&gt;=Parametros!$C$8,$R381&gt;=Parametros!$C$12),"Alta rentabilidad",IF(OR($V381&lt;Parametros!$C$11,$R381&lt;Parametros!$C$13),"Revisar","Estandar"))</f>
        <v>Revisar</v>
      </c>
      <c r="X381" s="67" t="str">
        <f aca="false">IF(AND($J381="E-commerce",IFERROR($T381/$R381,0)&gt;Parametros!$C$14),"Alerta","OK")</f>
        <v>OK</v>
      </c>
      <c r="Y381" s="61" t="str">
        <f aca="false">IF($R381&gt;=Parametros!$C$12,"Alto",IF($R381&lt;Parametros!$C$13,"Bajo","Medio"))</f>
        <v>Bajo</v>
      </c>
      <c r="Z381" s="61" t="n">
        <v>2052</v>
      </c>
      <c r="AA381" s="61" t="str">
        <f aca="false">IF(MATCH($A381,Datos_Origen!$A$2:$A$2459,0)=$Z381,"OK","REVISAR")</f>
        <v>OK</v>
      </c>
      <c r="AB381" s="62" t="n">
        <f aca="false">INDEX(Datos_Origen!$B$2:$B$2459,$Z381)</f>
        <v>45397</v>
      </c>
      <c r="AC381" s="61" t="n">
        <f aca="false">INDEX(Datos_Origen!$H$2:$H$2459,$Z381)</f>
        <v>7</v>
      </c>
      <c r="AD381" s="61" t="str">
        <f aca="false">INDEX(Datos_Origen!$D$2:$D$2459,$Z381)&amp;""</f>
        <v>Mendoza</v>
      </c>
    </row>
    <row r="382" customFormat="false" ht="15" hidden="false" customHeight="false" outlineLevel="0" collapsed="false">
      <c r="A382" s="61" t="n">
        <f aca="false">INDEX(Datos_Origen!$A$2:$A$2459,$Z382)</f>
        <v>381</v>
      </c>
      <c r="B382" s="62" t="n">
        <f aca="false">IF(ISNUMBER($AB382),$AB382,IF(MID($AB382,5,1)="-",DATE(VALUE(LEFT($AB382,4)),VALUE(MID($AB382,6,2)),VALUE(RIGHT($AB382,2))),DATE(VALUE(RIGHT($AB382,4)),VALUE(MID($AB382,4,2)),VALUE(LEFT($AB382,2)))))</f>
        <v>45404</v>
      </c>
      <c r="C382" s="61" t="n">
        <f aca="false">YEAR($B382)</f>
        <v>2024</v>
      </c>
      <c r="D382" s="61" t="str">
        <f aca="false">"Q"&amp;ROUNDUP(MONTH($B382)/3,0)</f>
        <v>Q2</v>
      </c>
      <c r="E382" s="61" t="n">
        <f aca="false">MONTH($B382)</f>
        <v>4</v>
      </c>
      <c r="F382" s="61" t="str">
        <f aca="false">INDEX(Parametros!$I$5:$I$16,$E382)</f>
        <v>Abr</v>
      </c>
      <c r="G382" s="61" t="str">
        <f aca="false">TEXT($C382,"0000")&amp;"-"&amp;TEXT($E382,"00")</f>
        <v>2024-04</v>
      </c>
      <c r="H382" s="61" t="str">
        <f aca="false">INDEX(Parametros!$C$71:$C$91,MATCH(TRIM(INDEX(Datos_Origen!$C$2:$C$2459,$Z382)),Parametros!$B$71:$B$91,0))</f>
        <v>NOA</v>
      </c>
      <c r="I382" s="61" t="str">
        <f aca="false">IF(TRIM($AD382)="",INDEX(Parametros!$I$20:$I$24,MATCH($H382,Parametros!$H$20:$H$24,0)),TRIM($AD382))</f>
        <v>Tucuman</v>
      </c>
      <c r="J382" s="61" t="str">
        <f aca="false">INDEX(Parametros!$C$95:$C$106,MATCH(TRIM(INDEX(Datos_Origen!$E$2:$E$2459,$Z382)),Parametros!$B$95:$B$106,0))</f>
        <v>Tienda fisica</v>
      </c>
      <c r="K382" s="61" t="str">
        <f aca="false">INDEX(Parametros!$C$48:$C$67,MATCH(TRIM(INDEX(Datos_Origen!$F$2:$F$2459,$Z382)),Parametros!$B$48:$B$67,0))</f>
        <v>Computacion</v>
      </c>
      <c r="L382" s="61" t="str">
        <f aca="false">$K382&amp;" "&amp;$C382</f>
        <v>Computacion 2024</v>
      </c>
      <c r="M382" s="61" t="str">
        <f aca="false">TRIM(INDEX(Datos_Origen!$G$2:$G$2459,$Z382))</f>
        <v>Laptop Pro 15</v>
      </c>
      <c r="N382" s="61" t="str">
        <f aca="false">$M382&amp;" "&amp;$C382</f>
        <v>Laptop Pro 15 2024</v>
      </c>
      <c r="O382" s="63" t="n">
        <f aca="false">IF(ISTEXT($AC382),VALUE($AC382),$AC382)</f>
        <v>5</v>
      </c>
      <c r="P382" s="64" t="n">
        <f aca="false">INDEX(Datos_Origen!$I$2:$I$2459,$Z382)</f>
        <v>1176</v>
      </c>
      <c r="Q382" s="64" t="n">
        <f aca="false">INDEX(Datos_Origen!$J$2:$J$2459,$Z382)</f>
        <v>744</v>
      </c>
      <c r="R382" s="65" t="n">
        <f aca="false">ROUND($O382*$P382,2)</f>
        <v>5880</v>
      </c>
      <c r="S382" s="65" t="n">
        <f aca="false">ROUND($O382*$Q382,2)</f>
        <v>3720</v>
      </c>
      <c r="T382" s="65" t="n">
        <f aca="false">ROUND($R382*SUMIFS(Parametros!$E$28:$E$43,Parametros!$B$28:$B$43,$J382,Parametros!$C$28:$C$43,$C382,Parametros!$D$28:$D$43,$D382),2)</f>
        <v>70.56</v>
      </c>
      <c r="U382" s="65" t="n">
        <f aca="false">$R382-$S382-$T382</f>
        <v>2089.44</v>
      </c>
      <c r="V382" s="66" t="n">
        <f aca="false">IFERROR($U382/$R382,0)</f>
        <v>0.35534693877551</v>
      </c>
      <c r="W382" s="67" t="str">
        <f aca="false">IF(AND($V382&gt;=Parametros!$C$8,$R382&gt;=Parametros!$C$12),"Alta rentabilidad",IF(OR($V382&lt;Parametros!$C$11,$R382&lt;Parametros!$C$13),"Revisar","Estandar"))</f>
        <v>Alta rentabilidad</v>
      </c>
      <c r="X382" s="67" t="str">
        <f aca="false">IF(AND($J382="E-commerce",IFERROR($T382/$R382,0)&gt;Parametros!$C$14),"Alerta","OK")</f>
        <v>OK</v>
      </c>
      <c r="Y382" s="61" t="str">
        <f aca="false">IF($R382&gt;=Parametros!$C$12,"Alto",IF($R382&lt;Parametros!$C$13,"Bajo","Medio"))</f>
        <v>Alto</v>
      </c>
      <c r="Z382" s="61" t="n">
        <v>1968</v>
      </c>
      <c r="AA382" s="61" t="str">
        <f aca="false">IF(MATCH($A382,Datos_Origen!$A$2:$A$2459,0)=$Z382,"OK","REVISAR")</f>
        <v>OK</v>
      </c>
      <c r="AB382" s="61" t="str">
        <f aca="false">INDEX(Datos_Origen!$B$2:$B$2459,$Z382)</f>
        <v>22/04/2024</v>
      </c>
      <c r="AC382" s="61" t="n">
        <f aca="false">INDEX(Datos_Origen!$H$2:$H$2459,$Z382)</f>
        <v>5</v>
      </c>
      <c r="AD382" s="61" t="str">
        <f aca="false">INDEX(Datos_Origen!$D$2:$D$2459,$Z382)&amp;""</f>
        <v>Tucuman</v>
      </c>
    </row>
    <row r="383" customFormat="false" ht="15" hidden="false" customHeight="false" outlineLevel="0" collapsed="false">
      <c r="A383" s="61" t="n">
        <f aca="false">INDEX(Datos_Origen!$A$2:$A$2459,$Z383)</f>
        <v>382</v>
      </c>
      <c r="B383" s="62" t="n">
        <f aca="false">IF(ISNUMBER($AB383),$AB383,IF(MID($AB383,5,1)="-",DATE(VALUE(LEFT($AB383,4)),VALUE(MID($AB383,6,2)),VALUE(RIGHT($AB383,2))),DATE(VALUE(RIGHT($AB383,4)),VALUE(MID($AB383,4,2)),VALUE(LEFT($AB383,2)))))</f>
        <v>45384</v>
      </c>
      <c r="C383" s="61" t="n">
        <f aca="false">YEAR($B383)</f>
        <v>2024</v>
      </c>
      <c r="D383" s="61" t="str">
        <f aca="false">"Q"&amp;ROUNDUP(MONTH($B383)/3,0)</f>
        <v>Q2</v>
      </c>
      <c r="E383" s="61" t="n">
        <f aca="false">MONTH($B383)</f>
        <v>4</v>
      </c>
      <c r="F383" s="61" t="str">
        <f aca="false">INDEX(Parametros!$I$5:$I$16,$E383)</f>
        <v>Abr</v>
      </c>
      <c r="G383" s="61" t="str">
        <f aca="false">TEXT($C383,"0000")&amp;"-"&amp;TEXT($E383,"00")</f>
        <v>2024-04</v>
      </c>
      <c r="H383" s="61" t="str">
        <f aca="false">INDEX(Parametros!$C$71:$C$91,MATCH(TRIM(INDEX(Datos_Origen!$C$2:$C$2459,$Z383)),Parametros!$B$71:$B$91,0))</f>
        <v>NOA</v>
      </c>
      <c r="I383" s="61" t="str">
        <f aca="false">IF(TRIM($AD383)="",INDEX(Parametros!$I$20:$I$24,MATCH($H383,Parametros!$H$20:$H$24,0)),TRIM($AD383))</f>
        <v>Tucuman</v>
      </c>
      <c r="J383" s="61" t="str">
        <f aca="false">INDEX(Parametros!$C$95:$C$106,MATCH(TRIM(INDEX(Datos_Origen!$E$2:$E$2459,$Z383)),Parametros!$B$95:$B$106,0))</f>
        <v>E-commerce</v>
      </c>
      <c r="K383" s="61" t="str">
        <f aca="false">INDEX(Parametros!$C$48:$C$67,MATCH(TRIM(INDEX(Datos_Origen!$F$2:$F$2459,$Z383)),Parametros!$B$48:$B$67,0))</f>
        <v>Computacion</v>
      </c>
      <c r="L383" s="61" t="str">
        <f aca="false">$K383&amp;" "&amp;$C383</f>
        <v>Computacion 2024</v>
      </c>
      <c r="M383" s="61" t="str">
        <f aca="false">TRIM(INDEX(Datos_Origen!$G$2:$G$2459,$Z383))</f>
        <v>Laptop Pro 15</v>
      </c>
      <c r="N383" s="61" t="str">
        <f aca="false">$M383&amp;" "&amp;$C383</f>
        <v>Laptop Pro 15 2024</v>
      </c>
      <c r="O383" s="63" t="n">
        <f aca="false">IF(ISTEXT($AC383),VALUE($AC383),$AC383)</f>
        <v>2</v>
      </c>
      <c r="P383" s="64" t="n">
        <f aca="false">INDEX(Datos_Origen!$I$2:$I$2459,$Z383)</f>
        <v>1176</v>
      </c>
      <c r="Q383" s="64" t="n">
        <f aca="false">INDEX(Datos_Origen!$J$2:$J$2459,$Z383)</f>
        <v>744</v>
      </c>
      <c r="R383" s="65" t="n">
        <f aca="false">ROUND($O383*$P383,2)</f>
        <v>2352</v>
      </c>
      <c r="S383" s="65" t="n">
        <f aca="false">ROUND($O383*$Q383,2)</f>
        <v>1488</v>
      </c>
      <c r="T383" s="65" t="n">
        <f aca="false">ROUND($R383*SUMIFS(Parametros!$E$28:$E$43,Parametros!$B$28:$B$43,$J383,Parametros!$C$28:$C$43,$C383,Parametros!$D$28:$D$43,$D383),2)</f>
        <v>103.49</v>
      </c>
      <c r="U383" s="65" t="n">
        <f aca="false">$R383-$S383-$T383</f>
        <v>760.51</v>
      </c>
      <c r="V383" s="66" t="n">
        <f aca="false">IFERROR($U383/$R383,0)</f>
        <v>0.323346088435374</v>
      </c>
      <c r="W383" s="67" t="str">
        <f aca="false">IF(AND($V383&gt;=Parametros!$C$8,$R383&gt;=Parametros!$C$12),"Alta rentabilidad",IF(OR($V383&lt;Parametros!$C$11,$R383&lt;Parametros!$C$13),"Revisar","Estandar"))</f>
        <v>Estandar</v>
      </c>
      <c r="X383" s="67" t="str">
        <f aca="false">IF(AND($J383="E-commerce",IFERROR($T383/$R383,0)&gt;Parametros!$C$14),"Alerta","OK")</f>
        <v>OK</v>
      </c>
      <c r="Y383" s="61" t="str">
        <f aca="false">IF($R383&gt;=Parametros!$C$12,"Alto",IF($R383&lt;Parametros!$C$13,"Bajo","Medio"))</f>
        <v>Medio</v>
      </c>
      <c r="Z383" s="61" t="n">
        <v>2414</v>
      </c>
      <c r="AA383" s="61" t="str">
        <f aca="false">IF(MATCH($A383,Datos_Origen!$A$2:$A$2459,0)=$Z383,"OK","REVISAR")</f>
        <v>OK</v>
      </c>
      <c r="AB383" s="61" t="str">
        <f aca="false">INDEX(Datos_Origen!$B$2:$B$2459,$Z383)</f>
        <v>02/04/2024</v>
      </c>
      <c r="AC383" s="61" t="n">
        <f aca="false">INDEX(Datos_Origen!$H$2:$H$2459,$Z383)</f>
        <v>2</v>
      </c>
      <c r="AD383" s="61" t="str">
        <f aca="false">INDEX(Datos_Origen!$D$2:$D$2459,$Z383)&amp;""</f>
        <v>Tucuman</v>
      </c>
    </row>
    <row r="384" customFormat="false" ht="15" hidden="false" customHeight="false" outlineLevel="0" collapsed="false">
      <c r="A384" s="61" t="n">
        <f aca="false">INDEX(Datos_Origen!$A$2:$A$2459,$Z384)</f>
        <v>383</v>
      </c>
      <c r="B384" s="62" t="n">
        <f aca="false">IF(ISNUMBER($AB384),$AB384,IF(MID($AB384,5,1)="-",DATE(VALUE(LEFT($AB384,4)),VALUE(MID($AB384,6,2)),VALUE(RIGHT($AB384,2))),DATE(VALUE(RIGHT($AB384,4)),VALUE(MID($AB384,4,2)),VALUE(LEFT($AB384,2)))))</f>
        <v>45391</v>
      </c>
      <c r="C384" s="61" t="n">
        <f aca="false">YEAR($B384)</f>
        <v>2024</v>
      </c>
      <c r="D384" s="61" t="str">
        <f aca="false">"Q"&amp;ROUNDUP(MONTH($B384)/3,0)</f>
        <v>Q2</v>
      </c>
      <c r="E384" s="61" t="n">
        <f aca="false">MONTH($B384)</f>
        <v>4</v>
      </c>
      <c r="F384" s="61" t="str">
        <f aca="false">INDEX(Parametros!$I$5:$I$16,$E384)</f>
        <v>Abr</v>
      </c>
      <c r="G384" s="61" t="str">
        <f aca="false">TEXT($C384,"0000")&amp;"-"&amp;TEXT($E384,"00")</f>
        <v>2024-04</v>
      </c>
      <c r="H384" s="61" t="str">
        <f aca="false">INDEX(Parametros!$C$71:$C$91,MATCH(TRIM(INDEX(Datos_Origen!$C$2:$C$2459,$Z384)),Parametros!$B$71:$B$91,0))</f>
        <v>NOA</v>
      </c>
      <c r="I384" s="61" t="str">
        <f aca="false">IF(TRIM($AD384)="",INDEX(Parametros!$I$20:$I$24,MATCH($H384,Parametros!$H$20:$H$24,0)),TRIM($AD384))</f>
        <v>Tucuman</v>
      </c>
      <c r="J384" s="61" t="str">
        <f aca="false">INDEX(Parametros!$C$95:$C$106,MATCH(TRIM(INDEX(Datos_Origen!$E$2:$E$2459,$Z384)),Parametros!$B$95:$B$106,0))</f>
        <v>Tienda fisica</v>
      </c>
      <c r="K384" s="61" t="str">
        <f aca="false">INDEX(Parametros!$C$48:$C$67,MATCH(TRIM(INDEX(Datos_Origen!$F$2:$F$2459,$Z384)),Parametros!$B$48:$B$67,0))</f>
        <v>Computacion</v>
      </c>
      <c r="L384" s="61" t="str">
        <f aca="false">$K384&amp;" "&amp;$C384</f>
        <v>Computacion 2024</v>
      </c>
      <c r="M384" s="61" t="str">
        <f aca="false">TRIM(INDEX(Datos_Origen!$G$2:$G$2459,$Z384))</f>
        <v>Monitor 4K 27</v>
      </c>
      <c r="N384" s="61" t="str">
        <f aca="false">$M384&amp;" "&amp;$C384</f>
        <v>Monitor 4K 27 2024</v>
      </c>
      <c r="O384" s="63" t="n">
        <f aca="false">IF(ISTEXT($AC384),VALUE($AC384),$AC384)</f>
        <v>6</v>
      </c>
      <c r="P384" s="64" t="n">
        <f aca="false">INDEX(Datos_Origen!$I$2:$I$2459,$Z384)</f>
        <v>441</v>
      </c>
      <c r="Q384" s="64" t="n">
        <f aca="false">INDEX(Datos_Origen!$J$2:$J$2459,$Z384)</f>
        <v>272.25</v>
      </c>
      <c r="R384" s="65" t="n">
        <f aca="false">ROUND($O384*$P384,2)</f>
        <v>2646</v>
      </c>
      <c r="S384" s="65" t="n">
        <f aca="false">ROUND($O384*$Q384,2)</f>
        <v>1633.5</v>
      </c>
      <c r="T384" s="65" t="n">
        <f aca="false">ROUND($R384*SUMIFS(Parametros!$E$28:$E$43,Parametros!$B$28:$B$43,$J384,Parametros!$C$28:$C$43,$C384,Parametros!$D$28:$D$43,$D384),2)</f>
        <v>31.75</v>
      </c>
      <c r="U384" s="65" t="n">
        <f aca="false">$R384-$S384-$T384</f>
        <v>980.75</v>
      </c>
      <c r="V384" s="66" t="n">
        <f aca="false">IFERROR($U384/$R384,0)</f>
        <v>0.370653817082389</v>
      </c>
      <c r="W384" s="67" t="str">
        <f aca="false">IF(AND($V384&gt;=Parametros!$C$8,$R384&gt;=Parametros!$C$12),"Alta rentabilidad",IF(OR($V384&lt;Parametros!$C$11,$R384&lt;Parametros!$C$13),"Revisar","Estandar"))</f>
        <v>Estandar</v>
      </c>
      <c r="X384" s="67" t="str">
        <f aca="false">IF(AND($J384="E-commerce",IFERROR($T384/$R384,0)&gt;Parametros!$C$14),"Alerta","OK")</f>
        <v>OK</v>
      </c>
      <c r="Y384" s="61" t="str">
        <f aca="false">IF($R384&gt;=Parametros!$C$12,"Alto",IF($R384&lt;Parametros!$C$13,"Bajo","Medio"))</f>
        <v>Medio</v>
      </c>
      <c r="Z384" s="61" t="n">
        <v>1191</v>
      </c>
      <c r="AA384" s="61" t="str">
        <f aca="false">IF(MATCH($A384,Datos_Origen!$A$2:$A$2459,0)=$Z384,"OK","REVISAR")</f>
        <v>OK</v>
      </c>
      <c r="AB384" s="62" t="n">
        <f aca="false">INDEX(Datos_Origen!$B$2:$B$2459,$Z384)</f>
        <v>45391</v>
      </c>
      <c r="AC384" s="61" t="n">
        <f aca="false">INDEX(Datos_Origen!$H$2:$H$2459,$Z384)</f>
        <v>6</v>
      </c>
      <c r="AD384" s="61" t="str">
        <f aca="false">INDEX(Datos_Origen!$D$2:$D$2459,$Z384)&amp;""</f>
        <v>Tucuman</v>
      </c>
    </row>
    <row r="385" customFormat="false" ht="15" hidden="false" customHeight="false" outlineLevel="0" collapsed="false">
      <c r="A385" s="61" t="n">
        <f aca="false">INDEX(Datos_Origen!$A$2:$A$2459,$Z385)</f>
        <v>384</v>
      </c>
      <c r="B385" s="62" t="n">
        <f aca="false">IF(ISNUMBER($AB385),$AB385,IF(MID($AB385,5,1)="-",DATE(VALUE(LEFT($AB385,4)),VALUE(MID($AB385,6,2)),VALUE(RIGHT($AB385,2))),DATE(VALUE(RIGHT($AB385,4)),VALUE(MID($AB385,4,2)),VALUE(LEFT($AB385,2)))))</f>
        <v>45398</v>
      </c>
      <c r="C385" s="61" t="n">
        <f aca="false">YEAR($B385)</f>
        <v>2024</v>
      </c>
      <c r="D385" s="61" t="str">
        <f aca="false">"Q"&amp;ROUNDUP(MONTH($B385)/3,0)</f>
        <v>Q2</v>
      </c>
      <c r="E385" s="61" t="n">
        <f aca="false">MONTH($B385)</f>
        <v>4</v>
      </c>
      <c r="F385" s="61" t="str">
        <f aca="false">INDEX(Parametros!$I$5:$I$16,$E385)</f>
        <v>Abr</v>
      </c>
      <c r="G385" s="61" t="str">
        <f aca="false">TEXT($C385,"0000")&amp;"-"&amp;TEXT($E385,"00")</f>
        <v>2024-04</v>
      </c>
      <c r="H385" s="61" t="str">
        <f aca="false">INDEX(Parametros!$C$71:$C$91,MATCH(TRIM(INDEX(Datos_Origen!$C$2:$C$2459,$Z385)),Parametros!$B$71:$B$91,0))</f>
        <v>NOA</v>
      </c>
      <c r="I385" s="61" t="str">
        <f aca="false">IF(TRIM($AD385)="",INDEX(Parametros!$I$20:$I$24,MATCH($H385,Parametros!$H$20:$H$24,0)),TRIM($AD385))</f>
        <v>Tucuman</v>
      </c>
      <c r="J385" s="61" t="str">
        <f aca="false">INDEX(Parametros!$C$95:$C$106,MATCH(TRIM(INDEX(Datos_Origen!$E$2:$E$2459,$Z385)),Parametros!$B$95:$B$106,0))</f>
        <v>E-commerce</v>
      </c>
      <c r="K385" s="61" t="str">
        <f aca="false">INDEX(Parametros!$C$48:$C$67,MATCH(TRIM(INDEX(Datos_Origen!$F$2:$F$2459,$Z385)),Parametros!$B$48:$B$67,0))</f>
        <v>Computacion</v>
      </c>
      <c r="L385" s="61" t="str">
        <f aca="false">$K385&amp;" "&amp;$C385</f>
        <v>Computacion 2024</v>
      </c>
      <c r="M385" s="61" t="str">
        <f aca="false">TRIM(INDEX(Datos_Origen!$G$2:$G$2459,$Z385))</f>
        <v>Monitor 4K 27</v>
      </c>
      <c r="N385" s="61" t="str">
        <f aca="false">$M385&amp;" "&amp;$C385</f>
        <v>Monitor 4K 27 2024</v>
      </c>
      <c r="O385" s="63" t="n">
        <f aca="false">IF(ISTEXT($AC385),VALUE($AC385),$AC385)</f>
        <v>3</v>
      </c>
      <c r="P385" s="64" t="n">
        <f aca="false">INDEX(Datos_Origen!$I$2:$I$2459,$Z385)</f>
        <v>441</v>
      </c>
      <c r="Q385" s="64" t="n">
        <f aca="false">INDEX(Datos_Origen!$J$2:$J$2459,$Z385)</f>
        <v>272.25</v>
      </c>
      <c r="R385" s="65" t="n">
        <f aca="false">ROUND($O385*$P385,2)</f>
        <v>1323</v>
      </c>
      <c r="S385" s="65" t="n">
        <f aca="false">ROUND($O385*$Q385,2)</f>
        <v>816.75</v>
      </c>
      <c r="T385" s="65" t="n">
        <f aca="false">ROUND($R385*SUMIFS(Parametros!$E$28:$E$43,Parametros!$B$28:$B$43,$J385,Parametros!$C$28:$C$43,$C385,Parametros!$D$28:$D$43,$D385),2)</f>
        <v>58.21</v>
      </c>
      <c r="U385" s="65" t="n">
        <f aca="false">$R385-$S385-$T385</f>
        <v>448.04</v>
      </c>
      <c r="V385" s="66" t="n">
        <f aca="false">IFERROR($U385/$R385,0)</f>
        <v>0.338654572940287</v>
      </c>
      <c r="W385" s="67" t="str">
        <f aca="false">IF(AND($V385&gt;=Parametros!$C$8,$R385&gt;=Parametros!$C$12),"Alta rentabilidad",IF(OR($V385&lt;Parametros!$C$11,$R385&lt;Parametros!$C$13),"Revisar","Estandar"))</f>
        <v>Estandar</v>
      </c>
      <c r="X385" s="67" t="str">
        <f aca="false">IF(AND($J385="E-commerce",IFERROR($T385/$R385,0)&gt;Parametros!$C$14),"Alerta","OK")</f>
        <v>OK</v>
      </c>
      <c r="Y385" s="61" t="str">
        <f aca="false">IF($R385&gt;=Parametros!$C$12,"Alto",IF($R385&lt;Parametros!$C$13,"Bajo","Medio"))</f>
        <v>Medio</v>
      </c>
      <c r="Z385" s="61" t="n">
        <v>1280</v>
      </c>
      <c r="AA385" s="61" t="str">
        <f aca="false">IF(MATCH($A385,Datos_Origen!$A$2:$A$2459,0)=$Z385,"OK","REVISAR")</f>
        <v>OK</v>
      </c>
      <c r="AB385" s="62" t="n">
        <f aca="false">INDEX(Datos_Origen!$B$2:$B$2459,$Z385)</f>
        <v>45398</v>
      </c>
      <c r="AC385" s="61" t="n">
        <f aca="false">INDEX(Datos_Origen!$H$2:$H$2459,$Z385)</f>
        <v>3</v>
      </c>
      <c r="AD385" s="61" t="str">
        <f aca="false">INDEX(Datos_Origen!$D$2:$D$2459,$Z385)&amp;""</f>
        <v>Tucuman</v>
      </c>
    </row>
    <row r="386" customFormat="false" ht="15" hidden="false" customHeight="false" outlineLevel="0" collapsed="false">
      <c r="A386" s="61" t="n">
        <f aca="false">INDEX(Datos_Origen!$A$2:$A$2459,$Z386)</f>
        <v>385</v>
      </c>
      <c r="B386" s="62" t="n">
        <f aca="false">IF(ISNUMBER($AB386),$AB386,IF(MID($AB386,5,1)="-",DATE(VALUE(LEFT($AB386,4)),VALUE(MID($AB386,6,2)),VALUE(RIGHT($AB386,2))),DATE(VALUE(RIGHT($AB386,4)),VALUE(MID($AB386,4,2)),VALUE(LEFT($AB386,2)))))</f>
        <v>45405</v>
      </c>
      <c r="C386" s="61" t="n">
        <f aca="false">YEAR($B386)</f>
        <v>2024</v>
      </c>
      <c r="D386" s="61" t="str">
        <f aca="false">"Q"&amp;ROUNDUP(MONTH($B386)/3,0)</f>
        <v>Q2</v>
      </c>
      <c r="E386" s="61" t="n">
        <f aca="false">MONTH($B386)</f>
        <v>4</v>
      </c>
      <c r="F386" s="61" t="str">
        <f aca="false">INDEX(Parametros!$I$5:$I$16,$E386)</f>
        <v>Abr</v>
      </c>
      <c r="G386" s="61" t="str">
        <f aca="false">TEXT($C386,"0000")&amp;"-"&amp;TEXT($E386,"00")</f>
        <v>2024-04</v>
      </c>
      <c r="H386" s="61" t="str">
        <f aca="false">INDEX(Parametros!$C$71:$C$91,MATCH(TRIM(INDEX(Datos_Origen!$C$2:$C$2459,$Z386)),Parametros!$B$71:$B$91,0))</f>
        <v>NOA</v>
      </c>
      <c r="I386" s="61" t="str">
        <f aca="false">IF(TRIM($AD386)="",INDEX(Parametros!$I$20:$I$24,MATCH($H386,Parametros!$H$20:$H$24,0)),TRIM($AD386))</f>
        <v>Tucuman</v>
      </c>
      <c r="J386" s="61" t="str">
        <f aca="false">INDEX(Parametros!$C$95:$C$106,MATCH(TRIM(INDEX(Datos_Origen!$E$2:$E$2459,$Z386)),Parametros!$B$95:$B$106,0))</f>
        <v>Tienda fisica</v>
      </c>
      <c r="K386" s="61" t="str">
        <f aca="false">INDEX(Parametros!$C$48:$C$67,MATCH(TRIM(INDEX(Datos_Origen!$F$2:$F$2459,$Z386)),Parametros!$B$48:$B$67,0))</f>
        <v>Computacion</v>
      </c>
      <c r="L386" s="61" t="str">
        <f aca="false">$K386&amp;" "&amp;$C386</f>
        <v>Computacion 2024</v>
      </c>
      <c r="M386" s="61" t="str">
        <f aca="false">TRIM(INDEX(Datos_Origen!$G$2:$G$2459,$Z386))</f>
        <v>PC Gamer Ryzen</v>
      </c>
      <c r="N386" s="61" t="str">
        <f aca="false">$M386&amp;" "&amp;$C386</f>
        <v>PC Gamer Ryzen 2024</v>
      </c>
      <c r="O386" s="63" t="n">
        <f aca="false">IF(ISTEXT($AC386),VALUE($AC386),$AC386)</f>
        <v>6</v>
      </c>
      <c r="P386" s="64" t="n">
        <f aca="false">INDEX(Datos_Origen!$I$2:$I$2459,$Z386)</f>
        <v>1617</v>
      </c>
      <c r="Q386" s="64" t="n">
        <f aca="false">INDEX(Datos_Origen!$J$2:$J$2459,$Z386)</f>
        <v>1122</v>
      </c>
      <c r="R386" s="65" t="n">
        <f aca="false">ROUND($O386*$P386,2)</f>
        <v>9702</v>
      </c>
      <c r="S386" s="65" t="n">
        <f aca="false">ROUND($O386*$Q386,2)</f>
        <v>6732</v>
      </c>
      <c r="T386" s="65" t="n">
        <f aca="false">ROUND($R386*SUMIFS(Parametros!$E$28:$E$43,Parametros!$B$28:$B$43,$J386,Parametros!$C$28:$C$43,$C386,Parametros!$D$28:$D$43,$D386),2)</f>
        <v>116.42</v>
      </c>
      <c r="U386" s="65" t="n">
        <f aca="false">$R386-$S386-$T386</f>
        <v>2853.58</v>
      </c>
      <c r="V386" s="66" t="n">
        <f aca="false">IFERROR($U386/$R386,0)</f>
        <v>0.294122861265718</v>
      </c>
      <c r="W386" s="67" t="str">
        <f aca="false">IF(AND($V386&gt;=Parametros!$C$8,$R386&gt;=Parametros!$C$12),"Alta rentabilidad",IF(OR($V386&lt;Parametros!$C$11,$R386&lt;Parametros!$C$13),"Revisar","Estandar"))</f>
        <v>Estandar</v>
      </c>
      <c r="X386" s="67" t="str">
        <f aca="false">IF(AND($J386="E-commerce",IFERROR($T386/$R386,0)&gt;Parametros!$C$14),"Alerta","OK")</f>
        <v>OK</v>
      </c>
      <c r="Y386" s="61" t="str">
        <f aca="false">IF($R386&gt;=Parametros!$C$12,"Alto",IF($R386&lt;Parametros!$C$13,"Bajo","Medio"))</f>
        <v>Alto</v>
      </c>
      <c r="Z386" s="61" t="n">
        <v>895</v>
      </c>
      <c r="AA386" s="61" t="str">
        <f aca="false">IF(MATCH($A386,Datos_Origen!$A$2:$A$2459,0)=$Z386,"OK","REVISAR")</f>
        <v>OK</v>
      </c>
      <c r="AB386" s="61" t="str">
        <f aca="false">INDEX(Datos_Origen!$B$2:$B$2459,$Z386)</f>
        <v>23/04/2024</v>
      </c>
      <c r="AC386" s="61" t="n">
        <f aca="false">INDEX(Datos_Origen!$H$2:$H$2459,$Z386)</f>
        <v>6</v>
      </c>
      <c r="AD386" s="61" t="str">
        <f aca="false">INDEX(Datos_Origen!$D$2:$D$2459,$Z386)&amp;""</f>
        <v>Tucuman</v>
      </c>
    </row>
    <row r="387" customFormat="false" ht="15" hidden="false" customHeight="false" outlineLevel="0" collapsed="false">
      <c r="A387" s="61" t="n">
        <f aca="false">INDEX(Datos_Origen!$A$2:$A$2459,$Z387)</f>
        <v>386</v>
      </c>
      <c r="B387" s="62" t="n">
        <f aca="false">IF(ISNUMBER($AB387),$AB387,IF(MID($AB387,5,1)="-",DATE(VALUE(LEFT($AB387,4)),VALUE(MID($AB387,6,2)),VALUE(RIGHT($AB387,2))),DATE(VALUE(RIGHT($AB387,4)),VALUE(MID($AB387,4,2)),VALUE(LEFT($AB387,2)))))</f>
        <v>45385</v>
      </c>
      <c r="C387" s="61" t="n">
        <f aca="false">YEAR($B387)</f>
        <v>2024</v>
      </c>
      <c r="D387" s="61" t="str">
        <f aca="false">"Q"&amp;ROUNDUP(MONTH($B387)/3,0)</f>
        <v>Q2</v>
      </c>
      <c r="E387" s="61" t="n">
        <f aca="false">MONTH($B387)</f>
        <v>4</v>
      </c>
      <c r="F387" s="61" t="str">
        <f aca="false">INDEX(Parametros!$I$5:$I$16,$E387)</f>
        <v>Abr</v>
      </c>
      <c r="G387" s="61" t="str">
        <f aca="false">TEXT($C387,"0000")&amp;"-"&amp;TEXT($E387,"00")</f>
        <v>2024-04</v>
      </c>
      <c r="H387" s="61" t="str">
        <f aca="false">INDEX(Parametros!$C$71:$C$91,MATCH(TRIM(INDEX(Datos_Origen!$C$2:$C$2459,$Z387)),Parametros!$B$71:$B$91,0))</f>
        <v>NOA</v>
      </c>
      <c r="I387" s="61" t="str">
        <f aca="false">IF(TRIM($AD387)="",INDEX(Parametros!$I$20:$I$24,MATCH($H387,Parametros!$H$20:$H$24,0)),TRIM($AD387))</f>
        <v>Tucuman</v>
      </c>
      <c r="J387" s="61" t="str">
        <f aca="false">INDEX(Parametros!$C$95:$C$106,MATCH(TRIM(INDEX(Datos_Origen!$E$2:$E$2459,$Z387)),Parametros!$B$95:$B$106,0))</f>
        <v>E-commerce</v>
      </c>
      <c r="K387" s="61" t="str">
        <f aca="false">INDEX(Parametros!$C$48:$C$67,MATCH(TRIM(INDEX(Datos_Origen!$F$2:$F$2459,$Z387)),Parametros!$B$48:$B$67,0))</f>
        <v>Computacion</v>
      </c>
      <c r="L387" s="61" t="str">
        <f aca="false">$K387&amp;" "&amp;$C387</f>
        <v>Computacion 2024</v>
      </c>
      <c r="M387" s="61" t="str">
        <f aca="false">TRIM(INDEX(Datos_Origen!$G$2:$G$2459,$Z387))</f>
        <v>PC Gamer Ryzen</v>
      </c>
      <c r="N387" s="61" t="str">
        <f aca="false">$M387&amp;" "&amp;$C387</f>
        <v>PC Gamer Ryzen 2024</v>
      </c>
      <c r="O387" s="63" t="n">
        <f aca="false">IF(ISTEXT($AC387),VALUE($AC387),$AC387)</f>
        <v>2</v>
      </c>
      <c r="P387" s="64" t="n">
        <f aca="false">INDEX(Datos_Origen!$I$2:$I$2459,$Z387)</f>
        <v>1617</v>
      </c>
      <c r="Q387" s="64" t="n">
        <f aca="false">INDEX(Datos_Origen!$J$2:$J$2459,$Z387)</f>
        <v>1122</v>
      </c>
      <c r="R387" s="65" t="n">
        <f aca="false">ROUND($O387*$P387,2)</f>
        <v>3234</v>
      </c>
      <c r="S387" s="65" t="n">
        <f aca="false">ROUND($O387*$Q387,2)</f>
        <v>2244</v>
      </c>
      <c r="T387" s="65" t="n">
        <f aca="false">ROUND($R387*SUMIFS(Parametros!$E$28:$E$43,Parametros!$B$28:$B$43,$J387,Parametros!$C$28:$C$43,$C387,Parametros!$D$28:$D$43,$D387),2)</f>
        <v>142.3</v>
      </c>
      <c r="U387" s="65" t="n">
        <f aca="false">$R387-$S387-$T387</f>
        <v>847.7</v>
      </c>
      <c r="V387" s="66" t="n">
        <f aca="false">IFERROR($U387/$R387,0)</f>
        <v>0.262121212121212</v>
      </c>
      <c r="W387" s="67" t="str">
        <f aca="false">IF(AND($V387&gt;=Parametros!$C$8,$R387&gt;=Parametros!$C$12),"Alta rentabilidad",IF(OR($V387&lt;Parametros!$C$11,$R387&lt;Parametros!$C$13),"Revisar","Estandar"))</f>
        <v>Revisar</v>
      </c>
      <c r="X387" s="67" t="str">
        <f aca="false">IF(AND($J387="E-commerce",IFERROR($T387/$R387,0)&gt;Parametros!$C$14),"Alerta","OK")</f>
        <v>OK</v>
      </c>
      <c r="Y387" s="61" t="str">
        <f aca="false">IF($R387&gt;=Parametros!$C$12,"Alto",IF($R387&lt;Parametros!$C$13,"Bajo","Medio"))</f>
        <v>Alto</v>
      </c>
      <c r="Z387" s="61" t="n">
        <v>995</v>
      </c>
      <c r="AA387" s="61" t="str">
        <f aca="false">IF(MATCH($A387,Datos_Origen!$A$2:$A$2459,0)=$Z387,"OK","REVISAR")</f>
        <v>OK</v>
      </c>
      <c r="AB387" s="62" t="n">
        <f aca="false">INDEX(Datos_Origen!$B$2:$B$2459,$Z387)</f>
        <v>45385</v>
      </c>
      <c r="AC387" s="61" t="n">
        <f aca="false">INDEX(Datos_Origen!$H$2:$H$2459,$Z387)</f>
        <v>2</v>
      </c>
      <c r="AD387" s="61" t="str">
        <f aca="false">INDEX(Datos_Origen!$D$2:$D$2459,$Z387)&amp;""</f>
        <v>Tucuman</v>
      </c>
    </row>
    <row r="388" customFormat="false" ht="15" hidden="false" customHeight="false" outlineLevel="0" collapsed="false">
      <c r="A388" s="61" t="n">
        <f aca="false">INDEX(Datos_Origen!$A$2:$A$2459,$Z388)</f>
        <v>387</v>
      </c>
      <c r="B388" s="62" t="n">
        <f aca="false">IF(ISNUMBER($AB388),$AB388,IF(MID($AB388,5,1)="-",DATE(VALUE(LEFT($AB388,4)),VALUE(MID($AB388,6,2)),VALUE(RIGHT($AB388,2))),DATE(VALUE(RIGHT($AB388,4)),VALUE(MID($AB388,4,2)),VALUE(LEFT($AB388,2)))))</f>
        <v>45392</v>
      </c>
      <c r="C388" s="61" t="n">
        <f aca="false">YEAR($B388)</f>
        <v>2024</v>
      </c>
      <c r="D388" s="61" t="str">
        <f aca="false">"Q"&amp;ROUNDUP(MONTH($B388)/3,0)</f>
        <v>Q2</v>
      </c>
      <c r="E388" s="61" t="n">
        <f aca="false">MONTH($B388)</f>
        <v>4</v>
      </c>
      <c r="F388" s="61" t="str">
        <f aca="false">INDEX(Parametros!$I$5:$I$16,$E388)</f>
        <v>Abr</v>
      </c>
      <c r="G388" s="61" t="str">
        <f aca="false">TEXT($C388,"0000")&amp;"-"&amp;TEXT($E388,"00")</f>
        <v>2024-04</v>
      </c>
      <c r="H388" s="61" t="str">
        <f aca="false">INDEX(Parametros!$C$71:$C$91,MATCH(TRIM(INDEX(Datos_Origen!$C$2:$C$2459,$Z388)),Parametros!$B$71:$B$91,0))</f>
        <v>NOA</v>
      </c>
      <c r="I388" s="61" t="str">
        <f aca="false">IF(TRIM($AD388)="",INDEX(Parametros!$I$20:$I$24,MATCH($H388,Parametros!$H$20:$H$24,0)),TRIM($AD388))</f>
        <v>Tucuman</v>
      </c>
      <c r="J388" s="61" t="str">
        <f aca="false">INDEX(Parametros!$C$95:$C$106,MATCH(TRIM(INDEX(Datos_Origen!$E$2:$E$2459,$Z388)),Parametros!$B$95:$B$106,0))</f>
        <v>Tienda fisica</v>
      </c>
      <c r="K388" s="61" t="str">
        <f aca="false">INDEX(Parametros!$C$48:$C$67,MATCH(TRIM(INDEX(Datos_Origen!$F$2:$F$2459,$Z388)),Parametros!$B$48:$B$67,0))</f>
        <v>Accesorios</v>
      </c>
      <c r="L388" s="61" t="str">
        <f aca="false">$K388&amp;" "&amp;$C388</f>
        <v>Accesorios 2024</v>
      </c>
      <c r="M388" s="61" t="str">
        <f aca="false">TRIM(INDEX(Datos_Origen!$G$2:$G$2459,$Z388))</f>
        <v>Mouse Inalambrico</v>
      </c>
      <c r="N388" s="61" t="str">
        <f aca="false">$M388&amp;" "&amp;$C388</f>
        <v>Mouse Inalambrico 2024</v>
      </c>
      <c r="O388" s="63" t="n">
        <f aca="false">IF(ISTEXT($AC388),VALUE($AC388),$AC388)</f>
        <v>33</v>
      </c>
      <c r="P388" s="64" t="n">
        <f aca="false">INDEX(Datos_Origen!$I$2:$I$2459,$Z388)</f>
        <v>27.44</v>
      </c>
      <c r="Q388" s="64" t="n">
        <f aca="false">INDEX(Datos_Origen!$J$2:$J$2459,$Z388)</f>
        <v>13.44</v>
      </c>
      <c r="R388" s="65" t="n">
        <f aca="false">ROUND($O388*$P388,2)</f>
        <v>905.52</v>
      </c>
      <c r="S388" s="65" t="n">
        <f aca="false">ROUND($O388*$Q388,2)</f>
        <v>443.52</v>
      </c>
      <c r="T388" s="65" t="n">
        <f aca="false">ROUND($R388*SUMIFS(Parametros!$E$28:$E$43,Parametros!$B$28:$B$43,$J388,Parametros!$C$28:$C$43,$C388,Parametros!$D$28:$D$43,$D388),2)</f>
        <v>10.87</v>
      </c>
      <c r="U388" s="65" t="n">
        <f aca="false">$R388-$S388-$T388</f>
        <v>451.13</v>
      </c>
      <c r="V388" s="66" t="n">
        <f aca="false">IFERROR($U388/$R388,0)</f>
        <v>0.498199929322378</v>
      </c>
      <c r="W388" s="67" t="str">
        <f aca="false">IF(AND($V388&gt;=Parametros!$C$8,$R388&gt;=Parametros!$C$12),"Alta rentabilidad",IF(OR($V388&lt;Parametros!$C$11,$R388&lt;Parametros!$C$13),"Revisar","Estandar"))</f>
        <v>Estandar</v>
      </c>
      <c r="X388" s="67" t="str">
        <f aca="false">IF(AND($J388="E-commerce",IFERROR($T388/$R388,0)&gt;Parametros!$C$14),"Alerta","OK")</f>
        <v>OK</v>
      </c>
      <c r="Y388" s="61" t="str">
        <f aca="false">IF($R388&gt;=Parametros!$C$12,"Alto",IF($R388&lt;Parametros!$C$13,"Bajo","Medio"))</f>
        <v>Medio</v>
      </c>
      <c r="Z388" s="61" t="n">
        <v>1880</v>
      </c>
      <c r="AA388" s="61" t="str">
        <f aca="false">IF(MATCH($A388,Datos_Origen!$A$2:$A$2459,0)=$Z388,"OK","REVISAR")</f>
        <v>OK</v>
      </c>
      <c r="AB388" s="62" t="n">
        <f aca="false">INDEX(Datos_Origen!$B$2:$B$2459,$Z388)</f>
        <v>45392</v>
      </c>
      <c r="AC388" s="61" t="n">
        <f aca="false">INDEX(Datos_Origen!$H$2:$H$2459,$Z388)</f>
        <v>33</v>
      </c>
      <c r="AD388" s="61" t="str">
        <f aca="false">INDEX(Datos_Origen!$D$2:$D$2459,$Z388)&amp;""</f>
        <v>Tucuman</v>
      </c>
    </row>
    <row r="389" customFormat="false" ht="15" hidden="false" customHeight="false" outlineLevel="0" collapsed="false">
      <c r="A389" s="61" t="n">
        <f aca="false">INDEX(Datos_Origen!$A$2:$A$2459,$Z389)</f>
        <v>388</v>
      </c>
      <c r="B389" s="62" t="n">
        <f aca="false">IF(ISNUMBER($AB389),$AB389,IF(MID($AB389,5,1)="-",DATE(VALUE(LEFT($AB389,4)),VALUE(MID($AB389,6,2)),VALUE(RIGHT($AB389,2))),DATE(VALUE(RIGHT($AB389,4)),VALUE(MID($AB389,4,2)),VALUE(LEFT($AB389,2)))))</f>
        <v>45399</v>
      </c>
      <c r="C389" s="61" t="n">
        <f aca="false">YEAR($B389)</f>
        <v>2024</v>
      </c>
      <c r="D389" s="61" t="str">
        <f aca="false">"Q"&amp;ROUNDUP(MONTH($B389)/3,0)</f>
        <v>Q2</v>
      </c>
      <c r="E389" s="61" t="n">
        <f aca="false">MONTH($B389)</f>
        <v>4</v>
      </c>
      <c r="F389" s="61" t="str">
        <f aca="false">INDEX(Parametros!$I$5:$I$16,$E389)</f>
        <v>Abr</v>
      </c>
      <c r="G389" s="61" t="str">
        <f aca="false">TEXT($C389,"0000")&amp;"-"&amp;TEXT($E389,"00")</f>
        <v>2024-04</v>
      </c>
      <c r="H389" s="61" t="str">
        <f aca="false">INDEX(Parametros!$C$71:$C$91,MATCH(TRIM(INDEX(Datos_Origen!$C$2:$C$2459,$Z389)),Parametros!$B$71:$B$91,0))</f>
        <v>NOA</v>
      </c>
      <c r="I389" s="61" t="str">
        <f aca="false">IF(TRIM($AD389)="",INDEX(Parametros!$I$20:$I$24,MATCH($H389,Parametros!$H$20:$H$24,0)),TRIM($AD389))</f>
        <v>Tucuman</v>
      </c>
      <c r="J389" s="61" t="str">
        <f aca="false">INDEX(Parametros!$C$95:$C$106,MATCH(TRIM(INDEX(Datos_Origen!$E$2:$E$2459,$Z389)),Parametros!$B$95:$B$106,0))</f>
        <v>E-commerce</v>
      </c>
      <c r="K389" s="61" t="str">
        <f aca="false">INDEX(Parametros!$C$48:$C$67,MATCH(TRIM(INDEX(Datos_Origen!$F$2:$F$2459,$Z389)),Parametros!$B$48:$B$67,0))</f>
        <v>Accesorios</v>
      </c>
      <c r="L389" s="61" t="str">
        <f aca="false">$K389&amp;" "&amp;$C389</f>
        <v>Accesorios 2024</v>
      </c>
      <c r="M389" s="61" t="str">
        <f aca="false">TRIM(INDEX(Datos_Origen!$G$2:$G$2459,$Z389))</f>
        <v>Mouse Inalambrico</v>
      </c>
      <c r="N389" s="61" t="str">
        <f aca="false">$M389&amp;" "&amp;$C389</f>
        <v>Mouse Inalambrico 2024</v>
      </c>
      <c r="O389" s="63" t="n">
        <f aca="false">IF(ISTEXT($AC389),VALUE($AC389),$AC389)</f>
        <v>9</v>
      </c>
      <c r="P389" s="64" t="n">
        <f aca="false">INDEX(Datos_Origen!$I$2:$I$2459,$Z389)</f>
        <v>27.44</v>
      </c>
      <c r="Q389" s="64" t="n">
        <f aca="false">INDEX(Datos_Origen!$J$2:$J$2459,$Z389)</f>
        <v>13.44</v>
      </c>
      <c r="R389" s="65" t="n">
        <f aca="false">ROUND($O389*$P389,2)</f>
        <v>246.96</v>
      </c>
      <c r="S389" s="65" t="n">
        <f aca="false">ROUND($O389*$Q389,2)</f>
        <v>120.96</v>
      </c>
      <c r="T389" s="65" t="n">
        <f aca="false">ROUND($R389*SUMIFS(Parametros!$E$28:$E$43,Parametros!$B$28:$B$43,$J389,Parametros!$C$28:$C$43,$C389,Parametros!$D$28:$D$43,$D389),2)</f>
        <v>10.87</v>
      </c>
      <c r="U389" s="65" t="n">
        <f aca="false">$R389-$S389-$T389</f>
        <v>115.13</v>
      </c>
      <c r="V389" s="66" t="n">
        <f aca="false">IFERROR($U389/$R389,0)</f>
        <v>0.466188856494979</v>
      </c>
      <c r="W389" s="67" t="str">
        <f aca="false">IF(AND($V389&gt;=Parametros!$C$8,$R389&gt;=Parametros!$C$12),"Alta rentabilidad",IF(OR($V389&lt;Parametros!$C$11,$R389&lt;Parametros!$C$13),"Revisar","Estandar"))</f>
        <v>Revisar</v>
      </c>
      <c r="X389" s="67" t="str">
        <f aca="false">IF(AND($J389="E-commerce",IFERROR($T389/$R389,0)&gt;Parametros!$C$14),"Alerta","OK")</f>
        <v>OK</v>
      </c>
      <c r="Y389" s="61" t="str">
        <f aca="false">IF($R389&gt;=Parametros!$C$12,"Alto",IF($R389&lt;Parametros!$C$13,"Bajo","Medio"))</f>
        <v>Bajo</v>
      </c>
      <c r="Z389" s="61" t="n">
        <v>1696</v>
      </c>
      <c r="AA389" s="61" t="str">
        <f aca="false">IF(MATCH($A389,Datos_Origen!$A$2:$A$2459,0)=$Z389,"OK","REVISAR")</f>
        <v>OK</v>
      </c>
      <c r="AB389" s="62" t="n">
        <f aca="false">INDEX(Datos_Origen!$B$2:$B$2459,$Z389)</f>
        <v>45399</v>
      </c>
      <c r="AC389" s="61" t="n">
        <f aca="false">INDEX(Datos_Origen!$H$2:$H$2459,$Z389)</f>
        <v>9</v>
      </c>
      <c r="AD389" s="61" t="str">
        <f aca="false">INDEX(Datos_Origen!$D$2:$D$2459,$Z389)&amp;""</f>
        <v>Tucuman</v>
      </c>
    </row>
    <row r="390" customFormat="false" ht="15" hidden="false" customHeight="false" outlineLevel="0" collapsed="false">
      <c r="A390" s="61" t="n">
        <f aca="false">INDEX(Datos_Origen!$A$2:$A$2459,$Z390)</f>
        <v>389</v>
      </c>
      <c r="B390" s="62" t="n">
        <f aca="false">IF(ISNUMBER($AB390),$AB390,IF(MID($AB390,5,1)="-",DATE(VALUE(LEFT($AB390,4)),VALUE(MID($AB390,6,2)),VALUE(RIGHT($AB390,2))),DATE(VALUE(RIGHT($AB390,4)),VALUE(MID($AB390,4,2)),VALUE(LEFT($AB390,2)))))</f>
        <v>45406</v>
      </c>
      <c r="C390" s="61" t="n">
        <f aca="false">YEAR($B390)</f>
        <v>2024</v>
      </c>
      <c r="D390" s="61" t="str">
        <f aca="false">"Q"&amp;ROUNDUP(MONTH($B390)/3,0)</f>
        <v>Q2</v>
      </c>
      <c r="E390" s="61" t="n">
        <f aca="false">MONTH($B390)</f>
        <v>4</v>
      </c>
      <c r="F390" s="61" t="str">
        <f aca="false">INDEX(Parametros!$I$5:$I$16,$E390)</f>
        <v>Abr</v>
      </c>
      <c r="G390" s="61" t="str">
        <f aca="false">TEXT($C390,"0000")&amp;"-"&amp;TEXT($E390,"00")</f>
        <v>2024-04</v>
      </c>
      <c r="H390" s="61" t="str">
        <f aca="false">INDEX(Parametros!$C$71:$C$91,MATCH(TRIM(INDEX(Datos_Origen!$C$2:$C$2459,$Z390)),Parametros!$B$71:$B$91,0))</f>
        <v>NOA</v>
      </c>
      <c r="I390" s="61" t="str">
        <f aca="false">IF(TRIM($AD390)="",INDEX(Parametros!$I$20:$I$24,MATCH($H390,Parametros!$H$20:$H$24,0)),TRIM($AD390))</f>
        <v>Tucuman</v>
      </c>
      <c r="J390" s="61" t="str">
        <f aca="false">INDEX(Parametros!$C$95:$C$106,MATCH(TRIM(INDEX(Datos_Origen!$E$2:$E$2459,$Z390)),Parametros!$B$95:$B$106,0))</f>
        <v>Tienda fisica</v>
      </c>
      <c r="K390" s="61" t="str">
        <f aca="false">INDEX(Parametros!$C$48:$C$67,MATCH(TRIM(INDEX(Datos_Origen!$F$2:$F$2459,$Z390)),Parametros!$B$48:$B$67,0))</f>
        <v>Accesorios</v>
      </c>
      <c r="L390" s="61" t="str">
        <f aca="false">$K390&amp;" "&amp;$C390</f>
        <v>Accesorios 2024</v>
      </c>
      <c r="M390" s="61" t="str">
        <f aca="false">TRIM(INDEX(Datos_Origen!$G$2:$G$2459,$Z390))</f>
        <v>Teclado Mecanico</v>
      </c>
      <c r="N390" s="61" t="str">
        <f aca="false">$M390&amp;" "&amp;$C390</f>
        <v>Teclado Mecanico 2024</v>
      </c>
      <c r="O390" s="63" t="n">
        <f aca="false">IF(ISTEXT($AC390),VALUE($AC390),$AC390)</f>
        <v>27</v>
      </c>
      <c r="P390" s="64" t="n">
        <f aca="false">INDEX(Datos_Origen!$I$2:$I$2459,$Z390)</f>
        <v>93.1</v>
      </c>
      <c r="Q390" s="64" t="n">
        <f aca="false">INDEX(Datos_Origen!$J$2:$J$2459,$Z390)</f>
        <v>47.98</v>
      </c>
      <c r="R390" s="65" t="n">
        <f aca="false">ROUND($O390*$P390,2)</f>
        <v>2513.7</v>
      </c>
      <c r="S390" s="65" t="n">
        <f aca="false">ROUND($O390*$Q390,2)</f>
        <v>1295.46</v>
      </c>
      <c r="T390" s="65" t="n">
        <f aca="false">ROUND($R390*SUMIFS(Parametros!$E$28:$E$43,Parametros!$B$28:$B$43,$J390,Parametros!$C$28:$C$43,$C390,Parametros!$D$28:$D$43,$D390),2)</f>
        <v>30.16</v>
      </c>
      <c r="U390" s="65" t="n">
        <f aca="false">$R390-$S390-$T390</f>
        <v>1188.08</v>
      </c>
      <c r="V390" s="66" t="n">
        <f aca="false">IFERROR($U390/$R390,0)</f>
        <v>0.472641922265982</v>
      </c>
      <c r="W390" s="67" t="str">
        <f aca="false">IF(AND($V390&gt;=Parametros!$C$8,$R390&gt;=Parametros!$C$12),"Alta rentabilidad",IF(OR($V390&lt;Parametros!$C$11,$R390&lt;Parametros!$C$13),"Revisar","Estandar"))</f>
        <v>Estandar</v>
      </c>
      <c r="X390" s="67" t="str">
        <f aca="false">IF(AND($J390="E-commerce",IFERROR($T390/$R390,0)&gt;Parametros!$C$14),"Alerta","OK")</f>
        <v>OK</v>
      </c>
      <c r="Y390" s="61" t="str">
        <f aca="false">IF($R390&gt;=Parametros!$C$12,"Alto",IF($R390&lt;Parametros!$C$13,"Bajo","Medio"))</f>
        <v>Medio</v>
      </c>
      <c r="Z390" s="61" t="n">
        <v>1050</v>
      </c>
      <c r="AA390" s="61" t="str">
        <f aca="false">IF(MATCH($A390,Datos_Origen!$A$2:$A$2459,0)=$Z390,"OK","REVISAR")</f>
        <v>OK</v>
      </c>
      <c r="AB390" s="62" t="n">
        <f aca="false">INDEX(Datos_Origen!$B$2:$B$2459,$Z390)</f>
        <v>45406</v>
      </c>
      <c r="AC390" s="61" t="n">
        <f aca="false">INDEX(Datos_Origen!$H$2:$H$2459,$Z390)</f>
        <v>27</v>
      </c>
      <c r="AD390" s="61" t="str">
        <f aca="false">INDEX(Datos_Origen!$D$2:$D$2459,$Z390)&amp;""</f>
        <v>Tucuman</v>
      </c>
    </row>
    <row r="391" customFormat="false" ht="15" hidden="false" customHeight="false" outlineLevel="0" collapsed="false">
      <c r="A391" s="61" t="n">
        <f aca="false">INDEX(Datos_Origen!$A$2:$A$2459,$Z391)</f>
        <v>390</v>
      </c>
      <c r="B391" s="62" t="n">
        <f aca="false">IF(ISNUMBER($AB391),$AB391,IF(MID($AB391,5,1)="-",DATE(VALUE(LEFT($AB391,4)),VALUE(MID($AB391,6,2)),VALUE(RIGHT($AB391,2))),DATE(VALUE(RIGHT($AB391,4)),VALUE(MID($AB391,4,2)),VALUE(LEFT($AB391,2)))))</f>
        <v>45386</v>
      </c>
      <c r="C391" s="61" t="n">
        <f aca="false">YEAR($B391)</f>
        <v>2024</v>
      </c>
      <c r="D391" s="61" t="str">
        <f aca="false">"Q"&amp;ROUNDUP(MONTH($B391)/3,0)</f>
        <v>Q2</v>
      </c>
      <c r="E391" s="61" t="n">
        <f aca="false">MONTH($B391)</f>
        <v>4</v>
      </c>
      <c r="F391" s="61" t="str">
        <f aca="false">INDEX(Parametros!$I$5:$I$16,$E391)</f>
        <v>Abr</v>
      </c>
      <c r="G391" s="61" t="str">
        <f aca="false">TEXT($C391,"0000")&amp;"-"&amp;TEXT($E391,"00")</f>
        <v>2024-04</v>
      </c>
      <c r="H391" s="61" t="str">
        <f aca="false">INDEX(Parametros!$C$71:$C$91,MATCH(TRIM(INDEX(Datos_Origen!$C$2:$C$2459,$Z391)),Parametros!$B$71:$B$91,0))</f>
        <v>NOA</v>
      </c>
      <c r="I391" s="61" t="str">
        <f aca="false">IF(TRIM($AD391)="",INDEX(Parametros!$I$20:$I$24,MATCH($H391,Parametros!$H$20:$H$24,0)),TRIM($AD391))</f>
        <v>Tucuman</v>
      </c>
      <c r="J391" s="61" t="str">
        <f aca="false">INDEX(Parametros!$C$95:$C$106,MATCH(TRIM(INDEX(Datos_Origen!$E$2:$E$2459,$Z391)),Parametros!$B$95:$B$106,0))</f>
        <v>E-commerce</v>
      </c>
      <c r="K391" s="61" t="str">
        <f aca="false">INDEX(Parametros!$C$48:$C$67,MATCH(TRIM(INDEX(Datos_Origen!$F$2:$F$2459,$Z391)),Parametros!$B$48:$B$67,0))</f>
        <v>Accesorios</v>
      </c>
      <c r="L391" s="61" t="str">
        <f aca="false">$K391&amp;" "&amp;$C391</f>
        <v>Accesorios 2024</v>
      </c>
      <c r="M391" s="61" t="str">
        <f aca="false">TRIM(INDEX(Datos_Origen!$G$2:$G$2459,$Z391))</f>
        <v>Teclado Mecanico</v>
      </c>
      <c r="N391" s="61" t="str">
        <f aca="false">$M391&amp;" "&amp;$C391</f>
        <v>Teclado Mecanico 2024</v>
      </c>
      <c r="O391" s="63" t="n">
        <f aca="false">IF(ISTEXT($AC391),VALUE($AC391),$AC391)</f>
        <v>12</v>
      </c>
      <c r="P391" s="64" t="n">
        <f aca="false">INDEX(Datos_Origen!$I$2:$I$2459,$Z391)</f>
        <v>93.1</v>
      </c>
      <c r="Q391" s="64" t="n">
        <f aca="false">INDEX(Datos_Origen!$J$2:$J$2459,$Z391)</f>
        <v>47.98</v>
      </c>
      <c r="R391" s="65" t="n">
        <f aca="false">ROUND($O391*$P391,2)</f>
        <v>1117.2</v>
      </c>
      <c r="S391" s="65" t="n">
        <f aca="false">ROUND($O391*$Q391,2)</f>
        <v>575.76</v>
      </c>
      <c r="T391" s="65" t="n">
        <f aca="false">ROUND($R391*SUMIFS(Parametros!$E$28:$E$43,Parametros!$B$28:$B$43,$J391,Parametros!$C$28:$C$43,$C391,Parametros!$D$28:$D$43,$D391),2)</f>
        <v>49.16</v>
      </c>
      <c r="U391" s="65" t="n">
        <f aca="false">$R391-$S391-$T391</f>
        <v>492.28</v>
      </c>
      <c r="V391" s="66" t="n">
        <f aca="false">IFERROR($U391/$R391,0)</f>
        <v>0.440637307554601</v>
      </c>
      <c r="W391" s="67" t="str">
        <f aca="false">IF(AND($V391&gt;=Parametros!$C$8,$R391&gt;=Parametros!$C$12),"Alta rentabilidad",IF(OR($V391&lt;Parametros!$C$11,$R391&lt;Parametros!$C$13),"Revisar","Estandar"))</f>
        <v>Estandar</v>
      </c>
      <c r="X391" s="67" t="str">
        <f aca="false">IF(AND($J391="E-commerce",IFERROR($T391/$R391,0)&gt;Parametros!$C$14),"Alerta","OK")</f>
        <v>OK</v>
      </c>
      <c r="Y391" s="61" t="str">
        <f aca="false">IF($R391&gt;=Parametros!$C$12,"Alto",IF($R391&lt;Parametros!$C$13,"Bajo","Medio"))</f>
        <v>Medio</v>
      </c>
      <c r="Z391" s="61" t="n">
        <v>587</v>
      </c>
      <c r="AA391" s="61" t="str">
        <f aca="false">IF(MATCH($A391,Datos_Origen!$A$2:$A$2459,0)=$Z391,"OK","REVISAR")</f>
        <v>OK</v>
      </c>
      <c r="AB391" s="62" t="n">
        <f aca="false">INDEX(Datos_Origen!$B$2:$B$2459,$Z391)</f>
        <v>45386</v>
      </c>
      <c r="AC391" s="61" t="n">
        <f aca="false">INDEX(Datos_Origen!$H$2:$H$2459,$Z391)</f>
        <v>12</v>
      </c>
      <c r="AD391" s="61" t="str">
        <f aca="false">INDEX(Datos_Origen!$D$2:$D$2459,$Z391)&amp;""</f>
        <v>Tucuman</v>
      </c>
    </row>
    <row r="392" customFormat="false" ht="15" hidden="false" customHeight="false" outlineLevel="0" collapsed="false">
      <c r="A392" s="61" t="n">
        <f aca="false">INDEX(Datos_Origen!$A$2:$A$2459,$Z392)</f>
        <v>391</v>
      </c>
      <c r="B392" s="62" t="n">
        <f aca="false">IF(ISNUMBER($AB392),$AB392,IF(MID($AB392,5,1)="-",DATE(VALUE(LEFT($AB392,4)),VALUE(MID($AB392,6,2)),VALUE(RIGHT($AB392,2))),DATE(VALUE(RIGHT($AB392,4)),VALUE(MID($AB392,4,2)),VALUE(LEFT($AB392,2)))))</f>
        <v>45393</v>
      </c>
      <c r="C392" s="61" t="n">
        <f aca="false">YEAR($B392)</f>
        <v>2024</v>
      </c>
      <c r="D392" s="61" t="str">
        <f aca="false">"Q"&amp;ROUNDUP(MONTH($B392)/3,0)</f>
        <v>Q2</v>
      </c>
      <c r="E392" s="61" t="n">
        <f aca="false">MONTH($B392)</f>
        <v>4</v>
      </c>
      <c r="F392" s="61" t="str">
        <f aca="false">INDEX(Parametros!$I$5:$I$16,$E392)</f>
        <v>Abr</v>
      </c>
      <c r="G392" s="61" t="str">
        <f aca="false">TEXT($C392,"0000")&amp;"-"&amp;TEXT($E392,"00")</f>
        <v>2024-04</v>
      </c>
      <c r="H392" s="61" t="str">
        <f aca="false">INDEX(Parametros!$C$71:$C$91,MATCH(TRIM(INDEX(Datos_Origen!$C$2:$C$2459,$Z392)),Parametros!$B$71:$B$91,0))</f>
        <v>NOA</v>
      </c>
      <c r="I392" s="61" t="str">
        <f aca="false">IF(TRIM($AD392)="",INDEX(Parametros!$I$20:$I$24,MATCH($H392,Parametros!$H$20:$H$24,0)),TRIM($AD392))</f>
        <v>Tucuman</v>
      </c>
      <c r="J392" s="61" t="str">
        <f aca="false">INDEX(Parametros!$C$95:$C$106,MATCH(TRIM(INDEX(Datos_Origen!$E$2:$E$2459,$Z392)),Parametros!$B$95:$B$106,0))</f>
        <v>Tienda fisica</v>
      </c>
      <c r="K392" s="61" t="str">
        <f aca="false">INDEX(Parametros!$C$48:$C$67,MATCH(TRIM(INDEX(Datos_Origen!$F$2:$F$2459,$Z392)),Parametros!$B$48:$B$67,0))</f>
        <v>Accesorios</v>
      </c>
      <c r="L392" s="61" t="str">
        <f aca="false">$K392&amp;" "&amp;$C392</f>
        <v>Accesorios 2024</v>
      </c>
      <c r="M392" s="61" t="str">
        <f aca="false">TRIM(INDEX(Datos_Origen!$G$2:$G$2459,$Z392))</f>
        <v>Webcam Full HD</v>
      </c>
      <c r="N392" s="61" t="str">
        <f aca="false">$M392&amp;" "&amp;$C392</f>
        <v>Webcam Full HD 2024</v>
      </c>
      <c r="O392" s="63" t="n">
        <f aca="false">IF(ISTEXT($AC392),VALUE($AC392),$AC392)</f>
        <v>32</v>
      </c>
      <c r="P392" s="64" t="n">
        <f aca="false">INDEX(Datos_Origen!$I$2:$I$2459,$Z392)</f>
        <v>63.7</v>
      </c>
      <c r="Q392" s="64" t="n">
        <f aca="false">INDEX(Datos_Origen!$J$2:$J$2459,$Z392)</f>
        <v>35.43</v>
      </c>
      <c r="R392" s="65" t="n">
        <f aca="false">ROUND($O392*$P392,2)</f>
        <v>2038.4</v>
      </c>
      <c r="S392" s="65" t="n">
        <f aca="false">ROUND($O392*$Q392,2)</f>
        <v>1133.76</v>
      </c>
      <c r="T392" s="65" t="n">
        <f aca="false">ROUND($R392*SUMIFS(Parametros!$E$28:$E$43,Parametros!$B$28:$B$43,$J392,Parametros!$C$28:$C$43,$C392,Parametros!$D$28:$D$43,$D392),2)</f>
        <v>24.46</v>
      </c>
      <c r="U392" s="65" t="n">
        <f aca="false">$R392-$S392-$T392</f>
        <v>880.18</v>
      </c>
      <c r="V392" s="66" t="n">
        <f aca="false">IFERROR($U392/$R392,0)</f>
        <v>0.431799450549451</v>
      </c>
      <c r="W392" s="67" t="str">
        <f aca="false">IF(AND($V392&gt;=Parametros!$C$8,$R392&gt;=Parametros!$C$12),"Alta rentabilidad",IF(OR($V392&lt;Parametros!$C$11,$R392&lt;Parametros!$C$13),"Revisar","Estandar"))</f>
        <v>Estandar</v>
      </c>
      <c r="X392" s="67" t="str">
        <f aca="false">IF(AND($J392="E-commerce",IFERROR($T392/$R392,0)&gt;Parametros!$C$14),"Alerta","OK")</f>
        <v>OK</v>
      </c>
      <c r="Y392" s="61" t="str">
        <f aca="false">IF($R392&gt;=Parametros!$C$12,"Alto",IF($R392&lt;Parametros!$C$13,"Bajo","Medio"))</f>
        <v>Medio</v>
      </c>
      <c r="Z392" s="61" t="n">
        <v>1644</v>
      </c>
      <c r="AA392" s="61" t="str">
        <f aca="false">IF(MATCH($A392,Datos_Origen!$A$2:$A$2459,0)=$Z392,"OK","REVISAR")</f>
        <v>OK</v>
      </c>
      <c r="AB392" s="62" t="n">
        <f aca="false">INDEX(Datos_Origen!$B$2:$B$2459,$Z392)</f>
        <v>45393</v>
      </c>
      <c r="AC392" s="61" t="n">
        <f aca="false">INDEX(Datos_Origen!$H$2:$H$2459,$Z392)</f>
        <v>32</v>
      </c>
      <c r="AD392" s="61" t="str">
        <f aca="false">INDEX(Datos_Origen!$D$2:$D$2459,$Z392)&amp;""</f>
        <v/>
      </c>
    </row>
    <row r="393" customFormat="false" ht="15" hidden="false" customHeight="false" outlineLevel="0" collapsed="false">
      <c r="A393" s="61" t="n">
        <f aca="false">INDEX(Datos_Origen!$A$2:$A$2459,$Z393)</f>
        <v>392</v>
      </c>
      <c r="B393" s="62" t="n">
        <f aca="false">IF(ISNUMBER($AB393),$AB393,IF(MID($AB393,5,1)="-",DATE(VALUE(LEFT($AB393,4)),VALUE(MID($AB393,6,2)),VALUE(RIGHT($AB393,2))),DATE(VALUE(RIGHT($AB393,4)),VALUE(MID($AB393,4,2)),VALUE(LEFT($AB393,2)))))</f>
        <v>45400</v>
      </c>
      <c r="C393" s="61" t="n">
        <f aca="false">YEAR($B393)</f>
        <v>2024</v>
      </c>
      <c r="D393" s="61" t="str">
        <f aca="false">"Q"&amp;ROUNDUP(MONTH($B393)/3,0)</f>
        <v>Q2</v>
      </c>
      <c r="E393" s="61" t="n">
        <f aca="false">MONTH($B393)</f>
        <v>4</v>
      </c>
      <c r="F393" s="61" t="str">
        <f aca="false">INDEX(Parametros!$I$5:$I$16,$E393)</f>
        <v>Abr</v>
      </c>
      <c r="G393" s="61" t="str">
        <f aca="false">TEXT($C393,"0000")&amp;"-"&amp;TEXT($E393,"00")</f>
        <v>2024-04</v>
      </c>
      <c r="H393" s="61" t="str">
        <f aca="false">INDEX(Parametros!$C$71:$C$91,MATCH(TRIM(INDEX(Datos_Origen!$C$2:$C$2459,$Z393)),Parametros!$B$71:$B$91,0))</f>
        <v>NOA</v>
      </c>
      <c r="I393" s="61" t="str">
        <f aca="false">IF(TRIM($AD393)="",INDEX(Parametros!$I$20:$I$24,MATCH($H393,Parametros!$H$20:$H$24,0)),TRIM($AD393))</f>
        <v>Tucuman</v>
      </c>
      <c r="J393" s="61" t="str">
        <f aca="false">INDEX(Parametros!$C$95:$C$106,MATCH(TRIM(INDEX(Datos_Origen!$E$2:$E$2459,$Z393)),Parametros!$B$95:$B$106,0))</f>
        <v>E-commerce</v>
      </c>
      <c r="K393" s="61" t="str">
        <f aca="false">INDEX(Parametros!$C$48:$C$67,MATCH(TRIM(INDEX(Datos_Origen!$F$2:$F$2459,$Z393)),Parametros!$B$48:$B$67,0))</f>
        <v>Accesorios</v>
      </c>
      <c r="L393" s="61" t="str">
        <f aca="false">$K393&amp;" "&amp;$C393</f>
        <v>Accesorios 2024</v>
      </c>
      <c r="M393" s="61" t="str">
        <f aca="false">TRIM(INDEX(Datos_Origen!$G$2:$G$2459,$Z393))</f>
        <v>Webcam Full HD</v>
      </c>
      <c r="N393" s="61" t="str">
        <f aca="false">$M393&amp;" "&amp;$C393</f>
        <v>Webcam Full HD 2024</v>
      </c>
      <c r="O393" s="63" t="n">
        <f aca="false">IF(ISTEXT($AC393),VALUE($AC393),$AC393)</f>
        <v>10</v>
      </c>
      <c r="P393" s="64" t="n">
        <f aca="false">INDEX(Datos_Origen!$I$2:$I$2459,$Z393)</f>
        <v>63.7</v>
      </c>
      <c r="Q393" s="64" t="n">
        <f aca="false">INDEX(Datos_Origen!$J$2:$J$2459,$Z393)</f>
        <v>35.43</v>
      </c>
      <c r="R393" s="65" t="n">
        <f aca="false">ROUND($O393*$P393,2)</f>
        <v>637</v>
      </c>
      <c r="S393" s="65" t="n">
        <f aca="false">ROUND($O393*$Q393,2)</f>
        <v>354.3</v>
      </c>
      <c r="T393" s="65" t="n">
        <f aca="false">ROUND($R393*SUMIFS(Parametros!$E$28:$E$43,Parametros!$B$28:$B$43,$J393,Parametros!$C$28:$C$43,$C393,Parametros!$D$28:$D$43,$D393),2)</f>
        <v>28.03</v>
      </c>
      <c r="U393" s="65" t="n">
        <f aca="false">$R393-$S393-$T393</f>
        <v>254.67</v>
      </c>
      <c r="V393" s="66" t="n">
        <f aca="false">IFERROR($U393/$R393,0)</f>
        <v>0.399795918367347</v>
      </c>
      <c r="W393" s="67" t="str">
        <f aca="false">IF(AND($V393&gt;=Parametros!$C$8,$R393&gt;=Parametros!$C$12),"Alta rentabilidad",IF(OR($V393&lt;Parametros!$C$11,$R393&lt;Parametros!$C$13),"Revisar","Estandar"))</f>
        <v>Estandar</v>
      </c>
      <c r="X393" s="67" t="str">
        <f aca="false">IF(AND($J393="E-commerce",IFERROR($T393/$R393,0)&gt;Parametros!$C$14),"Alerta","OK")</f>
        <v>OK</v>
      </c>
      <c r="Y393" s="61" t="str">
        <f aca="false">IF($R393&gt;=Parametros!$C$12,"Alto",IF($R393&lt;Parametros!$C$13,"Bajo","Medio"))</f>
        <v>Medio</v>
      </c>
      <c r="Z393" s="61" t="n">
        <v>2376</v>
      </c>
      <c r="AA393" s="61" t="str">
        <f aca="false">IF(MATCH($A393,Datos_Origen!$A$2:$A$2459,0)=$Z393,"OK","REVISAR")</f>
        <v>OK</v>
      </c>
      <c r="AB393" s="62" t="n">
        <f aca="false">INDEX(Datos_Origen!$B$2:$B$2459,$Z393)</f>
        <v>45400</v>
      </c>
      <c r="AC393" s="61" t="n">
        <f aca="false">INDEX(Datos_Origen!$H$2:$H$2459,$Z393)</f>
        <v>10</v>
      </c>
      <c r="AD393" s="61" t="str">
        <f aca="false">INDEX(Datos_Origen!$D$2:$D$2459,$Z393)&amp;""</f>
        <v>Tucuman</v>
      </c>
    </row>
    <row r="394" customFormat="false" ht="15" hidden="false" customHeight="false" outlineLevel="0" collapsed="false">
      <c r="A394" s="61" t="n">
        <f aca="false">INDEX(Datos_Origen!$A$2:$A$2459,$Z394)</f>
        <v>393</v>
      </c>
      <c r="B394" s="62" t="n">
        <f aca="false">IF(ISNUMBER($AB394),$AB394,IF(MID($AB394,5,1)="-",DATE(VALUE(LEFT($AB394,4)),VALUE(MID($AB394,6,2)),VALUE(RIGHT($AB394,2))),DATE(VALUE(RIGHT($AB394,4)),VALUE(MID($AB394,4,2)),VALUE(LEFT($AB394,2)))))</f>
        <v>45407</v>
      </c>
      <c r="C394" s="61" t="n">
        <f aca="false">YEAR($B394)</f>
        <v>2024</v>
      </c>
      <c r="D394" s="61" t="str">
        <f aca="false">"Q"&amp;ROUNDUP(MONTH($B394)/3,0)</f>
        <v>Q2</v>
      </c>
      <c r="E394" s="61" t="n">
        <f aca="false">MONTH($B394)</f>
        <v>4</v>
      </c>
      <c r="F394" s="61" t="str">
        <f aca="false">INDEX(Parametros!$I$5:$I$16,$E394)</f>
        <v>Abr</v>
      </c>
      <c r="G394" s="61" t="str">
        <f aca="false">TEXT($C394,"0000")&amp;"-"&amp;TEXT($E394,"00")</f>
        <v>2024-04</v>
      </c>
      <c r="H394" s="61" t="str">
        <f aca="false">INDEX(Parametros!$C$71:$C$91,MATCH(TRIM(INDEX(Datos_Origen!$C$2:$C$2459,$Z394)),Parametros!$B$71:$B$91,0))</f>
        <v>NOA</v>
      </c>
      <c r="I394" s="61" t="str">
        <f aca="false">IF(TRIM($AD394)="",INDEX(Parametros!$I$20:$I$24,MATCH($H394,Parametros!$H$20:$H$24,0)),TRIM($AD394))</f>
        <v>Tucuman</v>
      </c>
      <c r="J394" s="61" t="str">
        <f aca="false">INDEX(Parametros!$C$95:$C$106,MATCH(TRIM(INDEX(Datos_Origen!$E$2:$E$2459,$Z394)),Parametros!$B$95:$B$106,0))</f>
        <v>Tienda fisica</v>
      </c>
      <c r="K394" s="61" t="str">
        <f aca="false">INDEX(Parametros!$C$48:$C$67,MATCH(TRIM(INDEX(Datos_Origen!$F$2:$F$2459,$Z394)),Parametros!$B$48:$B$67,0))</f>
        <v>Audio</v>
      </c>
      <c r="L394" s="61" t="str">
        <f aca="false">$K394&amp;" "&amp;$C394</f>
        <v>Audio 2024</v>
      </c>
      <c r="M394" s="61" t="str">
        <f aca="false">TRIM(INDEX(Datos_Origen!$G$2:$G$2459,$Z394))</f>
        <v>Auriculares BT Pro</v>
      </c>
      <c r="N394" s="61" t="str">
        <f aca="false">$M394&amp;" "&amp;$C394</f>
        <v>Auriculares BT Pro 2024</v>
      </c>
      <c r="O394" s="63" t="n">
        <f aca="false">IF(ISTEXT($AC394),VALUE($AC394),$AC394)</f>
        <v>15</v>
      </c>
      <c r="P394" s="64" t="n">
        <f aca="false">INDEX(Datos_Origen!$I$2:$I$2459,$Z394)</f>
        <v>117.6</v>
      </c>
      <c r="Q394" s="64" t="n">
        <f aca="false">INDEX(Datos_Origen!$J$2:$J$2459,$Z394)</f>
        <v>63.6</v>
      </c>
      <c r="R394" s="65" t="n">
        <f aca="false">ROUND($O394*$P394,2)</f>
        <v>1764</v>
      </c>
      <c r="S394" s="65" t="n">
        <f aca="false">ROUND($O394*$Q394,2)</f>
        <v>954</v>
      </c>
      <c r="T394" s="65" t="n">
        <f aca="false">ROUND($R394*SUMIFS(Parametros!$E$28:$E$43,Parametros!$B$28:$B$43,$J394,Parametros!$C$28:$C$43,$C394,Parametros!$D$28:$D$43,$D394),2)</f>
        <v>21.17</v>
      </c>
      <c r="U394" s="65" t="n">
        <f aca="false">$R394-$S394-$T394</f>
        <v>788.83</v>
      </c>
      <c r="V394" s="66" t="n">
        <f aca="false">IFERROR($U394/$R394,0)</f>
        <v>0.44718253968254</v>
      </c>
      <c r="W394" s="67" t="str">
        <f aca="false">IF(AND($V394&gt;=Parametros!$C$8,$R394&gt;=Parametros!$C$12),"Alta rentabilidad",IF(OR($V394&lt;Parametros!$C$11,$R394&lt;Parametros!$C$13),"Revisar","Estandar"))</f>
        <v>Estandar</v>
      </c>
      <c r="X394" s="67" t="str">
        <f aca="false">IF(AND($J394="E-commerce",IFERROR($T394/$R394,0)&gt;Parametros!$C$14),"Alerta","OK")</f>
        <v>OK</v>
      </c>
      <c r="Y394" s="61" t="str">
        <f aca="false">IF($R394&gt;=Parametros!$C$12,"Alto",IF($R394&lt;Parametros!$C$13,"Bajo","Medio"))</f>
        <v>Medio</v>
      </c>
      <c r="Z394" s="61" t="n">
        <v>428</v>
      </c>
      <c r="AA394" s="61" t="str">
        <f aca="false">IF(MATCH($A394,Datos_Origen!$A$2:$A$2459,0)=$Z394,"OK","REVISAR")</f>
        <v>OK</v>
      </c>
      <c r="AB394" s="62" t="n">
        <f aca="false">INDEX(Datos_Origen!$B$2:$B$2459,$Z394)</f>
        <v>45407</v>
      </c>
      <c r="AC394" s="61" t="n">
        <f aca="false">INDEX(Datos_Origen!$H$2:$H$2459,$Z394)</f>
        <v>15</v>
      </c>
      <c r="AD394" s="61" t="str">
        <f aca="false">INDEX(Datos_Origen!$D$2:$D$2459,$Z394)&amp;""</f>
        <v>Tucuman</v>
      </c>
    </row>
    <row r="395" customFormat="false" ht="15" hidden="false" customHeight="false" outlineLevel="0" collapsed="false">
      <c r="A395" s="61" t="n">
        <f aca="false">INDEX(Datos_Origen!$A$2:$A$2459,$Z395)</f>
        <v>394</v>
      </c>
      <c r="B395" s="62" t="n">
        <f aca="false">IF(ISNUMBER($AB395),$AB395,IF(MID($AB395,5,1)="-",DATE(VALUE(LEFT($AB395,4)),VALUE(MID($AB395,6,2)),VALUE(RIGHT($AB395,2))),DATE(VALUE(RIGHT($AB395,4)),VALUE(MID($AB395,4,2)),VALUE(LEFT($AB395,2)))))</f>
        <v>45387</v>
      </c>
      <c r="C395" s="61" t="n">
        <f aca="false">YEAR($B395)</f>
        <v>2024</v>
      </c>
      <c r="D395" s="61" t="str">
        <f aca="false">"Q"&amp;ROUNDUP(MONTH($B395)/3,0)</f>
        <v>Q2</v>
      </c>
      <c r="E395" s="61" t="n">
        <f aca="false">MONTH($B395)</f>
        <v>4</v>
      </c>
      <c r="F395" s="61" t="str">
        <f aca="false">INDEX(Parametros!$I$5:$I$16,$E395)</f>
        <v>Abr</v>
      </c>
      <c r="G395" s="61" t="str">
        <f aca="false">TEXT($C395,"0000")&amp;"-"&amp;TEXT($E395,"00")</f>
        <v>2024-04</v>
      </c>
      <c r="H395" s="61" t="str">
        <f aca="false">INDEX(Parametros!$C$71:$C$91,MATCH(TRIM(INDEX(Datos_Origen!$C$2:$C$2459,$Z395)),Parametros!$B$71:$B$91,0))</f>
        <v>NOA</v>
      </c>
      <c r="I395" s="61" t="str">
        <f aca="false">IF(TRIM($AD395)="",INDEX(Parametros!$I$20:$I$24,MATCH($H395,Parametros!$H$20:$H$24,0)),TRIM($AD395))</f>
        <v>Tucuman</v>
      </c>
      <c r="J395" s="61" t="str">
        <f aca="false">INDEX(Parametros!$C$95:$C$106,MATCH(TRIM(INDEX(Datos_Origen!$E$2:$E$2459,$Z395)),Parametros!$B$95:$B$106,0))</f>
        <v>E-commerce</v>
      </c>
      <c r="K395" s="61" t="str">
        <f aca="false">INDEX(Parametros!$C$48:$C$67,MATCH(TRIM(INDEX(Datos_Origen!$F$2:$F$2459,$Z395)),Parametros!$B$48:$B$67,0))</f>
        <v>Audio</v>
      </c>
      <c r="L395" s="61" t="str">
        <f aca="false">$K395&amp;" "&amp;$C395</f>
        <v>Audio 2024</v>
      </c>
      <c r="M395" s="61" t="str">
        <f aca="false">TRIM(INDEX(Datos_Origen!$G$2:$G$2459,$Z395))</f>
        <v>Auriculares BT Pro</v>
      </c>
      <c r="N395" s="61" t="str">
        <f aca="false">$M395&amp;" "&amp;$C395</f>
        <v>Auriculares BT Pro 2024</v>
      </c>
      <c r="O395" s="63" t="n">
        <f aca="false">IF(ISTEXT($AC395),VALUE($AC395),$AC395)</f>
        <v>5</v>
      </c>
      <c r="P395" s="64" t="n">
        <f aca="false">INDEX(Datos_Origen!$I$2:$I$2459,$Z395)</f>
        <v>117.6</v>
      </c>
      <c r="Q395" s="64" t="n">
        <f aca="false">INDEX(Datos_Origen!$J$2:$J$2459,$Z395)</f>
        <v>63.6</v>
      </c>
      <c r="R395" s="65" t="n">
        <f aca="false">ROUND($O395*$P395,2)</f>
        <v>588</v>
      </c>
      <c r="S395" s="65" t="n">
        <f aca="false">ROUND($O395*$Q395,2)</f>
        <v>318</v>
      </c>
      <c r="T395" s="65" t="n">
        <f aca="false">ROUND($R395*SUMIFS(Parametros!$E$28:$E$43,Parametros!$B$28:$B$43,$J395,Parametros!$C$28:$C$43,$C395,Parametros!$D$28:$D$43,$D395),2)</f>
        <v>25.87</v>
      </c>
      <c r="U395" s="65" t="n">
        <f aca="false">$R395-$S395-$T395</f>
        <v>244.13</v>
      </c>
      <c r="V395" s="66" t="n">
        <f aca="false">IFERROR($U395/$R395,0)</f>
        <v>0.415187074829932</v>
      </c>
      <c r="W395" s="67" t="str">
        <f aca="false">IF(AND($V395&gt;=Parametros!$C$8,$R395&gt;=Parametros!$C$12),"Alta rentabilidad",IF(OR($V395&lt;Parametros!$C$11,$R395&lt;Parametros!$C$13),"Revisar","Estandar"))</f>
        <v>Estandar</v>
      </c>
      <c r="X395" s="67" t="str">
        <f aca="false">IF(AND($J395="E-commerce",IFERROR($T395/$R395,0)&gt;Parametros!$C$14),"Alerta","OK")</f>
        <v>OK</v>
      </c>
      <c r="Y395" s="61" t="str">
        <f aca="false">IF($R395&gt;=Parametros!$C$12,"Alto",IF($R395&lt;Parametros!$C$13,"Bajo","Medio"))</f>
        <v>Medio</v>
      </c>
      <c r="Z395" s="61" t="n">
        <v>2425</v>
      </c>
      <c r="AA395" s="61" t="str">
        <f aca="false">IF(MATCH($A395,Datos_Origen!$A$2:$A$2459,0)=$Z395,"OK","REVISAR")</f>
        <v>OK</v>
      </c>
      <c r="AB395" s="61" t="str">
        <f aca="false">INDEX(Datos_Origen!$B$2:$B$2459,$Z395)</f>
        <v>05/04/2024</v>
      </c>
      <c r="AC395" s="61" t="n">
        <f aca="false">INDEX(Datos_Origen!$H$2:$H$2459,$Z395)</f>
        <v>5</v>
      </c>
      <c r="AD395" s="61" t="str">
        <f aca="false">INDEX(Datos_Origen!$D$2:$D$2459,$Z395)&amp;""</f>
        <v>Tucuman</v>
      </c>
    </row>
    <row r="396" customFormat="false" ht="15" hidden="false" customHeight="false" outlineLevel="0" collapsed="false">
      <c r="A396" s="61" t="n">
        <f aca="false">INDEX(Datos_Origen!$A$2:$A$2459,$Z396)</f>
        <v>395</v>
      </c>
      <c r="B396" s="62" t="n">
        <f aca="false">IF(ISNUMBER($AB396),$AB396,IF(MID($AB396,5,1)="-",DATE(VALUE(LEFT($AB396,4)),VALUE(MID($AB396,6,2)),VALUE(RIGHT($AB396,2))),DATE(VALUE(RIGHT($AB396,4)),VALUE(MID($AB396,4,2)),VALUE(LEFT($AB396,2)))))</f>
        <v>45394</v>
      </c>
      <c r="C396" s="61" t="n">
        <f aca="false">YEAR($B396)</f>
        <v>2024</v>
      </c>
      <c r="D396" s="61" t="str">
        <f aca="false">"Q"&amp;ROUNDUP(MONTH($B396)/3,0)</f>
        <v>Q2</v>
      </c>
      <c r="E396" s="61" t="n">
        <f aca="false">MONTH($B396)</f>
        <v>4</v>
      </c>
      <c r="F396" s="61" t="str">
        <f aca="false">INDEX(Parametros!$I$5:$I$16,$E396)</f>
        <v>Abr</v>
      </c>
      <c r="G396" s="61" t="str">
        <f aca="false">TEXT($C396,"0000")&amp;"-"&amp;TEXT($E396,"00")</f>
        <v>2024-04</v>
      </c>
      <c r="H396" s="61" t="str">
        <f aca="false">INDEX(Parametros!$C$71:$C$91,MATCH(TRIM(INDEX(Datos_Origen!$C$2:$C$2459,$Z396)),Parametros!$B$71:$B$91,0))</f>
        <v>NOA</v>
      </c>
      <c r="I396" s="61" t="str">
        <f aca="false">IF(TRIM($AD396)="",INDEX(Parametros!$I$20:$I$24,MATCH($H396,Parametros!$H$20:$H$24,0)),TRIM($AD396))</f>
        <v>Tucuman</v>
      </c>
      <c r="J396" s="61" t="str">
        <f aca="false">INDEX(Parametros!$C$95:$C$106,MATCH(TRIM(INDEX(Datos_Origen!$E$2:$E$2459,$Z396)),Parametros!$B$95:$B$106,0))</f>
        <v>Tienda fisica</v>
      </c>
      <c r="K396" s="61" t="str">
        <f aca="false">INDEX(Parametros!$C$48:$C$67,MATCH(TRIM(INDEX(Datos_Origen!$F$2:$F$2459,$Z396)),Parametros!$B$48:$B$67,0))</f>
        <v>Audio</v>
      </c>
      <c r="L396" s="61" t="str">
        <f aca="false">$K396&amp;" "&amp;$C396</f>
        <v>Audio 2024</v>
      </c>
      <c r="M396" s="61" t="str">
        <f aca="false">TRIM(INDEX(Datos_Origen!$G$2:$G$2459,$Z396))</f>
        <v>Parlante Bluetooth</v>
      </c>
      <c r="N396" s="61" t="str">
        <f aca="false">$M396&amp;" "&amp;$C396</f>
        <v>Parlante Bluetooth 2024</v>
      </c>
      <c r="O396" s="63" t="n">
        <f aca="false">IF(ISTEXT($AC396),VALUE($AC396),$AC396)</f>
        <v>11</v>
      </c>
      <c r="P396" s="64" t="n">
        <f aca="false">INDEX(Datos_Origen!$I$2:$I$2459,$Z396)</f>
        <v>83.3</v>
      </c>
      <c r="Q396" s="64" t="n">
        <f aca="false">INDEX(Datos_Origen!$J$2:$J$2459,$Z396)</f>
        <v>48.03</v>
      </c>
      <c r="R396" s="65" t="n">
        <f aca="false">ROUND($O396*$P396,2)</f>
        <v>916.3</v>
      </c>
      <c r="S396" s="65" t="n">
        <f aca="false">ROUND($O396*$Q396,2)</f>
        <v>528.33</v>
      </c>
      <c r="T396" s="65" t="n">
        <f aca="false">ROUND($R396*SUMIFS(Parametros!$E$28:$E$43,Parametros!$B$28:$B$43,$J396,Parametros!$C$28:$C$43,$C396,Parametros!$D$28:$D$43,$D396),2)</f>
        <v>11</v>
      </c>
      <c r="U396" s="65" t="n">
        <f aca="false">$R396-$S396-$T396</f>
        <v>376.97</v>
      </c>
      <c r="V396" s="66" t="n">
        <f aca="false">IFERROR($U396/$R396,0)</f>
        <v>0.41140456182473</v>
      </c>
      <c r="W396" s="67" t="str">
        <f aca="false">IF(AND($V396&gt;=Parametros!$C$8,$R396&gt;=Parametros!$C$12),"Alta rentabilidad",IF(OR($V396&lt;Parametros!$C$11,$R396&lt;Parametros!$C$13),"Revisar","Estandar"))</f>
        <v>Estandar</v>
      </c>
      <c r="X396" s="67" t="str">
        <f aca="false">IF(AND($J396="E-commerce",IFERROR($T396/$R396,0)&gt;Parametros!$C$14),"Alerta","OK")</f>
        <v>OK</v>
      </c>
      <c r="Y396" s="61" t="str">
        <f aca="false">IF($R396&gt;=Parametros!$C$12,"Alto",IF($R396&lt;Parametros!$C$13,"Bajo","Medio"))</f>
        <v>Medio</v>
      </c>
      <c r="Z396" s="61" t="n">
        <v>2421</v>
      </c>
      <c r="AA396" s="61" t="str">
        <f aca="false">IF(MATCH($A396,Datos_Origen!$A$2:$A$2459,0)=$Z396,"OK","REVISAR")</f>
        <v>OK</v>
      </c>
      <c r="AB396" s="62" t="n">
        <f aca="false">INDEX(Datos_Origen!$B$2:$B$2459,$Z396)</f>
        <v>45394</v>
      </c>
      <c r="AC396" s="61" t="str">
        <f aca="false">INDEX(Datos_Origen!$H$2:$H$2459,$Z396)</f>
        <v>11</v>
      </c>
      <c r="AD396" s="61" t="str">
        <f aca="false">INDEX(Datos_Origen!$D$2:$D$2459,$Z396)&amp;""</f>
        <v>Tucuman</v>
      </c>
    </row>
    <row r="397" customFormat="false" ht="15" hidden="false" customHeight="false" outlineLevel="0" collapsed="false">
      <c r="A397" s="61" t="n">
        <f aca="false">INDEX(Datos_Origen!$A$2:$A$2459,$Z397)</f>
        <v>396</v>
      </c>
      <c r="B397" s="62" t="n">
        <f aca="false">IF(ISNUMBER($AB397),$AB397,IF(MID($AB397,5,1)="-",DATE(VALUE(LEFT($AB397,4)),VALUE(MID($AB397,6,2)),VALUE(RIGHT($AB397,2))),DATE(VALUE(RIGHT($AB397,4)),VALUE(MID($AB397,4,2)),VALUE(LEFT($AB397,2)))))</f>
        <v>45401</v>
      </c>
      <c r="C397" s="61" t="n">
        <f aca="false">YEAR($B397)</f>
        <v>2024</v>
      </c>
      <c r="D397" s="61" t="str">
        <f aca="false">"Q"&amp;ROUNDUP(MONTH($B397)/3,0)</f>
        <v>Q2</v>
      </c>
      <c r="E397" s="61" t="n">
        <f aca="false">MONTH($B397)</f>
        <v>4</v>
      </c>
      <c r="F397" s="61" t="str">
        <f aca="false">INDEX(Parametros!$I$5:$I$16,$E397)</f>
        <v>Abr</v>
      </c>
      <c r="G397" s="61" t="str">
        <f aca="false">TEXT($C397,"0000")&amp;"-"&amp;TEXT($E397,"00")</f>
        <v>2024-04</v>
      </c>
      <c r="H397" s="61" t="str">
        <f aca="false">INDEX(Parametros!$C$71:$C$91,MATCH(TRIM(INDEX(Datos_Origen!$C$2:$C$2459,$Z397)),Parametros!$B$71:$B$91,0))</f>
        <v>NOA</v>
      </c>
      <c r="I397" s="61" t="str">
        <f aca="false">IF(TRIM($AD397)="",INDEX(Parametros!$I$20:$I$24,MATCH($H397,Parametros!$H$20:$H$24,0)),TRIM($AD397))</f>
        <v>Tucuman</v>
      </c>
      <c r="J397" s="61" t="str">
        <f aca="false">INDEX(Parametros!$C$95:$C$106,MATCH(TRIM(INDEX(Datos_Origen!$E$2:$E$2459,$Z397)),Parametros!$B$95:$B$106,0))</f>
        <v>E-commerce</v>
      </c>
      <c r="K397" s="61" t="str">
        <f aca="false">INDEX(Parametros!$C$48:$C$67,MATCH(TRIM(INDEX(Datos_Origen!$F$2:$F$2459,$Z397)),Parametros!$B$48:$B$67,0))</f>
        <v>Audio</v>
      </c>
      <c r="L397" s="61" t="str">
        <f aca="false">$K397&amp;" "&amp;$C397</f>
        <v>Audio 2024</v>
      </c>
      <c r="M397" s="61" t="str">
        <f aca="false">TRIM(INDEX(Datos_Origen!$G$2:$G$2459,$Z397))</f>
        <v>Parlante Bluetooth</v>
      </c>
      <c r="N397" s="61" t="str">
        <f aca="false">$M397&amp;" "&amp;$C397</f>
        <v>Parlante Bluetooth 2024</v>
      </c>
      <c r="O397" s="63" t="n">
        <f aca="false">IF(ISTEXT($AC397),VALUE($AC397),$AC397)</f>
        <v>5</v>
      </c>
      <c r="P397" s="64" t="n">
        <f aca="false">INDEX(Datos_Origen!$I$2:$I$2459,$Z397)</f>
        <v>83.3</v>
      </c>
      <c r="Q397" s="64" t="n">
        <f aca="false">INDEX(Datos_Origen!$J$2:$J$2459,$Z397)</f>
        <v>48.03</v>
      </c>
      <c r="R397" s="65" t="n">
        <f aca="false">ROUND($O397*$P397,2)</f>
        <v>416.5</v>
      </c>
      <c r="S397" s="65" t="n">
        <f aca="false">ROUND($O397*$Q397,2)</f>
        <v>240.15</v>
      </c>
      <c r="T397" s="65" t="n">
        <f aca="false">ROUND($R397*SUMIFS(Parametros!$E$28:$E$43,Parametros!$B$28:$B$43,$J397,Parametros!$C$28:$C$43,$C397,Parametros!$D$28:$D$43,$D397),2)</f>
        <v>18.33</v>
      </c>
      <c r="U397" s="65" t="n">
        <f aca="false">$R397-$S397-$T397</f>
        <v>158.02</v>
      </c>
      <c r="V397" s="66" t="n">
        <f aca="false">IFERROR($U397/$R397,0)</f>
        <v>0.379399759903962</v>
      </c>
      <c r="W397" s="67" t="str">
        <f aca="false">IF(AND($V397&gt;=Parametros!$C$8,$R397&gt;=Parametros!$C$12),"Alta rentabilidad",IF(OR($V397&lt;Parametros!$C$11,$R397&lt;Parametros!$C$13),"Revisar","Estandar"))</f>
        <v>Estandar</v>
      </c>
      <c r="X397" s="67" t="str">
        <f aca="false">IF(AND($J397="E-commerce",IFERROR($T397/$R397,0)&gt;Parametros!$C$14),"Alerta","OK")</f>
        <v>OK</v>
      </c>
      <c r="Y397" s="61" t="str">
        <f aca="false">IF($R397&gt;=Parametros!$C$12,"Alto",IF($R397&lt;Parametros!$C$13,"Bajo","Medio"))</f>
        <v>Medio</v>
      </c>
      <c r="Z397" s="61" t="n">
        <v>378</v>
      </c>
      <c r="AA397" s="61" t="str">
        <f aca="false">IF(MATCH($A397,Datos_Origen!$A$2:$A$2459,0)=$Z397,"OK","REVISAR")</f>
        <v>OK</v>
      </c>
      <c r="AB397" s="62" t="n">
        <f aca="false">INDEX(Datos_Origen!$B$2:$B$2459,$Z397)</f>
        <v>45401</v>
      </c>
      <c r="AC397" s="61" t="n">
        <f aca="false">INDEX(Datos_Origen!$H$2:$H$2459,$Z397)</f>
        <v>5</v>
      </c>
      <c r="AD397" s="61" t="str">
        <f aca="false">INDEX(Datos_Origen!$D$2:$D$2459,$Z397)&amp;""</f>
        <v>Tucuman</v>
      </c>
    </row>
    <row r="398" customFormat="false" ht="15" hidden="false" customHeight="false" outlineLevel="0" collapsed="false">
      <c r="A398" s="61" t="n">
        <f aca="false">INDEX(Datos_Origen!$A$2:$A$2459,$Z398)</f>
        <v>397</v>
      </c>
      <c r="B398" s="62" t="n">
        <f aca="false">IF(ISNUMBER($AB398),$AB398,IF(MID($AB398,5,1)="-",DATE(VALUE(LEFT($AB398,4)),VALUE(MID($AB398,6,2)),VALUE(RIGHT($AB398,2))),DATE(VALUE(RIGHT($AB398,4)),VALUE(MID($AB398,4,2)),VALUE(LEFT($AB398,2)))))</f>
        <v>45408</v>
      </c>
      <c r="C398" s="61" t="n">
        <f aca="false">YEAR($B398)</f>
        <v>2024</v>
      </c>
      <c r="D398" s="61" t="str">
        <f aca="false">"Q"&amp;ROUNDUP(MONTH($B398)/3,0)</f>
        <v>Q2</v>
      </c>
      <c r="E398" s="61" t="n">
        <f aca="false">MONTH($B398)</f>
        <v>4</v>
      </c>
      <c r="F398" s="61" t="str">
        <f aca="false">INDEX(Parametros!$I$5:$I$16,$E398)</f>
        <v>Abr</v>
      </c>
      <c r="G398" s="61" t="str">
        <f aca="false">TEXT($C398,"0000")&amp;"-"&amp;TEXT($E398,"00")</f>
        <v>2024-04</v>
      </c>
      <c r="H398" s="61" t="str">
        <f aca="false">INDEX(Parametros!$C$71:$C$91,MATCH(TRIM(INDEX(Datos_Origen!$C$2:$C$2459,$Z398)),Parametros!$B$71:$B$91,0))</f>
        <v>NOA</v>
      </c>
      <c r="I398" s="61" t="str">
        <f aca="false">IF(TRIM($AD398)="",INDEX(Parametros!$I$20:$I$24,MATCH($H398,Parametros!$H$20:$H$24,0)),TRIM($AD398))</f>
        <v>Tucuman</v>
      </c>
      <c r="J398" s="61" t="str">
        <f aca="false">INDEX(Parametros!$C$95:$C$106,MATCH(TRIM(INDEX(Datos_Origen!$E$2:$E$2459,$Z398)),Parametros!$B$95:$B$106,0))</f>
        <v>Tienda fisica</v>
      </c>
      <c r="K398" s="61" t="str">
        <f aca="false">INDEX(Parametros!$C$48:$C$67,MATCH(TRIM(INDEX(Datos_Origen!$F$2:$F$2459,$Z398)),Parametros!$B$48:$B$67,0))</f>
        <v>Almacenamiento</v>
      </c>
      <c r="L398" s="61" t="str">
        <f aca="false">$K398&amp;" "&amp;$C398</f>
        <v>Almacenamiento 2024</v>
      </c>
      <c r="M398" s="61" t="str">
        <f aca="false">TRIM(INDEX(Datos_Origen!$G$2:$G$2459,$Z398))</f>
        <v>SSD Externo 1TB</v>
      </c>
      <c r="N398" s="61" t="str">
        <f aca="false">$M398&amp;" "&amp;$C398</f>
        <v>SSD Externo 1TB 2024</v>
      </c>
      <c r="O398" s="63" t="n">
        <f aca="false">IF(ISTEXT($AC398),VALUE($AC398),$AC398)</f>
        <v>19</v>
      </c>
      <c r="P398" s="64" t="n">
        <f aca="false">INDEX(Datos_Origen!$I$2:$I$2459,$Z398)</f>
        <v>127.4</v>
      </c>
      <c r="Q398" s="64" t="n">
        <f aca="false">INDEX(Datos_Origen!$J$2:$J$2459,$Z398)</f>
        <v>76.05</v>
      </c>
      <c r="R398" s="65" t="n">
        <f aca="false">ROUND($O398*$P398,2)</f>
        <v>2420.6</v>
      </c>
      <c r="S398" s="65" t="n">
        <f aca="false">ROUND($O398*$Q398,2)</f>
        <v>1444.95</v>
      </c>
      <c r="T398" s="65" t="n">
        <f aca="false">ROUND($R398*SUMIFS(Parametros!$E$28:$E$43,Parametros!$B$28:$B$43,$J398,Parametros!$C$28:$C$43,$C398,Parametros!$D$28:$D$43,$D398),2)</f>
        <v>29.05</v>
      </c>
      <c r="U398" s="65" t="n">
        <f aca="false">$R398-$S398-$T398</f>
        <v>946.6</v>
      </c>
      <c r="V398" s="66" t="n">
        <f aca="false">IFERROR($U398/$R398,0)</f>
        <v>0.391060067751797</v>
      </c>
      <c r="W398" s="67" t="str">
        <f aca="false">IF(AND($V398&gt;=Parametros!$C$8,$R398&gt;=Parametros!$C$12),"Alta rentabilidad",IF(OR($V398&lt;Parametros!$C$11,$R398&lt;Parametros!$C$13),"Revisar","Estandar"))</f>
        <v>Estandar</v>
      </c>
      <c r="X398" s="67" t="str">
        <f aca="false">IF(AND($J398="E-commerce",IFERROR($T398/$R398,0)&gt;Parametros!$C$14),"Alerta","OK")</f>
        <v>OK</v>
      </c>
      <c r="Y398" s="61" t="str">
        <f aca="false">IF($R398&gt;=Parametros!$C$12,"Alto",IF($R398&lt;Parametros!$C$13,"Bajo","Medio"))</f>
        <v>Medio</v>
      </c>
      <c r="Z398" s="61" t="n">
        <v>796</v>
      </c>
      <c r="AA398" s="61" t="str">
        <f aca="false">IF(MATCH($A398,Datos_Origen!$A$2:$A$2459,0)=$Z398,"OK","REVISAR")</f>
        <v>OK</v>
      </c>
      <c r="AB398" s="62" t="n">
        <f aca="false">INDEX(Datos_Origen!$B$2:$B$2459,$Z398)</f>
        <v>45408</v>
      </c>
      <c r="AC398" s="61" t="str">
        <f aca="false">INDEX(Datos_Origen!$H$2:$H$2459,$Z398)</f>
        <v>19</v>
      </c>
      <c r="AD398" s="61" t="str">
        <f aca="false">INDEX(Datos_Origen!$D$2:$D$2459,$Z398)&amp;""</f>
        <v>Tucuman</v>
      </c>
    </row>
    <row r="399" customFormat="false" ht="15" hidden="false" customHeight="false" outlineLevel="0" collapsed="false">
      <c r="A399" s="61" t="n">
        <f aca="false">INDEX(Datos_Origen!$A$2:$A$2459,$Z399)</f>
        <v>398</v>
      </c>
      <c r="B399" s="62" t="n">
        <f aca="false">IF(ISNUMBER($AB399),$AB399,IF(MID($AB399,5,1)="-",DATE(VALUE(LEFT($AB399,4)),VALUE(MID($AB399,6,2)),VALUE(RIGHT($AB399,2))),DATE(VALUE(RIGHT($AB399,4)),VALUE(MID($AB399,4,2)),VALUE(LEFT($AB399,2)))))</f>
        <v>45388</v>
      </c>
      <c r="C399" s="61" t="n">
        <f aca="false">YEAR($B399)</f>
        <v>2024</v>
      </c>
      <c r="D399" s="61" t="str">
        <f aca="false">"Q"&amp;ROUNDUP(MONTH($B399)/3,0)</f>
        <v>Q2</v>
      </c>
      <c r="E399" s="61" t="n">
        <f aca="false">MONTH($B399)</f>
        <v>4</v>
      </c>
      <c r="F399" s="61" t="str">
        <f aca="false">INDEX(Parametros!$I$5:$I$16,$E399)</f>
        <v>Abr</v>
      </c>
      <c r="G399" s="61" t="str">
        <f aca="false">TEXT($C399,"0000")&amp;"-"&amp;TEXT($E399,"00")</f>
        <v>2024-04</v>
      </c>
      <c r="H399" s="61" t="str">
        <f aca="false">INDEX(Parametros!$C$71:$C$91,MATCH(TRIM(INDEX(Datos_Origen!$C$2:$C$2459,$Z399)),Parametros!$B$71:$B$91,0))</f>
        <v>NOA</v>
      </c>
      <c r="I399" s="61" t="str">
        <f aca="false">IF(TRIM($AD399)="",INDEX(Parametros!$I$20:$I$24,MATCH($H399,Parametros!$H$20:$H$24,0)),TRIM($AD399))</f>
        <v>Tucuman</v>
      </c>
      <c r="J399" s="61" t="str">
        <f aca="false">INDEX(Parametros!$C$95:$C$106,MATCH(TRIM(INDEX(Datos_Origen!$E$2:$E$2459,$Z399)),Parametros!$B$95:$B$106,0))</f>
        <v>E-commerce</v>
      </c>
      <c r="K399" s="61" t="str">
        <f aca="false">INDEX(Parametros!$C$48:$C$67,MATCH(TRIM(INDEX(Datos_Origen!$F$2:$F$2459,$Z399)),Parametros!$B$48:$B$67,0))</f>
        <v>Almacenamiento</v>
      </c>
      <c r="L399" s="61" t="str">
        <f aca="false">$K399&amp;" "&amp;$C399</f>
        <v>Almacenamiento 2024</v>
      </c>
      <c r="M399" s="61" t="str">
        <f aca="false">TRIM(INDEX(Datos_Origen!$G$2:$G$2459,$Z399))</f>
        <v>SSD Externo 1TB</v>
      </c>
      <c r="N399" s="61" t="str">
        <f aca="false">$M399&amp;" "&amp;$C399</f>
        <v>SSD Externo 1TB 2024</v>
      </c>
      <c r="O399" s="63" t="n">
        <f aca="false">IF(ISTEXT($AC399),VALUE($AC399),$AC399)</f>
        <v>7</v>
      </c>
      <c r="P399" s="64" t="n">
        <f aca="false">INDEX(Datos_Origen!$I$2:$I$2459,$Z399)</f>
        <v>127.4</v>
      </c>
      <c r="Q399" s="64" t="n">
        <f aca="false">INDEX(Datos_Origen!$J$2:$J$2459,$Z399)</f>
        <v>76.05</v>
      </c>
      <c r="R399" s="65" t="n">
        <f aca="false">ROUND($O399*$P399,2)</f>
        <v>891.8</v>
      </c>
      <c r="S399" s="65" t="n">
        <f aca="false">ROUND($O399*$Q399,2)</f>
        <v>532.35</v>
      </c>
      <c r="T399" s="65" t="n">
        <f aca="false">ROUND($R399*SUMIFS(Parametros!$E$28:$E$43,Parametros!$B$28:$B$43,$J399,Parametros!$C$28:$C$43,$C399,Parametros!$D$28:$D$43,$D399),2)</f>
        <v>39.24</v>
      </c>
      <c r="U399" s="65" t="n">
        <f aca="false">$R399-$S399-$T399</f>
        <v>320.21</v>
      </c>
      <c r="V399" s="66" t="n">
        <f aca="false">IFERROR($U399/$R399,0)</f>
        <v>0.359060327427674</v>
      </c>
      <c r="W399" s="67" t="str">
        <f aca="false">IF(AND($V399&gt;=Parametros!$C$8,$R399&gt;=Parametros!$C$12),"Alta rentabilidad",IF(OR($V399&lt;Parametros!$C$11,$R399&lt;Parametros!$C$13),"Revisar","Estandar"))</f>
        <v>Estandar</v>
      </c>
      <c r="X399" s="67" t="str">
        <f aca="false">IF(AND($J399="E-commerce",IFERROR($T399/$R399,0)&gt;Parametros!$C$14),"Alerta","OK")</f>
        <v>OK</v>
      </c>
      <c r="Y399" s="61" t="str">
        <f aca="false">IF($R399&gt;=Parametros!$C$12,"Alto",IF($R399&lt;Parametros!$C$13,"Bajo","Medio"))</f>
        <v>Medio</v>
      </c>
      <c r="Z399" s="61" t="n">
        <v>2130</v>
      </c>
      <c r="AA399" s="61" t="str">
        <f aca="false">IF(MATCH($A399,Datos_Origen!$A$2:$A$2459,0)=$Z399,"OK","REVISAR")</f>
        <v>OK</v>
      </c>
      <c r="AB399" s="62" t="n">
        <f aca="false">INDEX(Datos_Origen!$B$2:$B$2459,$Z399)</f>
        <v>45388</v>
      </c>
      <c r="AC399" s="61" t="n">
        <f aca="false">INDEX(Datos_Origen!$H$2:$H$2459,$Z399)</f>
        <v>7</v>
      </c>
      <c r="AD399" s="61" t="str">
        <f aca="false">INDEX(Datos_Origen!$D$2:$D$2459,$Z399)&amp;""</f>
        <v>Tucuman</v>
      </c>
    </row>
    <row r="400" customFormat="false" ht="15" hidden="false" customHeight="false" outlineLevel="0" collapsed="false">
      <c r="A400" s="61" t="n">
        <f aca="false">INDEX(Datos_Origen!$A$2:$A$2459,$Z400)</f>
        <v>399</v>
      </c>
      <c r="B400" s="62" t="n">
        <f aca="false">IF(ISNUMBER($AB400),$AB400,IF(MID($AB400,5,1)="-",DATE(VALUE(LEFT($AB400,4)),VALUE(MID($AB400,6,2)),VALUE(RIGHT($AB400,2))),DATE(VALUE(RIGHT($AB400,4)),VALUE(MID($AB400,4,2)),VALUE(LEFT($AB400,2)))))</f>
        <v>45395</v>
      </c>
      <c r="C400" s="61" t="n">
        <f aca="false">YEAR($B400)</f>
        <v>2024</v>
      </c>
      <c r="D400" s="61" t="str">
        <f aca="false">"Q"&amp;ROUNDUP(MONTH($B400)/3,0)</f>
        <v>Q2</v>
      </c>
      <c r="E400" s="61" t="n">
        <f aca="false">MONTH($B400)</f>
        <v>4</v>
      </c>
      <c r="F400" s="61" t="str">
        <f aca="false">INDEX(Parametros!$I$5:$I$16,$E400)</f>
        <v>Abr</v>
      </c>
      <c r="G400" s="61" t="str">
        <f aca="false">TEXT($C400,"0000")&amp;"-"&amp;TEXT($E400,"00")</f>
        <v>2024-04</v>
      </c>
      <c r="H400" s="61" t="str">
        <f aca="false">INDEX(Parametros!$C$71:$C$91,MATCH(TRIM(INDEX(Datos_Origen!$C$2:$C$2459,$Z400)),Parametros!$B$71:$B$91,0))</f>
        <v>NOA</v>
      </c>
      <c r="I400" s="61" t="str">
        <f aca="false">IF(TRIM($AD400)="",INDEX(Parametros!$I$20:$I$24,MATCH($H400,Parametros!$H$20:$H$24,0)),TRIM($AD400))</f>
        <v>Tucuman</v>
      </c>
      <c r="J400" s="61" t="str">
        <f aca="false">INDEX(Parametros!$C$95:$C$106,MATCH(TRIM(INDEX(Datos_Origen!$E$2:$E$2459,$Z400)),Parametros!$B$95:$B$106,0))</f>
        <v>Tienda fisica</v>
      </c>
      <c r="K400" s="61" t="str">
        <f aca="false">INDEX(Parametros!$C$48:$C$67,MATCH(TRIM(INDEX(Datos_Origen!$F$2:$F$2459,$Z400)),Parametros!$B$48:$B$67,0))</f>
        <v>Almacenamiento</v>
      </c>
      <c r="L400" s="61" t="str">
        <f aca="false">$K400&amp;" "&amp;$C400</f>
        <v>Almacenamiento 2024</v>
      </c>
      <c r="M400" s="61" t="str">
        <f aca="false">TRIM(INDEX(Datos_Origen!$G$2:$G$2459,$Z400))</f>
        <v>Pendrive 256GB</v>
      </c>
      <c r="N400" s="61" t="str">
        <f aca="false">$M400&amp;" "&amp;$C400</f>
        <v>Pendrive 256GB 2024</v>
      </c>
      <c r="O400" s="63" t="n">
        <f aca="false">IF(ISTEXT($AC400),VALUE($AC400),$AC400)</f>
        <v>19</v>
      </c>
      <c r="P400" s="64" t="n">
        <f aca="false">INDEX(Datos_Origen!$I$2:$I$2459,$Z400)</f>
        <v>34.3</v>
      </c>
      <c r="Q400" s="64" t="n">
        <f aca="false">INDEX(Datos_Origen!$J$2:$J$2459,$Z400)</f>
        <v>17.85</v>
      </c>
      <c r="R400" s="65" t="n">
        <f aca="false">ROUND($O400*$P400,2)</f>
        <v>651.7</v>
      </c>
      <c r="S400" s="65" t="n">
        <f aca="false">ROUND($O400*$Q400,2)</f>
        <v>339.15</v>
      </c>
      <c r="T400" s="65" t="n">
        <f aca="false">ROUND($R400*SUMIFS(Parametros!$E$28:$E$43,Parametros!$B$28:$B$43,$J400,Parametros!$C$28:$C$43,$C400,Parametros!$D$28:$D$43,$D400),2)</f>
        <v>7.82</v>
      </c>
      <c r="U400" s="65" t="n">
        <f aca="false">$R400-$S400-$T400</f>
        <v>304.73</v>
      </c>
      <c r="V400" s="66" t="n">
        <f aca="false">IFERROR($U400/$R400,0)</f>
        <v>0.46759245051404</v>
      </c>
      <c r="W400" s="67" t="str">
        <f aca="false">IF(AND($V400&gt;=Parametros!$C$8,$R400&gt;=Parametros!$C$12),"Alta rentabilidad",IF(OR($V400&lt;Parametros!$C$11,$R400&lt;Parametros!$C$13),"Revisar","Estandar"))</f>
        <v>Estandar</v>
      </c>
      <c r="X400" s="67" t="str">
        <f aca="false">IF(AND($J400="E-commerce",IFERROR($T400/$R400,0)&gt;Parametros!$C$14),"Alerta","OK")</f>
        <v>OK</v>
      </c>
      <c r="Y400" s="61" t="str">
        <f aca="false">IF($R400&gt;=Parametros!$C$12,"Alto",IF($R400&lt;Parametros!$C$13,"Bajo","Medio"))</f>
        <v>Medio</v>
      </c>
      <c r="Z400" s="61" t="n">
        <v>1621</v>
      </c>
      <c r="AA400" s="61" t="str">
        <f aca="false">IF(MATCH($A400,Datos_Origen!$A$2:$A$2459,0)=$Z400,"OK","REVISAR")</f>
        <v>OK</v>
      </c>
      <c r="AB400" s="61" t="str">
        <f aca="false">INDEX(Datos_Origen!$B$2:$B$2459,$Z400)</f>
        <v>2024-04-13</v>
      </c>
      <c r="AC400" s="61" t="n">
        <f aca="false">INDEX(Datos_Origen!$H$2:$H$2459,$Z400)</f>
        <v>19</v>
      </c>
      <c r="AD400" s="61" t="str">
        <f aca="false">INDEX(Datos_Origen!$D$2:$D$2459,$Z400)&amp;""</f>
        <v>Tucuman</v>
      </c>
    </row>
    <row r="401" customFormat="false" ht="15" hidden="false" customHeight="false" outlineLevel="0" collapsed="false">
      <c r="A401" s="61" t="n">
        <f aca="false">INDEX(Datos_Origen!$A$2:$A$2459,$Z401)</f>
        <v>400</v>
      </c>
      <c r="B401" s="62" t="n">
        <f aca="false">IF(ISNUMBER($AB401),$AB401,IF(MID($AB401,5,1)="-",DATE(VALUE(LEFT($AB401,4)),VALUE(MID($AB401,6,2)),VALUE(RIGHT($AB401,2))),DATE(VALUE(RIGHT($AB401,4)),VALUE(MID($AB401,4,2)),VALUE(LEFT($AB401,2)))))</f>
        <v>45402</v>
      </c>
      <c r="C401" s="61" t="n">
        <f aca="false">YEAR($B401)</f>
        <v>2024</v>
      </c>
      <c r="D401" s="61" t="str">
        <f aca="false">"Q"&amp;ROUNDUP(MONTH($B401)/3,0)</f>
        <v>Q2</v>
      </c>
      <c r="E401" s="61" t="n">
        <f aca="false">MONTH($B401)</f>
        <v>4</v>
      </c>
      <c r="F401" s="61" t="str">
        <f aca="false">INDEX(Parametros!$I$5:$I$16,$E401)</f>
        <v>Abr</v>
      </c>
      <c r="G401" s="61" t="str">
        <f aca="false">TEXT($C401,"0000")&amp;"-"&amp;TEXT($E401,"00")</f>
        <v>2024-04</v>
      </c>
      <c r="H401" s="61" t="str">
        <f aca="false">INDEX(Parametros!$C$71:$C$91,MATCH(TRIM(INDEX(Datos_Origen!$C$2:$C$2459,$Z401)),Parametros!$B$71:$B$91,0))</f>
        <v>NOA</v>
      </c>
      <c r="I401" s="61" t="str">
        <f aca="false">IF(TRIM($AD401)="",INDEX(Parametros!$I$20:$I$24,MATCH($H401,Parametros!$H$20:$H$24,0)),TRIM($AD401))</f>
        <v>Tucuman</v>
      </c>
      <c r="J401" s="61" t="str">
        <f aca="false">INDEX(Parametros!$C$95:$C$106,MATCH(TRIM(INDEX(Datos_Origen!$E$2:$E$2459,$Z401)),Parametros!$B$95:$B$106,0))</f>
        <v>E-commerce</v>
      </c>
      <c r="K401" s="61" t="str">
        <f aca="false">INDEX(Parametros!$C$48:$C$67,MATCH(TRIM(INDEX(Datos_Origen!$F$2:$F$2459,$Z401)),Parametros!$B$48:$B$67,0))</f>
        <v>Almacenamiento</v>
      </c>
      <c r="L401" s="61" t="str">
        <f aca="false">$K401&amp;" "&amp;$C401</f>
        <v>Almacenamiento 2024</v>
      </c>
      <c r="M401" s="61" t="str">
        <f aca="false">TRIM(INDEX(Datos_Origen!$G$2:$G$2459,$Z401))</f>
        <v>Pendrive 256GB</v>
      </c>
      <c r="N401" s="61" t="str">
        <f aca="false">$M401&amp;" "&amp;$C401</f>
        <v>Pendrive 256GB 2024</v>
      </c>
      <c r="O401" s="63" t="n">
        <f aca="false">IF(ISTEXT($AC401),VALUE($AC401),$AC401)</f>
        <v>5</v>
      </c>
      <c r="P401" s="64" t="n">
        <f aca="false">INDEX(Datos_Origen!$I$2:$I$2459,$Z401)</f>
        <v>34.3</v>
      </c>
      <c r="Q401" s="64" t="n">
        <f aca="false">INDEX(Datos_Origen!$J$2:$J$2459,$Z401)</f>
        <v>17.85</v>
      </c>
      <c r="R401" s="65" t="n">
        <f aca="false">ROUND($O401*$P401,2)</f>
        <v>171.5</v>
      </c>
      <c r="S401" s="65" t="n">
        <f aca="false">ROUND($O401*$Q401,2)</f>
        <v>89.25</v>
      </c>
      <c r="T401" s="65" t="n">
        <f aca="false">ROUND($R401*SUMIFS(Parametros!$E$28:$E$43,Parametros!$B$28:$B$43,$J401,Parametros!$C$28:$C$43,$C401,Parametros!$D$28:$D$43,$D401),2)</f>
        <v>7.55</v>
      </c>
      <c r="U401" s="65" t="n">
        <f aca="false">$R401-$S401-$T401</f>
        <v>74.7</v>
      </c>
      <c r="V401" s="66" t="n">
        <f aca="false">IFERROR($U401/$R401,0)</f>
        <v>0.435568513119534</v>
      </c>
      <c r="W401" s="67" t="str">
        <f aca="false">IF(AND($V401&gt;=Parametros!$C$8,$R401&gt;=Parametros!$C$12),"Alta rentabilidad",IF(OR($V401&lt;Parametros!$C$11,$R401&lt;Parametros!$C$13),"Revisar","Estandar"))</f>
        <v>Revisar</v>
      </c>
      <c r="X401" s="67" t="str">
        <f aca="false">IF(AND($J401="E-commerce",IFERROR($T401/$R401,0)&gt;Parametros!$C$14),"Alerta","OK")</f>
        <v>OK</v>
      </c>
      <c r="Y401" s="61" t="str">
        <f aca="false">IF($R401&gt;=Parametros!$C$12,"Alto",IF($R401&lt;Parametros!$C$13,"Bajo","Medio"))</f>
        <v>Bajo</v>
      </c>
      <c r="Z401" s="61" t="n">
        <v>690</v>
      </c>
      <c r="AA401" s="61" t="str">
        <f aca="false">IF(MATCH($A401,Datos_Origen!$A$2:$A$2459,0)=$Z401,"OK","REVISAR")</f>
        <v>OK</v>
      </c>
      <c r="AB401" s="62" t="n">
        <f aca="false">INDEX(Datos_Origen!$B$2:$B$2459,$Z401)</f>
        <v>45402</v>
      </c>
      <c r="AC401" s="61" t="n">
        <f aca="false">INDEX(Datos_Origen!$H$2:$H$2459,$Z401)</f>
        <v>5</v>
      </c>
      <c r="AD401" s="61" t="str">
        <f aca="false">INDEX(Datos_Origen!$D$2:$D$2459,$Z401)&amp;""</f>
        <v>Tucuman</v>
      </c>
    </row>
    <row r="402" customFormat="false" ht="15" hidden="false" customHeight="false" outlineLevel="0" collapsed="false">
      <c r="A402" s="61" t="n">
        <f aca="false">INDEX(Datos_Origen!$A$2:$A$2459,$Z402)</f>
        <v>401</v>
      </c>
      <c r="B402" s="62" t="n">
        <f aca="false">IF(ISNUMBER($AB402),$AB402,IF(MID($AB402,5,1)="-",DATE(VALUE(LEFT($AB402,4)),VALUE(MID($AB402,6,2)),VALUE(RIGHT($AB402,2))),DATE(VALUE(RIGHT($AB402,4)),VALUE(MID($AB402,4,2)),VALUE(LEFT($AB402,2)))))</f>
        <v>45439</v>
      </c>
      <c r="C402" s="61" t="n">
        <f aca="false">YEAR($B402)</f>
        <v>2024</v>
      </c>
      <c r="D402" s="61" t="str">
        <f aca="false">"Q"&amp;ROUNDUP(MONTH($B402)/3,0)</f>
        <v>Q2</v>
      </c>
      <c r="E402" s="61" t="n">
        <f aca="false">MONTH($B402)</f>
        <v>5</v>
      </c>
      <c r="F402" s="61" t="str">
        <f aca="false">INDEX(Parametros!$I$5:$I$16,$E402)</f>
        <v>May</v>
      </c>
      <c r="G402" s="61" t="str">
        <f aca="false">TEXT($C402,"0000")&amp;"-"&amp;TEXT($E402,"00")</f>
        <v>2024-05</v>
      </c>
      <c r="H402" s="61" t="str">
        <f aca="false">INDEX(Parametros!$C$71:$C$91,MATCH(TRIM(INDEX(Datos_Origen!$C$2:$C$2459,$Z402)),Parametros!$B$71:$B$91,0))</f>
        <v>AMBA</v>
      </c>
      <c r="I402" s="61" t="str">
        <f aca="false">IF(TRIM($AD402)="",INDEX(Parametros!$I$20:$I$24,MATCH($H402,Parametros!$H$20:$H$24,0)),TRIM($AD402))</f>
        <v>Buenos Aires</v>
      </c>
      <c r="J402" s="61" t="str">
        <f aca="false">INDEX(Parametros!$C$95:$C$106,MATCH(TRIM(INDEX(Datos_Origen!$E$2:$E$2459,$Z402)),Parametros!$B$95:$B$106,0))</f>
        <v>Tienda fisica</v>
      </c>
      <c r="K402" s="61" t="str">
        <f aca="false">INDEX(Parametros!$C$48:$C$67,MATCH(TRIM(INDEX(Datos_Origen!$F$2:$F$2459,$Z402)),Parametros!$B$48:$B$67,0))</f>
        <v>Computacion</v>
      </c>
      <c r="L402" s="61" t="str">
        <f aca="false">$K402&amp;" "&amp;$C402</f>
        <v>Computacion 2024</v>
      </c>
      <c r="M402" s="61" t="str">
        <f aca="false">TRIM(INDEX(Datos_Origen!$G$2:$G$2459,$Z402))</f>
        <v>Laptop Pro 15</v>
      </c>
      <c r="N402" s="61" t="str">
        <f aca="false">$M402&amp;" "&amp;$C402</f>
        <v>Laptop Pro 15 2024</v>
      </c>
      <c r="O402" s="63" t="n">
        <f aca="false">IF(ISTEXT($AC402),VALUE($AC402),$AC402)</f>
        <v>21</v>
      </c>
      <c r="P402" s="64" t="n">
        <f aca="false">INDEX(Datos_Origen!$I$2:$I$2459,$Z402)</f>
        <v>1176</v>
      </c>
      <c r="Q402" s="64" t="n">
        <f aca="false">INDEX(Datos_Origen!$J$2:$J$2459,$Z402)</f>
        <v>744</v>
      </c>
      <c r="R402" s="65" t="n">
        <f aca="false">ROUND($O402*$P402,2)</f>
        <v>24696</v>
      </c>
      <c r="S402" s="65" t="n">
        <f aca="false">ROUND($O402*$Q402,2)</f>
        <v>15624</v>
      </c>
      <c r="T402" s="65" t="n">
        <f aca="false">ROUND($R402*SUMIFS(Parametros!$E$28:$E$43,Parametros!$B$28:$B$43,$J402,Parametros!$C$28:$C$43,$C402,Parametros!$D$28:$D$43,$D402),2)</f>
        <v>296.35</v>
      </c>
      <c r="U402" s="65" t="n">
        <f aca="false">$R402-$S402-$T402</f>
        <v>8775.65</v>
      </c>
      <c r="V402" s="66" t="n">
        <f aca="false">IFERROR($U402/$R402,0)</f>
        <v>0.355347019760285</v>
      </c>
      <c r="W402" s="67" t="str">
        <f aca="false">IF(AND($V402&gt;=Parametros!$C$8,$R402&gt;=Parametros!$C$12),"Alta rentabilidad",IF(OR($V402&lt;Parametros!$C$11,$R402&lt;Parametros!$C$13),"Revisar","Estandar"))</f>
        <v>Alta rentabilidad</v>
      </c>
      <c r="X402" s="67" t="str">
        <f aca="false">IF(AND($J402="E-commerce",IFERROR($T402/$R402,0)&gt;Parametros!$C$14),"Alerta","OK")</f>
        <v>OK</v>
      </c>
      <c r="Y402" s="61" t="str">
        <f aca="false">IF($R402&gt;=Parametros!$C$12,"Alto",IF($R402&lt;Parametros!$C$13,"Bajo","Medio"))</f>
        <v>Alto</v>
      </c>
      <c r="Z402" s="61" t="n">
        <v>879</v>
      </c>
      <c r="AA402" s="61" t="str">
        <f aca="false">IF(MATCH($A402,Datos_Origen!$A$2:$A$2459,0)=$Z402,"OK","REVISAR")</f>
        <v>OK</v>
      </c>
      <c r="AB402" s="62" t="n">
        <f aca="false">INDEX(Datos_Origen!$B$2:$B$2459,$Z402)</f>
        <v>45439</v>
      </c>
      <c r="AC402" s="61" t="n">
        <f aca="false">INDEX(Datos_Origen!$H$2:$H$2459,$Z402)</f>
        <v>21</v>
      </c>
      <c r="AD402" s="61" t="str">
        <f aca="false">INDEX(Datos_Origen!$D$2:$D$2459,$Z402)&amp;""</f>
        <v>Buenos Aires</v>
      </c>
    </row>
    <row r="403" customFormat="false" ht="15" hidden="false" customHeight="false" outlineLevel="0" collapsed="false">
      <c r="A403" s="61" t="n">
        <f aca="false">INDEX(Datos_Origen!$A$2:$A$2459,$Z403)</f>
        <v>402</v>
      </c>
      <c r="B403" s="62" t="n">
        <f aca="false">IF(ISNUMBER($AB403),$AB403,IF(MID($AB403,5,1)="-",DATE(VALUE(LEFT($AB403,4)),VALUE(MID($AB403,6,2)),VALUE(RIGHT($AB403,2))),DATE(VALUE(RIGHT($AB403,4)),VALUE(MID($AB403,4,2)),VALUE(LEFT($AB403,2)))))</f>
        <v>45419</v>
      </c>
      <c r="C403" s="61" t="n">
        <f aca="false">YEAR($B403)</f>
        <v>2024</v>
      </c>
      <c r="D403" s="61" t="str">
        <f aca="false">"Q"&amp;ROUNDUP(MONTH($B403)/3,0)</f>
        <v>Q2</v>
      </c>
      <c r="E403" s="61" t="n">
        <f aca="false">MONTH($B403)</f>
        <v>5</v>
      </c>
      <c r="F403" s="61" t="str">
        <f aca="false">INDEX(Parametros!$I$5:$I$16,$E403)</f>
        <v>May</v>
      </c>
      <c r="G403" s="61" t="str">
        <f aca="false">TEXT($C403,"0000")&amp;"-"&amp;TEXT($E403,"00")</f>
        <v>2024-05</v>
      </c>
      <c r="H403" s="61" t="str">
        <f aca="false">INDEX(Parametros!$C$71:$C$91,MATCH(TRIM(INDEX(Datos_Origen!$C$2:$C$2459,$Z403)),Parametros!$B$71:$B$91,0))</f>
        <v>AMBA</v>
      </c>
      <c r="I403" s="61" t="str">
        <f aca="false">IF(TRIM($AD403)="",INDEX(Parametros!$I$20:$I$24,MATCH($H403,Parametros!$H$20:$H$24,0)),TRIM($AD403))</f>
        <v>Buenos Aires</v>
      </c>
      <c r="J403" s="61" t="str">
        <f aca="false">INDEX(Parametros!$C$95:$C$106,MATCH(TRIM(INDEX(Datos_Origen!$E$2:$E$2459,$Z403)),Parametros!$B$95:$B$106,0))</f>
        <v>E-commerce</v>
      </c>
      <c r="K403" s="61" t="str">
        <f aca="false">INDEX(Parametros!$C$48:$C$67,MATCH(TRIM(INDEX(Datos_Origen!$F$2:$F$2459,$Z403)),Parametros!$B$48:$B$67,0))</f>
        <v>Computacion</v>
      </c>
      <c r="L403" s="61" t="str">
        <f aca="false">$K403&amp;" "&amp;$C403</f>
        <v>Computacion 2024</v>
      </c>
      <c r="M403" s="61" t="str">
        <f aca="false">TRIM(INDEX(Datos_Origen!$G$2:$G$2459,$Z403))</f>
        <v>Laptop Pro 15</v>
      </c>
      <c r="N403" s="61" t="str">
        <f aca="false">$M403&amp;" "&amp;$C403</f>
        <v>Laptop Pro 15 2024</v>
      </c>
      <c r="O403" s="63" t="n">
        <f aca="false">IF(ISTEXT($AC403),VALUE($AC403),$AC403)</f>
        <v>7</v>
      </c>
      <c r="P403" s="64" t="n">
        <f aca="false">INDEX(Datos_Origen!$I$2:$I$2459,$Z403)</f>
        <v>1176</v>
      </c>
      <c r="Q403" s="64" t="n">
        <f aca="false">INDEX(Datos_Origen!$J$2:$J$2459,$Z403)</f>
        <v>744</v>
      </c>
      <c r="R403" s="65" t="n">
        <f aca="false">ROUND($O403*$P403,2)</f>
        <v>8232</v>
      </c>
      <c r="S403" s="65" t="n">
        <f aca="false">ROUND($O403*$Q403,2)</f>
        <v>5208</v>
      </c>
      <c r="T403" s="65" t="n">
        <f aca="false">ROUND($R403*SUMIFS(Parametros!$E$28:$E$43,Parametros!$B$28:$B$43,$J403,Parametros!$C$28:$C$43,$C403,Parametros!$D$28:$D$43,$D403),2)</f>
        <v>362.21</v>
      </c>
      <c r="U403" s="65" t="n">
        <f aca="false">$R403-$S403-$T403</f>
        <v>2661.79</v>
      </c>
      <c r="V403" s="66" t="n">
        <f aca="false">IFERROR($U403/$R403,0)</f>
        <v>0.323346695821186</v>
      </c>
      <c r="W403" s="67" t="str">
        <f aca="false">IF(AND($V403&gt;=Parametros!$C$8,$R403&gt;=Parametros!$C$12),"Alta rentabilidad",IF(OR($V403&lt;Parametros!$C$11,$R403&lt;Parametros!$C$13),"Revisar","Estandar"))</f>
        <v>Estandar</v>
      </c>
      <c r="X403" s="67" t="str">
        <f aca="false">IF(AND($J403="E-commerce",IFERROR($T403/$R403,0)&gt;Parametros!$C$14),"Alerta","OK")</f>
        <v>OK</v>
      </c>
      <c r="Y403" s="61" t="str">
        <f aca="false">IF($R403&gt;=Parametros!$C$12,"Alto",IF($R403&lt;Parametros!$C$13,"Bajo","Medio"))</f>
        <v>Alto</v>
      </c>
      <c r="Z403" s="61" t="n">
        <v>599</v>
      </c>
      <c r="AA403" s="61" t="str">
        <f aca="false">IF(MATCH($A403,Datos_Origen!$A$2:$A$2459,0)=$Z403,"OK","REVISAR")</f>
        <v>OK</v>
      </c>
      <c r="AB403" s="62" t="n">
        <f aca="false">INDEX(Datos_Origen!$B$2:$B$2459,$Z403)</f>
        <v>45419</v>
      </c>
      <c r="AC403" s="61" t="n">
        <f aca="false">INDEX(Datos_Origen!$H$2:$H$2459,$Z403)</f>
        <v>7</v>
      </c>
      <c r="AD403" s="61" t="str">
        <f aca="false">INDEX(Datos_Origen!$D$2:$D$2459,$Z403)&amp;""</f>
        <v>Buenos Aires</v>
      </c>
    </row>
    <row r="404" customFormat="false" ht="15" hidden="false" customHeight="false" outlineLevel="0" collapsed="false">
      <c r="A404" s="61" t="n">
        <f aca="false">INDEX(Datos_Origen!$A$2:$A$2459,$Z404)</f>
        <v>403</v>
      </c>
      <c r="B404" s="62" t="n">
        <f aca="false">IF(ISNUMBER($AB404),$AB404,IF(MID($AB404,5,1)="-",DATE(VALUE(LEFT($AB404,4)),VALUE(MID($AB404,6,2)),VALUE(RIGHT($AB404,2))),DATE(VALUE(RIGHT($AB404,4)),VALUE(MID($AB404,4,2)),VALUE(LEFT($AB404,2)))))</f>
        <v>45426</v>
      </c>
      <c r="C404" s="61" t="n">
        <f aca="false">YEAR($B404)</f>
        <v>2024</v>
      </c>
      <c r="D404" s="61" t="str">
        <f aca="false">"Q"&amp;ROUNDUP(MONTH($B404)/3,0)</f>
        <v>Q2</v>
      </c>
      <c r="E404" s="61" t="n">
        <f aca="false">MONTH($B404)</f>
        <v>5</v>
      </c>
      <c r="F404" s="61" t="str">
        <f aca="false">INDEX(Parametros!$I$5:$I$16,$E404)</f>
        <v>May</v>
      </c>
      <c r="G404" s="61" t="str">
        <f aca="false">TEXT($C404,"0000")&amp;"-"&amp;TEXT($E404,"00")</f>
        <v>2024-05</v>
      </c>
      <c r="H404" s="61" t="str">
        <f aca="false">INDEX(Parametros!$C$71:$C$91,MATCH(TRIM(INDEX(Datos_Origen!$C$2:$C$2459,$Z404)),Parametros!$B$71:$B$91,0))</f>
        <v>AMBA</v>
      </c>
      <c r="I404" s="61" t="str">
        <f aca="false">IF(TRIM($AD404)="",INDEX(Parametros!$I$20:$I$24,MATCH($H404,Parametros!$H$20:$H$24,0)),TRIM($AD404))</f>
        <v>Buenos Aires</v>
      </c>
      <c r="J404" s="61" t="str">
        <f aca="false">INDEX(Parametros!$C$95:$C$106,MATCH(TRIM(INDEX(Datos_Origen!$E$2:$E$2459,$Z404)),Parametros!$B$95:$B$106,0))</f>
        <v>Tienda fisica</v>
      </c>
      <c r="K404" s="61" t="str">
        <f aca="false">INDEX(Parametros!$C$48:$C$67,MATCH(TRIM(INDEX(Datos_Origen!$F$2:$F$2459,$Z404)),Parametros!$B$48:$B$67,0))</f>
        <v>Computacion</v>
      </c>
      <c r="L404" s="61" t="str">
        <f aca="false">$K404&amp;" "&amp;$C404</f>
        <v>Computacion 2024</v>
      </c>
      <c r="M404" s="61" t="str">
        <f aca="false">TRIM(INDEX(Datos_Origen!$G$2:$G$2459,$Z404))</f>
        <v>Monitor 4K 27</v>
      </c>
      <c r="N404" s="61" t="str">
        <f aca="false">$M404&amp;" "&amp;$C404</f>
        <v>Monitor 4K 27 2024</v>
      </c>
      <c r="O404" s="63" t="n">
        <f aca="false">IF(ISTEXT($AC404),VALUE($AC404),$AC404)</f>
        <v>22</v>
      </c>
      <c r="P404" s="64" t="n">
        <f aca="false">INDEX(Datos_Origen!$I$2:$I$2459,$Z404)</f>
        <v>441</v>
      </c>
      <c r="Q404" s="64" t="n">
        <f aca="false">INDEX(Datos_Origen!$J$2:$J$2459,$Z404)</f>
        <v>272.25</v>
      </c>
      <c r="R404" s="65" t="n">
        <f aca="false">ROUND($O404*$P404,2)</f>
        <v>9702</v>
      </c>
      <c r="S404" s="65" t="n">
        <f aca="false">ROUND($O404*$Q404,2)</f>
        <v>5989.5</v>
      </c>
      <c r="T404" s="65" t="n">
        <f aca="false">ROUND($R404*SUMIFS(Parametros!$E$28:$E$43,Parametros!$B$28:$B$43,$J404,Parametros!$C$28:$C$43,$C404,Parametros!$D$28:$D$43,$D404),2)</f>
        <v>116.42</v>
      </c>
      <c r="U404" s="65" t="n">
        <f aca="false">$R404-$S404-$T404</f>
        <v>3596.08</v>
      </c>
      <c r="V404" s="66" t="n">
        <f aca="false">IFERROR($U404/$R404,0)</f>
        <v>0.370653473510616</v>
      </c>
      <c r="W404" s="67" t="str">
        <f aca="false">IF(AND($V404&gt;=Parametros!$C$8,$R404&gt;=Parametros!$C$12),"Alta rentabilidad",IF(OR($V404&lt;Parametros!$C$11,$R404&lt;Parametros!$C$13),"Revisar","Estandar"))</f>
        <v>Alta rentabilidad</v>
      </c>
      <c r="X404" s="67" t="str">
        <f aca="false">IF(AND($J404="E-commerce",IFERROR($T404/$R404,0)&gt;Parametros!$C$14),"Alerta","OK")</f>
        <v>OK</v>
      </c>
      <c r="Y404" s="61" t="str">
        <f aca="false">IF($R404&gt;=Parametros!$C$12,"Alto",IF($R404&lt;Parametros!$C$13,"Bajo","Medio"))</f>
        <v>Alto</v>
      </c>
      <c r="Z404" s="61" t="n">
        <v>955</v>
      </c>
      <c r="AA404" s="61" t="str">
        <f aca="false">IF(MATCH($A404,Datos_Origen!$A$2:$A$2459,0)=$Z404,"OK","REVISAR")</f>
        <v>OK</v>
      </c>
      <c r="AB404" s="62" t="n">
        <f aca="false">INDEX(Datos_Origen!$B$2:$B$2459,$Z404)</f>
        <v>45426</v>
      </c>
      <c r="AC404" s="61" t="n">
        <f aca="false">INDEX(Datos_Origen!$H$2:$H$2459,$Z404)</f>
        <v>22</v>
      </c>
      <c r="AD404" s="61" t="str">
        <f aca="false">INDEX(Datos_Origen!$D$2:$D$2459,$Z404)&amp;""</f>
        <v>Buenos Aires</v>
      </c>
    </row>
    <row r="405" customFormat="false" ht="15" hidden="false" customHeight="false" outlineLevel="0" collapsed="false">
      <c r="A405" s="61" t="n">
        <f aca="false">INDEX(Datos_Origen!$A$2:$A$2459,$Z405)</f>
        <v>404</v>
      </c>
      <c r="B405" s="62" t="n">
        <f aca="false">IF(ISNUMBER($AB405),$AB405,IF(MID($AB405,5,1)="-",DATE(VALUE(LEFT($AB405,4)),VALUE(MID($AB405,6,2)),VALUE(RIGHT($AB405,2))),DATE(VALUE(RIGHT($AB405,4)),VALUE(MID($AB405,4,2)),VALUE(LEFT($AB405,2)))))</f>
        <v>45433</v>
      </c>
      <c r="C405" s="61" t="n">
        <f aca="false">YEAR($B405)</f>
        <v>2024</v>
      </c>
      <c r="D405" s="61" t="str">
        <f aca="false">"Q"&amp;ROUNDUP(MONTH($B405)/3,0)</f>
        <v>Q2</v>
      </c>
      <c r="E405" s="61" t="n">
        <f aca="false">MONTH($B405)</f>
        <v>5</v>
      </c>
      <c r="F405" s="61" t="str">
        <f aca="false">INDEX(Parametros!$I$5:$I$16,$E405)</f>
        <v>May</v>
      </c>
      <c r="G405" s="61" t="str">
        <f aca="false">TEXT($C405,"0000")&amp;"-"&amp;TEXT($E405,"00")</f>
        <v>2024-05</v>
      </c>
      <c r="H405" s="61" t="str">
        <f aca="false">INDEX(Parametros!$C$71:$C$91,MATCH(TRIM(INDEX(Datos_Origen!$C$2:$C$2459,$Z405)),Parametros!$B$71:$B$91,0))</f>
        <v>AMBA</v>
      </c>
      <c r="I405" s="61" t="str">
        <f aca="false">IF(TRIM($AD405)="",INDEX(Parametros!$I$20:$I$24,MATCH($H405,Parametros!$H$20:$H$24,0)),TRIM($AD405))</f>
        <v>Buenos Aires</v>
      </c>
      <c r="J405" s="61" t="str">
        <f aca="false">INDEX(Parametros!$C$95:$C$106,MATCH(TRIM(INDEX(Datos_Origen!$E$2:$E$2459,$Z405)),Parametros!$B$95:$B$106,0))</f>
        <v>E-commerce</v>
      </c>
      <c r="K405" s="61" t="str">
        <f aca="false">INDEX(Parametros!$C$48:$C$67,MATCH(TRIM(INDEX(Datos_Origen!$F$2:$F$2459,$Z405)),Parametros!$B$48:$B$67,0))</f>
        <v>Computacion</v>
      </c>
      <c r="L405" s="61" t="str">
        <f aca="false">$K405&amp;" "&amp;$C405</f>
        <v>Computacion 2024</v>
      </c>
      <c r="M405" s="61" t="str">
        <f aca="false">TRIM(INDEX(Datos_Origen!$G$2:$G$2459,$Z405))</f>
        <v>Monitor 4K 27</v>
      </c>
      <c r="N405" s="61" t="str">
        <f aca="false">$M405&amp;" "&amp;$C405</f>
        <v>Monitor 4K 27 2024</v>
      </c>
      <c r="O405" s="63" t="n">
        <f aca="false">IF(ISTEXT($AC405),VALUE($AC405),$AC405)</f>
        <v>9</v>
      </c>
      <c r="P405" s="64" t="n">
        <f aca="false">INDEX(Datos_Origen!$I$2:$I$2459,$Z405)</f>
        <v>441</v>
      </c>
      <c r="Q405" s="64" t="n">
        <f aca="false">INDEX(Datos_Origen!$J$2:$J$2459,$Z405)</f>
        <v>272.25</v>
      </c>
      <c r="R405" s="65" t="n">
        <f aca="false">ROUND($O405*$P405,2)</f>
        <v>3969</v>
      </c>
      <c r="S405" s="65" t="n">
        <f aca="false">ROUND($O405*$Q405,2)</f>
        <v>2450.25</v>
      </c>
      <c r="T405" s="65" t="n">
        <f aca="false">ROUND($R405*SUMIFS(Parametros!$E$28:$E$43,Parametros!$B$28:$B$43,$J405,Parametros!$C$28:$C$43,$C405,Parametros!$D$28:$D$43,$D405),2)</f>
        <v>174.64</v>
      </c>
      <c r="U405" s="65" t="n">
        <f aca="false">$R405-$S405-$T405</f>
        <v>1344.11</v>
      </c>
      <c r="V405" s="66" t="n">
        <f aca="false">IFERROR($U405/$R405,0)</f>
        <v>0.338652053413958</v>
      </c>
      <c r="W405" s="67" t="str">
        <f aca="false">IF(AND($V405&gt;=Parametros!$C$8,$R405&gt;=Parametros!$C$12),"Alta rentabilidad",IF(OR($V405&lt;Parametros!$C$11,$R405&lt;Parametros!$C$13),"Revisar","Estandar"))</f>
        <v>Estandar</v>
      </c>
      <c r="X405" s="67" t="str">
        <f aca="false">IF(AND($J405="E-commerce",IFERROR($T405/$R405,0)&gt;Parametros!$C$14),"Alerta","OK")</f>
        <v>OK</v>
      </c>
      <c r="Y405" s="61" t="str">
        <f aca="false">IF($R405&gt;=Parametros!$C$12,"Alto",IF($R405&lt;Parametros!$C$13,"Bajo","Medio"))</f>
        <v>Alto</v>
      </c>
      <c r="Z405" s="61" t="n">
        <v>449</v>
      </c>
      <c r="AA405" s="61" t="str">
        <f aca="false">IF(MATCH($A405,Datos_Origen!$A$2:$A$2459,0)=$Z405,"OK","REVISAR")</f>
        <v>OK</v>
      </c>
      <c r="AB405" s="62" t="n">
        <f aca="false">INDEX(Datos_Origen!$B$2:$B$2459,$Z405)</f>
        <v>45433</v>
      </c>
      <c r="AC405" s="61" t="n">
        <f aca="false">INDEX(Datos_Origen!$H$2:$H$2459,$Z405)</f>
        <v>9</v>
      </c>
      <c r="AD405" s="61" t="str">
        <f aca="false">INDEX(Datos_Origen!$D$2:$D$2459,$Z405)&amp;""</f>
        <v>Buenos Aires</v>
      </c>
    </row>
    <row r="406" customFormat="false" ht="15" hidden="false" customHeight="false" outlineLevel="0" collapsed="false">
      <c r="A406" s="61" t="n">
        <f aca="false">INDEX(Datos_Origen!$A$2:$A$2459,$Z406)</f>
        <v>405</v>
      </c>
      <c r="B406" s="62" t="n">
        <f aca="false">IF(ISNUMBER($AB406),$AB406,IF(MID($AB406,5,1)="-",DATE(VALUE(LEFT($AB406,4)),VALUE(MID($AB406,6,2)),VALUE(RIGHT($AB406,2))),DATE(VALUE(RIGHT($AB406,4)),VALUE(MID($AB406,4,2)),VALUE(LEFT($AB406,2)))))</f>
        <v>45413</v>
      </c>
      <c r="C406" s="61" t="n">
        <f aca="false">YEAR($B406)</f>
        <v>2024</v>
      </c>
      <c r="D406" s="61" t="str">
        <f aca="false">"Q"&amp;ROUNDUP(MONTH($B406)/3,0)</f>
        <v>Q2</v>
      </c>
      <c r="E406" s="61" t="n">
        <f aca="false">MONTH($B406)</f>
        <v>5</v>
      </c>
      <c r="F406" s="61" t="str">
        <f aca="false">INDEX(Parametros!$I$5:$I$16,$E406)</f>
        <v>May</v>
      </c>
      <c r="G406" s="61" t="str">
        <f aca="false">TEXT($C406,"0000")&amp;"-"&amp;TEXT($E406,"00")</f>
        <v>2024-05</v>
      </c>
      <c r="H406" s="61" t="str">
        <f aca="false">INDEX(Parametros!$C$71:$C$91,MATCH(TRIM(INDEX(Datos_Origen!$C$2:$C$2459,$Z406)),Parametros!$B$71:$B$91,0))</f>
        <v>AMBA</v>
      </c>
      <c r="I406" s="61" t="str">
        <f aca="false">IF(TRIM($AD406)="",INDEX(Parametros!$I$20:$I$24,MATCH($H406,Parametros!$H$20:$H$24,0)),TRIM($AD406))</f>
        <v>Buenos Aires</v>
      </c>
      <c r="J406" s="61" t="str">
        <f aca="false">INDEX(Parametros!$C$95:$C$106,MATCH(TRIM(INDEX(Datos_Origen!$E$2:$E$2459,$Z406)),Parametros!$B$95:$B$106,0))</f>
        <v>Tienda fisica</v>
      </c>
      <c r="K406" s="61" t="str">
        <f aca="false">INDEX(Parametros!$C$48:$C$67,MATCH(TRIM(INDEX(Datos_Origen!$F$2:$F$2459,$Z406)),Parametros!$B$48:$B$67,0))</f>
        <v>Computacion</v>
      </c>
      <c r="L406" s="61" t="str">
        <f aca="false">$K406&amp;" "&amp;$C406</f>
        <v>Computacion 2024</v>
      </c>
      <c r="M406" s="61" t="str">
        <f aca="false">TRIM(INDEX(Datos_Origen!$G$2:$G$2459,$Z406))</f>
        <v>PC Gamer Ryzen</v>
      </c>
      <c r="N406" s="61" t="str">
        <f aca="false">$M406&amp;" "&amp;$C406</f>
        <v>PC Gamer Ryzen 2024</v>
      </c>
      <c r="O406" s="63" t="n">
        <f aca="false">IF(ISTEXT($AC406),VALUE($AC406),$AC406)</f>
        <v>18</v>
      </c>
      <c r="P406" s="64" t="n">
        <f aca="false">INDEX(Datos_Origen!$I$2:$I$2459,$Z406)</f>
        <v>1617</v>
      </c>
      <c r="Q406" s="64" t="n">
        <f aca="false">INDEX(Datos_Origen!$J$2:$J$2459,$Z406)</f>
        <v>1122</v>
      </c>
      <c r="R406" s="65" t="n">
        <f aca="false">ROUND($O406*$P406,2)</f>
        <v>29106</v>
      </c>
      <c r="S406" s="65" t="n">
        <f aca="false">ROUND($O406*$Q406,2)</f>
        <v>20196</v>
      </c>
      <c r="T406" s="65" t="n">
        <f aca="false">ROUND($R406*SUMIFS(Parametros!$E$28:$E$43,Parametros!$B$28:$B$43,$J406,Parametros!$C$28:$C$43,$C406,Parametros!$D$28:$D$43,$D406),2)</f>
        <v>349.27</v>
      </c>
      <c r="U406" s="65" t="n">
        <f aca="false">$R406-$S406-$T406</f>
        <v>8560.73</v>
      </c>
      <c r="V406" s="66" t="n">
        <f aca="false">IFERROR($U406/$R406,0)</f>
        <v>0.294122517693946</v>
      </c>
      <c r="W406" s="67" t="str">
        <f aca="false">IF(AND($V406&gt;=Parametros!$C$8,$R406&gt;=Parametros!$C$12),"Alta rentabilidad",IF(OR($V406&lt;Parametros!$C$11,$R406&lt;Parametros!$C$13),"Revisar","Estandar"))</f>
        <v>Estandar</v>
      </c>
      <c r="X406" s="67" t="str">
        <f aca="false">IF(AND($J406="E-commerce",IFERROR($T406/$R406,0)&gt;Parametros!$C$14),"Alerta","OK")</f>
        <v>OK</v>
      </c>
      <c r="Y406" s="61" t="str">
        <f aca="false">IF($R406&gt;=Parametros!$C$12,"Alto",IF($R406&lt;Parametros!$C$13,"Bajo","Medio"))</f>
        <v>Alto</v>
      </c>
      <c r="Z406" s="61" t="n">
        <v>441</v>
      </c>
      <c r="AA406" s="61" t="str">
        <f aca="false">IF(MATCH($A406,Datos_Origen!$A$2:$A$2459,0)=$Z406,"OK","REVISAR")</f>
        <v>OK</v>
      </c>
      <c r="AB406" s="62" t="n">
        <f aca="false">INDEX(Datos_Origen!$B$2:$B$2459,$Z406)</f>
        <v>45413</v>
      </c>
      <c r="AC406" s="61" t="n">
        <f aca="false">INDEX(Datos_Origen!$H$2:$H$2459,$Z406)</f>
        <v>18</v>
      </c>
      <c r="AD406" s="61" t="str">
        <f aca="false">INDEX(Datos_Origen!$D$2:$D$2459,$Z406)&amp;""</f>
        <v>Buenos Aires</v>
      </c>
    </row>
    <row r="407" customFormat="false" ht="15" hidden="false" customHeight="false" outlineLevel="0" collapsed="false">
      <c r="A407" s="61" t="n">
        <f aca="false">INDEX(Datos_Origen!$A$2:$A$2459,$Z407)</f>
        <v>406</v>
      </c>
      <c r="B407" s="62" t="n">
        <f aca="false">IF(ISNUMBER($AB407),$AB407,IF(MID($AB407,5,1)="-",DATE(VALUE(LEFT($AB407,4)),VALUE(MID($AB407,6,2)),VALUE(RIGHT($AB407,2))),DATE(VALUE(RIGHT($AB407,4)),VALUE(MID($AB407,4,2)),VALUE(LEFT($AB407,2)))))</f>
        <v>45420</v>
      </c>
      <c r="C407" s="61" t="n">
        <f aca="false">YEAR($B407)</f>
        <v>2024</v>
      </c>
      <c r="D407" s="61" t="str">
        <f aca="false">"Q"&amp;ROUNDUP(MONTH($B407)/3,0)</f>
        <v>Q2</v>
      </c>
      <c r="E407" s="61" t="n">
        <f aca="false">MONTH($B407)</f>
        <v>5</v>
      </c>
      <c r="F407" s="61" t="str">
        <f aca="false">INDEX(Parametros!$I$5:$I$16,$E407)</f>
        <v>May</v>
      </c>
      <c r="G407" s="61" t="str">
        <f aca="false">TEXT($C407,"0000")&amp;"-"&amp;TEXT($E407,"00")</f>
        <v>2024-05</v>
      </c>
      <c r="H407" s="61" t="str">
        <f aca="false">INDEX(Parametros!$C$71:$C$91,MATCH(TRIM(INDEX(Datos_Origen!$C$2:$C$2459,$Z407)),Parametros!$B$71:$B$91,0))</f>
        <v>AMBA</v>
      </c>
      <c r="I407" s="61" t="str">
        <f aca="false">IF(TRIM($AD407)="",INDEX(Parametros!$I$20:$I$24,MATCH($H407,Parametros!$H$20:$H$24,0)),TRIM($AD407))</f>
        <v>Buenos Aires</v>
      </c>
      <c r="J407" s="61" t="str">
        <f aca="false">INDEX(Parametros!$C$95:$C$106,MATCH(TRIM(INDEX(Datos_Origen!$E$2:$E$2459,$Z407)),Parametros!$B$95:$B$106,0))</f>
        <v>E-commerce</v>
      </c>
      <c r="K407" s="61" t="str">
        <f aca="false">INDEX(Parametros!$C$48:$C$67,MATCH(TRIM(INDEX(Datos_Origen!$F$2:$F$2459,$Z407)),Parametros!$B$48:$B$67,0))</f>
        <v>Computacion</v>
      </c>
      <c r="L407" s="61" t="str">
        <f aca="false">$K407&amp;" "&amp;$C407</f>
        <v>Computacion 2024</v>
      </c>
      <c r="M407" s="61" t="str">
        <f aca="false">TRIM(INDEX(Datos_Origen!$G$2:$G$2459,$Z407))</f>
        <v>PC Gamer Ryzen</v>
      </c>
      <c r="N407" s="61" t="str">
        <f aca="false">$M407&amp;" "&amp;$C407</f>
        <v>PC Gamer Ryzen 2024</v>
      </c>
      <c r="O407" s="63" t="n">
        <f aca="false">IF(ISTEXT($AC407),VALUE($AC407),$AC407)</f>
        <v>10</v>
      </c>
      <c r="P407" s="64" t="n">
        <f aca="false">INDEX(Datos_Origen!$I$2:$I$2459,$Z407)</f>
        <v>1617</v>
      </c>
      <c r="Q407" s="64" t="n">
        <f aca="false">INDEX(Datos_Origen!$J$2:$J$2459,$Z407)</f>
        <v>1122</v>
      </c>
      <c r="R407" s="65" t="n">
        <f aca="false">ROUND($O407*$P407,2)</f>
        <v>16170</v>
      </c>
      <c r="S407" s="65" t="n">
        <f aca="false">ROUND($O407*$Q407,2)</f>
        <v>11220</v>
      </c>
      <c r="T407" s="65" t="n">
        <f aca="false">ROUND($R407*SUMIFS(Parametros!$E$28:$E$43,Parametros!$B$28:$B$43,$J407,Parametros!$C$28:$C$43,$C407,Parametros!$D$28:$D$43,$D407),2)</f>
        <v>711.48</v>
      </c>
      <c r="U407" s="65" t="n">
        <f aca="false">$R407-$S407-$T407</f>
        <v>4238.52</v>
      </c>
      <c r="V407" s="66" t="n">
        <f aca="false">IFERROR($U407/$R407,0)</f>
        <v>0.262122448979592</v>
      </c>
      <c r="W407" s="67" t="str">
        <f aca="false">IF(AND($V407&gt;=Parametros!$C$8,$R407&gt;=Parametros!$C$12),"Alta rentabilidad",IF(OR($V407&lt;Parametros!$C$11,$R407&lt;Parametros!$C$13),"Revisar","Estandar"))</f>
        <v>Revisar</v>
      </c>
      <c r="X407" s="67" t="str">
        <f aca="false">IF(AND($J407="E-commerce",IFERROR($T407/$R407,0)&gt;Parametros!$C$14),"Alerta","OK")</f>
        <v>OK</v>
      </c>
      <c r="Y407" s="61" t="str">
        <f aca="false">IF($R407&gt;=Parametros!$C$12,"Alto",IF($R407&lt;Parametros!$C$13,"Bajo","Medio"))</f>
        <v>Alto</v>
      </c>
      <c r="Z407" s="61" t="n">
        <v>1776</v>
      </c>
      <c r="AA407" s="61" t="str">
        <f aca="false">IF(MATCH($A407,Datos_Origen!$A$2:$A$2459,0)=$Z407,"OK","REVISAR")</f>
        <v>OK</v>
      </c>
      <c r="AB407" s="62" t="n">
        <f aca="false">INDEX(Datos_Origen!$B$2:$B$2459,$Z407)</f>
        <v>45420</v>
      </c>
      <c r="AC407" s="61" t="n">
        <f aca="false">INDEX(Datos_Origen!$H$2:$H$2459,$Z407)</f>
        <v>10</v>
      </c>
      <c r="AD407" s="61" t="str">
        <f aca="false">INDEX(Datos_Origen!$D$2:$D$2459,$Z407)&amp;""</f>
        <v>Buenos Aires</v>
      </c>
    </row>
    <row r="408" customFormat="false" ht="15" hidden="false" customHeight="false" outlineLevel="0" collapsed="false">
      <c r="A408" s="61" t="n">
        <f aca="false">INDEX(Datos_Origen!$A$2:$A$2459,$Z408)</f>
        <v>407</v>
      </c>
      <c r="B408" s="62" t="n">
        <f aca="false">IF(ISNUMBER($AB408),$AB408,IF(MID($AB408,5,1)="-",DATE(VALUE(LEFT($AB408,4)),VALUE(MID($AB408,6,2)),VALUE(RIGHT($AB408,2))),DATE(VALUE(RIGHT($AB408,4)),VALUE(MID($AB408,4,2)),VALUE(LEFT($AB408,2)))))</f>
        <v>45427</v>
      </c>
      <c r="C408" s="61" t="n">
        <f aca="false">YEAR($B408)</f>
        <v>2024</v>
      </c>
      <c r="D408" s="61" t="str">
        <f aca="false">"Q"&amp;ROUNDUP(MONTH($B408)/3,0)</f>
        <v>Q2</v>
      </c>
      <c r="E408" s="61" t="n">
        <f aca="false">MONTH($B408)</f>
        <v>5</v>
      </c>
      <c r="F408" s="61" t="str">
        <f aca="false">INDEX(Parametros!$I$5:$I$16,$E408)</f>
        <v>May</v>
      </c>
      <c r="G408" s="61" t="str">
        <f aca="false">TEXT($C408,"0000")&amp;"-"&amp;TEXT($E408,"00")</f>
        <v>2024-05</v>
      </c>
      <c r="H408" s="61" t="str">
        <f aca="false">INDEX(Parametros!$C$71:$C$91,MATCH(TRIM(INDEX(Datos_Origen!$C$2:$C$2459,$Z408)),Parametros!$B$71:$B$91,0))</f>
        <v>AMBA</v>
      </c>
      <c r="I408" s="61" t="str">
        <f aca="false">IF(TRIM($AD408)="",INDEX(Parametros!$I$20:$I$24,MATCH($H408,Parametros!$H$20:$H$24,0)),TRIM($AD408))</f>
        <v>Buenos Aires</v>
      </c>
      <c r="J408" s="61" t="str">
        <f aca="false">INDEX(Parametros!$C$95:$C$106,MATCH(TRIM(INDEX(Datos_Origen!$E$2:$E$2459,$Z408)),Parametros!$B$95:$B$106,0))</f>
        <v>Tienda fisica</v>
      </c>
      <c r="K408" s="61" t="str">
        <f aca="false">INDEX(Parametros!$C$48:$C$67,MATCH(TRIM(INDEX(Datos_Origen!$F$2:$F$2459,$Z408)),Parametros!$B$48:$B$67,0))</f>
        <v>Accesorios</v>
      </c>
      <c r="L408" s="61" t="str">
        <f aca="false">$K408&amp;" "&amp;$C408</f>
        <v>Accesorios 2024</v>
      </c>
      <c r="M408" s="61" t="str">
        <f aca="false">TRIM(INDEX(Datos_Origen!$G$2:$G$2459,$Z408))</f>
        <v>Mouse Inalambrico</v>
      </c>
      <c r="N408" s="61" t="str">
        <f aca="false">$M408&amp;" "&amp;$C408</f>
        <v>Mouse Inalambrico 2024</v>
      </c>
      <c r="O408" s="63" t="n">
        <f aca="false">IF(ISTEXT($AC408),VALUE($AC408),$AC408)</f>
        <v>98</v>
      </c>
      <c r="P408" s="64" t="n">
        <f aca="false">INDEX(Datos_Origen!$I$2:$I$2459,$Z408)</f>
        <v>27.44</v>
      </c>
      <c r="Q408" s="64" t="n">
        <f aca="false">INDEX(Datos_Origen!$J$2:$J$2459,$Z408)</f>
        <v>13.44</v>
      </c>
      <c r="R408" s="65" t="n">
        <f aca="false">ROUND($O408*$P408,2)</f>
        <v>2689.12</v>
      </c>
      <c r="S408" s="65" t="n">
        <f aca="false">ROUND($O408*$Q408,2)</f>
        <v>1317.12</v>
      </c>
      <c r="T408" s="65" t="n">
        <f aca="false">ROUND($R408*SUMIFS(Parametros!$E$28:$E$43,Parametros!$B$28:$B$43,$J408,Parametros!$C$28:$C$43,$C408,Parametros!$D$28:$D$43,$D408),2)</f>
        <v>32.27</v>
      </c>
      <c r="U408" s="65" t="n">
        <f aca="false">$R408-$S408-$T408</f>
        <v>1339.73</v>
      </c>
      <c r="V408" s="66" t="n">
        <f aca="false">IFERROR($U408/$R408,0)</f>
        <v>0.498203873386089</v>
      </c>
      <c r="W408" s="67" t="str">
        <f aca="false">IF(AND($V408&gt;=Parametros!$C$8,$R408&gt;=Parametros!$C$12),"Alta rentabilidad",IF(OR($V408&lt;Parametros!$C$11,$R408&lt;Parametros!$C$13),"Revisar","Estandar"))</f>
        <v>Estandar</v>
      </c>
      <c r="X408" s="67" t="str">
        <f aca="false">IF(AND($J408="E-commerce",IFERROR($T408/$R408,0)&gt;Parametros!$C$14),"Alerta","OK")</f>
        <v>OK</v>
      </c>
      <c r="Y408" s="61" t="str">
        <f aca="false">IF($R408&gt;=Parametros!$C$12,"Alto",IF($R408&lt;Parametros!$C$13,"Bajo","Medio"))</f>
        <v>Medio</v>
      </c>
      <c r="Z408" s="61" t="n">
        <v>2214</v>
      </c>
      <c r="AA408" s="61" t="str">
        <f aca="false">IF(MATCH($A408,Datos_Origen!$A$2:$A$2459,0)=$Z408,"OK","REVISAR")</f>
        <v>OK</v>
      </c>
      <c r="AB408" s="62" t="n">
        <f aca="false">INDEX(Datos_Origen!$B$2:$B$2459,$Z408)</f>
        <v>45427</v>
      </c>
      <c r="AC408" s="61" t="n">
        <f aca="false">INDEX(Datos_Origen!$H$2:$H$2459,$Z408)</f>
        <v>98</v>
      </c>
      <c r="AD408" s="61" t="str">
        <f aca="false">INDEX(Datos_Origen!$D$2:$D$2459,$Z408)&amp;""</f>
        <v>Buenos Aires</v>
      </c>
    </row>
    <row r="409" customFormat="false" ht="15" hidden="false" customHeight="false" outlineLevel="0" collapsed="false">
      <c r="A409" s="61" t="n">
        <f aca="false">INDEX(Datos_Origen!$A$2:$A$2459,$Z409)</f>
        <v>408</v>
      </c>
      <c r="B409" s="62" t="n">
        <f aca="false">IF(ISNUMBER($AB409),$AB409,IF(MID($AB409,5,1)="-",DATE(VALUE(LEFT($AB409,4)),VALUE(MID($AB409,6,2)),VALUE(RIGHT($AB409,2))),DATE(VALUE(RIGHT($AB409,4)),VALUE(MID($AB409,4,2)),VALUE(LEFT($AB409,2)))))</f>
        <v>45434</v>
      </c>
      <c r="C409" s="61" t="n">
        <f aca="false">YEAR($B409)</f>
        <v>2024</v>
      </c>
      <c r="D409" s="61" t="str">
        <f aca="false">"Q"&amp;ROUNDUP(MONTH($B409)/3,0)</f>
        <v>Q2</v>
      </c>
      <c r="E409" s="61" t="n">
        <f aca="false">MONTH($B409)</f>
        <v>5</v>
      </c>
      <c r="F409" s="61" t="str">
        <f aca="false">INDEX(Parametros!$I$5:$I$16,$E409)</f>
        <v>May</v>
      </c>
      <c r="G409" s="61" t="str">
        <f aca="false">TEXT($C409,"0000")&amp;"-"&amp;TEXT($E409,"00")</f>
        <v>2024-05</v>
      </c>
      <c r="H409" s="61" t="str">
        <f aca="false">INDEX(Parametros!$C$71:$C$91,MATCH(TRIM(INDEX(Datos_Origen!$C$2:$C$2459,$Z409)),Parametros!$B$71:$B$91,0))</f>
        <v>AMBA</v>
      </c>
      <c r="I409" s="61" t="str">
        <f aca="false">IF(TRIM($AD409)="",INDEX(Parametros!$I$20:$I$24,MATCH($H409,Parametros!$H$20:$H$24,0)),TRIM($AD409))</f>
        <v>Buenos Aires</v>
      </c>
      <c r="J409" s="61" t="str">
        <f aca="false">INDEX(Parametros!$C$95:$C$106,MATCH(TRIM(INDEX(Datos_Origen!$E$2:$E$2459,$Z409)),Parametros!$B$95:$B$106,0))</f>
        <v>E-commerce</v>
      </c>
      <c r="K409" s="61" t="str">
        <f aca="false">INDEX(Parametros!$C$48:$C$67,MATCH(TRIM(INDEX(Datos_Origen!$F$2:$F$2459,$Z409)),Parametros!$B$48:$B$67,0))</f>
        <v>Accesorios</v>
      </c>
      <c r="L409" s="61" t="str">
        <f aca="false">$K409&amp;" "&amp;$C409</f>
        <v>Accesorios 2024</v>
      </c>
      <c r="M409" s="61" t="str">
        <f aca="false">TRIM(INDEX(Datos_Origen!$G$2:$G$2459,$Z409))</f>
        <v>Mouse Inalambrico</v>
      </c>
      <c r="N409" s="61" t="str">
        <f aca="false">$M409&amp;" "&amp;$C409</f>
        <v>Mouse Inalambrico 2024</v>
      </c>
      <c r="O409" s="63" t="n">
        <f aca="false">IF(ISTEXT($AC409),VALUE($AC409),$AC409)</f>
        <v>41</v>
      </c>
      <c r="P409" s="64" t="n">
        <f aca="false">INDEX(Datos_Origen!$I$2:$I$2459,$Z409)</f>
        <v>27.44</v>
      </c>
      <c r="Q409" s="64" t="n">
        <f aca="false">INDEX(Datos_Origen!$J$2:$J$2459,$Z409)</f>
        <v>13.44</v>
      </c>
      <c r="R409" s="65" t="n">
        <f aca="false">ROUND($O409*$P409,2)</f>
        <v>1125.04</v>
      </c>
      <c r="S409" s="65" t="n">
        <f aca="false">ROUND($O409*$Q409,2)</f>
        <v>551.04</v>
      </c>
      <c r="T409" s="65" t="n">
        <f aca="false">ROUND($R409*SUMIFS(Parametros!$E$28:$E$43,Parametros!$B$28:$B$43,$J409,Parametros!$C$28:$C$43,$C409,Parametros!$D$28:$D$43,$D409),2)</f>
        <v>49.5</v>
      </c>
      <c r="U409" s="65" t="n">
        <f aca="false">$R409-$S409-$T409</f>
        <v>524.5</v>
      </c>
      <c r="V409" s="66" t="n">
        <f aca="false">IFERROR($U409/$R409,0)</f>
        <v>0.466205646021475</v>
      </c>
      <c r="W409" s="67" t="str">
        <f aca="false">IF(AND($V409&gt;=Parametros!$C$8,$R409&gt;=Parametros!$C$12),"Alta rentabilidad",IF(OR($V409&lt;Parametros!$C$11,$R409&lt;Parametros!$C$13),"Revisar","Estandar"))</f>
        <v>Estandar</v>
      </c>
      <c r="X409" s="67" t="str">
        <f aca="false">IF(AND($J409="E-commerce",IFERROR($T409/$R409,0)&gt;Parametros!$C$14),"Alerta","OK")</f>
        <v>OK</v>
      </c>
      <c r="Y409" s="61" t="str">
        <f aca="false">IF($R409&gt;=Parametros!$C$12,"Alto",IF($R409&lt;Parametros!$C$13,"Bajo","Medio"))</f>
        <v>Medio</v>
      </c>
      <c r="Z409" s="61" t="n">
        <v>1711</v>
      </c>
      <c r="AA409" s="61" t="str">
        <f aca="false">IF(MATCH($A409,Datos_Origen!$A$2:$A$2459,0)=$Z409,"OK","REVISAR")</f>
        <v>OK</v>
      </c>
      <c r="AB409" s="62" t="n">
        <f aca="false">INDEX(Datos_Origen!$B$2:$B$2459,$Z409)</f>
        <v>45434</v>
      </c>
      <c r="AC409" s="61" t="n">
        <f aca="false">INDEX(Datos_Origen!$H$2:$H$2459,$Z409)</f>
        <v>41</v>
      </c>
      <c r="AD409" s="61" t="str">
        <f aca="false">INDEX(Datos_Origen!$D$2:$D$2459,$Z409)&amp;""</f>
        <v>Buenos Aires</v>
      </c>
    </row>
    <row r="410" customFormat="false" ht="15" hidden="false" customHeight="false" outlineLevel="0" collapsed="false">
      <c r="A410" s="61" t="n">
        <f aca="false">INDEX(Datos_Origen!$A$2:$A$2459,$Z410)</f>
        <v>409</v>
      </c>
      <c r="B410" s="62" t="n">
        <f aca="false">IF(ISNUMBER($AB410),$AB410,IF(MID($AB410,5,1)="-",DATE(VALUE(LEFT($AB410,4)),VALUE(MID($AB410,6,2)),VALUE(RIGHT($AB410,2))),DATE(VALUE(RIGHT($AB410,4)),VALUE(MID($AB410,4,2)),VALUE(LEFT($AB410,2)))))</f>
        <v>45414</v>
      </c>
      <c r="C410" s="61" t="n">
        <f aca="false">YEAR($B410)</f>
        <v>2024</v>
      </c>
      <c r="D410" s="61" t="str">
        <f aca="false">"Q"&amp;ROUNDUP(MONTH($B410)/3,0)</f>
        <v>Q2</v>
      </c>
      <c r="E410" s="61" t="n">
        <f aca="false">MONTH($B410)</f>
        <v>5</v>
      </c>
      <c r="F410" s="61" t="str">
        <f aca="false">INDEX(Parametros!$I$5:$I$16,$E410)</f>
        <v>May</v>
      </c>
      <c r="G410" s="61" t="str">
        <f aca="false">TEXT($C410,"0000")&amp;"-"&amp;TEXT($E410,"00")</f>
        <v>2024-05</v>
      </c>
      <c r="H410" s="61" t="str">
        <f aca="false">INDEX(Parametros!$C$71:$C$91,MATCH(TRIM(INDEX(Datos_Origen!$C$2:$C$2459,$Z410)),Parametros!$B$71:$B$91,0))</f>
        <v>AMBA</v>
      </c>
      <c r="I410" s="61" t="str">
        <f aca="false">IF(TRIM($AD410)="",INDEX(Parametros!$I$20:$I$24,MATCH($H410,Parametros!$H$20:$H$24,0)),TRIM($AD410))</f>
        <v>Buenos Aires</v>
      </c>
      <c r="J410" s="61" t="str">
        <f aca="false">INDEX(Parametros!$C$95:$C$106,MATCH(TRIM(INDEX(Datos_Origen!$E$2:$E$2459,$Z410)),Parametros!$B$95:$B$106,0))</f>
        <v>Tienda fisica</v>
      </c>
      <c r="K410" s="61" t="str">
        <f aca="false">INDEX(Parametros!$C$48:$C$67,MATCH(TRIM(INDEX(Datos_Origen!$F$2:$F$2459,$Z410)),Parametros!$B$48:$B$67,0))</f>
        <v>Accesorios</v>
      </c>
      <c r="L410" s="61" t="str">
        <f aca="false">$K410&amp;" "&amp;$C410</f>
        <v>Accesorios 2024</v>
      </c>
      <c r="M410" s="61" t="str">
        <f aca="false">TRIM(INDEX(Datos_Origen!$G$2:$G$2459,$Z410))</f>
        <v>Teclado Mecanico</v>
      </c>
      <c r="N410" s="61" t="str">
        <f aca="false">$M410&amp;" "&amp;$C410</f>
        <v>Teclado Mecanico 2024</v>
      </c>
      <c r="O410" s="63" t="n">
        <f aca="false">IF(ISTEXT($AC410),VALUE($AC410),$AC410)</f>
        <v>87</v>
      </c>
      <c r="P410" s="64" t="n">
        <f aca="false">INDEX(Datos_Origen!$I$2:$I$2459,$Z410)</f>
        <v>93.1</v>
      </c>
      <c r="Q410" s="64" t="n">
        <f aca="false">INDEX(Datos_Origen!$J$2:$J$2459,$Z410)</f>
        <v>47.98</v>
      </c>
      <c r="R410" s="65" t="n">
        <f aca="false">ROUND($O410*$P410,2)</f>
        <v>8099.7</v>
      </c>
      <c r="S410" s="65" t="n">
        <f aca="false">ROUND($O410*$Q410,2)</f>
        <v>4174.26</v>
      </c>
      <c r="T410" s="65" t="n">
        <f aca="false">ROUND($R410*SUMIFS(Parametros!$E$28:$E$43,Parametros!$B$28:$B$43,$J410,Parametros!$C$28:$C$43,$C410,Parametros!$D$28:$D$43,$D410),2)</f>
        <v>97.2</v>
      </c>
      <c r="U410" s="65" t="n">
        <f aca="false">$R410-$S410-$T410</f>
        <v>3828.24</v>
      </c>
      <c r="V410" s="66" t="n">
        <f aca="false">IFERROR($U410/$R410,0)</f>
        <v>0.472639727397311</v>
      </c>
      <c r="W410" s="67" t="str">
        <f aca="false">IF(AND($V410&gt;=Parametros!$C$8,$R410&gt;=Parametros!$C$12),"Alta rentabilidad",IF(OR($V410&lt;Parametros!$C$11,$R410&lt;Parametros!$C$13),"Revisar","Estandar"))</f>
        <v>Alta rentabilidad</v>
      </c>
      <c r="X410" s="67" t="str">
        <f aca="false">IF(AND($J410="E-commerce",IFERROR($T410/$R410,0)&gt;Parametros!$C$14),"Alerta","OK")</f>
        <v>OK</v>
      </c>
      <c r="Y410" s="61" t="str">
        <f aca="false">IF($R410&gt;=Parametros!$C$12,"Alto",IF($R410&lt;Parametros!$C$13,"Bajo","Medio"))</f>
        <v>Alto</v>
      </c>
      <c r="Z410" s="61" t="n">
        <v>1911</v>
      </c>
      <c r="AA410" s="61" t="str">
        <f aca="false">IF(MATCH($A410,Datos_Origen!$A$2:$A$2459,0)=$Z410,"OK","REVISAR")</f>
        <v>OK</v>
      </c>
      <c r="AB410" s="61" t="str">
        <f aca="false">INDEX(Datos_Origen!$B$2:$B$2459,$Z410)</f>
        <v>02/05/2024</v>
      </c>
      <c r="AC410" s="61" t="n">
        <f aca="false">INDEX(Datos_Origen!$H$2:$H$2459,$Z410)</f>
        <v>87</v>
      </c>
      <c r="AD410" s="61" t="str">
        <f aca="false">INDEX(Datos_Origen!$D$2:$D$2459,$Z410)&amp;""</f>
        <v>Buenos Aires</v>
      </c>
    </row>
    <row r="411" customFormat="false" ht="15" hidden="false" customHeight="false" outlineLevel="0" collapsed="false">
      <c r="A411" s="61" t="n">
        <f aca="false">INDEX(Datos_Origen!$A$2:$A$2459,$Z411)</f>
        <v>410</v>
      </c>
      <c r="B411" s="62" t="n">
        <f aca="false">IF(ISNUMBER($AB411),$AB411,IF(MID($AB411,5,1)="-",DATE(VALUE(LEFT($AB411,4)),VALUE(MID($AB411,6,2)),VALUE(RIGHT($AB411,2))),DATE(VALUE(RIGHT($AB411,4)),VALUE(MID($AB411,4,2)),VALUE(LEFT($AB411,2)))))</f>
        <v>45421</v>
      </c>
      <c r="C411" s="61" t="n">
        <f aca="false">YEAR($B411)</f>
        <v>2024</v>
      </c>
      <c r="D411" s="61" t="str">
        <f aca="false">"Q"&amp;ROUNDUP(MONTH($B411)/3,0)</f>
        <v>Q2</v>
      </c>
      <c r="E411" s="61" t="n">
        <f aca="false">MONTH($B411)</f>
        <v>5</v>
      </c>
      <c r="F411" s="61" t="str">
        <f aca="false">INDEX(Parametros!$I$5:$I$16,$E411)</f>
        <v>May</v>
      </c>
      <c r="G411" s="61" t="str">
        <f aca="false">TEXT($C411,"0000")&amp;"-"&amp;TEXT($E411,"00")</f>
        <v>2024-05</v>
      </c>
      <c r="H411" s="61" t="str">
        <f aca="false">INDEX(Parametros!$C$71:$C$91,MATCH(TRIM(INDEX(Datos_Origen!$C$2:$C$2459,$Z411)),Parametros!$B$71:$B$91,0))</f>
        <v>AMBA</v>
      </c>
      <c r="I411" s="61" t="str">
        <f aca="false">IF(TRIM($AD411)="",INDEX(Parametros!$I$20:$I$24,MATCH($H411,Parametros!$H$20:$H$24,0)),TRIM($AD411))</f>
        <v>Buenos Aires</v>
      </c>
      <c r="J411" s="61" t="str">
        <f aca="false">INDEX(Parametros!$C$95:$C$106,MATCH(TRIM(INDEX(Datos_Origen!$E$2:$E$2459,$Z411)),Parametros!$B$95:$B$106,0))</f>
        <v>E-commerce</v>
      </c>
      <c r="K411" s="61" t="str">
        <f aca="false">INDEX(Parametros!$C$48:$C$67,MATCH(TRIM(INDEX(Datos_Origen!$F$2:$F$2459,$Z411)),Parametros!$B$48:$B$67,0))</f>
        <v>Accesorios</v>
      </c>
      <c r="L411" s="61" t="str">
        <f aca="false">$K411&amp;" "&amp;$C411</f>
        <v>Accesorios 2024</v>
      </c>
      <c r="M411" s="61" t="str">
        <f aca="false">TRIM(INDEX(Datos_Origen!$G$2:$G$2459,$Z411))</f>
        <v>Teclado Mecanico</v>
      </c>
      <c r="N411" s="61" t="str">
        <f aca="false">$M411&amp;" "&amp;$C411</f>
        <v>Teclado Mecanico 2024</v>
      </c>
      <c r="O411" s="63" t="n">
        <f aca="false">IF(ISTEXT($AC411),VALUE($AC411),$AC411)</f>
        <v>37</v>
      </c>
      <c r="P411" s="64" t="n">
        <f aca="false">INDEX(Datos_Origen!$I$2:$I$2459,$Z411)</f>
        <v>93.1</v>
      </c>
      <c r="Q411" s="64" t="n">
        <f aca="false">INDEX(Datos_Origen!$J$2:$J$2459,$Z411)</f>
        <v>47.98</v>
      </c>
      <c r="R411" s="65" t="n">
        <f aca="false">ROUND($O411*$P411,2)</f>
        <v>3444.7</v>
      </c>
      <c r="S411" s="65" t="n">
        <f aca="false">ROUND($O411*$Q411,2)</f>
        <v>1775.26</v>
      </c>
      <c r="T411" s="65" t="n">
        <f aca="false">ROUND($R411*SUMIFS(Parametros!$E$28:$E$43,Parametros!$B$28:$B$43,$J411,Parametros!$C$28:$C$43,$C411,Parametros!$D$28:$D$43,$D411),2)</f>
        <v>151.57</v>
      </c>
      <c r="U411" s="65" t="n">
        <f aca="false">$R411-$S411-$T411</f>
        <v>1517.87</v>
      </c>
      <c r="V411" s="66" t="n">
        <f aca="false">IFERROR($U411/$R411,0)</f>
        <v>0.440639242894882</v>
      </c>
      <c r="W411" s="67" t="str">
        <f aca="false">IF(AND($V411&gt;=Parametros!$C$8,$R411&gt;=Parametros!$C$12),"Alta rentabilidad",IF(OR($V411&lt;Parametros!$C$11,$R411&lt;Parametros!$C$13),"Revisar","Estandar"))</f>
        <v>Alta rentabilidad</v>
      </c>
      <c r="X411" s="67" t="str">
        <f aca="false">IF(AND($J411="E-commerce",IFERROR($T411/$R411,0)&gt;Parametros!$C$14),"Alerta","OK")</f>
        <v>OK</v>
      </c>
      <c r="Y411" s="61" t="str">
        <f aca="false">IF($R411&gt;=Parametros!$C$12,"Alto",IF($R411&lt;Parametros!$C$13,"Bajo","Medio"))</f>
        <v>Alto</v>
      </c>
      <c r="Z411" s="61" t="n">
        <v>618</v>
      </c>
      <c r="AA411" s="61" t="str">
        <f aca="false">IF(MATCH($A411,Datos_Origen!$A$2:$A$2459,0)=$Z411,"OK","REVISAR")</f>
        <v>OK</v>
      </c>
      <c r="AB411" s="61" t="str">
        <f aca="false">INDEX(Datos_Origen!$B$2:$B$2459,$Z411)</f>
        <v>2024-05-09</v>
      </c>
      <c r="AC411" s="61" t="n">
        <f aca="false">INDEX(Datos_Origen!$H$2:$H$2459,$Z411)</f>
        <v>37</v>
      </c>
      <c r="AD411" s="61" t="str">
        <f aca="false">INDEX(Datos_Origen!$D$2:$D$2459,$Z411)&amp;""</f>
        <v>Buenos Aires</v>
      </c>
    </row>
    <row r="412" customFormat="false" ht="15" hidden="false" customHeight="false" outlineLevel="0" collapsed="false">
      <c r="A412" s="61" t="n">
        <f aca="false">INDEX(Datos_Origen!$A$2:$A$2459,$Z412)</f>
        <v>411</v>
      </c>
      <c r="B412" s="62" t="n">
        <f aca="false">IF(ISNUMBER($AB412),$AB412,IF(MID($AB412,5,1)="-",DATE(VALUE(LEFT($AB412,4)),VALUE(MID($AB412,6,2)),VALUE(RIGHT($AB412,2))),DATE(VALUE(RIGHT($AB412,4)),VALUE(MID($AB412,4,2)),VALUE(LEFT($AB412,2)))))</f>
        <v>45428</v>
      </c>
      <c r="C412" s="61" t="n">
        <f aca="false">YEAR($B412)</f>
        <v>2024</v>
      </c>
      <c r="D412" s="61" t="str">
        <f aca="false">"Q"&amp;ROUNDUP(MONTH($B412)/3,0)</f>
        <v>Q2</v>
      </c>
      <c r="E412" s="61" t="n">
        <f aca="false">MONTH($B412)</f>
        <v>5</v>
      </c>
      <c r="F412" s="61" t="str">
        <f aca="false">INDEX(Parametros!$I$5:$I$16,$E412)</f>
        <v>May</v>
      </c>
      <c r="G412" s="61" t="str">
        <f aca="false">TEXT($C412,"0000")&amp;"-"&amp;TEXT($E412,"00")</f>
        <v>2024-05</v>
      </c>
      <c r="H412" s="61" t="str">
        <f aca="false">INDEX(Parametros!$C$71:$C$91,MATCH(TRIM(INDEX(Datos_Origen!$C$2:$C$2459,$Z412)),Parametros!$B$71:$B$91,0))</f>
        <v>AMBA</v>
      </c>
      <c r="I412" s="61" t="str">
        <f aca="false">IF(TRIM($AD412)="",INDEX(Parametros!$I$20:$I$24,MATCH($H412,Parametros!$H$20:$H$24,0)),TRIM($AD412))</f>
        <v>Buenos Aires</v>
      </c>
      <c r="J412" s="61" t="str">
        <f aca="false">INDEX(Parametros!$C$95:$C$106,MATCH(TRIM(INDEX(Datos_Origen!$E$2:$E$2459,$Z412)),Parametros!$B$95:$B$106,0))</f>
        <v>Tienda fisica</v>
      </c>
      <c r="K412" s="61" t="str">
        <f aca="false">INDEX(Parametros!$C$48:$C$67,MATCH(TRIM(INDEX(Datos_Origen!$F$2:$F$2459,$Z412)),Parametros!$B$48:$B$67,0))</f>
        <v>Accesorios</v>
      </c>
      <c r="L412" s="61" t="str">
        <f aca="false">$K412&amp;" "&amp;$C412</f>
        <v>Accesorios 2024</v>
      </c>
      <c r="M412" s="61" t="str">
        <f aca="false">TRIM(INDEX(Datos_Origen!$G$2:$G$2459,$Z412))</f>
        <v>Webcam Full HD</v>
      </c>
      <c r="N412" s="61" t="str">
        <f aca="false">$M412&amp;" "&amp;$C412</f>
        <v>Webcam Full HD 2024</v>
      </c>
      <c r="O412" s="63" t="n">
        <f aca="false">IF(ISTEXT($AC412),VALUE($AC412),$AC412)</f>
        <v>81</v>
      </c>
      <c r="P412" s="64" t="n">
        <f aca="false">INDEX(Datos_Origen!$I$2:$I$2459,$Z412)</f>
        <v>63.7</v>
      </c>
      <c r="Q412" s="64" t="n">
        <f aca="false">INDEX(Datos_Origen!$J$2:$J$2459,$Z412)</f>
        <v>35.43</v>
      </c>
      <c r="R412" s="65" t="n">
        <f aca="false">ROUND($O412*$P412,2)</f>
        <v>5159.7</v>
      </c>
      <c r="S412" s="65" t="n">
        <f aca="false">ROUND($O412*$Q412,2)</f>
        <v>2869.83</v>
      </c>
      <c r="T412" s="65" t="n">
        <f aca="false">ROUND($R412*SUMIFS(Parametros!$E$28:$E$43,Parametros!$B$28:$B$43,$J412,Parametros!$C$28:$C$43,$C412,Parametros!$D$28:$D$43,$D412),2)</f>
        <v>61.92</v>
      </c>
      <c r="U412" s="65" t="n">
        <f aca="false">$R412-$S412-$T412</f>
        <v>2227.95</v>
      </c>
      <c r="V412" s="66" t="n">
        <f aca="false">IFERROR($U412/$R412,0)</f>
        <v>0.431798360369789</v>
      </c>
      <c r="W412" s="67" t="str">
        <f aca="false">IF(AND($V412&gt;=Parametros!$C$8,$R412&gt;=Parametros!$C$12),"Alta rentabilidad",IF(OR($V412&lt;Parametros!$C$11,$R412&lt;Parametros!$C$13),"Revisar","Estandar"))</f>
        <v>Alta rentabilidad</v>
      </c>
      <c r="X412" s="67" t="str">
        <f aca="false">IF(AND($J412="E-commerce",IFERROR($T412/$R412,0)&gt;Parametros!$C$14),"Alerta","OK")</f>
        <v>OK</v>
      </c>
      <c r="Y412" s="61" t="str">
        <f aca="false">IF($R412&gt;=Parametros!$C$12,"Alto",IF($R412&lt;Parametros!$C$13,"Bajo","Medio"))</f>
        <v>Alto</v>
      </c>
      <c r="Z412" s="61" t="n">
        <v>1953</v>
      </c>
      <c r="AA412" s="61" t="str">
        <f aca="false">IF(MATCH($A412,Datos_Origen!$A$2:$A$2459,0)=$Z412,"OK","REVISAR")</f>
        <v>OK</v>
      </c>
      <c r="AB412" s="62" t="n">
        <f aca="false">INDEX(Datos_Origen!$B$2:$B$2459,$Z412)</f>
        <v>45428</v>
      </c>
      <c r="AC412" s="61" t="n">
        <f aca="false">INDEX(Datos_Origen!$H$2:$H$2459,$Z412)</f>
        <v>81</v>
      </c>
      <c r="AD412" s="61" t="str">
        <f aca="false">INDEX(Datos_Origen!$D$2:$D$2459,$Z412)&amp;""</f>
        <v>Buenos Aires</v>
      </c>
    </row>
    <row r="413" customFormat="false" ht="15" hidden="false" customHeight="false" outlineLevel="0" collapsed="false">
      <c r="A413" s="61" t="n">
        <f aca="false">INDEX(Datos_Origen!$A$2:$A$2459,$Z413)</f>
        <v>412</v>
      </c>
      <c r="B413" s="62" t="n">
        <f aca="false">IF(ISNUMBER($AB413),$AB413,IF(MID($AB413,5,1)="-",DATE(VALUE(LEFT($AB413,4)),VALUE(MID($AB413,6,2)),VALUE(RIGHT($AB413,2))),DATE(VALUE(RIGHT($AB413,4)),VALUE(MID($AB413,4,2)),VALUE(LEFT($AB413,2)))))</f>
        <v>45435</v>
      </c>
      <c r="C413" s="61" t="n">
        <f aca="false">YEAR($B413)</f>
        <v>2024</v>
      </c>
      <c r="D413" s="61" t="str">
        <f aca="false">"Q"&amp;ROUNDUP(MONTH($B413)/3,0)</f>
        <v>Q2</v>
      </c>
      <c r="E413" s="61" t="n">
        <f aca="false">MONTH($B413)</f>
        <v>5</v>
      </c>
      <c r="F413" s="61" t="str">
        <f aca="false">INDEX(Parametros!$I$5:$I$16,$E413)</f>
        <v>May</v>
      </c>
      <c r="G413" s="61" t="str">
        <f aca="false">TEXT($C413,"0000")&amp;"-"&amp;TEXT($E413,"00")</f>
        <v>2024-05</v>
      </c>
      <c r="H413" s="61" t="str">
        <f aca="false">INDEX(Parametros!$C$71:$C$91,MATCH(TRIM(INDEX(Datos_Origen!$C$2:$C$2459,$Z413)),Parametros!$B$71:$B$91,0))</f>
        <v>AMBA</v>
      </c>
      <c r="I413" s="61" t="str">
        <f aca="false">IF(TRIM($AD413)="",INDEX(Parametros!$I$20:$I$24,MATCH($H413,Parametros!$H$20:$H$24,0)),TRIM($AD413))</f>
        <v>Buenos Aires</v>
      </c>
      <c r="J413" s="61" t="str">
        <f aca="false">INDEX(Parametros!$C$95:$C$106,MATCH(TRIM(INDEX(Datos_Origen!$E$2:$E$2459,$Z413)),Parametros!$B$95:$B$106,0))</f>
        <v>E-commerce</v>
      </c>
      <c r="K413" s="61" t="str">
        <f aca="false">INDEX(Parametros!$C$48:$C$67,MATCH(TRIM(INDEX(Datos_Origen!$F$2:$F$2459,$Z413)),Parametros!$B$48:$B$67,0))</f>
        <v>Accesorios</v>
      </c>
      <c r="L413" s="61" t="str">
        <f aca="false">$K413&amp;" "&amp;$C413</f>
        <v>Accesorios 2024</v>
      </c>
      <c r="M413" s="61" t="str">
        <f aca="false">TRIM(INDEX(Datos_Origen!$G$2:$G$2459,$Z413))</f>
        <v>Webcam Full HD</v>
      </c>
      <c r="N413" s="61" t="str">
        <f aca="false">$M413&amp;" "&amp;$C413</f>
        <v>Webcam Full HD 2024</v>
      </c>
      <c r="O413" s="63" t="n">
        <f aca="false">IF(ISTEXT($AC413),VALUE($AC413),$AC413)</f>
        <v>33</v>
      </c>
      <c r="P413" s="64" t="n">
        <f aca="false">INDEX(Datos_Origen!$I$2:$I$2459,$Z413)</f>
        <v>63.7</v>
      </c>
      <c r="Q413" s="64" t="n">
        <f aca="false">INDEX(Datos_Origen!$J$2:$J$2459,$Z413)</f>
        <v>35.43</v>
      </c>
      <c r="R413" s="65" t="n">
        <f aca="false">ROUND($O413*$P413,2)</f>
        <v>2102.1</v>
      </c>
      <c r="S413" s="65" t="n">
        <f aca="false">ROUND($O413*$Q413,2)</f>
        <v>1169.19</v>
      </c>
      <c r="T413" s="65" t="n">
        <f aca="false">ROUND($R413*SUMIFS(Parametros!$E$28:$E$43,Parametros!$B$28:$B$43,$J413,Parametros!$C$28:$C$43,$C413,Parametros!$D$28:$D$43,$D413),2)</f>
        <v>92.49</v>
      </c>
      <c r="U413" s="65" t="n">
        <f aca="false">$R413-$S413-$T413</f>
        <v>840.42</v>
      </c>
      <c r="V413" s="66" t="n">
        <f aca="false">IFERROR($U413/$R413,0)</f>
        <v>0.3998001998002</v>
      </c>
      <c r="W413" s="67" t="str">
        <f aca="false">IF(AND($V413&gt;=Parametros!$C$8,$R413&gt;=Parametros!$C$12),"Alta rentabilidad",IF(OR($V413&lt;Parametros!$C$11,$R413&lt;Parametros!$C$13),"Revisar","Estandar"))</f>
        <v>Estandar</v>
      </c>
      <c r="X413" s="67" t="str">
        <f aca="false">IF(AND($J413="E-commerce",IFERROR($T413/$R413,0)&gt;Parametros!$C$14),"Alerta","OK")</f>
        <v>OK</v>
      </c>
      <c r="Y413" s="61" t="str">
        <f aca="false">IF($R413&gt;=Parametros!$C$12,"Alto",IF($R413&lt;Parametros!$C$13,"Bajo","Medio"))</f>
        <v>Medio</v>
      </c>
      <c r="Z413" s="61" t="n">
        <v>2168</v>
      </c>
      <c r="AA413" s="61" t="str">
        <f aca="false">IF(MATCH($A413,Datos_Origen!$A$2:$A$2459,0)=$Z413,"OK","REVISAR")</f>
        <v>OK</v>
      </c>
      <c r="AB413" s="62" t="n">
        <f aca="false">INDEX(Datos_Origen!$B$2:$B$2459,$Z413)</f>
        <v>45435</v>
      </c>
      <c r="AC413" s="61" t="n">
        <f aca="false">INDEX(Datos_Origen!$H$2:$H$2459,$Z413)</f>
        <v>33</v>
      </c>
      <c r="AD413" s="61" t="str">
        <f aca="false">INDEX(Datos_Origen!$D$2:$D$2459,$Z413)&amp;""</f>
        <v>Buenos Aires</v>
      </c>
    </row>
    <row r="414" customFormat="false" ht="15" hidden="false" customHeight="false" outlineLevel="0" collapsed="false">
      <c r="A414" s="61" t="n">
        <f aca="false">INDEX(Datos_Origen!$A$2:$A$2459,$Z414)</f>
        <v>413</v>
      </c>
      <c r="B414" s="62" t="n">
        <f aca="false">IF(ISNUMBER($AB414),$AB414,IF(MID($AB414,5,1)="-",DATE(VALUE(LEFT($AB414,4)),VALUE(MID($AB414,6,2)),VALUE(RIGHT($AB414,2))),DATE(VALUE(RIGHT($AB414,4)),VALUE(MID($AB414,4,2)),VALUE(LEFT($AB414,2)))))</f>
        <v>45415</v>
      </c>
      <c r="C414" s="61" t="n">
        <f aca="false">YEAR($B414)</f>
        <v>2024</v>
      </c>
      <c r="D414" s="61" t="str">
        <f aca="false">"Q"&amp;ROUNDUP(MONTH($B414)/3,0)</f>
        <v>Q2</v>
      </c>
      <c r="E414" s="61" t="n">
        <f aca="false">MONTH($B414)</f>
        <v>5</v>
      </c>
      <c r="F414" s="61" t="str">
        <f aca="false">INDEX(Parametros!$I$5:$I$16,$E414)</f>
        <v>May</v>
      </c>
      <c r="G414" s="61" t="str">
        <f aca="false">TEXT($C414,"0000")&amp;"-"&amp;TEXT($E414,"00")</f>
        <v>2024-05</v>
      </c>
      <c r="H414" s="61" t="str">
        <f aca="false">INDEX(Parametros!$C$71:$C$91,MATCH(TRIM(INDEX(Datos_Origen!$C$2:$C$2459,$Z414)),Parametros!$B$71:$B$91,0))</f>
        <v>AMBA</v>
      </c>
      <c r="I414" s="61" t="str">
        <f aca="false">IF(TRIM($AD414)="",INDEX(Parametros!$I$20:$I$24,MATCH($H414,Parametros!$H$20:$H$24,0)),TRIM($AD414))</f>
        <v>Buenos Aires</v>
      </c>
      <c r="J414" s="61" t="str">
        <f aca="false">INDEX(Parametros!$C$95:$C$106,MATCH(TRIM(INDEX(Datos_Origen!$E$2:$E$2459,$Z414)),Parametros!$B$95:$B$106,0))</f>
        <v>Tienda fisica</v>
      </c>
      <c r="K414" s="61" t="str">
        <f aca="false">INDEX(Parametros!$C$48:$C$67,MATCH(TRIM(INDEX(Datos_Origen!$F$2:$F$2459,$Z414)),Parametros!$B$48:$B$67,0))</f>
        <v>Audio</v>
      </c>
      <c r="L414" s="61" t="str">
        <f aca="false">$K414&amp;" "&amp;$C414</f>
        <v>Audio 2024</v>
      </c>
      <c r="M414" s="61" t="str">
        <f aca="false">TRIM(INDEX(Datos_Origen!$G$2:$G$2459,$Z414))</f>
        <v>Auriculares BT Pro</v>
      </c>
      <c r="N414" s="61" t="str">
        <f aca="false">$M414&amp;" "&amp;$C414</f>
        <v>Auriculares BT Pro 2024</v>
      </c>
      <c r="O414" s="63" t="n">
        <f aca="false">IF(ISTEXT($AC414),VALUE($AC414),$AC414)</f>
        <v>51</v>
      </c>
      <c r="P414" s="64" t="n">
        <f aca="false">INDEX(Datos_Origen!$I$2:$I$2459,$Z414)</f>
        <v>117.6</v>
      </c>
      <c r="Q414" s="64" t="n">
        <f aca="false">INDEX(Datos_Origen!$J$2:$J$2459,$Z414)</f>
        <v>63.6</v>
      </c>
      <c r="R414" s="65" t="n">
        <f aca="false">ROUND($O414*$P414,2)</f>
        <v>5997.6</v>
      </c>
      <c r="S414" s="65" t="n">
        <f aca="false">ROUND($O414*$Q414,2)</f>
        <v>3243.6</v>
      </c>
      <c r="T414" s="65" t="n">
        <f aca="false">ROUND($R414*SUMIFS(Parametros!$E$28:$E$43,Parametros!$B$28:$B$43,$J414,Parametros!$C$28:$C$43,$C414,Parametros!$D$28:$D$43,$D414),2)</f>
        <v>71.97</v>
      </c>
      <c r="U414" s="65" t="n">
        <f aca="false">$R414-$S414-$T414</f>
        <v>2682.03</v>
      </c>
      <c r="V414" s="66" t="n">
        <f aca="false">IFERROR($U414/$R414,0)</f>
        <v>0.44718387354942</v>
      </c>
      <c r="W414" s="67" t="str">
        <f aca="false">IF(AND($V414&gt;=Parametros!$C$8,$R414&gt;=Parametros!$C$12),"Alta rentabilidad",IF(OR($V414&lt;Parametros!$C$11,$R414&lt;Parametros!$C$13),"Revisar","Estandar"))</f>
        <v>Alta rentabilidad</v>
      </c>
      <c r="X414" s="67" t="str">
        <f aca="false">IF(AND($J414="E-commerce",IFERROR($T414/$R414,0)&gt;Parametros!$C$14),"Alerta","OK")</f>
        <v>OK</v>
      </c>
      <c r="Y414" s="61" t="str">
        <f aca="false">IF($R414&gt;=Parametros!$C$12,"Alto",IF($R414&lt;Parametros!$C$13,"Bajo","Medio"))</f>
        <v>Alto</v>
      </c>
      <c r="Z414" s="61" t="n">
        <v>2211</v>
      </c>
      <c r="AA414" s="61" t="str">
        <f aca="false">IF(MATCH($A414,Datos_Origen!$A$2:$A$2459,0)=$Z414,"OK","REVISAR")</f>
        <v>OK</v>
      </c>
      <c r="AB414" s="61" t="str">
        <f aca="false">INDEX(Datos_Origen!$B$2:$B$2459,$Z414)</f>
        <v>03/05/2024</v>
      </c>
      <c r="AC414" s="61" t="n">
        <f aca="false">INDEX(Datos_Origen!$H$2:$H$2459,$Z414)</f>
        <v>51</v>
      </c>
      <c r="AD414" s="61" t="str">
        <f aca="false">INDEX(Datos_Origen!$D$2:$D$2459,$Z414)&amp;""</f>
        <v>Buenos Aires</v>
      </c>
    </row>
    <row r="415" customFormat="false" ht="15" hidden="false" customHeight="false" outlineLevel="0" collapsed="false">
      <c r="A415" s="61" t="n">
        <f aca="false">INDEX(Datos_Origen!$A$2:$A$2459,$Z415)</f>
        <v>414</v>
      </c>
      <c r="B415" s="62" t="n">
        <f aca="false">IF(ISNUMBER($AB415),$AB415,IF(MID($AB415,5,1)="-",DATE(VALUE(LEFT($AB415,4)),VALUE(MID($AB415,6,2)),VALUE(RIGHT($AB415,2))),DATE(VALUE(RIGHT($AB415,4)),VALUE(MID($AB415,4,2)),VALUE(LEFT($AB415,2)))))</f>
        <v>45422</v>
      </c>
      <c r="C415" s="61" t="n">
        <f aca="false">YEAR($B415)</f>
        <v>2024</v>
      </c>
      <c r="D415" s="61" t="str">
        <f aca="false">"Q"&amp;ROUNDUP(MONTH($B415)/3,0)</f>
        <v>Q2</v>
      </c>
      <c r="E415" s="61" t="n">
        <f aca="false">MONTH($B415)</f>
        <v>5</v>
      </c>
      <c r="F415" s="61" t="str">
        <f aca="false">INDEX(Parametros!$I$5:$I$16,$E415)</f>
        <v>May</v>
      </c>
      <c r="G415" s="61" t="str">
        <f aca="false">TEXT($C415,"0000")&amp;"-"&amp;TEXT($E415,"00")</f>
        <v>2024-05</v>
      </c>
      <c r="H415" s="61" t="str">
        <f aca="false">INDEX(Parametros!$C$71:$C$91,MATCH(TRIM(INDEX(Datos_Origen!$C$2:$C$2459,$Z415)),Parametros!$B$71:$B$91,0))</f>
        <v>AMBA</v>
      </c>
      <c r="I415" s="61" t="str">
        <f aca="false">IF(TRIM($AD415)="",INDEX(Parametros!$I$20:$I$24,MATCH($H415,Parametros!$H$20:$H$24,0)),TRIM($AD415))</f>
        <v>Buenos Aires</v>
      </c>
      <c r="J415" s="61" t="str">
        <f aca="false">INDEX(Parametros!$C$95:$C$106,MATCH(TRIM(INDEX(Datos_Origen!$E$2:$E$2459,$Z415)),Parametros!$B$95:$B$106,0))</f>
        <v>E-commerce</v>
      </c>
      <c r="K415" s="61" t="str">
        <f aca="false">INDEX(Parametros!$C$48:$C$67,MATCH(TRIM(INDEX(Datos_Origen!$F$2:$F$2459,$Z415)),Parametros!$B$48:$B$67,0))</f>
        <v>Audio</v>
      </c>
      <c r="L415" s="61" t="str">
        <f aca="false">$K415&amp;" "&amp;$C415</f>
        <v>Audio 2024</v>
      </c>
      <c r="M415" s="61" t="str">
        <f aca="false">TRIM(INDEX(Datos_Origen!$G$2:$G$2459,$Z415))</f>
        <v>Auriculares BT Pro</v>
      </c>
      <c r="N415" s="61" t="str">
        <f aca="false">$M415&amp;" "&amp;$C415</f>
        <v>Auriculares BT Pro 2024</v>
      </c>
      <c r="O415" s="63" t="n">
        <f aca="false">IF(ISTEXT($AC415),VALUE($AC415),$AC415)</f>
        <v>15</v>
      </c>
      <c r="P415" s="64" t="n">
        <f aca="false">INDEX(Datos_Origen!$I$2:$I$2459,$Z415)</f>
        <v>117.6</v>
      </c>
      <c r="Q415" s="64" t="n">
        <f aca="false">INDEX(Datos_Origen!$J$2:$J$2459,$Z415)</f>
        <v>63.6</v>
      </c>
      <c r="R415" s="65" t="n">
        <f aca="false">ROUND($O415*$P415,2)</f>
        <v>1764</v>
      </c>
      <c r="S415" s="65" t="n">
        <f aca="false">ROUND($O415*$Q415,2)</f>
        <v>954</v>
      </c>
      <c r="T415" s="65" t="n">
        <f aca="false">ROUND($R415*SUMIFS(Parametros!$E$28:$E$43,Parametros!$B$28:$B$43,$J415,Parametros!$C$28:$C$43,$C415,Parametros!$D$28:$D$43,$D415),2)</f>
        <v>77.62</v>
      </c>
      <c r="U415" s="65" t="n">
        <f aca="false">$R415-$S415-$T415</f>
        <v>732.38</v>
      </c>
      <c r="V415" s="66" t="n">
        <f aca="false">IFERROR($U415/$R415,0)</f>
        <v>0.415181405895692</v>
      </c>
      <c r="W415" s="67" t="str">
        <f aca="false">IF(AND($V415&gt;=Parametros!$C$8,$R415&gt;=Parametros!$C$12),"Alta rentabilidad",IF(OR($V415&lt;Parametros!$C$11,$R415&lt;Parametros!$C$13),"Revisar","Estandar"))</f>
        <v>Estandar</v>
      </c>
      <c r="X415" s="67" t="str">
        <f aca="false">IF(AND($J415="E-commerce",IFERROR($T415/$R415,0)&gt;Parametros!$C$14),"Alerta","OK")</f>
        <v>OK</v>
      </c>
      <c r="Y415" s="61" t="str">
        <f aca="false">IF($R415&gt;=Parametros!$C$12,"Alto",IF($R415&lt;Parametros!$C$13,"Bajo","Medio"))</f>
        <v>Medio</v>
      </c>
      <c r="Z415" s="61" t="n">
        <v>42</v>
      </c>
      <c r="AA415" s="61" t="str">
        <f aca="false">IF(MATCH($A415,Datos_Origen!$A$2:$A$2459,0)=$Z415,"OK","REVISAR")</f>
        <v>OK</v>
      </c>
      <c r="AB415" s="62" t="n">
        <f aca="false">INDEX(Datos_Origen!$B$2:$B$2459,$Z415)</f>
        <v>45422</v>
      </c>
      <c r="AC415" s="61" t="n">
        <f aca="false">INDEX(Datos_Origen!$H$2:$H$2459,$Z415)</f>
        <v>15</v>
      </c>
      <c r="AD415" s="61" t="str">
        <f aca="false">INDEX(Datos_Origen!$D$2:$D$2459,$Z415)&amp;""</f>
        <v>Buenos Aires</v>
      </c>
    </row>
    <row r="416" customFormat="false" ht="15" hidden="false" customHeight="false" outlineLevel="0" collapsed="false">
      <c r="A416" s="61" t="n">
        <f aca="false">INDEX(Datos_Origen!$A$2:$A$2459,$Z416)</f>
        <v>415</v>
      </c>
      <c r="B416" s="62" t="n">
        <f aca="false">IF(ISNUMBER($AB416),$AB416,IF(MID($AB416,5,1)="-",DATE(VALUE(LEFT($AB416,4)),VALUE(MID($AB416,6,2)),VALUE(RIGHT($AB416,2))),DATE(VALUE(RIGHT($AB416,4)),VALUE(MID($AB416,4,2)),VALUE(LEFT($AB416,2)))))</f>
        <v>45429</v>
      </c>
      <c r="C416" s="61" t="n">
        <f aca="false">YEAR($B416)</f>
        <v>2024</v>
      </c>
      <c r="D416" s="61" t="str">
        <f aca="false">"Q"&amp;ROUNDUP(MONTH($B416)/3,0)</f>
        <v>Q2</v>
      </c>
      <c r="E416" s="61" t="n">
        <f aca="false">MONTH($B416)</f>
        <v>5</v>
      </c>
      <c r="F416" s="61" t="str">
        <f aca="false">INDEX(Parametros!$I$5:$I$16,$E416)</f>
        <v>May</v>
      </c>
      <c r="G416" s="61" t="str">
        <f aca="false">TEXT($C416,"0000")&amp;"-"&amp;TEXT($E416,"00")</f>
        <v>2024-05</v>
      </c>
      <c r="H416" s="61" t="str">
        <f aca="false">INDEX(Parametros!$C$71:$C$91,MATCH(TRIM(INDEX(Datos_Origen!$C$2:$C$2459,$Z416)),Parametros!$B$71:$B$91,0))</f>
        <v>AMBA</v>
      </c>
      <c r="I416" s="61" t="str">
        <f aca="false">IF(TRIM($AD416)="",INDEX(Parametros!$I$20:$I$24,MATCH($H416,Parametros!$H$20:$H$24,0)),TRIM($AD416))</f>
        <v>Buenos Aires</v>
      </c>
      <c r="J416" s="61" t="str">
        <f aca="false">INDEX(Parametros!$C$95:$C$106,MATCH(TRIM(INDEX(Datos_Origen!$E$2:$E$2459,$Z416)),Parametros!$B$95:$B$106,0))</f>
        <v>Tienda fisica</v>
      </c>
      <c r="K416" s="61" t="str">
        <f aca="false">INDEX(Parametros!$C$48:$C$67,MATCH(TRIM(INDEX(Datos_Origen!$F$2:$F$2459,$Z416)),Parametros!$B$48:$B$67,0))</f>
        <v>Audio</v>
      </c>
      <c r="L416" s="61" t="str">
        <f aca="false">$K416&amp;" "&amp;$C416</f>
        <v>Audio 2024</v>
      </c>
      <c r="M416" s="61" t="str">
        <f aca="false">TRIM(INDEX(Datos_Origen!$G$2:$G$2459,$Z416))</f>
        <v>Parlante Bluetooth</v>
      </c>
      <c r="N416" s="61" t="str">
        <f aca="false">$M416&amp;" "&amp;$C416</f>
        <v>Parlante Bluetooth 2024</v>
      </c>
      <c r="O416" s="63" t="n">
        <f aca="false">IF(ISTEXT($AC416),VALUE($AC416),$AC416)</f>
        <v>44</v>
      </c>
      <c r="P416" s="64" t="n">
        <f aca="false">INDEX(Datos_Origen!$I$2:$I$2459,$Z416)</f>
        <v>83.3</v>
      </c>
      <c r="Q416" s="64" t="n">
        <f aca="false">INDEX(Datos_Origen!$J$2:$J$2459,$Z416)</f>
        <v>48.03</v>
      </c>
      <c r="R416" s="65" t="n">
        <f aca="false">ROUND($O416*$P416,2)</f>
        <v>3665.2</v>
      </c>
      <c r="S416" s="65" t="n">
        <f aca="false">ROUND($O416*$Q416,2)</f>
        <v>2113.32</v>
      </c>
      <c r="T416" s="65" t="n">
        <f aca="false">ROUND($R416*SUMIFS(Parametros!$E$28:$E$43,Parametros!$B$28:$B$43,$J416,Parametros!$C$28:$C$43,$C416,Parametros!$D$28:$D$43,$D416),2)</f>
        <v>43.98</v>
      </c>
      <c r="U416" s="65" t="n">
        <f aca="false">$R416-$S416-$T416</f>
        <v>1507.9</v>
      </c>
      <c r="V416" s="66" t="n">
        <f aca="false">IFERROR($U416/$R416,0)</f>
        <v>0.411410018552876</v>
      </c>
      <c r="W416" s="67" t="str">
        <f aca="false">IF(AND($V416&gt;=Parametros!$C$8,$R416&gt;=Parametros!$C$12),"Alta rentabilidad",IF(OR($V416&lt;Parametros!$C$11,$R416&lt;Parametros!$C$13),"Revisar","Estandar"))</f>
        <v>Alta rentabilidad</v>
      </c>
      <c r="X416" s="67" t="str">
        <f aca="false">IF(AND($J416="E-commerce",IFERROR($T416/$R416,0)&gt;Parametros!$C$14),"Alerta","OK")</f>
        <v>OK</v>
      </c>
      <c r="Y416" s="61" t="str">
        <f aca="false">IF($R416&gt;=Parametros!$C$12,"Alto",IF($R416&lt;Parametros!$C$13,"Bajo","Medio"))</f>
        <v>Alto</v>
      </c>
      <c r="Z416" s="61" t="n">
        <v>1521</v>
      </c>
      <c r="AA416" s="61" t="str">
        <f aca="false">IF(MATCH($A416,Datos_Origen!$A$2:$A$2459,0)=$Z416,"OK","REVISAR")</f>
        <v>OK</v>
      </c>
      <c r="AB416" s="61" t="str">
        <f aca="false">INDEX(Datos_Origen!$B$2:$B$2459,$Z416)</f>
        <v>17/05/2024</v>
      </c>
      <c r="AC416" s="61" t="n">
        <f aca="false">INDEX(Datos_Origen!$H$2:$H$2459,$Z416)</f>
        <v>44</v>
      </c>
      <c r="AD416" s="61" t="str">
        <f aca="false">INDEX(Datos_Origen!$D$2:$D$2459,$Z416)&amp;""</f>
        <v>Buenos Aires</v>
      </c>
    </row>
    <row r="417" customFormat="false" ht="15" hidden="false" customHeight="false" outlineLevel="0" collapsed="false">
      <c r="A417" s="61" t="n">
        <f aca="false">INDEX(Datos_Origen!$A$2:$A$2459,$Z417)</f>
        <v>416</v>
      </c>
      <c r="B417" s="62" t="n">
        <f aca="false">IF(ISNUMBER($AB417),$AB417,IF(MID($AB417,5,1)="-",DATE(VALUE(LEFT($AB417,4)),VALUE(MID($AB417,6,2)),VALUE(RIGHT($AB417,2))),DATE(VALUE(RIGHT($AB417,4)),VALUE(MID($AB417,4,2)),VALUE(LEFT($AB417,2)))))</f>
        <v>45436</v>
      </c>
      <c r="C417" s="61" t="n">
        <f aca="false">YEAR($B417)</f>
        <v>2024</v>
      </c>
      <c r="D417" s="61" t="str">
        <f aca="false">"Q"&amp;ROUNDUP(MONTH($B417)/3,0)</f>
        <v>Q2</v>
      </c>
      <c r="E417" s="61" t="n">
        <f aca="false">MONTH($B417)</f>
        <v>5</v>
      </c>
      <c r="F417" s="61" t="str">
        <f aca="false">INDEX(Parametros!$I$5:$I$16,$E417)</f>
        <v>May</v>
      </c>
      <c r="G417" s="61" t="str">
        <f aca="false">TEXT($C417,"0000")&amp;"-"&amp;TEXT($E417,"00")</f>
        <v>2024-05</v>
      </c>
      <c r="H417" s="61" t="str">
        <f aca="false">INDEX(Parametros!$C$71:$C$91,MATCH(TRIM(INDEX(Datos_Origen!$C$2:$C$2459,$Z417)),Parametros!$B$71:$B$91,0))</f>
        <v>AMBA</v>
      </c>
      <c r="I417" s="61" t="str">
        <f aca="false">IF(TRIM($AD417)="",INDEX(Parametros!$I$20:$I$24,MATCH($H417,Parametros!$H$20:$H$24,0)),TRIM($AD417))</f>
        <v>Buenos Aires</v>
      </c>
      <c r="J417" s="61" t="str">
        <f aca="false">INDEX(Parametros!$C$95:$C$106,MATCH(TRIM(INDEX(Datos_Origen!$E$2:$E$2459,$Z417)),Parametros!$B$95:$B$106,0))</f>
        <v>E-commerce</v>
      </c>
      <c r="K417" s="61" t="str">
        <f aca="false">INDEX(Parametros!$C$48:$C$67,MATCH(TRIM(INDEX(Datos_Origen!$F$2:$F$2459,$Z417)),Parametros!$B$48:$B$67,0))</f>
        <v>Audio</v>
      </c>
      <c r="L417" s="61" t="str">
        <f aca="false">$K417&amp;" "&amp;$C417</f>
        <v>Audio 2024</v>
      </c>
      <c r="M417" s="61" t="str">
        <f aca="false">TRIM(INDEX(Datos_Origen!$G$2:$G$2459,$Z417))</f>
        <v>Parlante Bluetooth</v>
      </c>
      <c r="N417" s="61" t="str">
        <f aca="false">$M417&amp;" "&amp;$C417</f>
        <v>Parlante Bluetooth 2024</v>
      </c>
      <c r="O417" s="63" t="n">
        <f aca="false">IF(ISTEXT($AC417),VALUE($AC417),$AC417)</f>
        <v>20</v>
      </c>
      <c r="P417" s="64" t="n">
        <f aca="false">INDEX(Datos_Origen!$I$2:$I$2459,$Z417)</f>
        <v>83.3</v>
      </c>
      <c r="Q417" s="64" t="n">
        <f aca="false">INDEX(Datos_Origen!$J$2:$J$2459,$Z417)</f>
        <v>48.03</v>
      </c>
      <c r="R417" s="65" t="n">
        <f aca="false">ROUND($O417*$P417,2)</f>
        <v>1666</v>
      </c>
      <c r="S417" s="65" t="n">
        <f aca="false">ROUND($O417*$Q417,2)</f>
        <v>960.6</v>
      </c>
      <c r="T417" s="65" t="n">
        <f aca="false">ROUND($R417*SUMIFS(Parametros!$E$28:$E$43,Parametros!$B$28:$B$43,$J417,Parametros!$C$28:$C$43,$C417,Parametros!$D$28:$D$43,$D417),2)</f>
        <v>73.3</v>
      </c>
      <c r="U417" s="65" t="n">
        <f aca="false">$R417-$S417-$T417</f>
        <v>632.1</v>
      </c>
      <c r="V417" s="66" t="n">
        <f aca="false">IFERROR($U417/$R417,0)</f>
        <v>0.379411764705882</v>
      </c>
      <c r="W417" s="67" t="str">
        <f aca="false">IF(AND($V417&gt;=Parametros!$C$8,$R417&gt;=Parametros!$C$12),"Alta rentabilidad",IF(OR($V417&lt;Parametros!$C$11,$R417&lt;Parametros!$C$13),"Revisar","Estandar"))</f>
        <v>Estandar</v>
      </c>
      <c r="X417" s="67" t="str">
        <f aca="false">IF(AND($J417="E-commerce",IFERROR($T417/$R417,0)&gt;Parametros!$C$14),"Alerta","OK")</f>
        <v>OK</v>
      </c>
      <c r="Y417" s="61" t="str">
        <f aca="false">IF($R417&gt;=Parametros!$C$12,"Alto",IF($R417&lt;Parametros!$C$13,"Bajo","Medio"))</f>
        <v>Medio</v>
      </c>
      <c r="Z417" s="61" t="n">
        <v>1326</v>
      </c>
      <c r="AA417" s="61" t="str">
        <f aca="false">IF(MATCH($A417,Datos_Origen!$A$2:$A$2459,0)=$Z417,"OK","REVISAR")</f>
        <v>OK</v>
      </c>
      <c r="AB417" s="62" t="n">
        <f aca="false">INDEX(Datos_Origen!$B$2:$B$2459,$Z417)</f>
        <v>45436</v>
      </c>
      <c r="AC417" s="61" t="str">
        <f aca="false">INDEX(Datos_Origen!$H$2:$H$2459,$Z417)</f>
        <v>20</v>
      </c>
      <c r="AD417" s="61" t="str">
        <f aca="false">INDEX(Datos_Origen!$D$2:$D$2459,$Z417)&amp;""</f>
        <v>Buenos Aires</v>
      </c>
    </row>
    <row r="418" customFormat="false" ht="15" hidden="false" customHeight="false" outlineLevel="0" collapsed="false">
      <c r="A418" s="61" t="n">
        <f aca="false">INDEX(Datos_Origen!$A$2:$A$2459,$Z418)</f>
        <v>417</v>
      </c>
      <c r="B418" s="62" t="n">
        <f aca="false">IF(ISNUMBER($AB418),$AB418,IF(MID($AB418,5,1)="-",DATE(VALUE(LEFT($AB418,4)),VALUE(MID($AB418,6,2)),VALUE(RIGHT($AB418,2))),DATE(VALUE(RIGHT($AB418,4)),VALUE(MID($AB418,4,2)),VALUE(LEFT($AB418,2)))))</f>
        <v>45416</v>
      </c>
      <c r="C418" s="61" t="n">
        <f aca="false">YEAR($B418)</f>
        <v>2024</v>
      </c>
      <c r="D418" s="61" t="str">
        <f aca="false">"Q"&amp;ROUNDUP(MONTH($B418)/3,0)</f>
        <v>Q2</v>
      </c>
      <c r="E418" s="61" t="n">
        <f aca="false">MONTH($B418)</f>
        <v>5</v>
      </c>
      <c r="F418" s="61" t="str">
        <f aca="false">INDEX(Parametros!$I$5:$I$16,$E418)</f>
        <v>May</v>
      </c>
      <c r="G418" s="61" t="str">
        <f aca="false">TEXT($C418,"0000")&amp;"-"&amp;TEXT($E418,"00")</f>
        <v>2024-05</v>
      </c>
      <c r="H418" s="61" t="str">
        <f aca="false">INDEX(Parametros!$C$71:$C$91,MATCH(TRIM(INDEX(Datos_Origen!$C$2:$C$2459,$Z418)),Parametros!$B$71:$B$91,0))</f>
        <v>AMBA</v>
      </c>
      <c r="I418" s="61" t="str">
        <f aca="false">IF(TRIM($AD418)="",INDEX(Parametros!$I$20:$I$24,MATCH($H418,Parametros!$H$20:$H$24,0)),TRIM($AD418))</f>
        <v>Buenos Aires</v>
      </c>
      <c r="J418" s="61" t="str">
        <f aca="false">INDEX(Parametros!$C$95:$C$106,MATCH(TRIM(INDEX(Datos_Origen!$E$2:$E$2459,$Z418)),Parametros!$B$95:$B$106,0))</f>
        <v>Tienda fisica</v>
      </c>
      <c r="K418" s="61" t="str">
        <f aca="false">INDEX(Parametros!$C$48:$C$67,MATCH(TRIM(INDEX(Datos_Origen!$F$2:$F$2459,$Z418)),Parametros!$B$48:$B$67,0))</f>
        <v>Almacenamiento</v>
      </c>
      <c r="L418" s="61" t="str">
        <f aca="false">$K418&amp;" "&amp;$C418</f>
        <v>Almacenamiento 2024</v>
      </c>
      <c r="M418" s="61" t="str">
        <f aca="false">TRIM(INDEX(Datos_Origen!$G$2:$G$2459,$Z418))</f>
        <v>SSD Externo 1TB</v>
      </c>
      <c r="N418" s="61" t="str">
        <f aca="false">$M418&amp;" "&amp;$C418</f>
        <v>SSD Externo 1TB 2024</v>
      </c>
      <c r="O418" s="63" t="n">
        <f aca="false">IF(ISTEXT($AC418),VALUE($AC418),$AC418)</f>
        <v>48</v>
      </c>
      <c r="P418" s="64" t="n">
        <f aca="false">INDEX(Datos_Origen!$I$2:$I$2459,$Z418)</f>
        <v>127.4</v>
      </c>
      <c r="Q418" s="64" t="n">
        <f aca="false">INDEX(Datos_Origen!$J$2:$J$2459,$Z418)</f>
        <v>76.05</v>
      </c>
      <c r="R418" s="65" t="n">
        <f aca="false">ROUND($O418*$P418,2)</f>
        <v>6115.2</v>
      </c>
      <c r="S418" s="65" t="n">
        <f aca="false">ROUND($O418*$Q418,2)</f>
        <v>3650.4</v>
      </c>
      <c r="T418" s="65" t="n">
        <f aca="false">ROUND($R418*SUMIFS(Parametros!$E$28:$E$43,Parametros!$B$28:$B$43,$J418,Parametros!$C$28:$C$43,$C418,Parametros!$D$28:$D$43,$D418),2)</f>
        <v>73.38</v>
      </c>
      <c r="U418" s="65" t="n">
        <f aca="false">$R418-$S418-$T418</f>
        <v>2391.42</v>
      </c>
      <c r="V418" s="66" t="n">
        <f aca="false">IFERROR($U418/$R418,0)</f>
        <v>0.391061616954474</v>
      </c>
      <c r="W418" s="67" t="str">
        <f aca="false">IF(AND($V418&gt;=Parametros!$C$8,$R418&gt;=Parametros!$C$12),"Alta rentabilidad",IF(OR($V418&lt;Parametros!$C$11,$R418&lt;Parametros!$C$13),"Revisar","Estandar"))</f>
        <v>Alta rentabilidad</v>
      </c>
      <c r="X418" s="67" t="str">
        <f aca="false">IF(AND($J418="E-commerce",IFERROR($T418/$R418,0)&gt;Parametros!$C$14),"Alerta","OK")</f>
        <v>OK</v>
      </c>
      <c r="Y418" s="61" t="str">
        <f aca="false">IF($R418&gt;=Parametros!$C$12,"Alto",IF($R418&lt;Parametros!$C$13,"Bajo","Medio"))</f>
        <v>Alto</v>
      </c>
      <c r="Z418" s="61" t="n">
        <v>787</v>
      </c>
      <c r="AA418" s="61" t="str">
        <f aca="false">IF(MATCH($A418,Datos_Origen!$A$2:$A$2459,0)=$Z418,"OK","REVISAR")</f>
        <v>OK</v>
      </c>
      <c r="AB418" s="62" t="n">
        <f aca="false">INDEX(Datos_Origen!$B$2:$B$2459,$Z418)</f>
        <v>45416</v>
      </c>
      <c r="AC418" s="61" t="n">
        <f aca="false">INDEX(Datos_Origen!$H$2:$H$2459,$Z418)</f>
        <v>48</v>
      </c>
      <c r="AD418" s="61" t="str">
        <f aca="false">INDEX(Datos_Origen!$D$2:$D$2459,$Z418)&amp;""</f>
        <v>Buenos Aires</v>
      </c>
    </row>
    <row r="419" customFormat="false" ht="15" hidden="false" customHeight="false" outlineLevel="0" collapsed="false">
      <c r="A419" s="61" t="n">
        <f aca="false">INDEX(Datos_Origen!$A$2:$A$2459,$Z419)</f>
        <v>418</v>
      </c>
      <c r="B419" s="62" t="n">
        <f aca="false">IF(ISNUMBER($AB419),$AB419,IF(MID($AB419,5,1)="-",DATE(VALUE(LEFT($AB419,4)),VALUE(MID($AB419,6,2)),VALUE(RIGHT($AB419,2))),DATE(VALUE(RIGHT($AB419,4)),VALUE(MID($AB419,4,2)),VALUE(LEFT($AB419,2)))))</f>
        <v>45423</v>
      </c>
      <c r="C419" s="61" t="n">
        <f aca="false">YEAR($B419)</f>
        <v>2024</v>
      </c>
      <c r="D419" s="61" t="str">
        <f aca="false">"Q"&amp;ROUNDUP(MONTH($B419)/3,0)</f>
        <v>Q2</v>
      </c>
      <c r="E419" s="61" t="n">
        <f aca="false">MONTH($B419)</f>
        <v>5</v>
      </c>
      <c r="F419" s="61" t="str">
        <f aca="false">INDEX(Parametros!$I$5:$I$16,$E419)</f>
        <v>May</v>
      </c>
      <c r="G419" s="61" t="str">
        <f aca="false">TEXT($C419,"0000")&amp;"-"&amp;TEXT($E419,"00")</f>
        <v>2024-05</v>
      </c>
      <c r="H419" s="61" t="str">
        <f aca="false">INDEX(Parametros!$C$71:$C$91,MATCH(TRIM(INDEX(Datos_Origen!$C$2:$C$2459,$Z419)),Parametros!$B$71:$B$91,0))</f>
        <v>AMBA</v>
      </c>
      <c r="I419" s="61" t="str">
        <f aca="false">IF(TRIM($AD419)="",INDEX(Parametros!$I$20:$I$24,MATCH($H419,Parametros!$H$20:$H$24,0)),TRIM($AD419))</f>
        <v>Buenos Aires</v>
      </c>
      <c r="J419" s="61" t="str">
        <f aca="false">INDEX(Parametros!$C$95:$C$106,MATCH(TRIM(INDEX(Datos_Origen!$E$2:$E$2459,$Z419)),Parametros!$B$95:$B$106,0))</f>
        <v>E-commerce</v>
      </c>
      <c r="K419" s="61" t="str">
        <f aca="false">INDEX(Parametros!$C$48:$C$67,MATCH(TRIM(INDEX(Datos_Origen!$F$2:$F$2459,$Z419)),Parametros!$B$48:$B$67,0))</f>
        <v>Almacenamiento</v>
      </c>
      <c r="L419" s="61" t="str">
        <f aca="false">$K419&amp;" "&amp;$C419</f>
        <v>Almacenamiento 2024</v>
      </c>
      <c r="M419" s="61" t="str">
        <f aca="false">TRIM(INDEX(Datos_Origen!$G$2:$G$2459,$Z419))</f>
        <v>SSD Externo 1TB</v>
      </c>
      <c r="N419" s="61" t="str">
        <f aca="false">$M419&amp;" "&amp;$C419</f>
        <v>SSD Externo 1TB 2024</v>
      </c>
      <c r="O419" s="63" t="n">
        <f aca="false">IF(ISTEXT($AC419),VALUE($AC419),$AC419)</f>
        <v>20</v>
      </c>
      <c r="P419" s="64" t="n">
        <f aca="false">INDEX(Datos_Origen!$I$2:$I$2459,$Z419)</f>
        <v>127.4</v>
      </c>
      <c r="Q419" s="64" t="n">
        <f aca="false">INDEX(Datos_Origen!$J$2:$J$2459,$Z419)</f>
        <v>76.05</v>
      </c>
      <c r="R419" s="65" t="n">
        <f aca="false">ROUND($O419*$P419,2)</f>
        <v>2548</v>
      </c>
      <c r="S419" s="65" t="n">
        <f aca="false">ROUND($O419*$Q419,2)</f>
        <v>1521</v>
      </c>
      <c r="T419" s="65" t="n">
        <f aca="false">ROUND($R419*SUMIFS(Parametros!$E$28:$E$43,Parametros!$B$28:$B$43,$J419,Parametros!$C$28:$C$43,$C419,Parametros!$D$28:$D$43,$D419),2)</f>
        <v>112.11</v>
      </c>
      <c r="U419" s="65" t="n">
        <f aca="false">$R419-$S419-$T419</f>
        <v>914.89</v>
      </c>
      <c r="V419" s="66" t="n">
        <f aca="false">IFERROR($U419/$R419,0)</f>
        <v>0.359062009419152</v>
      </c>
      <c r="W419" s="67" t="str">
        <f aca="false">IF(AND($V419&gt;=Parametros!$C$8,$R419&gt;=Parametros!$C$12),"Alta rentabilidad",IF(OR($V419&lt;Parametros!$C$11,$R419&lt;Parametros!$C$13),"Revisar","Estandar"))</f>
        <v>Estandar</v>
      </c>
      <c r="X419" s="67" t="str">
        <f aca="false">IF(AND($J419="E-commerce",IFERROR($T419/$R419,0)&gt;Parametros!$C$14),"Alerta","OK")</f>
        <v>OK</v>
      </c>
      <c r="Y419" s="61" t="str">
        <f aca="false">IF($R419&gt;=Parametros!$C$12,"Alto",IF($R419&lt;Parametros!$C$13,"Bajo","Medio"))</f>
        <v>Medio</v>
      </c>
      <c r="Z419" s="61" t="n">
        <v>1277</v>
      </c>
      <c r="AA419" s="61" t="str">
        <f aca="false">IF(MATCH($A419,Datos_Origen!$A$2:$A$2459,0)=$Z419,"OK","REVISAR")</f>
        <v>OK</v>
      </c>
      <c r="AB419" s="62" t="n">
        <f aca="false">INDEX(Datos_Origen!$B$2:$B$2459,$Z419)</f>
        <v>45423</v>
      </c>
      <c r="AC419" s="61" t="str">
        <f aca="false">INDEX(Datos_Origen!$H$2:$H$2459,$Z419)</f>
        <v>20</v>
      </c>
      <c r="AD419" s="61" t="str">
        <f aca="false">INDEX(Datos_Origen!$D$2:$D$2459,$Z419)&amp;""</f>
        <v>Buenos Aires</v>
      </c>
    </row>
    <row r="420" customFormat="false" ht="15" hidden="false" customHeight="false" outlineLevel="0" collapsed="false">
      <c r="A420" s="61" t="n">
        <f aca="false">INDEX(Datos_Origen!$A$2:$A$2459,$Z420)</f>
        <v>419</v>
      </c>
      <c r="B420" s="62" t="n">
        <f aca="false">IF(ISNUMBER($AB420),$AB420,IF(MID($AB420,5,1)="-",DATE(VALUE(LEFT($AB420,4)),VALUE(MID($AB420,6,2)),VALUE(RIGHT($AB420,2))),DATE(VALUE(RIGHT($AB420,4)),VALUE(MID($AB420,4,2)),VALUE(LEFT($AB420,2)))))</f>
        <v>45430</v>
      </c>
      <c r="C420" s="61" t="n">
        <f aca="false">YEAR($B420)</f>
        <v>2024</v>
      </c>
      <c r="D420" s="61" t="str">
        <f aca="false">"Q"&amp;ROUNDUP(MONTH($B420)/3,0)</f>
        <v>Q2</v>
      </c>
      <c r="E420" s="61" t="n">
        <f aca="false">MONTH($B420)</f>
        <v>5</v>
      </c>
      <c r="F420" s="61" t="str">
        <f aca="false">INDEX(Parametros!$I$5:$I$16,$E420)</f>
        <v>May</v>
      </c>
      <c r="G420" s="61" t="str">
        <f aca="false">TEXT($C420,"0000")&amp;"-"&amp;TEXT($E420,"00")</f>
        <v>2024-05</v>
      </c>
      <c r="H420" s="61" t="str">
        <f aca="false">INDEX(Parametros!$C$71:$C$91,MATCH(TRIM(INDEX(Datos_Origen!$C$2:$C$2459,$Z420)),Parametros!$B$71:$B$91,0))</f>
        <v>AMBA</v>
      </c>
      <c r="I420" s="61" t="str">
        <f aca="false">IF(TRIM($AD420)="",INDEX(Parametros!$I$20:$I$24,MATCH($H420,Parametros!$H$20:$H$24,0)),TRIM($AD420))</f>
        <v>Buenos Aires</v>
      </c>
      <c r="J420" s="61" t="str">
        <f aca="false">INDEX(Parametros!$C$95:$C$106,MATCH(TRIM(INDEX(Datos_Origen!$E$2:$E$2459,$Z420)),Parametros!$B$95:$B$106,0))</f>
        <v>Tienda fisica</v>
      </c>
      <c r="K420" s="61" t="str">
        <f aca="false">INDEX(Parametros!$C$48:$C$67,MATCH(TRIM(INDEX(Datos_Origen!$F$2:$F$2459,$Z420)),Parametros!$B$48:$B$67,0))</f>
        <v>Almacenamiento</v>
      </c>
      <c r="L420" s="61" t="str">
        <f aca="false">$K420&amp;" "&amp;$C420</f>
        <v>Almacenamiento 2024</v>
      </c>
      <c r="M420" s="61" t="str">
        <f aca="false">TRIM(INDEX(Datos_Origen!$G$2:$G$2459,$Z420))</f>
        <v>Pendrive 256GB</v>
      </c>
      <c r="N420" s="61" t="str">
        <f aca="false">$M420&amp;" "&amp;$C420</f>
        <v>Pendrive 256GB 2024</v>
      </c>
      <c r="O420" s="63" t="n">
        <f aca="false">IF(ISTEXT($AC420),VALUE($AC420),$AC420)</f>
        <v>64</v>
      </c>
      <c r="P420" s="64" t="n">
        <f aca="false">INDEX(Datos_Origen!$I$2:$I$2459,$Z420)</f>
        <v>34.3</v>
      </c>
      <c r="Q420" s="64" t="n">
        <f aca="false">INDEX(Datos_Origen!$J$2:$J$2459,$Z420)</f>
        <v>17.85</v>
      </c>
      <c r="R420" s="65" t="n">
        <f aca="false">ROUND($O420*$P420,2)</f>
        <v>2195.2</v>
      </c>
      <c r="S420" s="65" t="n">
        <f aca="false">ROUND($O420*$Q420,2)</f>
        <v>1142.4</v>
      </c>
      <c r="T420" s="65" t="n">
        <f aca="false">ROUND($R420*SUMIFS(Parametros!$E$28:$E$43,Parametros!$B$28:$B$43,$J420,Parametros!$C$28:$C$43,$C420,Parametros!$D$28:$D$43,$D420),2)</f>
        <v>26.34</v>
      </c>
      <c r="U420" s="65" t="n">
        <f aca="false">$R420-$S420-$T420</f>
        <v>1026.46</v>
      </c>
      <c r="V420" s="66" t="n">
        <f aca="false">IFERROR($U420/$R420,0)</f>
        <v>0.467592930029155</v>
      </c>
      <c r="W420" s="67" t="str">
        <f aca="false">IF(AND($V420&gt;=Parametros!$C$8,$R420&gt;=Parametros!$C$12),"Alta rentabilidad",IF(OR($V420&lt;Parametros!$C$11,$R420&lt;Parametros!$C$13),"Revisar","Estandar"))</f>
        <v>Estandar</v>
      </c>
      <c r="X420" s="67" t="str">
        <f aca="false">IF(AND($J420="E-commerce",IFERROR($T420/$R420,0)&gt;Parametros!$C$14),"Alerta","OK")</f>
        <v>OK</v>
      </c>
      <c r="Y420" s="61" t="str">
        <f aca="false">IF($R420&gt;=Parametros!$C$12,"Alto",IF($R420&lt;Parametros!$C$13,"Bajo","Medio"))</f>
        <v>Medio</v>
      </c>
      <c r="Z420" s="61" t="n">
        <v>631</v>
      </c>
      <c r="AA420" s="61" t="str">
        <f aca="false">IF(MATCH($A420,Datos_Origen!$A$2:$A$2459,0)=$Z420,"OK","REVISAR")</f>
        <v>OK</v>
      </c>
      <c r="AB420" s="62" t="n">
        <f aca="false">INDEX(Datos_Origen!$B$2:$B$2459,$Z420)</f>
        <v>45430</v>
      </c>
      <c r="AC420" s="61" t="n">
        <f aca="false">INDEX(Datos_Origen!$H$2:$H$2459,$Z420)</f>
        <v>64</v>
      </c>
      <c r="AD420" s="61" t="str">
        <f aca="false">INDEX(Datos_Origen!$D$2:$D$2459,$Z420)&amp;""</f>
        <v/>
      </c>
    </row>
    <row r="421" customFormat="false" ht="15" hidden="false" customHeight="false" outlineLevel="0" collapsed="false">
      <c r="A421" s="61" t="n">
        <f aca="false">INDEX(Datos_Origen!$A$2:$A$2459,$Z421)</f>
        <v>420</v>
      </c>
      <c r="B421" s="62" t="n">
        <f aca="false">IF(ISNUMBER($AB421),$AB421,IF(MID($AB421,5,1)="-",DATE(VALUE(LEFT($AB421,4)),VALUE(MID($AB421,6,2)),VALUE(RIGHT($AB421,2))),DATE(VALUE(RIGHT($AB421,4)),VALUE(MID($AB421,4,2)),VALUE(LEFT($AB421,2)))))</f>
        <v>45437</v>
      </c>
      <c r="C421" s="61" t="n">
        <f aca="false">YEAR($B421)</f>
        <v>2024</v>
      </c>
      <c r="D421" s="61" t="str">
        <f aca="false">"Q"&amp;ROUNDUP(MONTH($B421)/3,0)</f>
        <v>Q2</v>
      </c>
      <c r="E421" s="61" t="n">
        <f aca="false">MONTH($B421)</f>
        <v>5</v>
      </c>
      <c r="F421" s="61" t="str">
        <f aca="false">INDEX(Parametros!$I$5:$I$16,$E421)</f>
        <v>May</v>
      </c>
      <c r="G421" s="61" t="str">
        <f aca="false">TEXT($C421,"0000")&amp;"-"&amp;TEXT($E421,"00")</f>
        <v>2024-05</v>
      </c>
      <c r="H421" s="61" t="str">
        <f aca="false">INDEX(Parametros!$C$71:$C$91,MATCH(TRIM(INDEX(Datos_Origen!$C$2:$C$2459,$Z421)),Parametros!$B$71:$B$91,0))</f>
        <v>AMBA</v>
      </c>
      <c r="I421" s="61" t="str">
        <f aca="false">IF(TRIM($AD421)="",INDEX(Parametros!$I$20:$I$24,MATCH($H421,Parametros!$H$20:$H$24,0)),TRIM($AD421))</f>
        <v>Buenos Aires</v>
      </c>
      <c r="J421" s="61" t="str">
        <f aca="false">INDEX(Parametros!$C$95:$C$106,MATCH(TRIM(INDEX(Datos_Origen!$E$2:$E$2459,$Z421)),Parametros!$B$95:$B$106,0))</f>
        <v>E-commerce</v>
      </c>
      <c r="K421" s="61" t="str">
        <f aca="false">INDEX(Parametros!$C$48:$C$67,MATCH(TRIM(INDEX(Datos_Origen!$F$2:$F$2459,$Z421)),Parametros!$B$48:$B$67,0))</f>
        <v>Almacenamiento</v>
      </c>
      <c r="L421" s="61" t="str">
        <f aca="false">$K421&amp;" "&amp;$C421</f>
        <v>Almacenamiento 2024</v>
      </c>
      <c r="M421" s="61" t="str">
        <f aca="false">TRIM(INDEX(Datos_Origen!$G$2:$G$2459,$Z421))</f>
        <v>Pendrive 256GB</v>
      </c>
      <c r="N421" s="61" t="str">
        <f aca="false">$M421&amp;" "&amp;$C421</f>
        <v>Pendrive 256GB 2024</v>
      </c>
      <c r="O421" s="63" t="n">
        <f aca="false">IF(ISTEXT($AC421),VALUE($AC421),$AC421)</f>
        <v>25</v>
      </c>
      <c r="P421" s="64" t="n">
        <f aca="false">INDEX(Datos_Origen!$I$2:$I$2459,$Z421)</f>
        <v>34.3</v>
      </c>
      <c r="Q421" s="64" t="n">
        <f aca="false">INDEX(Datos_Origen!$J$2:$J$2459,$Z421)</f>
        <v>17.85</v>
      </c>
      <c r="R421" s="65" t="n">
        <f aca="false">ROUND($O421*$P421,2)</f>
        <v>857.5</v>
      </c>
      <c r="S421" s="65" t="n">
        <f aca="false">ROUND($O421*$Q421,2)</f>
        <v>446.25</v>
      </c>
      <c r="T421" s="65" t="n">
        <f aca="false">ROUND($R421*SUMIFS(Parametros!$E$28:$E$43,Parametros!$B$28:$B$43,$J421,Parametros!$C$28:$C$43,$C421,Parametros!$D$28:$D$43,$D421),2)</f>
        <v>37.73</v>
      </c>
      <c r="U421" s="65" t="n">
        <f aca="false">$R421-$S421-$T421</f>
        <v>373.52</v>
      </c>
      <c r="V421" s="66" t="n">
        <f aca="false">IFERROR($U421/$R421,0)</f>
        <v>0.435591836734694</v>
      </c>
      <c r="W421" s="67" t="str">
        <f aca="false">IF(AND($V421&gt;=Parametros!$C$8,$R421&gt;=Parametros!$C$12),"Alta rentabilidad",IF(OR($V421&lt;Parametros!$C$11,$R421&lt;Parametros!$C$13),"Revisar","Estandar"))</f>
        <v>Estandar</v>
      </c>
      <c r="X421" s="67" t="str">
        <f aca="false">IF(AND($J421="E-commerce",IFERROR($T421/$R421,0)&gt;Parametros!$C$14),"Alerta","OK")</f>
        <v>OK</v>
      </c>
      <c r="Y421" s="61" t="str">
        <f aca="false">IF($R421&gt;=Parametros!$C$12,"Alto",IF($R421&lt;Parametros!$C$13,"Bajo","Medio"))</f>
        <v>Medio</v>
      </c>
      <c r="Z421" s="61" t="n">
        <v>541</v>
      </c>
      <c r="AA421" s="61" t="str">
        <f aca="false">IF(MATCH($A421,Datos_Origen!$A$2:$A$2459,0)=$Z421,"OK","REVISAR")</f>
        <v>OK</v>
      </c>
      <c r="AB421" s="62" t="n">
        <f aca="false">INDEX(Datos_Origen!$B$2:$B$2459,$Z421)</f>
        <v>45437</v>
      </c>
      <c r="AC421" s="61" t="n">
        <f aca="false">INDEX(Datos_Origen!$H$2:$H$2459,$Z421)</f>
        <v>25</v>
      </c>
      <c r="AD421" s="61" t="str">
        <f aca="false">INDEX(Datos_Origen!$D$2:$D$2459,$Z421)&amp;""</f>
        <v>Buenos Aires</v>
      </c>
    </row>
    <row r="422" customFormat="false" ht="15" hidden="false" customHeight="false" outlineLevel="0" collapsed="false">
      <c r="A422" s="61" t="n">
        <f aca="false">INDEX(Datos_Origen!$A$2:$A$2459,$Z422)</f>
        <v>421</v>
      </c>
      <c r="B422" s="62" t="n">
        <f aca="false">IF(ISNUMBER($AB422),$AB422,IF(MID($AB422,5,1)="-",DATE(VALUE(LEFT($AB422,4)),VALUE(MID($AB422,6,2)),VALUE(RIGHT($AB422,2))),DATE(VALUE(RIGHT($AB422,4)),VALUE(MID($AB422,4,2)),VALUE(LEFT($AB422,2)))))</f>
        <v>45417</v>
      </c>
      <c r="C422" s="61" t="n">
        <f aca="false">YEAR($B422)</f>
        <v>2024</v>
      </c>
      <c r="D422" s="61" t="str">
        <f aca="false">"Q"&amp;ROUNDUP(MONTH($B422)/3,0)</f>
        <v>Q2</v>
      </c>
      <c r="E422" s="61" t="n">
        <f aca="false">MONTH($B422)</f>
        <v>5</v>
      </c>
      <c r="F422" s="61" t="str">
        <f aca="false">INDEX(Parametros!$I$5:$I$16,$E422)</f>
        <v>May</v>
      </c>
      <c r="G422" s="61" t="str">
        <f aca="false">TEXT($C422,"0000")&amp;"-"&amp;TEXT($E422,"00")</f>
        <v>2024-05</v>
      </c>
      <c r="H422" s="61" t="str">
        <f aca="false">INDEX(Parametros!$C$71:$C$91,MATCH(TRIM(INDEX(Datos_Origen!$C$2:$C$2459,$Z422)),Parametros!$B$71:$B$91,0))</f>
        <v>Centro</v>
      </c>
      <c r="I422" s="61" t="str">
        <f aca="false">IF(TRIM($AD422)="",INDEX(Parametros!$I$20:$I$24,MATCH($H422,Parametros!$H$20:$H$24,0)),TRIM($AD422))</f>
        <v>Cordoba</v>
      </c>
      <c r="J422" s="61" t="str">
        <f aca="false">INDEX(Parametros!$C$95:$C$106,MATCH(TRIM(INDEX(Datos_Origen!$E$2:$E$2459,$Z422)),Parametros!$B$95:$B$106,0))</f>
        <v>Tienda fisica</v>
      </c>
      <c r="K422" s="61" t="str">
        <f aca="false">INDEX(Parametros!$C$48:$C$67,MATCH(TRIM(INDEX(Datos_Origen!$F$2:$F$2459,$Z422)),Parametros!$B$48:$B$67,0))</f>
        <v>Computacion</v>
      </c>
      <c r="L422" s="61" t="str">
        <f aca="false">$K422&amp;" "&amp;$C422</f>
        <v>Computacion 2024</v>
      </c>
      <c r="M422" s="61" t="str">
        <f aca="false">TRIM(INDEX(Datos_Origen!$G$2:$G$2459,$Z422))</f>
        <v>Laptop Pro 15</v>
      </c>
      <c r="N422" s="61" t="str">
        <f aca="false">$M422&amp;" "&amp;$C422</f>
        <v>Laptop Pro 15 2024</v>
      </c>
      <c r="O422" s="63" t="n">
        <f aca="false">IF(ISTEXT($AC422),VALUE($AC422),$AC422)</f>
        <v>14</v>
      </c>
      <c r="P422" s="64" t="n">
        <f aca="false">INDEX(Datos_Origen!$I$2:$I$2459,$Z422)</f>
        <v>1176</v>
      </c>
      <c r="Q422" s="64" t="n">
        <f aca="false">INDEX(Datos_Origen!$J$2:$J$2459,$Z422)</f>
        <v>744</v>
      </c>
      <c r="R422" s="65" t="n">
        <f aca="false">ROUND($O422*$P422,2)</f>
        <v>16464</v>
      </c>
      <c r="S422" s="65" t="n">
        <f aca="false">ROUND($O422*$Q422,2)</f>
        <v>10416</v>
      </c>
      <c r="T422" s="65" t="n">
        <f aca="false">ROUND($R422*SUMIFS(Parametros!$E$28:$E$43,Parametros!$B$28:$B$43,$J422,Parametros!$C$28:$C$43,$C422,Parametros!$D$28:$D$43,$D422),2)</f>
        <v>197.57</v>
      </c>
      <c r="U422" s="65" t="n">
        <f aca="false">$R422-$S422-$T422</f>
        <v>5850.43</v>
      </c>
      <c r="V422" s="66" t="n">
        <f aca="false">IFERROR($U422/$R422,0)</f>
        <v>0.355346817298348</v>
      </c>
      <c r="W422" s="67" t="str">
        <f aca="false">IF(AND($V422&gt;=Parametros!$C$8,$R422&gt;=Parametros!$C$12),"Alta rentabilidad",IF(OR($V422&lt;Parametros!$C$11,$R422&lt;Parametros!$C$13),"Revisar","Estandar"))</f>
        <v>Alta rentabilidad</v>
      </c>
      <c r="X422" s="67" t="str">
        <f aca="false">IF(AND($J422="E-commerce",IFERROR($T422/$R422,0)&gt;Parametros!$C$14),"Alerta","OK")</f>
        <v>OK</v>
      </c>
      <c r="Y422" s="61" t="str">
        <f aca="false">IF($R422&gt;=Parametros!$C$12,"Alto",IF($R422&lt;Parametros!$C$13,"Bajo","Medio"))</f>
        <v>Alto</v>
      </c>
      <c r="Z422" s="61" t="n">
        <v>271</v>
      </c>
      <c r="AA422" s="61" t="str">
        <f aca="false">IF(MATCH($A422,Datos_Origen!$A$2:$A$2459,0)=$Z422,"OK","REVISAR")</f>
        <v>OK</v>
      </c>
      <c r="AB422" s="62" t="n">
        <f aca="false">INDEX(Datos_Origen!$B$2:$B$2459,$Z422)</f>
        <v>45417</v>
      </c>
      <c r="AC422" s="61" t="n">
        <f aca="false">INDEX(Datos_Origen!$H$2:$H$2459,$Z422)</f>
        <v>14</v>
      </c>
      <c r="AD422" s="61" t="str">
        <f aca="false">INDEX(Datos_Origen!$D$2:$D$2459,$Z422)&amp;""</f>
        <v>Cordoba</v>
      </c>
    </row>
    <row r="423" customFormat="false" ht="15" hidden="false" customHeight="false" outlineLevel="0" collapsed="false">
      <c r="A423" s="61" t="n">
        <f aca="false">INDEX(Datos_Origen!$A$2:$A$2459,$Z423)</f>
        <v>422</v>
      </c>
      <c r="B423" s="62" t="n">
        <f aca="false">IF(ISNUMBER($AB423),$AB423,IF(MID($AB423,5,1)="-",DATE(VALUE(LEFT($AB423,4)),VALUE(MID($AB423,6,2)),VALUE(RIGHT($AB423,2))),DATE(VALUE(RIGHT($AB423,4)),VALUE(MID($AB423,4,2)),VALUE(LEFT($AB423,2)))))</f>
        <v>45424</v>
      </c>
      <c r="C423" s="61" t="n">
        <f aca="false">YEAR($B423)</f>
        <v>2024</v>
      </c>
      <c r="D423" s="61" t="str">
        <f aca="false">"Q"&amp;ROUNDUP(MONTH($B423)/3,0)</f>
        <v>Q2</v>
      </c>
      <c r="E423" s="61" t="n">
        <f aca="false">MONTH($B423)</f>
        <v>5</v>
      </c>
      <c r="F423" s="61" t="str">
        <f aca="false">INDEX(Parametros!$I$5:$I$16,$E423)</f>
        <v>May</v>
      </c>
      <c r="G423" s="61" t="str">
        <f aca="false">TEXT($C423,"0000")&amp;"-"&amp;TEXT($E423,"00")</f>
        <v>2024-05</v>
      </c>
      <c r="H423" s="61" t="str">
        <f aca="false">INDEX(Parametros!$C$71:$C$91,MATCH(TRIM(INDEX(Datos_Origen!$C$2:$C$2459,$Z423)),Parametros!$B$71:$B$91,0))</f>
        <v>Centro</v>
      </c>
      <c r="I423" s="61" t="str">
        <f aca="false">IF(TRIM($AD423)="",INDEX(Parametros!$I$20:$I$24,MATCH($H423,Parametros!$H$20:$H$24,0)),TRIM($AD423))</f>
        <v>Cordoba</v>
      </c>
      <c r="J423" s="61" t="str">
        <f aca="false">INDEX(Parametros!$C$95:$C$106,MATCH(TRIM(INDEX(Datos_Origen!$E$2:$E$2459,$Z423)),Parametros!$B$95:$B$106,0))</f>
        <v>E-commerce</v>
      </c>
      <c r="K423" s="61" t="str">
        <f aca="false">INDEX(Parametros!$C$48:$C$67,MATCH(TRIM(INDEX(Datos_Origen!$F$2:$F$2459,$Z423)),Parametros!$B$48:$B$67,0))</f>
        <v>Computacion</v>
      </c>
      <c r="L423" s="61" t="str">
        <f aca="false">$K423&amp;" "&amp;$C423</f>
        <v>Computacion 2024</v>
      </c>
      <c r="M423" s="61" t="str">
        <f aca="false">TRIM(INDEX(Datos_Origen!$G$2:$G$2459,$Z423))</f>
        <v>Laptop Pro 15</v>
      </c>
      <c r="N423" s="61" t="str">
        <f aca="false">$M423&amp;" "&amp;$C423</f>
        <v>Laptop Pro 15 2024</v>
      </c>
      <c r="O423" s="63" t="n">
        <f aca="false">IF(ISTEXT($AC423),VALUE($AC423),$AC423)</f>
        <v>6</v>
      </c>
      <c r="P423" s="64" t="n">
        <f aca="false">INDEX(Datos_Origen!$I$2:$I$2459,$Z423)</f>
        <v>1176</v>
      </c>
      <c r="Q423" s="64" t="n">
        <f aca="false">INDEX(Datos_Origen!$J$2:$J$2459,$Z423)</f>
        <v>744</v>
      </c>
      <c r="R423" s="65" t="n">
        <f aca="false">ROUND($O423*$P423,2)</f>
        <v>7056</v>
      </c>
      <c r="S423" s="65" t="n">
        <f aca="false">ROUND($O423*$Q423,2)</f>
        <v>4464</v>
      </c>
      <c r="T423" s="65" t="n">
        <f aca="false">ROUND($R423*SUMIFS(Parametros!$E$28:$E$43,Parametros!$B$28:$B$43,$J423,Parametros!$C$28:$C$43,$C423,Parametros!$D$28:$D$43,$D423),2)</f>
        <v>310.46</v>
      </c>
      <c r="U423" s="65" t="n">
        <f aca="false">$R423-$S423-$T423</f>
        <v>2281.54</v>
      </c>
      <c r="V423" s="66" t="n">
        <f aca="false">IFERROR($U423/$R423,0)</f>
        <v>0.323347505668934</v>
      </c>
      <c r="W423" s="67" t="str">
        <f aca="false">IF(AND($V423&gt;=Parametros!$C$8,$R423&gt;=Parametros!$C$12),"Alta rentabilidad",IF(OR($V423&lt;Parametros!$C$11,$R423&lt;Parametros!$C$13),"Revisar","Estandar"))</f>
        <v>Estandar</v>
      </c>
      <c r="X423" s="67" t="str">
        <f aca="false">IF(AND($J423="E-commerce",IFERROR($T423/$R423,0)&gt;Parametros!$C$14),"Alerta","OK")</f>
        <v>OK</v>
      </c>
      <c r="Y423" s="61" t="str">
        <f aca="false">IF($R423&gt;=Parametros!$C$12,"Alto",IF($R423&lt;Parametros!$C$13,"Bajo","Medio"))</f>
        <v>Alto</v>
      </c>
      <c r="Z423" s="61" t="n">
        <v>1803</v>
      </c>
      <c r="AA423" s="61" t="str">
        <f aca="false">IF(MATCH($A423,Datos_Origen!$A$2:$A$2459,0)=$Z423,"OK","REVISAR")</f>
        <v>OK</v>
      </c>
      <c r="AB423" s="61" t="str">
        <f aca="false">INDEX(Datos_Origen!$B$2:$B$2459,$Z423)</f>
        <v>12/05/2024</v>
      </c>
      <c r="AC423" s="61" t="n">
        <f aca="false">INDEX(Datos_Origen!$H$2:$H$2459,$Z423)</f>
        <v>6</v>
      </c>
      <c r="AD423" s="61" t="str">
        <f aca="false">INDEX(Datos_Origen!$D$2:$D$2459,$Z423)&amp;""</f>
        <v>Cordoba</v>
      </c>
    </row>
    <row r="424" customFormat="false" ht="15" hidden="false" customHeight="false" outlineLevel="0" collapsed="false">
      <c r="A424" s="61" t="n">
        <f aca="false">INDEX(Datos_Origen!$A$2:$A$2459,$Z424)</f>
        <v>423</v>
      </c>
      <c r="B424" s="62" t="n">
        <f aca="false">IF(ISNUMBER($AB424),$AB424,IF(MID($AB424,5,1)="-",DATE(VALUE(LEFT($AB424,4)),VALUE(MID($AB424,6,2)),VALUE(RIGHT($AB424,2))),DATE(VALUE(RIGHT($AB424,4)),VALUE(MID($AB424,4,2)),VALUE(LEFT($AB424,2)))))</f>
        <v>45431</v>
      </c>
      <c r="C424" s="61" t="n">
        <f aca="false">YEAR($B424)</f>
        <v>2024</v>
      </c>
      <c r="D424" s="61" t="str">
        <f aca="false">"Q"&amp;ROUNDUP(MONTH($B424)/3,0)</f>
        <v>Q2</v>
      </c>
      <c r="E424" s="61" t="n">
        <f aca="false">MONTH($B424)</f>
        <v>5</v>
      </c>
      <c r="F424" s="61" t="str">
        <f aca="false">INDEX(Parametros!$I$5:$I$16,$E424)</f>
        <v>May</v>
      </c>
      <c r="G424" s="61" t="str">
        <f aca="false">TEXT($C424,"0000")&amp;"-"&amp;TEXT($E424,"00")</f>
        <v>2024-05</v>
      </c>
      <c r="H424" s="61" t="str">
        <f aca="false">INDEX(Parametros!$C$71:$C$91,MATCH(TRIM(INDEX(Datos_Origen!$C$2:$C$2459,$Z424)),Parametros!$B$71:$B$91,0))</f>
        <v>Centro</v>
      </c>
      <c r="I424" s="61" t="str">
        <f aca="false">IF(TRIM($AD424)="",INDEX(Parametros!$I$20:$I$24,MATCH($H424,Parametros!$H$20:$H$24,0)),TRIM($AD424))</f>
        <v>Cordoba</v>
      </c>
      <c r="J424" s="61" t="str">
        <f aca="false">INDEX(Parametros!$C$95:$C$106,MATCH(TRIM(INDEX(Datos_Origen!$E$2:$E$2459,$Z424)),Parametros!$B$95:$B$106,0))</f>
        <v>Tienda fisica</v>
      </c>
      <c r="K424" s="61" t="str">
        <f aca="false">INDEX(Parametros!$C$48:$C$67,MATCH(TRIM(INDEX(Datos_Origen!$F$2:$F$2459,$Z424)),Parametros!$B$48:$B$67,0))</f>
        <v>Computacion</v>
      </c>
      <c r="L424" s="61" t="str">
        <f aca="false">$K424&amp;" "&amp;$C424</f>
        <v>Computacion 2024</v>
      </c>
      <c r="M424" s="61" t="str">
        <f aca="false">TRIM(INDEX(Datos_Origen!$G$2:$G$2459,$Z424))</f>
        <v>Monitor 4K 27</v>
      </c>
      <c r="N424" s="61" t="str">
        <f aca="false">$M424&amp;" "&amp;$C424</f>
        <v>Monitor 4K 27 2024</v>
      </c>
      <c r="O424" s="63" t="n">
        <f aca="false">IF(ISTEXT($AC424),VALUE($AC424),$AC424)</f>
        <v>13</v>
      </c>
      <c r="P424" s="64" t="n">
        <f aca="false">INDEX(Datos_Origen!$I$2:$I$2459,$Z424)</f>
        <v>441</v>
      </c>
      <c r="Q424" s="64" t="n">
        <f aca="false">INDEX(Datos_Origen!$J$2:$J$2459,$Z424)</f>
        <v>272.25</v>
      </c>
      <c r="R424" s="65" t="n">
        <f aca="false">ROUND($O424*$P424,2)</f>
        <v>5733</v>
      </c>
      <c r="S424" s="65" t="n">
        <f aca="false">ROUND($O424*$Q424,2)</f>
        <v>3539.25</v>
      </c>
      <c r="T424" s="65" t="n">
        <f aca="false">ROUND($R424*SUMIFS(Parametros!$E$28:$E$43,Parametros!$B$28:$B$43,$J424,Parametros!$C$28:$C$43,$C424,Parametros!$D$28:$D$43,$D424),2)</f>
        <v>68.8</v>
      </c>
      <c r="U424" s="65" t="n">
        <f aca="false">$R424-$S424-$T424</f>
        <v>2124.95</v>
      </c>
      <c r="V424" s="66" t="n">
        <f aca="false">IFERROR($U424/$R424,0)</f>
        <v>0.370652363509506</v>
      </c>
      <c r="W424" s="67" t="str">
        <f aca="false">IF(AND($V424&gt;=Parametros!$C$8,$R424&gt;=Parametros!$C$12),"Alta rentabilidad",IF(OR($V424&lt;Parametros!$C$11,$R424&lt;Parametros!$C$13),"Revisar","Estandar"))</f>
        <v>Alta rentabilidad</v>
      </c>
      <c r="X424" s="67" t="str">
        <f aca="false">IF(AND($J424="E-commerce",IFERROR($T424/$R424,0)&gt;Parametros!$C$14),"Alerta","OK")</f>
        <v>OK</v>
      </c>
      <c r="Y424" s="61" t="str">
        <f aca="false">IF($R424&gt;=Parametros!$C$12,"Alto",IF($R424&lt;Parametros!$C$13,"Bajo","Medio"))</f>
        <v>Alto</v>
      </c>
      <c r="Z424" s="61" t="n">
        <v>1849</v>
      </c>
      <c r="AA424" s="61" t="str">
        <f aca="false">IF(MATCH($A424,Datos_Origen!$A$2:$A$2459,0)=$Z424,"OK","REVISAR")</f>
        <v>OK</v>
      </c>
      <c r="AB424" s="62" t="n">
        <f aca="false">INDEX(Datos_Origen!$B$2:$B$2459,$Z424)</f>
        <v>45431</v>
      </c>
      <c r="AC424" s="61" t="n">
        <f aca="false">INDEX(Datos_Origen!$H$2:$H$2459,$Z424)</f>
        <v>13</v>
      </c>
      <c r="AD424" s="61" t="str">
        <f aca="false">INDEX(Datos_Origen!$D$2:$D$2459,$Z424)&amp;""</f>
        <v>Cordoba</v>
      </c>
    </row>
    <row r="425" customFormat="false" ht="15" hidden="false" customHeight="false" outlineLevel="0" collapsed="false">
      <c r="A425" s="61" t="n">
        <f aca="false">INDEX(Datos_Origen!$A$2:$A$2459,$Z425)</f>
        <v>424</v>
      </c>
      <c r="B425" s="62" t="n">
        <f aca="false">IF(ISNUMBER($AB425),$AB425,IF(MID($AB425,5,1)="-",DATE(VALUE(LEFT($AB425,4)),VALUE(MID($AB425,6,2)),VALUE(RIGHT($AB425,2))),DATE(VALUE(RIGHT($AB425,4)),VALUE(MID($AB425,4,2)),VALUE(LEFT($AB425,2)))))</f>
        <v>45438</v>
      </c>
      <c r="C425" s="61" t="n">
        <f aca="false">YEAR($B425)</f>
        <v>2024</v>
      </c>
      <c r="D425" s="61" t="str">
        <f aca="false">"Q"&amp;ROUNDUP(MONTH($B425)/3,0)</f>
        <v>Q2</v>
      </c>
      <c r="E425" s="61" t="n">
        <f aca="false">MONTH($B425)</f>
        <v>5</v>
      </c>
      <c r="F425" s="61" t="str">
        <f aca="false">INDEX(Parametros!$I$5:$I$16,$E425)</f>
        <v>May</v>
      </c>
      <c r="G425" s="61" t="str">
        <f aca="false">TEXT($C425,"0000")&amp;"-"&amp;TEXT($E425,"00")</f>
        <v>2024-05</v>
      </c>
      <c r="H425" s="61" t="str">
        <f aca="false">INDEX(Parametros!$C$71:$C$91,MATCH(TRIM(INDEX(Datos_Origen!$C$2:$C$2459,$Z425)),Parametros!$B$71:$B$91,0))</f>
        <v>Centro</v>
      </c>
      <c r="I425" s="61" t="str">
        <f aca="false">IF(TRIM($AD425)="",INDEX(Parametros!$I$20:$I$24,MATCH($H425,Parametros!$H$20:$H$24,0)),TRIM($AD425))</f>
        <v>Cordoba</v>
      </c>
      <c r="J425" s="61" t="str">
        <f aca="false">INDEX(Parametros!$C$95:$C$106,MATCH(TRIM(INDEX(Datos_Origen!$E$2:$E$2459,$Z425)),Parametros!$B$95:$B$106,0))</f>
        <v>E-commerce</v>
      </c>
      <c r="K425" s="61" t="str">
        <f aca="false">INDEX(Parametros!$C$48:$C$67,MATCH(TRIM(INDEX(Datos_Origen!$F$2:$F$2459,$Z425)),Parametros!$B$48:$B$67,0))</f>
        <v>Computacion</v>
      </c>
      <c r="L425" s="61" t="str">
        <f aca="false">$K425&amp;" "&amp;$C425</f>
        <v>Computacion 2024</v>
      </c>
      <c r="M425" s="61" t="str">
        <f aca="false">TRIM(INDEX(Datos_Origen!$G$2:$G$2459,$Z425))</f>
        <v>Monitor 4K 27</v>
      </c>
      <c r="N425" s="61" t="str">
        <f aca="false">$M425&amp;" "&amp;$C425</f>
        <v>Monitor 4K 27 2024</v>
      </c>
      <c r="O425" s="63" t="n">
        <f aca="false">IF(ISTEXT($AC425),VALUE($AC425),$AC425)</f>
        <v>4</v>
      </c>
      <c r="P425" s="64" t="n">
        <f aca="false">INDEX(Datos_Origen!$I$2:$I$2459,$Z425)</f>
        <v>441</v>
      </c>
      <c r="Q425" s="64" t="n">
        <f aca="false">INDEX(Datos_Origen!$J$2:$J$2459,$Z425)</f>
        <v>272.25</v>
      </c>
      <c r="R425" s="65" t="n">
        <f aca="false">ROUND($O425*$P425,2)</f>
        <v>1764</v>
      </c>
      <c r="S425" s="65" t="n">
        <f aca="false">ROUND($O425*$Q425,2)</f>
        <v>1089</v>
      </c>
      <c r="T425" s="65" t="n">
        <f aca="false">ROUND($R425*SUMIFS(Parametros!$E$28:$E$43,Parametros!$B$28:$B$43,$J425,Parametros!$C$28:$C$43,$C425,Parametros!$D$28:$D$43,$D425),2)</f>
        <v>77.62</v>
      </c>
      <c r="U425" s="65" t="n">
        <f aca="false">$R425-$S425-$T425</f>
        <v>597.38</v>
      </c>
      <c r="V425" s="66" t="n">
        <f aca="false">IFERROR($U425/$R425,0)</f>
        <v>0.338650793650794</v>
      </c>
      <c r="W425" s="67" t="str">
        <f aca="false">IF(AND($V425&gt;=Parametros!$C$8,$R425&gt;=Parametros!$C$12),"Alta rentabilidad",IF(OR($V425&lt;Parametros!$C$11,$R425&lt;Parametros!$C$13),"Revisar","Estandar"))</f>
        <v>Estandar</v>
      </c>
      <c r="X425" s="67" t="str">
        <f aca="false">IF(AND($J425="E-commerce",IFERROR($T425/$R425,0)&gt;Parametros!$C$14),"Alerta","OK")</f>
        <v>OK</v>
      </c>
      <c r="Y425" s="61" t="str">
        <f aca="false">IF($R425&gt;=Parametros!$C$12,"Alto",IF($R425&lt;Parametros!$C$13,"Bajo","Medio"))</f>
        <v>Medio</v>
      </c>
      <c r="Z425" s="61" t="n">
        <v>1192</v>
      </c>
      <c r="AA425" s="61" t="str">
        <f aca="false">IF(MATCH($A425,Datos_Origen!$A$2:$A$2459,0)=$Z425,"OK","REVISAR")</f>
        <v>OK</v>
      </c>
      <c r="AB425" s="62" t="n">
        <f aca="false">INDEX(Datos_Origen!$B$2:$B$2459,$Z425)</f>
        <v>45438</v>
      </c>
      <c r="AC425" s="61" t="n">
        <f aca="false">INDEX(Datos_Origen!$H$2:$H$2459,$Z425)</f>
        <v>4</v>
      </c>
      <c r="AD425" s="61" t="str">
        <f aca="false">INDEX(Datos_Origen!$D$2:$D$2459,$Z425)&amp;""</f>
        <v>Cordoba</v>
      </c>
    </row>
    <row r="426" customFormat="false" ht="15" hidden="false" customHeight="false" outlineLevel="0" collapsed="false">
      <c r="A426" s="61" t="n">
        <f aca="false">INDEX(Datos_Origen!$A$2:$A$2459,$Z426)</f>
        <v>425</v>
      </c>
      <c r="B426" s="62" t="n">
        <f aca="false">IF(ISNUMBER($AB426),$AB426,IF(MID($AB426,5,1)="-",DATE(VALUE(LEFT($AB426,4)),VALUE(MID($AB426,6,2)),VALUE(RIGHT($AB426,2))),DATE(VALUE(RIGHT($AB426,4)),VALUE(MID($AB426,4,2)),VALUE(LEFT($AB426,2)))))</f>
        <v>45418</v>
      </c>
      <c r="C426" s="61" t="n">
        <f aca="false">YEAR($B426)</f>
        <v>2024</v>
      </c>
      <c r="D426" s="61" t="str">
        <f aca="false">"Q"&amp;ROUNDUP(MONTH($B426)/3,0)</f>
        <v>Q2</v>
      </c>
      <c r="E426" s="61" t="n">
        <f aca="false">MONTH($B426)</f>
        <v>5</v>
      </c>
      <c r="F426" s="61" t="str">
        <f aca="false">INDEX(Parametros!$I$5:$I$16,$E426)</f>
        <v>May</v>
      </c>
      <c r="G426" s="61" t="str">
        <f aca="false">TEXT($C426,"0000")&amp;"-"&amp;TEXT($E426,"00")</f>
        <v>2024-05</v>
      </c>
      <c r="H426" s="61" t="str">
        <f aca="false">INDEX(Parametros!$C$71:$C$91,MATCH(TRIM(INDEX(Datos_Origen!$C$2:$C$2459,$Z426)),Parametros!$B$71:$B$91,0))</f>
        <v>Centro</v>
      </c>
      <c r="I426" s="61" t="str">
        <f aca="false">IF(TRIM($AD426)="",INDEX(Parametros!$I$20:$I$24,MATCH($H426,Parametros!$H$20:$H$24,0)),TRIM($AD426))</f>
        <v>Cordoba</v>
      </c>
      <c r="J426" s="61" t="str">
        <f aca="false">INDEX(Parametros!$C$95:$C$106,MATCH(TRIM(INDEX(Datos_Origen!$E$2:$E$2459,$Z426)),Parametros!$B$95:$B$106,0))</f>
        <v>Tienda fisica</v>
      </c>
      <c r="K426" s="61" t="str">
        <f aca="false">INDEX(Parametros!$C$48:$C$67,MATCH(TRIM(INDEX(Datos_Origen!$F$2:$F$2459,$Z426)),Parametros!$B$48:$B$67,0))</f>
        <v>Computacion</v>
      </c>
      <c r="L426" s="61" t="str">
        <f aca="false">$K426&amp;" "&amp;$C426</f>
        <v>Computacion 2024</v>
      </c>
      <c r="M426" s="61" t="str">
        <f aca="false">TRIM(INDEX(Datos_Origen!$G$2:$G$2459,$Z426))</f>
        <v>PC Gamer Ryzen</v>
      </c>
      <c r="N426" s="61" t="str">
        <f aca="false">$M426&amp;" "&amp;$C426</f>
        <v>PC Gamer Ryzen 2024</v>
      </c>
      <c r="O426" s="63" t="n">
        <f aca="false">IF(ISTEXT($AC426),VALUE($AC426),$AC426)</f>
        <v>11</v>
      </c>
      <c r="P426" s="64" t="n">
        <f aca="false">INDEX(Datos_Origen!$I$2:$I$2459,$Z426)</f>
        <v>1617</v>
      </c>
      <c r="Q426" s="64" t="n">
        <f aca="false">INDEX(Datos_Origen!$J$2:$J$2459,$Z426)</f>
        <v>1122</v>
      </c>
      <c r="R426" s="65" t="n">
        <f aca="false">ROUND($O426*$P426,2)</f>
        <v>17787</v>
      </c>
      <c r="S426" s="65" t="n">
        <f aca="false">ROUND($O426*$Q426,2)</f>
        <v>12342</v>
      </c>
      <c r="T426" s="65" t="n">
        <f aca="false">ROUND($R426*SUMIFS(Parametros!$E$28:$E$43,Parametros!$B$28:$B$43,$J426,Parametros!$C$28:$C$43,$C426,Parametros!$D$28:$D$43,$D426),2)</f>
        <v>213.44</v>
      </c>
      <c r="U426" s="65" t="n">
        <f aca="false">$R426-$S426-$T426</f>
        <v>5231.56</v>
      </c>
      <c r="V426" s="66" t="n">
        <f aca="false">IFERROR($U426/$R426,0)</f>
        <v>0.294122673862934</v>
      </c>
      <c r="W426" s="67" t="str">
        <f aca="false">IF(AND($V426&gt;=Parametros!$C$8,$R426&gt;=Parametros!$C$12),"Alta rentabilidad",IF(OR($V426&lt;Parametros!$C$11,$R426&lt;Parametros!$C$13),"Revisar","Estandar"))</f>
        <v>Estandar</v>
      </c>
      <c r="X426" s="67" t="str">
        <f aca="false">IF(AND($J426="E-commerce",IFERROR($T426/$R426,0)&gt;Parametros!$C$14),"Alerta","OK")</f>
        <v>OK</v>
      </c>
      <c r="Y426" s="61" t="str">
        <f aca="false">IF($R426&gt;=Parametros!$C$12,"Alto",IF($R426&lt;Parametros!$C$13,"Bajo","Medio"))</f>
        <v>Alto</v>
      </c>
      <c r="Z426" s="61" t="n">
        <v>726</v>
      </c>
      <c r="AA426" s="61" t="str">
        <f aca="false">IF(MATCH($A426,Datos_Origen!$A$2:$A$2459,0)=$Z426,"OK","REVISAR")</f>
        <v>OK</v>
      </c>
      <c r="AB426" s="61" t="str">
        <f aca="false">INDEX(Datos_Origen!$B$2:$B$2459,$Z426)</f>
        <v>06/05/2024</v>
      </c>
      <c r="AC426" s="61" t="n">
        <f aca="false">INDEX(Datos_Origen!$H$2:$H$2459,$Z426)</f>
        <v>11</v>
      </c>
      <c r="AD426" s="61" t="str">
        <f aca="false">INDEX(Datos_Origen!$D$2:$D$2459,$Z426)&amp;""</f>
        <v>Cordoba</v>
      </c>
    </row>
    <row r="427" customFormat="false" ht="15" hidden="false" customHeight="false" outlineLevel="0" collapsed="false">
      <c r="A427" s="61" t="n">
        <f aca="false">INDEX(Datos_Origen!$A$2:$A$2459,$Z427)</f>
        <v>426</v>
      </c>
      <c r="B427" s="62" t="n">
        <f aca="false">IF(ISNUMBER($AB427),$AB427,IF(MID($AB427,5,1)="-",DATE(VALUE(LEFT($AB427,4)),VALUE(MID($AB427,6,2)),VALUE(RIGHT($AB427,2))),DATE(VALUE(RIGHT($AB427,4)),VALUE(MID($AB427,4,2)),VALUE(LEFT($AB427,2)))))</f>
        <v>45425</v>
      </c>
      <c r="C427" s="61" t="n">
        <f aca="false">YEAR($B427)</f>
        <v>2024</v>
      </c>
      <c r="D427" s="61" t="str">
        <f aca="false">"Q"&amp;ROUNDUP(MONTH($B427)/3,0)</f>
        <v>Q2</v>
      </c>
      <c r="E427" s="61" t="n">
        <f aca="false">MONTH($B427)</f>
        <v>5</v>
      </c>
      <c r="F427" s="61" t="str">
        <f aca="false">INDEX(Parametros!$I$5:$I$16,$E427)</f>
        <v>May</v>
      </c>
      <c r="G427" s="61" t="str">
        <f aca="false">TEXT($C427,"0000")&amp;"-"&amp;TEXT($E427,"00")</f>
        <v>2024-05</v>
      </c>
      <c r="H427" s="61" t="str">
        <f aca="false">INDEX(Parametros!$C$71:$C$91,MATCH(TRIM(INDEX(Datos_Origen!$C$2:$C$2459,$Z427)),Parametros!$B$71:$B$91,0))</f>
        <v>Centro</v>
      </c>
      <c r="I427" s="61" t="str">
        <f aca="false">IF(TRIM($AD427)="",INDEX(Parametros!$I$20:$I$24,MATCH($H427,Parametros!$H$20:$H$24,0)),TRIM($AD427))</f>
        <v>Cordoba</v>
      </c>
      <c r="J427" s="61" t="str">
        <f aca="false">INDEX(Parametros!$C$95:$C$106,MATCH(TRIM(INDEX(Datos_Origen!$E$2:$E$2459,$Z427)),Parametros!$B$95:$B$106,0))</f>
        <v>E-commerce</v>
      </c>
      <c r="K427" s="61" t="str">
        <f aca="false">INDEX(Parametros!$C$48:$C$67,MATCH(TRIM(INDEX(Datos_Origen!$F$2:$F$2459,$Z427)),Parametros!$B$48:$B$67,0))</f>
        <v>Computacion</v>
      </c>
      <c r="L427" s="61" t="str">
        <f aca="false">$K427&amp;" "&amp;$C427</f>
        <v>Computacion 2024</v>
      </c>
      <c r="M427" s="61" t="str">
        <f aca="false">TRIM(INDEX(Datos_Origen!$G$2:$G$2459,$Z427))</f>
        <v>PC Gamer Ryzen</v>
      </c>
      <c r="N427" s="61" t="str">
        <f aca="false">$M427&amp;" "&amp;$C427</f>
        <v>PC Gamer Ryzen 2024</v>
      </c>
      <c r="O427" s="63" t="n">
        <f aca="false">IF(ISTEXT($AC427),VALUE($AC427),$AC427)</f>
        <v>4</v>
      </c>
      <c r="P427" s="64" t="n">
        <f aca="false">INDEX(Datos_Origen!$I$2:$I$2459,$Z427)</f>
        <v>1617</v>
      </c>
      <c r="Q427" s="64" t="n">
        <f aca="false">INDEX(Datos_Origen!$J$2:$J$2459,$Z427)</f>
        <v>1122</v>
      </c>
      <c r="R427" s="65" t="n">
        <f aca="false">ROUND($O427*$P427,2)</f>
        <v>6468</v>
      </c>
      <c r="S427" s="65" t="n">
        <f aca="false">ROUND($O427*$Q427,2)</f>
        <v>4488</v>
      </c>
      <c r="T427" s="65" t="n">
        <f aca="false">ROUND($R427*SUMIFS(Parametros!$E$28:$E$43,Parametros!$B$28:$B$43,$J427,Parametros!$C$28:$C$43,$C427,Parametros!$D$28:$D$43,$D427),2)</f>
        <v>284.59</v>
      </c>
      <c r="U427" s="65" t="n">
        <f aca="false">$R427-$S427-$T427</f>
        <v>1695.41</v>
      </c>
      <c r="V427" s="66" t="n">
        <f aca="false">IFERROR($U427/$R427,0)</f>
        <v>0.262122758194187</v>
      </c>
      <c r="W427" s="67" t="str">
        <f aca="false">IF(AND($V427&gt;=Parametros!$C$8,$R427&gt;=Parametros!$C$12),"Alta rentabilidad",IF(OR($V427&lt;Parametros!$C$11,$R427&lt;Parametros!$C$13),"Revisar","Estandar"))</f>
        <v>Revisar</v>
      </c>
      <c r="X427" s="67" t="str">
        <f aca="false">IF(AND($J427="E-commerce",IFERROR($T427/$R427,0)&gt;Parametros!$C$14),"Alerta","OK")</f>
        <v>OK</v>
      </c>
      <c r="Y427" s="61" t="str">
        <f aca="false">IF($R427&gt;=Parametros!$C$12,"Alto",IF($R427&lt;Parametros!$C$13,"Bajo","Medio"))</f>
        <v>Alto</v>
      </c>
      <c r="Z427" s="61" t="n">
        <v>1028</v>
      </c>
      <c r="AA427" s="61" t="str">
        <f aca="false">IF(MATCH($A427,Datos_Origen!$A$2:$A$2459,0)=$Z427,"OK","REVISAR")</f>
        <v>OK</v>
      </c>
      <c r="AB427" s="62" t="n">
        <f aca="false">INDEX(Datos_Origen!$B$2:$B$2459,$Z427)</f>
        <v>45425</v>
      </c>
      <c r="AC427" s="61" t="n">
        <f aca="false">INDEX(Datos_Origen!$H$2:$H$2459,$Z427)</f>
        <v>4</v>
      </c>
      <c r="AD427" s="61" t="str">
        <f aca="false">INDEX(Datos_Origen!$D$2:$D$2459,$Z427)&amp;""</f>
        <v>Cordoba</v>
      </c>
    </row>
    <row r="428" customFormat="false" ht="15" hidden="false" customHeight="false" outlineLevel="0" collapsed="false">
      <c r="A428" s="61" t="n">
        <f aca="false">INDEX(Datos_Origen!$A$2:$A$2459,$Z428)</f>
        <v>427</v>
      </c>
      <c r="B428" s="62" t="n">
        <f aca="false">IF(ISNUMBER($AB428),$AB428,IF(MID($AB428,5,1)="-",DATE(VALUE(LEFT($AB428,4)),VALUE(MID($AB428,6,2)),VALUE(RIGHT($AB428,2))),DATE(VALUE(RIGHT($AB428,4)),VALUE(MID($AB428,4,2)),VALUE(LEFT($AB428,2)))))</f>
        <v>45432</v>
      </c>
      <c r="C428" s="61" t="n">
        <f aca="false">YEAR($B428)</f>
        <v>2024</v>
      </c>
      <c r="D428" s="61" t="str">
        <f aca="false">"Q"&amp;ROUNDUP(MONTH($B428)/3,0)</f>
        <v>Q2</v>
      </c>
      <c r="E428" s="61" t="n">
        <f aca="false">MONTH($B428)</f>
        <v>5</v>
      </c>
      <c r="F428" s="61" t="str">
        <f aca="false">INDEX(Parametros!$I$5:$I$16,$E428)</f>
        <v>May</v>
      </c>
      <c r="G428" s="61" t="str">
        <f aca="false">TEXT($C428,"0000")&amp;"-"&amp;TEXT($E428,"00")</f>
        <v>2024-05</v>
      </c>
      <c r="H428" s="61" t="str">
        <f aca="false">INDEX(Parametros!$C$71:$C$91,MATCH(TRIM(INDEX(Datos_Origen!$C$2:$C$2459,$Z428)),Parametros!$B$71:$B$91,0))</f>
        <v>Centro</v>
      </c>
      <c r="I428" s="61" t="str">
        <f aca="false">IF(TRIM($AD428)="",INDEX(Parametros!$I$20:$I$24,MATCH($H428,Parametros!$H$20:$H$24,0)),TRIM($AD428))</f>
        <v>Cordoba</v>
      </c>
      <c r="J428" s="61" t="str">
        <f aca="false">INDEX(Parametros!$C$95:$C$106,MATCH(TRIM(INDEX(Datos_Origen!$E$2:$E$2459,$Z428)),Parametros!$B$95:$B$106,0))</f>
        <v>Tienda fisica</v>
      </c>
      <c r="K428" s="61" t="str">
        <f aca="false">INDEX(Parametros!$C$48:$C$67,MATCH(TRIM(INDEX(Datos_Origen!$F$2:$F$2459,$Z428)),Parametros!$B$48:$B$67,0))</f>
        <v>Accesorios</v>
      </c>
      <c r="L428" s="61" t="str">
        <f aca="false">$K428&amp;" "&amp;$C428</f>
        <v>Accesorios 2024</v>
      </c>
      <c r="M428" s="61" t="str">
        <f aca="false">TRIM(INDEX(Datos_Origen!$G$2:$G$2459,$Z428))</f>
        <v>Mouse Inalambrico</v>
      </c>
      <c r="N428" s="61" t="str">
        <f aca="false">$M428&amp;" "&amp;$C428</f>
        <v>Mouse Inalambrico 2024</v>
      </c>
      <c r="O428" s="63" t="n">
        <f aca="false">IF(ISTEXT($AC428),VALUE($AC428),$AC428)</f>
        <v>52</v>
      </c>
      <c r="P428" s="64" t="n">
        <f aca="false">INDEX(Datos_Origen!$I$2:$I$2459,$Z428)</f>
        <v>27.44</v>
      </c>
      <c r="Q428" s="64" t="n">
        <f aca="false">INDEX(Datos_Origen!$J$2:$J$2459,$Z428)</f>
        <v>13.44</v>
      </c>
      <c r="R428" s="65" t="n">
        <f aca="false">ROUND($O428*$P428,2)</f>
        <v>1426.88</v>
      </c>
      <c r="S428" s="65" t="n">
        <f aca="false">ROUND($O428*$Q428,2)</f>
        <v>698.88</v>
      </c>
      <c r="T428" s="65" t="n">
        <f aca="false">ROUND($R428*SUMIFS(Parametros!$E$28:$E$43,Parametros!$B$28:$B$43,$J428,Parametros!$C$28:$C$43,$C428,Parametros!$D$28:$D$43,$D428),2)</f>
        <v>17.12</v>
      </c>
      <c r="U428" s="65" t="n">
        <f aca="false">$R428-$S428-$T428</f>
        <v>710.88</v>
      </c>
      <c r="V428" s="66" t="n">
        <f aca="false">IFERROR($U428/$R428,0)</f>
        <v>0.498205875756896</v>
      </c>
      <c r="W428" s="67" t="str">
        <f aca="false">IF(AND($V428&gt;=Parametros!$C$8,$R428&gt;=Parametros!$C$12),"Alta rentabilidad",IF(OR($V428&lt;Parametros!$C$11,$R428&lt;Parametros!$C$13),"Revisar","Estandar"))</f>
        <v>Estandar</v>
      </c>
      <c r="X428" s="67" t="str">
        <f aca="false">IF(AND($J428="E-commerce",IFERROR($T428/$R428,0)&gt;Parametros!$C$14),"Alerta","OK")</f>
        <v>OK</v>
      </c>
      <c r="Y428" s="61" t="str">
        <f aca="false">IF($R428&gt;=Parametros!$C$12,"Alto",IF($R428&lt;Parametros!$C$13,"Bajo","Medio"))</f>
        <v>Medio</v>
      </c>
      <c r="Z428" s="61" t="n">
        <v>531</v>
      </c>
      <c r="AA428" s="61" t="str">
        <f aca="false">IF(MATCH($A428,Datos_Origen!$A$2:$A$2459,0)=$Z428,"OK","REVISAR")</f>
        <v>OK</v>
      </c>
      <c r="AB428" s="61" t="str">
        <f aca="false">INDEX(Datos_Origen!$B$2:$B$2459,$Z428)</f>
        <v>2024-05-20</v>
      </c>
      <c r="AC428" s="61" t="n">
        <f aca="false">INDEX(Datos_Origen!$H$2:$H$2459,$Z428)</f>
        <v>52</v>
      </c>
      <c r="AD428" s="61" t="str">
        <f aca="false">INDEX(Datos_Origen!$D$2:$D$2459,$Z428)&amp;""</f>
        <v>Cordoba</v>
      </c>
    </row>
    <row r="429" customFormat="false" ht="15" hidden="false" customHeight="false" outlineLevel="0" collapsed="false">
      <c r="A429" s="61" t="n">
        <f aca="false">INDEX(Datos_Origen!$A$2:$A$2459,$Z429)</f>
        <v>428</v>
      </c>
      <c r="B429" s="62" t="n">
        <f aca="false">IF(ISNUMBER($AB429),$AB429,IF(MID($AB429,5,1)="-",DATE(VALUE(LEFT($AB429,4)),VALUE(MID($AB429,6,2)),VALUE(RIGHT($AB429,2))),DATE(VALUE(RIGHT($AB429,4)),VALUE(MID($AB429,4,2)),VALUE(LEFT($AB429,2)))))</f>
        <v>45439</v>
      </c>
      <c r="C429" s="61" t="n">
        <f aca="false">YEAR($B429)</f>
        <v>2024</v>
      </c>
      <c r="D429" s="61" t="str">
        <f aca="false">"Q"&amp;ROUNDUP(MONTH($B429)/3,0)</f>
        <v>Q2</v>
      </c>
      <c r="E429" s="61" t="n">
        <f aca="false">MONTH($B429)</f>
        <v>5</v>
      </c>
      <c r="F429" s="61" t="str">
        <f aca="false">INDEX(Parametros!$I$5:$I$16,$E429)</f>
        <v>May</v>
      </c>
      <c r="G429" s="61" t="str">
        <f aca="false">TEXT($C429,"0000")&amp;"-"&amp;TEXT($E429,"00")</f>
        <v>2024-05</v>
      </c>
      <c r="H429" s="61" t="str">
        <f aca="false">INDEX(Parametros!$C$71:$C$91,MATCH(TRIM(INDEX(Datos_Origen!$C$2:$C$2459,$Z429)),Parametros!$B$71:$B$91,0))</f>
        <v>Centro</v>
      </c>
      <c r="I429" s="61" t="str">
        <f aca="false">IF(TRIM($AD429)="",INDEX(Parametros!$I$20:$I$24,MATCH($H429,Parametros!$H$20:$H$24,0)),TRIM($AD429))</f>
        <v>Cordoba</v>
      </c>
      <c r="J429" s="61" t="str">
        <f aca="false">INDEX(Parametros!$C$95:$C$106,MATCH(TRIM(INDEX(Datos_Origen!$E$2:$E$2459,$Z429)),Parametros!$B$95:$B$106,0))</f>
        <v>E-commerce</v>
      </c>
      <c r="K429" s="61" t="str">
        <f aca="false">INDEX(Parametros!$C$48:$C$67,MATCH(TRIM(INDEX(Datos_Origen!$F$2:$F$2459,$Z429)),Parametros!$B$48:$B$67,0))</f>
        <v>Accesorios</v>
      </c>
      <c r="L429" s="61" t="str">
        <f aca="false">$K429&amp;" "&amp;$C429</f>
        <v>Accesorios 2024</v>
      </c>
      <c r="M429" s="61" t="str">
        <f aca="false">TRIM(INDEX(Datos_Origen!$G$2:$G$2459,$Z429))</f>
        <v>Mouse Inalambrico</v>
      </c>
      <c r="N429" s="61" t="str">
        <f aca="false">$M429&amp;" "&amp;$C429</f>
        <v>Mouse Inalambrico 2024</v>
      </c>
      <c r="O429" s="63" t="n">
        <f aca="false">IF(ISTEXT($AC429),VALUE($AC429),$AC429)</f>
        <v>25</v>
      </c>
      <c r="P429" s="64" t="n">
        <f aca="false">INDEX(Datos_Origen!$I$2:$I$2459,$Z429)</f>
        <v>27.44</v>
      </c>
      <c r="Q429" s="64" t="n">
        <f aca="false">INDEX(Datos_Origen!$J$2:$J$2459,$Z429)</f>
        <v>13.44</v>
      </c>
      <c r="R429" s="65" t="n">
        <f aca="false">ROUND($O429*$P429,2)</f>
        <v>686</v>
      </c>
      <c r="S429" s="65" t="n">
        <f aca="false">ROUND($O429*$Q429,2)</f>
        <v>336</v>
      </c>
      <c r="T429" s="65" t="n">
        <f aca="false">ROUND($R429*SUMIFS(Parametros!$E$28:$E$43,Parametros!$B$28:$B$43,$J429,Parametros!$C$28:$C$43,$C429,Parametros!$D$28:$D$43,$D429),2)</f>
        <v>30.18</v>
      </c>
      <c r="U429" s="65" t="n">
        <f aca="false">$R429-$S429-$T429</f>
        <v>319.82</v>
      </c>
      <c r="V429" s="66" t="n">
        <f aca="false">IFERROR($U429/$R429,0)</f>
        <v>0.466209912536443</v>
      </c>
      <c r="W429" s="67" t="str">
        <f aca="false">IF(AND($V429&gt;=Parametros!$C$8,$R429&gt;=Parametros!$C$12),"Alta rentabilidad",IF(OR($V429&lt;Parametros!$C$11,$R429&lt;Parametros!$C$13),"Revisar","Estandar"))</f>
        <v>Estandar</v>
      </c>
      <c r="X429" s="67" t="str">
        <f aca="false">IF(AND($J429="E-commerce",IFERROR($T429/$R429,0)&gt;Parametros!$C$14),"Alerta","OK")</f>
        <v>OK</v>
      </c>
      <c r="Y429" s="61" t="str">
        <f aca="false">IF($R429&gt;=Parametros!$C$12,"Alto",IF($R429&lt;Parametros!$C$13,"Bajo","Medio"))</f>
        <v>Medio</v>
      </c>
      <c r="Z429" s="61" t="n">
        <v>1238</v>
      </c>
      <c r="AA429" s="61" t="str">
        <f aca="false">IF(MATCH($A429,Datos_Origen!$A$2:$A$2459,0)=$Z429,"OK","REVISAR")</f>
        <v>OK</v>
      </c>
      <c r="AB429" s="62" t="n">
        <f aca="false">INDEX(Datos_Origen!$B$2:$B$2459,$Z429)</f>
        <v>45439</v>
      </c>
      <c r="AC429" s="61" t="str">
        <f aca="false">INDEX(Datos_Origen!$H$2:$H$2459,$Z429)</f>
        <v>25</v>
      </c>
      <c r="AD429" s="61" t="str">
        <f aca="false">INDEX(Datos_Origen!$D$2:$D$2459,$Z429)&amp;""</f>
        <v>Cordoba</v>
      </c>
    </row>
    <row r="430" customFormat="false" ht="15" hidden="false" customHeight="false" outlineLevel="0" collapsed="false">
      <c r="A430" s="61" t="n">
        <f aca="false">INDEX(Datos_Origen!$A$2:$A$2459,$Z430)</f>
        <v>429</v>
      </c>
      <c r="B430" s="62" t="n">
        <f aca="false">IF(ISNUMBER($AB430),$AB430,IF(MID($AB430,5,1)="-",DATE(VALUE(LEFT($AB430,4)),VALUE(MID($AB430,6,2)),VALUE(RIGHT($AB430,2))),DATE(VALUE(RIGHT($AB430,4)),VALUE(MID($AB430,4,2)),VALUE(LEFT($AB430,2)))))</f>
        <v>45419</v>
      </c>
      <c r="C430" s="61" t="n">
        <f aca="false">YEAR($B430)</f>
        <v>2024</v>
      </c>
      <c r="D430" s="61" t="str">
        <f aca="false">"Q"&amp;ROUNDUP(MONTH($B430)/3,0)</f>
        <v>Q2</v>
      </c>
      <c r="E430" s="61" t="n">
        <f aca="false">MONTH($B430)</f>
        <v>5</v>
      </c>
      <c r="F430" s="61" t="str">
        <f aca="false">INDEX(Parametros!$I$5:$I$16,$E430)</f>
        <v>May</v>
      </c>
      <c r="G430" s="61" t="str">
        <f aca="false">TEXT($C430,"0000")&amp;"-"&amp;TEXT($E430,"00")</f>
        <v>2024-05</v>
      </c>
      <c r="H430" s="61" t="str">
        <f aca="false">INDEX(Parametros!$C$71:$C$91,MATCH(TRIM(INDEX(Datos_Origen!$C$2:$C$2459,$Z430)),Parametros!$B$71:$B$91,0))</f>
        <v>Centro</v>
      </c>
      <c r="I430" s="61" t="str">
        <f aca="false">IF(TRIM($AD430)="",INDEX(Parametros!$I$20:$I$24,MATCH($H430,Parametros!$H$20:$H$24,0)),TRIM($AD430))</f>
        <v>Cordoba</v>
      </c>
      <c r="J430" s="61" t="str">
        <f aca="false">INDEX(Parametros!$C$95:$C$106,MATCH(TRIM(INDEX(Datos_Origen!$E$2:$E$2459,$Z430)),Parametros!$B$95:$B$106,0))</f>
        <v>Tienda fisica</v>
      </c>
      <c r="K430" s="61" t="str">
        <f aca="false">INDEX(Parametros!$C$48:$C$67,MATCH(TRIM(INDEX(Datos_Origen!$F$2:$F$2459,$Z430)),Parametros!$B$48:$B$67,0))</f>
        <v>Accesorios</v>
      </c>
      <c r="L430" s="61" t="str">
        <f aca="false">$K430&amp;" "&amp;$C430</f>
        <v>Accesorios 2024</v>
      </c>
      <c r="M430" s="61" t="str">
        <f aca="false">TRIM(INDEX(Datos_Origen!$G$2:$G$2459,$Z430))</f>
        <v>Teclado Mecanico</v>
      </c>
      <c r="N430" s="61" t="str">
        <f aca="false">$M430&amp;" "&amp;$C430</f>
        <v>Teclado Mecanico 2024</v>
      </c>
      <c r="O430" s="63" t="n">
        <f aca="false">IF(ISTEXT($AC430),VALUE($AC430),$AC430)</f>
        <v>65</v>
      </c>
      <c r="P430" s="64" t="n">
        <f aca="false">INDEX(Datos_Origen!$I$2:$I$2459,$Z430)</f>
        <v>93.1</v>
      </c>
      <c r="Q430" s="64" t="n">
        <f aca="false">INDEX(Datos_Origen!$J$2:$J$2459,$Z430)</f>
        <v>47.98</v>
      </c>
      <c r="R430" s="65" t="n">
        <f aca="false">ROUND($O430*$P430,2)</f>
        <v>6051.5</v>
      </c>
      <c r="S430" s="65" t="n">
        <f aca="false">ROUND($O430*$Q430,2)</f>
        <v>3118.7</v>
      </c>
      <c r="T430" s="65" t="n">
        <f aca="false">ROUND($R430*SUMIFS(Parametros!$E$28:$E$43,Parametros!$B$28:$B$43,$J430,Parametros!$C$28:$C$43,$C430,Parametros!$D$28:$D$43,$D430),2)</f>
        <v>72.62</v>
      </c>
      <c r="U430" s="65" t="n">
        <f aca="false">$R430-$S430-$T430</f>
        <v>2860.18</v>
      </c>
      <c r="V430" s="66" t="n">
        <f aca="false">IFERROR($U430/$R430,0)</f>
        <v>0.472639841361646</v>
      </c>
      <c r="W430" s="67" t="str">
        <f aca="false">IF(AND($V430&gt;=Parametros!$C$8,$R430&gt;=Parametros!$C$12),"Alta rentabilidad",IF(OR($V430&lt;Parametros!$C$11,$R430&lt;Parametros!$C$13),"Revisar","Estandar"))</f>
        <v>Alta rentabilidad</v>
      </c>
      <c r="X430" s="67" t="str">
        <f aca="false">IF(AND($J430="E-commerce",IFERROR($T430/$R430,0)&gt;Parametros!$C$14),"Alerta","OK")</f>
        <v>OK</v>
      </c>
      <c r="Y430" s="61" t="str">
        <f aca="false">IF($R430&gt;=Parametros!$C$12,"Alto",IF($R430&lt;Parametros!$C$13,"Bajo","Medio"))</f>
        <v>Alto</v>
      </c>
      <c r="Z430" s="61" t="n">
        <v>1765</v>
      </c>
      <c r="AA430" s="61" t="str">
        <f aca="false">IF(MATCH($A430,Datos_Origen!$A$2:$A$2459,0)=$Z430,"OK","REVISAR")</f>
        <v>OK</v>
      </c>
      <c r="AB430" s="62" t="n">
        <f aca="false">INDEX(Datos_Origen!$B$2:$B$2459,$Z430)</f>
        <v>45419</v>
      </c>
      <c r="AC430" s="61" t="n">
        <f aca="false">INDEX(Datos_Origen!$H$2:$H$2459,$Z430)</f>
        <v>65</v>
      </c>
      <c r="AD430" s="61" t="str">
        <f aca="false">INDEX(Datos_Origen!$D$2:$D$2459,$Z430)&amp;""</f>
        <v>Cordoba</v>
      </c>
    </row>
    <row r="431" customFormat="false" ht="15" hidden="false" customHeight="false" outlineLevel="0" collapsed="false">
      <c r="A431" s="61" t="n">
        <f aca="false">INDEX(Datos_Origen!$A$2:$A$2459,$Z431)</f>
        <v>430</v>
      </c>
      <c r="B431" s="62" t="n">
        <f aca="false">IF(ISNUMBER($AB431),$AB431,IF(MID($AB431,5,1)="-",DATE(VALUE(LEFT($AB431,4)),VALUE(MID($AB431,6,2)),VALUE(RIGHT($AB431,2))),DATE(VALUE(RIGHT($AB431,4)),VALUE(MID($AB431,4,2)),VALUE(LEFT($AB431,2)))))</f>
        <v>45426</v>
      </c>
      <c r="C431" s="61" t="n">
        <f aca="false">YEAR($B431)</f>
        <v>2024</v>
      </c>
      <c r="D431" s="61" t="str">
        <f aca="false">"Q"&amp;ROUNDUP(MONTH($B431)/3,0)</f>
        <v>Q2</v>
      </c>
      <c r="E431" s="61" t="n">
        <f aca="false">MONTH($B431)</f>
        <v>5</v>
      </c>
      <c r="F431" s="61" t="str">
        <f aca="false">INDEX(Parametros!$I$5:$I$16,$E431)</f>
        <v>May</v>
      </c>
      <c r="G431" s="61" t="str">
        <f aca="false">TEXT($C431,"0000")&amp;"-"&amp;TEXT($E431,"00")</f>
        <v>2024-05</v>
      </c>
      <c r="H431" s="61" t="str">
        <f aca="false">INDEX(Parametros!$C$71:$C$91,MATCH(TRIM(INDEX(Datos_Origen!$C$2:$C$2459,$Z431)),Parametros!$B$71:$B$91,0))</f>
        <v>Centro</v>
      </c>
      <c r="I431" s="61" t="str">
        <f aca="false">IF(TRIM($AD431)="",INDEX(Parametros!$I$20:$I$24,MATCH($H431,Parametros!$H$20:$H$24,0)),TRIM($AD431))</f>
        <v>Cordoba</v>
      </c>
      <c r="J431" s="61" t="str">
        <f aca="false">INDEX(Parametros!$C$95:$C$106,MATCH(TRIM(INDEX(Datos_Origen!$E$2:$E$2459,$Z431)),Parametros!$B$95:$B$106,0))</f>
        <v>E-commerce</v>
      </c>
      <c r="K431" s="61" t="str">
        <f aca="false">INDEX(Parametros!$C$48:$C$67,MATCH(TRIM(INDEX(Datos_Origen!$F$2:$F$2459,$Z431)),Parametros!$B$48:$B$67,0))</f>
        <v>Accesorios</v>
      </c>
      <c r="L431" s="61" t="str">
        <f aca="false">$K431&amp;" "&amp;$C431</f>
        <v>Accesorios 2024</v>
      </c>
      <c r="M431" s="61" t="str">
        <f aca="false">TRIM(INDEX(Datos_Origen!$G$2:$G$2459,$Z431))</f>
        <v>Teclado Mecanico</v>
      </c>
      <c r="N431" s="61" t="str">
        <f aca="false">$M431&amp;" "&amp;$C431</f>
        <v>Teclado Mecanico 2024</v>
      </c>
      <c r="O431" s="63" t="n">
        <f aca="false">IF(ISTEXT($AC431),VALUE($AC431),$AC431)</f>
        <v>21</v>
      </c>
      <c r="P431" s="64" t="n">
        <f aca="false">INDEX(Datos_Origen!$I$2:$I$2459,$Z431)</f>
        <v>93.1</v>
      </c>
      <c r="Q431" s="64" t="n">
        <f aca="false">INDEX(Datos_Origen!$J$2:$J$2459,$Z431)</f>
        <v>47.98</v>
      </c>
      <c r="R431" s="65" t="n">
        <f aca="false">ROUND($O431*$P431,2)</f>
        <v>1955.1</v>
      </c>
      <c r="S431" s="65" t="n">
        <f aca="false">ROUND($O431*$Q431,2)</f>
        <v>1007.58</v>
      </c>
      <c r="T431" s="65" t="n">
        <f aca="false">ROUND($R431*SUMIFS(Parametros!$E$28:$E$43,Parametros!$B$28:$B$43,$J431,Parametros!$C$28:$C$43,$C431,Parametros!$D$28:$D$43,$D431),2)</f>
        <v>86.02</v>
      </c>
      <c r="U431" s="65" t="n">
        <f aca="false">$R431-$S431-$T431</f>
        <v>861.5</v>
      </c>
      <c r="V431" s="66" t="n">
        <f aca="false">IFERROR($U431/$R431,0)</f>
        <v>0.440642422382487</v>
      </c>
      <c r="W431" s="67" t="str">
        <f aca="false">IF(AND($V431&gt;=Parametros!$C$8,$R431&gt;=Parametros!$C$12),"Alta rentabilidad",IF(OR($V431&lt;Parametros!$C$11,$R431&lt;Parametros!$C$13),"Revisar","Estandar"))</f>
        <v>Estandar</v>
      </c>
      <c r="X431" s="67" t="str">
        <f aca="false">IF(AND($J431="E-commerce",IFERROR($T431/$R431,0)&gt;Parametros!$C$14),"Alerta","OK")</f>
        <v>OK</v>
      </c>
      <c r="Y431" s="61" t="str">
        <f aca="false">IF($R431&gt;=Parametros!$C$12,"Alto",IF($R431&lt;Parametros!$C$13,"Bajo","Medio"))</f>
        <v>Medio</v>
      </c>
      <c r="Z431" s="61" t="n">
        <v>84</v>
      </c>
      <c r="AA431" s="61" t="str">
        <f aca="false">IF(MATCH($A431,Datos_Origen!$A$2:$A$2459,0)=$Z431,"OK","REVISAR")</f>
        <v>OK</v>
      </c>
      <c r="AB431" s="62" t="n">
        <f aca="false">INDEX(Datos_Origen!$B$2:$B$2459,$Z431)</f>
        <v>45426</v>
      </c>
      <c r="AC431" s="61" t="n">
        <f aca="false">INDEX(Datos_Origen!$H$2:$H$2459,$Z431)</f>
        <v>21</v>
      </c>
      <c r="AD431" s="61" t="str">
        <f aca="false">INDEX(Datos_Origen!$D$2:$D$2459,$Z431)&amp;""</f>
        <v>Cordoba</v>
      </c>
    </row>
    <row r="432" customFormat="false" ht="15" hidden="false" customHeight="false" outlineLevel="0" collapsed="false">
      <c r="A432" s="61" t="n">
        <f aca="false">INDEX(Datos_Origen!$A$2:$A$2459,$Z432)</f>
        <v>431</v>
      </c>
      <c r="B432" s="62" t="n">
        <f aca="false">IF(ISNUMBER($AB432),$AB432,IF(MID($AB432,5,1)="-",DATE(VALUE(LEFT($AB432,4)),VALUE(MID($AB432,6,2)),VALUE(RIGHT($AB432,2))),DATE(VALUE(RIGHT($AB432,4)),VALUE(MID($AB432,4,2)),VALUE(LEFT($AB432,2)))))</f>
        <v>45433</v>
      </c>
      <c r="C432" s="61" t="n">
        <f aca="false">YEAR($B432)</f>
        <v>2024</v>
      </c>
      <c r="D432" s="61" t="str">
        <f aca="false">"Q"&amp;ROUNDUP(MONTH($B432)/3,0)</f>
        <v>Q2</v>
      </c>
      <c r="E432" s="61" t="n">
        <f aca="false">MONTH($B432)</f>
        <v>5</v>
      </c>
      <c r="F432" s="61" t="str">
        <f aca="false">INDEX(Parametros!$I$5:$I$16,$E432)</f>
        <v>May</v>
      </c>
      <c r="G432" s="61" t="str">
        <f aca="false">TEXT($C432,"0000")&amp;"-"&amp;TEXT($E432,"00")</f>
        <v>2024-05</v>
      </c>
      <c r="H432" s="61" t="str">
        <f aca="false">INDEX(Parametros!$C$71:$C$91,MATCH(TRIM(INDEX(Datos_Origen!$C$2:$C$2459,$Z432)),Parametros!$B$71:$B$91,0))</f>
        <v>Centro</v>
      </c>
      <c r="I432" s="61" t="str">
        <f aca="false">IF(TRIM($AD432)="",INDEX(Parametros!$I$20:$I$24,MATCH($H432,Parametros!$H$20:$H$24,0)),TRIM($AD432))</f>
        <v>Cordoba</v>
      </c>
      <c r="J432" s="61" t="str">
        <f aca="false">INDEX(Parametros!$C$95:$C$106,MATCH(TRIM(INDEX(Datos_Origen!$E$2:$E$2459,$Z432)),Parametros!$B$95:$B$106,0))</f>
        <v>Tienda fisica</v>
      </c>
      <c r="K432" s="61" t="str">
        <f aca="false">INDEX(Parametros!$C$48:$C$67,MATCH(TRIM(INDEX(Datos_Origen!$F$2:$F$2459,$Z432)),Parametros!$B$48:$B$67,0))</f>
        <v>Accesorios</v>
      </c>
      <c r="L432" s="61" t="str">
        <f aca="false">$K432&amp;" "&amp;$C432</f>
        <v>Accesorios 2024</v>
      </c>
      <c r="M432" s="61" t="str">
        <f aca="false">TRIM(INDEX(Datos_Origen!$G$2:$G$2459,$Z432))</f>
        <v>Webcam Full HD</v>
      </c>
      <c r="N432" s="61" t="str">
        <f aca="false">$M432&amp;" "&amp;$C432</f>
        <v>Webcam Full HD 2024</v>
      </c>
      <c r="O432" s="63" t="n">
        <f aca="false">IF(ISTEXT($AC432),VALUE($AC432),$AC432)</f>
        <v>60</v>
      </c>
      <c r="P432" s="64" t="n">
        <f aca="false">INDEX(Datos_Origen!$I$2:$I$2459,$Z432)</f>
        <v>63.7</v>
      </c>
      <c r="Q432" s="64" t="n">
        <f aca="false">INDEX(Datos_Origen!$J$2:$J$2459,$Z432)</f>
        <v>35.43</v>
      </c>
      <c r="R432" s="65" t="n">
        <f aca="false">ROUND($O432*$P432,2)</f>
        <v>3822</v>
      </c>
      <c r="S432" s="65" t="n">
        <f aca="false">ROUND($O432*$Q432,2)</f>
        <v>2125.8</v>
      </c>
      <c r="T432" s="65" t="n">
        <f aca="false">ROUND($R432*SUMIFS(Parametros!$E$28:$E$43,Parametros!$B$28:$B$43,$J432,Parametros!$C$28:$C$43,$C432,Parametros!$D$28:$D$43,$D432),2)</f>
        <v>45.86</v>
      </c>
      <c r="U432" s="65" t="n">
        <f aca="false">$R432-$S432-$T432</f>
        <v>1650.34</v>
      </c>
      <c r="V432" s="66" t="n">
        <f aca="false">IFERROR($U432/$R432,0)</f>
        <v>0.431800104657248</v>
      </c>
      <c r="W432" s="67" t="str">
        <f aca="false">IF(AND($V432&gt;=Parametros!$C$8,$R432&gt;=Parametros!$C$12),"Alta rentabilidad",IF(OR($V432&lt;Parametros!$C$11,$R432&lt;Parametros!$C$13),"Revisar","Estandar"))</f>
        <v>Alta rentabilidad</v>
      </c>
      <c r="X432" s="67" t="str">
        <f aca="false">IF(AND($J432="E-commerce",IFERROR($T432/$R432,0)&gt;Parametros!$C$14),"Alerta","OK")</f>
        <v>OK</v>
      </c>
      <c r="Y432" s="61" t="str">
        <f aca="false">IF($R432&gt;=Parametros!$C$12,"Alto",IF($R432&lt;Parametros!$C$13,"Bajo","Medio"))</f>
        <v>Alto</v>
      </c>
      <c r="Z432" s="61" t="n">
        <v>2026</v>
      </c>
      <c r="AA432" s="61" t="str">
        <f aca="false">IF(MATCH($A432,Datos_Origen!$A$2:$A$2459,0)=$Z432,"OK","REVISAR")</f>
        <v>OK</v>
      </c>
      <c r="AB432" s="61" t="str">
        <f aca="false">INDEX(Datos_Origen!$B$2:$B$2459,$Z432)</f>
        <v>2024-05-21</v>
      </c>
      <c r="AC432" s="61" t="n">
        <f aca="false">INDEX(Datos_Origen!$H$2:$H$2459,$Z432)</f>
        <v>60</v>
      </c>
      <c r="AD432" s="61" t="str">
        <f aca="false">INDEX(Datos_Origen!$D$2:$D$2459,$Z432)&amp;""</f>
        <v>Cordoba</v>
      </c>
    </row>
    <row r="433" customFormat="false" ht="15" hidden="false" customHeight="false" outlineLevel="0" collapsed="false">
      <c r="A433" s="61" t="n">
        <f aca="false">INDEX(Datos_Origen!$A$2:$A$2459,$Z433)</f>
        <v>432</v>
      </c>
      <c r="B433" s="62" t="n">
        <f aca="false">IF(ISNUMBER($AB433),$AB433,IF(MID($AB433,5,1)="-",DATE(VALUE(LEFT($AB433,4)),VALUE(MID($AB433,6,2)),VALUE(RIGHT($AB433,2))),DATE(VALUE(RIGHT($AB433,4)),VALUE(MID($AB433,4,2)),VALUE(LEFT($AB433,2)))))</f>
        <v>45413</v>
      </c>
      <c r="C433" s="61" t="n">
        <f aca="false">YEAR($B433)</f>
        <v>2024</v>
      </c>
      <c r="D433" s="61" t="str">
        <f aca="false">"Q"&amp;ROUNDUP(MONTH($B433)/3,0)</f>
        <v>Q2</v>
      </c>
      <c r="E433" s="61" t="n">
        <f aca="false">MONTH($B433)</f>
        <v>5</v>
      </c>
      <c r="F433" s="61" t="str">
        <f aca="false">INDEX(Parametros!$I$5:$I$16,$E433)</f>
        <v>May</v>
      </c>
      <c r="G433" s="61" t="str">
        <f aca="false">TEXT($C433,"0000")&amp;"-"&amp;TEXT($E433,"00")</f>
        <v>2024-05</v>
      </c>
      <c r="H433" s="61" t="str">
        <f aca="false">INDEX(Parametros!$C$71:$C$91,MATCH(TRIM(INDEX(Datos_Origen!$C$2:$C$2459,$Z433)),Parametros!$B$71:$B$91,0))</f>
        <v>Centro</v>
      </c>
      <c r="I433" s="61" t="str">
        <f aca="false">IF(TRIM($AD433)="",INDEX(Parametros!$I$20:$I$24,MATCH($H433,Parametros!$H$20:$H$24,0)),TRIM($AD433))</f>
        <v>Cordoba</v>
      </c>
      <c r="J433" s="61" t="str">
        <f aca="false">INDEX(Parametros!$C$95:$C$106,MATCH(TRIM(INDEX(Datos_Origen!$E$2:$E$2459,$Z433)),Parametros!$B$95:$B$106,0))</f>
        <v>E-commerce</v>
      </c>
      <c r="K433" s="61" t="str">
        <f aca="false">INDEX(Parametros!$C$48:$C$67,MATCH(TRIM(INDEX(Datos_Origen!$F$2:$F$2459,$Z433)),Parametros!$B$48:$B$67,0))</f>
        <v>Accesorios</v>
      </c>
      <c r="L433" s="61" t="str">
        <f aca="false">$K433&amp;" "&amp;$C433</f>
        <v>Accesorios 2024</v>
      </c>
      <c r="M433" s="61" t="str">
        <f aca="false">TRIM(INDEX(Datos_Origen!$G$2:$G$2459,$Z433))</f>
        <v>Webcam Full HD</v>
      </c>
      <c r="N433" s="61" t="str">
        <f aca="false">$M433&amp;" "&amp;$C433</f>
        <v>Webcam Full HD 2024</v>
      </c>
      <c r="O433" s="63" t="n">
        <f aca="false">IF(ISTEXT($AC433),VALUE($AC433),$AC433)</f>
        <v>21</v>
      </c>
      <c r="P433" s="64" t="n">
        <f aca="false">INDEX(Datos_Origen!$I$2:$I$2459,$Z433)</f>
        <v>63.7</v>
      </c>
      <c r="Q433" s="64" t="n">
        <f aca="false">INDEX(Datos_Origen!$J$2:$J$2459,$Z433)</f>
        <v>35.43</v>
      </c>
      <c r="R433" s="65" t="n">
        <f aca="false">ROUND($O433*$P433,2)</f>
        <v>1337.7</v>
      </c>
      <c r="S433" s="65" t="n">
        <f aca="false">ROUND($O433*$Q433,2)</f>
        <v>744.03</v>
      </c>
      <c r="T433" s="65" t="n">
        <f aca="false">ROUND($R433*SUMIFS(Parametros!$E$28:$E$43,Parametros!$B$28:$B$43,$J433,Parametros!$C$28:$C$43,$C433,Parametros!$D$28:$D$43,$D433),2)</f>
        <v>58.86</v>
      </c>
      <c r="U433" s="65" t="n">
        <f aca="false">$R433-$S433-$T433</f>
        <v>534.81</v>
      </c>
      <c r="V433" s="66" t="n">
        <f aca="false">IFERROR($U433/$R433,0)</f>
        <v>0.399798161022651</v>
      </c>
      <c r="W433" s="67" t="str">
        <f aca="false">IF(AND($V433&gt;=Parametros!$C$8,$R433&gt;=Parametros!$C$12),"Alta rentabilidad",IF(OR($V433&lt;Parametros!$C$11,$R433&lt;Parametros!$C$13),"Revisar","Estandar"))</f>
        <v>Estandar</v>
      </c>
      <c r="X433" s="67" t="str">
        <f aca="false">IF(AND($J433="E-commerce",IFERROR($T433/$R433,0)&gt;Parametros!$C$14),"Alerta","OK")</f>
        <v>OK</v>
      </c>
      <c r="Y433" s="61" t="str">
        <f aca="false">IF($R433&gt;=Parametros!$C$12,"Alto",IF($R433&lt;Parametros!$C$13,"Bajo","Medio"))</f>
        <v>Medio</v>
      </c>
      <c r="Z433" s="61" t="n">
        <v>1898</v>
      </c>
      <c r="AA433" s="61" t="str">
        <f aca="false">IF(MATCH($A433,Datos_Origen!$A$2:$A$2459,0)=$Z433,"OK","REVISAR")</f>
        <v>OK</v>
      </c>
      <c r="AB433" s="62" t="n">
        <f aca="false">INDEX(Datos_Origen!$B$2:$B$2459,$Z433)</f>
        <v>45413</v>
      </c>
      <c r="AC433" s="61" t="n">
        <f aca="false">INDEX(Datos_Origen!$H$2:$H$2459,$Z433)</f>
        <v>21</v>
      </c>
      <c r="AD433" s="61" t="str">
        <f aca="false">INDEX(Datos_Origen!$D$2:$D$2459,$Z433)&amp;""</f>
        <v>Cordoba</v>
      </c>
    </row>
    <row r="434" customFormat="false" ht="15" hidden="false" customHeight="false" outlineLevel="0" collapsed="false">
      <c r="A434" s="61" t="n">
        <f aca="false">INDEX(Datos_Origen!$A$2:$A$2459,$Z434)</f>
        <v>433</v>
      </c>
      <c r="B434" s="62" t="n">
        <f aca="false">IF(ISNUMBER($AB434),$AB434,IF(MID($AB434,5,1)="-",DATE(VALUE(LEFT($AB434,4)),VALUE(MID($AB434,6,2)),VALUE(RIGHT($AB434,2))),DATE(VALUE(RIGHT($AB434,4)),VALUE(MID($AB434,4,2)),VALUE(LEFT($AB434,2)))))</f>
        <v>45420</v>
      </c>
      <c r="C434" s="61" t="n">
        <f aca="false">YEAR($B434)</f>
        <v>2024</v>
      </c>
      <c r="D434" s="61" t="str">
        <f aca="false">"Q"&amp;ROUNDUP(MONTH($B434)/3,0)</f>
        <v>Q2</v>
      </c>
      <c r="E434" s="61" t="n">
        <f aca="false">MONTH($B434)</f>
        <v>5</v>
      </c>
      <c r="F434" s="61" t="str">
        <f aca="false">INDEX(Parametros!$I$5:$I$16,$E434)</f>
        <v>May</v>
      </c>
      <c r="G434" s="61" t="str">
        <f aca="false">TEXT($C434,"0000")&amp;"-"&amp;TEXT($E434,"00")</f>
        <v>2024-05</v>
      </c>
      <c r="H434" s="61" t="str">
        <f aca="false">INDEX(Parametros!$C$71:$C$91,MATCH(TRIM(INDEX(Datos_Origen!$C$2:$C$2459,$Z434)),Parametros!$B$71:$B$91,0))</f>
        <v>Centro</v>
      </c>
      <c r="I434" s="61" t="str">
        <f aca="false">IF(TRIM($AD434)="",INDEX(Parametros!$I$20:$I$24,MATCH($H434,Parametros!$H$20:$H$24,0)),TRIM($AD434))</f>
        <v>Cordoba</v>
      </c>
      <c r="J434" s="61" t="str">
        <f aca="false">INDEX(Parametros!$C$95:$C$106,MATCH(TRIM(INDEX(Datos_Origen!$E$2:$E$2459,$Z434)),Parametros!$B$95:$B$106,0))</f>
        <v>Tienda fisica</v>
      </c>
      <c r="K434" s="61" t="str">
        <f aca="false">INDEX(Parametros!$C$48:$C$67,MATCH(TRIM(INDEX(Datos_Origen!$F$2:$F$2459,$Z434)),Parametros!$B$48:$B$67,0))</f>
        <v>Audio</v>
      </c>
      <c r="L434" s="61" t="str">
        <f aca="false">$K434&amp;" "&amp;$C434</f>
        <v>Audio 2024</v>
      </c>
      <c r="M434" s="61" t="str">
        <f aca="false">TRIM(INDEX(Datos_Origen!$G$2:$G$2459,$Z434))</f>
        <v>Auriculares BT Pro</v>
      </c>
      <c r="N434" s="61" t="str">
        <f aca="false">$M434&amp;" "&amp;$C434</f>
        <v>Auriculares BT Pro 2024</v>
      </c>
      <c r="O434" s="63" t="n">
        <f aca="false">IF(ISTEXT($AC434),VALUE($AC434),$AC434)</f>
        <v>26</v>
      </c>
      <c r="P434" s="64" t="n">
        <f aca="false">INDEX(Datos_Origen!$I$2:$I$2459,$Z434)</f>
        <v>117.6</v>
      </c>
      <c r="Q434" s="64" t="n">
        <f aca="false">INDEX(Datos_Origen!$J$2:$J$2459,$Z434)</f>
        <v>63.6</v>
      </c>
      <c r="R434" s="65" t="n">
        <f aca="false">ROUND($O434*$P434,2)</f>
        <v>3057.6</v>
      </c>
      <c r="S434" s="65" t="n">
        <f aca="false">ROUND($O434*$Q434,2)</f>
        <v>1653.6</v>
      </c>
      <c r="T434" s="65" t="n">
        <f aca="false">ROUND($R434*SUMIFS(Parametros!$E$28:$E$43,Parametros!$B$28:$B$43,$J434,Parametros!$C$28:$C$43,$C434,Parametros!$D$28:$D$43,$D434),2)</f>
        <v>36.69</v>
      </c>
      <c r="U434" s="65" t="n">
        <f aca="false">$R434-$S434-$T434</f>
        <v>1367.31</v>
      </c>
      <c r="V434" s="66" t="n">
        <f aca="false">IFERROR($U434/$R434,0)</f>
        <v>0.447184065934066</v>
      </c>
      <c r="W434" s="67" t="str">
        <f aca="false">IF(AND($V434&gt;=Parametros!$C$8,$R434&gt;=Parametros!$C$12),"Alta rentabilidad",IF(OR($V434&lt;Parametros!$C$11,$R434&lt;Parametros!$C$13),"Revisar","Estandar"))</f>
        <v>Alta rentabilidad</v>
      </c>
      <c r="X434" s="67" t="str">
        <f aca="false">IF(AND($J434="E-commerce",IFERROR($T434/$R434,0)&gt;Parametros!$C$14),"Alerta","OK")</f>
        <v>OK</v>
      </c>
      <c r="Y434" s="61" t="str">
        <f aca="false">IF($R434&gt;=Parametros!$C$12,"Alto",IF($R434&lt;Parametros!$C$13,"Bajo","Medio"))</f>
        <v>Alto</v>
      </c>
      <c r="Z434" s="61" t="n">
        <v>1327</v>
      </c>
      <c r="AA434" s="61" t="str">
        <f aca="false">IF(MATCH($A434,Datos_Origen!$A$2:$A$2459,0)=$Z434,"OK","REVISAR")</f>
        <v>OK</v>
      </c>
      <c r="AB434" s="62" t="n">
        <f aca="false">INDEX(Datos_Origen!$B$2:$B$2459,$Z434)</f>
        <v>45420</v>
      </c>
      <c r="AC434" s="61" t="str">
        <f aca="false">INDEX(Datos_Origen!$H$2:$H$2459,$Z434)</f>
        <v>26</v>
      </c>
      <c r="AD434" s="61" t="str">
        <f aca="false">INDEX(Datos_Origen!$D$2:$D$2459,$Z434)&amp;""</f>
        <v>Cordoba</v>
      </c>
    </row>
    <row r="435" customFormat="false" ht="15" hidden="false" customHeight="false" outlineLevel="0" collapsed="false">
      <c r="A435" s="61" t="n">
        <f aca="false">INDEX(Datos_Origen!$A$2:$A$2459,$Z435)</f>
        <v>434</v>
      </c>
      <c r="B435" s="62" t="n">
        <f aca="false">IF(ISNUMBER($AB435),$AB435,IF(MID($AB435,5,1)="-",DATE(VALUE(LEFT($AB435,4)),VALUE(MID($AB435,6,2)),VALUE(RIGHT($AB435,2))),DATE(VALUE(RIGHT($AB435,4)),VALUE(MID($AB435,4,2)),VALUE(LEFT($AB435,2)))))</f>
        <v>45427</v>
      </c>
      <c r="C435" s="61" t="n">
        <f aca="false">YEAR($B435)</f>
        <v>2024</v>
      </c>
      <c r="D435" s="61" t="str">
        <f aca="false">"Q"&amp;ROUNDUP(MONTH($B435)/3,0)</f>
        <v>Q2</v>
      </c>
      <c r="E435" s="61" t="n">
        <f aca="false">MONTH($B435)</f>
        <v>5</v>
      </c>
      <c r="F435" s="61" t="str">
        <f aca="false">INDEX(Parametros!$I$5:$I$16,$E435)</f>
        <v>May</v>
      </c>
      <c r="G435" s="61" t="str">
        <f aca="false">TEXT($C435,"0000")&amp;"-"&amp;TEXT($E435,"00")</f>
        <v>2024-05</v>
      </c>
      <c r="H435" s="61" t="str">
        <f aca="false">INDEX(Parametros!$C$71:$C$91,MATCH(TRIM(INDEX(Datos_Origen!$C$2:$C$2459,$Z435)),Parametros!$B$71:$B$91,0))</f>
        <v>Centro</v>
      </c>
      <c r="I435" s="61" t="str">
        <f aca="false">IF(TRIM($AD435)="",INDEX(Parametros!$I$20:$I$24,MATCH($H435,Parametros!$H$20:$H$24,0)),TRIM($AD435))</f>
        <v>Cordoba</v>
      </c>
      <c r="J435" s="61" t="str">
        <f aca="false">INDEX(Parametros!$C$95:$C$106,MATCH(TRIM(INDEX(Datos_Origen!$E$2:$E$2459,$Z435)),Parametros!$B$95:$B$106,0))</f>
        <v>E-commerce</v>
      </c>
      <c r="K435" s="61" t="str">
        <f aca="false">INDEX(Parametros!$C$48:$C$67,MATCH(TRIM(INDEX(Datos_Origen!$F$2:$F$2459,$Z435)),Parametros!$B$48:$B$67,0))</f>
        <v>Audio</v>
      </c>
      <c r="L435" s="61" t="str">
        <f aca="false">$K435&amp;" "&amp;$C435</f>
        <v>Audio 2024</v>
      </c>
      <c r="M435" s="61" t="str">
        <f aca="false">TRIM(INDEX(Datos_Origen!$G$2:$G$2459,$Z435))</f>
        <v>Auriculares BT Pro</v>
      </c>
      <c r="N435" s="61" t="str">
        <f aca="false">$M435&amp;" "&amp;$C435</f>
        <v>Auriculares BT Pro 2024</v>
      </c>
      <c r="O435" s="63" t="n">
        <f aca="false">IF(ISTEXT($AC435),VALUE($AC435),$AC435)</f>
        <v>11</v>
      </c>
      <c r="P435" s="64" t="n">
        <f aca="false">INDEX(Datos_Origen!$I$2:$I$2459,$Z435)</f>
        <v>117.6</v>
      </c>
      <c r="Q435" s="64" t="n">
        <f aca="false">INDEX(Datos_Origen!$J$2:$J$2459,$Z435)</f>
        <v>63.6</v>
      </c>
      <c r="R435" s="65" t="n">
        <f aca="false">ROUND($O435*$P435,2)</f>
        <v>1293.6</v>
      </c>
      <c r="S435" s="65" t="n">
        <f aca="false">ROUND($O435*$Q435,2)</f>
        <v>699.6</v>
      </c>
      <c r="T435" s="65" t="n">
        <f aca="false">ROUND($R435*SUMIFS(Parametros!$E$28:$E$43,Parametros!$B$28:$B$43,$J435,Parametros!$C$28:$C$43,$C435,Parametros!$D$28:$D$43,$D435),2)</f>
        <v>56.92</v>
      </c>
      <c r="U435" s="65" t="n">
        <f aca="false">$R435-$S435-$T435</f>
        <v>537.08</v>
      </c>
      <c r="V435" s="66" t="n">
        <f aca="false">IFERROR($U435/$R435,0)</f>
        <v>0.415182436611008</v>
      </c>
      <c r="W435" s="67" t="str">
        <f aca="false">IF(AND($V435&gt;=Parametros!$C$8,$R435&gt;=Parametros!$C$12),"Alta rentabilidad",IF(OR($V435&lt;Parametros!$C$11,$R435&lt;Parametros!$C$13),"Revisar","Estandar"))</f>
        <v>Estandar</v>
      </c>
      <c r="X435" s="67" t="str">
        <f aca="false">IF(AND($J435="E-commerce",IFERROR($T435/$R435,0)&gt;Parametros!$C$14),"Alerta","OK")</f>
        <v>OK</v>
      </c>
      <c r="Y435" s="61" t="str">
        <f aca="false">IF($R435&gt;=Parametros!$C$12,"Alto",IF($R435&lt;Parametros!$C$13,"Bajo","Medio"))</f>
        <v>Medio</v>
      </c>
      <c r="Z435" s="61" t="n">
        <v>120</v>
      </c>
      <c r="AA435" s="61" t="str">
        <f aca="false">IF(MATCH($A435,Datos_Origen!$A$2:$A$2459,0)=$Z435,"OK","REVISAR")</f>
        <v>OK</v>
      </c>
      <c r="AB435" s="62" t="n">
        <f aca="false">INDEX(Datos_Origen!$B$2:$B$2459,$Z435)</f>
        <v>45427</v>
      </c>
      <c r="AC435" s="61" t="n">
        <f aca="false">INDEX(Datos_Origen!$H$2:$H$2459,$Z435)</f>
        <v>11</v>
      </c>
      <c r="AD435" s="61" t="str">
        <f aca="false">INDEX(Datos_Origen!$D$2:$D$2459,$Z435)&amp;""</f>
        <v>Cordoba</v>
      </c>
    </row>
    <row r="436" customFormat="false" ht="15" hidden="false" customHeight="false" outlineLevel="0" collapsed="false">
      <c r="A436" s="61" t="n">
        <f aca="false">INDEX(Datos_Origen!$A$2:$A$2459,$Z436)</f>
        <v>435</v>
      </c>
      <c r="B436" s="62" t="n">
        <f aca="false">IF(ISNUMBER($AB436),$AB436,IF(MID($AB436,5,1)="-",DATE(VALUE(LEFT($AB436,4)),VALUE(MID($AB436,6,2)),VALUE(RIGHT($AB436,2))),DATE(VALUE(RIGHT($AB436,4)),VALUE(MID($AB436,4,2)),VALUE(LEFT($AB436,2)))))</f>
        <v>45434</v>
      </c>
      <c r="C436" s="61" t="n">
        <f aca="false">YEAR($B436)</f>
        <v>2024</v>
      </c>
      <c r="D436" s="61" t="str">
        <f aca="false">"Q"&amp;ROUNDUP(MONTH($B436)/3,0)</f>
        <v>Q2</v>
      </c>
      <c r="E436" s="61" t="n">
        <f aca="false">MONTH($B436)</f>
        <v>5</v>
      </c>
      <c r="F436" s="61" t="str">
        <f aca="false">INDEX(Parametros!$I$5:$I$16,$E436)</f>
        <v>May</v>
      </c>
      <c r="G436" s="61" t="str">
        <f aca="false">TEXT($C436,"0000")&amp;"-"&amp;TEXT($E436,"00")</f>
        <v>2024-05</v>
      </c>
      <c r="H436" s="61" t="str">
        <f aca="false">INDEX(Parametros!$C$71:$C$91,MATCH(TRIM(INDEX(Datos_Origen!$C$2:$C$2459,$Z436)),Parametros!$B$71:$B$91,0))</f>
        <v>Centro</v>
      </c>
      <c r="I436" s="61" t="str">
        <f aca="false">IF(TRIM($AD436)="",INDEX(Parametros!$I$20:$I$24,MATCH($H436,Parametros!$H$20:$H$24,0)),TRIM($AD436))</f>
        <v>Cordoba</v>
      </c>
      <c r="J436" s="61" t="str">
        <f aca="false">INDEX(Parametros!$C$95:$C$106,MATCH(TRIM(INDEX(Datos_Origen!$E$2:$E$2459,$Z436)),Parametros!$B$95:$B$106,0))</f>
        <v>Tienda fisica</v>
      </c>
      <c r="K436" s="61" t="str">
        <f aca="false">INDEX(Parametros!$C$48:$C$67,MATCH(TRIM(INDEX(Datos_Origen!$F$2:$F$2459,$Z436)),Parametros!$B$48:$B$67,0))</f>
        <v>Audio</v>
      </c>
      <c r="L436" s="61" t="str">
        <f aca="false">$K436&amp;" "&amp;$C436</f>
        <v>Audio 2024</v>
      </c>
      <c r="M436" s="61" t="str">
        <f aca="false">TRIM(INDEX(Datos_Origen!$G$2:$G$2459,$Z436))</f>
        <v>Parlante Bluetooth</v>
      </c>
      <c r="N436" s="61" t="str">
        <f aca="false">$M436&amp;" "&amp;$C436</f>
        <v>Parlante Bluetooth 2024</v>
      </c>
      <c r="O436" s="63" t="n">
        <f aca="false">IF(ISTEXT($AC436),VALUE($AC436),$AC436)</f>
        <v>30</v>
      </c>
      <c r="P436" s="64" t="n">
        <f aca="false">INDEX(Datos_Origen!$I$2:$I$2459,$Z436)</f>
        <v>83.3</v>
      </c>
      <c r="Q436" s="64" t="n">
        <f aca="false">INDEX(Datos_Origen!$J$2:$J$2459,$Z436)</f>
        <v>48.03</v>
      </c>
      <c r="R436" s="65" t="n">
        <f aca="false">ROUND($O436*$P436,2)</f>
        <v>2499</v>
      </c>
      <c r="S436" s="65" t="n">
        <f aca="false">ROUND($O436*$Q436,2)</f>
        <v>1440.9</v>
      </c>
      <c r="T436" s="65" t="n">
        <f aca="false">ROUND($R436*SUMIFS(Parametros!$E$28:$E$43,Parametros!$B$28:$B$43,$J436,Parametros!$C$28:$C$43,$C436,Parametros!$D$28:$D$43,$D436),2)</f>
        <v>29.99</v>
      </c>
      <c r="U436" s="65" t="n">
        <f aca="false">$R436-$S436-$T436</f>
        <v>1028.11</v>
      </c>
      <c r="V436" s="66" t="n">
        <f aca="false">IFERROR($U436/$R436,0)</f>
        <v>0.41140856342537</v>
      </c>
      <c r="W436" s="67" t="str">
        <f aca="false">IF(AND($V436&gt;=Parametros!$C$8,$R436&gt;=Parametros!$C$12),"Alta rentabilidad",IF(OR($V436&lt;Parametros!$C$11,$R436&lt;Parametros!$C$13),"Revisar","Estandar"))</f>
        <v>Estandar</v>
      </c>
      <c r="X436" s="67" t="str">
        <f aca="false">IF(AND($J436="E-commerce",IFERROR($T436/$R436,0)&gt;Parametros!$C$14),"Alerta","OK")</f>
        <v>OK</v>
      </c>
      <c r="Y436" s="61" t="str">
        <f aca="false">IF($R436&gt;=Parametros!$C$12,"Alto",IF($R436&lt;Parametros!$C$13,"Bajo","Medio"))</f>
        <v>Medio</v>
      </c>
      <c r="Z436" s="61" t="n">
        <v>252</v>
      </c>
      <c r="AA436" s="61" t="str">
        <f aca="false">IF(MATCH($A436,Datos_Origen!$A$2:$A$2459,0)=$Z436,"OK","REVISAR")</f>
        <v>OK</v>
      </c>
      <c r="AB436" s="62" t="n">
        <f aca="false">INDEX(Datos_Origen!$B$2:$B$2459,$Z436)</f>
        <v>45434</v>
      </c>
      <c r="AC436" s="61" t="n">
        <f aca="false">INDEX(Datos_Origen!$H$2:$H$2459,$Z436)</f>
        <v>30</v>
      </c>
      <c r="AD436" s="61" t="str">
        <f aca="false">INDEX(Datos_Origen!$D$2:$D$2459,$Z436)&amp;""</f>
        <v/>
      </c>
    </row>
    <row r="437" customFormat="false" ht="15" hidden="false" customHeight="false" outlineLevel="0" collapsed="false">
      <c r="A437" s="61" t="n">
        <f aca="false">INDEX(Datos_Origen!$A$2:$A$2459,$Z437)</f>
        <v>436</v>
      </c>
      <c r="B437" s="62" t="n">
        <f aca="false">IF(ISNUMBER($AB437),$AB437,IF(MID($AB437,5,1)="-",DATE(VALUE(LEFT($AB437,4)),VALUE(MID($AB437,6,2)),VALUE(RIGHT($AB437,2))),DATE(VALUE(RIGHT($AB437,4)),VALUE(MID($AB437,4,2)),VALUE(LEFT($AB437,2)))))</f>
        <v>45414</v>
      </c>
      <c r="C437" s="61" t="n">
        <f aca="false">YEAR($B437)</f>
        <v>2024</v>
      </c>
      <c r="D437" s="61" t="str">
        <f aca="false">"Q"&amp;ROUNDUP(MONTH($B437)/3,0)</f>
        <v>Q2</v>
      </c>
      <c r="E437" s="61" t="n">
        <f aca="false">MONTH($B437)</f>
        <v>5</v>
      </c>
      <c r="F437" s="61" t="str">
        <f aca="false">INDEX(Parametros!$I$5:$I$16,$E437)</f>
        <v>May</v>
      </c>
      <c r="G437" s="61" t="str">
        <f aca="false">TEXT($C437,"0000")&amp;"-"&amp;TEXT($E437,"00")</f>
        <v>2024-05</v>
      </c>
      <c r="H437" s="61" t="str">
        <f aca="false">INDEX(Parametros!$C$71:$C$91,MATCH(TRIM(INDEX(Datos_Origen!$C$2:$C$2459,$Z437)),Parametros!$B$71:$B$91,0))</f>
        <v>Centro</v>
      </c>
      <c r="I437" s="61" t="str">
        <f aca="false">IF(TRIM($AD437)="",INDEX(Parametros!$I$20:$I$24,MATCH($H437,Parametros!$H$20:$H$24,0)),TRIM($AD437))</f>
        <v>Cordoba</v>
      </c>
      <c r="J437" s="61" t="str">
        <f aca="false">INDEX(Parametros!$C$95:$C$106,MATCH(TRIM(INDEX(Datos_Origen!$E$2:$E$2459,$Z437)),Parametros!$B$95:$B$106,0))</f>
        <v>E-commerce</v>
      </c>
      <c r="K437" s="61" t="str">
        <f aca="false">INDEX(Parametros!$C$48:$C$67,MATCH(TRIM(INDEX(Datos_Origen!$F$2:$F$2459,$Z437)),Parametros!$B$48:$B$67,0))</f>
        <v>Audio</v>
      </c>
      <c r="L437" s="61" t="str">
        <f aca="false">$K437&amp;" "&amp;$C437</f>
        <v>Audio 2024</v>
      </c>
      <c r="M437" s="61" t="str">
        <f aca="false">TRIM(INDEX(Datos_Origen!$G$2:$G$2459,$Z437))</f>
        <v>Parlante Bluetooth</v>
      </c>
      <c r="N437" s="61" t="str">
        <f aca="false">$M437&amp;" "&amp;$C437</f>
        <v>Parlante Bluetooth 2024</v>
      </c>
      <c r="O437" s="63" t="n">
        <f aca="false">IF(ISTEXT($AC437),VALUE($AC437),$AC437)</f>
        <v>9</v>
      </c>
      <c r="P437" s="64" t="n">
        <f aca="false">INDEX(Datos_Origen!$I$2:$I$2459,$Z437)</f>
        <v>83.3</v>
      </c>
      <c r="Q437" s="64" t="n">
        <f aca="false">INDEX(Datos_Origen!$J$2:$J$2459,$Z437)</f>
        <v>48.03</v>
      </c>
      <c r="R437" s="65" t="n">
        <f aca="false">ROUND($O437*$P437,2)</f>
        <v>749.7</v>
      </c>
      <c r="S437" s="65" t="n">
        <f aca="false">ROUND($O437*$Q437,2)</f>
        <v>432.27</v>
      </c>
      <c r="T437" s="65" t="n">
        <f aca="false">ROUND($R437*SUMIFS(Parametros!$E$28:$E$43,Parametros!$B$28:$B$43,$J437,Parametros!$C$28:$C$43,$C437,Parametros!$D$28:$D$43,$D437),2)</f>
        <v>32.99</v>
      </c>
      <c r="U437" s="65" t="n">
        <f aca="false">$R437-$S437-$T437</f>
        <v>284.44</v>
      </c>
      <c r="V437" s="66" t="n">
        <f aca="false">IFERROR($U437/$R437,0)</f>
        <v>0.379405095371482</v>
      </c>
      <c r="W437" s="67" t="str">
        <f aca="false">IF(AND($V437&gt;=Parametros!$C$8,$R437&gt;=Parametros!$C$12),"Alta rentabilidad",IF(OR($V437&lt;Parametros!$C$11,$R437&lt;Parametros!$C$13),"Revisar","Estandar"))</f>
        <v>Estandar</v>
      </c>
      <c r="X437" s="67" t="str">
        <f aca="false">IF(AND($J437="E-commerce",IFERROR($T437/$R437,0)&gt;Parametros!$C$14),"Alerta","OK")</f>
        <v>OK</v>
      </c>
      <c r="Y437" s="61" t="str">
        <f aca="false">IF($R437&gt;=Parametros!$C$12,"Alto",IF($R437&lt;Parametros!$C$13,"Bajo","Medio"))</f>
        <v>Medio</v>
      </c>
      <c r="Z437" s="61" t="n">
        <v>1316</v>
      </c>
      <c r="AA437" s="61" t="str">
        <f aca="false">IF(MATCH($A437,Datos_Origen!$A$2:$A$2459,0)=$Z437,"OK","REVISAR")</f>
        <v>OK</v>
      </c>
      <c r="AB437" s="61" t="str">
        <f aca="false">INDEX(Datos_Origen!$B$2:$B$2459,$Z437)</f>
        <v>2024-05-02</v>
      </c>
      <c r="AC437" s="61" t="n">
        <f aca="false">INDEX(Datos_Origen!$H$2:$H$2459,$Z437)</f>
        <v>9</v>
      </c>
      <c r="AD437" s="61" t="str">
        <f aca="false">INDEX(Datos_Origen!$D$2:$D$2459,$Z437)&amp;""</f>
        <v>Cordoba</v>
      </c>
    </row>
    <row r="438" customFormat="false" ht="15" hidden="false" customHeight="false" outlineLevel="0" collapsed="false">
      <c r="A438" s="61" t="n">
        <f aca="false">INDEX(Datos_Origen!$A$2:$A$2459,$Z438)</f>
        <v>437</v>
      </c>
      <c r="B438" s="62" t="n">
        <f aca="false">IF(ISNUMBER($AB438),$AB438,IF(MID($AB438,5,1)="-",DATE(VALUE(LEFT($AB438,4)),VALUE(MID($AB438,6,2)),VALUE(RIGHT($AB438,2))),DATE(VALUE(RIGHT($AB438,4)),VALUE(MID($AB438,4,2)),VALUE(LEFT($AB438,2)))))</f>
        <v>45421</v>
      </c>
      <c r="C438" s="61" t="n">
        <f aca="false">YEAR($B438)</f>
        <v>2024</v>
      </c>
      <c r="D438" s="61" t="str">
        <f aca="false">"Q"&amp;ROUNDUP(MONTH($B438)/3,0)</f>
        <v>Q2</v>
      </c>
      <c r="E438" s="61" t="n">
        <f aca="false">MONTH($B438)</f>
        <v>5</v>
      </c>
      <c r="F438" s="61" t="str">
        <f aca="false">INDEX(Parametros!$I$5:$I$16,$E438)</f>
        <v>May</v>
      </c>
      <c r="G438" s="61" t="str">
        <f aca="false">TEXT($C438,"0000")&amp;"-"&amp;TEXT($E438,"00")</f>
        <v>2024-05</v>
      </c>
      <c r="H438" s="61" t="str">
        <f aca="false">INDEX(Parametros!$C$71:$C$91,MATCH(TRIM(INDEX(Datos_Origen!$C$2:$C$2459,$Z438)),Parametros!$B$71:$B$91,0))</f>
        <v>Centro</v>
      </c>
      <c r="I438" s="61" t="str">
        <f aca="false">IF(TRIM($AD438)="",INDEX(Parametros!$I$20:$I$24,MATCH($H438,Parametros!$H$20:$H$24,0)),TRIM($AD438))</f>
        <v>Cordoba</v>
      </c>
      <c r="J438" s="61" t="str">
        <f aca="false">INDEX(Parametros!$C$95:$C$106,MATCH(TRIM(INDEX(Datos_Origen!$E$2:$E$2459,$Z438)),Parametros!$B$95:$B$106,0))</f>
        <v>Tienda fisica</v>
      </c>
      <c r="K438" s="61" t="str">
        <f aca="false">INDEX(Parametros!$C$48:$C$67,MATCH(TRIM(INDEX(Datos_Origen!$F$2:$F$2459,$Z438)),Parametros!$B$48:$B$67,0))</f>
        <v>Almacenamiento</v>
      </c>
      <c r="L438" s="61" t="str">
        <f aca="false">$K438&amp;" "&amp;$C438</f>
        <v>Almacenamiento 2024</v>
      </c>
      <c r="M438" s="61" t="str">
        <f aca="false">TRIM(INDEX(Datos_Origen!$G$2:$G$2459,$Z438))</f>
        <v>SSD Externo 1TB</v>
      </c>
      <c r="N438" s="61" t="str">
        <f aca="false">$M438&amp;" "&amp;$C438</f>
        <v>SSD Externo 1TB 2024</v>
      </c>
      <c r="O438" s="63" t="n">
        <f aca="false">IF(ISTEXT($AC438),VALUE($AC438),$AC438)</f>
        <v>32</v>
      </c>
      <c r="P438" s="64" t="n">
        <f aca="false">INDEX(Datos_Origen!$I$2:$I$2459,$Z438)</f>
        <v>127.4</v>
      </c>
      <c r="Q438" s="64" t="n">
        <f aca="false">INDEX(Datos_Origen!$J$2:$J$2459,$Z438)</f>
        <v>76.05</v>
      </c>
      <c r="R438" s="65" t="n">
        <f aca="false">ROUND($O438*$P438,2)</f>
        <v>4076.8</v>
      </c>
      <c r="S438" s="65" t="n">
        <f aca="false">ROUND($O438*$Q438,2)</f>
        <v>2433.6</v>
      </c>
      <c r="T438" s="65" t="n">
        <f aca="false">ROUND($R438*SUMIFS(Parametros!$E$28:$E$43,Parametros!$B$28:$B$43,$J438,Parametros!$C$28:$C$43,$C438,Parametros!$D$28:$D$43,$D438),2)</f>
        <v>48.92</v>
      </c>
      <c r="U438" s="65" t="n">
        <f aca="false">$R438-$S438-$T438</f>
        <v>1594.28</v>
      </c>
      <c r="V438" s="66" t="n">
        <f aca="false">IFERROR($U438/$R438,0)</f>
        <v>0.391061616954474</v>
      </c>
      <c r="W438" s="67" t="str">
        <f aca="false">IF(AND($V438&gt;=Parametros!$C$8,$R438&gt;=Parametros!$C$12),"Alta rentabilidad",IF(OR($V438&lt;Parametros!$C$11,$R438&lt;Parametros!$C$13),"Revisar","Estandar"))</f>
        <v>Alta rentabilidad</v>
      </c>
      <c r="X438" s="67" t="str">
        <f aca="false">IF(AND($J438="E-commerce",IFERROR($T438/$R438,0)&gt;Parametros!$C$14),"Alerta","OK")</f>
        <v>OK</v>
      </c>
      <c r="Y438" s="61" t="str">
        <f aca="false">IF($R438&gt;=Parametros!$C$12,"Alto",IF($R438&lt;Parametros!$C$13,"Bajo","Medio"))</f>
        <v>Alto</v>
      </c>
      <c r="Z438" s="61" t="n">
        <v>1033</v>
      </c>
      <c r="AA438" s="61" t="str">
        <f aca="false">IF(MATCH($A438,Datos_Origen!$A$2:$A$2459,0)=$Z438,"OK","REVISAR")</f>
        <v>OK</v>
      </c>
      <c r="AB438" s="62" t="n">
        <f aca="false">INDEX(Datos_Origen!$B$2:$B$2459,$Z438)</f>
        <v>45421</v>
      </c>
      <c r="AC438" s="61" t="str">
        <f aca="false">INDEX(Datos_Origen!$H$2:$H$2459,$Z438)</f>
        <v>32</v>
      </c>
      <c r="AD438" s="61" t="str">
        <f aca="false">INDEX(Datos_Origen!$D$2:$D$2459,$Z438)&amp;""</f>
        <v>Cordoba</v>
      </c>
    </row>
    <row r="439" customFormat="false" ht="15" hidden="false" customHeight="false" outlineLevel="0" collapsed="false">
      <c r="A439" s="61" t="n">
        <f aca="false">INDEX(Datos_Origen!$A$2:$A$2459,$Z439)</f>
        <v>438</v>
      </c>
      <c r="B439" s="62" t="n">
        <f aca="false">IF(ISNUMBER($AB439),$AB439,IF(MID($AB439,5,1)="-",DATE(VALUE(LEFT($AB439,4)),VALUE(MID($AB439,6,2)),VALUE(RIGHT($AB439,2))),DATE(VALUE(RIGHT($AB439,4)),VALUE(MID($AB439,4,2)),VALUE(LEFT($AB439,2)))))</f>
        <v>45428</v>
      </c>
      <c r="C439" s="61" t="n">
        <f aca="false">YEAR($B439)</f>
        <v>2024</v>
      </c>
      <c r="D439" s="61" t="str">
        <f aca="false">"Q"&amp;ROUNDUP(MONTH($B439)/3,0)</f>
        <v>Q2</v>
      </c>
      <c r="E439" s="61" t="n">
        <f aca="false">MONTH($B439)</f>
        <v>5</v>
      </c>
      <c r="F439" s="61" t="str">
        <f aca="false">INDEX(Parametros!$I$5:$I$16,$E439)</f>
        <v>May</v>
      </c>
      <c r="G439" s="61" t="str">
        <f aca="false">TEXT($C439,"0000")&amp;"-"&amp;TEXT($E439,"00")</f>
        <v>2024-05</v>
      </c>
      <c r="H439" s="61" t="str">
        <f aca="false">INDEX(Parametros!$C$71:$C$91,MATCH(TRIM(INDEX(Datos_Origen!$C$2:$C$2459,$Z439)),Parametros!$B$71:$B$91,0))</f>
        <v>Centro</v>
      </c>
      <c r="I439" s="61" t="str">
        <f aca="false">IF(TRIM($AD439)="",INDEX(Parametros!$I$20:$I$24,MATCH($H439,Parametros!$H$20:$H$24,0)),TRIM($AD439))</f>
        <v>Cordoba</v>
      </c>
      <c r="J439" s="61" t="str">
        <f aca="false">INDEX(Parametros!$C$95:$C$106,MATCH(TRIM(INDEX(Datos_Origen!$E$2:$E$2459,$Z439)),Parametros!$B$95:$B$106,0))</f>
        <v>E-commerce</v>
      </c>
      <c r="K439" s="61" t="str">
        <f aca="false">INDEX(Parametros!$C$48:$C$67,MATCH(TRIM(INDEX(Datos_Origen!$F$2:$F$2459,$Z439)),Parametros!$B$48:$B$67,0))</f>
        <v>Almacenamiento</v>
      </c>
      <c r="L439" s="61" t="str">
        <f aca="false">$K439&amp;" "&amp;$C439</f>
        <v>Almacenamiento 2024</v>
      </c>
      <c r="M439" s="61" t="str">
        <f aca="false">TRIM(INDEX(Datos_Origen!$G$2:$G$2459,$Z439))</f>
        <v>SSD Externo 1TB</v>
      </c>
      <c r="N439" s="61" t="str">
        <f aca="false">$M439&amp;" "&amp;$C439</f>
        <v>SSD Externo 1TB 2024</v>
      </c>
      <c r="O439" s="63" t="n">
        <f aca="false">IF(ISTEXT($AC439),VALUE($AC439),$AC439)</f>
        <v>11</v>
      </c>
      <c r="P439" s="64" t="n">
        <f aca="false">INDEX(Datos_Origen!$I$2:$I$2459,$Z439)</f>
        <v>127.4</v>
      </c>
      <c r="Q439" s="64" t="n">
        <f aca="false">INDEX(Datos_Origen!$J$2:$J$2459,$Z439)</f>
        <v>76.05</v>
      </c>
      <c r="R439" s="65" t="n">
        <f aca="false">ROUND($O439*$P439,2)</f>
        <v>1401.4</v>
      </c>
      <c r="S439" s="65" t="n">
        <f aca="false">ROUND($O439*$Q439,2)</f>
        <v>836.55</v>
      </c>
      <c r="T439" s="65" t="n">
        <f aca="false">ROUND($R439*SUMIFS(Parametros!$E$28:$E$43,Parametros!$B$28:$B$43,$J439,Parametros!$C$28:$C$43,$C439,Parametros!$D$28:$D$43,$D439),2)</f>
        <v>61.66</v>
      </c>
      <c r="U439" s="65" t="n">
        <f aca="false">$R439-$S439-$T439</f>
        <v>503.19</v>
      </c>
      <c r="V439" s="66" t="n">
        <f aca="false">IFERROR($U439/$R439,0)</f>
        <v>0.359062366205223</v>
      </c>
      <c r="W439" s="67" t="str">
        <f aca="false">IF(AND($V439&gt;=Parametros!$C$8,$R439&gt;=Parametros!$C$12),"Alta rentabilidad",IF(OR($V439&lt;Parametros!$C$11,$R439&lt;Parametros!$C$13),"Revisar","Estandar"))</f>
        <v>Estandar</v>
      </c>
      <c r="X439" s="67" t="str">
        <f aca="false">IF(AND($J439="E-commerce",IFERROR($T439/$R439,0)&gt;Parametros!$C$14),"Alerta","OK")</f>
        <v>OK</v>
      </c>
      <c r="Y439" s="61" t="str">
        <f aca="false">IF($R439&gt;=Parametros!$C$12,"Alto",IF($R439&lt;Parametros!$C$13,"Bajo","Medio"))</f>
        <v>Medio</v>
      </c>
      <c r="Z439" s="61" t="n">
        <v>640</v>
      </c>
      <c r="AA439" s="61" t="str">
        <f aca="false">IF(MATCH($A439,Datos_Origen!$A$2:$A$2459,0)=$Z439,"OK","REVISAR")</f>
        <v>OK</v>
      </c>
      <c r="AB439" s="62" t="n">
        <f aca="false">INDEX(Datos_Origen!$B$2:$B$2459,$Z439)</f>
        <v>45428</v>
      </c>
      <c r="AC439" s="61" t="n">
        <f aca="false">INDEX(Datos_Origen!$H$2:$H$2459,$Z439)</f>
        <v>11</v>
      </c>
      <c r="AD439" s="61" t="str">
        <f aca="false">INDEX(Datos_Origen!$D$2:$D$2459,$Z439)&amp;""</f>
        <v>Cordoba</v>
      </c>
    </row>
    <row r="440" customFormat="false" ht="15" hidden="false" customHeight="false" outlineLevel="0" collapsed="false">
      <c r="A440" s="61" t="n">
        <f aca="false">INDEX(Datos_Origen!$A$2:$A$2459,$Z440)</f>
        <v>439</v>
      </c>
      <c r="B440" s="62" t="n">
        <f aca="false">IF(ISNUMBER($AB440),$AB440,IF(MID($AB440,5,1)="-",DATE(VALUE(LEFT($AB440,4)),VALUE(MID($AB440,6,2)),VALUE(RIGHT($AB440,2))),DATE(VALUE(RIGHT($AB440,4)),VALUE(MID($AB440,4,2)),VALUE(LEFT($AB440,2)))))</f>
        <v>45435</v>
      </c>
      <c r="C440" s="61" t="n">
        <f aca="false">YEAR($B440)</f>
        <v>2024</v>
      </c>
      <c r="D440" s="61" t="str">
        <f aca="false">"Q"&amp;ROUNDUP(MONTH($B440)/3,0)</f>
        <v>Q2</v>
      </c>
      <c r="E440" s="61" t="n">
        <f aca="false">MONTH($B440)</f>
        <v>5</v>
      </c>
      <c r="F440" s="61" t="str">
        <f aca="false">INDEX(Parametros!$I$5:$I$16,$E440)</f>
        <v>May</v>
      </c>
      <c r="G440" s="61" t="str">
        <f aca="false">TEXT($C440,"0000")&amp;"-"&amp;TEXT($E440,"00")</f>
        <v>2024-05</v>
      </c>
      <c r="H440" s="61" t="str">
        <f aca="false">INDEX(Parametros!$C$71:$C$91,MATCH(TRIM(INDEX(Datos_Origen!$C$2:$C$2459,$Z440)),Parametros!$B$71:$B$91,0))</f>
        <v>Centro</v>
      </c>
      <c r="I440" s="61" t="str">
        <f aca="false">IF(TRIM($AD440)="",INDEX(Parametros!$I$20:$I$24,MATCH($H440,Parametros!$H$20:$H$24,0)),TRIM($AD440))</f>
        <v>Cordoba</v>
      </c>
      <c r="J440" s="61" t="str">
        <f aca="false">INDEX(Parametros!$C$95:$C$106,MATCH(TRIM(INDEX(Datos_Origen!$E$2:$E$2459,$Z440)),Parametros!$B$95:$B$106,0))</f>
        <v>Tienda fisica</v>
      </c>
      <c r="K440" s="61" t="str">
        <f aca="false">INDEX(Parametros!$C$48:$C$67,MATCH(TRIM(INDEX(Datos_Origen!$F$2:$F$2459,$Z440)),Parametros!$B$48:$B$67,0))</f>
        <v>Almacenamiento</v>
      </c>
      <c r="L440" s="61" t="str">
        <f aca="false">$K440&amp;" "&amp;$C440</f>
        <v>Almacenamiento 2024</v>
      </c>
      <c r="M440" s="61" t="str">
        <f aca="false">TRIM(INDEX(Datos_Origen!$G$2:$G$2459,$Z440))</f>
        <v>Pendrive 256GB</v>
      </c>
      <c r="N440" s="61" t="str">
        <f aca="false">$M440&amp;" "&amp;$C440</f>
        <v>Pendrive 256GB 2024</v>
      </c>
      <c r="O440" s="63" t="n">
        <f aca="false">IF(ISTEXT($AC440),VALUE($AC440),$AC440)</f>
        <v>30</v>
      </c>
      <c r="P440" s="64" t="n">
        <f aca="false">INDEX(Datos_Origen!$I$2:$I$2459,$Z440)</f>
        <v>34.3</v>
      </c>
      <c r="Q440" s="64" t="n">
        <f aca="false">INDEX(Datos_Origen!$J$2:$J$2459,$Z440)</f>
        <v>17.85</v>
      </c>
      <c r="R440" s="65" t="n">
        <f aca="false">ROUND($O440*$P440,2)</f>
        <v>1029</v>
      </c>
      <c r="S440" s="65" t="n">
        <f aca="false">ROUND($O440*$Q440,2)</f>
        <v>535.5</v>
      </c>
      <c r="T440" s="65" t="n">
        <f aca="false">ROUND($R440*SUMIFS(Parametros!$E$28:$E$43,Parametros!$B$28:$B$43,$J440,Parametros!$C$28:$C$43,$C440,Parametros!$D$28:$D$43,$D440),2)</f>
        <v>12.35</v>
      </c>
      <c r="U440" s="65" t="n">
        <f aca="false">$R440-$S440-$T440</f>
        <v>481.15</v>
      </c>
      <c r="V440" s="66" t="n">
        <f aca="false">IFERROR($U440/$R440,0)</f>
        <v>0.467589893100097</v>
      </c>
      <c r="W440" s="67" t="str">
        <f aca="false">IF(AND($V440&gt;=Parametros!$C$8,$R440&gt;=Parametros!$C$12),"Alta rentabilidad",IF(OR($V440&lt;Parametros!$C$11,$R440&lt;Parametros!$C$13),"Revisar","Estandar"))</f>
        <v>Estandar</v>
      </c>
      <c r="X440" s="67" t="str">
        <f aca="false">IF(AND($J440="E-commerce",IFERROR($T440/$R440,0)&gt;Parametros!$C$14),"Alerta","OK")</f>
        <v>OK</v>
      </c>
      <c r="Y440" s="61" t="str">
        <f aca="false">IF($R440&gt;=Parametros!$C$12,"Alto",IF($R440&lt;Parametros!$C$13,"Bajo","Medio"))</f>
        <v>Medio</v>
      </c>
      <c r="Z440" s="61" t="n">
        <v>105</v>
      </c>
      <c r="AA440" s="61" t="str">
        <f aca="false">IF(MATCH($A440,Datos_Origen!$A$2:$A$2459,0)=$Z440,"OK","REVISAR")</f>
        <v>OK</v>
      </c>
      <c r="AB440" s="61" t="str">
        <f aca="false">INDEX(Datos_Origen!$B$2:$B$2459,$Z440)</f>
        <v>23/05/2024</v>
      </c>
      <c r="AC440" s="61" t="n">
        <f aca="false">INDEX(Datos_Origen!$H$2:$H$2459,$Z440)</f>
        <v>30</v>
      </c>
      <c r="AD440" s="61" t="str">
        <f aca="false">INDEX(Datos_Origen!$D$2:$D$2459,$Z440)&amp;""</f>
        <v>Cordoba</v>
      </c>
    </row>
    <row r="441" customFormat="false" ht="15" hidden="false" customHeight="false" outlineLevel="0" collapsed="false">
      <c r="A441" s="61" t="n">
        <f aca="false">INDEX(Datos_Origen!$A$2:$A$2459,$Z441)</f>
        <v>440</v>
      </c>
      <c r="B441" s="62" t="n">
        <f aca="false">IF(ISNUMBER($AB441),$AB441,IF(MID($AB441,5,1)="-",DATE(VALUE(LEFT($AB441,4)),VALUE(MID($AB441,6,2)),VALUE(RIGHT($AB441,2))),DATE(VALUE(RIGHT($AB441,4)),VALUE(MID($AB441,4,2)),VALUE(LEFT($AB441,2)))))</f>
        <v>45415</v>
      </c>
      <c r="C441" s="61" t="n">
        <f aca="false">YEAR($B441)</f>
        <v>2024</v>
      </c>
      <c r="D441" s="61" t="str">
        <f aca="false">"Q"&amp;ROUNDUP(MONTH($B441)/3,0)</f>
        <v>Q2</v>
      </c>
      <c r="E441" s="61" t="n">
        <f aca="false">MONTH($B441)</f>
        <v>5</v>
      </c>
      <c r="F441" s="61" t="str">
        <f aca="false">INDEX(Parametros!$I$5:$I$16,$E441)</f>
        <v>May</v>
      </c>
      <c r="G441" s="61" t="str">
        <f aca="false">TEXT($C441,"0000")&amp;"-"&amp;TEXT($E441,"00")</f>
        <v>2024-05</v>
      </c>
      <c r="H441" s="61" t="str">
        <f aca="false">INDEX(Parametros!$C$71:$C$91,MATCH(TRIM(INDEX(Datos_Origen!$C$2:$C$2459,$Z441)),Parametros!$B$71:$B$91,0))</f>
        <v>Centro</v>
      </c>
      <c r="I441" s="61" t="str">
        <f aca="false">IF(TRIM($AD441)="",INDEX(Parametros!$I$20:$I$24,MATCH($H441,Parametros!$H$20:$H$24,0)),TRIM($AD441))</f>
        <v>Cordoba</v>
      </c>
      <c r="J441" s="61" t="str">
        <f aca="false">INDEX(Parametros!$C$95:$C$106,MATCH(TRIM(INDEX(Datos_Origen!$E$2:$E$2459,$Z441)),Parametros!$B$95:$B$106,0))</f>
        <v>E-commerce</v>
      </c>
      <c r="K441" s="61" t="str">
        <f aca="false">INDEX(Parametros!$C$48:$C$67,MATCH(TRIM(INDEX(Datos_Origen!$F$2:$F$2459,$Z441)),Parametros!$B$48:$B$67,0))</f>
        <v>Almacenamiento</v>
      </c>
      <c r="L441" s="61" t="str">
        <f aca="false">$K441&amp;" "&amp;$C441</f>
        <v>Almacenamiento 2024</v>
      </c>
      <c r="M441" s="61" t="str">
        <f aca="false">TRIM(INDEX(Datos_Origen!$G$2:$G$2459,$Z441))</f>
        <v>Pendrive 256GB</v>
      </c>
      <c r="N441" s="61" t="str">
        <f aca="false">$M441&amp;" "&amp;$C441</f>
        <v>Pendrive 256GB 2024</v>
      </c>
      <c r="O441" s="63" t="n">
        <f aca="false">IF(ISTEXT($AC441),VALUE($AC441),$AC441)</f>
        <v>12</v>
      </c>
      <c r="P441" s="64" t="n">
        <f aca="false">INDEX(Datos_Origen!$I$2:$I$2459,$Z441)</f>
        <v>34.3</v>
      </c>
      <c r="Q441" s="64" t="n">
        <f aca="false">INDEX(Datos_Origen!$J$2:$J$2459,$Z441)</f>
        <v>17.85</v>
      </c>
      <c r="R441" s="65" t="n">
        <f aca="false">ROUND($O441*$P441,2)</f>
        <v>411.6</v>
      </c>
      <c r="S441" s="65" t="n">
        <f aca="false">ROUND($O441*$Q441,2)</f>
        <v>214.2</v>
      </c>
      <c r="T441" s="65" t="n">
        <f aca="false">ROUND($R441*SUMIFS(Parametros!$E$28:$E$43,Parametros!$B$28:$B$43,$J441,Parametros!$C$28:$C$43,$C441,Parametros!$D$28:$D$43,$D441),2)</f>
        <v>18.11</v>
      </c>
      <c r="U441" s="65" t="n">
        <f aca="false">$R441-$S441-$T441</f>
        <v>179.29</v>
      </c>
      <c r="V441" s="66" t="n">
        <f aca="false">IFERROR($U441/$R441,0)</f>
        <v>0.435592808551992</v>
      </c>
      <c r="W441" s="67" t="str">
        <f aca="false">IF(AND($V441&gt;=Parametros!$C$8,$R441&gt;=Parametros!$C$12),"Alta rentabilidad",IF(OR($V441&lt;Parametros!$C$11,$R441&lt;Parametros!$C$13),"Revisar","Estandar"))</f>
        <v>Estandar</v>
      </c>
      <c r="X441" s="67" t="str">
        <f aca="false">IF(AND($J441="E-commerce",IFERROR($T441/$R441,0)&gt;Parametros!$C$14),"Alerta","OK")</f>
        <v>OK</v>
      </c>
      <c r="Y441" s="61" t="str">
        <f aca="false">IF($R441&gt;=Parametros!$C$12,"Alto",IF($R441&lt;Parametros!$C$13,"Bajo","Medio"))</f>
        <v>Medio</v>
      </c>
      <c r="Z441" s="61" t="n">
        <v>1541</v>
      </c>
      <c r="AA441" s="61" t="str">
        <f aca="false">IF(MATCH($A441,Datos_Origen!$A$2:$A$2459,0)=$Z441,"OK","REVISAR")</f>
        <v>OK</v>
      </c>
      <c r="AB441" s="61" t="str">
        <f aca="false">INDEX(Datos_Origen!$B$2:$B$2459,$Z441)</f>
        <v>03/05/2024</v>
      </c>
      <c r="AC441" s="61" t="n">
        <f aca="false">INDEX(Datos_Origen!$H$2:$H$2459,$Z441)</f>
        <v>12</v>
      </c>
      <c r="AD441" s="61" t="str">
        <f aca="false">INDEX(Datos_Origen!$D$2:$D$2459,$Z441)&amp;""</f>
        <v>Cordoba</v>
      </c>
    </row>
    <row r="442" customFormat="false" ht="15" hidden="false" customHeight="false" outlineLevel="0" collapsed="false">
      <c r="A442" s="61" t="n">
        <f aca="false">INDEX(Datos_Origen!$A$2:$A$2459,$Z442)</f>
        <v>441</v>
      </c>
      <c r="B442" s="62" t="n">
        <f aca="false">IF(ISNUMBER($AB442),$AB442,IF(MID($AB442,5,1)="-",DATE(VALUE(LEFT($AB442,4)),VALUE(MID($AB442,6,2)),VALUE(RIGHT($AB442,2))),DATE(VALUE(RIGHT($AB442,4)),VALUE(MID($AB442,4,2)),VALUE(LEFT($AB442,2)))))</f>
        <v>45422</v>
      </c>
      <c r="C442" s="61" t="n">
        <f aca="false">YEAR($B442)</f>
        <v>2024</v>
      </c>
      <c r="D442" s="61" t="str">
        <f aca="false">"Q"&amp;ROUNDUP(MONTH($B442)/3,0)</f>
        <v>Q2</v>
      </c>
      <c r="E442" s="61" t="n">
        <f aca="false">MONTH($B442)</f>
        <v>5</v>
      </c>
      <c r="F442" s="61" t="str">
        <f aca="false">INDEX(Parametros!$I$5:$I$16,$E442)</f>
        <v>May</v>
      </c>
      <c r="G442" s="61" t="str">
        <f aca="false">TEXT($C442,"0000")&amp;"-"&amp;TEXT($E442,"00")</f>
        <v>2024-05</v>
      </c>
      <c r="H442" s="61" t="str">
        <f aca="false">INDEX(Parametros!$C$71:$C$91,MATCH(TRIM(INDEX(Datos_Origen!$C$2:$C$2459,$Z442)),Parametros!$B$71:$B$91,0))</f>
        <v>Litoral</v>
      </c>
      <c r="I442" s="61" t="str">
        <f aca="false">IF(TRIM($AD442)="",INDEX(Parametros!$I$20:$I$24,MATCH($H442,Parametros!$H$20:$H$24,0)),TRIM($AD442))</f>
        <v>Rosario</v>
      </c>
      <c r="J442" s="61" t="str">
        <f aca="false">INDEX(Parametros!$C$95:$C$106,MATCH(TRIM(INDEX(Datos_Origen!$E$2:$E$2459,$Z442)),Parametros!$B$95:$B$106,0))</f>
        <v>Tienda fisica</v>
      </c>
      <c r="K442" s="61" t="str">
        <f aca="false">INDEX(Parametros!$C$48:$C$67,MATCH(TRIM(INDEX(Datos_Origen!$F$2:$F$2459,$Z442)),Parametros!$B$48:$B$67,0))</f>
        <v>Computacion</v>
      </c>
      <c r="L442" s="61" t="str">
        <f aca="false">$K442&amp;" "&amp;$C442</f>
        <v>Computacion 2024</v>
      </c>
      <c r="M442" s="61" t="str">
        <f aca="false">TRIM(INDEX(Datos_Origen!$G$2:$G$2459,$Z442))</f>
        <v>Laptop Pro 15</v>
      </c>
      <c r="N442" s="61" t="str">
        <f aca="false">$M442&amp;" "&amp;$C442</f>
        <v>Laptop Pro 15 2024</v>
      </c>
      <c r="O442" s="63" t="n">
        <f aca="false">IF(ISTEXT($AC442),VALUE($AC442),$AC442)</f>
        <v>9</v>
      </c>
      <c r="P442" s="64" t="n">
        <f aca="false">INDEX(Datos_Origen!$I$2:$I$2459,$Z442)</f>
        <v>1176</v>
      </c>
      <c r="Q442" s="64" t="n">
        <f aca="false">INDEX(Datos_Origen!$J$2:$J$2459,$Z442)</f>
        <v>744</v>
      </c>
      <c r="R442" s="65" t="n">
        <f aca="false">ROUND($O442*$P442,2)</f>
        <v>10584</v>
      </c>
      <c r="S442" s="65" t="n">
        <f aca="false">ROUND($O442*$Q442,2)</f>
        <v>6696</v>
      </c>
      <c r="T442" s="65" t="n">
        <f aca="false">ROUND($R442*SUMIFS(Parametros!$E$28:$E$43,Parametros!$B$28:$B$43,$J442,Parametros!$C$28:$C$43,$C442,Parametros!$D$28:$D$43,$D442),2)</f>
        <v>127.01</v>
      </c>
      <c r="U442" s="65" t="n">
        <f aca="false">$R442-$S442-$T442</f>
        <v>3760.99</v>
      </c>
      <c r="V442" s="66" t="n">
        <f aca="false">IFERROR($U442/$R442,0)</f>
        <v>0.355346749811036</v>
      </c>
      <c r="W442" s="67" t="str">
        <f aca="false">IF(AND($V442&gt;=Parametros!$C$8,$R442&gt;=Parametros!$C$12),"Alta rentabilidad",IF(OR($V442&lt;Parametros!$C$11,$R442&lt;Parametros!$C$13),"Revisar","Estandar"))</f>
        <v>Alta rentabilidad</v>
      </c>
      <c r="X442" s="67" t="str">
        <f aca="false">IF(AND($J442="E-commerce",IFERROR($T442/$R442,0)&gt;Parametros!$C$14),"Alerta","OK")</f>
        <v>OK</v>
      </c>
      <c r="Y442" s="61" t="str">
        <f aca="false">IF($R442&gt;=Parametros!$C$12,"Alto",IF($R442&lt;Parametros!$C$13,"Bajo","Medio"))</f>
        <v>Alto</v>
      </c>
      <c r="Z442" s="61" t="n">
        <v>1138</v>
      </c>
      <c r="AA442" s="61" t="str">
        <f aca="false">IF(MATCH($A442,Datos_Origen!$A$2:$A$2459,0)=$Z442,"OK","REVISAR")</f>
        <v>OK</v>
      </c>
      <c r="AB442" s="62" t="n">
        <f aca="false">INDEX(Datos_Origen!$B$2:$B$2459,$Z442)</f>
        <v>45422</v>
      </c>
      <c r="AC442" s="61" t="n">
        <f aca="false">INDEX(Datos_Origen!$H$2:$H$2459,$Z442)</f>
        <v>9</v>
      </c>
      <c r="AD442" s="61" t="str">
        <f aca="false">INDEX(Datos_Origen!$D$2:$D$2459,$Z442)&amp;""</f>
        <v>Rosario</v>
      </c>
    </row>
    <row r="443" customFormat="false" ht="15" hidden="false" customHeight="false" outlineLevel="0" collapsed="false">
      <c r="A443" s="61" t="n">
        <f aca="false">INDEX(Datos_Origen!$A$2:$A$2459,$Z443)</f>
        <v>442</v>
      </c>
      <c r="B443" s="62" t="n">
        <f aca="false">IF(ISNUMBER($AB443),$AB443,IF(MID($AB443,5,1)="-",DATE(VALUE(LEFT($AB443,4)),VALUE(MID($AB443,6,2)),VALUE(RIGHT($AB443,2))),DATE(VALUE(RIGHT($AB443,4)),VALUE(MID($AB443,4,2)),VALUE(LEFT($AB443,2)))))</f>
        <v>45429</v>
      </c>
      <c r="C443" s="61" t="n">
        <f aca="false">YEAR($B443)</f>
        <v>2024</v>
      </c>
      <c r="D443" s="61" t="str">
        <f aca="false">"Q"&amp;ROUNDUP(MONTH($B443)/3,0)</f>
        <v>Q2</v>
      </c>
      <c r="E443" s="61" t="n">
        <f aca="false">MONTH($B443)</f>
        <v>5</v>
      </c>
      <c r="F443" s="61" t="str">
        <f aca="false">INDEX(Parametros!$I$5:$I$16,$E443)</f>
        <v>May</v>
      </c>
      <c r="G443" s="61" t="str">
        <f aca="false">TEXT($C443,"0000")&amp;"-"&amp;TEXT($E443,"00")</f>
        <v>2024-05</v>
      </c>
      <c r="H443" s="61" t="str">
        <f aca="false">INDEX(Parametros!$C$71:$C$91,MATCH(TRIM(INDEX(Datos_Origen!$C$2:$C$2459,$Z443)),Parametros!$B$71:$B$91,0))</f>
        <v>Litoral</v>
      </c>
      <c r="I443" s="61" t="str">
        <f aca="false">IF(TRIM($AD443)="",INDEX(Parametros!$I$20:$I$24,MATCH($H443,Parametros!$H$20:$H$24,0)),TRIM($AD443))</f>
        <v>Rosario</v>
      </c>
      <c r="J443" s="61" t="str">
        <f aca="false">INDEX(Parametros!$C$95:$C$106,MATCH(TRIM(INDEX(Datos_Origen!$E$2:$E$2459,$Z443)),Parametros!$B$95:$B$106,0))</f>
        <v>E-commerce</v>
      </c>
      <c r="K443" s="61" t="str">
        <f aca="false">INDEX(Parametros!$C$48:$C$67,MATCH(TRIM(INDEX(Datos_Origen!$F$2:$F$2459,$Z443)),Parametros!$B$48:$B$67,0))</f>
        <v>Computacion</v>
      </c>
      <c r="L443" s="61" t="str">
        <f aca="false">$K443&amp;" "&amp;$C443</f>
        <v>Computacion 2024</v>
      </c>
      <c r="M443" s="61" t="str">
        <f aca="false">TRIM(INDEX(Datos_Origen!$G$2:$G$2459,$Z443))</f>
        <v>Laptop Pro 15</v>
      </c>
      <c r="N443" s="61" t="str">
        <f aca="false">$M443&amp;" "&amp;$C443</f>
        <v>Laptop Pro 15 2024</v>
      </c>
      <c r="O443" s="63" t="n">
        <f aca="false">IF(ISTEXT($AC443),VALUE($AC443),$AC443)</f>
        <v>4</v>
      </c>
      <c r="P443" s="64" t="n">
        <f aca="false">INDEX(Datos_Origen!$I$2:$I$2459,$Z443)</f>
        <v>1176</v>
      </c>
      <c r="Q443" s="64" t="n">
        <f aca="false">INDEX(Datos_Origen!$J$2:$J$2459,$Z443)</f>
        <v>744</v>
      </c>
      <c r="R443" s="65" t="n">
        <f aca="false">ROUND($O443*$P443,2)</f>
        <v>4704</v>
      </c>
      <c r="S443" s="65" t="n">
        <f aca="false">ROUND($O443*$Q443,2)</f>
        <v>2976</v>
      </c>
      <c r="T443" s="65" t="n">
        <f aca="false">ROUND($R443*SUMIFS(Parametros!$E$28:$E$43,Parametros!$B$28:$B$43,$J443,Parametros!$C$28:$C$43,$C443,Parametros!$D$28:$D$43,$D443),2)</f>
        <v>206.98</v>
      </c>
      <c r="U443" s="65" t="n">
        <f aca="false">$R443-$S443-$T443</f>
        <v>1521.02</v>
      </c>
      <c r="V443" s="66" t="n">
        <f aca="false">IFERROR($U443/$R443,0)</f>
        <v>0.323346088435374</v>
      </c>
      <c r="W443" s="67" t="str">
        <f aca="false">IF(AND($V443&gt;=Parametros!$C$8,$R443&gt;=Parametros!$C$12),"Alta rentabilidad",IF(OR($V443&lt;Parametros!$C$11,$R443&lt;Parametros!$C$13),"Revisar","Estandar"))</f>
        <v>Estandar</v>
      </c>
      <c r="X443" s="67" t="str">
        <f aca="false">IF(AND($J443="E-commerce",IFERROR($T443/$R443,0)&gt;Parametros!$C$14),"Alerta","OK")</f>
        <v>OK</v>
      </c>
      <c r="Y443" s="61" t="str">
        <f aca="false">IF($R443&gt;=Parametros!$C$12,"Alto",IF($R443&lt;Parametros!$C$13,"Bajo","Medio"))</f>
        <v>Alto</v>
      </c>
      <c r="Z443" s="61" t="n">
        <v>2098</v>
      </c>
      <c r="AA443" s="61" t="str">
        <f aca="false">IF(MATCH($A443,Datos_Origen!$A$2:$A$2459,0)=$Z443,"OK","REVISAR")</f>
        <v>OK</v>
      </c>
      <c r="AB443" s="62" t="n">
        <f aca="false">INDEX(Datos_Origen!$B$2:$B$2459,$Z443)</f>
        <v>45429</v>
      </c>
      <c r="AC443" s="61" t="n">
        <f aca="false">INDEX(Datos_Origen!$H$2:$H$2459,$Z443)</f>
        <v>4</v>
      </c>
      <c r="AD443" s="61" t="str">
        <f aca="false">INDEX(Datos_Origen!$D$2:$D$2459,$Z443)&amp;""</f>
        <v>Rosario</v>
      </c>
    </row>
    <row r="444" customFormat="false" ht="15" hidden="false" customHeight="false" outlineLevel="0" collapsed="false">
      <c r="A444" s="61" t="n">
        <f aca="false">INDEX(Datos_Origen!$A$2:$A$2459,$Z444)</f>
        <v>443</v>
      </c>
      <c r="B444" s="62" t="n">
        <f aca="false">IF(ISNUMBER($AB444),$AB444,IF(MID($AB444,5,1)="-",DATE(VALUE(LEFT($AB444,4)),VALUE(MID($AB444,6,2)),VALUE(RIGHT($AB444,2))),DATE(VALUE(RIGHT($AB444,4)),VALUE(MID($AB444,4,2)),VALUE(LEFT($AB444,2)))))</f>
        <v>45436</v>
      </c>
      <c r="C444" s="61" t="n">
        <f aca="false">YEAR($B444)</f>
        <v>2024</v>
      </c>
      <c r="D444" s="61" t="str">
        <f aca="false">"Q"&amp;ROUNDUP(MONTH($B444)/3,0)</f>
        <v>Q2</v>
      </c>
      <c r="E444" s="61" t="n">
        <f aca="false">MONTH($B444)</f>
        <v>5</v>
      </c>
      <c r="F444" s="61" t="str">
        <f aca="false">INDEX(Parametros!$I$5:$I$16,$E444)</f>
        <v>May</v>
      </c>
      <c r="G444" s="61" t="str">
        <f aca="false">TEXT($C444,"0000")&amp;"-"&amp;TEXT($E444,"00")</f>
        <v>2024-05</v>
      </c>
      <c r="H444" s="61" t="str">
        <f aca="false">INDEX(Parametros!$C$71:$C$91,MATCH(TRIM(INDEX(Datos_Origen!$C$2:$C$2459,$Z444)),Parametros!$B$71:$B$91,0))</f>
        <v>Litoral</v>
      </c>
      <c r="I444" s="61" t="str">
        <f aca="false">IF(TRIM($AD444)="",INDEX(Parametros!$I$20:$I$24,MATCH($H444,Parametros!$H$20:$H$24,0)),TRIM($AD444))</f>
        <v>Rosario</v>
      </c>
      <c r="J444" s="61" t="str">
        <f aca="false">INDEX(Parametros!$C$95:$C$106,MATCH(TRIM(INDEX(Datos_Origen!$E$2:$E$2459,$Z444)),Parametros!$B$95:$B$106,0))</f>
        <v>Tienda fisica</v>
      </c>
      <c r="K444" s="61" t="str">
        <f aca="false">INDEX(Parametros!$C$48:$C$67,MATCH(TRIM(INDEX(Datos_Origen!$F$2:$F$2459,$Z444)),Parametros!$B$48:$B$67,0))</f>
        <v>Computacion</v>
      </c>
      <c r="L444" s="61" t="str">
        <f aca="false">$K444&amp;" "&amp;$C444</f>
        <v>Computacion 2024</v>
      </c>
      <c r="M444" s="61" t="str">
        <f aca="false">TRIM(INDEX(Datos_Origen!$G$2:$G$2459,$Z444))</f>
        <v>Monitor 4K 27</v>
      </c>
      <c r="N444" s="61" t="str">
        <f aca="false">$M444&amp;" "&amp;$C444</f>
        <v>Monitor 4K 27 2024</v>
      </c>
      <c r="O444" s="63" t="n">
        <f aca="false">IF(ISTEXT($AC444),VALUE($AC444),$AC444)</f>
        <v>9</v>
      </c>
      <c r="P444" s="64" t="n">
        <f aca="false">INDEX(Datos_Origen!$I$2:$I$2459,$Z444)</f>
        <v>441</v>
      </c>
      <c r="Q444" s="64" t="n">
        <f aca="false">INDEX(Datos_Origen!$J$2:$J$2459,$Z444)</f>
        <v>272.25</v>
      </c>
      <c r="R444" s="65" t="n">
        <f aca="false">ROUND($O444*$P444,2)</f>
        <v>3969</v>
      </c>
      <c r="S444" s="65" t="n">
        <f aca="false">ROUND($O444*$Q444,2)</f>
        <v>2450.25</v>
      </c>
      <c r="T444" s="65" t="n">
        <f aca="false">ROUND($R444*SUMIFS(Parametros!$E$28:$E$43,Parametros!$B$28:$B$43,$J444,Parametros!$C$28:$C$43,$C444,Parametros!$D$28:$D$43,$D444),2)</f>
        <v>47.63</v>
      </c>
      <c r="U444" s="65" t="n">
        <f aca="false">$R444-$S444-$T444</f>
        <v>1471.12</v>
      </c>
      <c r="V444" s="66" t="n">
        <f aca="false">IFERROR($U444/$R444,0)</f>
        <v>0.370652557319224</v>
      </c>
      <c r="W444" s="67" t="str">
        <f aca="false">IF(AND($V444&gt;=Parametros!$C$8,$R444&gt;=Parametros!$C$12),"Alta rentabilidad",IF(OR($V444&lt;Parametros!$C$11,$R444&lt;Parametros!$C$13),"Revisar","Estandar"))</f>
        <v>Alta rentabilidad</v>
      </c>
      <c r="X444" s="67" t="str">
        <f aca="false">IF(AND($J444="E-commerce",IFERROR($T444/$R444,0)&gt;Parametros!$C$14),"Alerta","OK")</f>
        <v>OK</v>
      </c>
      <c r="Y444" s="61" t="str">
        <f aca="false">IF($R444&gt;=Parametros!$C$12,"Alto",IF($R444&lt;Parametros!$C$13,"Bajo","Medio"))</f>
        <v>Alto</v>
      </c>
      <c r="Z444" s="61" t="n">
        <v>1127</v>
      </c>
      <c r="AA444" s="61" t="str">
        <f aca="false">IF(MATCH($A444,Datos_Origen!$A$2:$A$2459,0)=$Z444,"OK","REVISAR")</f>
        <v>OK</v>
      </c>
      <c r="AB444" s="61" t="str">
        <f aca="false">INDEX(Datos_Origen!$B$2:$B$2459,$Z444)</f>
        <v>2024-05-24</v>
      </c>
      <c r="AC444" s="61" t="n">
        <f aca="false">INDEX(Datos_Origen!$H$2:$H$2459,$Z444)</f>
        <v>9</v>
      </c>
      <c r="AD444" s="61" t="str">
        <f aca="false">INDEX(Datos_Origen!$D$2:$D$2459,$Z444)&amp;""</f>
        <v>Rosario</v>
      </c>
    </row>
    <row r="445" customFormat="false" ht="15" hidden="false" customHeight="false" outlineLevel="0" collapsed="false">
      <c r="A445" s="61" t="n">
        <f aca="false">INDEX(Datos_Origen!$A$2:$A$2459,$Z445)</f>
        <v>444</v>
      </c>
      <c r="B445" s="62" t="n">
        <f aca="false">IF(ISNUMBER($AB445),$AB445,IF(MID($AB445,5,1)="-",DATE(VALUE(LEFT($AB445,4)),VALUE(MID($AB445,6,2)),VALUE(RIGHT($AB445,2))),DATE(VALUE(RIGHT($AB445,4)),VALUE(MID($AB445,4,2)),VALUE(LEFT($AB445,2)))))</f>
        <v>45416</v>
      </c>
      <c r="C445" s="61" t="n">
        <f aca="false">YEAR($B445)</f>
        <v>2024</v>
      </c>
      <c r="D445" s="61" t="str">
        <f aca="false">"Q"&amp;ROUNDUP(MONTH($B445)/3,0)</f>
        <v>Q2</v>
      </c>
      <c r="E445" s="61" t="n">
        <f aca="false">MONTH($B445)</f>
        <v>5</v>
      </c>
      <c r="F445" s="61" t="str">
        <f aca="false">INDEX(Parametros!$I$5:$I$16,$E445)</f>
        <v>May</v>
      </c>
      <c r="G445" s="61" t="str">
        <f aca="false">TEXT($C445,"0000")&amp;"-"&amp;TEXT($E445,"00")</f>
        <v>2024-05</v>
      </c>
      <c r="H445" s="61" t="str">
        <f aca="false">INDEX(Parametros!$C$71:$C$91,MATCH(TRIM(INDEX(Datos_Origen!$C$2:$C$2459,$Z445)),Parametros!$B$71:$B$91,0))</f>
        <v>Litoral</v>
      </c>
      <c r="I445" s="61" t="str">
        <f aca="false">IF(TRIM($AD445)="",INDEX(Parametros!$I$20:$I$24,MATCH($H445,Parametros!$H$20:$H$24,0)),TRIM($AD445))</f>
        <v>Rosario</v>
      </c>
      <c r="J445" s="61" t="str">
        <f aca="false">INDEX(Parametros!$C$95:$C$106,MATCH(TRIM(INDEX(Datos_Origen!$E$2:$E$2459,$Z445)),Parametros!$B$95:$B$106,0))</f>
        <v>E-commerce</v>
      </c>
      <c r="K445" s="61" t="str">
        <f aca="false">INDEX(Parametros!$C$48:$C$67,MATCH(TRIM(INDEX(Datos_Origen!$F$2:$F$2459,$Z445)),Parametros!$B$48:$B$67,0))</f>
        <v>Computacion</v>
      </c>
      <c r="L445" s="61" t="str">
        <f aca="false">$K445&amp;" "&amp;$C445</f>
        <v>Computacion 2024</v>
      </c>
      <c r="M445" s="61" t="str">
        <f aca="false">TRIM(INDEX(Datos_Origen!$G$2:$G$2459,$Z445))</f>
        <v>Monitor 4K 27</v>
      </c>
      <c r="N445" s="61" t="str">
        <f aca="false">$M445&amp;" "&amp;$C445</f>
        <v>Monitor 4K 27 2024</v>
      </c>
      <c r="O445" s="63" t="n">
        <f aca="false">IF(ISTEXT($AC445),VALUE($AC445),$AC445)</f>
        <v>3</v>
      </c>
      <c r="P445" s="64" t="n">
        <f aca="false">INDEX(Datos_Origen!$I$2:$I$2459,$Z445)</f>
        <v>441</v>
      </c>
      <c r="Q445" s="64" t="n">
        <f aca="false">INDEX(Datos_Origen!$J$2:$J$2459,$Z445)</f>
        <v>272.25</v>
      </c>
      <c r="R445" s="65" t="n">
        <f aca="false">ROUND($O445*$P445,2)</f>
        <v>1323</v>
      </c>
      <c r="S445" s="65" t="n">
        <f aca="false">ROUND($O445*$Q445,2)</f>
        <v>816.75</v>
      </c>
      <c r="T445" s="65" t="n">
        <f aca="false">ROUND($R445*SUMIFS(Parametros!$E$28:$E$43,Parametros!$B$28:$B$43,$J445,Parametros!$C$28:$C$43,$C445,Parametros!$D$28:$D$43,$D445),2)</f>
        <v>58.21</v>
      </c>
      <c r="U445" s="65" t="n">
        <f aca="false">$R445-$S445-$T445</f>
        <v>448.04</v>
      </c>
      <c r="V445" s="66" t="n">
        <f aca="false">IFERROR($U445/$R445,0)</f>
        <v>0.338654572940287</v>
      </c>
      <c r="W445" s="67" t="str">
        <f aca="false">IF(AND($V445&gt;=Parametros!$C$8,$R445&gt;=Parametros!$C$12),"Alta rentabilidad",IF(OR($V445&lt;Parametros!$C$11,$R445&lt;Parametros!$C$13),"Revisar","Estandar"))</f>
        <v>Estandar</v>
      </c>
      <c r="X445" s="67" t="str">
        <f aca="false">IF(AND($J445="E-commerce",IFERROR($T445/$R445,0)&gt;Parametros!$C$14),"Alerta","OK")</f>
        <v>OK</v>
      </c>
      <c r="Y445" s="61" t="str">
        <f aca="false">IF($R445&gt;=Parametros!$C$12,"Alto",IF($R445&lt;Parametros!$C$13,"Bajo","Medio"))</f>
        <v>Medio</v>
      </c>
      <c r="Z445" s="61" t="n">
        <v>1869</v>
      </c>
      <c r="AA445" s="61" t="str">
        <f aca="false">IF(MATCH($A445,Datos_Origen!$A$2:$A$2459,0)=$Z445,"OK","REVISAR")</f>
        <v>OK</v>
      </c>
      <c r="AB445" s="61" t="str">
        <f aca="false">INDEX(Datos_Origen!$B$2:$B$2459,$Z445)</f>
        <v>04/05/2024</v>
      </c>
      <c r="AC445" s="61" t="n">
        <f aca="false">INDEX(Datos_Origen!$H$2:$H$2459,$Z445)</f>
        <v>3</v>
      </c>
      <c r="AD445" s="61" t="str">
        <f aca="false">INDEX(Datos_Origen!$D$2:$D$2459,$Z445)&amp;""</f>
        <v>Rosario</v>
      </c>
    </row>
    <row r="446" customFormat="false" ht="15" hidden="false" customHeight="false" outlineLevel="0" collapsed="false">
      <c r="A446" s="61" t="n">
        <f aca="false">INDEX(Datos_Origen!$A$2:$A$2459,$Z446)</f>
        <v>445</v>
      </c>
      <c r="B446" s="62" t="n">
        <f aca="false">IF(ISNUMBER($AB446),$AB446,IF(MID($AB446,5,1)="-",DATE(VALUE(LEFT($AB446,4)),VALUE(MID($AB446,6,2)),VALUE(RIGHT($AB446,2))),DATE(VALUE(RIGHT($AB446,4)),VALUE(MID($AB446,4,2)),VALUE(LEFT($AB446,2)))))</f>
        <v>45423</v>
      </c>
      <c r="C446" s="61" t="n">
        <f aca="false">YEAR($B446)</f>
        <v>2024</v>
      </c>
      <c r="D446" s="61" t="str">
        <f aca="false">"Q"&amp;ROUNDUP(MONTH($B446)/3,0)</f>
        <v>Q2</v>
      </c>
      <c r="E446" s="61" t="n">
        <f aca="false">MONTH($B446)</f>
        <v>5</v>
      </c>
      <c r="F446" s="61" t="str">
        <f aca="false">INDEX(Parametros!$I$5:$I$16,$E446)</f>
        <v>May</v>
      </c>
      <c r="G446" s="61" t="str">
        <f aca="false">TEXT($C446,"0000")&amp;"-"&amp;TEXT($E446,"00")</f>
        <v>2024-05</v>
      </c>
      <c r="H446" s="61" t="str">
        <f aca="false">INDEX(Parametros!$C$71:$C$91,MATCH(TRIM(INDEX(Datos_Origen!$C$2:$C$2459,$Z446)),Parametros!$B$71:$B$91,0))</f>
        <v>Litoral</v>
      </c>
      <c r="I446" s="61" t="str">
        <f aca="false">IF(TRIM($AD446)="",INDEX(Parametros!$I$20:$I$24,MATCH($H446,Parametros!$H$20:$H$24,0)),TRIM($AD446))</f>
        <v>Rosario</v>
      </c>
      <c r="J446" s="61" t="str">
        <f aca="false">INDEX(Parametros!$C$95:$C$106,MATCH(TRIM(INDEX(Datos_Origen!$E$2:$E$2459,$Z446)),Parametros!$B$95:$B$106,0))</f>
        <v>Tienda fisica</v>
      </c>
      <c r="K446" s="61" t="str">
        <f aca="false">INDEX(Parametros!$C$48:$C$67,MATCH(TRIM(INDEX(Datos_Origen!$F$2:$F$2459,$Z446)),Parametros!$B$48:$B$67,0))</f>
        <v>Computacion</v>
      </c>
      <c r="L446" s="61" t="str">
        <f aca="false">$K446&amp;" "&amp;$C446</f>
        <v>Computacion 2024</v>
      </c>
      <c r="M446" s="61" t="str">
        <f aca="false">TRIM(INDEX(Datos_Origen!$G$2:$G$2459,$Z446))</f>
        <v>PC Gamer Ryzen</v>
      </c>
      <c r="N446" s="61" t="str">
        <f aca="false">$M446&amp;" "&amp;$C446</f>
        <v>PC Gamer Ryzen 2024</v>
      </c>
      <c r="O446" s="63" t="n">
        <f aca="false">IF(ISTEXT($AC446),VALUE($AC446),$AC446)</f>
        <v>10</v>
      </c>
      <c r="P446" s="64" t="n">
        <f aca="false">INDEX(Datos_Origen!$I$2:$I$2459,$Z446)</f>
        <v>1617</v>
      </c>
      <c r="Q446" s="64" t="n">
        <f aca="false">INDEX(Datos_Origen!$J$2:$J$2459,$Z446)</f>
        <v>1122</v>
      </c>
      <c r="R446" s="65" t="n">
        <f aca="false">ROUND($O446*$P446,2)</f>
        <v>16170</v>
      </c>
      <c r="S446" s="65" t="n">
        <f aca="false">ROUND($O446*$Q446,2)</f>
        <v>11220</v>
      </c>
      <c r="T446" s="65" t="n">
        <f aca="false">ROUND($R446*SUMIFS(Parametros!$E$28:$E$43,Parametros!$B$28:$B$43,$J446,Parametros!$C$28:$C$43,$C446,Parametros!$D$28:$D$43,$D446),2)</f>
        <v>194.04</v>
      </c>
      <c r="U446" s="65" t="n">
        <f aca="false">$R446-$S446-$T446</f>
        <v>4755.96</v>
      </c>
      <c r="V446" s="66" t="n">
        <f aca="false">IFERROR($U446/$R446,0)</f>
        <v>0.294122448979592</v>
      </c>
      <c r="W446" s="67" t="str">
        <f aca="false">IF(AND($V446&gt;=Parametros!$C$8,$R446&gt;=Parametros!$C$12),"Alta rentabilidad",IF(OR($V446&lt;Parametros!$C$11,$R446&lt;Parametros!$C$13),"Revisar","Estandar"))</f>
        <v>Estandar</v>
      </c>
      <c r="X446" s="67" t="str">
        <f aca="false">IF(AND($J446="E-commerce",IFERROR($T446/$R446,0)&gt;Parametros!$C$14),"Alerta","OK")</f>
        <v>OK</v>
      </c>
      <c r="Y446" s="61" t="str">
        <f aca="false">IF($R446&gt;=Parametros!$C$12,"Alto",IF($R446&lt;Parametros!$C$13,"Bajo","Medio"))</f>
        <v>Alto</v>
      </c>
      <c r="Z446" s="61" t="n">
        <v>897</v>
      </c>
      <c r="AA446" s="61" t="str">
        <f aca="false">IF(MATCH($A446,Datos_Origen!$A$2:$A$2459,0)=$Z446,"OK","REVISAR")</f>
        <v>OK</v>
      </c>
      <c r="AB446" s="61" t="str">
        <f aca="false">INDEX(Datos_Origen!$B$2:$B$2459,$Z446)</f>
        <v>2024-05-11</v>
      </c>
      <c r="AC446" s="61" t="n">
        <f aca="false">INDEX(Datos_Origen!$H$2:$H$2459,$Z446)</f>
        <v>10</v>
      </c>
      <c r="AD446" s="61" t="str">
        <f aca="false">INDEX(Datos_Origen!$D$2:$D$2459,$Z446)&amp;""</f>
        <v>Rosario</v>
      </c>
    </row>
    <row r="447" customFormat="false" ht="15" hidden="false" customHeight="false" outlineLevel="0" collapsed="false">
      <c r="A447" s="61" t="n">
        <f aca="false">INDEX(Datos_Origen!$A$2:$A$2459,$Z447)</f>
        <v>446</v>
      </c>
      <c r="B447" s="62" t="n">
        <f aca="false">IF(ISNUMBER($AB447),$AB447,IF(MID($AB447,5,1)="-",DATE(VALUE(LEFT($AB447,4)),VALUE(MID($AB447,6,2)),VALUE(RIGHT($AB447,2))),DATE(VALUE(RIGHT($AB447,4)),VALUE(MID($AB447,4,2)),VALUE(LEFT($AB447,2)))))</f>
        <v>45430</v>
      </c>
      <c r="C447" s="61" t="n">
        <f aca="false">YEAR($B447)</f>
        <v>2024</v>
      </c>
      <c r="D447" s="61" t="str">
        <f aca="false">"Q"&amp;ROUNDUP(MONTH($B447)/3,0)</f>
        <v>Q2</v>
      </c>
      <c r="E447" s="61" t="n">
        <f aca="false">MONTH($B447)</f>
        <v>5</v>
      </c>
      <c r="F447" s="61" t="str">
        <f aca="false">INDEX(Parametros!$I$5:$I$16,$E447)</f>
        <v>May</v>
      </c>
      <c r="G447" s="61" t="str">
        <f aca="false">TEXT($C447,"0000")&amp;"-"&amp;TEXT($E447,"00")</f>
        <v>2024-05</v>
      </c>
      <c r="H447" s="61" t="str">
        <f aca="false">INDEX(Parametros!$C$71:$C$91,MATCH(TRIM(INDEX(Datos_Origen!$C$2:$C$2459,$Z447)),Parametros!$B$71:$B$91,0))</f>
        <v>Litoral</v>
      </c>
      <c r="I447" s="61" t="str">
        <f aca="false">IF(TRIM($AD447)="",INDEX(Parametros!$I$20:$I$24,MATCH($H447,Parametros!$H$20:$H$24,0)),TRIM($AD447))</f>
        <v>Rosario</v>
      </c>
      <c r="J447" s="61" t="str">
        <f aca="false">INDEX(Parametros!$C$95:$C$106,MATCH(TRIM(INDEX(Datos_Origen!$E$2:$E$2459,$Z447)),Parametros!$B$95:$B$106,0))</f>
        <v>E-commerce</v>
      </c>
      <c r="K447" s="61" t="str">
        <f aca="false">INDEX(Parametros!$C$48:$C$67,MATCH(TRIM(INDEX(Datos_Origen!$F$2:$F$2459,$Z447)),Parametros!$B$48:$B$67,0))</f>
        <v>Computacion</v>
      </c>
      <c r="L447" s="61" t="str">
        <f aca="false">$K447&amp;" "&amp;$C447</f>
        <v>Computacion 2024</v>
      </c>
      <c r="M447" s="61" t="str">
        <f aca="false">TRIM(INDEX(Datos_Origen!$G$2:$G$2459,$Z447))</f>
        <v>PC Gamer Ryzen</v>
      </c>
      <c r="N447" s="61" t="str">
        <f aca="false">$M447&amp;" "&amp;$C447</f>
        <v>PC Gamer Ryzen 2024</v>
      </c>
      <c r="O447" s="63" t="n">
        <f aca="false">IF(ISTEXT($AC447),VALUE($AC447),$AC447)</f>
        <v>3</v>
      </c>
      <c r="P447" s="64" t="n">
        <f aca="false">INDEX(Datos_Origen!$I$2:$I$2459,$Z447)</f>
        <v>1617</v>
      </c>
      <c r="Q447" s="64" t="n">
        <f aca="false">INDEX(Datos_Origen!$J$2:$J$2459,$Z447)</f>
        <v>1122</v>
      </c>
      <c r="R447" s="65" t="n">
        <f aca="false">ROUND($O447*$P447,2)</f>
        <v>4851</v>
      </c>
      <c r="S447" s="65" t="n">
        <f aca="false">ROUND($O447*$Q447,2)</f>
        <v>3366</v>
      </c>
      <c r="T447" s="65" t="n">
        <f aca="false">ROUND($R447*SUMIFS(Parametros!$E$28:$E$43,Parametros!$B$28:$B$43,$J447,Parametros!$C$28:$C$43,$C447,Parametros!$D$28:$D$43,$D447),2)</f>
        <v>213.44</v>
      </c>
      <c r="U447" s="65" t="n">
        <f aca="false">$R447-$S447-$T447</f>
        <v>1271.56</v>
      </c>
      <c r="V447" s="66" t="n">
        <f aca="false">IFERROR($U447/$R447,0)</f>
        <v>0.262123273551845</v>
      </c>
      <c r="W447" s="67" t="str">
        <f aca="false">IF(AND($V447&gt;=Parametros!$C$8,$R447&gt;=Parametros!$C$12),"Alta rentabilidad",IF(OR($V447&lt;Parametros!$C$11,$R447&lt;Parametros!$C$13),"Revisar","Estandar"))</f>
        <v>Revisar</v>
      </c>
      <c r="X447" s="67" t="str">
        <f aca="false">IF(AND($J447="E-commerce",IFERROR($T447/$R447,0)&gt;Parametros!$C$14),"Alerta","OK")</f>
        <v>OK</v>
      </c>
      <c r="Y447" s="61" t="str">
        <f aca="false">IF($R447&gt;=Parametros!$C$12,"Alto",IF($R447&lt;Parametros!$C$13,"Bajo","Medio"))</f>
        <v>Alto</v>
      </c>
      <c r="Z447" s="61" t="n">
        <v>1276</v>
      </c>
      <c r="AA447" s="61" t="str">
        <f aca="false">IF(MATCH($A447,Datos_Origen!$A$2:$A$2459,0)=$Z447,"OK","REVISAR")</f>
        <v>OK</v>
      </c>
      <c r="AB447" s="61" t="str">
        <f aca="false">INDEX(Datos_Origen!$B$2:$B$2459,$Z447)</f>
        <v>18/05/2024</v>
      </c>
      <c r="AC447" s="61" t="n">
        <f aca="false">INDEX(Datos_Origen!$H$2:$H$2459,$Z447)</f>
        <v>3</v>
      </c>
      <c r="AD447" s="61" t="str">
        <f aca="false">INDEX(Datos_Origen!$D$2:$D$2459,$Z447)&amp;""</f>
        <v/>
      </c>
    </row>
    <row r="448" customFormat="false" ht="15" hidden="false" customHeight="false" outlineLevel="0" collapsed="false">
      <c r="A448" s="61" t="n">
        <f aca="false">INDEX(Datos_Origen!$A$2:$A$2459,$Z448)</f>
        <v>447</v>
      </c>
      <c r="B448" s="62" t="n">
        <f aca="false">IF(ISNUMBER($AB448),$AB448,IF(MID($AB448,5,1)="-",DATE(VALUE(LEFT($AB448,4)),VALUE(MID($AB448,6,2)),VALUE(RIGHT($AB448,2))),DATE(VALUE(RIGHT($AB448,4)),VALUE(MID($AB448,4,2)),VALUE(LEFT($AB448,2)))))</f>
        <v>45437</v>
      </c>
      <c r="C448" s="61" t="n">
        <f aca="false">YEAR($B448)</f>
        <v>2024</v>
      </c>
      <c r="D448" s="61" t="str">
        <f aca="false">"Q"&amp;ROUNDUP(MONTH($B448)/3,0)</f>
        <v>Q2</v>
      </c>
      <c r="E448" s="61" t="n">
        <f aca="false">MONTH($B448)</f>
        <v>5</v>
      </c>
      <c r="F448" s="61" t="str">
        <f aca="false">INDEX(Parametros!$I$5:$I$16,$E448)</f>
        <v>May</v>
      </c>
      <c r="G448" s="61" t="str">
        <f aca="false">TEXT($C448,"0000")&amp;"-"&amp;TEXT($E448,"00")</f>
        <v>2024-05</v>
      </c>
      <c r="H448" s="61" t="str">
        <f aca="false">INDEX(Parametros!$C$71:$C$91,MATCH(TRIM(INDEX(Datos_Origen!$C$2:$C$2459,$Z448)),Parametros!$B$71:$B$91,0))</f>
        <v>Litoral</v>
      </c>
      <c r="I448" s="61" t="str">
        <f aca="false">IF(TRIM($AD448)="",INDEX(Parametros!$I$20:$I$24,MATCH($H448,Parametros!$H$20:$H$24,0)),TRIM($AD448))</f>
        <v>Rosario</v>
      </c>
      <c r="J448" s="61" t="str">
        <f aca="false">INDEX(Parametros!$C$95:$C$106,MATCH(TRIM(INDEX(Datos_Origen!$E$2:$E$2459,$Z448)),Parametros!$B$95:$B$106,0))</f>
        <v>Tienda fisica</v>
      </c>
      <c r="K448" s="61" t="str">
        <f aca="false">INDEX(Parametros!$C$48:$C$67,MATCH(TRIM(INDEX(Datos_Origen!$F$2:$F$2459,$Z448)),Parametros!$B$48:$B$67,0))</f>
        <v>Accesorios</v>
      </c>
      <c r="L448" s="61" t="str">
        <f aca="false">$K448&amp;" "&amp;$C448</f>
        <v>Accesorios 2024</v>
      </c>
      <c r="M448" s="61" t="str">
        <f aca="false">TRIM(INDEX(Datos_Origen!$G$2:$G$2459,$Z448))</f>
        <v>Mouse Inalambrico</v>
      </c>
      <c r="N448" s="61" t="str">
        <f aca="false">$M448&amp;" "&amp;$C448</f>
        <v>Mouse Inalambrico 2024</v>
      </c>
      <c r="O448" s="63" t="n">
        <f aca="false">IF(ISTEXT($AC448),VALUE($AC448),$AC448)</f>
        <v>46</v>
      </c>
      <c r="P448" s="64" t="n">
        <f aca="false">INDEX(Datos_Origen!$I$2:$I$2459,$Z448)</f>
        <v>27.44</v>
      </c>
      <c r="Q448" s="64" t="n">
        <f aca="false">INDEX(Datos_Origen!$J$2:$J$2459,$Z448)</f>
        <v>13.44</v>
      </c>
      <c r="R448" s="65" t="n">
        <f aca="false">ROUND($O448*$P448,2)</f>
        <v>1262.24</v>
      </c>
      <c r="S448" s="65" t="n">
        <f aca="false">ROUND($O448*$Q448,2)</f>
        <v>618.24</v>
      </c>
      <c r="T448" s="65" t="n">
        <f aca="false">ROUND($R448*SUMIFS(Parametros!$E$28:$E$43,Parametros!$B$28:$B$43,$J448,Parametros!$C$28:$C$43,$C448,Parametros!$D$28:$D$43,$D448),2)</f>
        <v>15.15</v>
      </c>
      <c r="U448" s="65" t="n">
        <f aca="false">$R448-$S448-$T448</f>
        <v>628.85</v>
      </c>
      <c r="V448" s="66" t="n">
        <f aca="false">IFERROR($U448/$R448,0)</f>
        <v>0.498201609836481</v>
      </c>
      <c r="W448" s="67" t="str">
        <f aca="false">IF(AND($V448&gt;=Parametros!$C$8,$R448&gt;=Parametros!$C$12),"Alta rentabilidad",IF(OR($V448&lt;Parametros!$C$11,$R448&lt;Parametros!$C$13),"Revisar","Estandar"))</f>
        <v>Estandar</v>
      </c>
      <c r="X448" s="67" t="str">
        <f aca="false">IF(AND($J448="E-commerce",IFERROR($T448/$R448,0)&gt;Parametros!$C$14),"Alerta","OK")</f>
        <v>OK</v>
      </c>
      <c r="Y448" s="61" t="str">
        <f aca="false">IF($R448&gt;=Parametros!$C$12,"Alto",IF($R448&lt;Parametros!$C$13,"Bajo","Medio"))</f>
        <v>Medio</v>
      </c>
      <c r="Z448" s="61" t="n">
        <v>1250</v>
      </c>
      <c r="AA448" s="61" t="str">
        <f aca="false">IF(MATCH($A448,Datos_Origen!$A$2:$A$2459,0)=$Z448,"OK","REVISAR")</f>
        <v>OK</v>
      </c>
      <c r="AB448" s="62" t="n">
        <f aca="false">INDEX(Datos_Origen!$B$2:$B$2459,$Z448)</f>
        <v>45437</v>
      </c>
      <c r="AC448" s="61" t="n">
        <f aca="false">INDEX(Datos_Origen!$H$2:$H$2459,$Z448)</f>
        <v>46</v>
      </c>
      <c r="AD448" s="61" t="str">
        <f aca="false">INDEX(Datos_Origen!$D$2:$D$2459,$Z448)&amp;""</f>
        <v>Rosario</v>
      </c>
    </row>
    <row r="449" customFormat="false" ht="15" hidden="false" customHeight="false" outlineLevel="0" collapsed="false">
      <c r="A449" s="61" t="n">
        <f aca="false">INDEX(Datos_Origen!$A$2:$A$2459,$Z449)</f>
        <v>448</v>
      </c>
      <c r="B449" s="62" t="n">
        <f aca="false">IF(ISNUMBER($AB449),$AB449,IF(MID($AB449,5,1)="-",DATE(VALUE(LEFT($AB449,4)),VALUE(MID($AB449,6,2)),VALUE(RIGHT($AB449,2))),DATE(VALUE(RIGHT($AB449,4)),VALUE(MID($AB449,4,2)),VALUE(LEFT($AB449,2)))))</f>
        <v>45417</v>
      </c>
      <c r="C449" s="61" t="n">
        <f aca="false">YEAR($B449)</f>
        <v>2024</v>
      </c>
      <c r="D449" s="61" t="str">
        <f aca="false">"Q"&amp;ROUNDUP(MONTH($B449)/3,0)</f>
        <v>Q2</v>
      </c>
      <c r="E449" s="61" t="n">
        <f aca="false">MONTH($B449)</f>
        <v>5</v>
      </c>
      <c r="F449" s="61" t="str">
        <f aca="false">INDEX(Parametros!$I$5:$I$16,$E449)</f>
        <v>May</v>
      </c>
      <c r="G449" s="61" t="str">
        <f aca="false">TEXT($C449,"0000")&amp;"-"&amp;TEXT($E449,"00")</f>
        <v>2024-05</v>
      </c>
      <c r="H449" s="61" t="str">
        <f aca="false">INDEX(Parametros!$C$71:$C$91,MATCH(TRIM(INDEX(Datos_Origen!$C$2:$C$2459,$Z449)),Parametros!$B$71:$B$91,0))</f>
        <v>Litoral</v>
      </c>
      <c r="I449" s="61" t="str">
        <f aca="false">IF(TRIM($AD449)="",INDEX(Parametros!$I$20:$I$24,MATCH($H449,Parametros!$H$20:$H$24,0)),TRIM($AD449))</f>
        <v>Rosario</v>
      </c>
      <c r="J449" s="61" t="str">
        <f aca="false">INDEX(Parametros!$C$95:$C$106,MATCH(TRIM(INDEX(Datos_Origen!$E$2:$E$2459,$Z449)),Parametros!$B$95:$B$106,0))</f>
        <v>E-commerce</v>
      </c>
      <c r="K449" s="61" t="str">
        <f aca="false">INDEX(Parametros!$C$48:$C$67,MATCH(TRIM(INDEX(Datos_Origen!$F$2:$F$2459,$Z449)),Parametros!$B$48:$B$67,0))</f>
        <v>Accesorios</v>
      </c>
      <c r="L449" s="61" t="str">
        <f aca="false">$K449&amp;" "&amp;$C449</f>
        <v>Accesorios 2024</v>
      </c>
      <c r="M449" s="61" t="str">
        <f aca="false">TRIM(INDEX(Datos_Origen!$G$2:$G$2459,$Z449))</f>
        <v>Mouse Inalambrico</v>
      </c>
      <c r="N449" s="61" t="str">
        <f aca="false">$M449&amp;" "&amp;$C449</f>
        <v>Mouse Inalambrico 2024</v>
      </c>
      <c r="O449" s="63" t="n">
        <f aca="false">IF(ISTEXT($AC449),VALUE($AC449),$AC449)</f>
        <v>14</v>
      </c>
      <c r="P449" s="64" t="n">
        <f aca="false">INDEX(Datos_Origen!$I$2:$I$2459,$Z449)</f>
        <v>27.44</v>
      </c>
      <c r="Q449" s="64" t="n">
        <f aca="false">INDEX(Datos_Origen!$J$2:$J$2459,$Z449)</f>
        <v>13.44</v>
      </c>
      <c r="R449" s="65" t="n">
        <f aca="false">ROUND($O449*$P449,2)</f>
        <v>384.16</v>
      </c>
      <c r="S449" s="65" t="n">
        <f aca="false">ROUND($O449*$Q449,2)</f>
        <v>188.16</v>
      </c>
      <c r="T449" s="65" t="n">
        <f aca="false">ROUND($R449*SUMIFS(Parametros!$E$28:$E$43,Parametros!$B$28:$B$43,$J449,Parametros!$C$28:$C$43,$C449,Parametros!$D$28:$D$43,$D449),2)</f>
        <v>16.9</v>
      </c>
      <c r="U449" s="65" t="n">
        <f aca="false">$R449-$S449-$T449</f>
        <v>179.1</v>
      </c>
      <c r="V449" s="66" t="n">
        <f aca="false">IFERROR($U449/$R449,0)</f>
        <v>0.466211995002083</v>
      </c>
      <c r="W449" s="67" t="str">
        <f aca="false">IF(AND($V449&gt;=Parametros!$C$8,$R449&gt;=Parametros!$C$12),"Alta rentabilidad",IF(OR($V449&lt;Parametros!$C$11,$R449&lt;Parametros!$C$13),"Revisar","Estandar"))</f>
        <v>Estandar</v>
      </c>
      <c r="X449" s="67" t="str">
        <f aca="false">IF(AND($J449="E-commerce",IFERROR($T449/$R449,0)&gt;Parametros!$C$14),"Alerta","OK")</f>
        <v>OK</v>
      </c>
      <c r="Y449" s="61" t="str">
        <f aca="false">IF($R449&gt;=Parametros!$C$12,"Alto",IF($R449&lt;Parametros!$C$13,"Bajo","Medio"))</f>
        <v>Medio</v>
      </c>
      <c r="Z449" s="61" t="n">
        <v>982</v>
      </c>
      <c r="AA449" s="61" t="str">
        <f aca="false">IF(MATCH($A449,Datos_Origen!$A$2:$A$2459,0)=$Z449,"OK","REVISAR")</f>
        <v>OK</v>
      </c>
      <c r="AB449" s="61" t="str">
        <f aca="false">INDEX(Datos_Origen!$B$2:$B$2459,$Z449)</f>
        <v>05/05/2024</v>
      </c>
      <c r="AC449" s="61" t="n">
        <f aca="false">INDEX(Datos_Origen!$H$2:$H$2459,$Z449)</f>
        <v>14</v>
      </c>
      <c r="AD449" s="61" t="str">
        <f aca="false">INDEX(Datos_Origen!$D$2:$D$2459,$Z449)&amp;""</f>
        <v>Rosario</v>
      </c>
    </row>
    <row r="450" customFormat="false" ht="15" hidden="false" customHeight="false" outlineLevel="0" collapsed="false">
      <c r="A450" s="61" t="n">
        <f aca="false">INDEX(Datos_Origen!$A$2:$A$2459,$Z450)</f>
        <v>449</v>
      </c>
      <c r="B450" s="62" t="n">
        <f aca="false">IF(ISNUMBER($AB450),$AB450,IF(MID($AB450,5,1)="-",DATE(VALUE(LEFT($AB450,4)),VALUE(MID($AB450,6,2)),VALUE(RIGHT($AB450,2))),DATE(VALUE(RIGHT($AB450,4)),VALUE(MID($AB450,4,2)),VALUE(LEFT($AB450,2)))))</f>
        <v>45424</v>
      </c>
      <c r="C450" s="61" t="n">
        <f aca="false">YEAR($B450)</f>
        <v>2024</v>
      </c>
      <c r="D450" s="61" t="str">
        <f aca="false">"Q"&amp;ROUNDUP(MONTH($B450)/3,0)</f>
        <v>Q2</v>
      </c>
      <c r="E450" s="61" t="n">
        <f aca="false">MONTH($B450)</f>
        <v>5</v>
      </c>
      <c r="F450" s="61" t="str">
        <f aca="false">INDEX(Parametros!$I$5:$I$16,$E450)</f>
        <v>May</v>
      </c>
      <c r="G450" s="61" t="str">
        <f aca="false">TEXT($C450,"0000")&amp;"-"&amp;TEXT($E450,"00")</f>
        <v>2024-05</v>
      </c>
      <c r="H450" s="61" t="str">
        <f aca="false">INDEX(Parametros!$C$71:$C$91,MATCH(TRIM(INDEX(Datos_Origen!$C$2:$C$2459,$Z450)),Parametros!$B$71:$B$91,0))</f>
        <v>Litoral</v>
      </c>
      <c r="I450" s="61" t="str">
        <f aca="false">IF(TRIM($AD450)="",INDEX(Parametros!$I$20:$I$24,MATCH($H450,Parametros!$H$20:$H$24,0)),TRIM($AD450))</f>
        <v>Rosario</v>
      </c>
      <c r="J450" s="61" t="str">
        <f aca="false">INDEX(Parametros!$C$95:$C$106,MATCH(TRIM(INDEX(Datos_Origen!$E$2:$E$2459,$Z450)),Parametros!$B$95:$B$106,0))</f>
        <v>Tienda fisica</v>
      </c>
      <c r="K450" s="61" t="str">
        <f aca="false">INDEX(Parametros!$C$48:$C$67,MATCH(TRIM(INDEX(Datos_Origen!$F$2:$F$2459,$Z450)),Parametros!$B$48:$B$67,0))</f>
        <v>Accesorios</v>
      </c>
      <c r="L450" s="61" t="str">
        <f aca="false">$K450&amp;" "&amp;$C450</f>
        <v>Accesorios 2024</v>
      </c>
      <c r="M450" s="61" t="str">
        <f aca="false">TRIM(INDEX(Datos_Origen!$G$2:$G$2459,$Z450))</f>
        <v>Teclado Mecanico</v>
      </c>
      <c r="N450" s="61" t="str">
        <f aca="false">$M450&amp;" "&amp;$C450</f>
        <v>Teclado Mecanico 2024</v>
      </c>
      <c r="O450" s="63" t="n">
        <f aca="false">IF(ISTEXT($AC450),VALUE($AC450),$AC450)</f>
        <v>38</v>
      </c>
      <c r="P450" s="64" t="n">
        <f aca="false">INDEX(Datos_Origen!$I$2:$I$2459,$Z450)</f>
        <v>93.1</v>
      </c>
      <c r="Q450" s="64" t="n">
        <f aca="false">INDEX(Datos_Origen!$J$2:$J$2459,$Z450)</f>
        <v>47.98</v>
      </c>
      <c r="R450" s="65" t="n">
        <f aca="false">ROUND($O450*$P450,2)</f>
        <v>3537.8</v>
      </c>
      <c r="S450" s="65" t="n">
        <f aca="false">ROUND($O450*$Q450,2)</f>
        <v>1823.24</v>
      </c>
      <c r="T450" s="65" t="n">
        <f aca="false">ROUND($R450*SUMIFS(Parametros!$E$28:$E$43,Parametros!$B$28:$B$43,$J450,Parametros!$C$28:$C$43,$C450,Parametros!$D$28:$D$43,$D450),2)</f>
        <v>42.45</v>
      </c>
      <c r="U450" s="65" t="n">
        <f aca="false">$R450-$S450-$T450</f>
        <v>1672.11</v>
      </c>
      <c r="V450" s="66" t="n">
        <f aca="false">IFERROR($U450/$R450,0)</f>
        <v>0.472641189439765</v>
      </c>
      <c r="W450" s="67" t="str">
        <f aca="false">IF(AND($V450&gt;=Parametros!$C$8,$R450&gt;=Parametros!$C$12),"Alta rentabilidad",IF(OR($V450&lt;Parametros!$C$11,$R450&lt;Parametros!$C$13),"Revisar","Estandar"))</f>
        <v>Alta rentabilidad</v>
      </c>
      <c r="X450" s="67" t="str">
        <f aca="false">IF(AND($J450="E-commerce",IFERROR($T450/$R450,0)&gt;Parametros!$C$14),"Alerta","OK")</f>
        <v>OK</v>
      </c>
      <c r="Y450" s="61" t="str">
        <f aca="false">IF($R450&gt;=Parametros!$C$12,"Alto",IF($R450&lt;Parametros!$C$13,"Bajo","Medio"))</f>
        <v>Alto</v>
      </c>
      <c r="Z450" s="61" t="n">
        <v>698</v>
      </c>
      <c r="AA450" s="61" t="str">
        <f aca="false">IF(MATCH($A450,Datos_Origen!$A$2:$A$2459,0)=$Z450,"OK","REVISAR")</f>
        <v>OK</v>
      </c>
      <c r="AB450" s="62" t="n">
        <f aca="false">INDEX(Datos_Origen!$B$2:$B$2459,$Z450)</f>
        <v>45424</v>
      </c>
      <c r="AC450" s="61" t="n">
        <f aca="false">INDEX(Datos_Origen!$H$2:$H$2459,$Z450)</f>
        <v>38</v>
      </c>
      <c r="AD450" s="61" t="str">
        <f aca="false">INDEX(Datos_Origen!$D$2:$D$2459,$Z450)&amp;""</f>
        <v>Rosario</v>
      </c>
    </row>
    <row r="451" customFormat="false" ht="15" hidden="false" customHeight="false" outlineLevel="0" collapsed="false">
      <c r="A451" s="61" t="n">
        <f aca="false">INDEX(Datos_Origen!$A$2:$A$2459,$Z451)</f>
        <v>450</v>
      </c>
      <c r="B451" s="62" t="n">
        <f aca="false">IF(ISNUMBER($AB451),$AB451,IF(MID($AB451,5,1)="-",DATE(VALUE(LEFT($AB451,4)),VALUE(MID($AB451,6,2)),VALUE(RIGHT($AB451,2))),DATE(VALUE(RIGHT($AB451,4)),VALUE(MID($AB451,4,2)),VALUE(LEFT($AB451,2)))))</f>
        <v>45431</v>
      </c>
      <c r="C451" s="61" t="n">
        <f aca="false">YEAR($B451)</f>
        <v>2024</v>
      </c>
      <c r="D451" s="61" t="str">
        <f aca="false">"Q"&amp;ROUNDUP(MONTH($B451)/3,0)</f>
        <v>Q2</v>
      </c>
      <c r="E451" s="61" t="n">
        <f aca="false">MONTH($B451)</f>
        <v>5</v>
      </c>
      <c r="F451" s="61" t="str">
        <f aca="false">INDEX(Parametros!$I$5:$I$16,$E451)</f>
        <v>May</v>
      </c>
      <c r="G451" s="61" t="str">
        <f aca="false">TEXT($C451,"0000")&amp;"-"&amp;TEXT($E451,"00")</f>
        <v>2024-05</v>
      </c>
      <c r="H451" s="61" t="str">
        <f aca="false">INDEX(Parametros!$C$71:$C$91,MATCH(TRIM(INDEX(Datos_Origen!$C$2:$C$2459,$Z451)),Parametros!$B$71:$B$91,0))</f>
        <v>Litoral</v>
      </c>
      <c r="I451" s="61" t="str">
        <f aca="false">IF(TRIM($AD451)="",INDEX(Parametros!$I$20:$I$24,MATCH($H451,Parametros!$H$20:$H$24,0)),TRIM($AD451))</f>
        <v>Rosario</v>
      </c>
      <c r="J451" s="61" t="str">
        <f aca="false">INDEX(Parametros!$C$95:$C$106,MATCH(TRIM(INDEX(Datos_Origen!$E$2:$E$2459,$Z451)),Parametros!$B$95:$B$106,0))</f>
        <v>E-commerce</v>
      </c>
      <c r="K451" s="61" t="str">
        <f aca="false">INDEX(Parametros!$C$48:$C$67,MATCH(TRIM(INDEX(Datos_Origen!$F$2:$F$2459,$Z451)),Parametros!$B$48:$B$67,0))</f>
        <v>Accesorios</v>
      </c>
      <c r="L451" s="61" t="str">
        <f aca="false">$K451&amp;" "&amp;$C451</f>
        <v>Accesorios 2024</v>
      </c>
      <c r="M451" s="61" t="str">
        <f aca="false">TRIM(INDEX(Datos_Origen!$G$2:$G$2459,$Z451))</f>
        <v>Teclado Mecanico</v>
      </c>
      <c r="N451" s="61" t="str">
        <f aca="false">$M451&amp;" "&amp;$C451</f>
        <v>Teclado Mecanico 2024</v>
      </c>
      <c r="O451" s="63" t="n">
        <f aca="false">IF(ISTEXT($AC451),VALUE($AC451),$AC451)</f>
        <v>14</v>
      </c>
      <c r="P451" s="64" t="n">
        <f aca="false">INDEX(Datos_Origen!$I$2:$I$2459,$Z451)</f>
        <v>93.1</v>
      </c>
      <c r="Q451" s="64" t="n">
        <f aca="false">INDEX(Datos_Origen!$J$2:$J$2459,$Z451)</f>
        <v>47.98</v>
      </c>
      <c r="R451" s="65" t="n">
        <f aca="false">ROUND($O451*$P451,2)</f>
        <v>1303.4</v>
      </c>
      <c r="S451" s="65" t="n">
        <f aca="false">ROUND($O451*$Q451,2)</f>
        <v>671.72</v>
      </c>
      <c r="T451" s="65" t="n">
        <f aca="false">ROUND($R451*SUMIFS(Parametros!$E$28:$E$43,Parametros!$B$28:$B$43,$J451,Parametros!$C$28:$C$43,$C451,Parametros!$D$28:$D$43,$D451),2)</f>
        <v>57.35</v>
      </c>
      <c r="U451" s="65" t="n">
        <f aca="false">$R451-$S451-$T451</f>
        <v>574.33</v>
      </c>
      <c r="V451" s="66" t="n">
        <f aca="false">IFERROR($U451/$R451,0)</f>
        <v>0.440639864968544</v>
      </c>
      <c r="W451" s="67" t="str">
        <f aca="false">IF(AND($V451&gt;=Parametros!$C$8,$R451&gt;=Parametros!$C$12),"Alta rentabilidad",IF(OR($V451&lt;Parametros!$C$11,$R451&lt;Parametros!$C$13),"Revisar","Estandar"))</f>
        <v>Estandar</v>
      </c>
      <c r="X451" s="67" t="str">
        <f aca="false">IF(AND($J451="E-commerce",IFERROR($T451/$R451,0)&gt;Parametros!$C$14),"Alerta","OK")</f>
        <v>OK</v>
      </c>
      <c r="Y451" s="61" t="str">
        <f aca="false">IF($R451&gt;=Parametros!$C$12,"Alto",IF($R451&lt;Parametros!$C$13,"Bajo","Medio"))</f>
        <v>Medio</v>
      </c>
      <c r="Z451" s="61" t="n">
        <v>1329</v>
      </c>
      <c r="AA451" s="61" t="str">
        <f aca="false">IF(MATCH($A451,Datos_Origen!$A$2:$A$2459,0)=$Z451,"OK","REVISAR")</f>
        <v>OK</v>
      </c>
      <c r="AB451" s="62" t="n">
        <f aca="false">INDEX(Datos_Origen!$B$2:$B$2459,$Z451)</f>
        <v>45431</v>
      </c>
      <c r="AC451" s="61" t="n">
        <f aca="false">INDEX(Datos_Origen!$H$2:$H$2459,$Z451)</f>
        <v>14</v>
      </c>
      <c r="AD451" s="61" t="str">
        <f aca="false">INDEX(Datos_Origen!$D$2:$D$2459,$Z451)&amp;""</f>
        <v>Rosario</v>
      </c>
    </row>
    <row r="452" customFormat="false" ht="15" hidden="false" customHeight="false" outlineLevel="0" collapsed="false">
      <c r="A452" s="61" t="n">
        <f aca="false">INDEX(Datos_Origen!$A$2:$A$2459,$Z452)</f>
        <v>451</v>
      </c>
      <c r="B452" s="62" t="n">
        <f aca="false">IF(ISNUMBER($AB452),$AB452,IF(MID($AB452,5,1)="-",DATE(VALUE(LEFT($AB452,4)),VALUE(MID($AB452,6,2)),VALUE(RIGHT($AB452,2))),DATE(VALUE(RIGHT($AB452,4)),VALUE(MID($AB452,4,2)),VALUE(LEFT($AB452,2)))))</f>
        <v>45438</v>
      </c>
      <c r="C452" s="61" t="n">
        <f aca="false">YEAR($B452)</f>
        <v>2024</v>
      </c>
      <c r="D452" s="61" t="str">
        <f aca="false">"Q"&amp;ROUNDUP(MONTH($B452)/3,0)</f>
        <v>Q2</v>
      </c>
      <c r="E452" s="61" t="n">
        <f aca="false">MONTH($B452)</f>
        <v>5</v>
      </c>
      <c r="F452" s="61" t="str">
        <f aca="false">INDEX(Parametros!$I$5:$I$16,$E452)</f>
        <v>May</v>
      </c>
      <c r="G452" s="61" t="str">
        <f aca="false">TEXT($C452,"0000")&amp;"-"&amp;TEXT($E452,"00")</f>
        <v>2024-05</v>
      </c>
      <c r="H452" s="61" t="str">
        <f aca="false">INDEX(Parametros!$C$71:$C$91,MATCH(TRIM(INDEX(Datos_Origen!$C$2:$C$2459,$Z452)),Parametros!$B$71:$B$91,0))</f>
        <v>Litoral</v>
      </c>
      <c r="I452" s="61" t="str">
        <f aca="false">IF(TRIM($AD452)="",INDEX(Parametros!$I$20:$I$24,MATCH($H452,Parametros!$H$20:$H$24,0)),TRIM($AD452))</f>
        <v>Rosario</v>
      </c>
      <c r="J452" s="61" t="str">
        <f aca="false">INDEX(Parametros!$C$95:$C$106,MATCH(TRIM(INDEX(Datos_Origen!$E$2:$E$2459,$Z452)),Parametros!$B$95:$B$106,0))</f>
        <v>Tienda fisica</v>
      </c>
      <c r="K452" s="61" t="str">
        <f aca="false">INDEX(Parametros!$C$48:$C$67,MATCH(TRIM(INDEX(Datos_Origen!$F$2:$F$2459,$Z452)),Parametros!$B$48:$B$67,0))</f>
        <v>Accesorios</v>
      </c>
      <c r="L452" s="61" t="str">
        <f aca="false">$K452&amp;" "&amp;$C452</f>
        <v>Accesorios 2024</v>
      </c>
      <c r="M452" s="61" t="str">
        <f aca="false">TRIM(INDEX(Datos_Origen!$G$2:$G$2459,$Z452))</f>
        <v>Webcam Full HD</v>
      </c>
      <c r="N452" s="61" t="str">
        <f aca="false">$M452&amp;" "&amp;$C452</f>
        <v>Webcam Full HD 2024</v>
      </c>
      <c r="O452" s="63" t="n">
        <f aca="false">IF(ISTEXT($AC452),VALUE($AC452),$AC452)</f>
        <v>43</v>
      </c>
      <c r="P452" s="64" t="n">
        <f aca="false">INDEX(Datos_Origen!$I$2:$I$2459,$Z452)</f>
        <v>63.7</v>
      </c>
      <c r="Q452" s="64" t="n">
        <f aca="false">INDEX(Datos_Origen!$J$2:$J$2459,$Z452)</f>
        <v>35.43</v>
      </c>
      <c r="R452" s="65" t="n">
        <f aca="false">ROUND($O452*$P452,2)</f>
        <v>2739.1</v>
      </c>
      <c r="S452" s="65" t="n">
        <f aca="false">ROUND($O452*$Q452,2)</f>
        <v>1523.49</v>
      </c>
      <c r="T452" s="65" t="n">
        <f aca="false">ROUND($R452*SUMIFS(Parametros!$E$28:$E$43,Parametros!$B$28:$B$43,$J452,Parametros!$C$28:$C$43,$C452,Parametros!$D$28:$D$43,$D452),2)</f>
        <v>32.87</v>
      </c>
      <c r="U452" s="65" t="n">
        <f aca="false">$R452-$S452-$T452</f>
        <v>1182.74</v>
      </c>
      <c r="V452" s="66" t="n">
        <f aca="false">IFERROR($U452/$R452,0)</f>
        <v>0.431798766018035</v>
      </c>
      <c r="W452" s="67" t="str">
        <f aca="false">IF(AND($V452&gt;=Parametros!$C$8,$R452&gt;=Parametros!$C$12),"Alta rentabilidad",IF(OR($V452&lt;Parametros!$C$11,$R452&lt;Parametros!$C$13),"Revisar","Estandar"))</f>
        <v>Estandar</v>
      </c>
      <c r="X452" s="67" t="str">
        <f aca="false">IF(AND($J452="E-commerce",IFERROR($T452/$R452,0)&gt;Parametros!$C$14),"Alerta","OK")</f>
        <v>OK</v>
      </c>
      <c r="Y452" s="61" t="str">
        <f aca="false">IF($R452&gt;=Parametros!$C$12,"Alto",IF($R452&lt;Parametros!$C$13,"Bajo","Medio"))</f>
        <v>Medio</v>
      </c>
      <c r="Z452" s="61" t="n">
        <v>2192</v>
      </c>
      <c r="AA452" s="61" t="str">
        <f aca="false">IF(MATCH($A452,Datos_Origen!$A$2:$A$2459,0)=$Z452,"OK","REVISAR")</f>
        <v>OK</v>
      </c>
      <c r="AB452" s="62" t="n">
        <f aca="false">INDEX(Datos_Origen!$B$2:$B$2459,$Z452)</f>
        <v>45438</v>
      </c>
      <c r="AC452" s="61" t="n">
        <f aca="false">INDEX(Datos_Origen!$H$2:$H$2459,$Z452)</f>
        <v>43</v>
      </c>
      <c r="AD452" s="61" t="str">
        <f aca="false">INDEX(Datos_Origen!$D$2:$D$2459,$Z452)&amp;""</f>
        <v>Rosario</v>
      </c>
    </row>
    <row r="453" customFormat="false" ht="15" hidden="false" customHeight="false" outlineLevel="0" collapsed="false">
      <c r="A453" s="61" t="n">
        <f aca="false">INDEX(Datos_Origen!$A$2:$A$2459,$Z453)</f>
        <v>452</v>
      </c>
      <c r="B453" s="62" t="n">
        <f aca="false">IF(ISNUMBER($AB453),$AB453,IF(MID($AB453,5,1)="-",DATE(VALUE(LEFT($AB453,4)),VALUE(MID($AB453,6,2)),VALUE(RIGHT($AB453,2))),DATE(VALUE(RIGHT($AB453,4)),VALUE(MID($AB453,4,2)),VALUE(LEFT($AB453,2)))))</f>
        <v>45418</v>
      </c>
      <c r="C453" s="61" t="n">
        <f aca="false">YEAR($B453)</f>
        <v>2024</v>
      </c>
      <c r="D453" s="61" t="str">
        <f aca="false">"Q"&amp;ROUNDUP(MONTH($B453)/3,0)</f>
        <v>Q2</v>
      </c>
      <c r="E453" s="61" t="n">
        <f aca="false">MONTH($B453)</f>
        <v>5</v>
      </c>
      <c r="F453" s="61" t="str">
        <f aca="false">INDEX(Parametros!$I$5:$I$16,$E453)</f>
        <v>May</v>
      </c>
      <c r="G453" s="61" t="str">
        <f aca="false">TEXT($C453,"0000")&amp;"-"&amp;TEXT($E453,"00")</f>
        <v>2024-05</v>
      </c>
      <c r="H453" s="61" t="str">
        <f aca="false">INDEX(Parametros!$C$71:$C$91,MATCH(TRIM(INDEX(Datos_Origen!$C$2:$C$2459,$Z453)),Parametros!$B$71:$B$91,0))</f>
        <v>Litoral</v>
      </c>
      <c r="I453" s="61" t="str">
        <f aca="false">IF(TRIM($AD453)="",INDEX(Parametros!$I$20:$I$24,MATCH($H453,Parametros!$H$20:$H$24,0)),TRIM($AD453))</f>
        <v>Rosario</v>
      </c>
      <c r="J453" s="61" t="str">
        <f aca="false">INDEX(Parametros!$C$95:$C$106,MATCH(TRIM(INDEX(Datos_Origen!$E$2:$E$2459,$Z453)),Parametros!$B$95:$B$106,0))</f>
        <v>E-commerce</v>
      </c>
      <c r="K453" s="61" t="str">
        <f aca="false">INDEX(Parametros!$C$48:$C$67,MATCH(TRIM(INDEX(Datos_Origen!$F$2:$F$2459,$Z453)),Parametros!$B$48:$B$67,0))</f>
        <v>Accesorios</v>
      </c>
      <c r="L453" s="61" t="str">
        <f aca="false">$K453&amp;" "&amp;$C453</f>
        <v>Accesorios 2024</v>
      </c>
      <c r="M453" s="61" t="str">
        <f aca="false">TRIM(INDEX(Datos_Origen!$G$2:$G$2459,$Z453))</f>
        <v>Webcam Full HD</v>
      </c>
      <c r="N453" s="61" t="str">
        <f aca="false">$M453&amp;" "&amp;$C453</f>
        <v>Webcam Full HD 2024</v>
      </c>
      <c r="O453" s="63" t="n">
        <f aca="false">IF(ISTEXT($AC453),VALUE($AC453),$AC453)</f>
        <v>14</v>
      </c>
      <c r="P453" s="64" t="n">
        <f aca="false">INDEX(Datos_Origen!$I$2:$I$2459,$Z453)</f>
        <v>63.7</v>
      </c>
      <c r="Q453" s="64" t="n">
        <f aca="false">INDEX(Datos_Origen!$J$2:$J$2459,$Z453)</f>
        <v>35.43</v>
      </c>
      <c r="R453" s="65" t="n">
        <f aca="false">ROUND($O453*$P453,2)</f>
        <v>891.8</v>
      </c>
      <c r="S453" s="65" t="n">
        <f aca="false">ROUND($O453*$Q453,2)</f>
        <v>496.02</v>
      </c>
      <c r="T453" s="65" t="n">
        <f aca="false">ROUND($R453*SUMIFS(Parametros!$E$28:$E$43,Parametros!$B$28:$B$43,$J453,Parametros!$C$28:$C$43,$C453,Parametros!$D$28:$D$43,$D453),2)</f>
        <v>39.24</v>
      </c>
      <c r="U453" s="65" t="n">
        <f aca="false">$R453-$S453-$T453</f>
        <v>356.54</v>
      </c>
      <c r="V453" s="66" t="n">
        <f aca="false">IFERROR($U453/$R453,0)</f>
        <v>0.399798161022651</v>
      </c>
      <c r="W453" s="67" t="str">
        <f aca="false">IF(AND($V453&gt;=Parametros!$C$8,$R453&gt;=Parametros!$C$12),"Alta rentabilidad",IF(OR($V453&lt;Parametros!$C$11,$R453&lt;Parametros!$C$13),"Revisar","Estandar"))</f>
        <v>Estandar</v>
      </c>
      <c r="X453" s="67" t="str">
        <f aca="false">IF(AND($J453="E-commerce",IFERROR($T453/$R453,0)&gt;Parametros!$C$14),"Alerta","OK")</f>
        <v>OK</v>
      </c>
      <c r="Y453" s="61" t="str">
        <f aca="false">IF($R453&gt;=Parametros!$C$12,"Alto",IF($R453&lt;Parametros!$C$13,"Bajo","Medio"))</f>
        <v>Medio</v>
      </c>
      <c r="Z453" s="61" t="n">
        <v>2453</v>
      </c>
      <c r="AA453" s="61" t="str">
        <f aca="false">IF(MATCH($A453,Datos_Origen!$A$2:$A$2459,0)=$Z453,"OK","REVISAR")</f>
        <v>OK</v>
      </c>
      <c r="AB453" s="62" t="n">
        <f aca="false">INDEX(Datos_Origen!$B$2:$B$2459,$Z453)</f>
        <v>45418</v>
      </c>
      <c r="AC453" s="61" t="n">
        <f aca="false">INDEX(Datos_Origen!$H$2:$H$2459,$Z453)</f>
        <v>14</v>
      </c>
      <c r="AD453" s="61" t="str">
        <f aca="false">INDEX(Datos_Origen!$D$2:$D$2459,$Z453)&amp;""</f>
        <v>Rosario</v>
      </c>
    </row>
    <row r="454" customFormat="false" ht="15" hidden="false" customHeight="false" outlineLevel="0" collapsed="false">
      <c r="A454" s="61" t="n">
        <f aca="false">INDEX(Datos_Origen!$A$2:$A$2459,$Z454)</f>
        <v>453</v>
      </c>
      <c r="B454" s="62" t="n">
        <f aca="false">IF(ISNUMBER($AB454),$AB454,IF(MID($AB454,5,1)="-",DATE(VALUE(LEFT($AB454,4)),VALUE(MID($AB454,6,2)),VALUE(RIGHT($AB454,2))),DATE(VALUE(RIGHT($AB454,4)),VALUE(MID($AB454,4,2)),VALUE(LEFT($AB454,2)))))</f>
        <v>45425</v>
      </c>
      <c r="C454" s="61" t="n">
        <f aca="false">YEAR($B454)</f>
        <v>2024</v>
      </c>
      <c r="D454" s="61" t="str">
        <f aca="false">"Q"&amp;ROUNDUP(MONTH($B454)/3,0)</f>
        <v>Q2</v>
      </c>
      <c r="E454" s="61" t="n">
        <f aca="false">MONTH($B454)</f>
        <v>5</v>
      </c>
      <c r="F454" s="61" t="str">
        <f aca="false">INDEX(Parametros!$I$5:$I$16,$E454)</f>
        <v>May</v>
      </c>
      <c r="G454" s="61" t="str">
        <f aca="false">TEXT($C454,"0000")&amp;"-"&amp;TEXT($E454,"00")</f>
        <v>2024-05</v>
      </c>
      <c r="H454" s="61" t="str">
        <f aca="false">INDEX(Parametros!$C$71:$C$91,MATCH(TRIM(INDEX(Datos_Origen!$C$2:$C$2459,$Z454)),Parametros!$B$71:$B$91,0))</f>
        <v>Litoral</v>
      </c>
      <c r="I454" s="61" t="str">
        <f aca="false">IF(TRIM($AD454)="",INDEX(Parametros!$I$20:$I$24,MATCH($H454,Parametros!$H$20:$H$24,0)),TRIM($AD454))</f>
        <v>Rosario</v>
      </c>
      <c r="J454" s="61" t="str">
        <f aca="false">INDEX(Parametros!$C$95:$C$106,MATCH(TRIM(INDEX(Datos_Origen!$E$2:$E$2459,$Z454)),Parametros!$B$95:$B$106,0))</f>
        <v>Tienda fisica</v>
      </c>
      <c r="K454" s="61" t="str">
        <f aca="false">INDEX(Parametros!$C$48:$C$67,MATCH(TRIM(INDEX(Datos_Origen!$F$2:$F$2459,$Z454)),Parametros!$B$48:$B$67,0))</f>
        <v>Audio</v>
      </c>
      <c r="L454" s="61" t="str">
        <f aca="false">$K454&amp;" "&amp;$C454</f>
        <v>Audio 2024</v>
      </c>
      <c r="M454" s="61" t="str">
        <f aca="false">TRIM(INDEX(Datos_Origen!$G$2:$G$2459,$Z454))</f>
        <v>Auriculares BT Pro</v>
      </c>
      <c r="N454" s="61" t="str">
        <f aca="false">$M454&amp;" "&amp;$C454</f>
        <v>Auriculares BT Pro 2024</v>
      </c>
      <c r="O454" s="63" t="n">
        <f aca="false">IF(ISTEXT($AC454),VALUE($AC454),$AC454)</f>
        <v>18</v>
      </c>
      <c r="P454" s="64" t="n">
        <f aca="false">INDEX(Datos_Origen!$I$2:$I$2459,$Z454)</f>
        <v>117.6</v>
      </c>
      <c r="Q454" s="64" t="n">
        <f aca="false">INDEX(Datos_Origen!$J$2:$J$2459,$Z454)</f>
        <v>63.6</v>
      </c>
      <c r="R454" s="65" t="n">
        <f aca="false">ROUND($O454*$P454,2)</f>
        <v>2116.8</v>
      </c>
      <c r="S454" s="65" t="n">
        <f aca="false">ROUND($O454*$Q454,2)</f>
        <v>1144.8</v>
      </c>
      <c r="T454" s="65" t="n">
        <f aca="false">ROUND($R454*SUMIFS(Parametros!$E$28:$E$43,Parametros!$B$28:$B$43,$J454,Parametros!$C$28:$C$43,$C454,Parametros!$D$28:$D$43,$D454),2)</f>
        <v>25.4</v>
      </c>
      <c r="U454" s="65" t="n">
        <f aca="false">$R454-$S454-$T454</f>
        <v>946.6</v>
      </c>
      <c r="V454" s="66" t="n">
        <f aca="false">IFERROR($U454/$R454,0)</f>
        <v>0.447184429327287</v>
      </c>
      <c r="W454" s="67" t="str">
        <f aca="false">IF(AND($V454&gt;=Parametros!$C$8,$R454&gt;=Parametros!$C$12),"Alta rentabilidad",IF(OR($V454&lt;Parametros!$C$11,$R454&lt;Parametros!$C$13),"Revisar","Estandar"))</f>
        <v>Estandar</v>
      </c>
      <c r="X454" s="67" t="str">
        <f aca="false">IF(AND($J454="E-commerce",IFERROR($T454/$R454,0)&gt;Parametros!$C$14),"Alerta","OK")</f>
        <v>OK</v>
      </c>
      <c r="Y454" s="61" t="str">
        <f aca="false">IF($R454&gt;=Parametros!$C$12,"Alto",IF($R454&lt;Parametros!$C$13,"Bajo","Medio"))</f>
        <v>Medio</v>
      </c>
      <c r="Z454" s="61" t="n">
        <v>620</v>
      </c>
      <c r="AA454" s="61" t="str">
        <f aca="false">IF(MATCH($A454,Datos_Origen!$A$2:$A$2459,0)=$Z454,"OK","REVISAR")</f>
        <v>OK</v>
      </c>
      <c r="AB454" s="62" t="n">
        <f aca="false">INDEX(Datos_Origen!$B$2:$B$2459,$Z454)</f>
        <v>45425</v>
      </c>
      <c r="AC454" s="61" t="n">
        <f aca="false">INDEX(Datos_Origen!$H$2:$H$2459,$Z454)</f>
        <v>18</v>
      </c>
      <c r="AD454" s="61" t="str">
        <f aca="false">INDEX(Datos_Origen!$D$2:$D$2459,$Z454)&amp;""</f>
        <v/>
      </c>
    </row>
    <row r="455" customFormat="false" ht="15" hidden="false" customHeight="false" outlineLevel="0" collapsed="false">
      <c r="A455" s="61" t="n">
        <f aca="false">INDEX(Datos_Origen!$A$2:$A$2459,$Z455)</f>
        <v>454</v>
      </c>
      <c r="B455" s="62" t="n">
        <f aca="false">IF(ISNUMBER($AB455),$AB455,IF(MID($AB455,5,1)="-",DATE(VALUE(LEFT($AB455,4)),VALUE(MID($AB455,6,2)),VALUE(RIGHT($AB455,2))),DATE(VALUE(RIGHT($AB455,4)),VALUE(MID($AB455,4,2)),VALUE(LEFT($AB455,2)))))</f>
        <v>45432</v>
      </c>
      <c r="C455" s="61" t="n">
        <f aca="false">YEAR($B455)</f>
        <v>2024</v>
      </c>
      <c r="D455" s="61" t="str">
        <f aca="false">"Q"&amp;ROUNDUP(MONTH($B455)/3,0)</f>
        <v>Q2</v>
      </c>
      <c r="E455" s="61" t="n">
        <f aca="false">MONTH($B455)</f>
        <v>5</v>
      </c>
      <c r="F455" s="61" t="str">
        <f aca="false">INDEX(Parametros!$I$5:$I$16,$E455)</f>
        <v>May</v>
      </c>
      <c r="G455" s="61" t="str">
        <f aca="false">TEXT($C455,"0000")&amp;"-"&amp;TEXT($E455,"00")</f>
        <v>2024-05</v>
      </c>
      <c r="H455" s="61" t="str">
        <f aca="false">INDEX(Parametros!$C$71:$C$91,MATCH(TRIM(INDEX(Datos_Origen!$C$2:$C$2459,$Z455)),Parametros!$B$71:$B$91,0))</f>
        <v>Litoral</v>
      </c>
      <c r="I455" s="61" t="str">
        <f aca="false">IF(TRIM($AD455)="",INDEX(Parametros!$I$20:$I$24,MATCH($H455,Parametros!$H$20:$H$24,0)),TRIM($AD455))</f>
        <v>Rosario</v>
      </c>
      <c r="J455" s="61" t="str">
        <f aca="false">INDEX(Parametros!$C$95:$C$106,MATCH(TRIM(INDEX(Datos_Origen!$E$2:$E$2459,$Z455)),Parametros!$B$95:$B$106,0))</f>
        <v>E-commerce</v>
      </c>
      <c r="K455" s="61" t="str">
        <f aca="false">INDEX(Parametros!$C$48:$C$67,MATCH(TRIM(INDEX(Datos_Origen!$F$2:$F$2459,$Z455)),Parametros!$B$48:$B$67,0))</f>
        <v>Audio</v>
      </c>
      <c r="L455" s="61" t="str">
        <f aca="false">$K455&amp;" "&amp;$C455</f>
        <v>Audio 2024</v>
      </c>
      <c r="M455" s="61" t="str">
        <f aca="false">TRIM(INDEX(Datos_Origen!$G$2:$G$2459,$Z455))</f>
        <v>Auriculares BT Pro</v>
      </c>
      <c r="N455" s="61" t="str">
        <f aca="false">$M455&amp;" "&amp;$C455</f>
        <v>Auriculares BT Pro 2024</v>
      </c>
      <c r="O455" s="63" t="n">
        <f aca="false">IF(ISTEXT($AC455),VALUE($AC455),$AC455)</f>
        <v>7</v>
      </c>
      <c r="P455" s="64" t="n">
        <f aca="false">INDEX(Datos_Origen!$I$2:$I$2459,$Z455)</f>
        <v>117.6</v>
      </c>
      <c r="Q455" s="64" t="n">
        <f aca="false">INDEX(Datos_Origen!$J$2:$J$2459,$Z455)</f>
        <v>63.6</v>
      </c>
      <c r="R455" s="65" t="n">
        <f aca="false">ROUND($O455*$P455,2)</f>
        <v>823.2</v>
      </c>
      <c r="S455" s="65" t="n">
        <f aca="false">ROUND($O455*$Q455,2)</f>
        <v>445.2</v>
      </c>
      <c r="T455" s="65" t="n">
        <f aca="false">ROUND($R455*SUMIFS(Parametros!$E$28:$E$43,Parametros!$B$28:$B$43,$J455,Parametros!$C$28:$C$43,$C455,Parametros!$D$28:$D$43,$D455),2)</f>
        <v>36.22</v>
      </c>
      <c r="U455" s="65" t="n">
        <f aca="false">$R455-$S455-$T455</f>
        <v>341.78</v>
      </c>
      <c r="V455" s="66" t="n">
        <f aca="false">IFERROR($U455/$R455,0)</f>
        <v>0.415184645286686</v>
      </c>
      <c r="W455" s="67" t="str">
        <f aca="false">IF(AND($V455&gt;=Parametros!$C$8,$R455&gt;=Parametros!$C$12),"Alta rentabilidad",IF(OR($V455&lt;Parametros!$C$11,$R455&lt;Parametros!$C$13),"Revisar","Estandar"))</f>
        <v>Estandar</v>
      </c>
      <c r="X455" s="67" t="str">
        <f aca="false">IF(AND($J455="E-commerce",IFERROR($T455/$R455,0)&gt;Parametros!$C$14),"Alerta","OK")</f>
        <v>OK</v>
      </c>
      <c r="Y455" s="61" t="str">
        <f aca="false">IF($R455&gt;=Parametros!$C$12,"Alto",IF($R455&lt;Parametros!$C$13,"Bajo","Medio"))</f>
        <v>Medio</v>
      </c>
      <c r="Z455" s="61" t="n">
        <v>170</v>
      </c>
      <c r="AA455" s="61" t="str">
        <f aca="false">IF(MATCH($A455,Datos_Origen!$A$2:$A$2459,0)=$Z455,"OK","REVISAR")</f>
        <v>OK</v>
      </c>
      <c r="AB455" s="62" t="n">
        <f aca="false">INDEX(Datos_Origen!$B$2:$B$2459,$Z455)</f>
        <v>45432</v>
      </c>
      <c r="AC455" s="61" t="n">
        <f aca="false">INDEX(Datos_Origen!$H$2:$H$2459,$Z455)</f>
        <v>7</v>
      </c>
      <c r="AD455" s="61" t="str">
        <f aca="false">INDEX(Datos_Origen!$D$2:$D$2459,$Z455)&amp;""</f>
        <v>Rosario</v>
      </c>
    </row>
    <row r="456" customFormat="false" ht="15" hidden="false" customHeight="false" outlineLevel="0" collapsed="false">
      <c r="A456" s="61" t="n">
        <f aca="false">INDEX(Datos_Origen!$A$2:$A$2459,$Z456)</f>
        <v>455</v>
      </c>
      <c r="B456" s="62" t="n">
        <f aca="false">IF(ISNUMBER($AB456),$AB456,IF(MID($AB456,5,1)="-",DATE(VALUE(LEFT($AB456,4)),VALUE(MID($AB456,6,2)),VALUE(RIGHT($AB456,2))),DATE(VALUE(RIGHT($AB456,4)),VALUE(MID($AB456,4,2)),VALUE(LEFT($AB456,2)))))</f>
        <v>45439</v>
      </c>
      <c r="C456" s="61" t="n">
        <f aca="false">YEAR($B456)</f>
        <v>2024</v>
      </c>
      <c r="D456" s="61" t="str">
        <f aca="false">"Q"&amp;ROUNDUP(MONTH($B456)/3,0)</f>
        <v>Q2</v>
      </c>
      <c r="E456" s="61" t="n">
        <f aca="false">MONTH($B456)</f>
        <v>5</v>
      </c>
      <c r="F456" s="61" t="str">
        <f aca="false">INDEX(Parametros!$I$5:$I$16,$E456)</f>
        <v>May</v>
      </c>
      <c r="G456" s="61" t="str">
        <f aca="false">TEXT($C456,"0000")&amp;"-"&amp;TEXT($E456,"00")</f>
        <v>2024-05</v>
      </c>
      <c r="H456" s="61" t="str">
        <f aca="false">INDEX(Parametros!$C$71:$C$91,MATCH(TRIM(INDEX(Datos_Origen!$C$2:$C$2459,$Z456)),Parametros!$B$71:$B$91,0))</f>
        <v>Litoral</v>
      </c>
      <c r="I456" s="61" t="str">
        <f aca="false">IF(TRIM($AD456)="",INDEX(Parametros!$I$20:$I$24,MATCH($H456,Parametros!$H$20:$H$24,0)),TRIM($AD456))</f>
        <v>Rosario</v>
      </c>
      <c r="J456" s="61" t="str">
        <f aca="false">INDEX(Parametros!$C$95:$C$106,MATCH(TRIM(INDEX(Datos_Origen!$E$2:$E$2459,$Z456)),Parametros!$B$95:$B$106,0))</f>
        <v>Tienda fisica</v>
      </c>
      <c r="K456" s="61" t="str">
        <f aca="false">INDEX(Parametros!$C$48:$C$67,MATCH(TRIM(INDEX(Datos_Origen!$F$2:$F$2459,$Z456)),Parametros!$B$48:$B$67,0))</f>
        <v>Audio</v>
      </c>
      <c r="L456" s="61" t="str">
        <f aca="false">$K456&amp;" "&amp;$C456</f>
        <v>Audio 2024</v>
      </c>
      <c r="M456" s="61" t="str">
        <f aca="false">TRIM(INDEX(Datos_Origen!$G$2:$G$2459,$Z456))</f>
        <v>Parlante Bluetooth</v>
      </c>
      <c r="N456" s="61" t="str">
        <f aca="false">$M456&amp;" "&amp;$C456</f>
        <v>Parlante Bluetooth 2024</v>
      </c>
      <c r="O456" s="63" t="n">
        <f aca="false">IF(ISTEXT($AC456),VALUE($AC456),$AC456)</f>
        <v>17</v>
      </c>
      <c r="P456" s="64" t="n">
        <f aca="false">INDEX(Datos_Origen!$I$2:$I$2459,$Z456)</f>
        <v>83.3</v>
      </c>
      <c r="Q456" s="64" t="n">
        <f aca="false">INDEX(Datos_Origen!$J$2:$J$2459,$Z456)</f>
        <v>48.03</v>
      </c>
      <c r="R456" s="65" t="n">
        <f aca="false">ROUND($O456*$P456,2)</f>
        <v>1416.1</v>
      </c>
      <c r="S456" s="65" t="n">
        <f aca="false">ROUND($O456*$Q456,2)</f>
        <v>816.51</v>
      </c>
      <c r="T456" s="65" t="n">
        <f aca="false">ROUND($R456*SUMIFS(Parametros!$E$28:$E$43,Parametros!$B$28:$B$43,$J456,Parametros!$C$28:$C$43,$C456,Parametros!$D$28:$D$43,$D456),2)</f>
        <v>16.99</v>
      </c>
      <c r="U456" s="65" t="n">
        <f aca="false">$R456-$S456-$T456</f>
        <v>582.6</v>
      </c>
      <c r="V456" s="66" t="n">
        <f aca="false">IFERROR($U456/$R456,0)</f>
        <v>0.411411623472919</v>
      </c>
      <c r="W456" s="67" t="str">
        <f aca="false">IF(AND($V456&gt;=Parametros!$C$8,$R456&gt;=Parametros!$C$12),"Alta rentabilidad",IF(OR($V456&lt;Parametros!$C$11,$R456&lt;Parametros!$C$13),"Revisar","Estandar"))</f>
        <v>Estandar</v>
      </c>
      <c r="X456" s="67" t="str">
        <f aca="false">IF(AND($J456="E-commerce",IFERROR($T456/$R456,0)&gt;Parametros!$C$14),"Alerta","OK")</f>
        <v>OK</v>
      </c>
      <c r="Y456" s="61" t="str">
        <f aca="false">IF($R456&gt;=Parametros!$C$12,"Alto",IF($R456&lt;Parametros!$C$13,"Bajo","Medio"))</f>
        <v>Medio</v>
      </c>
      <c r="Z456" s="61" t="n">
        <v>2127</v>
      </c>
      <c r="AA456" s="61" t="str">
        <f aca="false">IF(MATCH($A456,Datos_Origen!$A$2:$A$2459,0)=$Z456,"OK","REVISAR")</f>
        <v>OK</v>
      </c>
      <c r="AB456" s="62" t="n">
        <f aca="false">INDEX(Datos_Origen!$B$2:$B$2459,$Z456)</f>
        <v>45439</v>
      </c>
      <c r="AC456" s="61" t="n">
        <f aca="false">INDEX(Datos_Origen!$H$2:$H$2459,$Z456)</f>
        <v>17</v>
      </c>
      <c r="AD456" s="61" t="str">
        <f aca="false">INDEX(Datos_Origen!$D$2:$D$2459,$Z456)&amp;""</f>
        <v>Rosario</v>
      </c>
    </row>
    <row r="457" customFormat="false" ht="15" hidden="false" customHeight="false" outlineLevel="0" collapsed="false">
      <c r="A457" s="61" t="n">
        <f aca="false">INDEX(Datos_Origen!$A$2:$A$2459,$Z457)</f>
        <v>456</v>
      </c>
      <c r="B457" s="62" t="n">
        <f aca="false">IF(ISNUMBER($AB457),$AB457,IF(MID($AB457,5,1)="-",DATE(VALUE(LEFT($AB457,4)),VALUE(MID($AB457,6,2)),VALUE(RIGHT($AB457,2))),DATE(VALUE(RIGHT($AB457,4)),VALUE(MID($AB457,4,2)),VALUE(LEFT($AB457,2)))))</f>
        <v>45419</v>
      </c>
      <c r="C457" s="61" t="n">
        <f aca="false">YEAR($B457)</f>
        <v>2024</v>
      </c>
      <c r="D457" s="61" t="str">
        <f aca="false">"Q"&amp;ROUNDUP(MONTH($B457)/3,0)</f>
        <v>Q2</v>
      </c>
      <c r="E457" s="61" t="n">
        <f aca="false">MONTH($B457)</f>
        <v>5</v>
      </c>
      <c r="F457" s="61" t="str">
        <f aca="false">INDEX(Parametros!$I$5:$I$16,$E457)</f>
        <v>May</v>
      </c>
      <c r="G457" s="61" t="str">
        <f aca="false">TEXT($C457,"0000")&amp;"-"&amp;TEXT($E457,"00")</f>
        <v>2024-05</v>
      </c>
      <c r="H457" s="61" t="str">
        <f aca="false">INDEX(Parametros!$C$71:$C$91,MATCH(TRIM(INDEX(Datos_Origen!$C$2:$C$2459,$Z457)),Parametros!$B$71:$B$91,0))</f>
        <v>Litoral</v>
      </c>
      <c r="I457" s="61" t="str">
        <f aca="false">IF(TRIM($AD457)="",INDEX(Parametros!$I$20:$I$24,MATCH($H457,Parametros!$H$20:$H$24,0)),TRIM($AD457))</f>
        <v>Rosario</v>
      </c>
      <c r="J457" s="61" t="str">
        <f aca="false">INDEX(Parametros!$C$95:$C$106,MATCH(TRIM(INDEX(Datos_Origen!$E$2:$E$2459,$Z457)),Parametros!$B$95:$B$106,0))</f>
        <v>E-commerce</v>
      </c>
      <c r="K457" s="61" t="str">
        <f aca="false">INDEX(Parametros!$C$48:$C$67,MATCH(TRIM(INDEX(Datos_Origen!$F$2:$F$2459,$Z457)),Parametros!$B$48:$B$67,0))</f>
        <v>Audio</v>
      </c>
      <c r="L457" s="61" t="str">
        <f aca="false">$K457&amp;" "&amp;$C457</f>
        <v>Audio 2024</v>
      </c>
      <c r="M457" s="61" t="str">
        <f aca="false">TRIM(INDEX(Datos_Origen!$G$2:$G$2459,$Z457))</f>
        <v>Parlante Bluetooth</v>
      </c>
      <c r="N457" s="61" t="str">
        <f aca="false">$M457&amp;" "&amp;$C457</f>
        <v>Parlante Bluetooth 2024</v>
      </c>
      <c r="O457" s="63" t="n">
        <f aca="false">IF(ISTEXT($AC457),VALUE($AC457),$AC457)</f>
        <v>9</v>
      </c>
      <c r="P457" s="64" t="n">
        <f aca="false">INDEX(Datos_Origen!$I$2:$I$2459,$Z457)</f>
        <v>83.3</v>
      </c>
      <c r="Q457" s="64" t="n">
        <f aca="false">INDEX(Datos_Origen!$J$2:$J$2459,$Z457)</f>
        <v>48.03</v>
      </c>
      <c r="R457" s="65" t="n">
        <f aca="false">ROUND($O457*$P457,2)</f>
        <v>749.7</v>
      </c>
      <c r="S457" s="65" t="n">
        <f aca="false">ROUND($O457*$Q457,2)</f>
        <v>432.27</v>
      </c>
      <c r="T457" s="65" t="n">
        <f aca="false">ROUND($R457*SUMIFS(Parametros!$E$28:$E$43,Parametros!$B$28:$B$43,$J457,Parametros!$C$28:$C$43,$C457,Parametros!$D$28:$D$43,$D457),2)</f>
        <v>32.99</v>
      </c>
      <c r="U457" s="65" t="n">
        <f aca="false">$R457-$S457-$T457</f>
        <v>284.44</v>
      </c>
      <c r="V457" s="66" t="n">
        <f aca="false">IFERROR($U457/$R457,0)</f>
        <v>0.379405095371482</v>
      </c>
      <c r="W457" s="67" t="str">
        <f aca="false">IF(AND($V457&gt;=Parametros!$C$8,$R457&gt;=Parametros!$C$12),"Alta rentabilidad",IF(OR($V457&lt;Parametros!$C$11,$R457&lt;Parametros!$C$13),"Revisar","Estandar"))</f>
        <v>Estandar</v>
      </c>
      <c r="X457" s="67" t="str">
        <f aca="false">IF(AND($J457="E-commerce",IFERROR($T457/$R457,0)&gt;Parametros!$C$14),"Alerta","OK")</f>
        <v>OK</v>
      </c>
      <c r="Y457" s="61" t="str">
        <f aca="false">IF($R457&gt;=Parametros!$C$12,"Alto",IF($R457&lt;Parametros!$C$13,"Bajo","Medio"))</f>
        <v>Medio</v>
      </c>
      <c r="Z457" s="61" t="n">
        <v>1141</v>
      </c>
      <c r="AA457" s="61" t="str">
        <f aca="false">IF(MATCH($A457,Datos_Origen!$A$2:$A$2459,0)=$Z457,"OK","REVISAR")</f>
        <v>OK</v>
      </c>
      <c r="AB457" s="62" t="n">
        <f aca="false">INDEX(Datos_Origen!$B$2:$B$2459,$Z457)</f>
        <v>45419</v>
      </c>
      <c r="AC457" s="61" t="str">
        <f aca="false">INDEX(Datos_Origen!$H$2:$H$2459,$Z457)</f>
        <v>9</v>
      </c>
      <c r="AD457" s="61" t="str">
        <f aca="false">INDEX(Datos_Origen!$D$2:$D$2459,$Z457)&amp;""</f>
        <v>Rosario</v>
      </c>
    </row>
    <row r="458" customFormat="false" ht="15" hidden="false" customHeight="false" outlineLevel="0" collapsed="false">
      <c r="A458" s="61" t="n">
        <f aca="false">INDEX(Datos_Origen!$A$2:$A$2459,$Z458)</f>
        <v>457</v>
      </c>
      <c r="B458" s="62" t="n">
        <f aca="false">IF(ISNUMBER($AB458),$AB458,IF(MID($AB458,5,1)="-",DATE(VALUE(LEFT($AB458,4)),VALUE(MID($AB458,6,2)),VALUE(RIGHT($AB458,2))),DATE(VALUE(RIGHT($AB458,4)),VALUE(MID($AB458,4,2)),VALUE(LEFT($AB458,2)))))</f>
        <v>45426</v>
      </c>
      <c r="C458" s="61" t="n">
        <f aca="false">YEAR($B458)</f>
        <v>2024</v>
      </c>
      <c r="D458" s="61" t="str">
        <f aca="false">"Q"&amp;ROUNDUP(MONTH($B458)/3,0)</f>
        <v>Q2</v>
      </c>
      <c r="E458" s="61" t="n">
        <f aca="false">MONTH($B458)</f>
        <v>5</v>
      </c>
      <c r="F458" s="61" t="str">
        <f aca="false">INDEX(Parametros!$I$5:$I$16,$E458)</f>
        <v>May</v>
      </c>
      <c r="G458" s="61" t="str">
        <f aca="false">TEXT($C458,"0000")&amp;"-"&amp;TEXT($E458,"00")</f>
        <v>2024-05</v>
      </c>
      <c r="H458" s="61" t="str">
        <f aca="false">INDEX(Parametros!$C$71:$C$91,MATCH(TRIM(INDEX(Datos_Origen!$C$2:$C$2459,$Z458)),Parametros!$B$71:$B$91,0))</f>
        <v>Litoral</v>
      </c>
      <c r="I458" s="61" t="str">
        <f aca="false">IF(TRIM($AD458)="",INDEX(Parametros!$I$20:$I$24,MATCH($H458,Parametros!$H$20:$H$24,0)),TRIM($AD458))</f>
        <v>Rosario</v>
      </c>
      <c r="J458" s="61" t="str">
        <f aca="false">INDEX(Parametros!$C$95:$C$106,MATCH(TRIM(INDEX(Datos_Origen!$E$2:$E$2459,$Z458)),Parametros!$B$95:$B$106,0))</f>
        <v>Tienda fisica</v>
      </c>
      <c r="K458" s="61" t="str">
        <f aca="false">INDEX(Parametros!$C$48:$C$67,MATCH(TRIM(INDEX(Datos_Origen!$F$2:$F$2459,$Z458)),Parametros!$B$48:$B$67,0))</f>
        <v>Almacenamiento</v>
      </c>
      <c r="L458" s="61" t="str">
        <f aca="false">$K458&amp;" "&amp;$C458</f>
        <v>Almacenamiento 2024</v>
      </c>
      <c r="M458" s="61" t="str">
        <f aca="false">TRIM(INDEX(Datos_Origen!$G$2:$G$2459,$Z458))</f>
        <v>SSD Externo 1TB</v>
      </c>
      <c r="N458" s="61" t="str">
        <f aca="false">$M458&amp;" "&amp;$C458</f>
        <v>SSD Externo 1TB 2024</v>
      </c>
      <c r="O458" s="63" t="n">
        <f aca="false">IF(ISTEXT($AC458),VALUE($AC458),$AC458)</f>
        <v>25</v>
      </c>
      <c r="P458" s="64" t="n">
        <f aca="false">INDEX(Datos_Origen!$I$2:$I$2459,$Z458)</f>
        <v>127.4</v>
      </c>
      <c r="Q458" s="64" t="n">
        <f aca="false">INDEX(Datos_Origen!$J$2:$J$2459,$Z458)</f>
        <v>76.05</v>
      </c>
      <c r="R458" s="65" t="n">
        <f aca="false">ROUND($O458*$P458,2)</f>
        <v>3185</v>
      </c>
      <c r="S458" s="65" t="n">
        <f aca="false">ROUND($O458*$Q458,2)</f>
        <v>1901.25</v>
      </c>
      <c r="T458" s="65" t="n">
        <f aca="false">ROUND($R458*SUMIFS(Parametros!$E$28:$E$43,Parametros!$B$28:$B$43,$J458,Parametros!$C$28:$C$43,$C458,Parametros!$D$28:$D$43,$D458),2)</f>
        <v>38.22</v>
      </c>
      <c r="U458" s="65" t="n">
        <f aca="false">$R458-$S458-$T458</f>
        <v>1245.53</v>
      </c>
      <c r="V458" s="66" t="n">
        <f aca="false">IFERROR($U458/$R458,0)</f>
        <v>0.391061224489796</v>
      </c>
      <c r="W458" s="67" t="str">
        <f aca="false">IF(AND($V458&gt;=Parametros!$C$8,$R458&gt;=Parametros!$C$12),"Alta rentabilidad",IF(OR($V458&lt;Parametros!$C$11,$R458&lt;Parametros!$C$13),"Revisar","Estandar"))</f>
        <v>Alta rentabilidad</v>
      </c>
      <c r="X458" s="67" t="str">
        <f aca="false">IF(AND($J458="E-commerce",IFERROR($T458/$R458,0)&gt;Parametros!$C$14),"Alerta","OK")</f>
        <v>OK</v>
      </c>
      <c r="Y458" s="61" t="str">
        <f aca="false">IF($R458&gt;=Parametros!$C$12,"Alto",IF($R458&lt;Parametros!$C$13,"Bajo","Medio"))</f>
        <v>Alto</v>
      </c>
      <c r="Z458" s="61" t="n">
        <v>1058</v>
      </c>
      <c r="AA458" s="61" t="str">
        <f aca="false">IF(MATCH($A458,Datos_Origen!$A$2:$A$2459,0)=$Z458,"OK","REVISAR")</f>
        <v>OK</v>
      </c>
      <c r="AB458" s="62" t="n">
        <f aca="false">INDEX(Datos_Origen!$B$2:$B$2459,$Z458)</f>
        <v>45426</v>
      </c>
      <c r="AC458" s="61" t="n">
        <f aca="false">INDEX(Datos_Origen!$H$2:$H$2459,$Z458)</f>
        <v>25</v>
      </c>
      <c r="AD458" s="61" t="str">
        <f aca="false">INDEX(Datos_Origen!$D$2:$D$2459,$Z458)&amp;""</f>
        <v>Rosario</v>
      </c>
    </row>
    <row r="459" customFormat="false" ht="15" hidden="false" customHeight="false" outlineLevel="0" collapsed="false">
      <c r="A459" s="61" t="n">
        <f aca="false">INDEX(Datos_Origen!$A$2:$A$2459,$Z459)</f>
        <v>458</v>
      </c>
      <c r="B459" s="62" t="n">
        <f aca="false">IF(ISNUMBER($AB459),$AB459,IF(MID($AB459,5,1)="-",DATE(VALUE(LEFT($AB459,4)),VALUE(MID($AB459,6,2)),VALUE(RIGHT($AB459,2))),DATE(VALUE(RIGHT($AB459,4)),VALUE(MID($AB459,4,2)),VALUE(LEFT($AB459,2)))))</f>
        <v>45433</v>
      </c>
      <c r="C459" s="61" t="n">
        <f aca="false">YEAR($B459)</f>
        <v>2024</v>
      </c>
      <c r="D459" s="61" t="str">
        <f aca="false">"Q"&amp;ROUNDUP(MONTH($B459)/3,0)</f>
        <v>Q2</v>
      </c>
      <c r="E459" s="61" t="n">
        <f aca="false">MONTH($B459)</f>
        <v>5</v>
      </c>
      <c r="F459" s="61" t="str">
        <f aca="false">INDEX(Parametros!$I$5:$I$16,$E459)</f>
        <v>May</v>
      </c>
      <c r="G459" s="61" t="str">
        <f aca="false">TEXT($C459,"0000")&amp;"-"&amp;TEXT($E459,"00")</f>
        <v>2024-05</v>
      </c>
      <c r="H459" s="61" t="str">
        <f aca="false">INDEX(Parametros!$C$71:$C$91,MATCH(TRIM(INDEX(Datos_Origen!$C$2:$C$2459,$Z459)),Parametros!$B$71:$B$91,0))</f>
        <v>Litoral</v>
      </c>
      <c r="I459" s="61" t="str">
        <f aca="false">IF(TRIM($AD459)="",INDEX(Parametros!$I$20:$I$24,MATCH($H459,Parametros!$H$20:$H$24,0)),TRIM($AD459))</f>
        <v>Rosario</v>
      </c>
      <c r="J459" s="61" t="str">
        <f aca="false">INDEX(Parametros!$C$95:$C$106,MATCH(TRIM(INDEX(Datos_Origen!$E$2:$E$2459,$Z459)),Parametros!$B$95:$B$106,0))</f>
        <v>E-commerce</v>
      </c>
      <c r="K459" s="61" t="str">
        <f aca="false">INDEX(Parametros!$C$48:$C$67,MATCH(TRIM(INDEX(Datos_Origen!$F$2:$F$2459,$Z459)),Parametros!$B$48:$B$67,0))</f>
        <v>Almacenamiento</v>
      </c>
      <c r="L459" s="61" t="str">
        <f aca="false">$K459&amp;" "&amp;$C459</f>
        <v>Almacenamiento 2024</v>
      </c>
      <c r="M459" s="61" t="str">
        <f aca="false">TRIM(INDEX(Datos_Origen!$G$2:$G$2459,$Z459))</f>
        <v>SSD Externo 1TB</v>
      </c>
      <c r="N459" s="61" t="str">
        <f aca="false">$M459&amp;" "&amp;$C459</f>
        <v>SSD Externo 1TB 2024</v>
      </c>
      <c r="O459" s="63" t="n">
        <f aca="false">IF(ISTEXT($AC459),VALUE($AC459),$AC459)</f>
        <v>8</v>
      </c>
      <c r="P459" s="64" t="n">
        <f aca="false">INDEX(Datos_Origen!$I$2:$I$2459,$Z459)</f>
        <v>127.4</v>
      </c>
      <c r="Q459" s="64" t="n">
        <f aca="false">INDEX(Datos_Origen!$J$2:$J$2459,$Z459)</f>
        <v>76.05</v>
      </c>
      <c r="R459" s="65" t="n">
        <f aca="false">ROUND($O459*$P459,2)</f>
        <v>1019.2</v>
      </c>
      <c r="S459" s="65" t="n">
        <f aca="false">ROUND($O459*$Q459,2)</f>
        <v>608.4</v>
      </c>
      <c r="T459" s="65" t="n">
        <f aca="false">ROUND($R459*SUMIFS(Parametros!$E$28:$E$43,Parametros!$B$28:$B$43,$J459,Parametros!$C$28:$C$43,$C459,Parametros!$D$28:$D$43,$D459),2)</f>
        <v>44.84</v>
      </c>
      <c r="U459" s="65" t="n">
        <f aca="false">$R459-$S459-$T459</f>
        <v>365.96</v>
      </c>
      <c r="V459" s="66" t="n">
        <f aca="false">IFERROR($U459/$R459,0)</f>
        <v>0.359065934065934</v>
      </c>
      <c r="W459" s="67" t="str">
        <f aca="false">IF(AND($V459&gt;=Parametros!$C$8,$R459&gt;=Parametros!$C$12),"Alta rentabilidad",IF(OR($V459&lt;Parametros!$C$11,$R459&lt;Parametros!$C$13),"Revisar","Estandar"))</f>
        <v>Estandar</v>
      </c>
      <c r="X459" s="67" t="str">
        <f aca="false">IF(AND($J459="E-commerce",IFERROR($T459/$R459,0)&gt;Parametros!$C$14),"Alerta","OK")</f>
        <v>OK</v>
      </c>
      <c r="Y459" s="61" t="str">
        <f aca="false">IF($R459&gt;=Parametros!$C$12,"Alto",IF($R459&lt;Parametros!$C$13,"Bajo","Medio"))</f>
        <v>Medio</v>
      </c>
      <c r="Z459" s="61" t="n">
        <v>831</v>
      </c>
      <c r="AA459" s="61" t="str">
        <f aca="false">IF(MATCH($A459,Datos_Origen!$A$2:$A$2459,0)=$Z459,"OK","REVISAR")</f>
        <v>OK</v>
      </c>
      <c r="AB459" s="62" t="n">
        <f aca="false">INDEX(Datos_Origen!$B$2:$B$2459,$Z459)</f>
        <v>45433</v>
      </c>
      <c r="AC459" s="61" t="n">
        <f aca="false">INDEX(Datos_Origen!$H$2:$H$2459,$Z459)</f>
        <v>8</v>
      </c>
      <c r="AD459" s="61" t="str">
        <f aca="false">INDEX(Datos_Origen!$D$2:$D$2459,$Z459)&amp;""</f>
        <v>Rosario</v>
      </c>
    </row>
    <row r="460" customFormat="false" ht="15" hidden="false" customHeight="false" outlineLevel="0" collapsed="false">
      <c r="A460" s="61" t="n">
        <f aca="false">INDEX(Datos_Origen!$A$2:$A$2459,$Z460)</f>
        <v>459</v>
      </c>
      <c r="B460" s="62" t="n">
        <f aca="false">IF(ISNUMBER($AB460),$AB460,IF(MID($AB460,5,1)="-",DATE(VALUE(LEFT($AB460,4)),VALUE(MID($AB460,6,2)),VALUE(RIGHT($AB460,2))),DATE(VALUE(RIGHT($AB460,4)),VALUE(MID($AB460,4,2)),VALUE(LEFT($AB460,2)))))</f>
        <v>45413</v>
      </c>
      <c r="C460" s="61" t="n">
        <f aca="false">YEAR($B460)</f>
        <v>2024</v>
      </c>
      <c r="D460" s="61" t="str">
        <f aca="false">"Q"&amp;ROUNDUP(MONTH($B460)/3,0)</f>
        <v>Q2</v>
      </c>
      <c r="E460" s="61" t="n">
        <f aca="false">MONTH($B460)</f>
        <v>5</v>
      </c>
      <c r="F460" s="61" t="str">
        <f aca="false">INDEX(Parametros!$I$5:$I$16,$E460)</f>
        <v>May</v>
      </c>
      <c r="G460" s="61" t="str">
        <f aca="false">TEXT($C460,"0000")&amp;"-"&amp;TEXT($E460,"00")</f>
        <v>2024-05</v>
      </c>
      <c r="H460" s="61" t="str">
        <f aca="false">INDEX(Parametros!$C$71:$C$91,MATCH(TRIM(INDEX(Datos_Origen!$C$2:$C$2459,$Z460)),Parametros!$B$71:$B$91,0))</f>
        <v>Litoral</v>
      </c>
      <c r="I460" s="61" t="str">
        <f aca="false">IF(TRIM($AD460)="",INDEX(Parametros!$I$20:$I$24,MATCH($H460,Parametros!$H$20:$H$24,0)),TRIM($AD460))</f>
        <v>Rosario</v>
      </c>
      <c r="J460" s="61" t="str">
        <f aca="false">INDEX(Parametros!$C$95:$C$106,MATCH(TRIM(INDEX(Datos_Origen!$E$2:$E$2459,$Z460)),Parametros!$B$95:$B$106,0))</f>
        <v>Tienda fisica</v>
      </c>
      <c r="K460" s="61" t="str">
        <f aca="false">INDEX(Parametros!$C$48:$C$67,MATCH(TRIM(INDEX(Datos_Origen!$F$2:$F$2459,$Z460)),Parametros!$B$48:$B$67,0))</f>
        <v>Almacenamiento</v>
      </c>
      <c r="L460" s="61" t="str">
        <f aca="false">$K460&amp;" "&amp;$C460</f>
        <v>Almacenamiento 2024</v>
      </c>
      <c r="M460" s="61" t="str">
        <f aca="false">TRIM(INDEX(Datos_Origen!$G$2:$G$2459,$Z460))</f>
        <v>Pendrive 256GB</v>
      </c>
      <c r="N460" s="61" t="str">
        <f aca="false">$M460&amp;" "&amp;$C460</f>
        <v>Pendrive 256GB 2024</v>
      </c>
      <c r="O460" s="63" t="n">
        <f aca="false">IF(ISTEXT($AC460),VALUE($AC460),$AC460)</f>
        <v>24</v>
      </c>
      <c r="P460" s="64" t="n">
        <f aca="false">INDEX(Datos_Origen!$I$2:$I$2459,$Z460)</f>
        <v>34.3</v>
      </c>
      <c r="Q460" s="64" t="n">
        <f aca="false">INDEX(Datos_Origen!$J$2:$J$2459,$Z460)</f>
        <v>17.85</v>
      </c>
      <c r="R460" s="65" t="n">
        <f aca="false">ROUND($O460*$P460,2)</f>
        <v>823.2</v>
      </c>
      <c r="S460" s="65" t="n">
        <f aca="false">ROUND($O460*$Q460,2)</f>
        <v>428.4</v>
      </c>
      <c r="T460" s="65" t="n">
        <f aca="false">ROUND($R460*SUMIFS(Parametros!$E$28:$E$43,Parametros!$B$28:$B$43,$J460,Parametros!$C$28:$C$43,$C460,Parametros!$D$28:$D$43,$D460),2)</f>
        <v>9.88</v>
      </c>
      <c r="U460" s="65" t="n">
        <f aca="false">$R460-$S460-$T460</f>
        <v>384.92</v>
      </c>
      <c r="V460" s="66" t="n">
        <f aca="false">IFERROR($U460/$R460,0)</f>
        <v>0.467589893100097</v>
      </c>
      <c r="W460" s="67" t="str">
        <f aca="false">IF(AND($V460&gt;=Parametros!$C$8,$R460&gt;=Parametros!$C$12),"Alta rentabilidad",IF(OR($V460&lt;Parametros!$C$11,$R460&lt;Parametros!$C$13),"Revisar","Estandar"))</f>
        <v>Estandar</v>
      </c>
      <c r="X460" s="67" t="str">
        <f aca="false">IF(AND($J460="E-commerce",IFERROR($T460/$R460,0)&gt;Parametros!$C$14),"Alerta","OK")</f>
        <v>OK</v>
      </c>
      <c r="Y460" s="61" t="str">
        <f aca="false">IF($R460&gt;=Parametros!$C$12,"Alto",IF($R460&lt;Parametros!$C$13,"Bajo","Medio"))</f>
        <v>Medio</v>
      </c>
      <c r="Z460" s="61" t="n">
        <v>1690</v>
      </c>
      <c r="AA460" s="61" t="str">
        <f aca="false">IF(MATCH($A460,Datos_Origen!$A$2:$A$2459,0)=$Z460,"OK","REVISAR")</f>
        <v>OK</v>
      </c>
      <c r="AB460" s="62" t="n">
        <f aca="false">INDEX(Datos_Origen!$B$2:$B$2459,$Z460)</f>
        <v>45413</v>
      </c>
      <c r="AC460" s="61" t="n">
        <f aca="false">INDEX(Datos_Origen!$H$2:$H$2459,$Z460)</f>
        <v>24</v>
      </c>
      <c r="AD460" s="61" t="str">
        <f aca="false">INDEX(Datos_Origen!$D$2:$D$2459,$Z460)&amp;""</f>
        <v>Rosario</v>
      </c>
    </row>
    <row r="461" customFormat="false" ht="15" hidden="false" customHeight="false" outlineLevel="0" collapsed="false">
      <c r="A461" s="61" t="n">
        <f aca="false">INDEX(Datos_Origen!$A$2:$A$2459,$Z461)</f>
        <v>460</v>
      </c>
      <c r="B461" s="62" t="n">
        <f aca="false">IF(ISNUMBER($AB461),$AB461,IF(MID($AB461,5,1)="-",DATE(VALUE(LEFT($AB461,4)),VALUE(MID($AB461,6,2)),VALUE(RIGHT($AB461,2))),DATE(VALUE(RIGHT($AB461,4)),VALUE(MID($AB461,4,2)),VALUE(LEFT($AB461,2)))))</f>
        <v>45420</v>
      </c>
      <c r="C461" s="61" t="n">
        <f aca="false">YEAR($B461)</f>
        <v>2024</v>
      </c>
      <c r="D461" s="61" t="str">
        <f aca="false">"Q"&amp;ROUNDUP(MONTH($B461)/3,0)</f>
        <v>Q2</v>
      </c>
      <c r="E461" s="61" t="n">
        <f aca="false">MONTH($B461)</f>
        <v>5</v>
      </c>
      <c r="F461" s="61" t="str">
        <f aca="false">INDEX(Parametros!$I$5:$I$16,$E461)</f>
        <v>May</v>
      </c>
      <c r="G461" s="61" t="str">
        <f aca="false">TEXT($C461,"0000")&amp;"-"&amp;TEXT($E461,"00")</f>
        <v>2024-05</v>
      </c>
      <c r="H461" s="61" t="str">
        <f aca="false">INDEX(Parametros!$C$71:$C$91,MATCH(TRIM(INDEX(Datos_Origen!$C$2:$C$2459,$Z461)),Parametros!$B$71:$B$91,0))</f>
        <v>Litoral</v>
      </c>
      <c r="I461" s="61" t="str">
        <f aca="false">IF(TRIM($AD461)="",INDEX(Parametros!$I$20:$I$24,MATCH($H461,Parametros!$H$20:$H$24,0)),TRIM($AD461))</f>
        <v>Rosario</v>
      </c>
      <c r="J461" s="61" t="str">
        <f aca="false">INDEX(Parametros!$C$95:$C$106,MATCH(TRIM(INDEX(Datos_Origen!$E$2:$E$2459,$Z461)),Parametros!$B$95:$B$106,0))</f>
        <v>E-commerce</v>
      </c>
      <c r="K461" s="61" t="str">
        <f aca="false">INDEX(Parametros!$C$48:$C$67,MATCH(TRIM(INDEX(Datos_Origen!$F$2:$F$2459,$Z461)),Parametros!$B$48:$B$67,0))</f>
        <v>Almacenamiento</v>
      </c>
      <c r="L461" s="61" t="str">
        <f aca="false">$K461&amp;" "&amp;$C461</f>
        <v>Almacenamiento 2024</v>
      </c>
      <c r="M461" s="61" t="str">
        <f aca="false">TRIM(INDEX(Datos_Origen!$G$2:$G$2459,$Z461))</f>
        <v>Pendrive 256GB</v>
      </c>
      <c r="N461" s="61" t="str">
        <f aca="false">$M461&amp;" "&amp;$C461</f>
        <v>Pendrive 256GB 2024</v>
      </c>
      <c r="O461" s="63" t="n">
        <f aca="false">IF(ISTEXT($AC461),VALUE($AC461),$AC461)</f>
        <v>10</v>
      </c>
      <c r="P461" s="64" t="n">
        <f aca="false">INDEX(Datos_Origen!$I$2:$I$2459,$Z461)</f>
        <v>34.3</v>
      </c>
      <c r="Q461" s="64" t="n">
        <f aca="false">INDEX(Datos_Origen!$J$2:$J$2459,$Z461)</f>
        <v>17.85</v>
      </c>
      <c r="R461" s="65" t="n">
        <f aca="false">ROUND($O461*$P461,2)</f>
        <v>343</v>
      </c>
      <c r="S461" s="65" t="n">
        <f aca="false">ROUND($O461*$Q461,2)</f>
        <v>178.5</v>
      </c>
      <c r="T461" s="65" t="n">
        <f aca="false">ROUND($R461*SUMIFS(Parametros!$E$28:$E$43,Parametros!$B$28:$B$43,$J461,Parametros!$C$28:$C$43,$C461,Parametros!$D$28:$D$43,$D461),2)</f>
        <v>15.09</v>
      </c>
      <c r="U461" s="65" t="n">
        <f aca="false">$R461-$S461-$T461</f>
        <v>149.41</v>
      </c>
      <c r="V461" s="66" t="n">
        <f aca="false">IFERROR($U461/$R461,0)</f>
        <v>0.435597667638484</v>
      </c>
      <c r="W461" s="67" t="str">
        <f aca="false">IF(AND($V461&gt;=Parametros!$C$8,$R461&gt;=Parametros!$C$12),"Alta rentabilidad",IF(OR($V461&lt;Parametros!$C$11,$R461&lt;Parametros!$C$13),"Revisar","Estandar"))</f>
        <v>Estandar</v>
      </c>
      <c r="X461" s="67" t="str">
        <f aca="false">IF(AND($J461="E-commerce",IFERROR($T461/$R461,0)&gt;Parametros!$C$14),"Alerta","OK")</f>
        <v>OK</v>
      </c>
      <c r="Y461" s="61" t="str">
        <f aca="false">IF($R461&gt;=Parametros!$C$12,"Alto",IF($R461&lt;Parametros!$C$13,"Bajo","Medio"))</f>
        <v>Medio</v>
      </c>
      <c r="Z461" s="61" t="n">
        <v>2238</v>
      </c>
      <c r="AA461" s="61" t="str">
        <f aca="false">IF(MATCH($A461,Datos_Origen!$A$2:$A$2459,0)=$Z461,"OK","REVISAR")</f>
        <v>OK</v>
      </c>
      <c r="AB461" s="61" t="str">
        <f aca="false">INDEX(Datos_Origen!$B$2:$B$2459,$Z461)</f>
        <v>08/05/2024</v>
      </c>
      <c r="AC461" s="61" t="n">
        <f aca="false">INDEX(Datos_Origen!$H$2:$H$2459,$Z461)</f>
        <v>10</v>
      </c>
      <c r="AD461" s="61" t="str">
        <f aca="false">INDEX(Datos_Origen!$D$2:$D$2459,$Z461)&amp;""</f>
        <v>Rosario</v>
      </c>
    </row>
    <row r="462" customFormat="false" ht="15" hidden="false" customHeight="false" outlineLevel="0" collapsed="false">
      <c r="A462" s="61" t="n">
        <f aca="false">INDEX(Datos_Origen!$A$2:$A$2459,$Z462)</f>
        <v>461</v>
      </c>
      <c r="B462" s="62" t="n">
        <f aca="false">IF(ISNUMBER($AB462),$AB462,IF(MID($AB462,5,1)="-",DATE(VALUE(LEFT($AB462,4)),VALUE(MID($AB462,6,2)),VALUE(RIGHT($AB462,2))),DATE(VALUE(RIGHT($AB462,4)),VALUE(MID($AB462,4,2)),VALUE(LEFT($AB462,2)))))</f>
        <v>45427</v>
      </c>
      <c r="C462" s="61" t="n">
        <f aca="false">YEAR($B462)</f>
        <v>2024</v>
      </c>
      <c r="D462" s="61" t="str">
        <f aca="false">"Q"&amp;ROUNDUP(MONTH($B462)/3,0)</f>
        <v>Q2</v>
      </c>
      <c r="E462" s="61" t="n">
        <f aca="false">MONTH($B462)</f>
        <v>5</v>
      </c>
      <c r="F462" s="61" t="str">
        <f aca="false">INDEX(Parametros!$I$5:$I$16,$E462)</f>
        <v>May</v>
      </c>
      <c r="G462" s="61" t="str">
        <f aca="false">TEXT($C462,"0000")&amp;"-"&amp;TEXT($E462,"00")</f>
        <v>2024-05</v>
      </c>
      <c r="H462" s="61" t="str">
        <f aca="false">INDEX(Parametros!$C$71:$C$91,MATCH(TRIM(INDEX(Datos_Origen!$C$2:$C$2459,$Z462)),Parametros!$B$71:$B$91,0))</f>
        <v>Cuyo</v>
      </c>
      <c r="I462" s="61" t="str">
        <f aca="false">IF(TRIM($AD462)="",INDEX(Parametros!$I$20:$I$24,MATCH($H462,Parametros!$H$20:$H$24,0)),TRIM($AD462))</f>
        <v>Mendoza</v>
      </c>
      <c r="J462" s="61" t="str">
        <f aca="false">INDEX(Parametros!$C$95:$C$106,MATCH(TRIM(INDEX(Datos_Origen!$E$2:$E$2459,$Z462)),Parametros!$B$95:$B$106,0))</f>
        <v>Tienda fisica</v>
      </c>
      <c r="K462" s="61" t="str">
        <f aca="false">INDEX(Parametros!$C$48:$C$67,MATCH(TRIM(INDEX(Datos_Origen!$F$2:$F$2459,$Z462)),Parametros!$B$48:$B$67,0))</f>
        <v>Computacion</v>
      </c>
      <c r="L462" s="61" t="str">
        <f aca="false">$K462&amp;" "&amp;$C462</f>
        <v>Computacion 2024</v>
      </c>
      <c r="M462" s="61" t="str">
        <f aca="false">TRIM(INDEX(Datos_Origen!$G$2:$G$2459,$Z462))</f>
        <v>Laptop Pro 15</v>
      </c>
      <c r="N462" s="61" t="str">
        <f aca="false">$M462&amp;" "&amp;$C462</f>
        <v>Laptop Pro 15 2024</v>
      </c>
      <c r="O462" s="63" t="n">
        <f aca="false">IF(ISTEXT($AC462),VALUE($AC462),$AC462)</f>
        <v>8</v>
      </c>
      <c r="P462" s="64" t="n">
        <f aca="false">INDEX(Datos_Origen!$I$2:$I$2459,$Z462)</f>
        <v>1176</v>
      </c>
      <c r="Q462" s="64" t="n">
        <f aca="false">INDEX(Datos_Origen!$J$2:$J$2459,$Z462)</f>
        <v>744</v>
      </c>
      <c r="R462" s="65" t="n">
        <f aca="false">ROUND($O462*$P462,2)</f>
        <v>9408</v>
      </c>
      <c r="S462" s="65" t="n">
        <f aca="false">ROUND($O462*$Q462,2)</f>
        <v>5952</v>
      </c>
      <c r="T462" s="65" t="n">
        <f aca="false">ROUND($R462*SUMIFS(Parametros!$E$28:$E$43,Parametros!$B$28:$B$43,$J462,Parametros!$C$28:$C$43,$C462,Parametros!$D$28:$D$43,$D462),2)</f>
        <v>112.9</v>
      </c>
      <c r="U462" s="65" t="n">
        <f aca="false">$R462-$S462-$T462</f>
        <v>3343.1</v>
      </c>
      <c r="V462" s="66" t="n">
        <f aca="false">IFERROR($U462/$R462,0)</f>
        <v>0.355346513605442</v>
      </c>
      <c r="W462" s="67" t="str">
        <f aca="false">IF(AND($V462&gt;=Parametros!$C$8,$R462&gt;=Parametros!$C$12),"Alta rentabilidad",IF(OR($V462&lt;Parametros!$C$11,$R462&lt;Parametros!$C$13),"Revisar","Estandar"))</f>
        <v>Alta rentabilidad</v>
      </c>
      <c r="X462" s="67" t="str">
        <f aca="false">IF(AND($J462="E-commerce",IFERROR($T462/$R462,0)&gt;Parametros!$C$14),"Alerta","OK")</f>
        <v>OK</v>
      </c>
      <c r="Y462" s="61" t="str">
        <f aca="false">IF($R462&gt;=Parametros!$C$12,"Alto",IF($R462&lt;Parametros!$C$13,"Bajo","Medio"))</f>
        <v>Alto</v>
      </c>
      <c r="Z462" s="61" t="n">
        <v>1940</v>
      </c>
      <c r="AA462" s="61" t="str">
        <f aca="false">IF(MATCH($A462,Datos_Origen!$A$2:$A$2459,0)=$Z462,"OK","REVISAR")</f>
        <v>OK</v>
      </c>
      <c r="AB462" s="62" t="n">
        <f aca="false">INDEX(Datos_Origen!$B$2:$B$2459,$Z462)</f>
        <v>45427</v>
      </c>
      <c r="AC462" s="61" t="n">
        <f aca="false">INDEX(Datos_Origen!$H$2:$H$2459,$Z462)</f>
        <v>8</v>
      </c>
      <c r="AD462" s="61" t="str">
        <f aca="false">INDEX(Datos_Origen!$D$2:$D$2459,$Z462)&amp;""</f>
        <v>Mendoza</v>
      </c>
    </row>
    <row r="463" customFormat="false" ht="15" hidden="false" customHeight="false" outlineLevel="0" collapsed="false">
      <c r="A463" s="61" t="n">
        <f aca="false">INDEX(Datos_Origen!$A$2:$A$2459,$Z463)</f>
        <v>462</v>
      </c>
      <c r="B463" s="62" t="n">
        <f aca="false">IF(ISNUMBER($AB463),$AB463,IF(MID($AB463,5,1)="-",DATE(VALUE(LEFT($AB463,4)),VALUE(MID($AB463,6,2)),VALUE(RIGHT($AB463,2))),DATE(VALUE(RIGHT($AB463,4)),VALUE(MID($AB463,4,2)),VALUE(LEFT($AB463,2)))))</f>
        <v>45434</v>
      </c>
      <c r="C463" s="61" t="n">
        <f aca="false">YEAR($B463)</f>
        <v>2024</v>
      </c>
      <c r="D463" s="61" t="str">
        <f aca="false">"Q"&amp;ROUNDUP(MONTH($B463)/3,0)</f>
        <v>Q2</v>
      </c>
      <c r="E463" s="61" t="n">
        <f aca="false">MONTH($B463)</f>
        <v>5</v>
      </c>
      <c r="F463" s="61" t="str">
        <f aca="false">INDEX(Parametros!$I$5:$I$16,$E463)</f>
        <v>May</v>
      </c>
      <c r="G463" s="61" t="str">
        <f aca="false">TEXT($C463,"0000")&amp;"-"&amp;TEXT($E463,"00")</f>
        <v>2024-05</v>
      </c>
      <c r="H463" s="61" t="str">
        <f aca="false">INDEX(Parametros!$C$71:$C$91,MATCH(TRIM(INDEX(Datos_Origen!$C$2:$C$2459,$Z463)),Parametros!$B$71:$B$91,0))</f>
        <v>Cuyo</v>
      </c>
      <c r="I463" s="61" t="str">
        <f aca="false">IF(TRIM($AD463)="",INDEX(Parametros!$I$20:$I$24,MATCH($H463,Parametros!$H$20:$H$24,0)),TRIM($AD463))</f>
        <v>Mendoza</v>
      </c>
      <c r="J463" s="61" t="str">
        <f aca="false">INDEX(Parametros!$C$95:$C$106,MATCH(TRIM(INDEX(Datos_Origen!$E$2:$E$2459,$Z463)),Parametros!$B$95:$B$106,0))</f>
        <v>E-commerce</v>
      </c>
      <c r="K463" s="61" t="str">
        <f aca="false">INDEX(Parametros!$C$48:$C$67,MATCH(TRIM(INDEX(Datos_Origen!$F$2:$F$2459,$Z463)),Parametros!$B$48:$B$67,0))</f>
        <v>Computacion</v>
      </c>
      <c r="L463" s="61" t="str">
        <f aca="false">$K463&amp;" "&amp;$C463</f>
        <v>Computacion 2024</v>
      </c>
      <c r="M463" s="61" t="str">
        <f aca="false">TRIM(INDEX(Datos_Origen!$G$2:$G$2459,$Z463))</f>
        <v>Laptop Pro 15</v>
      </c>
      <c r="N463" s="61" t="str">
        <f aca="false">$M463&amp;" "&amp;$C463</f>
        <v>Laptop Pro 15 2024</v>
      </c>
      <c r="O463" s="63" t="n">
        <f aca="false">IF(ISTEXT($AC463),VALUE($AC463),$AC463)</f>
        <v>3</v>
      </c>
      <c r="P463" s="64" t="n">
        <f aca="false">INDEX(Datos_Origen!$I$2:$I$2459,$Z463)</f>
        <v>1176</v>
      </c>
      <c r="Q463" s="64" t="n">
        <f aca="false">INDEX(Datos_Origen!$J$2:$J$2459,$Z463)</f>
        <v>744</v>
      </c>
      <c r="R463" s="65" t="n">
        <f aca="false">ROUND($O463*$P463,2)</f>
        <v>3528</v>
      </c>
      <c r="S463" s="65" t="n">
        <f aca="false">ROUND($O463*$Q463,2)</f>
        <v>2232</v>
      </c>
      <c r="T463" s="65" t="n">
        <f aca="false">ROUND($R463*SUMIFS(Parametros!$E$28:$E$43,Parametros!$B$28:$B$43,$J463,Parametros!$C$28:$C$43,$C463,Parametros!$D$28:$D$43,$D463),2)</f>
        <v>155.23</v>
      </c>
      <c r="U463" s="65" t="n">
        <f aca="false">$R463-$S463-$T463</f>
        <v>1140.77</v>
      </c>
      <c r="V463" s="66" t="n">
        <f aca="false">IFERROR($U463/$R463,0)</f>
        <v>0.323347505668934</v>
      </c>
      <c r="W463" s="67" t="str">
        <f aca="false">IF(AND($V463&gt;=Parametros!$C$8,$R463&gt;=Parametros!$C$12),"Alta rentabilidad",IF(OR($V463&lt;Parametros!$C$11,$R463&lt;Parametros!$C$13),"Revisar","Estandar"))</f>
        <v>Estandar</v>
      </c>
      <c r="X463" s="67" t="str">
        <f aca="false">IF(AND($J463="E-commerce",IFERROR($T463/$R463,0)&gt;Parametros!$C$14),"Alerta","OK")</f>
        <v>OK</v>
      </c>
      <c r="Y463" s="61" t="str">
        <f aca="false">IF($R463&gt;=Parametros!$C$12,"Alto",IF($R463&lt;Parametros!$C$13,"Bajo","Medio"))</f>
        <v>Alto</v>
      </c>
      <c r="Z463" s="61" t="n">
        <v>1224</v>
      </c>
      <c r="AA463" s="61" t="str">
        <f aca="false">IF(MATCH($A463,Datos_Origen!$A$2:$A$2459,0)=$Z463,"OK","REVISAR")</f>
        <v>OK</v>
      </c>
      <c r="AB463" s="62" t="n">
        <f aca="false">INDEX(Datos_Origen!$B$2:$B$2459,$Z463)</f>
        <v>45434</v>
      </c>
      <c r="AC463" s="61" t="n">
        <f aca="false">INDEX(Datos_Origen!$H$2:$H$2459,$Z463)</f>
        <v>3</v>
      </c>
      <c r="AD463" s="61" t="str">
        <f aca="false">INDEX(Datos_Origen!$D$2:$D$2459,$Z463)&amp;""</f>
        <v>Mendoza</v>
      </c>
    </row>
    <row r="464" customFormat="false" ht="15" hidden="false" customHeight="false" outlineLevel="0" collapsed="false">
      <c r="A464" s="61" t="n">
        <f aca="false">INDEX(Datos_Origen!$A$2:$A$2459,$Z464)</f>
        <v>463</v>
      </c>
      <c r="B464" s="62" t="n">
        <f aca="false">IF(ISNUMBER($AB464),$AB464,IF(MID($AB464,5,1)="-",DATE(VALUE(LEFT($AB464,4)),VALUE(MID($AB464,6,2)),VALUE(RIGHT($AB464,2))),DATE(VALUE(RIGHT($AB464,4)),VALUE(MID($AB464,4,2)),VALUE(LEFT($AB464,2)))))</f>
        <v>45414</v>
      </c>
      <c r="C464" s="61" t="n">
        <f aca="false">YEAR($B464)</f>
        <v>2024</v>
      </c>
      <c r="D464" s="61" t="str">
        <f aca="false">"Q"&amp;ROUNDUP(MONTH($B464)/3,0)</f>
        <v>Q2</v>
      </c>
      <c r="E464" s="61" t="n">
        <f aca="false">MONTH($B464)</f>
        <v>5</v>
      </c>
      <c r="F464" s="61" t="str">
        <f aca="false">INDEX(Parametros!$I$5:$I$16,$E464)</f>
        <v>May</v>
      </c>
      <c r="G464" s="61" t="str">
        <f aca="false">TEXT($C464,"0000")&amp;"-"&amp;TEXT($E464,"00")</f>
        <v>2024-05</v>
      </c>
      <c r="H464" s="61" t="str">
        <f aca="false">INDEX(Parametros!$C$71:$C$91,MATCH(TRIM(INDEX(Datos_Origen!$C$2:$C$2459,$Z464)),Parametros!$B$71:$B$91,0))</f>
        <v>Cuyo</v>
      </c>
      <c r="I464" s="61" t="str">
        <f aca="false">IF(TRIM($AD464)="",INDEX(Parametros!$I$20:$I$24,MATCH($H464,Parametros!$H$20:$H$24,0)),TRIM($AD464))</f>
        <v>Mendoza</v>
      </c>
      <c r="J464" s="61" t="str">
        <f aca="false">INDEX(Parametros!$C$95:$C$106,MATCH(TRIM(INDEX(Datos_Origen!$E$2:$E$2459,$Z464)),Parametros!$B$95:$B$106,0))</f>
        <v>Tienda fisica</v>
      </c>
      <c r="K464" s="61" t="str">
        <f aca="false">INDEX(Parametros!$C$48:$C$67,MATCH(TRIM(INDEX(Datos_Origen!$F$2:$F$2459,$Z464)),Parametros!$B$48:$B$67,0))</f>
        <v>Computacion</v>
      </c>
      <c r="L464" s="61" t="str">
        <f aca="false">$K464&amp;" "&amp;$C464</f>
        <v>Computacion 2024</v>
      </c>
      <c r="M464" s="61" t="str">
        <f aca="false">TRIM(INDEX(Datos_Origen!$G$2:$G$2459,$Z464))</f>
        <v>Monitor 4K 27</v>
      </c>
      <c r="N464" s="61" t="str">
        <f aca="false">$M464&amp;" "&amp;$C464</f>
        <v>Monitor 4K 27 2024</v>
      </c>
      <c r="O464" s="63" t="n">
        <f aca="false">IF(ISTEXT($AC464),VALUE($AC464),$AC464)</f>
        <v>7</v>
      </c>
      <c r="P464" s="64" t="n">
        <f aca="false">INDEX(Datos_Origen!$I$2:$I$2459,$Z464)</f>
        <v>441</v>
      </c>
      <c r="Q464" s="64" t="n">
        <f aca="false">INDEX(Datos_Origen!$J$2:$J$2459,$Z464)</f>
        <v>272.25</v>
      </c>
      <c r="R464" s="65" t="n">
        <f aca="false">ROUND($O464*$P464,2)</f>
        <v>3087</v>
      </c>
      <c r="S464" s="65" t="n">
        <f aca="false">ROUND($O464*$Q464,2)</f>
        <v>1905.75</v>
      </c>
      <c r="T464" s="65" t="n">
        <f aca="false">ROUND($R464*SUMIFS(Parametros!$E$28:$E$43,Parametros!$B$28:$B$43,$J464,Parametros!$C$28:$C$43,$C464,Parametros!$D$28:$D$43,$D464),2)</f>
        <v>37.04</v>
      </c>
      <c r="U464" s="65" t="n">
        <f aca="false">$R464-$S464-$T464</f>
        <v>1144.21</v>
      </c>
      <c r="V464" s="66" t="n">
        <f aca="false">IFERROR($U464/$R464,0)</f>
        <v>0.370654356980888</v>
      </c>
      <c r="W464" s="67" t="str">
        <f aca="false">IF(AND($V464&gt;=Parametros!$C$8,$R464&gt;=Parametros!$C$12),"Alta rentabilidad",IF(OR($V464&lt;Parametros!$C$11,$R464&lt;Parametros!$C$13),"Revisar","Estandar"))</f>
        <v>Alta rentabilidad</v>
      </c>
      <c r="X464" s="67" t="str">
        <f aca="false">IF(AND($J464="E-commerce",IFERROR($T464/$R464,0)&gt;Parametros!$C$14),"Alerta","OK")</f>
        <v>OK</v>
      </c>
      <c r="Y464" s="61" t="str">
        <f aca="false">IF($R464&gt;=Parametros!$C$12,"Alto",IF($R464&lt;Parametros!$C$13,"Bajo","Medio"))</f>
        <v>Alto</v>
      </c>
      <c r="Z464" s="61" t="n">
        <v>1844</v>
      </c>
      <c r="AA464" s="61" t="str">
        <f aca="false">IF(MATCH($A464,Datos_Origen!$A$2:$A$2459,0)=$Z464,"OK","REVISAR")</f>
        <v>OK</v>
      </c>
      <c r="AB464" s="62" t="n">
        <f aca="false">INDEX(Datos_Origen!$B$2:$B$2459,$Z464)</f>
        <v>45414</v>
      </c>
      <c r="AC464" s="61" t="n">
        <f aca="false">INDEX(Datos_Origen!$H$2:$H$2459,$Z464)</f>
        <v>7</v>
      </c>
      <c r="AD464" s="61" t="str">
        <f aca="false">INDEX(Datos_Origen!$D$2:$D$2459,$Z464)&amp;""</f>
        <v>Mendoza</v>
      </c>
    </row>
    <row r="465" customFormat="false" ht="15" hidden="false" customHeight="false" outlineLevel="0" collapsed="false">
      <c r="A465" s="61" t="n">
        <f aca="false">INDEX(Datos_Origen!$A$2:$A$2459,$Z465)</f>
        <v>464</v>
      </c>
      <c r="B465" s="62" t="n">
        <f aca="false">IF(ISNUMBER($AB465),$AB465,IF(MID($AB465,5,1)="-",DATE(VALUE(LEFT($AB465,4)),VALUE(MID($AB465,6,2)),VALUE(RIGHT($AB465,2))),DATE(VALUE(RIGHT($AB465,4)),VALUE(MID($AB465,4,2)),VALUE(LEFT($AB465,2)))))</f>
        <v>45421</v>
      </c>
      <c r="C465" s="61" t="n">
        <f aca="false">YEAR($B465)</f>
        <v>2024</v>
      </c>
      <c r="D465" s="61" t="str">
        <f aca="false">"Q"&amp;ROUNDUP(MONTH($B465)/3,0)</f>
        <v>Q2</v>
      </c>
      <c r="E465" s="61" t="n">
        <f aca="false">MONTH($B465)</f>
        <v>5</v>
      </c>
      <c r="F465" s="61" t="str">
        <f aca="false">INDEX(Parametros!$I$5:$I$16,$E465)</f>
        <v>May</v>
      </c>
      <c r="G465" s="61" t="str">
        <f aca="false">TEXT($C465,"0000")&amp;"-"&amp;TEXT($E465,"00")</f>
        <v>2024-05</v>
      </c>
      <c r="H465" s="61" t="str">
        <f aca="false">INDEX(Parametros!$C$71:$C$91,MATCH(TRIM(INDEX(Datos_Origen!$C$2:$C$2459,$Z465)),Parametros!$B$71:$B$91,0))</f>
        <v>Cuyo</v>
      </c>
      <c r="I465" s="61" t="str">
        <f aca="false">IF(TRIM($AD465)="",INDEX(Parametros!$I$20:$I$24,MATCH($H465,Parametros!$H$20:$H$24,0)),TRIM($AD465))</f>
        <v>Mendoza</v>
      </c>
      <c r="J465" s="61" t="str">
        <f aca="false">INDEX(Parametros!$C$95:$C$106,MATCH(TRIM(INDEX(Datos_Origen!$E$2:$E$2459,$Z465)),Parametros!$B$95:$B$106,0))</f>
        <v>E-commerce</v>
      </c>
      <c r="K465" s="61" t="str">
        <f aca="false">INDEX(Parametros!$C$48:$C$67,MATCH(TRIM(INDEX(Datos_Origen!$F$2:$F$2459,$Z465)),Parametros!$B$48:$B$67,0))</f>
        <v>Computacion</v>
      </c>
      <c r="L465" s="61" t="str">
        <f aca="false">$K465&amp;" "&amp;$C465</f>
        <v>Computacion 2024</v>
      </c>
      <c r="M465" s="61" t="str">
        <f aca="false">TRIM(INDEX(Datos_Origen!$G$2:$G$2459,$Z465))</f>
        <v>Monitor 4K 27</v>
      </c>
      <c r="N465" s="61" t="str">
        <f aca="false">$M465&amp;" "&amp;$C465</f>
        <v>Monitor 4K 27 2024</v>
      </c>
      <c r="O465" s="63" t="n">
        <f aca="false">IF(ISTEXT($AC465),VALUE($AC465),$AC465)</f>
        <v>2</v>
      </c>
      <c r="P465" s="64" t="n">
        <f aca="false">INDEX(Datos_Origen!$I$2:$I$2459,$Z465)</f>
        <v>441</v>
      </c>
      <c r="Q465" s="64" t="n">
        <f aca="false">INDEX(Datos_Origen!$J$2:$J$2459,$Z465)</f>
        <v>272.25</v>
      </c>
      <c r="R465" s="65" t="n">
        <f aca="false">ROUND($O465*$P465,2)</f>
        <v>882</v>
      </c>
      <c r="S465" s="65" t="n">
        <f aca="false">ROUND($O465*$Q465,2)</f>
        <v>544.5</v>
      </c>
      <c r="T465" s="65" t="n">
        <f aca="false">ROUND($R465*SUMIFS(Parametros!$E$28:$E$43,Parametros!$B$28:$B$43,$J465,Parametros!$C$28:$C$43,$C465,Parametros!$D$28:$D$43,$D465),2)</f>
        <v>38.81</v>
      </c>
      <c r="U465" s="65" t="n">
        <f aca="false">$R465-$S465-$T465</f>
        <v>298.69</v>
      </c>
      <c r="V465" s="66" t="n">
        <f aca="false">IFERROR($U465/$R465,0)</f>
        <v>0.338650793650794</v>
      </c>
      <c r="W465" s="67" t="str">
        <f aca="false">IF(AND($V465&gt;=Parametros!$C$8,$R465&gt;=Parametros!$C$12),"Alta rentabilidad",IF(OR($V465&lt;Parametros!$C$11,$R465&lt;Parametros!$C$13),"Revisar","Estandar"))</f>
        <v>Estandar</v>
      </c>
      <c r="X465" s="67" t="str">
        <f aca="false">IF(AND($J465="E-commerce",IFERROR($T465/$R465,0)&gt;Parametros!$C$14),"Alerta","OK")</f>
        <v>OK</v>
      </c>
      <c r="Y465" s="61" t="str">
        <f aca="false">IF($R465&gt;=Parametros!$C$12,"Alto",IF($R465&lt;Parametros!$C$13,"Bajo","Medio"))</f>
        <v>Medio</v>
      </c>
      <c r="Z465" s="61" t="n">
        <v>2432</v>
      </c>
      <c r="AA465" s="61" t="str">
        <f aca="false">IF(MATCH($A465,Datos_Origen!$A$2:$A$2459,0)=$Z465,"OK","REVISAR")</f>
        <v>OK</v>
      </c>
      <c r="AB465" s="62" t="n">
        <f aca="false">INDEX(Datos_Origen!$B$2:$B$2459,$Z465)</f>
        <v>45421</v>
      </c>
      <c r="AC465" s="61" t="n">
        <f aca="false">INDEX(Datos_Origen!$H$2:$H$2459,$Z465)</f>
        <v>2</v>
      </c>
      <c r="AD465" s="61" t="str">
        <f aca="false">INDEX(Datos_Origen!$D$2:$D$2459,$Z465)&amp;""</f>
        <v>Mendoza</v>
      </c>
    </row>
    <row r="466" customFormat="false" ht="15" hidden="false" customHeight="false" outlineLevel="0" collapsed="false">
      <c r="A466" s="61" t="n">
        <f aca="false">INDEX(Datos_Origen!$A$2:$A$2459,$Z466)</f>
        <v>465</v>
      </c>
      <c r="B466" s="62" t="n">
        <f aca="false">IF(ISNUMBER($AB466),$AB466,IF(MID($AB466,5,1)="-",DATE(VALUE(LEFT($AB466,4)),VALUE(MID($AB466,6,2)),VALUE(RIGHT($AB466,2))),DATE(VALUE(RIGHT($AB466,4)),VALUE(MID($AB466,4,2)),VALUE(LEFT($AB466,2)))))</f>
        <v>45428</v>
      </c>
      <c r="C466" s="61" t="n">
        <f aca="false">YEAR($B466)</f>
        <v>2024</v>
      </c>
      <c r="D466" s="61" t="str">
        <f aca="false">"Q"&amp;ROUNDUP(MONTH($B466)/3,0)</f>
        <v>Q2</v>
      </c>
      <c r="E466" s="61" t="n">
        <f aca="false">MONTH($B466)</f>
        <v>5</v>
      </c>
      <c r="F466" s="61" t="str">
        <f aca="false">INDEX(Parametros!$I$5:$I$16,$E466)</f>
        <v>May</v>
      </c>
      <c r="G466" s="61" t="str">
        <f aca="false">TEXT($C466,"0000")&amp;"-"&amp;TEXT($E466,"00")</f>
        <v>2024-05</v>
      </c>
      <c r="H466" s="61" t="str">
        <f aca="false">INDEX(Parametros!$C$71:$C$91,MATCH(TRIM(INDEX(Datos_Origen!$C$2:$C$2459,$Z466)),Parametros!$B$71:$B$91,0))</f>
        <v>Cuyo</v>
      </c>
      <c r="I466" s="61" t="str">
        <f aca="false">IF(TRIM($AD466)="",INDEX(Parametros!$I$20:$I$24,MATCH($H466,Parametros!$H$20:$H$24,0)),TRIM($AD466))</f>
        <v>Mendoza</v>
      </c>
      <c r="J466" s="61" t="str">
        <f aca="false">INDEX(Parametros!$C$95:$C$106,MATCH(TRIM(INDEX(Datos_Origen!$E$2:$E$2459,$Z466)),Parametros!$B$95:$B$106,0))</f>
        <v>Tienda fisica</v>
      </c>
      <c r="K466" s="61" t="str">
        <f aca="false">INDEX(Parametros!$C$48:$C$67,MATCH(TRIM(INDEX(Datos_Origen!$F$2:$F$2459,$Z466)),Parametros!$B$48:$B$67,0))</f>
        <v>Computacion</v>
      </c>
      <c r="L466" s="61" t="str">
        <f aca="false">$K466&amp;" "&amp;$C466</f>
        <v>Computacion 2024</v>
      </c>
      <c r="M466" s="61" t="str">
        <f aca="false">TRIM(INDEX(Datos_Origen!$G$2:$G$2459,$Z466))</f>
        <v>PC Gamer Ryzen</v>
      </c>
      <c r="N466" s="61" t="str">
        <f aca="false">$M466&amp;" "&amp;$C466</f>
        <v>PC Gamer Ryzen 2024</v>
      </c>
      <c r="O466" s="63" t="n">
        <f aca="false">IF(ISTEXT($AC466),VALUE($AC466),$AC466)</f>
        <v>7</v>
      </c>
      <c r="P466" s="64" t="n">
        <f aca="false">INDEX(Datos_Origen!$I$2:$I$2459,$Z466)</f>
        <v>1617</v>
      </c>
      <c r="Q466" s="64" t="n">
        <f aca="false">INDEX(Datos_Origen!$J$2:$J$2459,$Z466)</f>
        <v>1122</v>
      </c>
      <c r="R466" s="65" t="n">
        <f aca="false">ROUND($O466*$P466,2)</f>
        <v>11319</v>
      </c>
      <c r="S466" s="65" t="n">
        <f aca="false">ROUND($O466*$Q466,2)</f>
        <v>7854</v>
      </c>
      <c r="T466" s="65" t="n">
        <f aca="false">ROUND($R466*SUMIFS(Parametros!$E$28:$E$43,Parametros!$B$28:$B$43,$J466,Parametros!$C$28:$C$43,$C466,Parametros!$D$28:$D$43,$D466),2)</f>
        <v>135.83</v>
      </c>
      <c r="U466" s="65" t="n">
        <f aca="false">$R466-$S466-$T466</f>
        <v>3329.17</v>
      </c>
      <c r="V466" s="66" t="n">
        <f aca="false">IFERROR($U466/$R466,0)</f>
        <v>0.294122272285538</v>
      </c>
      <c r="W466" s="67" t="str">
        <f aca="false">IF(AND($V466&gt;=Parametros!$C$8,$R466&gt;=Parametros!$C$12),"Alta rentabilidad",IF(OR($V466&lt;Parametros!$C$11,$R466&lt;Parametros!$C$13),"Revisar","Estandar"))</f>
        <v>Estandar</v>
      </c>
      <c r="X466" s="67" t="str">
        <f aca="false">IF(AND($J466="E-commerce",IFERROR($T466/$R466,0)&gt;Parametros!$C$14),"Alerta","OK")</f>
        <v>OK</v>
      </c>
      <c r="Y466" s="61" t="str">
        <f aca="false">IF($R466&gt;=Parametros!$C$12,"Alto",IF($R466&lt;Parametros!$C$13,"Bajo","Medio"))</f>
        <v>Alto</v>
      </c>
      <c r="Z466" s="61" t="n">
        <v>1884</v>
      </c>
      <c r="AA466" s="61" t="str">
        <f aca="false">IF(MATCH($A466,Datos_Origen!$A$2:$A$2459,0)=$Z466,"OK","REVISAR")</f>
        <v>OK</v>
      </c>
      <c r="AB466" s="62" t="n">
        <f aca="false">INDEX(Datos_Origen!$B$2:$B$2459,$Z466)</f>
        <v>45428</v>
      </c>
      <c r="AC466" s="61" t="n">
        <f aca="false">INDEX(Datos_Origen!$H$2:$H$2459,$Z466)</f>
        <v>7</v>
      </c>
      <c r="AD466" s="61" t="str">
        <f aca="false">INDEX(Datos_Origen!$D$2:$D$2459,$Z466)&amp;""</f>
        <v>Mendoza</v>
      </c>
    </row>
    <row r="467" customFormat="false" ht="15" hidden="false" customHeight="false" outlineLevel="0" collapsed="false">
      <c r="A467" s="61" t="n">
        <f aca="false">INDEX(Datos_Origen!$A$2:$A$2459,$Z467)</f>
        <v>466</v>
      </c>
      <c r="B467" s="62" t="n">
        <f aca="false">IF(ISNUMBER($AB467),$AB467,IF(MID($AB467,5,1)="-",DATE(VALUE(LEFT($AB467,4)),VALUE(MID($AB467,6,2)),VALUE(RIGHT($AB467,2))),DATE(VALUE(RIGHT($AB467,4)),VALUE(MID($AB467,4,2)),VALUE(LEFT($AB467,2)))))</f>
        <v>45435</v>
      </c>
      <c r="C467" s="61" t="n">
        <f aca="false">YEAR($B467)</f>
        <v>2024</v>
      </c>
      <c r="D467" s="61" t="str">
        <f aca="false">"Q"&amp;ROUNDUP(MONTH($B467)/3,0)</f>
        <v>Q2</v>
      </c>
      <c r="E467" s="61" t="n">
        <f aca="false">MONTH($B467)</f>
        <v>5</v>
      </c>
      <c r="F467" s="61" t="str">
        <f aca="false">INDEX(Parametros!$I$5:$I$16,$E467)</f>
        <v>May</v>
      </c>
      <c r="G467" s="61" t="str">
        <f aca="false">TEXT($C467,"0000")&amp;"-"&amp;TEXT($E467,"00")</f>
        <v>2024-05</v>
      </c>
      <c r="H467" s="61" t="str">
        <f aca="false">INDEX(Parametros!$C$71:$C$91,MATCH(TRIM(INDEX(Datos_Origen!$C$2:$C$2459,$Z467)),Parametros!$B$71:$B$91,0))</f>
        <v>Cuyo</v>
      </c>
      <c r="I467" s="61" t="str">
        <f aca="false">IF(TRIM($AD467)="",INDEX(Parametros!$I$20:$I$24,MATCH($H467,Parametros!$H$20:$H$24,0)),TRIM($AD467))</f>
        <v>Mendoza</v>
      </c>
      <c r="J467" s="61" t="str">
        <f aca="false">INDEX(Parametros!$C$95:$C$106,MATCH(TRIM(INDEX(Datos_Origen!$E$2:$E$2459,$Z467)),Parametros!$B$95:$B$106,0))</f>
        <v>E-commerce</v>
      </c>
      <c r="K467" s="61" t="str">
        <f aca="false">INDEX(Parametros!$C$48:$C$67,MATCH(TRIM(INDEX(Datos_Origen!$F$2:$F$2459,$Z467)),Parametros!$B$48:$B$67,0))</f>
        <v>Computacion</v>
      </c>
      <c r="L467" s="61" t="str">
        <f aca="false">$K467&amp;" "&amp;$C467</f>
        <v>Computacion 2024</v>
      </c>
      <c r="M467" s="61" t="str">
        <f aca="false">TRIM(INDEX(Datos_Origen!$G$2:$G$2459,$Z467))</f>
        <v>PC Gamer Ryzen</v>
      </c>
      <c r="N467" s="61" t="str">
        <f aca="false">$M467&amp;" "&amp;$C467</f>
        <v>PC Gamer Ryzen 2024</v>
      </c>
      <c r="O467" s="63" t="n">
        <f aca="false">IF(ISTEXT($AC467),VALUE($AC467),$AC467)</f>
        <v>3</v>
      </c>
      <c r="P467" s="64" t="n">
        <f aca="false">INDEX(Datos_Origen!$I$2:$I$2459,$Z467)</f>
        <v>1617</v>
      </c>
      <c r="Q467" s="64" t="n">
        <f aca="false">INDEX(Datos_Origen!$J$2:$J$2459,$Z467)</f>
        <v>1122</v>
      </c>
      <c r="R467" s="65" t="n">
        <f aca="false">ROUND($O467*$P467,2)</f>
        <v>4851</v>
      </c>
      <c r="S467" s="65" t="n">
        <f aca="false">ROUND($O467*$Q467,2)</f>
        <v>3366</v>
      </c>
      <c r="T467" s="65" t="n">
        <f aca="false">ROUND($R467*SUMIFS(Parametros!$E$28:$E$43,Parametros!$B$28:$B$43,$J467,Parametros!$C$28:$C$43,$C467,Parametros!$D$28:$D$43,$D467),2)</f>
        <v>213.44</v>
      </c>
      <c r="U467" s="65" t="n">
        <f aca="false">$R467-$S467-$T467</f>
        <v>1271.56</v>
      </c>
      <c r="V467" s="66" t="n">
        <f aca="false">IFERROR($U467/$R467,0)</f>
        <v>0.262123273551845</v>
      </c>
      <c r="W467" s="67" t="str">
        <f aca="false">IF(AND($V467&gt;=Parametros!$C$8,$R467&gt;=Parametros!$C$12),"Alta rentabilidad",IF(OR($V467&lt;Parametros!$C$11,$R467&lt;Parametros!$C$13),"Revisar","Estandar"))</f>
        <v>Revisar</v>
      </c>
      <c r="X467" s="67" t="str">
        <f aca="false">IF(AND($J467="E-commerce",IFERROR($T467/$R467,0)&gt;Parametros!$C$14),"Alerta","OK")</f>
        <v>OK</v>
      </c>
      <c r="Y467" s="61" t="str">
        <f aca="false">IF($R467&gt;=Parametros!$C$12,"Alto",IF($R467&lt;Parametros!$C$13,"Bajo","Medio"))</f>
        <v>Alto</v>
      </c>
      <c r="Z467" s="61" t="n">
        <v>169</v>
      </c>
      <c r="AA467" s="61" t="str">
        <f aca="false">IF(MATCH($A467,Datos_Origen!$A$2:$A$2459,0)=$Z467,"OK","REVISAR")</f>
        <v>OK</v>
      </c>
      <c r="AB467" s="62" t="n">
        <f aca="false">INDEX(Datos_Origen!$B$2:$B$2459,$Z467)</f>
        <v>45435</v>
      </c>
      <c r="AC467" s="61" t="n">
        <f aca="false">INDEX(Datos_Origen!$H$2:$H$2459,$Z467)</f>
        <v>3</v>
      </c>
      <c r="AD467" s="61" t="str">
        <f aca="false">INDEX(Datos_Origen!$D$2:$D$2459,$Z467)&amp;""</f>
        <v>Mendoza</v>
      </c>
    </row>
    <row r="468" customFormat="false" ht="15" hidden="false" customHeight="false" outlineLevel="0" collapsed="false">
      <c r="A468" s="61" t="n">
        <f aca="false">INDEX(Datos_Origen!$A$2:$A$2459,$Z468)</f>
        <v>467</v>
      </c>
      <c r="B468" s="62" t="n">
        <f aca="false">IF(ISNUMBER($AB468),$AB468,IF(MID($AB468,5,1)="-",DATE(VALUE(LEFT($AB468,4)),VALUE(MID($AB468,6,2)),VALUE(RIGHT($AB468,2))),DATE(VALUE(RIGHT($AB468,4)),VALUE(MID($AB468,4,2)),VALUE(LEFT($AB468,2)))))</f>
        <v>45415</v>
      </c>
      <c r="C468" s="61" t="n">
        <f aca="false">YEAR($B468)</f>
        <v>2024</v>
      </c>
      <c r="D468" s="61" t="str">
        <f aca="false">"Q"&amp;ROUNDUP(MONTH($B468)/3,0)</f>
        <v>Q2</v>
      </c>
      <c r="E468" s="61" t="n">
        <f aca="false">MONTH($B468)</f>
        <v>5</v>
      </c>
      <c r="F468" s="61" t="str">
        <f aca="false">INDEX(Parametros!$I$5:$I$16,$E468)</f>
        <v>May</v>
      </c>
      <c r="G468" s="61" t="str">
        <f aca="false">TEXT($C468,"0000")&amp;"-"&amp;TEXT($E468,"00")</f>
        <v>2024-05</v>
      </c>
      <c r="H468" s="61" t="str">
        <f aca="false">INDEX(Parametros!$C$71:$C$91,MATCH(TRIM(INDEX(Datos_Origen!$C$2:$C$2459,$Z468)),Parametros!$B$71:$B$91,0))</f>
        <v>Cuyo</v>
      </c>
      <c r="I468" s="61" t="str">
        <f aca="false">IF(TRIM($AD468)="",INDEX(Parametros!$I$20:$I$24,MATCH($H468,Parametros!$H$20:$H$24,0)),TRIM($AD468))</f>
        <v>Mendoza</v>
      </c>
      <c r="J468" s="61" t="str">
        <f aca="false">INDEX(Parametros!$C$95:$C$106,MATCH(TRIM(INDEX(Datos_Origen!$E$2:$E$2459,$Z468)),Parametros!$B$95:$B$106,0))</f>
        <v>Tienda fisica</v>
      </c>
      <c r="K468" s="61" t="str">
        <f aca="false">INDEX(Parametros!$C$48:$C$67,MATCH(TRIM(INDEX(Datos_Origen!$F$2:$F$2459,$Z468)),Parametros!$B$48:$B$67,0))</f>
        <v>Accesorios</v>
      </c>
      <c r="L468" s="61" t="str">
        <f aca="false">$K468&amp;" "&amp;$C468</f>
        <v>Accesorios 2024</v>
      </c>
      <c r="M468" s="61" t="str">
        <f aca="false">TRIM(INDEX(Datos_Origen!$G$2:$G$2459,$Z468))</f>
        <v>Mouse Inalambrico</v>
      </c>
      <c r="N468" s="61" t="str">
        <f aca="false">$M468&amp;" "&amp;$C468</f>
        <v>Mouse Inalambrico 2024</v>
      </c>
      <c r="O468" s="63" t="n">
        <f aca="false">IF(ISTEXT($AC468),VALUE($AC468),$AC468)</f>
        <v>29</v>
      </c>
      <c r="P468" s="64" t="n">
        <f aca="false">INDEX(Datos_Origen!$I$2:$I$2459,$Z468)</f>
        <v>27.44</v>
      </c>
      <c r="Q468" s="64" t="n">
        <f aca="false">INDEX(Datos_Origen!$J$2:$J$2459,$Z468)</f>
        <v>13.44</v>
      </c>
      <c r="R468" s="65" t="n">
        <f aca="false">ROUND($O468*$P468,2)</f>
        <v>795.76</v>
      </c>
      <c r="S468" s="65" t="n">
        <f aca="false">ROUND($O468*$Q468,2)</f>
        <v>389.76</v>
      </c>
      <c r="T468" s="65" t="n">
        <f aca="false">ROUND($R468*SUMIFS(Parametros!$E$28:$E$43,Parametros!$B$28:$B$43,$J468,Parametros!$C$28:$C$43,$C468,Parametros!$D$28:$D$43,$D468),2)</f>
        <v>9.55</v>
      </c>
      <c r="U468" s="65" t="n">
        <f aca="false">$R468-$S468-$T468</f>
        <v>396.45</v>
      </c>
      <c r="V468" s="66" t="n">
        <f aca="false">IFERROR($U468/$R468,0)</f>
        <v>0.498202975771589</v>
      </c>
      <c r="W468" s="67" t="str">
        <f aca="false">IF(AND($V468&gt;=Parametros!$C$8,$R468&gt;=Parametros!$C$12),"Alta rentabilidad",IF(OR($V468&lt;Parametros!$C$11,$R468&lt;Parametros!$C$13),"Revisar","Estandar"))</f>
        <v>Estandar</v>
      </c>
      <c r="X468" s="67" t="str">
        <f aca="false">IF(AND($J468="E-commerce",IFERROR($T468/$R468,0)&gt;Parametros!$C$14),"Alerta","OK")</f>
        <v>OK</v>
      </c>
      <c r="Y468" s="61" t="str">
        <f aca="false">IF($R468&gt;=Parametros!$C$12,"Alto",IF($R468&lt;Parametros!$C$13,"Bajo","Medio"))</f>
        <v>Medio</v>
      </c>
      <c r="Z468" s="61" t="n">
        <v>2390</v>
      </c>
      <c r="AA468" s="61" t="str">
        <f aca="false">IF(MATCH($A468,Datos_Origen!$A$2:$A$2459,0)=$Z468,"OK","REVISAR")</f>
        <v>OK</v>
      </c>
      <c r="AB468" s="61" t="str">
        <f aca="false">INDEX(Datos_Origen!$B$2:$B$2459,$Z468)</f>
        <v>2024-05-03</v>
      </c>
      <c r="AC468" s="61" t="n">
        <f aca="false">INDEX(Datos_Origen!$H$2:$H$2459,$Z468)</f>
        <v>29</v>
      </c>
      <c r="AD468" s="61" t="str">
        <f aca="false">INDEX(Datos_Origen!$D$2:$D$2459,$Z468)&amp;""</f>
        <v>Mendoza</v>
      </c>
    </row>
    <row r="469" customFormat="false" ht="15" hidden="false" customHeight="false" outlineLevel="0" collapsed="false">
      <c r="A469" s="61" t="n">
        <f aca="false">INDEX(Datos_Origen!$A$2:$A$2459,$Z469)</f>
        <v>468</v>
      </c>
      <c r="B469" s="62" t="n">
        <f aca="false">IF(ISNUMBER($AB469),$AB469,IF(MID($AB469,5,1)="-",DATE(VALUE(LEFT($AB469,4)),VALUE(MID($AB469,6,2)),VALUE(RIGHT($AB469,2))),DATE(VALUE(RIGHT($AB469,4)),VALUE(MID($AB469,4,2)),VALUE(LEFT($AB469,2)))))</f>
        <v>45422</v>
      </c>
      <c r="C469" s="61" t="n">
        <f aca="false">YEAR($B469)</f>
        <v>2024</v>
      </c>
      <c r="D469" s="61" t="str">
        <f aca="false">"Q"&amp;ROUNDUP(MONTH($B469)/3,0)</f>
        <v>Q2</v>
      </c>
      <c r="E469" s="61" t="n">
        <f aca="false">MONTH($B469)</f>
        <v>5</v>
      </c>
      <c r="F469" s="61" t="str">
        <f aca="false">INDEX(Parametros!$I$5:$I$16,$E469)</f>
        <v>May</v>
      </c>
      <c r="G469" s="61" t="str">
        <f aca="false">TEXT($C469,"0000")&amp;"-"&amp;TEXT($E469,"00")</f>
        <v>2024-05</v>
      </c>
      <c r="H469" s="61" t="str">
        <f aca="false">INDEX(Parametros!$C$71:$C$91,MATCH(TRIM(INDEX(Datos_Origen!$C$2:$C$2459,$Z469)),Parametros!$B$71:$B$91,0))</f>
        <v>Cuyo</v>
      </c>
      <c r="I469" s="61" t="str">
        <f aca="false">IF(TRIM($AD469)="",INDEX(Parametros!$I$20:$I$24,MATCH($H469,Parametros!$H$20:$H$24,0)),TRIM($AD469))</f>
        <v>Mendoza</v>
      </c>
      <c r="J469" s="61" t="str">
        <f aca="false">INDEX(Parametros!$C$95:$C$106,MATCH(TRIM(INDEX(Datos_Origen!$E$2:$E$2459,$Z469)),Parametros!$B$95:$B$106,0))</f>
        <v>E-commerce</v>
      </c>
      <c r="K469" s="61" t="str">
        <f aca="false">INDEX(Parametros!$C$48:$C$67,MATCH(TRIM(INDEX(Datos_Origen!$F$2:$F$2459,$Z469)),Parametros!$B$48:$B$67,0))</f>
        <v>Accesorios</v>
      </c>
      <c r="L469" s="61" t="str">
        <f aca="false">$K469&amp;" "&amp;$C469</f>
        <v>Accesorios 2024</v>
      </c>
      <c r="M469" s="61" t="str">
        <f aca="false">TRIM(INDEX(Datos_Origen!$G$2:$G$2459,$Z469))</f>
        <v>Mouse Inalambrico</v>
      </c>
      <c r="N469" s="61" t="str">
        <f aca="false">$M469&amp;" "&amp;$C469</f>
        <v>Mouse Inalambrico 2024</v>
      </c>
      <c r="O469" s="63" t="n">
        <f aca="false">IF(ISTEXT($AC469),VALUE($AC469),$AC469)</f>
        <v>12</v>
      </c>
      <c r="P469" s="64" t="n">
        <f aca="false">INDEX(Datos_Origen!$I$2:$I$2459,$Z469)</f>
        <v>27.44</v>
      </c>
      <c r="Q469" s="64" t="n">
        <f aca="false">INDEX(Datos_Origen!$J$2:$J$2459,$Z469)</f>
        <v>13.44</v>
      </c>
      <c r="R469" s="65" t="n">
        <f aca="false">ROUND($O469*$P469,2)</f>
        <v>329.28</v>
      </c>
      <c r="S469" s="65" t="n">
        <f aca="false">ROUND($O469*$Q469,2)</f>
        <v>161.28</v>
      </c>
      <c r="T469" s="65" t="n">
        <f aca="false">ROUND($R469*SUMIFS(Parametros!$E$28:$E$43,Parametros!$B$28:$B$43,$J469,Parametros!$C$28:$C$43,$C469,Parametros!$D$28:$D$43,$D469),2)</f>
        <v>14.49</v>
      </c>
      <c r="U469" s="65" t="n">
        <f aca="false">$R469-$S469-$T469</f>
        <v>153.51</v>
      </c>
      <c r="V469" s="66" t="n">
        <f aca="false">IFERROR($U469/$R469,0)</f>
        <v>0.466198979591837</v>
      </c>
      <c r="W469" s="67" t="str">
        <f aca="false">IF(AND($V469&gt;=Parametros!$C$8,$R469&gt;=Parametros!$C$12),"Alta rentabilidad",IF(OR($V469&lt;Parametros!$C$11,$R469&lt;Parametros!$C$13),"Revisar","Estandar"))</f>
        <v>Estandar</v>
      </c>
      <c r="X469" s="67" t="str">
        <f aca="false">IF(AND($J469="E-commerce",IFERROR($T469/$R469,0)&gt;Parametros!$C$14),"Alerta","OK")</f>
        <v>OK</v>
      </c>
      <c r="Y469" s="61" t="str">
        <f aca="false">IF($R469&gt;=Parametros!$C$12,"Alto",IF($R469&lt;Parametros!$C$13,"Bajo","Medio"))</f>
        <v>Medio</v>
      </c>
      <c r="Z469" s="61" t="n">
        <v>1264</v>
      </c>
      <c r="AA469" s="61" t="str">
        <f aca="false">IF(MATCH($A469,Datos_Origen!$A$2:$A$2459,0)=$Z469,"OK","REVISAR")</f>
        <v>OK</v>
      </c>
      <c r="AB469" s="61" t="str">
        <f aca="false">INDEX(Datos_Origen!$B$2:$B$2459,$Z469)</f>
        <v>2024-05-10</v>
      </c>
      <c r="AC469" s="61" t="n">
        <f aca="false">INDEX(Datos_Origen!$H$2:$H$2459,$Z469)</f>
        <v>12</v>
      </c>
      <c r="AD469" s="61" t="str">
        <f aca="false">INDEX(Datos_Origen!$D$2:$D$2459,$Z469)&amp;""</f>
        <v>Mendoza</v>
      </c>
    </row>
    <row r="470" customFormat="false" ht="15" hidden="false" customHeight="false" outlineLevel="0" collapsed="false">
      <c r="A470" s="61" t="n">
        <f aca="false">INDEX(Datos_Origen!$A$2:$A$2459,$Z470)</f>
        <v>469</v>
      </c>
      <c r="B470" s="62" t="n">
        <f aca="false">IF(ISNUMBER($AB470),$AB470,IF(MID($AB470,5,1)="-",DATE(VALUE(LEFT($AB470,4)),VALUE(MID($AB470,6,2)),VALUE(RIGHT($AB470,2))),DATE(VALUE(RIGHT($AB470,4)),VALUE(MID($AB470,4,2)),VALUE(LEFT($AB470,2)))))</f>
        <v>45429</v>
      </c>
      <c r="C470" s="61" t="n">
        <f aca="false">YEAR($B470)</f>
        <v>2024</v>
      </c>
      <c r="D470" s="61" t="str">
        <f aca="false">"Q"&amp;ROUNDUP(MONTH($B470)/3,0)</f>
        <v>Q2</v>
      </c>
      <c r="E470" s="61" t="n">
        <f aca="false">MONTH($B470)</f>
        <v>5</v>
      </c>
      <c r="F470" s="61" t="str">
        <f aca="false">INDEX(Parametros!$I$5:$I$16,$E470)</f>
        <v>May</v>
      </c>
      <c r="G470" s="61" t="str">
        <f aca="false">TEXT($C470,"0000")&amp;"-"&amp;TEXT($E470,"00")</f>
        <v>2024-05</v>
      </c>
      <c r="H470" s="61" t="str">
        <f aca="false">INDEX(Parametros!$C$71:$C$91,MATCH(TRIM(INDEX(Datos_Origen!$C$2:$C$2459,$Z470)),Parametros!$B$71:$B$91,0))</f>
        <v>Cuyo</v>
      </c>
      <c r="I470" s="61" t="str">
        <f aca="false">IF(TRIM($AD470)="",INDEX(Parametros!$I$20:$I$24,MATCH($H470,Parametros!$H$20:$H$24,0)),TRIM($AD470))</f>
        <v>Mendoza</v>
      </c>
      <c r="J470" s="61" t="str">
        <f aca="false">INDEX(Parametros!$C$95:$C$106,MATCH(TRIM(INDEX(Datos_Origen!$E$2:$E$2459,$Z470)),Parametros!$B$95:$B$106,0))</f>
        <v>Tienda fisica</v>
      </c>
      <c r="K470" s="61" t="str">
        <f aca="false">INDEX(Parametros!$C$48:$C$67,MATCH(TRIM(INDEX(Datos_Origen!$F$2:$F$2459,$Z470)),Parametros!$B$48:$B$67,0))</f>
        <v>Accesorios</v>
      </c>
      <c r="L470" s="61" t="str">
        <f aca="false">$K470&amp;" "&amp;$C470</f>
        <v>Accesorios 2024</v>
      </c>
      <c r="M470" s="61" t="str">
        <f aca="false">TRIM(INDEX(Datos_Origen!$G$2:$G$2459,$Z470))</f>
        <v>Teclado Mecanico</v>
      </c>
      <c r="N470" s="61" t="str">
        <f aca="false">$M470&amp;" "&amp;$C470</f>
        <v>Teclado Mecanico 2024</v>
      </c>
      <c r="O470" s="63" t="n">
        <f aca="false">IF(ISTEXT($AC470),VALUE($AC470),$AC470)</f>
        <v>26</v>
      </c>
      <c r="P470" s="64" t="n">
        <f aca="false">INDEX(Datos_Origen!$I$2:$I$2459,$Z470)</f>
        <v>93.1</v>
      </c>
      <c r="Q470" s="64" t="n">
        <f aca="false">INDEX(Datos_Origen!$J$2:$J$2459,$Z470)</f>
        <v>47.98</v>
      </c>
      <c r="R470" s="65" t="n">
        <f aca="false">ROUND($O470*$P470,2)</f>
        <v>2420.6</v>
      </c>
      <c r="S470" s="65" t="n">
        <f aca="false">ROUND($O470*$Q470,2)</f>
        <v>1247.48</v>
      </c>
      <c r="T470" s="65" t="n">
        <f aca="false">ROUND($R470*SUMIFS(Parametros!$E$28:$E$43,Parametros!$B$28:$B$43,$J470,Parametros!$C$28:$C$43,$C470,Parametros!$D$28:$D$43,$D470),2)</f>
        <v>29.05</v>
      </c>
      <c r="U470" s="65" t="n">
        <f aca="false">$R470-$S470-$T470</f>
        <v>1144.07</v>
      </c>
      <c r="V470" s="66" t="n">
        <f aca="false">IFERROR($U470/$R470,0)</f>
        <v>0.472639015120218</v>
      </c>
      <c r="W470" s="67" t="str">
        <f aca="false">IF(AND($V470&gt;=Parametros!$C$8,$R470&gt;=Parametros!$C$12),"Alta rentabilidad",IF(OR($V470&lt;Parametros!$C$11,$R470&lt;Parametros!$C$13),"Revisar","Estandar"))</f>
        <v>Estandar</v>
      </c>
      <c r="X470" s="67" t="str">
        <f aca="false">IF(AND($J470="E-commerce",IFERROR($T470/$R470,0)&gt;Parametros!$C$14),"Alerta","OK")</f>
        <v>OK</v>
      </c>
      <c r="Y470" s="61" t="str">
        <f aca="false">IF($R470&gt;=Parametros!$C$12,"Alto",IF($R470&lt;Parametros!$C$13,"Bajo","Medio"))</f>
        <v>Medio</v>
      </c>
      <c r="Z470" s="61" t="n">
        <v>1628</v>
      </c>
      <c r="AA470" s="61" t="str">
        <f aca="false">IF(MATCH($A470,Datos_Origen!$A$2:$A$2459,0)=$Z470,"OK","REVISAR")</f>
        <v>OK</v>
      </c>
      <c r="AB470" s="61" t="str">
        <f aca="false">INDEX(Datos_Origen!$B$2:$B$2459,$Z470)</f>
        <v>17/05/2024</v>
      </c>
      <c r="AC470" s="61" t="n">
        <f aca="false">INDEX(Datos_Origen!$H$2:$H$2459,$Z470)</f>
        <v>26</v>
      </c>
      <c r="AD470" s="61" t="str">
        <f aca="false">INDEX(Datos_Origen!$D$2:$D$2459,$Z470)&amp;""</f>
        <v>Mendoza</v>
      </c>
    </row>
    <row r="471" customFormat="false" ht="15" hidden="false" customHeight="false" outlineLevel="0" collapsed="false">
      <c r="A471" s="61" t="n">
        <f aca="false">INDEX(Datos_Origen!$A$2:$A$2459,$Z471)</f>
        <v>470</v>
      </c>
      <c r="B471" s="62" t="n">
        <f aca="false">IF(ISNUMBER($AB471),$AB471,IF(MID($AB471,5,1)="-",DATE(VALUE(LEFT($AB471,4)),VALUE(MID($AB471,6,2)),VALUE(RIGHT($AB471,2))),DATE(VALUE(RIGHT($AB471,4)),VALUE(MID($AB471,4,2)),VALUE(LEFT($AB471,2)))))</f>
        <v>45436</v>
      </c>
      <c r="C471" s="61" t="n">
        <f aca="false">YEAR($B471)</f>
        <v>2024</v>
      </c>
      <c r="D471" s="61" t="str">
        <f aca="false">"Q"&amp;ROUNDUP(MONTH($B471)/3,0)</f>
        <v>Q2</v>
      </c>
      <c r="E471" s="61" t="n">
        <f aca="false">MONTH($B471)</f>
        <v>5</v>
      </c>
      <c r="F471" s="61" t="str">
        <f aca="false">INDEX(Parametros!$I$5:$I$16,$E471)</f>
        <v>May</v>
      </c>
      <c r="G471" s="61" t="str">
        <f aca="false">TEXT($C471,"0000")&amp;"-"&amp;TEXT($E471,"00")</f>
        <v>2024-05</v>
      </c>
      <c r="H471" s="61" t="str">
        <f aca="false">INDEX(Parametros!$C$71:$C$91,MATCH(TRIM(INDEX(Datos_Origen!$C$2:$C$2459,$Z471)),Parametros!$B$71:$B$91,0))</f>
        <v>Cuyo</v>
      </c>
      <c r="I471" s="61" t="str">
        <f aca="false">IF(TRIM($AD471)="",INDEX(Parametros!$I$20:$I$24,MATCH($H471,Parametros!$H$20:$H$24,0)),TRIM($AD471))</f>
        <v>Mendoza</v>
      </c>
      <c r="J471" s="61" t="str">
        <f aca="false">INDEX(Parametros!$C$95:$C$106,MATCH(TRIM(INDEX(Datos_Origen!$E$2:$E$2459,$Z471)),Parametros!$B$95:$B$106,0))</f>
        <v>E-commerce</v>
      </c>
      <c r="K471" s="61" t="str">
        <f aca="false">INDEX(Parametros!$C$48:$C$67,MATCH(TRIM(INDEX(Datos_Origen!$F$2:$F$2459,$Z471)),Parametros!$B$48:$B$67,0))</f>
        <v>Accesorios</v>
      </c>
      <c r="L471" s="61" t="str">
        <f aca="false">$K471&amp;" "&amp;$C471</f>
        <v>Accesorios 2024</v>
      </c>
      <c r="M471" s="61" t="str">
        <f aca="false">TRIM(INDEX(Datos_Origen!$G$2:$G$2459,$Z471))</f>
        <v>Teclado Mecanico</v>
      </c>
      <c r="N471" s="61" t="str">
        <f aca="false">$M471&amp;" "&amp;$C471</f>
        <v>Teclado Mecanico 2024</v>
      </c>
      <c r="O471" s="63" t="n">
        <f aca="false">IF(ISTEXT($AC471),VALUE($AC471),$AC471)</f>
        <v>11</v>
      </c>
      <c r="P471" s="64" t="n">
        <f aca="false">INDEX(Datos_Origen!$I$2:$I$2459,$Z471)</f>
        <v>93.1</v>
      </c>
      <c r="Q471" s="64" t="n">
        <f aca="false">INDEX(Datos_Origen!$J$2:$J$2459,$Z471)</f>
        <v>47.98</v>
      </c>
      <c r="R471" s="65" t="n">
        <f aca="false">ROUND($O471*$P471,2)</f>
        <v>1024.1</v>
      </c>
      <c r="S471" s="65" t="n">
        <f aca="false">ROUND($O471*$Q471,2)</f>
        <v>527.78</v>
      </c>
      <c r="T471" s="65" t="n">
        <f aca="false">ROUND($R471*SUMIFS(Parametros!$E$28:$E$43,Parametros!$B$28:$B$43,$J471,Parametros!$C$28:$C$43,$C471,Parametros!$D$28:$D$43,$D471),2)</f>
        <v>45.06</v>
      </c>
      <c r="U471" s="65" t="n">
        <f aca="false">$R471-$S471-$T471</f>
        <v>451.26</v>
      </c>
      <c r="V471" s="66" t="n">
        <f aca="false">IFERROR($U471/$R471,0)</f>
        <v>0.440640562445074</v>
      </c>
      <c r="W471" s="67" t="str">
        <f aca="false">IF(AND($V471&gt;=Parametros!$C$8,$R471&gt;=Parametros!$C$12),"Alta rentabilidad",IF(OR($V471&lt;Parametros!$C$11,$R471&lt;Parametros!$C$13),"Revisar","Estandar"))</f>
        <v>Estandar</v>
      </c>
      <c r="X471" s="67" t="str">
        <f aca="false">IF(AND($J471="E-commerce",IFERROR($T471/$R471,0)&gt;Parametros!$C$14),"Alerta","OK")</f>
        <v>OK</v>
      </c>
      <c r="Y471" s="61" t="str">
        <f aca="false">IF($R471&gt;=Parametros!$C$12,"Alto",IF($R471&lt;Parametros!$C$13,"Bajo","Medio"))</f>
        <v>Medio</v>
      </c>
      <c r="Z471" s="61" t="n">
        <v>1812</v>
      </c>
      <c r="AA471" s="61" t="str">
        <f aca="false">IF(MATCH($A471,Datos_Origen!$A$2:$A$2459,0)=$Z471,"OK","REVISAR")</f>
        <v>OK</v>
      </c>
      <c r="AB471" s="61" t="str">
        <f aca="false">INDEX(Datos_Origen!$B$2:$B$2459,$Z471)</f>
        <v>24/05/2024</v>
      </c>
      <c r="AC471" s="61" t="n">
        <f aca="false">INDEX(Datos_Origen!$H$2:$H$2459,$Z471)</f>
        <v>11</v>
      </c>
      <c r="AD471" s="61" t="str">
        <f aca="false">INDEX(Datos_Origen!$D$2:$D$2459,$Z471)&amp;""</f>
        <v>Mendoza</v>
      </c>
    </row>
    <row r="472" customFormat="false" ht="15" hidden="false" customHeight="false" outlineLevel="0" collapsed="false">
      <c r="A472" s="61" t="n">
        <f aca="false">INDEX(Datos_Origen!$A$2:$A$2459,$Z472)</f>
        <v>471</v>
      </c>
      <c r="B472" s="62" t="n">
        <f aca="false">IF(ISNUMBER($AB472),$AB472,IF(MID($AB472,5,1)="-",DATE(VALUE(LEFT($AB472,4)),VALUE(MID($AB472,6,2)),VALUE(RIGHT($AB472,2))),DATE(VALUE(RIGHT($AB472,4)),VALUE(MID($AB472,4,2)),VALUE(LEFT($AB472,2)))))</f>
        <v>45416</v>
      </c>
      <c r="C472" s="61" t="n">
        <f aca="false">YEAR($B472)</f>
        <v>2024</v>
      </c>
      <c r="D472" s="61" t="str">
        <f aca="false">"Q"&amp;ROUNDUP(MONTH($B472)/3,0)</f>
        <v>Q2</v>
      </c>
      <c r="E472" s="61" t="n">
        <f aca="false">MONTH($B472)</f>
        <v>5</v>
      </c>
      <c r="F472" s="61" t="str">
        <f aca="false">INDEX(Parametros!$I$5:$I$16,$E472)</f>
        <v>May</v>
      </c>
      <c r="G472" s="61" t="str">
        <f aca="false">TEXT($C472,"0000")&amp;"-"&amp;TEXT($E472,"00")</f>
        <v>2024-05</v>
      </c>
      <c r="H472" s="61" t="str">
        <f aca="false">INDEX(Parametros!$C$71:$C$91,MATCH(TRIM(INDEX(Datos_Origen!$C$2:$C$2459,$Z472)),Parametros!$B$71:$B$91,0))</f>
        <v>Cuyo</v>
      </c>
      <c r="I472" s="61" t="str">
        <f aca="false">IF(TRIM($AD472)="",INDEX(Parametros!$I$20:$I$24,MATCH($H472,Parametros!$H$20:$H$24,0)),TRIM($AD472))</f>
        <v>Mendoza</v>
      </c>
      <c r="J472" s="61" t="str">
        <f aca="false">INDEX(Parametros!$C$95:$C$106,MATCH(TRIM(INDEX(Datos_Origen!$E$2:$E$2459,$Z472)),Parametros!$B$95:$B$106,0))</f>
        <v>Tienda fisica</v>
      </c>
      <c r="K472" s="61" t="str">
        <f aca="false">INDEX(Parametros!$C$48:$C$67,MATCH(TRIM(INDEX(Datos_Origen!$F$2:$F$2459,$Z472)),Parametros!$B$48:$B$67,0))</f>
        <v>Accesorios</v>
      </c>
      <c r="L472" s="61" t="str">
        <f aca="false">$K472&amp;" "&amp;$C472</f>
        <v>Accesorios 2024</v>
      </c>
      <c r="M472" s="61" t="str">
        <f aca="false">TRIM(INDEX(Datos_Origen!$G$2:$G$2459,$Z472))</f>
        <v>Webcam Full HD</v>
      </c>
      <c r="N472" s="61" t="str">
        <f aca="false">$M472&amp;" "&amp;$C472</f>
        <v>Webcam Full HD 2024</v>
      </c>
      <c r="O472" s="63" t="n">
        <f aca="false">IF(ISTEXT($AC472),VALUE($AC472),$AC472)</f>
        <v>26</v>
      </c>
      <c r="P472" s="64" t="n">
        <f aca="false">INDEX(Datos_Origen!$I$2:$I$2459,$Z472)</f>
        <v>63.7</v>
      </c>
      <c r="Q472" s="64" t="n">
        <f aca="false">INDEX(Datos_Origen!$J$2:$J$2459,$Z472)</f>
        <v>35.43</v>
      </c>
      <c r="R472" s="65" t="n">
        <f aca="false">ROUND($O472*$P472,2)</f>
        <v>1656.2</v>
      </c>
      <c r="S472" s="65" t="n">
        <f aca="false">ROUND($O472*$Q472,2)</f>
        <v>921.18</v>
      </c>
      <c r="T472" s="65" t="n">
        <f aca="false">ROUND($R472*SUMIFS(Parametros!$E$28:$E$43,Parametros!$B$28:$B$43,$J472,Parametros!$C$28:$C$43,$C472,Parametros!$D$28:$D$43,$D472),2)</f>
        <v>19.87</v>
      </c>
      <c r="U472" s="65" t="n">
        <f aca="false">$R472-$S472-$T472</f>
        <v>715.15</v>
      </c>
      <c r="V472" s="66" t="n">
        <f aca="false">IFERROR($U472/$R472,0)</f>
        <v>0.431801714768748</v>
      </c>
      <c r="W472" s="67" t="str">
        <f aca="false">IF(AND($V472&gt;=Parametros!$C$8,$R472&gt;=Parametros!$C$12),"Alta rentabilidad",IF(OR($V472&lt;Parametros!$C$11,$R472&lt;Parametros!$C$13),"Revisar","Estandar"))</f>
        <v>Estandar</v>
      </c>
      <c r="X472" s="67" t="str">
        <f aca="false">IF(AND($J472="E-commerce",IFERROR($T472/$R472,0)&gt;Parametros!$C$14),"Alerta","OK")</f>
        <v>OK</v>
      </c>
      <c r="Y472" s="61" t="str">
        <f aca="false">IF($R472&gt;=Parametros!$C$12,"Alto",IF($R472&lt;Parametros!$C$13,"Bajo","Medio"))</f>
        <v>Medio</v>
      </c>
      <c r="Z472" s="61" t="n">
        <v>1949</v>
      </c>
      <c r="AA472" s="61" t="str">
        <f aca="false">IF(MATCH($A472,Datos_Origen!$A$2:$A$2459,0)=$Z472,"OK","REVISAR")</f>
        <v>OK</v>
      </c>
      <c r="AB472" s="61" t="str">
        <f aca="false">INDEX(Datos_Origen!$B$2:$B$2459,$Z472)</f>
        <v>2024-05-04</v>
      </c>
      <c r="AC472" s="61" t="n">
        <f aca="false">INDEX(Datos_Origen!$H$2:$H$2459,$Z472)</f>
        <v>26</v>
      </c>
      <c r="AD472" s="61" t="str">
        <f aca="false">INDEX(Datos_Origen!$D$2:$D$2459,$Z472)&amp;""</f>
        <v>Mendoza</v>
      </c>
    </row>
    <row r="473" customFormat="false" ht="15" hidden="false" customHeight="false" outlineLevel="0" collapsed="false">
      <c r="A473" s="61" t="n">
        <f aca="false">INDEX(Datos_Origen!$A$2:$A$2459,$Z473)</f>
        <v>472</v>
      </c>
      <c r="B473" s="62" t="n">
        <f aca="false">IF(ISNUMBER($AB473),$AB473,IF(MID($AB473,5,1)="-",DATE(VALUE(LEFT($AB473,4)),VALUE(MID($AB473,6,2)),VALUE(RIGHT($AB473,2))),DATE(VALUE(RIGHT($AB473,4)),VALUE(MID($AB473,4,2)),VALUE(LEFT($AB473,2)))))</f>
        <v>45423</v>
      </c>
      <c r="C473" s="61" t="n">
        <f aca="false">YEAR($B473)</f>
        <v>2024</v>
      </c>
      <c r="D473" s="61" t="str">
        <f aca="false">"Q"&amp;ROUNDUP(MONTH($B473)/3,0)</f>
        <v>Q2</v>
      </c>
      <c r="E473" s="61" t="n">
        <f aca="false">MONTH($B473)</f>
        <v>5</v>
      </c>
      <c r="F473" s="61" t="str">
        <f aca="false">INDEX(Parametros!$I$5:$I$16,$E473)</f>
        <v>May</v>
      </c>
      <c r="G473" s="61" t="str">
        <f aca="false">TEXT($C473,"0000")&amp;"-"&amp;TEXT($E473,"00")</f>
        <v>2024-05</v>
      </c>
      <c r="H473" s="61" t="str">
        <f aca="false">INDEX(Parametros!$C$71:$C$91,MATCH(TRIM(INDEX(Datos_Origen!$C$2:$C$2459,$Z473)),Parametros!$B$71:$B$91,0))</f>
        <v>Cuyo</v>
      </c>
      <c r="I473" s="61" t="str">
        <f aca="false">IF(TRIM($AD473)="",INDEX(Parametros!$I$20:$I$24,MATCH($H473,Parametros!$H$20:$H$24,0)),TRIM($AD473))</f>
        <v>Mendoza</v>
      </c>
      <c r="J473" s="61" t="str">
        <f aca="false">INDEX(Parametros!$C$95:$C$106,MATCH(TRIM(INDEX(Datos_Origen!$E$2:$E$2459,$Z473)),Parametros!$B$95:$B$106,0))</f>
        <v>E-commerce</v>
      </c>
      <c r="K473" s="61" t="str">
        <f aca="false">INDEX(Parametros!$C$48:$C$67,MATCH(TRIM(INDEX(Datos_Origen!$F$2:$F$2459,$Z473)),Parametros!$B$48:$B$67,0))</f>
        <v>Accesorios</v>
      </c>
      <c r="L473" s="61" t="str">
        <f aca="false">$K473&amp;" "&amp;$C473</f>
        <v>Accesorios 2024</v>
      </c>
      <c r="M473" s="61" t="str">
        <f aca="false">TRIM(INDEX(Datos_Origen!$G$2:$G$2459,$Z473))</f>
        <v>Webcam Full HD</v>
      </c>
      <c r="N473" s="61" t="str">
        <f aca="false">$M473&amp;" "&amp;$C473</f>
        <v>Webcam Full HD 2024</v>
      </c>
      <c r="O473" s="63" t="n">
        <f aca="false">IF(ISTEXT($AC473),VALUE($AC473),$AC473)</f>
        <v>11</v>
      </c>
      <c r="P473" s="64" t="n">
        <f aca="false">INDEX(Datos_Origen!$I$2:$I$2459,$Z473)</f>
        <v>63.7</v>
      </c>
      <c r="Q473" s="64" t="n">
        <f aca="false">INDEX(Datos_Origen!$J$2:$J$2459,$Z473)</f>
        <v>35.43</v>
      </c>
      <c r="R473" s="65" t="n">
        <f aca="false">ROUND($O473*$P473,2)</f>
        <v>700.7</v>
      </c>
      <c r="S473" s="65" t="n">
        <f aca="false">ROUND($O473*$Q473,2)</f>
        <v>389.73</v>
      </c>
      <c r="T473" s="65" t="n">
        <f aca="false">ROUND($R473*SUMIFS(Parametros!$E$28:$E$43,Parametros!$B$28:$B$43,$J473,Parametros!$C$28:$C$43,$C473,Parametros!$D$28:$D$43,$D473),2)</f>
        <v>30.83</v>
      </c>
      <c r="U473" s="65" t="n">
        <f aca="false">$R473-$S473-$T473</f>
        <v>280.14</v>
      </c>
      <c r="V473" s="66" t="n">
        <f aca="false">IFERROR($U473/$R473,0)</f>
        <v>0.3998001998002</v>
      </c>
      <c r="W473" s="67" t="str">
        <f aca="false">IF(AND($V473&gt;=Parametros!$C$8,$R473&gt;=Parametros!$C$12),"Alta rentabilidad",IF(OR($V473&lt;Parametros!$C$11,$R473&lt;Parametros!$C$13),"Revisar","Estandar"))</f>
        <v>Estandar</v>
      </c>
      <c r="X473" s="67" t="str">
        <f aca="false">IF(AND($J473="E-commerce",IFERROR($T473/$R473,0)&gt;Parametros!$C$14),"Alerta","OK")</f>
        <v>OK</v>
      </c>
      <c r="Y473" s="61" t="str">
        <f aca="false">IF($R473&gt;=Parametros!$C$12,"Alto",IF($R473&lt;Parametros!$C$13,"Bajo","Medio"))</f>
        <v>Medio</v>
      </c>
      <c r="Z473" s="61" t="n">
        <v>749</v>
      </c>
      <c r="AA473" s="61" t="str">
        <f aca="false">IF(MATCH($A473,Datos_Origen!$A$2:$A$2459,0)=$Z473,"OK","REVISAR")</f>
        <v>OK</v>
      </c>
      <c r="AB473" s="62" t="n">
        <f aca="false">INDEX(Datos_Origen!$B$2:$B$2459,$Z473)</f>
        <v>45423</v>
      </c>
      <c r="AC473" s="61" t="n">
        <f aca="false">INDEX(Datos_Origen!$H$2:$H$2459,$Z473)</f>
        <v>11</v>
      </c>
      <c r="AD473" s="61" t="str">
        <f aca="false">INDEX(Datos_Origen!$D$2:$D$2459,$Z473)&amp;""</f>
        <v>Mendoza</v>
      </c>
    </row>
    <row r="474" customFormat="false" ht="15" hidden="false" customHeight="false" outlineLevel="0" collapsed="false">
      <c r="A474" s="61" t="n">
        <f aca="false">INDEX(Datos_Origen!$A$2:$A$2459,$Z474)</f>
        <v>473</v>
      </c>
      <c r="B474" s="62" t="n">
        <f aca="false">IF(ISNUMBER($AB474),$AB474,IF(MID($AB474,5,1)="-",DATE(VALUE(LEFT($AB474,4)),VALUE(MID($AB474,6,2)),VALUE(RIGHT($AB474,2))),DATE(VALUE(RIGHT($AB474,4)),VALUE(MID($AB474,4,2)),VALUE(LEFT($AB474,2)))))</f>
        <v>45430</v>
      </c>
      <c r="C474" s="61" t="n">
        <f aca="false">YEAR($B474)</f>
        <v>2024</v>
      </c>
      <c r="D474" s="61" t="str">
        <f aca="false">"Q"&amp;ROUNDUP(MONTH($B474)/3,0)</f>
        <v>Q2</v>
      </c>
      <c r="E474" s="61" t="n">
        <f aca="false">MONTH($B474)</f>
        <v>5</v>
      </c>
      <c r="F474" s="61" t="str">
        <f aca="false">INDEX(Parametros!$I$5:$I$16,$E474)</f>
        <v>May</v>
      </c>
      <c r="G474" s="61" t="str">
        <f aca="false">TEXT($C474,"0000")&amp;"-"&amp;TEXT($E474,"00")</f>
        <v>2024-05</v>
      </c>
      <c r="H474" s="61" t="str">
        <f aca="false">INDEX(Parametros!$C$71:$C$91,MATCH(TRIM(INDEX(Datos_Origen!$C$2:$C$2459,$Z474)),Parametros!$B$71:$B$91,0))</f>
        <v>Cuyo</v>
      </c>
      <c r="I474" s="61" t="str">
        <f aca="false">IF(TRIM($AD474)="",INDEX(Parametros!$I$20:$I$24,MATCH($H474,Parametros!$H$20:$H$24,0)),TRIM($AD474))</f>
        <v>Mendoza</v>
      </c>
      <c r="J474" s="61" t="str">
        <f aca="false">INDEX(Parametros!$C$95:$C$106,MATCH(TRIM(INDEX(Datos_Origen!$E$2:$E$2459,$Z474)),Parametros!$B$95:$B$106,0))</f>
        <v>Tienda fisica</v>
      </c>
      <c r="K474" s="61" t="str">
        <f aca="false">INDEX(Parametros!$C$48:$C$67,MATCH(TRIM(INDEX(Datos_Origen!$F$2:$F$2459,$Z474)),Parametros!$B$48:$B$67,0))</f>
        <v>Audio</v>
      </c>
      <c r="L474" s="61" t="str">
        <f aca="false">$K474&amp;" "&amp;$C474</f>
        <v>Audio 2024</v>
      </c>
      <c r="M474" s="61" t="str">
        <f aca="false">TRIM(INDEX(Datos_Origen!$G$2:$G$2459,$Z474))</f>
        <v>Auriculares BT Pro</v>
      </c>
      <c r="N474" s="61" t="str">
        <f aca="false">$M474&amp;" "&amp;$C474</f>
        <v>Auriculares BT Pro 2024</v>
      </c>
      <c r="O474" s="63" t="n">
        <f aca="false">IF(ISTEXT($AC474),VALUE($AC474),$AC474)</f>
        <v>14</v>
      </c>
      <c r="P474" s="64" t="n">
        <f aca="false">INDEX(Datos_Origen!$I$2:$I$2459,$Z474)</f>
        <v>117.6</v>
      </c>
      <c r="Q474" s="64" t="n">
        <f aca="false">INDEX(Datos_Origen!$J$2:$J$2459,$Z474)</f>
        <v>63.6</v>
      </c>
      <c r="R474" s="65" t="n">
        <f aca="false">ROUND($O474*$P474,2)</f>
        <v>1646.4</v>
      </c>
      <c r="S474" s="65" t="n">
        <f aca="false">ROUND($O474*$Q474,2)</f>
        <v>890.4</v>
      </c>
      <c r="T474" s="65" t="n">
        <f aca="false">ROUND($R474*SUMIFS(Parametros!$E$28:$E$43,Parametros!$B$28:$B$43,$J474,Parametros!$C$28:$C$43,$C474,Parametros!$D$28:$D$43,$D474),2)</f>
        <v>19.76</v>
      </c>
      <c r="U474" s="65" t="n">
        <f aca="false">$R474-$S474-$T474</f>
        <v>736.24</v>
      </c>
      <c r="V474" s="66" t="n">
        <f aca="false">IFERROR($U474/$R474,0)</f>
        <v>0.447181729834791</v>
      </c>
      <c r="W474" s="67" t="str">
        <f aca="false">IF(AND($V474&gt;=Parametros!$C$8,$R474&gt;=Parametros!$C$12),"Alta rentabilidad",IF(OR($V474&lt;Parametros!$C$11,$R474&lt;Parametros!$C$13),"Revisar","Estandar"))</f>
        <v>Estandar</v>
      </c>
      <c r="X474" s="67" t="str">
        <f aca="false">IF(AND($J474="E-commerce",IFERROR($T474/$R474,0)&gt;Parametros!$C$14),"Alerta","OK")</f>
        <v>OK</v>
      </c>
      <c r="Y474" s="61" t="str">
        <f aca="false">IF($R474&gt;=Parametros!$C$12,"Alto",IF($R474&lt;Parametros!$C$13,"Bajo","Medio"))</f>
        <v>Medio</v>
      </c>
      <c r="Z474" s="61" t="n">
        <v>1935</v>
      </c>
      <c r="AA474" s="61" t="str">
        <f aca="false">IF(MATCH($A474,Datos_Origen!$A$2:$A$2459,0)=$Z474,"OK","REVISAR")</f>
        <v>OK</v>
      </c>
      <c r="AB474" s="61" t="str">
        <f aca="false">INDEX(Datos_Origen!$B$2:$B$2459,$Z474)</f>
        <v>2024-05-18</v>
      </c>
      <c r="AC474" s="61" t="n">
        <f aca="false">INDEX(Datos_Origen!$H$2:$H$2459,$Z474)</f>
        <v>14</v>
      </c>
      <c r="AD474" s="61" t="str">
        <f aca="false">INDEX(Datos_Origen!$D$2:$D$2459,$Z474)&amp;""</f>
        <v>Mendoza</v>
      </c>
    </row>
    <row r="475" customFormat="false" ht="15" hidden="false" customHeight="false" outlineLevel="0" collapsed="false">
      <c r="A475" s="61" t="n">
        <f aca="false">INDEX(Datos_Origen!$A$2:$A$2459,$Z475)</f>
        <v>474</v>
      </c>
      <c r="B475" s="62" t="n">
        <f aca="false">IF(ISNUMBER($AB475),$AB475,IF(MID($AB475,5,1)="-",DATE(VALUE(LEFT($AB475,4)),VALUE(MID($AB475,6,2)),VALUE(RIGHT($AB475,2))),DATE(VALUE(RIGHT($AB475,4)),VALUE(MID($AB475,4,2)),VALUE(LEFT($AB475,2)))))</f>
        <v>45437</v>
      </c>
      <c r="C475" s="61" t="n">
        <f aca="false">YEAR($B475)</f>
        <v>2024</v>
      </c>
      <c r="D475" s="61" t="str">
        <f aca="false">"Q"&amp;ROUNDUP(MONTH($B475)/3,0)</f>
        <v>Q2</v>
      </c>
      <c r="E475" s="61" t="n">
        <f aca="false">MONTH($B475)</f>
        <v>5</v>
      </c>
      <c r="F475" s="61" t="str">
        <f aca="false">INDEX(Parametros!$I$5:$I$16,$E475)</f>
        <v>May</v>
      </c>
      <c r="G475" s="61" t="str">
        <f aca="false">TEXT($C475,"0000")&amp;"-"&amp;TEXT($E475,"00")</f>
        <v>2024-05</v>
      </c>
      <c r="H475" s="61" t="str">
        <f aca="false">INDEX(Parametros!$C$71:$C$91,MATCH(TRIM(INDEX(Datos_Origen!$C$2:$C$2459,$Z475)),Parametros!$B$71:$B$91,0))</f>
        <v>Cuyo</v>
      </c>
      <c r="I475" s="61" t="str">
        <f aca="false">IF(TRIM($AD475)="",INDEX(Parametros!$I$20:$I$24,MATCH($H475,Parametros!$H$20:$H$24,0)),TRIM($AD475))</f>
        <v>Mendoza</v>
      </c>
      <c r="J475" s="61" t="str">
        <f aca="false">INDEX(Parametros!$C$95:$C$106,MATCH(TRIM(INDEX(Datos_Origen!$E$2:$E$2459,$Z475)),Parametros!$B$95:$B$106,0))</f>
        <v>E-commerce</v>
      </c>
      <c r="K475" s="61" t="str">
        <f aca="false">INDEX(Parametros!$C$48:$C$67,MATCH(TRIM(INDEX(Datos_Origen!$F$2:$F$2459,$Z475)),Parametros!$B$48:$B$67,0))</f>
        <v>Audio</v>
      </c>
      <c r="L475" s="61" t="str">
        <f aca="false">$K475&amp;" "&amp;$C475</f>
        <v>Audio 2024</v>
      </c>
      <c r="M475" s="61" t="str">
        <f aca="false">TRIM(INDEX(Datos_Origen!$G$2:$G$2459,$Z475))</f>
        <v>Auriculares BT Pro</v>
      </c>
      <c r="N475" s="61" t="str">
        <f aca="false">$M475&amp;" "&amp;$C475</f>
        <v>Auriculares BT Pro 2024</v>
      </c>
      <c r="O475" s="63" t="n">
        <f aca="false">IF(ISTEXT($AC475),VALUE($AC475),$AC475)</f>
        <v>5</v>
      </c>
      <c r="P475" s="64" t="n">
        <f aca="false">INDEX(Datos_Origen!$I$2:$I$2459,$Z475)</f>
        <v>117.6</v>
      </c>
      <c r="Q475" s="64" t="n">
        <f aca="false">INDEX(Datos_Origen!$J$2:$J$2459,$Z475)</f>
        <v>63.6</v>
      </c>
      <c r="R475" s="65" t="n">
        <f aca="false">ROUND($O475*$P475,2)</f>
        <v>588</v>
      </c>
      <c r="S475" s="65" t="n">
        <f aca="false">ROUND($O475*$Q475,2)</f>
        <v>318</v>
      </c>
      <c r="T475" s="65" t="n">
        <f aca="false">ROUND($R475*SUMIFS(Parametros!$E$28:$E$43,Parametros!$B$28:$B$43,$J475,Parametros!$C$28:$C$43,$C475,Parametros!$D$28:$D$43,$D475),2)</f>
        <v>25.87</v>
      </c>
      <c r="U475" s="65" t="n">
        <f aca="false">$R475-$S475-$T475</f>
        <v>244.13</v>
      </c>
      <c r="V475" s="66" t="n">
        <f aca="false">IFERROR($U475/$R475,0)</f>
        <v>0.415187074829932</v>
      </c>
      <c r="W475" s="67" t="str">
        <f aca="false">IF(AND($V475&gt;=Parametros!$C$8,$R475&gt;=Parametros!$C$12),"Alta rentabilidad",IF(OR($V475&lt;Parametros!$C$11,$R475&lt;Parametros!$C$13),"Revisar","Estandar"))</f>
        <v>Estandar</v>
      </c>
      <c r="X475" s="67" t="str">
        <f aca="false">IF(AND($J475="E-commerce",IFERROR($T475/$R475,0)&gt;Parametros!$C$14),"Alerta","OK")</f>
        <v>OK</v>
      </c>
      <c r="Y475" s="61" t="str">
        <f aca="false">IF($R475&gt;=Parametros!$C$12,"Alto",IF($R475&lt;Parametros!$C$13,"Bajo","Medio"))</f>
        <v>Medio</v>
      </c>
      <c r="Z475" s="61" t="n">
        <v>2286</v>
      </c>
      <c r="AA475" s="61" t="str">
        <f aca="false">IF(MATCH($A475,Datos_Origen!$A$2:$A$2459,0)=$Z475,"OK","REVISAR")</f>
        <v>OK</v>
      </c>
      <c r="AB475" s="62" t="n">
        <f aca="false">INDEX(Datos_Origen!$B$2:$B$2459,$Z475)</f>
        <v>45437</v>
      </c>
      <c r="AC475" s="61" t="n">
        <f aca="false">INDEX(Datos_Origen!$H$2:$H$2459,$Z475)</f>
        <v>5</v>
      </c>
      <c r="AD475" s="61" t="str">
        <f aca="false">INDEX(Datos_Origen!$D$2:$D$2459,$Z475)&amp;""</f>
        <v>Mendoza</v>
      </c>
    </row>
    <row r="476" customFormat="false" ht="15" hidden="false" customHeight="false" outlineLevel="0" collapsed="false">
      <c r="A476" s="61" t="n">
        <f aca="false">INDEX(Datos_Origen!$A$2:$A$2459,$Z476)</f>
        <v>475</v>
      </c>
      <c r="B476" s="62" t="n">
        <f aca="false">IF(ISNUMBER($AB476),$AB476,IF(MID($AB476,5,1)="-",DATE(VALUE(LEFT($AB476,4)),VALUE(MID($AB476,6,2)),VALUE(RIGHT($AB476,2))),DATE(VALUE(RIGHT($AB476,4)),VALUE(MID($AB476,4,2)),VALUE(LEFT($AB476,2)))))</f>
        <v>45417</v>
      </c>
      <c r="C476" s="61" t="n">
        <f aca="false">YEAR($B476)</f>
        <v>2024</v>
      </c>
      <c r="D476" s="61" t="str">
        <f aca="false">"Q"&amp;ROUNDUP(MONTH($B476)/3,0)</f>
        <v>Q2</v>
      </c>
      <c r="E476" s="61" t="n">
        <f aca="false">MONTH($B476)</f>
        <v>5</v>
      </c>
      <c r="F476" s="61" t="str">
        <f aca="false">INDEX(Parametros!$I$5:$I$16,$E476)</f>
        <v>May</v>
      </c>
      <c r="G476" s="61" t="str">
        <f aca="false">TEXT($C476,"0000")&amp;"-"&amp;TEXT($E476,"00")</f>
        <v>2024-05</v>
      </c>
      <c r="H476" s="61" t="str">
        <f aca="false">INDEX(Parametros!$C$71:$C$91,MATCH(TRIM(INDEX(Datos_Origen!$C$2:$C$2459,$Z476)),Parametros!$B$71:$B$91,0))</f>
        <v>Cuyo</v>
      </c>
      <c r="I476" s="61" t="str">
        <f aca="false">IF(TRIM($AD476)="",INDEX(Parametros!$I$20:$I$24,MATCH($H476,Parametros!$H$20:$H$24,0)),TRIM($AD476))</f>
        <v>Mendoza</v>
      </c>
      <c r="J476" s="61" t="str">
        <f aca="false">INDEX(Parametros!$C$95:$C$106,MATCH(TRIM(INDEX(Datos_Origen!$E$2:$E$2459,$Z476)),Parametros!$B$95:$B$106,0))</f>
        <v>Tienda fisica</v>
      </c>
      <c r="K476" s="61" t="str">
        <f aca="false">INDEX(Parametros!$C$48:$C$67,MATCH(TRIM(INDEX(Datos_Origen!$F$2:$F$2459,$Z476)),Parametros!$B$48:$B$67,0))</f>
        <v>Audio</v>
      </c>
      <c r="L476" s="61" t="str">
        <f aca="false">$K476&amp;" "&amp;$C476</f>
        <v>Audio 2024</v>
      </c>
      <c r="M476" s="61" t="str">
        <f aca="false">TRIM(INDEX(Datos_Origen!$G$2:$G$2459,$Z476))</f>
        <v>Parlante Bluetooth</v>
      </c>
      <c r="N476" s="61" t="str">
        <f aca="false">$M476&amp;" "&amp;$C476</f>
        <v>Parlante Bluetooth 2024</v>
      </c>
      <c r="O476" s="63" t="n">
        <f aca="false">IF(ISTEXT($AC476),VALUE($AC476),$AC476)</f>
        <v>15</v>
      </c>
      <c r="P476" s="64" t="n">
        <f aca="false">INDEX(Datos_Origen!$I$2:$I$2459,$Z476)</f>
        <v>83.3</v>
      </c>
      <c r="Q476" s="64" t="n">
        <f aca="false">INDEX(Datos_Origen!$J$2:$J$2459,$Z476)</f>
        <v>48.03</v>
      </c>
      <c r="R476" s="65" t="n">
        <f aca="false">ROUND($O476*$P476,2)</f>
        <v>1249.5</v>
      </c>
      <c r="S476" s="65" t="n">
        <f aca="false">ROUND($O476*$Q476,2)</f>
        <v>720.45</v>
      </c>
      <c r="T476" s="65" t="n">
        <f aca="false">ROUND($R476*SUMIFS(Parametros!$E$28:$E$43,Parametros!$B$28:$B$43,$J476,Parametros!$C$28:$C$43,$C476,Parametros!$D$28:$D$43,$D476),2)</f>
        <v>14.99</v>
      </c>
      <c r="U476" s="65" t="n">
        <f aca="false">$R476-$S476-$T476</f>
        <v>514.06</v>
      </c>
      <c r="V476" s="66" t="n">
        <f aca="false">IFERROR($U476/$R476,0)</f>
        <v>0.41141256502601</v>
      </c>
      <c r="W476" s="67" t="str">
        <f aca="false">IF(AND($V476&gt;=Parametros!$C$8,$R476&gt;=Parametros!$C$12),"Alta rentabilidad",IF(OR($V476&lt;Parametros!$C$11,$R476&lt;Parametros!$C$13),"Revisar","Estandar"))</f>
        <v>Estandar</v>
      </c>
      <c r="X476" s="67" t="str">
        <f aca="false">IF(AND($J476="E-commerce",IFERROR($T476/$R476,0)&gt;Parametros!$C$14),"Alerta","OK")</f>
        <v>OK</v>
      </c>
      <c r="Y476" s="61" t="str">
        <f aca="false">IF($R476&gt;=Parametros!$C$12,"Alto",IF($R476&lt;Parametros!$C$13,"Bajo","Medio"))</f>
        <v>Medio</v>
      </c>
      <c r="Z476" s="61" t="n">
        <v>1650</v>
      </c>
      <c r="AA476" s="61" t="str">
        <f aca="false">IF(MATCH($A476,Datos_Origen!$A$2:$A$2459,0)=$Z476,"OK","REVISAR")</f>
        <v>OK</v>
      </c>
      <c r="AB476" s="62" t="n">
        <f aca="false">INDEX(Datos_Origen!$B$2:$B$2459,$Z476)</f>
        <v>45417</v>
      </c>
      <c r="AC476" s="61" t="n">
        <f aca="false">INDEX(Datos_Origen!$H$2:$H$2459,$Z476)</f>
        <v>15</v>
      </c>
      <c r="AD476" s="61" t="str">
        <f aca="false">INDEX(Datos_Origen!$D$2:$D$2459,$Z476)&amp;""</f>
        <v>Mendoza</v>
      </c>
    </row>
    <row r="477" customFormat="false" ht="15" hidden="false" customHeight="false" outlineLevel="0" collapsed="false">
      <c r="A477" s="61" t="n">
        <f aca="false">INDEX(Datos_Origen!$A$2:$A$2459,$Z477)</f>
        <v>476</v>
      </c>
      <c r="B477" s="62" t="n">
        <f aca="false">IF(ISNUMBER($AB477),$AB477,IF(MID($AB477,5,1)="-",DATE(VALUE(LEFT($AB477,4)),VALUE(MID($AB477,6,2)),VALUE(RIGHT($AB477,2))),DATE(VALUE(RIGHT($AB477,4)),VALUE(MID($AB477,4,2)),VALUE(LEFT($AB477,2)))))</f>
        <v>45424</v>
      </c>
      <c r="C477" s="61" t="n">
        <f aca="false">YEAR($B477)</f>
        <v>2024</v>
      </c>
      <c r="D477" s="61" t="str">
        <f aca="false">"Q"&amp;ROUNDUP(MONTH($B477)/3,0)</f>
        <v>Q2</v>
      </c>
      <c r="E477" s="61" t="n">
        <f aca="false">MONTH($B477)</f>
        <v>5</v>
      </c>
      <c r="F477" s="61" t="str">
        <f aca="false">INDEX(Parametros!$I$5:$I$16,$E477)</f>
        <v>May</v>
      </c>
      <c r="G477" s="61" t="str">
        <f aca="false">TEXT($C477,"0000")&amp;"-"&amp;TEXT($E477,"00")</f>
        <v>2024-05</v>
      </c>
      <c r="H477" s="61" t="str">
        <f aca="false">INDEX(Parametros!$C$71:$C$91,MATCH(TRIM(INDEX(Datos_Origen!$C$2:$C$2459,$Z477)),Parametros!$B$71:$B$91,0))</f>
        <v>Cuyo</v>
      </c>
      <c r="I477" s="61" t="str">
        <f aca="false">IF(TRIM($AD477)="",INDEX(Parametros!$I$20:$I$24,MATCH($H477,Parametros!$H$20:$H$24,0)),TRIM($AD477))</f>
        <v>Mendoza</v>
      </c>
      <c r="J477" s="61" t="str">
        <f aca="false">INDEX(Parametros!$C$95:$C$106,MATCH(TRIM(INDEX(Datos_Origen!$E$2:$E$2459,$Z477)),Parametros!$B$95:$B$106,0))</f>
        <v>E-commerce</v>
      </c>
      <c r="K477" s="61" t="str">
        <f aca="false">INDEX(Parametros!$C$48:$C$67,MATCH(TRIM(INDEX(Datos_Origen!$F$2:$F$2459,$Z477)),Parametros!$B$48:$B$67,0))</f>
        <v>Audio</v>
      </c>
      <c r="L477" s="61" t="str">
        <f aca="false">$K477&amp;" "&amp;$C477</f>
        <v>Audio 2024</v>
      </c>
      <c r="M477" s="61" t="str">
        <f aca="false">TRIM(INDEX(Datos_Origen!$G$2:$G$2459,$Z477))</f>
        <v>Parlante Bluetooth</v>
      </c>
      <c r="N477" s="61" t="str">
        <f aca="false">$M477&amp;" "&amp;$C477</f>
        <v>Parlante Bluetooth 2024</v>
      </c>
      <c r="O477" s="63" t="n">
        <f aca="false">IF(ISTEXT($AC477),VALUE($AC477),$AC477)</f>
        <v>5</v>
      </c>
      <c r="P477" s="64" t="n">
        <f aca="false">INDEX(Datos_Origen!$I$2:$I$2459,$Z477)</f>
        <v>83.3</v>
      </c>
      <c r="Q477" s="64" t="n">
        <f aca="false">INDEX(Datos_Origen!$J$2:$J$2459,$Z477)</f>
        <v>48.03</v>
      </c>
      <c r="R477" s="65" t="n">
        <f aca="false">ROUND($O477*$P477,2)</f>
        <v>416.5</v>
      </c>
      <c r="S477" s="65" t="n">
        <f aca="false">ROUND($O477*$Q477,2)</f>
        <v>240.15</v>
      </c>
      <c r="T477" s="65" t="n">
        <f aca="false">ROUND($R477*SUMIFS(Parametros!$E$28:$E$43,Parametros!$B$28:$B$43,$J477,Parametros!$C$28:$C$43,$C477,Parametros!$D$28:$D$43,$D477),2)</f>
        <v>18.33</v>
      </c>
      <c r="U477" s="65" t="n">
        <f aca="false">$R477-$S477-$T477</f>
        <v>158.02</v>
      </c>
      <c r="V477" s="66" t="n">
        <f aca="false">IFERROR($U477/$R477,0)</f>
        <v>0.379399759903962</v>
      </c>
      <c r="W477" s="67" t="str">
        <f aca="false">IF(AND($V477&gt;=Parametros!$C$8,$R477&gt;=Parametros!$C$12),"Alta rentabilidad",IF(OR($V477&lt;Parametros!$C$11,$R477&lt;Parametros!$C$13),"Revisar","Estandar"))</f>
        <v>Estandar</v>
      </c>
      <c r="X477" s="67" t="str">
        <f aca="false">IF(AND($J477="E-commerce",IFERROR($T477/$R477,0)&gt;Parametros!$C$14),"Alerta","OK")</f>
        <v>OK</v>
      </c>
      <c r="Y477" s="61" t="str">
        <f aca="false">IF($R477&gt;=Parametros!$C$12,"Alto",IF($R477&lt;Parametros!$C$13,"Bajo","Medio"))</f>
        <v>Medio</v>
      </c>
      <c r="Z477" s="61" t="n">
        <v>2303</v>
      </c>
      <c r="AA477" s="61" t="str">
        <f aca="false">IF(MATCH($A477,Datos_Origen!$A$2:$A$2459,0)=$Z477,"OK","REVISAR")</f>
        <v>OK</v>
      </c>
      <c r="AB477" s="62" t="n">
        <f aca="false">INDEX(Datos_Origen!$B$2:$B$2459,$Z477)</f>
        <v>45424</v>
      </c>
      <c r="AC477" s="61" t="n">
        <f aca="false">INDEX(Datos_Origen!$H$2:$H$2459,$Z477)</f>
        <v>5</v>
      </c>
      <c r="AD477" s="61" t="str">
        <f aca="false">INDEX(Datos_Origen!$D$2:$D$2459,$Z477)&amp;""</f>
        <v>Mendoza</v>
      </c>
    </row>
    <row r="478" customFormat="false" ht="15" hidden="false" customHeight="false" outlineLevel="0" collapsed="false">
      <c r="A478" s="61" t="n">
        <f aca="false">INDEX(Datos_Origen!$A$2:$A$2459,$Z478)</f>
        <v>477</v>
      </c>
      <c r="B478" s="62" t="n">
        <f aca="false">IF(ISNUMBER($AB478),$AB478,IF(MID($AB478,5,1)="-",DATE(VALUE(LEFT($AB478,4)),VALUE(MID($AB478,6,2)),VALUE(RIGHT($AB478,2))),DATE(VALUE(RIGHT($AB478,4)),VALUE(MID($AB478,4,2)),VALUE(LEFT($AB478,2)))))</f>
        <v>45431</v>
      </c>
      <c r="C478" s="61" t="n">
        <f aca="false">YEAR($B478)</f>
        <v>2024</v>
      </c>
      <c r="D478" s="61" t="str">
        <f aca="false">"Q"&amp;ROUNDUP(MONTH($B478)/3,0)</f>
        <v>Q2</v>
      </c>
      <c r="E478" s="61" t="n">
        <f aca="false">MONTH($B478)</f>
        <v>5</v>
      </c>
      <c r="F478" s="61" t="str">
        <f aca="false">INDEX(Parametros!$I$5:$I$16,$E478)</f>
        <v>May</v>
      </c>
      <c r="G478" s="61" t="str">
        <f aca="false">TEXT($C478,"0000")&amp;"-"&amp;TEXT($E478,"00")</f>
        <v>2024-05</v>
      </c>
      <c r="H478" s="61" t="str">
        <f aca="false">INDEX(Parametros!$C$71:$C$91,MATCH(TRIM(INDEX(Datos_Origen!$C$2:$C$2459,$Z478)),Parametros!$B$71:$B$91,0))</f>
        <v>Cuyo</v>
      </c>
      <c r="I478" s="61" t="str">
        <f aca="false">IF(TRIM($AD478)="",INDEX(Parametros!$I$20:$I$24,MATCH($H478,Parametros!$H$20:$H$24,0)),TRIM($AD478))</f>
        <v>Mendoza</v>
      </c>
      <c r="J478" s="61" t="str">
        <f aca="false">INDEX(Parametros!$C$95:$C$106,MATCH(TRIM(INDEX(Datos_Origen!$E$2:$E$2459,$Z478)),Parametros!$B$95:$B$106,0))</f>
        <v>Tienda fisica</v>
      </c>
      <c r="K478" s="61" t="str">
        <f aca="false">INDEX(Parametros!$C$48:$C$67,MATCH(TRIM(INDEX(Datos_Origen!$F$2:$F$2459,$Z478)),Parametros!$B$48:$B$67,0))</f>
        <v>Almacenamiento</v>
      </c>
      <c r="L478" s="61" t="str">
        <f aca="false">$K478&amp;" "&amp;$C478</f>
        <v>Almacenamiento 2024</v>
      </c>
      <c r="M478" s="61" t="str">
        <f aca="false">TRIM(INDEX(Datos_Origen!$G$2:$G$2459,$Z478))</f>
        <v>SSD Externo 1TB</v>
      </c>
      <c r="N478" s="61" t="str">
        <f aca="false">$M478&amp;" "&amp;$C478</f>
        <v>SSD Externo 1TB 2024</v>
      </c>
      <c r="O478" s="63" t="n">
        <f aca="false">IF(ISTEXT($AC478),VALUE($AC478),$AC478)</f>
        <v>15</v>
      </c>
      <c r="P478" s="64" t="n">
        <f aca="false">INDEX(Datos_Origen!$I$2:$I$2459,$Z478)</f>
        <v>127.4</v>
      </c>
      <c r="Q478" s="64" t="n">
        <f aca="false">INDEX(Datos_Origen!$J$2:$J$2459,$Z478)</f>
        <v>76.05</v>
      </c>
      <c r="R478" s="65" t="n">
        <f aca="false">ROUND($O478*$P478,2)</f>
        <v>1911</v>
      </c>
      <c r="S478" s="65" t="n">
        <f aca="false">ROUND($O478*$Q478,2)</f>
        <v>1140.75</v>
      </c>
      <c r="T478" s="65" t="n">
        <f aca="false">ROUND($R478*SUMIFS(Parametros!$E$28:$E$43,Parametros!$B$28:$B$43,$J478,Parametros!$C$28:$C$43,$C478,Parametros!$D$28:$D$43,$D478),2)</f>
        <v>22.93</v>
      </c>
      <c r="U478" s="65" t="n">
        <f aca="false">$R478-$S478-$T478</f>
        <v>747.32</v>
      </c>
      <c r="V478" s="66" t="n">
        <f aca="false">IFERROR($U478/$R478,0)</f>
        <v>0.391062271062271</v>
      </c>
      <c r="W478" s="67" t="str">
        <f aca="false">IF(AND($V478&gt;=Parametros!$C$8,$R478&gt;=Parametros!$C$12),"Alta rentabilidad",IF(OR($V478&lt;Parametros!$C$11,$R478&lt;Parametros!$C$13),"Revisar","Estandar"))</f>
        <v>Estandar</v>
      </c>
      <c r="X478" s="67" t="str">
        <f aca="false">IF(AND($J478="E-commerce",IFERROR($T478/$R478,0)&gt;Parametros!$C$14),"Alerta","OK")</f>
        <v>OK</v>
      </c>
      <c r="Y478" s="61" t="str">
        <f aca="false">IF($R478&gt;=Parametros!$C$12,"Alto",IF($R478&lt;Parametros!$C$13,"Bajo","Medio"))</f>
        <v>Medio</v>
      </c>
      <c r="Z478" s="61" t="n">
        <v>388</v>
      </c>
      <c r="AA478" s="61" t="str">
        <f aca="false">IF(MATCH($A478,Datos_Origen!$A$2:$A$2459,0)=$Z478,"OK","REVISAR")</f>
        <v>OK</v>
      </c>
      <c r="AB478" s="62" t="n">
        <f aca="false">INDEX(Datos_Origen!$B$2:$B$2459,$Z478)</f>
        <v>45431</v>
      </c>
      <c r="AC478" s="61" t="n">
        <f aca="false">INDEX(Datos_Origen!$H$2:$H$2459,$Z478)</f>
        <v>15</v>
      </c>
      <c r="AD478" s="61" t="str">
        <f aca="false">INDEX(Datos_Origen!$D$2:$D$2459,$Z478)&amp;""</f>
        <v/>
      </c>
    </row>
    <row r="479" customFormat="false" ht="15" hidden="false" customHeight="false" outlineLevel="0" collapsed="false">
      <c r="A479" s="61" t="n">
        <f aca="false">INDEX(Datos_Origen!$A$2:$A$2459,$Z479)</f>
        <v>478</v>
      </c>
      <c r="B479" s="62" t="n">
        <f aca="false">IF(ISNUMBER($AB479),$AB479,IF(MID($AB479,5,1)="-",DATE(VALUE(LEFT($AB479,4)),VALUE(MID($AB479,6,2)),VALUE(RIGHT($AB479,2))),DATE(VALUE(RIGHT($AB479,4)),VALUE(MID($AB479,4,2)),VALUE(LEFT($AB479,2)))))</f>
        <v>45438</v>
      </c>
      <c r="C479" s="61" t="n">
        <f aca="false">YEAR($B479)</f>
        <v>2024</v>
      </c>
      <c r="D479" s="61" t="str">
        <f aca="false">"Q"&amp;ROUNDUP(MONTH($B479)/3,0)</f>
        <v>Q2</v>
      </c>
      <c r="E479" s="61" t="n">
        <f aca="false">MONTH($B479)</f>
        <v>5</v>
      </c>
      <c r="F479" s="61" t="str">
        <f aca="false">INDEX(Parametros!$I$5:$I$16,$E479)</f>
        <v>May</v>
      </c>
      <c r="G479" s="61" t="str">
        <f aca="false">TEXT($C479,"0000")&amp;"-"&amp;TEXT($E479,"00")</f>
        <v>2024-05</v>
      </c>
      <c r="H479" s="61" t="str">
        <f aca="false">INDEX(Parametros!$C$71:$C$91,MATCH(TRIM(INDEX(Datos_Origen!$C$2:$C$2459,$Z479)),Parametros!$B$71:$B$91,0))</f>
        <v>Cuyo</v>
      </c>
      <c r="I479" s="61" t="str">
        <f aca="false">IF(TRIM($AD479)="",INDEX(Parametros!$I$20:$I$24,MATCH($H479,Parametros!$H$20:$H$24,0)),TRIM($AD479))</f>
        <v>Mendoza</v>
      </c>
      <c r="J479" s="61" t="str">
        <f aca="false">INDEX(Parametros!$C$95:$C$106,MATCH(TRIM(INDEX(Datos_Origen!$E$2:$E$2459,$Z479)),Parametros!$B$95:$B$106,0))</f>
        <v>E-commerce</v>
      </c>
      <c r="K479" s="61" t="str">
        <f aca="false">INDEX(Parametros!$C$48:$C$67,MATCH(TRIM(INDEX(Datos_Origen!$F$2:$F$2459,$Z479)),Parametros!$B$48:$B$67,0))</f>
        <v>Almacenamiento</v>
      </c>
      <c r="L479" s="61" t="str">
        <f aca="false">$K479&amp;" "&amp;$C479</f>
        <v>Almacenamiento 2024</v>
      </c>
      <c r="M479" s="61" t="str">
        <f aca="false">TRIM(INDEX(Datos_Origen!$G$2:$G$2459,$Z479))</f>
        <v>SSD Externo 1TB</v>
      </c>
      <c r="N479" s="61" t="str">
        <f aca="false">$M479&amp;" "&amp;$C479</f>
        <v>SSD Externo 1TB 2024</v>
      </c>
      <c r="O479" s="63" t="n">
        <f aca="false">IF(ISTEXT($AC479),VALUE($AC479),$AC479)</f>
        <v>6</v>
      </c>
      <c r="P479" s="64" t="n">
        <f aca="false">INDEX(Datos_Origen!$I$2:$I$2459,$Z479)</f>
        <v>127.4</v>
      </c>
      <c r="Q479" s="64" t="n">
        <f aca="false">INDEX(Datos_Origen!$J$2:$J$2459,$Z479)</f>
        <v>76.05</v>
      </c>
      <c r="R479" s="65" t="n">
        <f aca="false">ROUND($O479*$P479,2)</f>
        <v>764.4</v>
      </c>
      <c r="S479" s="65" t="n">
        <f aca="false">ROUND($O479*$Q479,2)</f>
        <v>456.3</v>
      </c>
      <c r="T479" s="65" t="n">
        <f aca="false">ROUND($R479*SUMIFS(Parametros!$E$28:$E$43,Parametros!$B$28:$B$43,$J479,Parametros!$C$28:$C$43,$C479,Parametros!$D$28:$D$43,$D479),2)</f>
        <v>33.63</v>
      </c>
      <c r="U479" s="65" t="n">
        <f aca="false">$R479-$S479-$T479</f>
        <v>274.47</v>
      </c>
      <c r="V479" s="66" t="n">
        <f aca="false">IFERROR($U479/$R479,0)</f>
        <v>0.359065934065934</v>
      </c>
      <c r="W479" s="67" t="str">
        <f aca="false">IF(AND($V479&gt;=Parametros!$C$8,$R479&gt;=Parametros!$C$12),"Alta rentabilidad",IF(OR($V479&lt;Parametros!$C$11,$R479&lt;Parametros!$C$13),"Revisar","Estandar"))</f>
        <v>Estandar</v>
      </c>
      <c r="X479" s="67" t="str">
        <f aca="false">IF(AND($J479="E-commerce",IFERROR($T479/$R479,0)&gt;Parametros!$C$14),"Alerta","OK")</f>
        <v>OK</v>
      </c>
      <c r="Y479" s="61" t="str">
        <f aca="false">IF($R479&gt;=Parametros!$C$12,"Alto",IF($R479&lt;Parametros!$C$13,"Bajo","Medio"))</f>
        <v>Medio</v>
      </c>
      <c r="Z479" s="61" t="n">
        <v>1371</v>
      </c>
      <c r="AA479" s="61" t="str">
        <f aca="false">IF(MATCH($A479,Datos_Origen!$A$2:$A$2459,0)=$Z479,"OK","REVISAR")</f>
        <v>OK</v>
      </c>
      <c r="AB479" s="61" t="str">
        <f aca="false">INDEX(Datos_Origen!$B$2:$B$2459,$Z479)</f>
        <v>26/05/2024</v>
      </c>
      <c r="AC479" s="61" t="n">
        <f aca="false">INDEX(Datos_Origen!$H$2:$H$2459,$Z479)</f>
        <v>6</v>
      </c>
      <c r="AD479" s="61" t="str">
        <f aca="false">INDEX(Datos_Origen!$D$2:$D$2459,$Z479)&amp;""</f>
        <v>Mendoza</v>
      </c>
    </row>
    <row r="480" customFormat="false" ht="15" hidden="false" customHeight="false" outlineLevel="0" collapsed="false">
      <c r="A480" s="61" t="n">
        <f aca="false">INDEX(Datos_Origen!$A$2:$A$2459,$Z480)</f>
        <v>479</v>
      </c>
      <c r="B480" s="62" t="n">
        <f aca="false">IF(ISNUMBER($AB480),$AB480,IF(MID($AB480,5,1)="-",DATE(VALUE(LEFT($AB480,4)),VALUE(MID($AB480,6,2)),VALUE(RIGHT($AB480,2))),DATE(VALUE(RIGHT($AB480,4)),VALUE(MID($AB480,4,2)),VALUE(LEFT($AB480,2)))))</f>
        <v>45418</v>
      </c>
      <c r="C480" s="61" t="n">
        <f aca="false">YEAR($B480)</f>
        <v>2024</v>
      </c>
      <c r="D480" s="61" t="str">
        <f aca="false">"Q"&amp;ROUNDUP(MONTH($B480)/3,0)</f>
        <v>Q2</v>
      </c>
      <c r="E480" s="61" t="n">
        <f aca="false">MONTH($B480)</f>
        <v>5</v>
      </c>
      <c r="F480" s="61" t="str">
        <f aca="false">INDEX(Parametros!$I$5:$I$16,$E480)</f>
        <v>May</v>
      </c>
      <c r="G480" s="61" t="str">
        <f aca="false">TEXT($C480,"0000")&amp;"-"&amp;TEXT($E480,"00")</f>
        <v>2024-05</v>
      </c>
      <c r="H480" s="61" t="str">
        <f aca="false">INDEX(Parametros!$C$71:$C$91,MATCH(TRIM(INDEX(Datos_Origen!$C$2:$C$2459,$Z480)),Parametros!$B$71:$B$91,0))</f>
        <v>Cuyo</v>
      </c>
      <c r="I480" s="61" t="str">
        <f aca="false">IF(TRIM($AD480)="",INDEX(Parametros!$I$20:$I$24,MATCH($H480,Parametros!$H$20:$H$24,0)),TRIM($AD480))</f>
        <v>Mendoza</v>
      </c>
      <c r="J480" s="61" t="str">
        <f aca="false">INDEX(Parametros!$C$95:$C$106,MATCH(TRIM(INDEX(Datos_Origen!$E$2:$E$2459,$Z480)),Parametros!$B$95:$B$106,0))</f>
        <v>Tienda fisica</v>
      </c>
      <c r="K480" s="61" t="str">
        <f aca="false">INDEX(Parametros!$C$48:$C$67,MATCH(TRIM(INDEX(Datos_Origen!$F$2:$F$2459,$Z480)),Parametros!$B$48:$B$67,0))</f>
        <v>Almacenamiento</v>
      </c>
      <c r="L480" s="61" t="str">
        <f aca="false">$K480&amp;" "&amp;$C480</f>
        <v>Almacenamiento 2024</v>
      </c>
      <c r="M480" s="61" t="str">
        <f aca="false">TRIM(INDEX(Datos_Origen!$G$2:$G$2459,$Z480))</f>
        <v>Pendrive 256GB</v>
      </c>
      <c r="N480" s="61" t="str">
        <f aca="false">$M480&amp;" "&amp;$C480</f>
        <v>Pendrive 256GB 2024</v>
      </c>
      <c r="O480" s="63" t="n">
        <f aca="false">IF(ISTEXT($AC480),VALUE($AC480),$AC480)</f>
        <v>15</v>
      </c>
      <c r="P480" s="64" t="n">
        <f aca="false">INDEX(Datos_Origen!$I$2:$I$2459,$Z480)</f>
        <v>34.3</v>
      </c>
      <c r="Q480" s="64" t="n">
        <f aca="false">INDEX(Datos_Origen!$J$2:$J$2459,$Z480)</f>
        <v>17.85</v>
      </c>
      <c r="R480" s="65" t="n">
        <f aca="false">ROUND($O480*$P480,2)</f>
        <v>514.5</v>
      </c>
      <c r="S480" s="65" t="n">
        <f aca="false">ROUND($O480*$Q480,2)</f>
        <v>267.75</v>
      </c>
      <c r="T480" s="65" t="n">
        <f aca="false">ROUND($R480*SUMIFS(Parametros!$E$28:$E$43,Parametros!$B$28:$B$43,$J480,Parametros!$C$28:$C$43,$C480,Parametros!$D$28:$D$43,$D480),2)</f>
        <v>6.17</v>
      </c>
      <c r="U480" s="65" t="n">
        <f aca="false">$R480-$S480-$T480</f>
        <v>240.58</v>
      </c>
      <c r="V480" s="66" t="n">
        <f aca="false">IFERROR($U480/$R480,0)</f>
        <v>0.467599611273081</v>
      </c>
      <c r="W480" s="67" t="str">
        <f aca="false">IF(AND($V480&gt;=Parametros!$C$8,$R480&gt;=Parametros!$C$12),"Alta rentabilidad",IF(OR($V480&lt;Parametros!$C$11,$R480&lt;Parametros!$C$13),"Revisar","Estandar"))</f>
        <v>Estandar</v>
      </c>
      <c r="X480" s="67" t="str">
        <f aca="false">IF(AND($J480="E-commerce",IFERROR($T480/$R480,0)&gt;Parametros!$C$14),"Alerta","OK")</f>
        <v>OK</v>
      </c>
      <c r="Y480" s="61" t="str">
        <f aca="false">IF($R480&gt;=Parametros!$C$12,"Alto",IF($R480&lt;Parametros!$C$13,"Bajo","Medio"))</f>
        <v>Medio</v>
      </c>
      <c r="Z480" s="61" t="n">
        <v>1712</v>
      </c>
      <c r="AA480" s="61" t="str">
        <f aca="false">IF(MATCH($A480,Datos_Origen!$A$2:$A$2459,0)=$Z480,"OK","REVISAR")</f>
        <v>OK</v>
      </c>
      <c r="AB480" s="62" t="n">
        <f aca="false">INDEX(Datos_Origen!$B$2:$B$2459,$Z480)</f>
        <v>45418</v>
      </c>
      <c r="AC480" s="61" t="n">
        <f aca="false">INDEX(Datos_Origen!$H$2:$H$2459,$Z480)</f>
        <v>15</v>
      </c>
      <c r="AD480" s="61" t="str">
        <f aca="false">INDEX(Datos_Origen!$D$2:$D$2459,$Z480)&amp;""</f>
        <v>Mendoza</v>
      </c>
    </row>
    <row r="481" customFormat="false" ht="15" hidden="false" customHeight="false" outlineLevel="0" collapsed="false">
      <c r="A481" s="61" t="n">
        <f aca="false">INDEX(Datos_Origen!$A$2:$A$2459,$Z481)</f>
        <v>480</v>
      </c>
      <c r="B481" s="62" t="n">
        <f aca="false">IF(ISNUMBER($AB481),$AB481,IF(MID($AB481,5,1)="-",DATE(VALUE(LEFT($AB481,4)),VALUE(MID($AB481,6,2)),VALUE(RIGHT($AB481,2))),DATE(VALUE(RIGHT($AB481,4)),VALUE(MID($AB481,4,2)),VALUE(LEFT($AB481,2)))))</f>
        <v>45425</v>
      </c>
      <c r="C481" s="61" t="n">
        <f aca="false">YEAR($B481)</f>
        <v>2024</v>
      </c>
      <c r="D481" s="61" t="str">
        <f aca="false">"Q"&amp;ROUNDUP(MONTH($B481)/3,0)</f>
        <v>Q2</v>
      </c>
      <c r="E481" s="61" t="n">
        <f aca="false">MONTH($B481)</f>
        <v>5</v>
      </c>
      <c r="F481" s="61" t="str">
        <f aca="false">INDEX(Parametros!$I$5:$I$16,$E481)</f>
        <v>May</v>
      </c>
      <c r="G481" s="61" t="str">
        <f aca="false">TEXT($C481,"0000")&amp;"-"&amp;TEXT($E481,"00")</f>
        <v>2024-05</v>
      </c>
      <c r="H481" s="61" t="str">
        <f aca="false">INDEX(Parametros!$C$71:$C$91,MATCH(TRIM(INDEX(Datos_Origen!$C$2:$C$2459,$Z481)),Parametros!$B$71:$B$91,0))</f>
        <v>Cuyo</v>
      </c>
      <c r="I481" s="61" t="str">
        <f aca="false">IF(TRIM($AD481)="",INDEX(Parametros!$I$20:$I$24,MATCH($H481,Parametros!$H$20:$H$24,0)),TRIM($AD481))</f>
        <v>Mendoza</v>
      </c>
      <c r="J481" s="61" t="str">
        <f aca="false">INDEX(Parametros!$C$95:$C$106,MATCH(TRIM(INDEX(Datos_Origen!$E$2:$E$2459,$Z481)),Parametros!$B$95:$B$106,0))</f>
        <v>E-commerce</v>
      </c>
      <c r="K481" s="61" t="str">
        <f aca="false">INDEX(Parametros!$C$48:$C$67,MATCH(TRIM(INDEX(Datos_Origen!$F$2:$F$2459,$Z481)),Parametros!$B$48:$B$67,0))</f>
        <v>Almacenamiento</v>
      </c>
      <c r="L481" s="61" t="str">
        <f aca="false">$K481&amp;" "&amp;$C481</f>
        <v>Almacenamiento 2024</v>
      </c>
      <c r="M481" s="61" t="str">
        <f aca="false">TRIM(INDEX(Datos_Origen!$G$2:$G$2459,$Z481))</f>
        <v>Pendrive 256GB</v>
      </c>
      <c r="N481" s="61" t="str">
        <f aca="false">$M481&amp;" "&amp;$C481</f>
        <v>Pendrive 256GB 2024</v>
      </c>
      <c r="O481" s="63" t="n">
        <f aca="false">IF(ISTEXT($AC481),VALUE($AC481),$AC481)</f>
        <v>7</v>
      </c>
      <c r="P481" s="64" t="n">
        <f aca="false">INDEX(Datos_Origen!$I$2:$I$2459,$Z481)</f>
        <v>34.3</v>
      </c>
      <c r="Q481" s="64" t="n">
        <f aca="false">INDEX(Datos_Origen!$J$2:$J$2459,$Z481)</f>
        <v>17.85</v>
      </c>
      <c r="R481" s="65" t="n">
        <f aca="false">ROUND($O481*$P481,2)</f>
        <v>240.1</v>
      </c>
      <c r="S481" s="65" t="n">
        <f aca="false">ROUND($O481*$Q481,2)</f>
        <v>124.95</v>
      </c>
      <c r="T481" s="65" t="n">
        <f aca="false">ROUND($R481*SUMIFS(Parametros!$E$28:$E$43,Parametros!$B$28:$B$43,$J481,Parametros!$C$28:$C$43,$C481,Parametros!$D$28:$D$43,$D481),2)</f>
        <v>10.56</v>
      </c>
      <c r="U481" s="65" t="n">
        <f aca="false">$R481-$S481-$T481</f>
        <v>104.59</v>
      </c>
      <c r="V481" s="66" t="n">
        <f aca="false">IFERROR($U481/$R481,0)</f>
        <v>0.43561016243232</v>
      </c>
      <c r="W481" s="67" t="str">
        <f aca="false">IF(AND($V481&gt;=Parametros!$C$8,$R481&gt;=Parametros!$C$12),"Alta rentabilidad",IF(OR($V481&lt;Parametros!$C$11,$R481&lt;Parametros!$C$13),"Revisar","Estandar"))</f>
        <v>Revisar</v>
      </c>
      <c r="X481" s="67" t="str">
        <f aca="false">IF(AND($J481="E-commerce",IFERROR($T481/$R481,0)&gt;Parametros!$C$14),"Alerta","OK")</f>
        <v>OK</v>
      </c>
      <c r="Y481" s="61" t="str">
        <f aca="false">IF($R481&gt;=Parametros!$C$12,"Alto",IF($R481&lt;Parametros!$C$13,"Bajo","Medio"))</f>
        <v>Bajo</v>
      </c>
      <c r="Z481" s="61" t="n">
        <v>1697</v>
      </c>
      <c r="AA481" s="61" t="str">
        <f aca="false">IF(MATCH($A481,Datos_Origen!$A$2:$A$2459,0)=$Z481,"OK","REVISAR")</f>
        <v>OK</v>
      </c>
      <c r="AB481" s="61" t="str">
        <f aca="false">INDEX(Datos_Origen!$B$2:$B$2459,$Z481)</f>
        <v>13/05/2024</v>
      </c>
      <c r="AC481" s="61" t="n">
        <f aca="false">INDEX(Datos_Origen!$H$2:$H$2459,$Z481)</f>
        <v>7</v>
      </c>
      <c r="AD481" s="61" t="str">
        <f aca="false">INDEX(Datos_Origen!$D$2:$D$2459,$Z481)&amp;""</f>
        <v>Mendoza</v>
      </c>
    </row>
    <row r="482" customFormat="false" ht="15" hidden="false" customHeight="false" outlineLevel="0" collapsed="false">
      <c r="A482" s="61" t="n">
        <f aca="false">INDEX(Datos_Origen!$A$2:$A$2459,$Z482)</f>
        <v>481</v>
      </c>
      <c r="B482" s="62" t="n">
        <f aca="false">IF(ISNUMBER($AB482),$AB482,IF(MID($AB482,5,1)="-",DATE(VALUE(LEFT($AB482,4)),VALUE(MID($AB482,6,2)),VALUE(RIGHT($AB482,2))),DATE(VALUE(RIGHT($AB482,4)),VALUE(MID($AB482,4,2)),VALUE(LEFT($AB482,2)))))</f>
        <v>45432</v>
      </c>
      <c r="C482" s="61" t="n">
        <f aca="false">YEAR($B482)</f>
        <v>2024</v>
      </c>
      <c r="D482" s="61" t="str">
        <f aca="false">"Q"&amp;ROUNDUP(MONTH($B482)/3,0)</f>
        <v>Q2</v>
      </c>
      <c r="E482" s="61" t="n">
        <f aca="false">MONTH($B482)</f>
        <v>5</v>
      </c>
      <c r="F482" s="61" t="str">
        <f aca="false">INDEX(Parametros!$I$5:$I$16,$E482)</f>
        <v>May</v>
      </c>
      <c r="G482" s="61" t="str">
        <f aca="false">TEXT($C482,"0000")&amp;"-"&amp;TEXT($E482,"00")</f>
        <v>2024-05</v>
      </c>
      <c r="H482" s="61" t="str">
        <f aca="false">INDEX(Parametros!$C$71:$C$91,MATCH(TRIM(INDEX(Datos_Origen!$C$2:$C$2459,$Z482)),Parametros!$B$71:$B$91,0))</f>
        <v>NOA</v>
      </c>
      <c r="I482" s="61" t="str">
        <f aca="false">IF(TRIM($AD482)="",INDEX(Parametros!$I$20:$I$24,MATCH($H482,Parametros!$H$20:$H$24,0)),TRIM($AD482))</f>
        <v>Tucuman</v>
      </c>
      <c r="J482" s="61" t="str">
        <f aca="false">INDEX(Parametros!$C$95:$C$106,MATCH(TRIM(INDEX(Datos_Origen!$E$2:$E$2459,$Z482)),Parametros!$B$95:$B$106,0))</f>
        <v>Tienda fisica</v>
      </c>
      <c r="K482" s="61" t="str">
        <f aca="false">INDEX(Parametros!$C$48:$C$67,MATCH(TRIM(INDEX(Datos_Origen!$F$2:$F$2459,$Z482)),Parametros!$B$48:$B$67,0))</f>
        <v>Computacion</v>
      </c>
      <c r="L482" s="61" t="str">
        <f aca="false">$K482&amp;" "&amp;$C482</f>
        <v>Computacion 2024</v>
      </c>
      <c r="M482" s="61" t="str">
        <f aca="false">TRIM(INDEX(Datos_Origen!$G$2:$G$2459,$Z482))</f>
        <v>Laptop Pro 15</v>
      </c>
      <c r="N482" s="61" t="str">
        <f aca="false">$M482&amp;" "&amp;$C482</f>
        <v>Laptop Pro 15 2024</v>
      </c>
      <c r="O482" s="63" t="n">
        <f aca="false">IF(ISTEXT($AC482),VALUE($AC482),$AC482)</f>
        <v>8</v>
      </c>
      <c r="P482" s="64" t="n">
        <f aca="false">INDEX(Datos_Origen!$I$2:$I$2459,$Z482)</f>
        <v>1176</v>
      </c>
      <c r="Q482" s="64" t="n">
        <f aca="false">INDEX(Datos_Origen!$J$2:$J$2459,$Z482)</f>
        <v>744</v>
      </c>
      <c r="R482" s="65" t="n">
        <f aca="false">ROUND($O482*$P482,2)</f>
        <v>9408</v>
      </c>
      <c r="S482" s="65" t="n">
        <f aca="false">ROUND($O482*$Q482,2)</f>
        <v>5952</v>
      </c>
      <c r="T482" s="65" t="n">
        <f aca="false">ROUND($R482*SUMIFS(Parametros!$E$28:$E$43,Parametros!$B$28:$B$43,$J482,Parametros!$C$28:$C$43,$C482,Parametros!$D$28:$D$43,$D482),2)</f>
        <v>112.9</v>
      </c>
      <c r="U482" s="65" t="n">
        <f aca="false">$R482-$S482-$T482</f>
        <v>3343.1</v>
      </c>
      <c r="V482" s="66" t="n">
        <f aca="false">IFERROR($U482/$R482,0)</f>
        <v>0.355346513605442</v>
      </c>
      <c r="W482" s="67" t="str">
        <f aca="false">IF(AND($V482&gt;=Parametros!$C$8,$R482&gt;=Parametros!$C$12),"Alta rentabilidad",IF(OR($V482&lt;Parametros!$C$11,$R482&lt;Parametros!$C$13),"Revisar","Estandar"))</f>
        <v>Alta rentabilidad</v>
      </c>
      <c r="X482" s="67" t="str">
        <f aca="false">IF(AND($J482="E-commerce",IFERROR($T482/$R482,0)&gt;Parametros!$C$14),"Alerta","OK")</f>
        <v>OK</v>
      </c>
      <c r="Y482" s="61" t="str">
        <f aca="false">IF($R482&gt;=Parametros!$C$12,"Alto",IF($R482&lt;Parametros!$C$13,"Bajo","Medio"))</f>
        <v>Alto</v>
      </c>
      <c r="Z482" s="61" t="n">
        <v>572</v>
      </c>
      <c r="AA482" s="61" t="str">
        <f aca="false">IF(MATCH($A482,Datos_Origen!$A$2:$A$2459,0)=$Z482,"OK","REVISAR")</f>
        <v>OK</v>
      </c>
      <c r="AB482" s="62" t="n">
        <f aca="false">INDEX(Datos_Origen!$B$2:$B$2459,$Z482)</f>
        <v>45432</v>
      </c>
      <c r="AC482" s="61" t="n">
        <f aca="false">INDEX(Datos_Origen!$H$2:$H$2459,$Z482)</f>
        <v>8</v>
      </c>
      <c r="AD482" s="61" t="str">
        <f aca="false">INDEX(Datos_Origen!$D$2:$D$2459,$Z482)&amp;""</f>
        <v>Tucuman</v>
      </c>
    </row>
    <row r="483" customFormat="false" ht="15" hidden="false" customHeight="false" outlineLevel="0" collapsed="false">
      <c r="A483" s="61" t="n">
        <f aca="false">INDEX(Datos_Origen!$A$2:$A$2459,$Z483)</f>
        <v>482</v>
      </c>
      <c r="B483" s="62" t="n">
        <f aca="false">IF(ISNUMBER($AB483),$AB483,IF(MID($AB483,5,1)="-",DATE(VALUE(LEFT($AB483,4)),VALUE(MID($AB483,6,2)),VALUE(RIGHT($AB483,2))),DATE(VALUE(RIGHT($AB483,4)),VALUE(MID($AB483,4,2)),VALUE(LEFT($AB483,2)))))</f>
        <v>45439</v>
      </c>
      <c r="C483" s="61" t="n">
        <f aca="false">YEAR($B483)</f>
        <v>2024</v>
      </c>
      <c r="D483" s="61" t="str">
        <f aca="false">"Q"&amp;ROUNDUP(MONTH($B483)/3,0)</f>
        <v>Q2</v>
      </c>
      <c r="E483" s="61" t="n">
        <f aca="false">MONTH($B483)</f>
        <v>5</v>
      </c>
      <c r="F483" s="61" t="str">
        <f aca="false">INDEX(Parametros!$I$5:$I$16,$E483)</f>
        <v>May</v>
      </c>
      <c r="G483" s="61" t="str">
        <f aca="false">TEXT($C483,"0000")&amp;"-"&amp;TEXT($E483,"00")</f>
        <v>2024-05</v>
      </c>
      <c r="H483" s="61" t="str">
        <f aca="false">INDEX(Parametros!$C$71:$C$91,MATCH(TRIM(INDEX(Datos_Origen!$C$2:$C$2459,$Z483)),Parametros!$B$71:$B$91,0))</f>
        <v>NOA</v>
      </c>
      <c r="I483" s="61" t="str">
        <f aca="false">IF(TRIM($AD483)="",INDEX(Parametros!$I$20:$I$24,MATCH($H483,Parametros!$H$20:$H$24,0)),TRIM($AD483))</f>
        <v>Tucuman</v>
      </c>
      <c r="J483" s="61" t="str">
        <f aca="false">INDEX(Parametros!$C$95:$C$106,MATCH(TRIM(INDEX(Datos_Origen!$E$2:$E$2459,$Z483)),Parametros!$B$95:$B$106,0))</f>
        <v>E-commerce</v>
      </c>
      <c r="K483" s="61" t="str">
        <f aca="false">INDEX(Parametros!$C$48:$C$67,MATCH(TRIM(INDEX(Datos_Origen!$F$2:$F$2459,$Z483)),Parametros!$B$48:$B$67,0))</f>
        <v>Computacion</v>
      </c>
      <c r="L483" s="61" t="str">
        <f aca="false">$K483&amp;" "&amp;$C483</f>
        <v>Computacion 2024</v>
      </c>
      <c r="M483" s="61" t="str">
        <f aca="false">TRIM(INDEX(Datos_Origen!$G$2:$G$2459,$Z483))</f>
        <v>Laptop Pro 15</v>
      </c>
      <c r="N483" s="61" t="str">
        <f aca="false">$M483&amp;" "&amp;$C483</f>
        <v>Laptop Pro 15 2024</v>
      </c>
      <c r="O483" s="63" t="n">
        <f aca="false">IF(ISTEXT($AC483),VALUE($AC483),$AC483)</f>
        <v>2</v>
      </c>
      <c r="P483" s="64" t="n">
        <f aca="false">INDEX(Datos_Origen!$I$2:$I$2459,$Z483)</f>
        <v>1176</v>
      </c>
      <c r="Q483" s="64" t="n">
        <f aca="false">INDEX(Datos_Origen!$J$2:$J$2459,$Z483)</f>
        <v>744</v>
      </c>
      <c r="R483" s="65" t="n">
        <f aca="false">ROUND($O483*$P483,2)</f>
        <v>2352</v>
      </c>
      <c r="S483" s="65" t="n">
        <f aca="false">ROUND($O483*$Q483,2)</f>
        <v>1488</v>
      </c>
      <c r="T483" s="65" t="n">
        <f aca="false">ROUND($R483*SUMIFS(Parametros!$E$28:$E$43,Parametros!$B$28:$B$43,$J483,Parametros!$C$28:$C$43,$C483,Parametros!$D$28:$D$43,$D483),2)</f>
        <v>103.49</v>
      </c>
      <c r="U483" s="65" t="n">
        <f aca="false">$R483-$S483-$T483</f>
        <v>760.51</v>
      </c>
      <c r="V483" s="66" t="n">
        <f aca="false">IFERROR($U483/$R483,0)</f>
        <v>0.323346088435374</v>
      </c>
      <c r="W483" s="67" t="str">
        <f aca="false">IF(AND($V483&gt;=Parametros!$C$8,$R483&gt;=Parametros!$C$12),"Alta rentabilidad",IF(OR($V483&lt;Parametros!$C$11,$R483&lt;Parametros!$C$13),"Revisar","Estandar"))</f>
        <v>Estandar</v>
      </c>
      <c r="X483" s="67" t="str">
        <f aca="false">IF(AND($J483="E-commerce",IFERROR($T483/$R483,0)&gt;Parametros!$C$14),"Alerta","OK")</f>
        <v>OK</v>
      </c>
      <c r="Y483" s="61" t="str">
        <f aca="false">IF($R483&gt;=Parametros!$C$12,"Alto",IF($R483&lt;Parametros!$C$13,"Bajo","Medio"))</f>
        <v>Medio</v>
      </c>
      <c r="Z483" s="61" t="n">
        <v>2037</v>
      </c>
      <c r="AA483" s="61" t="str">
        <f aca="false">IF(MATCH($A483,Datos_Origen!$A$2:$A$2459,0)=$Z483,"OK","REVISAR")</f>
        <v>OK</v>
      </c>
      <c r="AB483" s="62" t="n">
        <f aca="false">INDEX(Datos_Origen!$B$2:$B$2459,$Z483)</f>
        <v>45439</v>
      </c>
      <c r="AC483" s="61" t="n">
        <f aca="false">INDEX(Datos_Origen!$H$2:$H$2459,$Z483)</f>
        <v>2</v>
      </c>
      <c r="AD483" s="61" t="str">
        <f aca="false">INDEX(Datos_Origen!$D$2:$D$2459,$Z483)&amp;""</f>
        <v>Tucuman</v>
      </c>
    </row>
    <row r="484" customFormat="false" ht="15" hidden="false" customHeight="false" outlineLevel="0" collapsed="false">
      <c r="A484" s="61" t="n">
        <f aca="false">INDEX(Datos_Origen!$A$2:$A$2459,$Z484)</f>
        <v>483</v>
      </c>
      <c r="B484" s="62" t="n">
        <f aca="false">IF(ISNUMBER($AB484),$AB484,IF(MID($AB484,5,1)="-",DATE(VALUE(LEFT($AB484,4)),VALUE(MID($AB484,6,2)),VALUE(RIGHT($AB484,2))),DATE(VALUE(RIGHT($AB484,4)),VALUE(MID($AB484,4,2)),VALUE(LEFT($AB484,2)))))</f>
        <v>45419</v>
      </c>
      <c r="C484" s="61" t="n">
        <f aca="false">YEAR($B484)</f>
        <v>2024</v>
      </c>
      <c r="D484" s="61" t="str">
        <f aca="false">"Q"&amp;ROUNDUP(MONTH($B484)/3,0)</f>
        <v>Q2</v>
      </c>
      <c r="E484" s="61" t="n">
        <f aca="false">MONTH($B484)</f>
        <v>5</v>
      </c>
      <c r="F484" s="61" t="str">
        <f aca="false">INDEX(Parametros!$I$5:$I$16,$E484)</f>
        <v>May</v>
      </c>
      <c r="G484" s="61" t="str">
        <f aca="false">TEXT($C484,"0000")&amp;"-"&amp;TEXT($E484,"00")</f>
        <v>2024-05</v>
      </c>
      <c r="H484" s="61" t="str">
        <f aca="false">INDEX(Parametros!$C$71:$C$91,MATCH(TRIM(INDEX(Datos_Origen!$C$2:$C$2459,$Z484)),Parametros!$B$71:$B$91,0))</f>
        <v>NOA</v>
      </c>
      <c r="I484" s="61" t="str">
        <f aca="false">IF(TRIM($AD484)="",INDEX(Parametros!$I$20:$I$24,MATCH($H484,Parametros!$H$20:$H$24,0)),TRIM($AD484))</f>
        <v>Tucuman</v>
      </c>
      <c r="J484" s="61" t="str">
        <f aca="false">INDEX(Parametros!$C$95:$C$106,MATCH(TRIM(INDEX(Datos_Origen!$E$2:$E$2459,$Z484)),Parametros!$B$95:$B$106,0))</f>
        <v>Tienda fisica</v>
      </c>
      <c r="K484" s="61" t="str">
        <f aca="false">INDEX(Parametros!$C$48:$C$67,MATCH(TRIM(INDEX(Datos_Origen!$F$2:$F$2459,$Z484)),Parametros!$B$48:$B$67,0))</f>
        <v>Computacion</v>
      </c>
      <c r="L484" s="61" t="str">
        <f aca="false">$K484&amp;" "&amp;$C484</f>
        <v>Computacion 2024</v>
      </c>
      <c r="M484" s="61" t="str">
        <f aca="false">TRIM(INDEX(Datos_Origen!$G$2:$G$2459,$Z484))</f>
        <v>Monitor 4K 27</v>
      </c>
      <c r="N484" s="61" t="str">
        <f aca="false">$M484&amp;" "&amp;$C484</f>
        <v>Monitor 4K 27 2024</v>
      </c>
      <c r="O484" s="63" t="n">
        <f aca="false">IF(ISTEXT($AC484),VALUE($AC484),$AC484)</f>
        <v>6</v>
      </c>
      <c r="P484" s="64" t="n">
        <f aca="false">INDEX(Datos_Origen!$I$2:$I$2459,$Z484)</f>
        <v>441</v>
      </c>
      <c r="Q484" s="64" t="n">
        <f aca="false">INDEX(Datos_Origen!$J$2:$J$2459,$Z484)</f>
        <v>272.25</v>
      </c>
      <c r="R484" s="65" t="n">
        <f aca="false">ROUND($O484*$P484,2)</f>
        <v>2646</v>
      </c>
      <c r="S484" s="65" t="n">
        <f aca="false">ROUND($O484*$Q484,2)</f>
        <v>1633.5</v>
      </c>
      <c r="T484" s="65" t="n">
        <f aca="false">ROUND($R484*SUMIFS(Parametros!$E$28:$E$43,Parametros!$B$28:$B$43,$J484,Parametros!$C$28:$C$43,$C484,Parametros!$D$28:$D$43,$D484),2)</f>
        <v>31.75</v>
      </c>
      <c r="U484" s="65" t="n">
        <f aca="false">$R484-$S484-$T484</f>
        <v>980.75</v>
      </c>
      <c r="V484" s="66" t="n">
        <f aca="false">IFERROR($U484/$R484,0)</f>
        <v>0.370653817082389</v>
      </c>
      <c r="W484" s="67" t="str">
        <f aca="false">IF(AND($V484&gt;=Parametros!$C$8,$R484&gt;=Parametros!$C$12),"Alta rentabilidad",IF(OR($V484&lt;Parametros!$C$11,$R484&lt;Parametros!$C$13),"Revisar","Estandar"))</f>
        <v>Estandar</v>
      </c>
      <c r="X484" s="67" t="str">
        <f aca="false">IF(AND($J484="E-commerce",IFERROR($T484/$R484,0)&gt;Parametros!$C$14),"Alerta","OK")</f>
        <v>OK</v>
      </c>
      <c r="Y484" s="61" t="str">
        <f aca="false">IF($R484&gt;=Parametros!$C$12,"Alto",IF($R484&lt;Parametros!$C$13,"Bajo","Medio"))</f>
        <v>Medio</v>
      </c>
      <c r="Z484" s="61" t="n">
        <v>1973</v>
      </c>
      <c r="AA484" s="61" t="str">
        <f aca="false">IF(MATCH($A484,Datos_Origen!$A$2:$A$2459,0)=$Z484,"OK","REVISAR")</f>
        <v>OK</v>
      </c>
      <c r="AB484" s="62" t="n">
        <f aca="false">INDEX(Datos_Origen!$B$2:$B$2459,$Z484)</f>
        <v>45419</v>
      </c>
      <c r="AC484" s="61" t="n">
        <f aca="false">INDEX(Datos_Origen!$H$2:$H$2459,$Z484)</f>
        <v>6</v>
      </c>
      <c r="AD484" s="61" t="str">
        <f aca="false">INDEX(Datos_Origen!$D$2:$D$2459,$Z484)&amp;""</f>
        <v>Tucuman</v>
      </c>
    </row>
    <row r="485" customFormat="false" ht="15" hidden="false" customHeight="false" outlineLevel="0" collapsed="false">
      <c r="A485" s="61" t="n">
        <f aca="false">INDEX(Datos_Origen!$A$2:$A$2459,$Z485)</f>
        <v>484</v>
      </c>
      <c r="B485" s="62" t="n">
        <f aca="false">IF(ISNUMBER($AB485),$AB485,IF(MID($AB485,5,1)="-",DATE(VALUE(LEFT($AB485,4)),VALUE(MID($AB485,6,2)),VALUE(RIGHT($AB485,2))),DATE(VALUE(RIGHT($AB485,4)),VALUE(MID($AB485,4,2)),VALUE(LEFT($AB485,2)))))</f>
        <v>45426</v>
      </c>
      <c r="C485" s="61" t="n">
        <f aca="false">YEAR($B485)</f>
        <v>2024</v>
      </c>
      <c r="D485" s="61" t="str">
        <f aca="false">"Q"&amp;ROUNDUP(MONTH($B485)/3,0)</f>
        <v>Q2</v>
      </c>
      <c r="E485" s="61" t="n">
        <f aca="false">MONTH($B485)</f>
        <v>5</v>
      </c>
      <c r="F485" s="61" t="str">
        <f aca="false">INDEX(Parametros!$I$5:$I$16,$E485)</f>
        <v>May</v>
      </c>
      <c r="G485" s="61" t="str">
        <f aca="false">TEXT($C485,"0000")&amp;"-"&amp;TEXT($E485,"00")</f>
        <v>2024-05</v>
      </c>
      <c r="H485" s="61" t="str">
        <f aca="false">INDEX(Parametros!$C$71:$C$91,MATCH(TRIM(INDEX(Datos_Origen!$C$2:$C$2459,$Z485)),Parametros!$B$71:$B$91,0))</f>
        <v>NOA</v>
      </c>
      <c r="I485" s="61" t="str">
        <f aca="false">IF(TRIM($AD485)="",INDEX(Parametros!$I$20:$I$24,MATCH($H485,Parametros!$H$20:$H$24,0)),TRIM($AD485))</f>
        <v>Tucuman</v>
      </c>
      <c r="J485" s="61" t="str">
        <f aca="false">INDEX(Parametros!$C$95:$C$106,MATCH(TRIM(INDEX(Datos_Origen!$E$2:$E$2459,$Z485)),Parametros!$B$95:$B$106,0))</f>
        <v>E-commerce</v>
      </c>
      <c r="K485" s="61" t="str">
        <f aca="false">INDEX(Parametros!$C$48:$C$67,MATCH(TRIM(INDEX(Datos_Origen!$F$2:$F$2459,$Z485)),Parametros!$B$48:$B$67,0))</f>
        <v>Computacion</v>
      </c>
      <c r="L485" s="61" t="str">
        <f aca="false">$K485&amp;" "&amp;$C485</f>
        <v>Computacion 2024</v>
      </c>
      <c r="M485" s="61" t="str">
        <f aca="false">TRIM(INDEX(Datos_Origen!$G$2:$G$2459,$Z485))</f>
        <v>Monitor 4K 27</v>
      </c>
      <c r="N485" s="61" t="str">
        <f aca="false">$M485&amp;" "&amp;$C485</f>
        <v>Monitor 4K 27 2024</v>
      </c>
      <c r="O485" s="63" t="n">
        <f aca="false">IF(ISTEXT($AC485),VALUE($AC485),$AC485)</f>
        <v>2</v>
      </c>
      <c r="P485" s="64" t="n">
        <f aca="false">INDEX(Datos_Origen!$I$2:$I$2459,$Z485)</f>
        <v>441</v>
      </c>
      <c r="Q485" s="64" t="n">
        <f aca="false">INDEX(Datos_Origen!$J$2:$J$2459,$Z485)</f>
        <v>272.25</v>
      </c>
      <c r="R485" s="65" t="n">
        <f aca="false">ROUND($O485*$P485,2)</f>
        <v>882</v>
      </c>
      <c r="S485" s="65" t="n">
        <f aca="false">ROUND($O485*$Q485,2)</f>
        <v>544.5</v>
      </c>
      <c r="T485" s="65" t="n">
        <f aca="false">ROUND($R485*SUMIFS(Parametros!$E$28:$E$43,Parametros!$B$28:$B$43,$J485,Parametros!$C$28:$C$43,$C485,Parametros!$D$28:$D$43,$D485),2)</f>
        <v>38.81</v>
      </c>
      <c r="U485" s="65" t="n">
        <f aca="false">$R485-$S485-$T485</f>
        <v>298.69</v>
      </c>
      <c r="V485" s="66" t="n">
        <f aca="false">IFERROR($U485/$R485,0)</f>
        <v>0.338650793650794</v>
      </c>
      <c r="W485" s="67" t="str">
        <f aca="false">IF(AND($V485&gt;=Parametros!$C$8,$R485&gt;=Parametros!$C$12),"Alta rentabilidad",IF(OR($V485&lt;Parametros!$C$11,$R485&lt;Parametros!$C$13),"Revisar","Estandar"))</f>
        <v>Estandar</v>
      </c>
      <c r="X485" s="67" t="str">
        <f aca="false">IF(AND($J485="E-commerce",IFERROR($T485/$R485,0)&gt;Parametros!$C$14),"Alerta","OK")</f>
        <v>OK</v>
      </c>
      <c r="Y485" s="61" t="str">
        <f aca="false">IF($R485&gt;=Parametros!$C$12,"Alto",IF($R485&lt;Parametros!$C$13,"Bajo","Medio"))</f>
        <v>Medio</v>
      </c>
      <c r="Z485" s="61" t="n">
        <v>947</v>
      </c>
      <c r="AA485" s="61" t="str">
        <f aca="false">IF(MATCH($A485,Datos_Origen!$A$2:$A$2459,0)=$Z485,"OK","REVISAR")</f>
        <v>OK</v>
      </c>
      <c r="AB485" s="62" t="n">
        <f aca="false">INDEX(Datos_Origen!$B$2:$B$2459,$Z485)</f>
        <v>45426</v>
      </c>
      <c r="AC485" s="61" t="n">
        <f aca="false">INDEX(Datos_Origen!$H$2:$H$2459,$Z485)</f>
        <v>2</v>
      </c>
      <c r="AD485" s="61" t="str">
        <f aca="false">INDEX(Datos_Origen!$D$2:$D$2459,$Z485)&amp;""</f>
        <v>Tucuman</v>
      </c>
    </row>
    <row r="486" customFormat="false" ht="15" hidden="false" customHeight="false" outlineLevel="0" collapsed="false">
      <c r="A486" s="61" t="n">
        <f aca="false">INDEX(Datos_Origen!$A$2:$A$2459,$Z486)</f>
        <v>485</v>
      </c>
      <c r="B486" s="62" t="n">
        <f aca="false">IF(ISNUMBER($AB486),$AB486,IF(MID($AB486,5,1)="-",DATE(VALUE(LEFT($AB486,4)),VALUE(MID($AB486,6,2)),VALUE(RIGHT($AB486,2))),DATE(VALUE(RIGHT($AB486,4)),VALUE(MID($AB486,4,2)),VALUE(LEFT($AB486,2)))))</f>
        <v>45433</v>
      </c>
      <c r="C486" s="61" t="n">
        <f aca="false">YEAR($B486)</f>
        <v>2024</v>
      </c>
      <c r="D486" s="61" t="str">
        <f aca="false">"Q"&amp;ROUNDUP(MONTH($B486)/3,0)</f>
        <v>Q2</v>
      </c>
      <c r="E486" s="61" t="n">
        <f aca="false">MONTH($B486)</f>
        <v>5</v>
      </c>
      <c r="F486" s="61" t="str">
        <f aca="false">INDEX(Parametros!$I$5:$I$16,$E486)</f>
        <v>May</v>
      </c>
      <c r="G486" s="61" t="str">
        <f aca="false">TEXT($C486,"0000")&amp;"-"&amp;TEXT($E486,"00")</f>
        <v>2024-05</v>
      </c>
      <c r="H486" s="61" t="str">
        <f aca="false">INDEX(Parametros!$C$71:$C$91,MATCH(TRIM(INDEX(Datos_Origen!$C$2:$C$2459,$Z486)),Parametros!$B$71:$B$91,0))</f>
        <v>NOA</v>
      </c>
      <c r="I486" s="61" t="str">
        <f aca="false">IF(TRIM($AD486)="",INDEX(Parametros!$I$20:$I$24,MATCH($H486,Parametros!$H$20:$H$24,0)),TRIM($AD486))</f>
        <v>Tucuman</v>
      </c>
      <c r="J486" s="61" t="str">
        <f aca="false">INDEX(Parametros!$C$95:$C$106,MATCH(TRIM(INDEX(Datos_Origen!$E$2:$E$2459,$Z486)),Parametros!$B$95:$B$106,0))</f>
        <v>Tienda fisica</v>
      </c>
      <c r="K486" s="61" t="str">
        <f aca="false">INDEX(Parametros!$C$48:$C$67,MATCH(TRIM(INDEX(Datos_Origen!$F$2:$F$2459,$Z486)),Parametros!$B$48:$B$67,0))</f>
        <v>Computacion</v>
      </c>
      <c r="L486" s="61" t="str">
        <f aca="false">$K486&amp;" "&amp;$C486</f>
        <v>Computacion 2024</v>
      </c>
      <c r="M486" s="61" t="str">
        <f aca="false">TRIM(INDEX(Datos_Origen!$G$2:$G$2459,$Z486))</f>
        <v>PC Gamer Ryzen</v>
      </c>
      <c r="N486" s="61" t="str">
        <f aca="false">$M486&amp;" "&amp;$C486</f>
        <v>PC Gamer Ryzen 2024</v>
      </c>
      <c r="O486" s="63" t="n">
        <f aca="false">IF(ISTEXT($AC486),VALUE($AC486),$AC486)</f>
        <v>6</v>
      </c>
      <c r="P486" s="64" t="n">
        <f aca="false">INDEX(Datos_Origen!$I$2:$I$2459,$Z486)</f>
        <v>1617</v>
      </c>
      <c r="Q486" s="64" t="n">
        <f aca="false">INDEX(Datos_Origen!$J$2:$J$2459,$Z486)</f>
        <v>1122</v>
      </c>
      <c r="R486" s="65" t="n">
        <f aca="false">ROUND($O486*$P486,2)</f>
        <v>9702</v>
      </c>
      <c r="S486" s="65" t="n">
        <f aca="false">ROUND($O486*$Q486,2)</f>
        <v>6732</v>
      </c>
      <c r="T486" s="65" t="n">
        <f aca="false">ROUND($R486*SUMIFS(Parametros!$E$28:$E$43,Parametros!$B$28:$B$43,$J486,Parametros!$C$28:$C$43,$C486,Parametros!$D$28:$D$43,$D486),2)</f>
        <v>116.42</v>
      </c>
      <c r="U486" s="65" t="n">
        <f aca="false">$R486-$S486-$T486</f>
        <v>2853.58</v>
      </c>
      <c r="V486" s="66" t="n">
        <f aca="false">IFERROR($U486/$R486,0)</f>
        <v>0.294122861265718</v>
      </c>
      <c r="W486" s="67" t="str">
        <f aca="false">IF(AND($V486&gt;=Parametros!$C$8,$R486&gt;=Parametros!$C$12),"Alta rentabilidad",IF(OR($V486&lt;Parametros!$C$11,$R486&lt;Parametros!$C$13),"Revisar","Estandar"))</f>
        <v>Estandar</v>
      </c>
      <c r="X486" s="67" t="str">
        <f aca="false">IF(AND($J486="E-commerce",IFERROR($T486/$R486,0)&gt;Parametros!$C$14),"Alerta","OK")</f>
        <v>OK</v>
      </c>
      <c r="Y486" s="61" t="str">
        <f aca="false">IF($R486&gt;=Parametros!$C$12,"Alto",IF($R486&lt;Parametros!$C$13,"Bajo","Medio"))</f>
        <v>Alto</v>
      </c>
      <c r="Z486" s="61" t="n">
        <v>237</v>
      </c>
      <c r="AA486" s="61" t="str">
        <f aca="false">IF(MATCH($A486,Datos_Origen!$A$2:$A$2459,0)=$Z486,"OK","REVISAR")</f>
        <v>OK</v>
      </c>
      <c r="AB486" s="61" t="str">
        <f aca="false">INDEX(Datos_Origen!$B$2:$B$2459,$Z486)</f>
        <v>21/05/2024</v>
      </c>
      <c r="AC486" s="61" t="n">
        <f aca="false">INDEX(Datos_Origen!$H$2:$H$2459,$Z486)</f>
        <v>6</v>
      </c>
      <c r="AD486" s="61" t="str">
        <f aca="false">INDEX(Datos_Origen!$D$2:$D$2459,$Z486)&amp;""</f>
        <v>Tucuman</v>
      </c>
    </row>
    <row r="487" customFormat="false" ht="15" hidden="false" customHeight="false" outlineLevel="0" collapsed="false">
      <c r="A487" s="61" t="n">
        <f aca="false">INDEX(Datos_Origen!$A$2:$A$2459,$Z487)</f>
        <v>486</v>
      </c>
      <c r="B487" s="62" t="n">
        <f aca="false">IF(ISNUMBER($AB487),$AB487,IF(MID($AB487,5,1)="-",DATE(VALUE(LEFT($AB487,4)),VALUE(MID($AB487,6,2)),VALUE(RIGHT($AB487,2))),DATE(VALUE(RIGHT($AB487,4)),VALUE(MID($AB487,4,2)),VALUE(LEFT($AB487,2)))))</f>
        <v>45413</v>
      </c>
      <c r="C487" s="61" t="n">
        <f aca="false">YEAR($B487)</f>
        <v>2024</v>
      </c>
      <c r="D487" s="61" t="str">
        <f aca="false">"Q"&amp;ROUNDUP(MONTH($B487)/3,0)</f>
        <v>Q2</v>
      </c>
      <c r="E487" s="61" t="n">
        <f aca="false">MONTH($B487)</f>
        <v>5</v>
      </c>
      <c r="F487" s="61" t="str">
        <f aca="false">INDEX(Parametros!$I$5:$I$16,$E487)</f>
        <v>May</v>
      </c>
      <c r="G487" s="61" t="str">
        <f aca="false">TEXT($C487,"0000")&amp;"-"&amp;TEXT($E487,"00")</f>
        <v>2024-05</v>
      </c>
      <c r="H487" s="61" t="str">
        <f aca="false">INDEX(Parametros!$C$71:$C$91,MATCH(TRIM(INDEX(Datos_Origen!$C$2:$C$2459,$Z487)),Parametros!$B$71:$B$91,0))</f>
        <v>NOA</v>
      </c>
      <c r="I487" s="61" t="str">
        <f aca="false">IF(TRIM($AD487)="",INDEX(Parametros!$I$20:$I$24,MATCH($H487,Parametros!$H$20:$H$24,0)),TRIM($AD487))</f>
        <v>Tucuman</v>
      </c>
      <c r="J487" s="61" t="str">
        <f aca="false">INDEX(Parametros!$C$95:$C$106,MATCH(TRIM(INDEX(Datos_Origen!$E$2:$E$2459,$Z487)),Parametros!$B$95:$B$106,0))</f>
        <v>E-commerce</v>
      </c>
      <c r="K487" s="61" t="str">
        <f aca="false">INDEX(Parametros!$C$48:$C$67,MATCH(TRIM(INDEX(Datos_Origen!$F$2:$F$2459,$Z487)),Parametros!$B$48:$B$67,0))</f>
        <v>Computacion</v>
      </c>
      <c r="L487" s="61" t="str">
        <f aca="false">$K487&amp;" "&amp;$C487</f>
        <v>Computacion 2024</v>
      </c>
      <c r="M487" s="61" t="str">
        <f aca="false">TRIM(INDEX(Datos_Origen!$G$2:$G$2459,$Z487))</f>
        <v>PC Gamer Ryzen</v>
      </c>
      <c r="N487" s="61" t="str">
        <f aca="false">$M487&amp;" "&amp;$C487</f>
        <v>PC Gamer Ryzen 2024</v>
      </c>
      <c r="O487" s="63" t="n">
        <f aca="false">IF(ISTEXT($AC487),VALUE($AC487),$AC487)</f>
        <v>3</v>
      </c>
      <c r="P487" s="64" t="n">
        <f aca="false">INDEX(Datos_Origen!$I$2:$I$2459,$Z487)</f>
        <v>1617</v>
      </c>
      <c r="Q487" s="64" t="n">
        <f aca="false">INDEX(Datos_Origen!$J$2:$J$2459,$Z487)</f>
        <v>1122</v>
      </c>
      <c r="R487" s="65" t="n">
        <f aca="false">ROUND($O487*$P487,2)</f>
        <v>4851</v>
      </c>
      <c r="S487" s="65" t="n">
        <f aca="false">ROUND($O487*$Q487,2)</f>
        <v>3366</v>
      </c>
      <c r="T487" s="65" t="n">
        <f aca="false">ROUND($R487*SUMIFS(Parametros!$E$28:$E$43,Parametros!$B$28:$B$43,$J487,Parametros!$C$28:$C$43,$C487,Parametros!$D$28:$D$43,$D487),2)</f>
        <v>213.44</v>
      </c>
      <c r="U487" s="65" t="n">
        <f aca="false">$R487-$S487-$T487</f>
        <v>1271.56</v>
      </c>
      <c r="V487" s="66" t="n">
        <f aca="false">IFERROR($U487/$R487,0)</f>
        <v>0.262123273551845</v>
      </c>
      <c r="W487" s="67" t="str">
        <f aca="false">IF(AND($V487&gt;=Parametros!$C$8,$R487&gt;=Parametros!$C$12),"Alta rentabilidad",IF(OR($V487&lt;Parametros!$C$11,$R487&lt;Parametros!$C$13),"Revisar","Estandar"))</f>
        <v>Revisar</v>
      </c>
      <c r="X487" s="67" t="str">
        <f aca="false">IF(AND($J487="E-commerce",IFERROR($T487/$R487,0)&gt;Parametros!$C$14),"Alerta","OK")</f>
        <v>OK</v>
      </c>
      <c r="Y487" s="61" t="str">
        <f aca="false">IF($R487&gt;=Parametros!$C$12,"Alto",IF($R487&lt;Parametros!$C$13,"Bajo","Medio"))</f>
        <v>Alto</v>
      </c>
      <c r="Z487" s="61" t="n">
        <v>1366</v>
      </c>
      <c r="AA487" s="61" t="str">
        <f aca="false">IF(MATCH($A487,Datos_Origen!$A$2:$A$2459,0)=$Z487,"OK","REVISAR")</f>
        <v>OK</v>
      </c>
      <c r="AB487" s="62" t="n">
        <f aca="false">INDEX(Datos_Origen!$B$2:$B$2459,$Z487)</f>
        <v>45413</v>
      </c>
      <c r="AC487" s="61" t="n">
        <f aca="false">INDEX(Datos_Origen!$H$2:$H$2459,$Z487)</f>
        <v>3</v>
      </c>
      <c r="AD487" s="61" t="str">
        <f aca="false">INDEX(Datos_Origen!$D$2:$D$2459,$Z487)&amp;""</f>
        <v>Tucuman</v>
      </c>
    </row>
    <row r="488" customFormat="false" ht="15" hidden="false" customHeight="false" outlineLevel="0" collapsed="false">
      <c r="A488" s="61" t="n">
        <f aca="false">INDEX(Datos_Origen!$A$2:$A$2459,$Z488)</f>
        <v>487</v>
      </c>
      <c r="B488" s="62" t="n">
        <f aca="false">IF(ISNUMBER($AB488),$AB488,IF(MID($AB488,5,1)="-",DATE(VALUE(LEFT($AB488,4)),VALUE(MID($AB488,6,2)),VALUE(RIGHT($AB488,2))),DATE(VALUE(RIGHT($AB488,4)),VALUE(MID($AB488,4,2)),VALUE(LEFT($AB488,2)))))</f>
        <v>45420</v>
      </c>
      <c r="C488" s="61" t="n">
        <f aca="false">YEAR($B488)</f>
        <v>2024</v>
      </c>
      <c r="D488" s="61" t="str">
        <f aca="false">"Q"&amp;ROUNDUP(MONTH($B488)/3,0)</f>
        <v>Q2</v>
      </c>
      <c r="E488" s="61" t="n">
        <f aca="false">MONTH($B488)</f>
        <v>5</v>
      </c>
      <c r="F488" s="61" t="str">
        <f aca="false">INDEX(Parametros!$I$5:$I$16,$E488)</f>
        <v>May</v>
      </c>
      <c r="G488" s="61" t="str">
        <f aca="false">TEXT($C488,"0000")&amp;"-"&amp;TEXT($E488,"00")</f>
        <v>2024-05</v>
      </c>
      <c r="H488" s="61" t="str">
        <f aca="false">INDEX(Parametros!$C$71:$C$91,MATCH(TRIM(INDEX(Datos_Origen!$C$2:$C$2459,$Z488)),Parametros!$B$71:$B$91,0))</f>
        <v>NOA</v>
      </c>
      <c r="I488" s="61" t="str">
        <f aca="false">IF(TRIM($AD488)="",INDEX(Parametros!$I$20:$I$24,MATCH($H488,Parametros!$H$20:$H$24,0)),TRIM($AD488))</f>
        <v>Tucuman</v>
      </c>
      <c r="J488" s="61" t="str">
        <f aca="false">INDEX(Parametros!$C$95:$C$106,MATCH(TRIM(INDEX(Datos_Origen!$E$2:$E$2459,$Z488)),Parametros!$B$95:$B$106,0))</f>
        <v>Tienda fisica</v>
      </c>
      <c r="K488" s="61" t="str">
        <f aca="false">INDEX(Parametros!$C$48:$C$67,MATCH(TRIM(INDEX(Datos_Origen!$F$2:$F$2459,$Z488)),Parametros!$B$48:$B$67,0))</f>
        <v>Accesorios</v>
      </c>
      <c r="L488" s="61" t="str">
        <f aca="false">$K488&amp;" "&amp;$C488</f>
        <v>Accesorios 2024</v>
      </c>
      <c r="M488" s="61" t="str">
        <f aca="false">TRIM(INDEX(Datos_Origen!$G$2:$G$2459,$Z488))</f>
        <v>Mouse Inalambrico</v>
      </c>
      <c r="N488" s="61" t="str">
        <f aca="false">$M488&amp;" "&amp;$C488</f>
        <v>Mouse Inalambrico 2024</v>
      </c>
      <c r="O488" s="63" t="n">
        <f aca="false">IF(ISTEXT($AC488),VALUE($AC488),$AC488)</f>
        <v>33</v>
      </c>
      <c r="P488" s="64" t="n">
        <f aca="false">INDEX(Datos_Origen!$I$2:$I$2459,$Z488)</f>
        <v>27.44</v>
      </c>
      <c r="Q488" s="64" t="n">
        <f aca="false">INDEX(Datos_Origen!$J$2:$J$2459,$Z488)</f>
        <v>13.44</v>
      </c>
      <c r="R488" s="65" t="n">
        <f aca="false">ROUND($O488*$P488,2)</f>
        <v>905.52</v>
      </c>
      <c r="S488" s="65" t="n">
        <f aca="false">ROUND($O488*$Q488,2)</f>
        <v>443.52</v>
      </c>
      <c r="T488" s="65" t="n">
        <f aca="false">ROUND($R488*SUMIFS(Parametros!$E$28:$E$43,Parametros!$B$28:$B$43,$J488,Parametros!$C$28:$C$43,$C488,Parametros!$D$28:$D$43,$D488),2)</f>
        <v>10.87</v>
      </c>
      <c r="U488" s="65" t="n">
        <f aca="false">$R488-$S488-$T488</f>
        <v>451.13</v>
      </c>
      <c r="V488" s="66" t="n">
        <f aca="false">IFERROR($U488/$R488,0)</f>
        <v>0.498199929322378</v>
      </c>
      <c r="W488" s="67" t="str">
        <f aca="false">IF(AND($V488&gt;=Parametros!$C$8,$R488&gt;=Parametros!$C$12),"Alta rentabilidad",IF(OR($V488&lt;Parametros!$C$11,$R488&lt;Parametros!$C$13),"Revisar","Estandar"))</f>
        <v>Estandar</v>
      </c>
      <c r="X488" s="67" t="str">
        <f aca="false">IF(AND($J488="E-commerce",IFERROR($T488/$R488,0)&gt;Parametros!$C$14),"Alerta","OK")</f>
        <v>OK</v>
      </c>
      <c r="Y488" s="61" t="str">
        <f aca="false">IF($R488&gt;=Parametros!$C$12,"Alto",IF($R488&lt;Parametros!$C$13,"Bajo","Medio"))</f>
        <v>Medio</v>
      </c>
      <c r="Z488" s="61" t="n">
        <v>1339</v>
      </c>
      <c r="AA488" s="61" t="str">
        <f aca="false">IF(MATCH($A488,Datos_Origen!$A$2:$A$2459,0)=$Z488,"OK","REVISAR")</f>
        <v>OK</v>
      </c>
      <c r="AB488" s="62" t="n">
        <f aca="false">INDEX(Datos_Origen!$B$2:$B$2459,$Z488)</f>
        <v>45420</v>
      </c>
      <c r="AC488" s="61" t="n">
        <f aca="false">INDEX(Datos_Origen!$H$2:$H$2459,$Z488)</f>
        <v>33</v>
      </c>
      <c r="AD488" s="61" t="str">
        <f aca="false">INDEX(Datos_Origen!$D$2:$D$2459,$Z488)&amp;""</f>
        <v>Tucuman</v>
      </c>
    </row>
    <row r="489" customFormat="false" ht="15" hidden="false" customHeight="false" outlineLevel="0" collapsed="false">
      <c r="A489" s="61" t="n">
        <f aca="false">INDEX(Datos_Origen!$A$2:$A$2459,$Z489)</f>
        <v>488</v>
      </c>
      <c r="B489" s="62" t="n">
        <f aca="false">IF(ISNUMBER($AB489),$AB489,IF(MID($AB489,5,1)="-",DATE(VALUE(LEFT($AB489,4)),VALUE(MID($AB489,6,2)),VALUE(RIGHT($AB489,2))),DATE(VALUE(RIGHT($AB489,4)),VALUE(MID($AB489,4,2)),VALUE(LEFT($AB489,2)))))</f>
        <v>45427</v>
      </c>
      <c r="C489" s="61" t="n">
        <f aca="false">YEAR($B489)</f>
        <v>2024</v>
      </c>
      <c r="D489" s="61" t="str">
        <f aca="false">"Q"&amp;ROUNDUP(MONTH($B489)/3,0)</f>
        <v>Q2</v>
      </c>
      <c r="E489" s="61" t="n">
        <f aca="false">MONTH($B489)</f>
        <v>5</v>
      </c>
      <c r="F489" s="61" t="str">
        <f aca="false">INDEX(Parametros!$I$5:$I$16,$E489)</f>
        <v>May</v>
      </c>
      <c r="G489" s="61" t="str">
        <f aca="false">TEXT($C489,"0000")&amp;"-"&amp;TEXT($E489,"00")</f>
        <v>2024-05</v>
      </c>
      <c r="H489" s="61" t="str">
        <f aca="false">INDEX(Parametros!$C$71:$C$91,MATCH(TRIM(INDEX(Datos_Origen!$C$2:$C$2459,$Z489)),Parametros!$B$71:$B$91,0))</f>
        <v>NOA</v>
      </c>
      <c r="I489" s="61" t="str">
        <f aca="false">IF(TRIM($AD489)="",INDEX(Parametros!$I$20:$I$24,MATCH($H489,Parametros!$H$20:$H$24,0)),TRIM($AD489))</f>
        <v>Tucuman</v>
      </c>
      <c r="J489" s="61" t="str">
        <f aca="false">INDEX(Parametros!$C$95:$C$106,MATCH(TRIM(INDEX(Datos_Origen!$E$2:$E$2459,$Z489)),Parametros!$B$95:$B$106,0))</f>
        <v>E-commerce</v>
      </c>
      <c r="K489" s="61" t="str">
        <f aca="false">INDEX(Parametros!$C$48:$C$67,MATCH(TRIM(INDEX(Datos_Origen!$F$2:$F$2459,$Z489)),Parametros!$B$48:$B$67,0))</f>
        <v>Accesorios</v>
      </c>
      <c r="L489" s="61" t="str">
        <f aca="false">$K489&amp;" "&amp;$C489</f>
        <v>Accesorios 2024</v>
      </c>
      <c r="M489" s="61" t="str">
        <f aca="false">TRIM(INDEX(Datos_Origen!$G$2:$G$2459,$Z489))</f>
        <v>Mouse Inalambrico</v>
      </c>
      <c r="N489" s="61" t="str">
        <f aca="false">$M489&amp;" "&amp;$C489</f>
        <v>Mouse Inalambrico 2024</v>
      </c>
      <c r="O489" s="63" t="n">
        <f aca="false">IF(ISTEXT($AC489),VALUE($AC489),$AC489)</f>
        <v>11</v>
      </c>
      <c r="P489" s="64" t="n">
        <f aca="false">INDEX(Datos_Origen!$I$2:$I$2459,$Z489)</f>
        <v>27.44</v>
      </c>
      <c r="Q489" s="64" t="n">
        <f aca="false">INDEX(Datos_Origen!$J$2:$J$2459,$Z489)</f>
        <v>13.44</v>
      </c>
      <c r="R489" s="65" t="n">
        <f aca="false">ROUND($O489*$P489,2)</f>
        <v>301.84</v>
      </c>
      <c r="S489" s="65" t="n">
        <f aca="false">ROUND($O489*$Q489,2)</f>
        <v>147.84</v>
      </c>
      <c r="T489" s="65" t="n">
        <f aca="false">ROUND($R489*SUMIFS(Parametros!$E$28:$E$43,Parametros!$B$28:$B$43,$J489,Parametros!$C$28:$C$43,$C489,Parametros!$D$28:$D$43,$D489),2)</f>
        <v>13.28</v>
      </c>
      <c r="U489" s="65" t="n">
        <f aca="false">$R489-$S489-$T489</f>
        <v>140.72</v>
      </c>
      <c r="V489" s="66" t="n">
        <f aca="false">IFERROR($U489/$R489,0)</f>
        <v>0.466207262125629</v>
      </c>
      <c r="W489" s="67" t="str">
        <f aca="false">IF(AND($V489&gt;=Parametros!$C$8,$R489&gt;=Parametros!$C$12),"Alta rentabilidad",IF(OR($V489&lt;Parametros!$C$11,$R489&lt;Parametros!$C$13),"Revisar","Estandar"))</f>
        <v>Estandar</v>
      </c>
      <c r="X489" s="67" t="str">
        <f aca="false">IF(AND($J489="E-commerce",IFERROR($T489/$R489,0)&gt;Parametros!$C$14),"Alerta","OK")</f>
        <v>OK</v>
      </c>
      <c r="Y489" s="61" t="str">
        <f aca="false">IF($R489&gt;=Parametros!$C$12,"Alto",IF($R489&lt;Parametros!$C$13,"Bajo","Medio"))</f>
        <v>Medio</v>
      </c>
      <c r="Z489" s="61" t="n">
        <v>2161</v>
      </c>
      <c r="AA489" s="61" t="str">
        <f aca="false">IF(MATCH($A489,Datos_Origen!$A$2:$A$2459,0)=$Z489,"OK","REVISAR")</f>
        <v>OK</v>
      </c>
      <c r="AB489" s="62" t="n">
        <f aca="false">INDEX(Datos_Origen!$B$2:$B$2459,$Z489)</f>
        <v>45427</v>
      </c>
      <c r="AC489" s="61" t="str">
        <f aca="false">INDEX(Datos_Origen!$H$2:$H$2459,$Z489)</f>
        <v>11</v>
      </c>
      <c r="AD489" s="61" t="str">
        <f aca="false">INDEX(Datos_Origen!$D$2:$D$2459,$Z489)&amp;""</f>
        <v>Tucuman</v>
      </c>
    </row>
    <row r="490" customFormat="false" ht="15" hidden="false" customHeight="false" outlineLevel="0" collapsed="false">
      <c r="A490" s="61" t="n">
        <f aca="false">INDEX(Datos_Origen!$A$2:$A$2459,$Z490)</f>
        <v>489</v>
      </c>
      <c r="B490" s="62" t="n">
        <f aca="false">IF(ISNUMBER($AB490),$AB490,IF(MID($AB490,5,1)="-",DATE(VALUE(LEFT($AB490,4)),VALUE(MID($AB490,6,2)),VALUE(RIGHT($AB490,2))),DATE(VALUE(RIGHT($AB490,4)),VALUE(MID($AB490,4,2)),VALUE(LEFT($AB490,2)))))</f>
        <v>45434</v>
      </c>
      <c r="C490" s="61" t="n">
        <f aca="false">YEAR($B490)</f>
        <v>2024</v>
      </c>
      <c r="D490" s="61" t="str">
        <f aca="false">"Q"&amp;ROUNDUP(MONTH($B490)/3,0)</f>
        <v>Q2</v>
      </c>
      <c r="E490" s="61" t="n">
        <f aca="false">MONTH($B490)</f>
        <v>5</v>
      </c>
      <c r="F490" s="61" t="str">
        <f aca="false">INDEX(Parametros!$I$5:$I$16,$E490)</f>
        <v>May</v>
      </c>
      <c r="G490" s="61" t="str">
        <f aca="false">TEXT($C490,"0000")&amp;"-"&amp;TEXT($E490,"00")</f>
        <v>2024-05</v>
      </c>
      <c r="H490" s="61" t="str">
        <f aca="false">INDEX(Parametros!$C$71:$C$91,MATCH(TRIM(INDEX(Datos_Origen!$C$2:$C$2459,$Z490)),Parametros!$B$71:$B$91,0))</f>
        <v>NOA</v>
      </c>
      <c r="I490" s="61" t="str">
        <f aca="false">IF(TRIM($AD490)="",INDEX(Parametros!$I$20:$I$24,MATCH($H490,Parametros!$H$20:$H$24,0)),TRIM($AD490))</f>
        <v>Tucuman</v>
      </c>
      <c r="J490" s="61" t="str">
        <f aca="false">INDEX(Parametros!$C$95:$C$106,MATCH(TRIM(INDEX(Datos_Origen!$E$2:$E$2459,$Z490)),Parametros!$B$95:$B$106,0))</f>
        <v>Tienda fisica</v>
      </c>
      <c r="K490" s="61" t="str">
        <f aca="false">INDEX(Parametros!$C$48:$C$67,MATCH(TRIM(INDEX(Datos_Origen!$F$2:$F$2459,$Z490)),Parametros!$B$48:$B$67,0))</f>
        <v>Accesorios</v>
      </c>
      <c r="L490" s="61" t="str">
        <f aca="false">$K490&amp;" "&amp;$C490</f>
        <v>Accesorios 2024</v>
      </c>
      <c r="M490" s="61" t="str">
        <f aca="false">TRIM(INDEX(Datos_Origen!$G$2:$G$2459,$Z490))</f>
        <v>Teclado Mecanico</v>
      </c>
      <c r="N490" s="61" t="str">
        <f aca="false">$M490&amp;" "&amp;$C490</f>
        <v>Teclado Mecanico 2024</v>
      </c>
      <c r="O490" s="63" t="n">
        <f aca="false">IF(ISTEXT($AC490),VALUE($AC490),$AC490)</f>
        <v>29</v>
      </c>
      <c r="P490" s="64" t="n">
        <f aca="false">INDEX(Datos_Origen!$I$2:$I$2459,$Z490)</f>
        <v>93.1</v>
      </c>
      <c r="Q490" s="64" t="n">
        <f aca="false">INDEX(Datos_Origen!$J$2:$J$2459,$Z490)</f>
        <v>47.98</v>
      </c>
      <c r="R490" s="65" t="n">
        <f aca="false">ROUND($O490*$P490,2)</f>
        <v>2699.9</v>
      </c>
      <c r="S490" s="65" t="n">
        <f aca="false">ROUND($O490*$Q490,2)</f>
        <v>1391.42</v>
      </c>
      <c r="T490" s="65" t="n">
        <f aca="false">ROUND($R490*SUMIFS(Parametros!$E$28:$E$43,Parametros!$B$28:$B$43,$J490,Parametros!$C$28:$C$43,$C490,Parametros!$D$28:$D$43,$D490),2)</f>
        <v>32.4</v>
      </c>
      <c r="U490" s="65" t="n">
        <f aca="false">$R490-$S490-$T490</f>
        <v>1276.08</v>
      </c>
      <c r="V490" s="66" t="n">
        <f aca="false">IFERROR($U490/$R490,0)</f>
        <v>0.472639727397311</v>
      </c>
      <c r="W490" s="67" t="str">
        <f aca="false">IF(AND($V490&gt;=Parametros!$C$8,$R490&gt;=Parametros!$C$12),"Alta rentabilidad",IF(OR($V490&lt;Parametros!$C$11,$R490&lt;Parametros!$C$13),"Revisar","Estandar"))</f>
        <v>Estandar</v>
      </c>
      <c r="X490" s="67" t="str">
        <f aca="false">IF(AND($J490="E-commerce",IFERROR($T490/$R490,0)&gt;Parametros!$C$14),"Alerta","OK")</f>
        <v>OK</v>
      </c>
      <c r="Y490" s="61" t="str">
        <f aca="false">IF($R490&gt;=Parametros!$C$12,"Alto",IF($R490&lt;Parametros!$C$13,"Bajo","Medio"))</f>
        <v>Medio</v>
      </c>
      <c r="Z490" s="61" t="n">
        <v>1454</v>
      </c>
      <c r="AA490" s="61" t="str">
        <f aca="false">IF(MATCH($A490,Datos_Origen!$A$2:$A$2459,0)=$Z490,"OK","REVISAR")</f>
        <v>OK</v>
      </c>
      <c r="AB490" s="61" t="str">
        <f aca="false">INDEX(Datos_Origen!$B$2:$B$2459,$Z490)</f>
        <v>22/05/2024</v>
      </c>
      <c r="AC490" s="61" t="n">
        <f aca="false">INDEX(Datos_Origen!$H$2:$H$2459,$Z490)</f>
        <v>29</v>
      </c>
      <c r="AD490" s="61" t="str">
        <f aca="false">INDEX(Datos_Origen!$D$2:$D$2459,$Z490)&amp;""</f>
        <v>Tucuman</v>
      </c>
    </row>
    <row r="491" customFormat="false" ht="15" hidden="false" customHeight="false" outlineLevel="0" collapsed="false">
      <c r="A491" s="61" t="n">
        <f aca="false">INDEX(Datos_Origen!$A$2:$A$2459,$Z491)</f>
        <v>490</v>
      </c>
      <c r="B491" s="62" t="n">
        <f aca="false">IF(ISNUMBER($AB491),$AB491,IF(MID($AB491,5,1)="-",DATE(VALUE(LEFT($AB491,4)),VALUE(MID($AB491,6,2)),VALUE(RIGHT($AB491,2))),DATE(VALUE(RIGHT($AB491,4)),VALUE(MID($AB491,4,2)),VALUE(LEFT($AB491,2)))))</f>
        <v>45414</v>
      </c>
      <c r="C491" s="61" t="n">
        <f aca="false">YEAR($B491)</f>
        <v>2024</v>
      </c>
      <c r="D491" s="61" t="str">
        <f aca="false">"Q"&amp;ROUNDUP(MONTH($B491)/3,0)</f>
        <v>Q2</v>
      </c>
      <c r="E491" s="61" t="n">
        <f aca="false">MONTH($B491)</f>
        <v>5</v>
      </c>
      <c r="F491" s="61" t="str">
        <f aca="false">INDEX(Parametros!$I$5:$I$16,$E491)</f>
        <v>May</v>
      </c>
      <c r="G491" s="61" t="str">
        <f aca="false">TEXT($C491,"0000")&amp;"-"&amp;TEXT($E491,"00")</f>
        <v>2024-05</v>
      </c>
      <c r="H491" s="61" t="str">
        <f aca="false">INDEX(Parametros!$C$71:$C$91,MATCH(TRIM(INDEX(Datos_Origen!$C$2:$C$2459,$Z491)),Parametros!$B$71:$B$91,0))</f>
        <v>NOA</v>
      </c>
      <c r="I491" s="61" t="str">
        <f aca="false">IF(TRIM($AD491)="",INDEX(Parametros!$I$20:$I$24,MATCH($H491,Parametros!$H$20:$H$24,0)),TRIM($AD491))</f>
        <v>Tucuman</v>
      </c>
      <c r="J491" s="61" t="str">
        <f aca="false">INDEX(Parametros!$C$95:$C$106,MATCH(TRIM(INDEX(Datos_Origen!$E$2:$E$2459,$Z491)),Parametros!$B$95:$B$106,0))</f>
        <v>E-commerce</v>
      </c>
      <c r="K491" s="61" t="str">
        <f aca="false">INDEX(Parametros!$C$48:$C$67,MATCH(TRIM(INDEX(Datos_Origen!$F$2:$F$2459,$Z491)),Parametros!$B$48:$B$67,0))</f>
        <v>Accesorios</v>
      </c>
      <c r="L491" s="61" t="str">
        <f aca="false">$K491&amp;" "&amp;$C491</f>
        <v>Accesorios 2024</v>
      </c>
      <c r="M491" s="61" t="str">
        <f aca="false">TRIM(INDEX(Datos_Origen!$G$2:$G$2459,$Z491))</f>
        <v>Teclado Mecanico</v>
      </c>
      <c r="N491" s="61" t="str">
        <f aca="false">$M491&amp;" "&amp;$C491</f>
        <v>Teclado Mecanico 2024</v>
      </c>
      <c r="O491" s="63" t="n">
        <f aca="false">IF(ISTEXT($AC491),VALUE($AC491),$AC491)</f>
        <v>12</v>
      </c>
      <c r="P491" s="64" t="n">
        <f aca="false">INDEX(Datos_Origen!$I$2:$I$2459,$Z491)</f>
        <v>93.1</v>
      </c>
      <c r="Q491" s="64" t="n">
        <f aca="false">INDEX(Datos_Origen!$J$2:$J$2459,$Z491)</f>
        <v>47.98</v>
      </c>
      <c r="R491" s="65" t="n">
        <f aca="false">ROUND($O491*$P491,2)</f>
        <v>1117.2</v>
      </c>
      <c r="S491" s="65" t="n">
        <f aca="false">ROUND($O491*$Q491,2)</f>
        <v>575.76</v>
      </c>
      <c r="T491" s="65" t="n">
        <f aca="false">ROUND($R491*SUMIFS(Parametros!$E$28:$E$43,Parametros!$B$28:$B$43,$J491,Parametros!$C$28:$C$43,$C491,Parametros!$D$28:$D$43,$D491),2)</f>
        <v>49.16</v>
      </c>
      <c r="U491" s="65" t="n">
        <f aca="false">$R491-$S491-$T491</f>
        <v>492.28</v>
      </c>
      <c r="V491" s="66" t="n">
        <f aca="false">IFERROR($U491/$R491,0)</f>
        <v>0.440637307554601</v>
      </c>
      <c r="W491" s="67" t="str">
        <f aca="false">IF(AND($V491&gt;=Parametros!$C$8,$R491&gt;=Parametros!$C$12),"Alta rentabilidad",IF(OR($V491&lt;Parametros!$C$11,$R491&lt;Parametros!$C$13),"Revisar","Estandar"))</f>
        <v>Estandar</v>
      </c>
      <c r="X491" s="67" t="str">
        <f aca="false">IF(AND($J491="E-commerce",IFERROR($T491/$R491,0)&gt;Parametros!$C$14),"Alerta","OK")</f>
        <v>OK</v>
      </c>
      <c r="Y491" s="61" t="str">
        <f aca="false">IF($R491&gt;=Parametros!$C$12,"Alto",IF($R491&lt;Parametros!$C$13,"Bajo","Medio"))</f>
        <v>Medio</v>
      </c>
      <c r="Z491" s="61" t="n">
        <v>959</v>
      </c>
      <c r="AA491" s="61" t="str">
        <f aca="false">IF(MATCH($A491,Datos_Origen!$A$2:$A$2459,0)=$Z491,"OK","REVISAR")</f>
        <v>OK</v>
      </c>
      <c r="AB491" s="62" t="n">
        <f aca="false">INDEX(Datos_Origen!$B$2:$B$2459,$Z491)</f>
        <v>45414</v>
      </c>
      <c r="AC491" s="61" t="n">
        <f aca="false">INDEX(Datos_Origen!$H$2:$H$2459,$Z491)</f>
        <v>12</v>
      </c>
      <c r="AD491" s="61" t="str">
        <f aca="false">INDEX(Datos_Origen!$D$2:$D$2459,$Z491)&amp;""</f>
        <v/>
      </c>
    </row>
    <row r="492" customFormat="false" ht="15" hidden="false" customHeight="false" outlineLevel="0" collapsed="false">
      <c r="A492" s="61" t="n">
        <f aca="false">INDEX(Datos_Origen!$A$2:$A$2459,$Z492)</f>
        <v>491</v>
      </c>
      <c r="B492" s="62" t="n">
        <f aca="false">IF(ISNUMBER($AB492),$AB492,IF(MID($AB492,5,1)="-",DATE(VALUE(LEFT($AB492,4)),VALUE(MID($AB492,6,2)),VALUE(RIGHT($AB492,2))),DATE(VALUE(RIGHT($AB492,4)),VALUE(MID($AB492,4,2)),VALUE(LEFT($AB492,2)))))</f>
        <v>45421</v>
      </c>
      <c r="C492" s="61" t="n">
        <f aca="false">YEAR($B492)</f>
        <v>2024</v>
      </c>
      <c r="D492" s="61" t="str">
        <f aca="false">"Q"&amp;ROUNDUP(MONTH($B492)/3,0)</f>
        <v>Q2</v>
      </c>
      <c r="E492" s="61" t="n">
        <f aca="false">MONTH($B492)</f>
        <v>5</v>
      </c>
      <c r="F492" s="61" t="str">
        <f aca="false">INDEX(Parametros!$I$5:$I$16,$E492)</f>
        <v>May</v>
      </c>
      <c r="G492" s="61" t="str">
        <f aca="false">TEXT($C492,"0000")&amp;"-"&amp;TEXT($E492,"00")</f>
        <v>2024-05</v>
      </c>
      <c r="H492" s="61" t="str">
        <f aca="false">INDEX(Parametros!$C$71:$C$91,MATCH(TRIM(INDEX(Datos_Origen!$C$2:$C$2459,$Z492)),Parametros!$B$71:$B$91,0))</f>
        <v>NOA</v>
      </c>
      <c r="I492" s="61" t="str">
        <f aca="false">IF(TRIM($AD492)="",INDEX(Parametros!$I$20:$I$24,MATCH($H492,Parametros!$H$20:$H$24,0)),TRIM($AD492))</f>
        <v>Tucuman</v>
      </c>
      <c r="J492" s="61" t="str">
        <f aca="false">INDEX(Parametros!$C$95:$C$106,MATCH(TRIM(INDEX(Datos_Origen!$E$2:$E$2459,$Z492)),Parametros!$B$95:$B$106,0))</f>
        <v>Tienda fisica</v>
      </c>
      <c r="K492" s="61" t="str">
        <f aca="false">INDEX(Parametros!$C$48:$C$67,MATCH(TRIM(INDEX(Datos_Origen!$F$2:$F$2459,$Z492)),Parametros!$B$48:$B$67,0))</f>
        <v>Accesorios</v>
      </c>
      <c r="L492" s="61" t="str">
        <f aca="false">$K492&amp;" "&amp;$C492</f>
        <v>Accesorios 2024</v>
      </c>
      <c r="M492" s="61" t="str">
        <f aca="false">TRIM(INDEX(Datos_Origen!$G$2:$G$2459,$Z492))</f>
        <v>Webcam Full HD</v>
      </c>
      <c r="N492" s="61" t="str">
        <f aca="false">$M492&amp;" "&amp;$C492</f>
        <v>Webcam Full HD 2024</v>
      </c>
      <c r="O492" s="63" t="n">
        <f aca="false">IF(ISTEXT($AC492),VALUE($AC492),$AC492)</f>
        <v>35</v>
      </c>
      <c r="P492" s="64" t="n">
        <f aca="false">INDEX(Datos_Origen!$I$2:$I$2459,$Z492)</f>
        <v>63.7</v>
      </c>
      <c r="Q492" s="64" t="n">
        <f aca="false">INDEX(Datos_Origen!$J$2:$J$2459,$Z492)</f>
        <v>35.43</v>
      </c>
      <c r="R492" s="65" t="n">
        <f aca="false">ROUND($O492*$P492,2)</f>
        <v>2229.5</v>
      </c>
      <c r="S492" s="65" t="n">
        <f aca="false">ROUND($O492*$Q492,2)</f>
        <v>1240.05</v>
      </c>
      <c r="T492" s="65" t="n">
        <f aca="false">ROUND($R492*SUMIFS(Parametros!$E$28:$E$43,Parametros!$B$28:$B$43,$J492,Parametros!$C$28:$C$43,$C492,Parametros!$D$28:$D$43,$D492),2)</f>
        <v>26.75</v>
      </c>
      <c r="U492" s="65" t="n">
        <f aca="false">$R492-$S492-$T492</f>
        <v>962.7</v>
      </c>
      <c r="V492" s="66" t="n">
        <f aca="false">IFERROR($U492/$R492,0)</f>
        <v>0.431800852209016</v>
      </c>
      <c r="W492" s="67" t="str">
        <f aca="false">IF(AND($V492&gt;=Parametros!$C$8,$R492&gt;=Parametros!$C$12),"Alta rentabilidad",IF(OR($V492&lt;Parametros!$C$11,$R492&lt;Parametros!$C$13),"Revisar","Estandar"))</f>
        <v>Estandar</v>
      </c>
      <c r="X492" s="67" t="str">
        <f aca="false">IF(AND($J492="E-commerce",IFERROR($T492/$R492,0)&gt;Parametros!$C$14),"Alerta","OK")</f>
        <v>OK</v>
      </c>
      <c r="Y492" s="61" t="str">
        <f aca="false">IF($R492&gt;=Parametros!$C$12,"Alto",IF($R492&lt;Parametros!$C$13,"Bajo","Medio"))</f>
        <v>Medio</v>
      </c>
      <c r="Z492" s="61" t="n">
        <v>694</v>
      </c>
      <c r="AA492" s="61" t="str">
        <f aca="false">IF(MATCH($A492,Datos_Origen!$A$2:$A$2459,0)=$Z492,"OK","REVISAR")</f>
        <v>OK</v>
      </c>
      <c r="AB492" s="62" t="n">
        <f aca="false">INDEX(Datos_Origen!$B$2:$B$2459,$Z492)</f>
        <v>45421</v>
      </c>
      <c r="AC492" s="61" t="str">
        <f aca="false">INDEX(Datos_Origen!$H$2:$H$2459,$Z492)</f>
        <v>35</v>
      </c>
      <c r="AD492" s="61" t="str">
        <f aca="false">INDEX(Datos_Origen!$D$2:$D$2459,$Z492)&amp;""</f>
        <v>Tucuman</v>
      </c>
    </row>
    <row r="493" customFormat="false" ht="15" hidden="false" customHeight="false" outlineLevel="0" collapsed="false">
      <c r="A493" s="61" t="n">
        <f aca="false">INDEX(Datos_Origen!$A$2:$A$2459,$Z493)</f>
        <v>492</v>
      </c>
      <c r="B493" s="62" t="n">
        <f aca="false">IF(ISNUMBER($AB493),$AB493,IF(MID($AB493,5,1)="-",DATE(VALUE(LEFT($AB493,4)),VALUE(MID($AB493,6,2)),VALUE(RIGHT($AB493,2))),DATE(VALUE(RIGHT($AB493,4)),VALUE(MID($AB493,4,2)),VALUE(LEFT($AB493,2)))))</f>
        <v>45428</v>
      </c>
      <c r="C493" s="61" t="n">
        <f aca="false">YEAR($B493)</f>
        <v>2024</v>
      </c>
      <c r="D493" s="61" t="str">
        <f aca="false">"Q"&amp;ROUNDUP(MONTH($B493)/3,0)</f>
        <v>Q2</v>
      </c>
      <c r="E493" s="61" t="n">
        <f aca="false">MONTH($B493)</f>
        <v>5</v>
      </c>
      <c r="F493" s="61" t="str">
        <f aca="false">INDEX(Parametros!$I$5:$I$16,$E493)</f>
        <v>May</v>
      </c>
      <c r="G493" s="61" t="str">
        <f aca="false">TEXT($C493,"0000")&amp;"-"&amp;TEXT($E493,"00")</f>
        <v>2024-05</v>
      </c>
      <c r="H493" s="61" t="str">
        <f aca="false">INDEX(Parametros!$C$71:$C$91,MATCH(TRIM(INDEX(Datos_Origen!$C$2:$C$2459,$Z493)),Parametros!$B$71:$B$91,0))</f>
        <v>NOA</v>
      </c>
      <c r="I493" s="61" t="str">
        <f aca="false">IF(TRIM($AD493)="",INDEX(Parametros!$I$20:$I$24,MATCH($H493,Parametros!$H$20:$H$24,0)),TRIM($AD493))</f>
        <v>Tucuman</v>
      </c>
      <c r="J493" s="61" t="str">
        <f aca="false">INDEX(Parametros!$C$95:$C$106,MATCH(TRIM(INDEX(Datos_Origen!$E$2:$E$2459,$Z493)),Parametros!$B$95:$B$106,0))</f>
        <v>E-commerce</v>
      </c>
      <c r="K493" s="61" t="str">
        <f aca="false">INDEX(Parametros!$C$48:$C$67,MATCH(TRIM(INDEX(Datos_Origen!$F$2:$F$2459,$Z493)),Parametros!$B$48:$B$67,0))</f>
        <v>Accesorios</v>
      </c>
      <c r="L493" s="61" t="str">
        <f aca="false">$K493&amp;" "&amp;$C493</f>
        <v>Accesorios 2024</v>
      </c>
      <c r="M493" s="61" t="str">
        <f aca="false">TRIM(INDEX(Datos_Origen!$G$2:$G$2459,$Z493))</f>
        <v>Webcam Full HD</v>
      </c>
      <c r="N493" s="61" t="str">
        <f aca="false">$M493&amp;" "&amp;$C493</f>
        <v>Webcam Full HD 2024</v>
      </c>
      <c r="O493" s="63" t="n">
        <f aca="false">IF(ISTEXT($AC493),VALUE($AC493),$AC493)</f>
        <v>12</v>
      </c>
      <c r="P493" s="64" t="n">
        <f aca="false">INDEX(Datos_Origen!$I$2:$I$2459,$Z493)</f>
        <v>63.7</v>
      </c>
      <c r="Q493" s="64" t="n">
        <f aca="false">INDEX(Datos_Origen!$J$2:$J$2459,$Z493)</f>
        <v>35.43</v>
      </c>
      <c r="R493" s="65" t="n">
        <f aca="false">ROUND($O493*$P493,2)</f>
        <v>764.4</v>
      </c>
      <c r="S493" s="65" t="n">
        <f aca="false">ROUND($O493*$Q493,2)</f>
        <v>425.16</v>
      </c>
      <c r="T493" s="65" t="n">
        <f aca="false">ROUND($R493*SUMIFS(Parametros!$E$28:$E$43,Parametros!$B$28:$B$43,$J493,Parametros!$C$28:$C$43,$C493,Parametros!$D$28:$D$43,$D493),2)</f>
        <v>33.63</v>
      </c>
      <c r="U493" s="65" t="n">
        <f aca="false">$R493-$S493-$T493</f>
        <v>305.61</v>
      </c>
      <c r="V493" s="66" t="n">
        <f aca="false">IFERROR($U493/$R493,0)</f>
        <v>0.39980376766091</v>
      </c>
      <c r="W493" s="67" t="str">
        <f aca="false">IF(AND($V493&gt;=Parametros!$C$8,$R493&gt;=Parametros!$C$12),"Alta rentabilidad",IF(OR($V493&lt;Parametros!$C$11,$R493&lt;Parametros!$C$13),"Revisar","Estandar"))</f>
        <v>Estandar</v>
      </c>
      <c r="X493" s="67" t="str">
        <f aca="false">IF(AND($J493="E-commerce",IFERROR($T493/$R493,0)&gt;Parametros!$C$14),"Alerta","OK")</f>
        <v>OK</v>
      </c>
      <c r="Y493" s="61" t="str">
        <f aca="false">IF($R493&gt;=Parametros!$C$12,"Alto",IF($R493&lt;Parametros!$C$13,"Bajo","Medio"))</f>
        <v>Medio</v>
      </c>
      <c r="Z493" s="61" t="n">
        <v>107</v>
      </c>
      <c r="AA493" s="61" t="str">
        <f aca="false">IF(MATCH($A493,Datos_Origen!$A$2:$A$2459,0)=$Z493,"OK","REVISAR")</f>
        <v>OK</v>
      </c>
      <c r="AB493" s="62" t="n">
        <f aca="false">INDEX(Datos_Origen!$B$2:$B$2459,$Z493)</f>
        <v>45428</v>
      </c>
      <c r="AC493" s="61" t="n">
        <f aca="false">INDEX(Datos_Origen!$H$2:$H$2459,$Z493)</f>
        <v>12</v>
      </c>
      <c r="AD493" s="61" t="str">
        <f aca="false">INDEX(Datos_Origen!$D$2:$D$2459,$Z493)&amp;""</f>
        <v>Tucuman</v>
      </c>
    </row>
    <row r="494" customFormat="false" ht="15" hidden="false" customHeight="false" outlineLevel="0" collapsed="false">
      <c r="A494" s="61" t="n">
        <f aca="false">INDEX(Datos_Origen!$A$2:$A$2459,$Z494)</f>
        <v>493</v>
      </c>
      <c r="B494" s="62" t="n">
        <f aca="false">IF(ISNUMBER($AB494),$AB494,IF(MID($AB494,5,1)="-",DATE(VALUE(LEFT($AB494,4)),VALUE(MID($AB494,6,2)),VALUE(RIGHT($AB494,2))),DATE(VALUE(RIGHT($AB494,4)),VALUE(MID($AB494,4,2)),VALUE(LEFT($AB494,2)))))</f>
        <v>45435</v>
      </c>
      <c r="C494" s="61" t="n">
        <f aca="false">YEAR($B494)</f>
        <v>2024</v>
      </c>
      <c r="D494" s="61" t="str">
        <f aca="false">"Q"&amp;ROUNDUP(MONTH($B494)/3,0)</f>
        <v>Q2</v>
      </c>
      <c r="E494" s="61" t="n">
        <f aca="false">MONTH($B494)</f>
        <v>5</v>
      </c>
      <c r="F494" s="61" t="str">
        <f aca="false">INDEX(Parametros!$I$5:$I$16,$E494)</f>
        <v>May</v>
      </c>
      <c r="G494" s="61" t="str">
        <f aca="false">TEXT($C494,"0000")&amp;"-"&amp;TEXT($E494,"00")</f>
        <v>2024-05</v>
      </c>
      <c r="H494" s="61" t="str">
        <f aca="false">INDEX(Parametros!$C$71:$C$91,MATCH(TRIM(INDEX(Datos_Origen!$C$2:$C$2459,$Z494)),Parametros!$B$71:$B$91,0))</f>
        <v>NOA</v>
      </c>
      <c r="I494" s="61" t="str">
        <f aca="false">IF(TRIM($AD494)="",INDEX(Parametros!$I$20:$I$24,MATCH($H494,Parametros!$H$20:$H$24,0)),TRIM($AD494))</f>
        <v>Tucuman</v>
      </c>
      <c r="J494" s="61" t="str">
        <f aca="false">INDEX(Parametros!$C$95:$C$106,MATCH(TRIM(INDEX(Datos_Origen!$E$2:$E$2459,$Z494)),Parametros!$B$95:$B$106,0))</f>
        <v>Tienda fisica</v>
      </c>
      <c r="K494" s="61" t="str">
        <f aca="false">INDEX(Parametros!$C$48:$C$67,MATCH(TRIM(INDEX(Datos_Origen!$F$2:$F$2459,$Z494)),Parametros!$B$48:$B$67,0))</f>
        <v>Audio</v>
      </c>
      <c r="L494" s="61" t="str">
        <f aca="false">$K494&amp;" "&amp;$C494</f>
        <v>Audio 2024</v>
      </c>
      <c r="M494" s="61" t="str">
        <f aca="false">TRIM(INDEX(Datos_Origen!$G$2:$G$2459,$Z494))</f>
        <v>Auriculares BT Pro</v>
      </c>
      <c r="N494" s="61" t="str">
        <f aca="false">$M494&amp;" "&amp;$C494</f>
        <v>Auriculares BT Pro 2024</v>
      </c>
      <c r="O494" s="63" t="n">
        <f aca="false">IF(ISTEXT($AC494),VALUE($AC494),$AC494)</f>
        <v>16</v>
      </c>
      <c r="P494" s="64" t="n">
        <f aca="false">INDEX(Datos_Origen!$I$2:$I$2459,$Z494)</f>
        <v>117.6</v>
      </c>
      <c r="Q494" s="64" t="n">
        <f aca="false">INDEX(Datos_Origen!$J$2:$J$2459,$Z494)</f>
        <v>63.6</v>
      </c>
      <c r="R494" s="65" t="n">
        <f aca="false">ROUND($O494*$P494,2)</f>
        <v>1881.6</v>
      </c>
      <c r="S494" s="65" t="n">
        <f aca="false">ROUND($O494*$Q494,2)</f>
        <v>1017.6</v>
      </c>
      <c r="T494" s="65" t="n">
        <f aca="false">ROUND($R494*SUMIFS(Parametros!$E$28:$E$43,Parametros!$B$28:$B$43,$J494,Parametros!$C$28:$C$43,$C494,Parametros!$D$28:$D$43,$D494),2)</f>
        <v>22.58</v>
      </c>
      <c r="U494" s="65" t="n">
        <f aca="false">$R494-$S494-$T494</f>
        <v>841.42</v>
      </c>
      <c r="V494" s="66" t="n">
        <f aca="false">IFERROR($U494/$R494,0)</f>
        <v>0.44718324829932</v>
      </c>
      <c r="W494" s="67" t="str">
        <f aca="false">IF(AND($V494&gt;=Parametros!$C$8,$R494&gt;=Parametros!$C$12),"Alta rentabilidad",IF(OR($V494&lt;Parametros!$C$11,$R494&lt;Parametros!$C$13),"Revisar","Estandar"))</f>
        <v>Estandar</v>
      </c>
      <c r="X494" s="67" t="str">
        <f aca="false">IF(AND($J494="E-commerce",IFERROR($T494/$R494,0)&gt;Parametros!$C$14),"Alerta","OK")</f>
        <v>OK</v>
      </c>
      <c r="Y494" s="61" t="str">
        <f aca="false">IF($R494&gt;=Parametros!$C$12,"Alto",IF($R494&lt;Parametros!$C$13,"Bajo","Medio"))</f>
        <v>Medio</v>
      </c>
      <c r="Z494" s="61" t="n">
        <v>906</v>
      </c>
      <c r="AA494" s="61" t="str">
        <f aca="false">IF(MATCH($A494,Datos_Origen!$A$2:$A$2459,0)=$Z494,"OK","REVISAR")</f>
        <v>OK</v>
      </c>
      <c r="AB494" s="62" t="n">
        <f aca="false">INDEX(Datos_Origen!$B$2:$B$2459,$Z494)</f>
        <v>45435</v>
      </c>
      <c r="AC494" s="61" t="n">
        <f aca="false">INDEX(Datos_Origen!$H$2:$H$2459,$Z494)</f>
        <v>16</v>
      </c>
      <c r="AD494" s="61" t="str">
        <f aca="false">INDEX(Datos_Origen!$D$2:$D$2459,$Z494)&amp;""</f>
        <v>Tucuman</v>
      </c>
    </row>
    <row r="495" customFormat="false" ht="15" hidden="false" customHeight="false" outlineLevel="0" collapsed="false">
      <c r="A495" s="61" t="n">
        <f aca="false">INDEX(Datos_Origen!$A$2:$A$2459,$Z495)</f>
        <v>494</v>
      </c>
      <c r="B495" s="62" t="n">
        <f aca="false">IF(ISNUMBER($AB495),$AB495,IF(MID($AB495,5,1)="-",DATE(VALUE(LEFT($AB495,4)),VALUE(MID($AB495,6,2)),VALUE(RIGHT($AB495,2))),DATE(VALUE(RIGHT($AB495,4)),VALUE(MID($AB495,4,2)),VALUE(LEFT($AB495,2)))))</f>
        <v>45415</v>
      </c>
      <c r="C495" s="61" t="n">
        <f aca="false">YEAR($B495)</f>
        <v>2024</v>
      </c>
      <c r="D495" s="61" t="str">
        <f aca="false">"Q"&amp;ROUNDUP(MONTH($B495)/3,0)</f>
        <v>Q2</v>
      </c>
      <c r="E495" s="61" t="n">
        <f aca="false">MONTH($B495)</f>
        <v>5</v>
      </c>
      <c r="F495" s="61" t="str">
        <f aca="false">INDEX(Parametros!$I$5:$I$16,$E495)</f>
        <v>May</v>
      </c>
      <c r="G495" s="61" t="str">
        <f aca="false">TEXT($C495,"0000")&amp;"-"&amp;TEXT($E495,"00")</f>
        <v>2024-05</v>
      </c>
      <c r="H495" s="61" t="str">
        <f aca="false">INDEX(Parametros!$C$71:$C$91,MATCH(TRIM(INDEX(Datos_Origen!$C$2:$C$2459,$Z495)),Parametros!$B$71:$B$91,0))</f>
        <v>NOA</v>
      </c>
      <c r="I495" s="61" t="str">
        <f aca="false">IF(TRIM($AD495)="",INDEX(Parametros!$I$20:$I$24,MATCH($H495,Parametros!$H$20:$H$24,0)),TRIM($AD495))</f>
        <v>Tucuman</v>
      </c>
      <c r="J495" s="61" t="str">
        <f aca="false">INDEX(Parametros!$C$95:$C$106,MATCH(TRIM(INDEX(Datos_Origen!$E$2:$E$2459,$Z495)),Parametros!$B$95:$B$106,0))</f>
        <v>E-commerce</v>
      </c>
      <c r="K495" s="61" t="str">
        <f aca="false">INDEX(Parametros!$C$48:$C$67,MATCH(TRIM(INDEX(Datos_Origen!$F$2:$F$2459,$Z495)),Parametros!$B$48:$B$67,0))</f>
        <v>Audio</v>
      </c>
      <c r="L495" s="61" t="str">
        <f aca="false">$K495&amp;" "&amp;$C495</f>
        <v>Audio 2024</v>
      </c>
      <c r="M495" s="61" t="str">
        <f aca="false">TRIM(INDEX(Datos_Origen!$G$2:$G$2459,$Z495))</f>
        <v>Auriculares BT Pro</v>
      </c>
      <c r="N495" s="61" t="str">
        <f aca="false">$M495&amp;" "&amp;$C495</f>
        <v>Auriculares BT Pro 2024</v>
      </c>
      <c r="O495" s="63" t="n">
        <f aca="false">IF(ISTEXT($AC495),VALUE($AC495),$AC495)</f>
        <v>6</v>
      </c>
      <c r="P495" s="64" t="n">
        <f aca="false">INDEX(Datos_Origen!$I$2:$I$2459,$Z495)</f>
        <v>117.6</v>
      </c>
      <c r="Q495" s="64" t="n">
        <f aca="false">INDEX(Datos_Origen!$J$2:$J$2459,$Z495)</f>
        <v>63.6</v>
      </c>
      <c r="R495" s="65" t="n">
        <f aca="false">ROUND($O495*$P495,2)</f>
        <v>705.6</v>
      </c>
      <c r="S495" s="65" t="n">
        <f aca="false">ROUND($O495*$Q495,2)</f>
        <v>381.6</v>
      </c>
      <c r="T495" s="65" t="n">
        <f aca="false">ROUND($R495*SUMIFS(Parametros!$E$28:$E$43,Parametros!$B$28:$B$43,$J495,Parametros!$C$28:$C$43,$C495,Parametros!$D$28:$D$43,$D495),2)</f>
        <v>31.05</v>
      </c>
      <c r="U495" s="65" t="n">
        <f aca="false">$R495-$S495-$T495</f>
        <v>292.95</v>
      </c>
      <c r="V495" s="66" t="n">
        <f aca="false">IFERROR($U495/$R495,0)</f>
        <v>0.415178571428571</v>
      </c>
      <c r="W495" s="67" t="str">
        <f aca="false">IF(AND($V495&gt;=Parametros!$C$8,$R495&gt;=Parametros!$C$12),"Alta rentabilidad",IF(OR($V495&lt;Parametros!$C$11,$R495&lt;Parametros!$C$13),"Revisar","Estandar"))</f>
        <v>Estandar</v>
      </c>
      <c r="X495" s="67" t="str">
        <f aca="false">IF(AND($J495="E-commerce",IFERROR($T495/$R495,0)&gt;Parametros!$C$14),"Alerta","OK")</f>
        <v>OK</v>
      </c>
      <c r="Y495" s="61" t="str">
        <f aca="false">IF($R495&gt;=Parametros!$C$12,"Alto",IF($R495&lt;Parametros!$C$13,"Bajo","Medio"))</f>
        <v>Medio</v>
      </c>
      <c r="Z495" s="61" t="n">
        <v>348</v>
      </c>
      <c r="AA495" s="61" t="str">
        <f aca="false">IF(MATCH($A495,Datos_Origen!$A$2:$A$2459,0)=$Z495,"OK","REVISAR")</f>
        <v>OK</v>
      </c>
      <c r="AB495" s="62" t="n">
        <f aca="false">INDEX(Datos_Origen!$B$2:$B$2459,$Z495)</f>
        <v>45415</v>
      </c>
      <c r="AC495" s="61" t="n">
        <f aca="false">INDEX(Datos_Origen!$H$2:$H$2459,$Z495)</f>
        <v>6</v>
      </c>
      <c r="AD495" s="61" t="str">
        <f aca="false">INDEX(Datos_Origen!$D$2:$D$2459,$Z495)&amp;""</f>
        <v>Tucuman</v>
      </c>
    </row>
    <row r="496" customFormat="false" ht="15" hidden="false" customHeight="false" outlineLevel="0" collapsed="false">
      <c r="A496" s="61" t="n">
        <f aca="false">INDEX(Datos_Origen!$A$2:$A$2459,$Z496)</f>
        <v>495</v>
      </c>
      <c r="B496" s="62" t="n">
        <f aca="false">IF(ISNUMBER($AB496),$AB496,IF(MID($AB496,5,1)="-",DATE(VALUE(LEFT($AB496,4)),VALUE(MID($AB496,6,2)),VALUE(RIGHT($AB496,2))),DATE(VALUE(RIGHT($AB496,4)),VALUE(MID($AB496,4,2)),VALUE(LEFT($AB496,2)))))</f>
        <v>45422</v>
      </c>
      <c r="C496" s="61" t="n">
        <f aca="false">YEAR($B496)</f>
        <v>2024</v>
      </c>
      <c r="D496" s="61" t="str">
        <f aca="false">"Q"&amp;ROUNDUP(MONTH($B496)/3,0)</f>
        <v>Q2</v>
      </c>
      <c r="E496" s="61" t="n">
        <f aca="false">MONTH($B496)</f>
        <v>5</v>
      </c>
      <c r="F496" s="61" t="str">
        <f aca="false">INDEX(Parametros!$I$5:$I$16,$E496)</f>
        <v>May</v>
      </c>
      <c r="G496" s="61" t="str">
        <f aca="false">TEXT($C496,"0000")&amp;"-"&amp;TEXT($E496,"00")</f>
        <v>2024-05</v>
      </c>
      <c r="H496" s="61" t="str">
        <f aca="false">INDEX(Parametros!$C$71:$C$91,MATCH(TRIM(INDEX(Datos_Origen!$C$2:$C$2459,$Z496)),Parametros!$B$71:$B$91,0))</f>
        <v>NOA</v>
      </c>
      <c r="I496" s="61" t="str">
        <f aca="false">IF(TRIM($AD496)="",INDEX(Parametros!$I$20:$I$24,MATCH($H496,Parametros!$H$20:$H$24,0)),TRIM($AD496))</f>
        <v>Tucuman</v>
      </c>
      <c r="J496" s="61" t="str">
        <f aca="false">INDEX(Parametros!$C$95:$C$106,MATCH(TRIM(INDEX(Datos_Origen!$E$2:$E$2459,$Z496)),Parametros!$B$95:$B$106,0))</f>
        <v>Tienda fisica</v>
      </c>
      <c r="K496" s="61" t="str">
        <f aca="false">INDEX(Parametros!$C$48:$C$67,MATCH(TRIM(INDEX(Datos_Origen!$F$2:$F$2459,$Z496)),Parametros!$B$48:$B$67,0))</f>
        <v>Audio</v>
      </c>
      <c r="L496" s="61" t="str">
        <f aca="false">$K496&amp;" "&amp;$C496</f>
        <v>Audio 2024</v>
      </c>
      <c r="M496" s="61" t="str">
        <f aca="false">TRIM(INDEX(Datos_Origen!$G$2:$G$2459,$Z496))</f>
        <v>Parlante Bluetooth</v>
      </c>
      <c r="N496" s="61" t="str">
        <f aca="false">$M496&amp;" "&amp;$C496</f>
        <v>Parlante Bluetooth 2024</v>
      </c>
      <c r="O496" s="63" t="n">
        <f aca="false">IF(ISTEXT($AC496),VALUE($AC496),$AC496)</f>
        <v>12</v>
      </c>
      <c r="P496" s="64" t="n">
        <f aca="false">INDEX(Datos_Origen!$I$2:$I$2459,$Z496)</f>
        <v>83.3</v>
      </c>
      <c r="Q496" s="64" t="n">
        <f aca="false">INDEX(Datos_Origen!$J$2:$J$2459,$Z496)</f>
        <v>48.03</v>
      </c>
      <c r="R496" s="65" t="n">
        <f aca="false">ROUND($O496*$P496,2)</f>
        <v>999.6</v>
      </c>
      <c r="S496" s="65" t="n">
        <f aca="false">ROUND($O496*$Q496,2)</f>
        <v>576.36</v>
      </c>
      <c r="T496" s="65" t="n">
        <f aca="false">ROUND($R496*SUMIFS(Parametros!$E$28:$E$43,Parametros!$B$28:$B$43,$J496,Parametros!$C$28:$C$43,$C496,Parametros!$D$28:$D$43,$D496),2)</f>
        <v>12</v>
      </c>
      <c r="U496" s="65" t="n">
        <f aca="false">$R496-$S496-$T496</f>
        <v>411.24</v>
      </c>
      <c r="V496" s="66" t="n">
        <f aca="false">IFERROR($U496/$R496,0)</f>
        <v>0.41140456182473</v>
      </c>
      <c r="W496" s="67" t="str">
        <f aca="false">IF(AND($V496&gt;=Parametros!$C$8,$R496&gt;=Parametros!$C$12),"Alta rentabilidad",IF(OR($V496&lt;Parametros!$C$11,$R496&lt;Parametros!$C$13),"Revisar","Estandar"))</f>
        <v>Estandar</v>
      </c>
      <c r="X496" s="67" t="str">
        <f aca="false">IF(AND($J496="E-commerce",IFERROR($T496/$R496,0)&gt;Parametros!$C$14),"Alerta","OK")</f>
        <v>OK</v>
      </c>
      <c r="Y496" s="61" t="str">
        <f aca="false">IF($R496&gt;=Parametros!$C$12,"Alto",IF($R496&lt;Parametros!$C$13,"Bajo","Medio"))</f>
        <v>Medio</v>
      </c>
      <c r="Z496" s="61" t="n">
        <v>51</v>
      </c>
      <c r="AA496" s="61" t="str">
        <f aca="false">IF(MATCH($A496,Datos_Origen!$A$2:$A$2459,0)=$Z496,"OK","REVISAR")</f>
        <v>OK</v>
      </c>
      <c r="AB496" s="61" t="str">
        <f aca="false">INDEX(Datos_Origen!$B$2:$B$2459,$Z496)</f>
        <v>10/05/2024</v>
      </c>
      <c r="AC496" s="61" t="n">
        <f aca="false">INDEX(Datos_Origen!$H$2:$H$2459,$Z496)</f>
        <v>12</v>
      </c>
      <c r="AD496" s="61" t="str">
        <f aca="false">INDEX(Datos_Origen!$D$2:$D$2459,$Z496)&amp;""</f>
        <v>Tucuman</v>
      </c>
    </row>
    <row r="497" customFormat="false" ht="15" hidden="false" customHeight="false" outlineLevel="0" collapsed="false">
      <c r="A497" s="61" t="n">
        <f aca="false">INDEX(Datos_Origen!$A$2:$A$2459,$Z497)</f>
        <v>496</v>
      </c>
      <c r="B497" s="62" t="n">
        <f aca="false">IF(ISNUMBER($AB497),$AB497,IF(MID($AB497,5,1)="-",DATE(VALUE(LEFT($AB497,4)),VALUE(MID($AB497,6,2)),VALUE(RIGHT($AB497,2))),DATE(VALUE(RIGHT($AB497,4)),VALUE(MID($AB497,4,2)),VALUE(LEFT($AB497,2)))))</f>
        <v>45429</v>
      </c>
      <c r="C497" s="61" t="n">
        <f aca="false">YEAR($B497)</f>
        <v>2024</v>
      </c>
      <c r="D497" s="61" t="str">
        <f aca="false">"Q"&amp;ROUNDUP(MONTH($B497)/3,0)</f>
        <v>Q2</v>
      </c>
      <c r="E497" s="61" t="n">
        <f aca="false">MONTH($B497)</f>
        <v>5</v>
      </c>
      <c r="F497" s="61" t="str">
        <f aca="false">INDEX(Parametros!$I$5:$I$16,$E497)</f>
        <v>May</v>
      </c>
      <c r="G497" s="61" t="str">
        <f aca="false">TEXT($C497,"0000")&amp;"-"&amp;TEXT($E497,"00")</f>
        <v>2024-05</v>
      </c>
      <c r="H497" s="61" t="str">
        <f aca="false">INDEX(Parametros!$C$71:$C$91,MATCH(TRIM(INDEX(Datos_Origen!$C$2:$C$2459,$Z497)),Parametros!$B$71:$B$91,0))</f>
        <v>NOA</v>
      </c>
      <c r="I497" s="61" t="str">
        <f aca="false">IF(TRIM($AD497)="",INDEX(Parametros!$I$20:$I$24,MATCH($H497,Parametros!$H$20:$H$24,0)),TRIM($AD497))</f>
        <v>Tucuman</v>
      </c>
      <c r="J497" s="61" t="str">
        <f aca="false">INDEX(Parametros!$C$95:$C$106,MATCH(TRIM(INDEX(Datos_Origen!$E$2:$E$2459,$Z497)),Parametros!$B$95:$B$106,0))</f>
        <v>E-commerce</v>
      </c>
      <c r="K497" s="61" t="str">
        <f aca="false">INDEX(Parametros!$C$48:$C$67,MATCH(TRIM(INDEX(Datos_Origen!$F$2:$F$2459,$Z497)),Parametros!$B$48:$B$67,0))</f>
        <v>Audio</v>
      </c>
      <c r="L497" s="61" t="str">
        <f aca="false">$K497&amp;" "&amp;$C497</f>
        <v>Audio 2024</v>
      </c>
      <c r="M497" s="61" t="str">
        <f aca="false">TRIM(INDEX(Datos_Origen!$G$2:$G$2459,$Z497))</f>
        <v>Parlante Bluetooth</v>
      </c>
      <c r="N497" s="61" t="str">
        <f aca="false">$M497&amp;" "&amp;$C497</f>
        <v>Parlante Bluetooth 2024</v>
      </c>
      <c r="O497" s="63" t="n">
        <f aca="false">IF(ISTEXT($AC497),VALUE($AC497),$AC497)</f>
        <v>6</v>
      </c>
      <c r="P497" s="64" t="n">
        <f aca="false">INDEX(Datos_Origen!$I$2:$I$2459,$Z497)</f>
        <v>83.3</v>
      </c>
      <c r="Q497" s="64" t="n">
        <f aca="false">INDEX(Datos_Origen!$J$2:$J$2459,$Z497)</f>
        <v>48.03</v>
      </c>
      <c r="R497" s="65" t="n">
        <f aca="false">ROUND($O497*$P497,2)</f>
        <v>499.8</v>
      </c>
      <c r="S497" s="65" t="n">
        <f aca="false">ROUND($O497*$Q497,2)</f>
        <v>288.18</v>
      </c>
      <c r="T497" s="65" t="n">
        <f aca="false">ROUND($R497*SUMIFS(Parametros!$E$28:$E$43,Parametros!$B$28:$B$43,$J497,Parametros!$C$28:$C$43,$C497,Parametros!$D$28:$D$43,$D497),2)</f>
        <v>21.99</v>
      </c>
      <c r="U497" s="65" t="n">
        <f aca="false">$R497-$S497-$T497</f>
        <v>189.63</v>
      </c>
      <c r="V497" s="66" t="n">
        <f aca="false">IFERROR($U497/$R497,0)</f>
        <v>0.379411764705882</v>
      </c>
      <c r="W497" s="67" t="str">
        <f aca="false">IF(AND($V497&gt;=Parametros!$C$8,$R497&gt;=Parametros!$C$12),"Alta rentabilidad",IF(OR($V497&lt;Parametros!$C$11,$R497&lt;Parametros!$C$13),"Revisar","Estandar"))</f>
        <v>Estandar</v>
      </c>
      <c r="X497" s="67" t="str">
        <f aca="false">IF(AND($J497="E-commerce",IFERROR($T497/$R497,0)&gt;Parametros!$C$14),"Alerta","OK")</f>
        <v>OK</v>
      </c>
      <c r="Y497" s="61" t="str">
        <f aca="false">IF($R497&gt;=Parametros!$C$12,"Alto",IF($R497&lt;Parametros!$C$13,"Bajo","Medio"))</f>
        <v>Medio</v>
      </c>
      <c r="Z497" s="61" t="n">
        <v>977</v>
      </c>
      <c r="AA497" s="61" t="str">
        <f aca="false">IF(MATCH($A497,Datos_Origen!$A$2:$A$2459,0)=$Z497,"OK","REVISAR")</f>
        <v>OK</v>
      </c>
      <c r="AB497" s="62" t="n">
        <f aca="false">INDEX(Datos_Origen!$B$2:$B$2459,$Z497)</f>
        <v>45429</v>
      </c>
      <c r="AC497" s="61" t="n">
        <f aca="false">INDEX(Datos_Origen!$H$2:$H$2459,$Z497)</f>
        <v>6</v>
      </c>
      <c r="AD497" s="61" t="str">
        <f aca="false">INDEX(Datos_Origen!$D$2:$D$2459,$Z497)&amp;""</f>
        <v>Tucuman</v>
      </c>
    </row>
    <row r="498" customFormat="false" ht="15" hidden="false" customHeight="false" outlineLevel="0" collapsed="false">
      <c r="A498" s="61" t="n">
        <f aca="false">INDEX(Datos_Origen!$A$2:$A$2459,$Z498)</f>
        <v>497</v>
      </c>
      <c r="B498" s="62" t="n">
        <f aca="false">IF(ISNUMBER($AB498),$AB498,IF(MID($AB498,5,1)="-",DATE(VALUE(LEFT($AB498,4)),VALUE(MID($AB498,6,2)),VALUE(RIGHT($AB498,2))),DATE(VALUE(RIGHT($AB498,4)),VALUE(MID($AB498,4,2)),VALUE(LEFT($AB498,2)))))</f>
        <v>45436</v>
      </c>
      <c r="C498" s="61" t="n">
        <f aca="false">YEAR($B498)</f>
        <v>2024</v>
      </c>
      <c r="D498" s="61" t="str">
        <f aca="false">"Q"&amp;ROUNDUP(MONTH($B498)/3,0)</f>
        <v>Q2</v>
      </c>
      <c r="E498" s="61" t="n">
        <f aca="false">MONTH($B498)</f>
        <v>5</v>
      </c>
      <c r="F498" s="61" t="str">
        <f aca="false">INDEX(Parametros!$I$5:$I$16,$E498)</f>
        <v>May</v>
      </c>
      <c r="G498" s="61" t="str">
        <f aca="false">TEXT($C498,"0000")&amp;"-"&amp;TEXT($E498,"00")</f>
        <v>2024-05</v>
      </c>
      <c r="H498" s="61" t="str">
        <f aca="false">INDEX(Parametros!$C$71:$C$91,MATCH(TRIM(INDEX(Datos_Origen!$C$2:$C$2459,$Z498)),Parametros!$B$71:$B$91,0))</f>
        <v>NOA</v>
      </c>
      <c r="I498" s="61" t="str">
        <f aca="false">IF(TRIM($AD498)="",INDEX(Parametros!$I$20:$I$24,MATCH($H498,Parametros!$H$20:$H$24,0)),TRIM($AD498))</f>
        <v>Tucuman</v>
      </c>
      <c r="J498" s="61" t="str">
        <f aca="false">INDEX(Parametros!$C$95:$C$106,MATCH(TRIM(INDEX(Datos_Origen!$E$2:$E$2459,$Z498)),Parametros!$B$95:$B$106,0))</f>
        <v>Tienda fisica</v>
      </c>
      <c r="K498" s="61" t="str">
        <f aca="false">INDEX(Parametros!$C$48:$C$67,MATCH(TRIM(INDEX(Datos_Origen!$F$2:$F$2459,$Z498)),Parametros!$B$48:$B$67,0))</f>
        <v>Almacenamiento</v>
      </c>
      <c r="L498" s="61" t="str">
        <f aca="false">$K498&amp;" "&amp;$C498</f>
        <v>Almacenamiento 2024</v>
      </c>
      <c r="M498" s="61" t="str">
        <f aca="false">TRIM(INDEX(Datos_Origen!$G$2:$G$2459,$Z498))</f>
        <v>SSD Externo 1TB</v>
      </c>
      <c r="N498" s="61" t="str">
        <f aca="false">$M498&amp;" "&amp;$C498</f>
        <v>SSD Externo 1TB 2024</v>
      </c>
      <c r="O498" s="63" t="n">
        <f aca="false">IF(ISTEXT($AC498),VALUE($AC498),$AC498)</f>
        <v>18</v>
      </c>
      <c r="P498" s="64" t="n">
        <f aca="false">INDEX(Datos_Origen!$I$2:$I$2459,$Z498)</f>
        <v>127.4</v>
      </c>
      <c r="Q498" s="64" t="n">
        <f aca="false">INDEX(Datos_Origen!$J$2:$J$2459,$Z498)</f>
        <v>76.05</v>
      </c>
      <c r="R498" s="65" t="n">
        <f aca="false">ROUND($O498*$P498,2)</f>
        <v>2293.2</v>
      </c>
      <c r="S498" s="65" t="n">
        <f aca="false">ROUND($O498*$Q498,2)</f>
        <v>1368.9</v>
      </c>
      <c r="T498" s="65" t="n">
        <f aca="false">ROUND($R498*SUMIFS(Parametros!$E$28:$E$43,Parametros!$B$28:$B$43,$J498,Parametros!$C$28:$C$43,$C498,Parametros!$D$28:$D$43,$D498),2)</f>
        <v>27.52</v>
      </c>
      <c r="U498" s="65" t="n">
        <f aca="false">$R498-$S498-$T498</f>
        <v>896.78</v>
      </c>
      <c r="V498" s="66" t="n">
        <f aca="false">IFERROR($U498/$R498,0)</f>
        <v>0.391060526774812</v>
      </c>
      <c r="W498" s="67" t="str">
        <f aca="false">IF(AND($V498&gt;=Parametros!$C$8,$R498&gt;=Parametros!$C$12),"Alta rentabilidad",IF(OR($V498&lt;Parametros!$C$11,$R498&lt;Parametros!$C$13),"Revisar","Estandar"))</f>
        <v>Estandar</v>
      </c>
      <c r="X498" s="67" t="str">
        <f aca="false">IF(AND($J498="E-commerce",IFERROR($T498/$R498,0)&gt;Parametros!$C$14),"Alerta","OK")</f>
        <v>OK</v>
      </c>
      <c r="Y498" s="61" t="str">
        <f aca="false">IF($R498&gt;=Parametros!$C$12,"Alto",IF($R498&lt;Parametros!$C$13,"Bajo","Medio"))</f>
        <v>Medio</v>
      </c>
      <c r="Z498" s="61" t="n">
        <v>2104</v>
      </c>
      <c r="AA498" s="61" t="str">
        <f aca="false">IF(MATCH($A498,Datos_Origen!$A$2:$A$2459,0)=$Z498,"OK","REVISAR")</f>
        <v>OK</v>
      </c>
      <c r="AB498" s="62" t="n">
        <f aca="false">INDEX(Datos_Origen!$B$2:$B$2459,$Z498)</f>
        <v>45436</v>
      </c>
      <c r="AC498" s="61" t="n">
        <f aca="false">INDEX(Datos_Origen!$H$2:$H$2459,$Z498)</f>
        <v>18</v>
      </c>
      <c r="AD498" s="61" t="str">
        <f aca="false">INDEX(Datos_Origen!$D$2:$D$2459,$Z498)&amp;""</f>
        <v>Tucuman</v>
      </c>
    </row>
    <row r="499" customFormat="false" ht="15" hidden="false" customHeight="false" outlineLevel="0" collapsed="false">
      <c r="A499" s="61" t="n">
        <f aca="false">INDEX(Datos_Origen!$A$2:$A$2459,$Z499)</f>
        <v>498</v>
      </c>
      <c r="B499" s="62" t="n">
        <f aca="false">IF(ISNUMBER($AB499),$AB499,IF(MID($AB499,5,1)="-",DATE(VALUE(LEFT($AB499,4)),VALUE(MID($AB499,6,2)),VALUE(RIGHT($AB499,2))),DATE(VALUE(RIGHT($AB499,4)),VALUE(MID($AB499,4,2)),VALUE(LEFT($AB499,2)))))</f>
        <v>45416</v>
      </c>
      <c r="C499" s="61" t="n">
        <f aca="false">YEAR($B499)</f>
        <v>2024</v>
      </c>
      <c r="D499" s="61" t="str">
        <f aca="false">"Q"&amp;ROUNDUP(MONTH($B499)/3,0)</f>
        <v>Q2</v>
      </c>
      <c r="E499" s="61" t="n">
        <f aca="false">MONTH($B499)</f>
        <v>5</v>
      </c>
      <c r="F499" s="61" t="str">
        <f aca="false">INDEX(Parametros!$I$5:$I$16,$E499)</f>
        <v>May</v>
      </c>
      <c r="G499" s="61" t="str">
        <f aca="false">TEXT($C499,"0000")&amp;"-"&amp;TEXT($E499,"00")</f>
        <v>2024-05</v>
      </c>
      <c r="H499" s="61" t="str">
        <f aca="false">INDEX(Parametros!$C$71:$C$91,MATCH(TRIM(INDEX(Datos_Origen!$C$2:$C$2459,$Z499)),Parametros!$B$71:$B$91,0))</f>
        <v>NOA</v>
      </c>
      <c r="I499" s="61" t="str">
        <f aca="false">IF(TRIM($AD499)="",INDEX(Parametros!$I$20:$I$24,MATCH($H499,Parametros!$H$20:$H$24,0)),TRIM($AD499))</f>
        <v>Tucuman</v>
      </c>
      <c r="J499" s="61" t="str">
        <f aca="false">INDEX(Parametros!$C$95:$C$106,MATCH(TRIM(INDEX(Datos_Origen!$E$2:$E$2459,$Z499)),Parametros!$B$95:$B$106,0))</f>
        <v>E-commerce</v>
      </c>
      <c r="K499" s="61" t="str">
        <f aca="false">INDEX(Parametros!$C$48:$C$67,MATCH(TRIM(INDEX(Datos_Origen!$F$2:$F$2459,$Z499)),Parametros!$B$48:$B$67,0))</f>
        <v>Almacenamiento</v>
      </c>
      <c r="L499" s="61" t="str">
        <f aca="false">$K499&amp;" "&amp;$C499</f>
        <v>Almacenamiento 2024</v>
      </c>
      <c r="M499" s="61" t="str">
        <f aca="false">TRIM(INDEX(Datos_Origen!$G$2:$G$2459,$Z499))</f>
        <v>SSD Externo 1TB</v>
      </c>
      <c r="N499" s="61" t="str">
        <f aca="false">$M499&amp;" "&amp;$C499</f>
        <v>SSD Externo 1TB 2024</v>
      </c>
      <c r="O499" s="63" t="n">
        <f aca="false">IF(ISTEXT($AC499),VALUE($AC499),$AC499)</f>
        <v>7</v>
      </c>
      <c r="P499" s="64" t="n">
        <f aca="false">INDEX(Datos_Origen!$I$2:$I$2459,$Z499)</f>
        <v>127.4</v>
      </c>
      <c r="Q499" s="64" t="n">
        <f aca="false">INDEX(Datos_Origen!$J$2:$J$2459,$Z499)</f>
        <v>76.05</v>
      </c>
      <c r="R499" s="65" t="n">
        <f aca="false">ROUND($O499*$P499,2)</f>
        <v>891.8</v>
      </c>
      <c r="S499" s="65" t="n">
        <f aca="false">ROUND($O499*$Q499,2)</f>
        <v>532.35</v>
      </c>
      <c r="T499" s="65" t="n">
        <f aca="false">ROUND($R499*SUMIFS(Parametros!$E$28:$E$43,Parametros!$B$28:$B$43,$J499,Parametros!$C$28:$C$43,$C499,Parametros!$D$28:$D$43,$D499),2)</f>
        <v>39.24</v>
      </c>
      <c r="U499" s="65" t="n">
        <f aca="false">$R499-$S499-$T499</f>
        <v>320.21</v>
      </c>
      <c r="V499" s="66" t="n">
        <f aca="false">IFERROR($U499/$R499,0)</f>
        <v>0.359060327427674</v>
      </c>
      <c r="W499" s="67" t="str">
        <f aca="false">IF(AND($V499&gt;=Parametros!$C$8,$R499&gt;=Parametros!$C$12),"Alta rentabilidad",IF(OR($V499&lt;Parametros!$C$11,$R499&lt;Parametros!$C$13),"Revisar","Estandar"))</f>
        <v>Estandar</v>
      </c>
      <c r="X499" s="67" t="str">
        <f aca="false">IF(AND($J499="E-commerce",IFERROR($T499/$R499,0)&gt;Parametros!$C$14),"Alerta","OK")</f>
        <v>OK</v>
      </c>
      <c r="Y499" s="61" t="str">
        <f aca="false">IF($R499&gt;=Parametros!$C$12,"Alto",IF($R499&lt;Parametros!$C$13,"Bajo","Medio"))</f>
        <v>Medio</v>
      </c>
      <c r="Z499" s="61" t="n">
        <v>325</v>
      </c>
      <c r="AA499" s="61" t="str">
        <f aca="false">IF(MATCH($A499,Datos_Origen!$A$2:$A$2459,0)=$Z499,"OK","REVISAR")</f>
        <v>OK</v>
      </c>
      <c r="AB499" s="61" t="str">
        <f aca="false">INDEX(Datos_Origen!$B$2:$B$2459,$Z499)</f>
        <v>04/05/2024</v>
      </c>
      <c r="AC499" s="61" t="n">
        <f aca="false">INDEX(Datos_Origen!$H$2:$H$2459,$Z499)</f>
        <v>7</v>
      </c>
      <c r="AD499" s="61" t="str">
        <f aca="false">INDEX(Datos_Origen!$D$2:$D$2459,$Z499)&amp;""</f>
        <v>Tucuman</v>
      </c>
    </row>
    <row r="500" customFormat="false" ht="15" hidden="false" customHeight="false" outlineLevel="0" collapsed="false">
      <c r="A500" s="61" t="n">
        <f aca="false">INDEX(Datos_Origen!$A$2:$A$2459,$Z500)</f>
        <v>499</v>
      </c>
      <c r="B500" s="62" t="n">
        <f aca="false">IF(ISNUMBER($AB500),$AB500,IF(MID($AB500,5,1)="-",DATE(VALUE(LEFT($AB500,4)),VALUE(MID($AB500,6,2)),VALUE(RIGHT($AB500,2))),DATE(VALUE(RIGHT($AB500,4)),VALUE(MID($AB500,4,2)),VALUE(LEFT($AB500,2)))))</f>
        <v>45423</v>
      </c>
      <c r="C500" s="61" t="n">
        <f aca="false">YEAR($B500)</f>
        <v>2024</v>
      </c>
      <c r="D500" s="61" t="str">
        <f aca="false">"Q"&amp;ROUNDUP(MONTH($B500)/3,0)</f>
        <v>Q2</v>
      </c>
      <c r="E500" s="61" t="n">
        <f aca="false">MONTH($B500)</f>
        <v>5</v>
      </c>
      <c r="F500" s="61" t="str">
        <f aca="false">INDEX(Parametros!$I$5:$I$16,$E500)</f>
        <v>May</v>
      </c>
      <c r="G500" s="61" t="str">
        <f aca="false">TEXT($C500,"0000")&amp;"-"&amp;TEXT($E500,"00")</f>
        <v>2024-05</v>
      </c>
      <c r="H500" s="61" t="str">
        <f aca="false">INDEX(Parametros!$C$71:$C$91,MATCH(TRIM(INDEX(Datos_Origen!$C$2:$C$2459,$Z500)),Parametros!$B$71:$B$91,0))</f>
        <v>NOA</v>
      </c>
      <c r="I500" s="61" t="str">
        <f aca="false">IF(TRIM($AD500)="",INDEX(Parametros!$I$20:$I$24,MATCH($H500,Parametros!$H$20:$H$24,0)),TRIM($AD500))</f>
        <v>Tucuman</v>
      </c>
      <c r="J500" s="61" t="str">
        <f aca="false">INDEX(Parametros!$C$95:$C$106,MATCH(TRIM(INDEX(Datos_Origen!$E$2:$E$2459,$Z500)),Parametros!$B$95:$B$106,0))</f>
        <v>Tienda fisica</v>
      </c>
      <c r="K500" s="61" t="str">
        <f aca="false">INDEX(Parametros!$C$48:$C$67,MATCH(TRIM(INDEX(Datos_Origen!$F$2:$F$2459,$Z500)),Parametros!$B$48:$B$67,0))</f>
        <v>Almacenamiento</v>
      </c>
      <c r="L500" s="61" t="str">
        <f aca="false">$K500&amp;" "&amp;$C500</f>
        <v>Almacenamiento 2024</v>
      </c>
      <c r="M500" s="61" t="str">
        <f aca="false">TRIM(INDEX(Datos_Origen!$G$2:$G$2459,$Z500))</f>
        <v>Pendrive 256GB</v>
      </c>
      <c r="N500" s="61" t="str">
        <f aca="false">$M500&amp;" "&amp;$C500</f>
        <v>Pendrive 256GB 2024</v>
      </c>
      <c r="O500" s="63" t="n">
        <f aca="false">IF(ISTEXT($AC500),VALUE($AC500),$AC500)</f>
        <v>16</v>
      </c>
      <c r="P500" s="64" t="n">
        <f aca="false">INDEX(Datos_Origen!$I$2:$I$2459,$Z500)</f>
        <v>34.3</v>
      </c>
      <c r="Q500" s="64" t="n">
        <f aca="false">INDEX(Datos_Origen!$J$2:$J$2459,$Z500)</f>
        <v>17.85</v>
      </c>
      <c r="R500" s="65" t="n">
        <f aca="false">ROUND($O500*$P500,2)</f>
        <v>548.8</v>
      </c>
      <c r="S500" s="65" t="n">
        <f aca="false">ROUND($O500*$Q500,2)</f>
        <v>285.6</v>
      </c>
      <c r="T500" s="65" t="n">
        <f aca="false">ROUND($R500*SUMIFS(Parametros!$E$28:$E$43,Parametros!$B$28:$B$43,$J500,Parametros!$C$28:$C$43,$C500,Parametros!$D$28:$D$43,$D500),2)</f>
        <v>6.59</v>
      </c>
      <c r="U500" s="65" t="n">
        <f aca="false">$R500-$S500-$T500</f>
        <v>256.61</v>
      </c>
      <c r="V500" s="66" t="n">
        <f aca="false">IFERROR($U500/$R500,0)</f>
        <v>0.467583819241982</v>
      </c>
      <c r="W500" s="67" t="str">
        <f aca="false">IF(AND($V500&gt;=Parametros!$C$8,$R500&gt;=Parametros!$C$12),"Alta rentabilidad",IF(OR($V500&lt;Parametros!$C$11,$R500&lt;Parametros!$C$13),"Revisar","Estandar"))</f>
        <v>Estandar</v>
      </c>
      <c r="X500" s="67" t="str">
        <f aca="false">IF(AND($J500="E-commerce",IFERROR($T500/$R500,0)&gt;Parametros!$C$14),"Alerta","OK")</f>
        <v>OK</v>
      </c>
      <c r="Y500" s="61" t="str">
        <f aca="false">IF($R500&gt;=Parametros!$C$12,"Alto",IF($R500&lt;Parametros!$C$13,"Bajo","Medio"))</f>
        <v>Medio</v>
      </c>
      <c r="Z500" s="61" t="n">
        <v>1395</v>
      </c>
      <c r="AA500" s="61" t="str">
        <f aca="false">IF(MATCH($A500,Datos_Origen!$A$2:$A$2459,0)=$Z500,"OK","REVISAR")</f>
        <v>OK</v>
      </c>
      <c r="AB500" s="61" t="str">
        <f aca="false">INDEX(Datos_Origen!$B$2:$B$2459,$Z500)</f>
        <v>11/05/2024</v>
      </c>
      <c r="AC500" s="61" t="n">
        <f aca="false">INDEX(Datos_Origen!$H$2:$H$2459,$Z500)</f>
        <v>16</v>
      </c>
      <c r="AD500" s="61" t="str">
        <f aca="false">INDEX(Datos_Origen!$D$2:$D$2459,$Z500)&amp;""</f>
        <v>Tucuman</v>
      </c>
    </row>
    <row r="501" customFormat="false" ht="15" hidden="false" customHeight="false" outlineLevel="0" collapsed="false">
      <c r="A501" s="61" t="n">
        <f aca="false">INDEX(Datos_Origen!$A$2:$A$2459,$Z501)</f>
        <v>500</v>
      </c>
      <c r="B501" s="62" t="n">
        <f aca="false">IF(ISNUMBER($AB501),$AB501,IF(MID($AB501,5,1)="-",DATE(VALUE(LEFT($AB501,4)),VALUE(MID($AB501,6,2)),VALUE(RIGHT($AB501,2))),DATE(VALUE(RIGHT($AB501,4)),VALUE(MID($AB501,4,2)),VALUE(LEFT($AB501,2)))))</f>
        <v>45430</v>
      </c>
      <c r="C501" s="61" t="n">
        <f aca="false">YEAR($B501)</f>
        <v>2024</v>
      </c>
      <c r="D501" s="61" t="str">
        <f aca="false">"Q"&amp;ROUNDUP(MONTH($B501)/3,0)</f>
        <v>Q2</v>
      </c>
      <c r="E501" s="61" t="n">
        <f aca="false">MONTH($B501)</f>
        <v>5</v>
      </c>
      <c r="F501" s="61" t="str">
        <f aca="false">INDEX(Parametros!$I$5:$I$16,$E501)</f>
        <v>May</v>
      </c>
      <c r="G501" s="61" t="str">
        <f aca="false">TEXT($C501,"0000")&amp;"-"&amp;TEXT($E501,"00")</f>
        <v>2024-05</v>
      </c>
      <c r="H501" s="61" t="str">
        <f aca="false">INDEX(Parametros!$C$71:$C$91,MATCH(TRIM(INDEX(Datos_Origen!$C$2:$C$2459,$Z501)),Parametros!$B$71:$B$91,0))</f>
        <v>NOA</v>
      </c>
      <c r="I501" s="61" t="str">
        <f aca="false">IF(TRIM($AD501)="",INDEX(Parametros!$I$20:$I$24,MATCH($H501,Parametros!$H$20:$H$24,0)),TRIM($AD501))</f>
        <v>Tucuman</v>
      </c>
      <c r="J501" s="61" t="str">
        <f aca="false">INDEX(Parametros!$C$95:$C$106,MATCH(TRIM(INDEX(Datos_Origen!$E$2:$E$2459,$Z501)),Parametros!$B$95:$B$106,0))</f>
        <v>E-commerce</v>
      </c>
      <c r="K501" s="61" t="str">
        <f aca="false">INDEX(Parametros!$C$48:$C$67,MATCH(TRIM(INDEX(Datos_Origen!$F$2:$F$2459,$Z501)),Parametros!$B$48:$B$67,0))</f>
        <v>Almacenamiento</v>
      </c>
      <c r="L501" s="61" t="str">
        <f aca="false">$K501&amp;" "&amp;$C501</f>
        <v>Almacenamiento 2024</v>
      </c>
      <c r="M501" s="61" t="str">
        <f aca="false">TRIM(INDEX(Datos_Origen!$G$2:$G$2459,$Z501))</f>
        <v>Pendrive 256GB</v>
      </c>
      <c r="N501" s="61" t="str">
        <f aca="false">$M501&amp;" "&amp;$C501</f>
        <v>Pendrive 256GB 2024</v>
      </c>
      <c r="O501" s="63" t="n">
        <f aca="false">IF(ISTEXT($AC501),VALUE($AC501),$AC501)</f>
        <v>6</v>
      </c>
      <c r="P501" s="64" t="n">
        <f aca="false">INDEX(Datos_Origen!$I$2:$I$2459,$Z501)</f>
        <v>34.3</v>
      </c>
      <c r="Q501" s="64" t="n">
        <f aca="false">INDEX(Datos_Origen!$J$2:$J$2459,$Z501)</f>
        <v>17.85</v>
      </c>
      <c r="R501" s="65" t="n">
        <f aca="false">ROUND($O501*$P501,2)</f>
        <v>205.8</v>
      </c>
      <c r="S501" s="65" t="n">
        <f aca="false">ROUND($O501*$Q501,2)</f>
        <v>107.1</v>
      </c>
      <c r="T501" s="65" t="n">
        <f aca="false">ROUND($R501*SUMIFS(Parametros!$E$28:$E$43,Parametros!$B$28:$B$43,$J501,Parametros!$C$28:$C$43,$C501,Parametros!$D$28:$D$43,$D501),2)</f>
        <v>9.06</v>
      </c>
      <c r="U501" s="65" t="n">
        <f aca="false">$R501-$S501-$T501</f>
        <v>89.64</v>
      </c>
      <c r="V501" s="66" t="n">
        <f aca="false">IFERROR($U501/$R501,0)</f>
        <v>0.435568513119534</v>
      </c>
      <c r="W501" s="67" t="str">
        <f aca="false">IF(AND($V501&gt;=Parametros!$C$8,$R501&gt;=Parametros!$C$12),"Alta rentabilidad",IF(OR($V501&lt;Parametros!$C$11,$R501&lt;Parametros!$C$13),"Revisar","Estandar"))</f>
        <v>Revisar</v>
      </c>
      <c r="X501" s="67" t="str">
        <f aca="false">IF(AND($J501="E-commerce",IFERROR($T501/$R501,0)&gt;Parametros!$C$14),"Alerta","OK")</f>
        <v>OK</v>
      </c>
      <c r="Y501" s="61" t="str">
        <f aca="false">IF($R501&gt;=Parametros!$C$12,"Alto",IF($R501&lt;Parametros!$C$13,"Bajo","Medio"))</f>
        <v>Bajo</v>
      </c>
      <c r="Z501" s="61" t="n">
        <v>2131</v>
      </c>
      <c r="AA501" s="61" t="str">
        <f aca="false">IF(MATCH($A501,Datos_Origen!$A$2:$A$2459,0)=$Z501,"OK","REVISAR")</f>
        <v>OK</v>
      </c>
      <c r="AB501" s="62" t="n">
        <f aca="false">INDEX(Datos_Origen!$B$2:$B$2459,$Z501)</f>
        <v>45430</v>
      </c>
      <c r="AC501" s="61" t="n">
        <f aca="false">INDEX(Datos_Origen!$H$2:$H$2459,$Z501)</f>
        <v>6</v>
      </c>
      <c r="AD501" s="61" t="str">
        <f aca="false">INDEX(Datos_Origen!$D$2:$D$2459,$Z501)&amp;""</f>
        <v>Tucuman</v>
      </c>
    </row>
    <row r="502" customFormat="false" ht="15" hidden="false" customHeight="false" outlineLevel="0" collapsed="false">
      <c r="A502" s="61" t="n">
        <f aca="false">INDEX(Datos_Origen!$A$2:$A$2459,$Z502)</f>
        <v>501</v>
      </c>
      <c r="B502" s="62" t="n">
        <f aca="false">IF(ISNUMBER($AB502),$AB502,IF(MID($AB502,5,1)="-",DATE(VALUE(LEFT($AB502,4)),VALUE(MID($AB502,6,2)),VALUE(RIGHT($AB502,2))),DATE(VALUE(RIGHT($AB502,4)),VALUE(MID($AB502,4,2)),VALUE(LEFT($AB502,2)))))</f>
        <v>45468</v>
      </c>
      <c r="C502" s="61" t="n">
        <f aca="false">YEAR($B502)</f>
        <v>2024</v>
      </c>
      <c r="D502" s="61" t="str">
        <f aca="false">"Q"&amp;ROUNDUP(MONTH($B502)/3,0)</f>
        <v>Q2</v>
      </c>
      <c r="E502" s="61" t="n">
        <f aca="false">MONTH($B502)</f>
        <v>6</v>
      </c>
      <c r="F502" s="61" t="str">
        <f aca="false">INDEX(Parametros!$I$5:$I$16,$E502)</f>
        <v>Jun</v>
      </c>
      <c r="G502" s="61" t="str">
        <f aca="false">TEXT($C502,"0000")&amp;"-"&amp;TEXT($E502,"00")</f>
        <v>2024-06</v>
      </c>
      <c r="H502" s="61" t="str">
        <f aca="false">INDEX(Parametros!$C$71:$C$91,MATCH(TRIM(INDEX(Datos_Origen!$C$2:$C$2459,$Z502)),Parametros!$B$71:$B$91,0))</f>
        <v>AMBA</v>
      </c>
      <c r="I502" s="61" t="str">
        <f aca="false">IF(TRIM($AD502)="",INDEX(Parametros!$I$20:$I$24,MATCH($H502,Parametros!$H$20:$H$24,0)),TRIM($AD502))</f>
        <v>Buenos Aires</v>
      </c>
      <c r="J502" s="61" t="str">
        <f aca="false">INDEX(Parametros!$C$95:$C$106,MATCH(TRIM(INDEX(Datos_Origen!$E$2:$E$2459,$Z502)),Parametros!$B$95:$B$106,0))</f>
        <v>Tienda fisica</v>
      </c>
      <c r="K502" s="61" t="str">
        <f aca="false">INDEX(Parametros!$C$48:$C$67,MATCH(TRIM(INDEX(Datos_Origen!$F$2:$F$2459,$Z502)),Parametros!$B$48:$B$67,0))</f>
        <v>Computacion</v>
      </c>
      <c r="L502" s="61" t="str">
        <f aca="false">$K502&amp;" "&amp;$C502</f>
        <v>Computacion 2024</v>
      </c>
      <c r="M502" s="61" t="str">
        <f aca="false">TRIM(INDEX(Datos_Origen!$G$2:$G$2459,$Z502))</f>
        <v>Laptop Pro 15</v>
      </c>
      <c r="N502" s="61" t="str">
        <f aca="false">$M502&amp;" "&amp;$C502</f>
        <v>Laptop Pro 15 2024</v>
      </c>
      <c r="O502" s="63" t="n">
        <f aca="false">IF(ISTEXT($AC502),VALUE($AC502),$AC502)</f>
        <v>19</v>
      </c>
      <c r="P502" s="64" t="n">
        <f aca="false">INDEX(Datos_Origen!$I$2:$I$2459,$Z502)</f>
        <v>1176</v>
      </c>
      <c r="Q502" s="64" t="n">
        <f aca="false">INDEX(Datos_Origen!$J$2:$J$2459,$Z502)</f>
        <v>744</v>
      </c>
      <c r="R502" s="65" t="n">
        <f aca="false">ROUND($O502*$P502,2)</f>
        <v>22344</v>
      </c>
      <c r="S502" s="65" t="n">
        <f aca="false">ROUND($O502*$Q502,2)</f>
        <v>14136</v>
      </c>
      <c r="T502" s="65" t="n">
        <f aca="false">ROUND($R502*SUMIFS(Parametros!$E$28:$E$43,Parametros!$B$28:$B$43,$J502,Parametros!$C$28:$C$43,$C502,Parametros!$D$28:$D$43,$D502),2)</f>
        <v>268.13</v>
      </c>
      <c r="U502" s="65" t="n">
        <f aca="false">$R502-$S502-$T502</f>
        <v>7939.87</v>
      </c>
      <c r="V502" s="66" t="n">
        <f aca="false">IFERROR($U502/$R502,0)</f>
        <v>0.355346849266022</v>
      </c>
      <c r="W502" s="67" t="str">
        <f aca="false">IF(AND($V502&gt;=Parametros!$C$8,$R502&gt;=Parametros!$C$12),"Alta rentabilidad",IF(OR($V502&lt;Parametros!$C$11,$R502&lt;Parametros!$C$13),"Revisar","Estandar"))</f>
        <v>Alta rentabilidad</v>
      </c>
      <c r="X502" s="67" t="str">
        <f aca="false">IF(AND($J502="E-commerce",IFERROR($T502/$R502,0)&gt;Parametros!$C$14),"Alerta","OK")</f>
        <v>OK</v>
      </c>
      <c r="Y502" s="61" t="str">
        <f aca="false">IF($R502&gt;=Parametros!$C$12,"Alto",IF($R502&lt;Parametros!$C$13,"Bajo","Medio"))</f>
        <v>Alto</v>
      </c>
      <c r="Z502" s="61" t="n">
        <v>1845</v>
      </c>
      <c r="AA502" s="61" t="str">
        <f aca="false">IF(MATCH($A502,Datos_Origen!$A$2:$A$2459,0)=$Z502,"OK","REVISAR")</f>
        <v>OK</v>
      </c>
      <c r="AB502" s="61" t="str">
        <f aca="false">INDEX(Datos_Origen!$B$2:$B$2459,$Z502)</f>
        <v>25/06/2024</v>
      </c>
      <c r="AC502" s="61" t="n">
        <f aca="false">INDEX(Datos_Origen!$H$2:$H$2459,$Z502)</f>
        <v>19</v>
      </c>
      <c r="AD502" s="61" t="str">
        <f aca="false">INDEX(Datos_Origen!$D$2:$D$2459,$Z502)&amp;""</f>
        <v/>
      </c>
    </row>
    <row r="503" customFormat="false" ht="15" hidden="false" customHeight="false" outlineLevel="0" collapsed="false">
      <c r="A503" s="61" t="n">
        <f aca="false">INDEX(Datos_Origen!$A$2:$A$2459,$Z503)</f>
        <v>502</v>
      </c>
      <c r="B503" s="62" t="n">
        <f aca="false">IF(ISNUMBER($AB503),$AB503,IF(MID($AB503,5,1)="-",DATE(VALUE(LEFT($AB503,4)),VALUE(MID($AB503,6,2)),VALUE(RIGHT($AB503,2))),DATE(VALUE(RIGHT($AB503,4)),VALUE(MID($AB503,4,2)),VALUE(LEFT($AB503,2)))))</f>
        <v>45448</v>
      </c>
      <c r="C503" s="61" t="n">
        <f aca="false">YEAR($B503)</f>
        <v>2024</v>
      </c>
      <c r="D503" s="61" t="str">
        <f aca="false">"Q"&amp;ROUNDUP(MONTH($B503)/3,0)</f>
        <v>Q2</v>
      </c>
      <c r="E503" s="61" t="n">
        <f aca="false">MONTH($B503)</f>
        <v>6</v>
      </c>
      <c r="F503" s="61" t="str">
        <f aca="false">INDEX(Parametros!$I$5:$I$16,$E503)</f>
        <v>Jun</v>
      </c>
      <c r="G503" s="61" t="str">
        <f aca="false">TEXT($C503,"0000")&amp;"-"&amp;TEXT($E503,"00")</f>
        <v>2024-06</v>
      </c>
      <c r="H503" s="61" t="str">
        <f aca="false">INDEX(Parametros!$C$71:$C$91,MATCH(TRIM(INDEX(Datos_Origen!$C$2:$C$2459,$Z503)),Parametros!$B$71:$B$91,0))</f>
        <v>AMBA</v>
      </c>
      <c r="I503" s="61" t="str">
        <f aca="false">IF(TRIM($AD503)="",INDEX(Parametros!$I$20:$I$24,MATCH($H503,Parametros!$H$20:$H$24,0)),TRIM($AD503))</f>
        <v>Buenos Aires</v>
      </c>
      <c r="J503" s="61" t="str">
        <f aca="false">INDEX(Parametros!$C$95:$C$106,MATCH(TRIM(INDEX(Datos_Origen!$E$2:$E$2459,$Z503)),Parametros!$B$95:$B$106,0))</f>
        <v>E-commerce</v>
      </c>
      <c r="K503" s="61" t="str">
        <f aca="false">INDEX(Parametros!$C$48:$C$67,MATCH(TRIM(INDEX(Datos_Origen!$F$2:$F$2459,$Z503)),Parametros!$B$48:$B$67,0))</f>
        <v>Computacion</v>
      </c>
      <c r="L503" s="61" t="str">
        <f aca="false">$K503&amp;" "&amp;$C503</f>
        <v>Computacion 2024</v>
      </c>
      <c r="M503" s="61" t="str">
        <f aca="false">TRIM(INDEX(Datos_Origen!$G$2:$G$2459,$Z503))</f>
        <v>Laptop Pro 15</v>
      </c>
      <c r="N503" s="61" t="str">
        <f aca="false">$M503&amp;" "&amp;$C503</f>
        <v>Laptop Pro 15 2024</v>
      </c>
      <c r="O503" s="63" t="n">
        <f aca="false">IF(ISTEXT($AC503),VALUE($AC503),$AC503)</f>
        <v>7</v>
      </c>
      <c r="P503" s="64" t="n">
        <f aca="false">INDEX(Datos_Origen!$I$2:$I$2459,$Z503)</f>
        <v>1176</v>
      </c>
      <c r="Q503" s="64" t="n">
        <f aca="false">INDEX(Datos_Origen!$J$2:$J$2459,$Z503)</f>
        <v>744</v>
      </c>
      <c r="R503" s="65" t="n">
        <f aca="false">ROUND($O503*$P503,2)</f>
        <v>8232</v>
      </c>
      <c r="S503" s="65" t="n">
        <f aca="false">ROUND($O503*$Q503,2)</f>
        <v>5208</v>
      </c>
      <c r="T503" s="65" t="n">
        <f aca="false">ROUND($R503*SUMIFS(Parametros!$E$28:$E$43,Parametros!$B$28:$B$43,$J503,Parametros!$C$28:$C$43,$C503,Parametros!$D$28:$D$43,$D503),2)</f>
        <v>362.21</v>
      </c>
      <c r="U503" s="65" t="n">
        <f aca="false">$R503-$S503-$T503</f>
        <v>2661.79</v>
      </c>
      <c r="V503" s="66" t="n">
        <f aca="false">IFERROR($U503/$R503,0)</f>
        <v>0.323346695821186</v>
      </c>
      <c r="W503" s="67" t="str">
        <f aca="false">IF(AND($V503&gt;=Parametros!$C$8,$R503&gt;=Parametros!$C$12),"Alta rentabilidad",IF(OR($V503&lt;Parametros!$C$11,$R503&lt;Parametros!$C$13),"Revisar","Estandar"))</f>
        <v>Estandar</v>
      </c>
      <c r="X503" s="67" t="str">
        <f aca="false">IF(AND($J503="E-commerce",IFERROR($T503/$R503,0)&gt;Parametros!$C$14),"Alerta","OK")</f>
        <v>OK</v>
      </c>
      <c r="Y503" s="61" t="str">
        <f aca="false">IF($R503&gt;=Parametros!$C$12,"Alto",IF($R503&lt;Parametros!$C$13,"Bajo","Medio"))</f>
        <v>Alto</v>
      </c>
      <c r="Z503" s="61" t="n">
        <v>481</v>
      </c>
      <c r="AA503" s="61" t="str">
        <f aca="false">IF(MATCH($A503,Datos_Origen!$A$2:$A$2459,0)=$Z503,"OK","REVISAR")</f>
        <v>OK</v>
      </c>
      <c r="AB503" s="62" t="n">
        <f aca="false">INDEX(Datos_Origen!$B$2:$B$2459,$Z503)</f>
        <v>45448</v>
      </c>
      <c r="AC503" s="61" t="n">
        <f aca="false">INDEX(Datos_Origen!$H$2:$H$2459,$Z503)</f>
        <v>7</v>
      </c>
      <c r="AD503" s="61" t="str">
        <f aca="false">INDEX(Datos_Origen!$D$2:$D$2459,$Z503)&amp;""</f>
        <v>Buenos Aires</v>
      </c>
    </row>
    <row r="504" customFormat="false" ht="15" hidden="false" customHeight="false" outlineLevel="0" collapsed="false">
      <c r="A504" s="61" t="n">
        <f aca="false">INDEX(Datos_Origen!$A$2:$A$2459,$Z504)</f>
        <v>503</v>
      </c>
      <c r="B504" s="62" t="n">
        <f aca="false">IF(ISNUMBER($AB504),$AB504,IF(MID($AB504,5,1)="-",DATE(VALUE(LEFT($AB504,4)),VALUE(MID($AB504,6,2)),VALUE(RIGHT($AB504,2))),DATE(VALUE(RIGHT($AB504,4)),VALUE(MID($AB504,4,2)),VALUE(LEFT($AB504,2)))))</f>
        <v>45455</v>
      </c>
      <c r="C504" s="61" t="n">
        <f aca="false">YEAR($B504)</f>
        <v>2024</v>
      </c>
      <c r="D504" s="61" t="str">
        <f aca="false">"Q"&amp;ROUNDUP(MONTH($B504)/3,0)</f>
        <v>Q2</v>
      </c>
      <c r="E504" s="61" t="n">
        <f aca="false">MONTH($B504)</f>
        <v>6</v>
      </c>
      <c r="F504" s="61" t="str">
        <f aca="false">INDEX(Parametros!$I$5:$I$16,$E504)</f>
        <v>Jun</v>
      </c>
      <c r="G504" s="61" t="str">
        <f aca="false">TEXT($C504,"0000")&amp;"-"&amp;TEXT($E504,"00")</f>
        <v>2024-06</v>
      </c>
      <c r="H504" s="61" t="str">
        <f aca="false">INDEX(Parametros!$C$71:$C$91,MATCH(TRIM(INDEX(Datos_Origen!$C$2:$C$2459,$Z504)),Parametros!$B$71:$B$91,0))</f>
        <v>AMBA</v>
      </c>
      <c r="I504" s="61" t="str">
        <f aca="false">IF(TRIM($AD504)="",INDEX(Parametros!$I$20:$I$24,MATCH($H504,Parametros!$H$20:$H$24,0)),TRIM($AD504))</f>
        <v>Buenos Aires</v>
      </c>
      <c r="J504" s="61" t="str">
        <f aca="false">INDEX(Parametros!$C$95:$C$106,MATCH(TRIM(INDEX(Datos_Origen!$E$2:$E$2459,$Z504)),Parametros!$B$95:$B$106,0))</f>
        <v>Tienda fisica</v>
      </c>
      <c r="K504" s="61" t="str">
        <f aca="false">INDEX(Parametros!$C$48:$C$67,MATCH(TRIM(INDEX(Datos_Origen!$F$2:$F$2459,$Z504)),Parametros!$B$48:$B$67,0))</f>
        <v>Computacion</v>
      </c>
      <c r="L504" s="61" t="str">
        <f aca="false">$K504&amp;" "&amp;$C504</f>
        <v>Computacion 2024</v>
      </c>
      <c r="M504" s="61" t="str">
        <f aca="false">TRIM(INDEX(Datos_Origen!$G$2:$G$2459,$Z504))</f>
        <v>Monitor 4K 27</v>
      </c>
      <c r="N504" s="61" t="str">
        <f aca="false">$M504&amp;" "&amp;$C504</f>
        <v>Monitor 4K 27 2024</v>
      </c>
      <c r="O504" s="63" t="n">
        <f aca="false">IF(ISTEXT($AC504),VALUE($AC504),$AC504)</f>
        <v>24</v>
      </c>
      <c r="P504" s="64" t="n">
        <f aca="false">INDEX(Datos_Origen!$I$2:$I$2459,$Z504)</f>
        <v>441</v>
      </c>
      <c r="Q504" s="64" t="n">
        <f aca="false">INDEX(Datos_Origen!$J$2:$J$2459,$Z504)</f>
        <v>272.25</v>
      </c>
      <c r="R504" s="65" t="n">
        <f aca="false">ROUND($O504*$P504,2)</f>
        <v>10584</v>
      </c>
      <c r="S504" s="65" t="n">
        <f aca="false">ROUND($O504*$Q504,2)</f>
        <v>6534</v>
      </c>
      <c r="T504" s="65" t="n">
        <f aca="false">ROUND($R504*SUMIFS(Parametros!$E$28:$E$43,Parametros!$B$28:$B$43,$J504,Parametros!$C$28:$C$43,$C504,Parametros!$D$28:$D$43,$D504),2)</f>
        <v>127.01</v>
      </c>
      <c r="U504" s="65" t="n">
        <f aca="false">$R504-$S504-$T504</f>
        <v>3922.99</v>
      </c>
      <c r="V504" s="66" t="n">
        <f aca="false">IFERROR($U504/$R504,0)</f>
        <v>0.370652872260015</v>
      </c>
      <c r="W504" s="67" t="str">
        <f aca="false">IF(AND($V504&gt;=Parametros!$C$8,$R504&gt;=Parametros!$C$12),"Alta rentabilidad",IF(OR($V504&lt;Parametros!$C$11,$R504&lt;Parametros!$C$13),"Revisar","Estandar"))</f>
        <v>Alta rentabilidad</v>
      </c>
      <c r="X504" s="67" t="str">
        <f aca="false">IF(AND($J504="E-commerce",IFERROR($T504/$R504,0)&gt;Parametros!$C$14),"Alerta","OK")</f>
        <v>OK</v>
      </c>
      <c r="Y504" s="61" t="str">
        <f aca="false">IF($R504&gt;=Parametros!$C$12,"Alto",IF($R504&lt;Parametros!$C$13,"Bajo","Medio"))</f>
        <v>Alto</v>
      </c>
      <c r="Z504" s="61" t="n">
        <v>998</v>
      </c>
      <c r="AA504" s="61" t="str">
        <f aca="false">IF(MATCH($A504,Datos_Origen!$A$2:$A$2459,0)=$Z504,"OK","REVISAR")</f>
        <v>OK</v>
      </c>
      <c r="AB504" s="62" t="n">
        <f aca="false">INDEX(Datos_Origen!$B$2:$B$2459,$Z504)</f>
        <v>45455</v>
      </c>
      <c r="AC504" s="61" t="n">
        <f aca="false">INDEX(Datos_Origen!$H$2:$H$2459,$Z504)</f>
        <v>24</v>
      </c>
      <c r="AD504" s="61" t="str">
        <f aca="false">INDEX(Datos_Origen!$D$2:$D$2459,$Z504)&amp;""</f>
        <v>Buenos Aires</v>
      </c>
    </row>
    <row r="505" customFormat="false" ht="15" hidden="false" customHeight="false" outlineLevel="0" collapsed="false">
      <c r="A505" s="61" t="n">
        <f aca="false">INDEX(Datos_Origen!$A$2:$A$2459,$Z505)</f>
        <v>504</v>
      </c>
      <c r="B505" s="62" t="n">
        <f aca="false">IF(ISNUMBER($AB505),$AB505,IF(MID($AB505,5,1)="-",DATE(VALUE(LEFT($AB505,4)),VALUE(MID($AB505,6,2)),VALUE(RIGHT($AB505,2))),DATE(VALUE(RIGHT($AB505,4)),VALUE(MID($AB505,4,2)),VALUE(LEFT($AB505,2)))))</f>
        <v>45462</v>
      </c>
      <c r="C505" s="61" t="n">
        <f aca="false">YEAR($B505)</f>
        <v>2024</v>
      </c>
      <c r="D505" s="61" t="str">
        <f aca="false">"Q"&amp;ROUNDUP(MONTH($B505)/3,0)</f>
        <v>Q2</v>
      </c>
      <c r="E505" s="61" t="n">
        <f aca="false">MONTH($B505)</f>
        <v>6</v>
      </c>
      <c r="F505" s="61" t="str">
        <f aca="false">INDEX(Parametros!$I$5:$I$16,$E505)</f>
        <v>Jun</v>
      </c>
      <c r="G505" s="61" t="str">
        <f aca="false">TEXT($C505,"0000")&amp;"-"&amp;TEXT($E505,"00")</f>
        <v>2024-06</v>
      </c>
      <c r="H505" s="61" t="str">
        <f aca="false">INDEX(Parametros!$C$71:$C$91,MATCH(TRIM(INDEX(Datos_Origen!$C$2:$C$2459,$Z505)),Parametros!$B$71:$B$91,0))</f>
        <v>AMBA</v>
      </c>
      <c r="I505" s="61" t="str">
        <f aca="false">IF(TRIM($AD505)="",INDEX(Parametros!$I$20:$I$24,MATCH($H505,Parametros!$H$20:$H$24,0)),TRIM($AD505))</f>
        <v>Buenos Aires</v>
      </c>
      <c r="J505" s="61" t="str">
        <f aca="false">INDEX(Parametros!$C$95:$C$106,MATCH(TRIM(INDEX(Datos_Origen!$E$2:$E$2459,$Z505)),Parametros!$B$95:$B$106,0))</f>
        <v>E-commerce</v>
      </c>
      <c r="K505" s="61" t="str">
        <f aca="false">INDEX(Parametros!$C$48:$C$67,MATCH(TRIM(INDEX(Datos_Origen!$F$2:$F$2459,$Z505)),Parametros!$B$48:$B$67,0))</f>
        <v>Computacion</v>
      </c>
      <c r="L505" s="61" t="str">
        <f aca="false">$K505&amp;" "&amp;$C505</f>
        <v>Computacion 2024</v>
      </c>
      <c r="M505" s="61" t="str">
        <f aca="false">TRIM(INDEX(Datos_Origen!$G$2:$G$2459,$Z505))</f>
        <v>Monitor 4K 27</v>
      </c>
      <c r="N505" s="61" t="str">
        <f aca="false">$M505&amp;" "&amp;$C505</f>
        <v>Monitor 4K 27 2024</v>
      </c>
      <c r="O505" s="63" t="n">
        <f aca="false">IF(ISTEXT($AC505),VALUE($AC505),$AC505)</f>
        <v>10</v>
      </c>
      <c r="P505" s="64" t="n">
        <f aca="false">INDEX(Datos_Origen!$I$2:$I$2459,$Z505)</f>
        <v>441</v>
      </c>
      <c r="Q505" s="64" t="n">
        <f aca="false">INDEX(Datos_Origen!$J$2:$J$2459,$Z505)</f>
        <v>272.25</v>
      </c>
      <c r="R505" s="65" t="n">
        <f aca="false">ROUND($O505*$P505,2)</f>
        <v>4410</v>
      </c>
      <c r="S505" s="65" t="n">
        <f aca="false">ROUND($O505*$Q505,2)</f>
        <v>2722.5</v>
      </c>
      <c r="T505" s="65" t="n">
        <f aca="false">ROUND($R505*SUMIFS(Parametros!$E$28:$E$43,Parametros!$B$28:$B$43,$J505,Parametros!$C$28:$C$43,$C505,Parametros!$D$28:$D$43,$D505),2)</f>
        <v>194.04</v>
      </c>
      <c r="U505" s="65" t="n">
        <f aca="false">$R505-$S505-$T505</f>
        <v>1493.46</v>
      </c>
      <c r="V505" s="66" t="n">
        <f aca="false">IFERROR($U505/$R505,0)</f>
        <v>0.33865306122449</v>
      </c>
      <c r="W505" s="67" t="str">
        <f aca="false">IF(AND($V505&gt;=Parametros!$C$8,$R505&gt;=Parametros!$C$12),"Alta rentabilidad",IF(OR($V505&lt;Parametros!$C$11,$R505&lt;Parametros!$C$13),"Revisar","Estandar"))</f>
        <v>Estandar</v>
      </c>
      <c r="X505" s="67" t="str">
        <f aca="false">IF(AND($J505="E-commerce",IFERROR($T505/$R505,0)&gt;Parametros!$C$14),"Alerta","OK")</f>
        <v>OK</v>
      </c>
      <c r="Y505" s="61" t="str">
        <f aca="false">IF($R505&gt;=Parametros!$C$12,"Alto",IF($R505&lt;Parametros!$C$13,"Bajo","Medio"))</f>
        <v>Alto</v>
      </c>
      <c r="Z505" s="61" t="n">
        <v>71</v>
      </c>
      <c r="AA505" s="61" t="str">
        <f aca="false">IF(MATCH($A505,Datos_Origen!$A$2:$A$2459,0)=$Z505,"OK","REVISAR")</f>
        <v>OK</v>
      </c>
      <c r="AB505" s="62" t="n">
        <f aca="false">INDEX(Datos_Origen!$B$2:$B$2459,$Z505)</f>
        <v>45462</v>
      </c>
      <c r="AC505" s="61" t="n">
        <f aca="false">INDEX(Datos_Origen!$H$2:$H$2459,$Z505)</f>
        <v>10</v>
      </c>
      <c r="AD505" s="61" t="str">
        <f aca="false">INDEX(Datos_Origen!$D$2:$D$2459,$Z505)&amp;""</f>
        <v>Buenos Aires</v>
      </c>
    </row>
    <row r="506" customFormat="false" ht="15" hidden="false" customHeight="false" outlineLevel="0" collapsed="false">
      <c r="A506" s="61" t="n">
        <f aca="false">INDEX(Datos_Origen!$A$2:$A$2459,$Z506)</f>
        <v>505</v>
      </c>
      <c r="B506" s="62" t="n">
        <f aca="false">IF(ISNUMBER($AB506),$AB506,IF(MID($AB506,5,1)="-",DATE(VALUE(LEFT($AB506,4)),VALUE(MID($AB506,6,2)),VALUE(RIGHT($AB506,2))),DATE(VALUE(RIGHT($AB506,4)),VALUE(MID($AB506,4,2)),VALUE(LEFT($AB506,2)))))</f>
        <v>45469</v>
      </c>
      <c r="C506" s="61" t="n">
        <f aca="false">YEAR($B506)</f>
        <v>2024</v>
      </c>
      <c r="D506" s="61" t="str">
        <f aca="false">"Q"&amp;ROUNDUP(MONTH($B506)/3,0)</f>
        <v>Q2</v>
      </c>
      <c r="E506" s="61" t="n">
        <f aca="false">MONTH($B506)</f>
        <v>6</v>
      </c>
      <c r="F506" s="61" t="str">
        <f aca="false">INDEX(Parametros!$I$5:$I$16,$E506)</f>
        <v>Jun</v>
      </c>
      <c r="G506" s="61" t="str">
        <f aca="false">TEXT($C506,"0000")&amp;"-"&amp;TEXT($E506,"00")</f>
        <v>2024-06</v>
      </c>
      <c r="H506" s="61" t="str">
        <f aca="false">INDEX(Parametros!$C$71:$C$91,MATCH(TRIM(INDEX(Datos_Origen!$C$2:$C$2459,$Z506)),Parametros!$B$71:$B$91,0))</f>
        <v>AMBA</v>
      </c>
      <c r="I506" s="61" t="str">
        <f aca="false">IF(TRIM($AD506)="",INDEX(Parametros!$I$20:$I$24,MATCH($H506,Parametros!$H$20:$H$24,0)),TRIM($AD506))</f>
        <v>Buenos Aires</v>
      </c>
      <c r="J506" s="61" t="str">
        <f aca="false">INDEX(Parametros!$C$95:$C$106,MATCH(TRIM(INDEX(Datos_Origen!$E$2:$E$2459,$Z506)),Parametros!$B$95:$B$106,0))</f>
        <v>Tienda fisica</v>
      </c>
      <c r="K506" s="61" t="str">
        <f aca="false">INDEX(Parametros!$C$48:$C$67,MATCH(TRIM(INDEX(Datos_Origen!$F$2:$F$2459,$Z506)),Parametros!$B$48:$B$67,0))</f>
        <v>Computacion</v>
      </c>
      <c r="L506" s="61" t="str">
        <f aca="false">$K506&amp;" "&amp;$C506</f>
        <v>Computacion 2024</v>
      </c>
      <c r="M506" s="61" t="str">
        <f aca="false">TRIM(INDEX(Datos_Origen!$G$2:$G$2459,$Z506))</f>
        <v>PC Gamer Ryzen</v>
      </c>
      <c r="N506" s="61" t="str">
        <f aca="false">$M506&amp;" "&amp;$C506</f>
        <v>PC Gamer Ryzen 2024</v>
      </c>
      <c r="O506" s="63" t="n">
        <f aca="false">IF(ISTEXT($AC506),VALUE($AC506),$AC506)</f>
        <v>22</v>
      </c>
      <c r="P506" s="64" t="n">
        <f aca="false">INDEX(Datos_Origen!$I$2:$I$2459,$Z506)</f>
        <v>1617</v>
      </c>
      <c r="Q506" s="64" t="n">
        <f aca="false">INDEX(Datos_Origen!$J$2:$J$2459,$Z506)</f>
        <v>1122</v>
      </c>
      <c r="R506" s="65" t="n">
        <f aca="false">ROUND($O506*$P506,2)</f>
        <v>35574</v>
      </c>
      <c r="S506" s="65" t="n">
        <f aca="false">ROUND($O506*$Q506,2)</f>
        <v>24684</v>
      </c>
      <c r="T506" s="65" t="n">
        <f aca="false">ROUND($R506*SUMIFS(Parametros!$E$28:$E$43,Parametros!$B$28:$B$43,$J506,Parametros!$C$28:$C$43,$C506,Parametros!$D$28:$D$43,$D506),2)</f>
        <v>426.89</v>
      </c>
      <c r="U506" s="65" t="n">
        <f aca="false">$R506-$S506-$T506</f>
        <v>10463.11</v>
      </c>
      <c r="V506" s="66" t="n">
        <f aca="false">IFERROR($U506/$R506,0)</f>
        <v>0.294122392758756</v>
      </c>
      <c r="W506" s="67" t="str">
        <f aca="false">IF(AND($V506&gt;=Parametros!$C$8,$R506&gt;=Parametros!$C$12),"Alta rentabilidad",IF(OR($V506&lt;Parametros!$C$11,$R506&lt;Parametros!$C$13),"Revisar","Estandar"))</f>
        <v>Estandar</v>
      </c>
      <c r="X506" s="67" t="str">
        <f aca="false">IF(AND($J506="E-commerce",IFERROR($T506/$R506,0)&gt;Parametros!$C$14),"Alerta","OK")</f>
        <v>OK</v>
      </c>
      <c r="Y506" s="61" t="str">
        <f aca="false">IF($R506&gt;=Parametros!$C$12,"Alto",IF($R506&lt;Parametros!$C$13,"Bajo","Medio"))</f>
        <v>Alto</v>
      </c>
      <c r="Z506" s="61" t="n">
        <v>193</v>
      </c>
      <c r="AA506" s="61" t="str">
        <f aca="false">IF(MATCH($A506,Datos_Origen!$A$2:$A$2459,0)=$Z506,"OK","REVISAR")</f>
        <v>OK</v>
      </c>
      <c r="AB506" s="61" t="str">
        <f aca="false">INDEX(Datos_Origen!$B$2:$B$2459,$Z506)</f>
        <v>26/06/2024</v>
      </c>
      <c r="AC506" s="61" t="n">
        <f aca="false">INDEX(Datos_Origen!$H$2:$H$2459,$Z506)</f>
        <v>22</v>
      </c>
      <c r="AD506" s="61" t="str">
        <f aca="false">INDEX(Datos_Origen!$D$2:$D$2459,$Z506)&amp;""</f>
        <v>Buenos Aires</v>
      </c>
    </row>
    <row r="507" customFormat="false" ht="15" hidden="false" customHeight="false" outlineLevel="0" collapsed="false">
      <c r="A507" s="61" t="n">
        <f aca="false">INDEX(Datos_Origen!$A$2:$A$2459,$Z507)</f>
        <v>506</v>
      </c>
      <c r="B507" s="62" t="n">
        <f aca="false">IF(ISNUMBER($AB507),$AB507,IF(MID($AB507,5,1)="-",DATE(VALUE(LEFT($AB507,4)),VALUE(MID($AB507,6,2)),VALUE(RIGHT($AB507,2))),DATE(VALUE(RIGHT($AB507,4)),VALUE(MID($AB507,4,2)),VALUE(LEFT($AB507,2)))))</f>
        <v>45449</v>
      </c>
      <c r="C507" s="61" t="n">
        <f aca="false">YEAR($B507)</f>
        <v>2024</v>
      </c>
      <c r="D507" s="61" t="str">
        <f aca="false">"Q"&amp;ROUNDUP(MONTH($B507)/3,0)</f>
        <v>Q2</v>
      </c>
      <c r="E507" s="61" t="n">
        <f aca="false">MONTH($B507)</f>
        <v>6</v>
      </c>
      <c r="F507" s="61" t="str">
        <f aca="false">INDEX(Parametros!$I$5:$I$16,$E507)</f>
        <v>Jun</v>
      </c>
      <c r="G507" s="61" t="str">
        <f aca="false">TEXT($C507,"0000")&amp;"-"&amp;TEXT($E507,"00")</f>
        <v>2024-06</v>
      </c>
      <c r="H507" s="61" t="str">
        <f aca="false">INDEX(Parametros!$C$71:$C$91,MATCH(TRIM(INDEX(Datos_Origen!$C$2:$C$2459,$Z507)),Parametros!$B$71:$B$91,0))</f>
        <v>AMBA</v>
      </c>
      <c r="I507" s="61" t="str">
        <f aca="false">IF(TRIM($AD507)="",INDEX(Parametros!$I$20:$I$24,MATCH($H507,Parametros!$H$20:$H$24,0)),TRIM($AD507))</f>
        <v>Buenos Aires</v>
      </c>
      <c r="J507" s="61" t="str">
        <f aca="false">INDEX(Parametros!$C$95:$C$106,MATCH(TRIM(INDEX(Datos_Origen!$E$2:$E$2459,$Z507)),Parametros!$B$95:$B$106,0))</f>
        <v>E-commerce</v>
      </c>
      <c r="K507" s="61" t="str">
        <f aca="false">INDEX(Parametros!$C$48:$C$67,MATCH(TRIM(INDEX(Datos_Origen!$F$2:$F$2459,$Z507)),Parametros!$B$48:$B$67,0))</f>
        <v>Computacion</v>
      </c>
      <c r="L507" s="61" t="str">
        <f aca="false">$K507&amp;" "&amp;$C507</f>
        <v>Computacion 2024</v>
      </c>
      <c r="M507" s="61" t="str">
        <f aca="false">TRIM(INDEX(Datos_Origen!$G$2:$G$2459,$Z507))</f>
        <v>PC Gamer Ryzen</v>
      </c>
      <c r="N507" s="61" t="str">
        <f aca="false">$M507&amp;" "&amp;$C507</f>
        <v>PC Gamer Ryzen 2024</v>
      </c>
      <c r="O507" s="63" t="n">
        <f aca="false">IF(ISTEXT($AC507),VALUE($AC507),$AC507)</f>
        <v>9</v>
      </c>
      <c r="P507" s="64" t="n">
        <f aca="false">INDEX(Datos_Origen!$I$2:$I$2459,$Z507)</f>
        <v>1617</v>
      </c>
      <c r="Q507" s="64" t="n">
        <f aca="false">INDEX(Datos_Origen!$J$2:$J$2459,$Z507)</f>
        <v>1122</v>
      </c>
      <c r="R507" s="65" t="n">
        <f aca="false">ROUND($O507*$P507,2)</f>
        <v>14553</v>
      </c>
      <c r="S507" s="65" t="n">
        <f aca="false">ROUND($O507*$Q507,2)</f>
        <v>10098</v>
      </c>
      <c r="T507" s="65" t="n">
        <f aca="false">ROUND($R507*SUMIFS(Parametros!$E$28:$E$43,Parametros!$B$28:$B$43,$J507,Parametros!$C$28:$C$43,$C507,Parametros!$D$28:$D$43,$D507),2)</f>
        <v>640.33</v>
      </c>
      <c r="U507" s="65" t="n">
        <f aca="false">$R507-$S507-$T507</f>
        <v>3814.67</v>
      </c>
      <c r="V507" s="66" t="n">
        <f aca="false">IFERROR($U507/$R507,0)</f>
        <v>0.262122586408301</v>
      </c>
      <c r="W507" s="67" t="str">
        <f aca="false">IF(AND($V507&gt;=Parametros!$C$8,$R507&gt;=Parametros!$C$12),"Alta rentabilidad",IF(OR($V507&lt;Parametros!$C$11,$R507&lt;Parametros!$C$13),"Revisar","Estandar"))</f>
        <v>Revisar</v>
      </c>
      <c r="X507" s="67" t="str">
        <f aca="false">IF(AND($J507="E-commerce",IFERROR($T507/$R507,0)&gt;Parametros!$C$14),"Alerta","OK")</f>
        <v>OK</v>
      </c>
      <c r="Y507" s="61" t="str">
        <f aca="false">IF($R507&gt;=Parametros!$C$12,"Alto",IF($R507&lt;Parametros!$C$13,"Bajo","Medio"))</f>
        <v>Alto</v>
      </c>
      <c r="Z507" s="61" t="n">
        <v>502</v>
      </c>
      <c r="AA507" s="61" t="str">
        <f aca="false">IF(MATCH($A507,Datos_Origen!$A$2:$A$2459,0)=$Z507,"OK","REVISAR")</f>
        <v>OK</v>
      </c>
      <c r="AB507" s="62" t="n">
        <f aca="false">INDEX(Datos_Origen!$B$2:$B$2459,$Z507)</f>
        <v>45449</v>
      </c>
      <c r="AC507" s="61" t="n">
        <f aca="false">INDEX(Datos_Origen!$H$2:$H$2459,$Z507)</f>
        <v>9</v>
      </c>
      <c r="AD507" s="61" t="str">
        <f aca="false">INDEX(Datos_Origen!$D$2:$D$2459,$Z507)&amp;""</f>
        <v>Buenos Aires</v>
      </c>
    </row>
    <row r="508" customFormat="false" ht="15" hidden="false" customHeight="false" outlineLevel="0" collapsed="false">
      <c r="A508" s="61" t="n">
        <f aca="false">INDEX(Datos_Origen!$A$2:$A$2459,$Z508)</f>
        <v>507</v>
      </c>
      <c r="B508" s="62" t="n">
        <f aca="false">IF(ISNUMBER($AB508),$AB508,IF(MID($AB508,5,1)="-",DATE(VALUE(LEFT($AB508,4)),VALUE(MID($AB508,6,2)),VALUE(RIGHT($AB508,2))),DATE(VALUE(RIGHT($AB508,4)),VALUE(MID($AB508,4,2)),VALUE(LEFT($AB508,2)))))</f>
        <v>45456</v>
      </c>
      <c r="C508" s="61" t="n">
        <f aca="false">YEAR($B508)</f>
        <v>2024</v>
      </c>
      <c r="D508" s="61" t="str">
        <f aca="false">"Q"&amp;ROUNDUP(MONTH($B508)/3,0)</f>
        <v>Q2</v>
      </c>
      <c r="E508" s="61" t="n">
        <f aca="false">MONTH($B508)</f>
        <v>6</v>
      </c>
      <c r="F508" s="61" t="str">
        <f aca="false">INDEX(Parametros!$I$5:$I$16,$E508)</f>
        <v>Jun</v>
      </c>
      <c r="G508" s="61" t="str">
        <f aca="false">TEXT($C508,"0000")&amp;"-"&amp;TEXT($E508,"00")</f>
        <v>2024-06</v>
      </c>
      <c r="H508" s="61" t="str">
        <f aca="false">INDEX(Parametros!$C$71:$C$91,MATCH(TRIM(INDEX(Datos_Origen!$C$2:$C$2459,$Z508)),Parametros!$B$71:$B$91,0))</f>
        <v>AMBA</v>
      </c>
      <c r="I508" s="61" t="str">
        <f aca="false">IF(TRIM($AD508)="",INDEX(Parametros!$I$20:$I$24,MATCH($H508,Parametros!$H$20:$H$24,0)),TRIM($AD508))</f>
        <v>Buenos Aires</v>
      </c>
      <c r="J508" s="61" t="str">
        <f aca="false">INDEX(Parametros!$C$95:$C$106,MATCH(TRIM(INDEX(Datos_Origen!$E$2:$E$2459,$Z508)),Parametros!$B$95:$B$106,0))</f>
        <v>Tienda fisica</v>
      </c>
      <c r="K508" s="61" t="str">
        <f aca="false">INDEX(Parametros!$C$48:$C$67,MATCH(TRIM(INDEX(Datos_Origen!$F$2:$F$2459,$Z508)),Parametros!$B$48:$B$67,0))</f>
        <v>Accesorios</v>
      </c>
      <c r="L508" s="61" t="str">
        <f aca="false">$K508&amp;" "&amp;$C508</f>
        <v>Accesorios 2024</v>
      </c>
      <c r="M508" s="61" t="str">
        <f aca="false">TRIM(INDEX(Datos_Origen!$G$2:$G$2459,$Z508))</f>
        <v>Mouse Inalambrico</v>
      </c>
      <c r="N508" s="61" t="str">
        <f aca="false">$M508&amp;" "&amp;$C508</f>
        <v>Mouse Inalambrico 2024</v>
      </c>
      <c r="O508" s="63" t="n">
        <f aca="false">IF(ISTEXT($AC508),VALUE($AC508),$AC508)</f>
        <v>122</v>
      </c>
      <c r="P508" s="64" t="n">
        <f aca="false">INDEX(Datos_Origen!$I$2:$I$2459,$Z508)</f>
        <v>27.44</v>
      </c>
      <c r="Q508" s="64" t="n">
        <f aca="false">INDEX(Datos_Origen!$J$2:$J$2459,$Z508)</f>
        <v>13.44</v>
      </c>
      <c r="R508" s="65" t="n">
        <f aca="false">ROUND($O508*$P508,2)</f>
        <v>3347.68</v>
      </c>
      <c r="S508" s="65" t="n">
        <f aca="false">ROUND($O508*$Q508,2)</f>
        <v>1639.68</v>
      </c>
      <c r="T508" s="65" t="n">
        <f aca="false">ROUND($R508*SUMIFS(Parametros!$E$28:$E$43,Parametros!$B$28:$B$43,$J508,Parametros!$C$28:$C$43,$C508,Parametros!$D$28:$D$43,$D508),2)</f>
        <v>40.17</v>
      </c>
      <c r="U508" s="65" t="n">
        <f aca="false">$R508-$S508-$T508</f>
        <v>1667.83</v>
      </c>
      <c r="V508" s="66" t="n">
        <f aca="false">IFERROR($U508/$R508,0)</f>
        <v>0.498204726855613</v>
      </c>
      <c r="W508" s="67" t="str">
        <f aca="false">IF(AND($V508&gt;=Parametros!$C$8,$R508&gt;=Parametros!$C$12),"Alta rentabilidad",IF(OR($V508&lt;Parametros!$C$11,$R508&lt;Parametros!$C$13),"Revisar","Estandar"))</f>
        <v>Alta rentabilidad</v>
      </c>
      <c r="X508" s="67" t="str">
        <f aca="false">IF(AND($J508="E-commerce",IFERROR($T508/$R508,0)&gt;Parametros!$C$14),"Alerta","OK")</f>
        <v>OK</v>
      </c>
      <c r="Y508" s="61" t="str">
        <f aca="false">IF($R508&gt;=Parametros!$C$12,"Alto",IF($R508&lt;Parametros!$C$13,"Bajo","Medio"))</f>
        <v>Alto</v>
      </c>
      <c r="Z508" s="61" t="n">
        <v>191</v>
      </c>
      <c r="AA508" s="61" t="str">
        <f aca="false">IF(MATCH($A508,Datos_Origen!$A$2:$A$2459,0)=$Z508,"OK","REVISAR")</f>
        <v>OK</v>
      </c>
      <c r="AB508" s="62" t="n">
        <f aca="false">INDEX(Datos_Origen!$B$2:$B$2459,$Z508)</f>
        <v>45456</v>
      </c>
      <c r="AC508" s="61" t="n">
        <f aca="false">INDEX(Datos_Origen!$H$2:$H$2459,$Z508)</f>
        <v>122</v>
      </c>
      <c r="AD508" s="61" t="str">
        <f aca="false">INDEX(Datos_Origen!$D$2:$D$2459,$Z508)&amp;""</f>
        <v>Buenos Aires</v>
      </c>
    </row>
    <row r="509" customFormat="false" ht="15" hidden="false" customHeight="false" outlineLevel="0" collapsed="false">
      <c r="A509" s="61" t="n">
        <f aca="false">INDEX(Datos_Origen!$A$2:$A$2459,$Z509)</f>
        <v>508</v>
      </c>
      <c r="B509" s="62" t="n">
        <f aca="false">IF(ISNUMBER($AB509),$AB509,IF(MID($AB509,5,1)="-",DATE(VALUE(LEFT($AB509,4)),VALUE(MID($AB509,6,2)),VALUE(RIGHT($AB509,2))),DATE(VALUE(RIGHT($AB509,4)),VALUE(MID($AB509,4,2)),VALUE(LEFT($AB509,2)))))</f>
        <v>45463</v>
      </c>
      <c r="C509" s="61" t="n">
        <f aca="false">YEAR($B509)</f>
        <v>2024</v>
      </c>
      <c r="D509" s="61" t="str">
        <f aca="false">"Q"&amp;ROUNDUP(MONTH($B509)/3,0)</f>
        <v>Q2</v>
      </c>
      <c r="E509" s="61" t="n">
        <f aca="false">MONTH($B509)</f>
        <v>6</v>
      </c>
      <c r="F509" s="61" t="str">
        <f aca="false">INDEX(Parametros!$I$5:$I$16,$E509)</f>
        <v>Jun</v>
      </c>
      <c r="G509" s="61" t="str">
        <f aca="false">TEXT($C509,"0000")&amp;"-"&amp;TEXT($E509,"00")</f>
        <v>2024-06</v>
      </c>
      <c r="H509" s="61" t="str">
        <f aca="false">INDEX(Parametros!$C$71:$C$91,MATCH(TRIM(INDEX(Datos_Origen!$C$2:$C$2459,$Z509)),Parametros!$B$71:$B$91,0))</f>
        <v>AMBA</v>
      </c>
      <c r="I509" s="61" t="str">
        <f aca="false">IF(TRIM($AD509)="",INDEX(Parametros!$I$20:$I$24,MATCH($H509,Parametros!$H$20:$H$24,0)),TRIM($AD509))</f>
        <v>Buenos Aires</v>
      </c>
      <c r="J509" s="61" t="str">
        <f aca="false">INDEX(Parametros!$C$95:$C$106,MATCH(TRIM(INDEX(Datos_Origen!$E$2:$E$2459,$Z509)),Parametros!$B$95:$B$106,0))</f>
        <v>E-commerce</v>
      </c>
      <c r="K509" s="61" t="str">
        <f aca="false">INDEX(Parametros!$C$48:$C$67,MATCH(TRIM(INDEX(Datos_Origen!$F$2:$F$2459,$Z509)),Parametros!$B$48:$B$67,0))</f>
        <v>Accesorios</v>
      </c>
      <c r="L509" s="61" t="str">
        <f aca="false">$K509&amp;" "&amp;$C509</f>
        <v>Accesorios 2024</v>
      </c>
      <c r="M509" s="61" t="str">
        <f aca="false">TRIM(INDEX(Datos_Origen!$G$2:$G$2459,$Z509))</f>
        <v>Mouse Inalambrico</v>
      </c>
      <c r="N509" s="61" t="str">
        <f aca="false">$M509&amp;" "&amp;$C509</f>
        <v>Mouse Inalambrico 2024</v>
      </c>
      <c r="O509" s="63" t="n">
        <f aca="false">IF(ISTEXT($AC509),VALUE($AC509),$AC509)</f>
        <v>36</v>
      </c>
      <c r="P509" s="64" t="n">
        <f aca="false">INDEX(Datos_Origen!$I$2:$I$2459,$Z509)</f>
        <v>27.44</v>
      </c>
      <c r="Q509" s="64" t="n">
        <f aca="false">INDEX(Datos_Origen!$J$2:$J$2459,$Z509)</f>
        <v>13.44</v>
      </c>
      <c r="R509" s="65" t="n">
        <f aca="false">ROUND($O509*$P509,2)</f>
        <v>987.84</v>
      </c>
      <c r="S509" s="65" t="n">
        <f aca="false">ROUND($O509*$Q509,2)</f>
        <v>483.84</v>
      </c>
      <c r="T509" s="65" t="n">
        <f aca="false">ROUND($R509*SUMIFS(Parametros!$E$28:$E$43,Parametros!$B$28:$B$43,$J509,Parametros!$C$28:$C$43,$C509,Parametros!$D$28:$D$43,$D509),2)</f>
        <v>43.46</v>
      </c>
      <c r="U509" s="65" t="n">
        <f aca="false">$R509-$S509-$T509</f>
        <v>460.54</v>
      </c>
      <c r="V509" s="66" t="n">
        <f aca="false">IFERROR($U509/$R509,0)</f>
        <v>0.466209102688695</v>
      </c>
      <c r="W509" s="67" t="str">
        <f aca="false">IF(AND($V509&gt;=Parametros!$C$8,$R509&gt;=Parametros!$C$12),"Alta rentabilidad",IF(OR($V509&lt;Parametros!$C$11,$R509&lt;Parametros!$C$13),"Revisar","Estandar"))</f>
        <v>Estandar</v>
      </c>
      <c r="X509" s="67" t="str">
        <f aca="false">IF(AND($J509="E-commerce",IFERROR($T509/$R509,0)&gt;Parametros!$C$14),"Alerta","OK")</f>
        <v>OK</v>
      </c>
      <c r="Y509" s="61" t="str">
        <f aca="false">IF($R509&gt;=Parametros!$C$12,"Alto",IF($R509&lt;Parametros!$C$13,"Bajo","Medio"))</f>
        <v>Medio</v>
      </c>
      <c r="Z509" s="61" t="n">
        <v>2160</v>
      </c>
      <c r="AA509" s="61" t="str">
        <f aca="false">IF(MATCH($A509,Datos_Origen!$A$2:$A$2459,0)=$Z509,"OK","REVISAR")</f>
        <v>OK</v>
      </c>
      <c r="AB509" s="61" t="str">
        <f aca="false">INDEX(Datos_Origen!$B$2:$B$2459,$Z509)</f>
        <v>2024-06-20</v>
      </c>
      <c r="AC509" s="61" t="str">
        <f aca="false">INDEX(Datos_Origen!$H$2:$H$2459,$Z509)</f>
        <v>36</v>
      </c>
      <c r="AD509" s="61" t="str">
        <f aca="false">INDEX(Datos_Origen!$D$2:$D$2459,$Z509)&amp;""</f>
        <v>Buenos Aires</v>
      </c>
    </row>
    <row r="510" customFormat="false" ht="15" hidden="false" customHeight="false" outlineLevel="0" collapsed="false">
      <c r="A510" s="61" t="n">
        <f aca="false">INDEX(Datos_Origen!$A$2:$A$2459,$Z510)</f>
        <v>509</v>
      </c>
      <c r="B510" s="62" t="n">
        <f aca="false">IF(ISNUMBER($AB510),$AB510,IF(MID($AB510,5,1)="-",DATE(VALUE(LEFT($AB510,4)),VALUE(MID($AB510,6,2)),VALUE(RIGHT($AB510,2))),DATE(VALUE(RIGHT($AB510,4)),VALUE(MID($AB510,4,2)),VALUE(LEFT($AB510,2)))))</f>
        <v>45470</v>
      </c>
      <c r="C510" s="61" t="n">
        <f aca="false">YEAR($B510)</f>
        <v>2024</v>
      </c>
      <c r="D510" s="61" t="str">
        <f aca="false">"Q"&amp;ROUNDUP(MONTH($B510)/3,0)</f>
        <v>Q2</v>
      </c>
      <c r="E510" s="61" t="n">
        <f aca="false">MONTH($B510)</f>
        <v>6</v>
      </c>
      <c r="F510" s="61" t="str">
        <f aca="false">INDEX(Parametros!$I$5:$I$16,$E510)</f>
        <v>Jun</v>
      </c>
      <c r="G510" s="61" t="str">
        <f aca="false">TEXT($C510,"0000")&amp;"-"&amp;TEXT($E510,"00")</f>
        <v>2024-06</v>
      </c>
      <c r="H510" s="61" t="str">
        <f aca="false">INDEX(Parametros!$C$71:$C$91,MATCH(TRIM(INDEX(Datos_Origen!$C$2:$C$2459,$Z510)),Parametros!$B$71:$B$91,0))</f>
        <v>AMBA</v>
      </c>
      <c r="I510" s="61" t="str">
        <f aca="false">IF(TRIM($AD510)="",INDEX(Parametros!$I$20:$I$24,MATCH($H510,Parametros!$H$20:$H$24,0)),TRIM($AD510))</f>
        <v>Buenos Aires</v>
      </c>
      <c r="J510" s="61" t="str">
        <f aca="false">INDEX(Parametros!$C$95:$C$106,MATCH(TRIM(INDEX(Datos_Origen!$E$2:$E$2459,$Z510)),Parametros!$B$95:$B$106,0))</f>
        <v>Tienda fisica</v>
      </c>
      <c r="K510" s="61" t="str">
        <f aca="false">INDEX(Parametros!$C$48:$C$67,MATCH(TRIM(INDEX(Datos_Origen!$F$2:$F$2459,$Z510)),Parametros!$B$48:$B$67,0))</f>
        <v>Accesorios</v>
      </c>
      <c r="L510" s="61" t="str">
        <f aca="false">$K510&amp;" "&amp;$C510</f>
        <v>Accesorios 2024</v>
      </c>
      <c r="M510" s="61" t="str">
        <f aca="false">TRIM(INDEX(Datos_Origen!$G$2:$G$2459,$Z510))</f>
        <v>Teclado Mecanico</v>
      </c>
      <c r="N510" s="61" t="str">
        <f aca="false">$M510&amp;" "&amp;$C510</f>
        <v>Teclado Mecanico 2024</v>
      </c>
      <c r="O510" s="63" t="n">
        <f aca="false">IF(ISTEXT($AC510),VALUE($AC510),$AC510)</f>
        <v>112</v>
      </c>
      <c r="P510" s="64" t="n">
        <f aca="false">INDEX(Datos_Origen!$I$2:$I$2459,$Z510)</f>
        <v>93.1</v>
      </c>
      <c r="Q510" s="64" t="n">
        <f aca="false">INDEX(Datos_Origen!$J$2:$J$2459,$Z510)</f>
        <v>47.98</v>
      </c>
      <c r="R510" s="65" t="n">
        <f aca="false">ROUND($O510*$P510,2)</f>
        <v>10427.2</v>
      </c>
      <c r="S510" s="65" t="n">
        <f aca="false">ROUND($O510*$Q510,2)</f>
        <v>5373.76</v>
      </c>
      <c r="T510" s="65" t="n">
        <f aca="false">ROUND($R510*SUMIFS(Parametros!$E$28:$E$43,Parametros!$B$28:$B$43,$J510,Parametros!$C$28:$C$43,$C510,Parametros!$D$28:$D$43,$D510),2)</f>
        <v>125.13</v>
      </c>
      <c r="U510" s="65" t="n">
        <f aca="false">$R510-$S510-$T510</f>
        <v>4928.31</v>
      </c>
      <c r="V510" s="66" t="n">
        <f aca="false">IFERROR($U510/$R510,0)</f>
        <v>0.472639826607335</v>
      </c>
      <c r="W510" s="67" t="str">
        <f aca="false">IF(AND($V510&gt;=Parametros!$C$8,$R510&gt;=Parametros!$C$12),"Alta rentabilidad",IF(OR($V510&lt;Parametros!$C$11,$R510&lt;Parametros!$C$13),"Revisar","Estandar"))</f>
        <v>Alta rentabilidad</v>
      </c>
      <c r="X510" s="67" t="str">
        <f aca="false">IF(AND($J510="E-commerce",IFERROR($T510/$R510,0)&gt;Parametros!$C$14),"Alerta","OK")</f>
        <v>OK</v>
      </c>
      <c r="Y510" s="61" t="str">
        <f aca="false">IF($R510&gt;=Parametros!$C$12,"Alto",IF($R510&lt;Parametros!$C$13,"Bajo","Medio"))</f>
        <v>Alto</v>
      </c>
      <c r="Z510" s="61" t="n">
        <v>552</v>
      </c>
      <c r="AA510" s="61" t="str">
        <f aca="false">IF(MATCH($A510,Datos_Origen!$A$2:$A$2459,0)=$Z510,"OK","REVISAR")</f>
        <v>OK</v>
      </c>
      <c r="AB510" s="62" t="n">
        <f aca="false">INDEX(Datos_Origen!$B$2:$B$2459,$Z510)</f>
        <v>45470</v>
      </c>
      <c r="AC510" s="61" t="n">
        <f aca="false">INDEX(Datos_Origen!$H$2:$H$2459,$Z510)</f>
        <v>112</v>
      </c>
      <c r="AD510" s="61" t="str">
        <f aca="false">INDEX(Datos_Origen!$D$2:$D$2459,$Z510)&amp;""</f>
        <v>Buenos Aires</v>
      </c>
    </row>
    <row r="511" customFormat="false" ht="15" hidden="false" customHeight="false" outlineLevel="0" collapsed="false">
      <c r="A511" s="61" t="n">
        <f aca="false">INDEX(Datos_Origen!$A$2:$A$2459,$Z511)</f>
        <v>510</v>
      </c>
      <c r="B511" s="62" t="n">
        <f aca="false">IF(ISNUMBER($AB511),$AB511,IF(MID($AB511,5,1)="-",DATE(VALUE(LEFT($AB511,4)),VALUE(MID($AB511,6,2)),VALUE(RIGHT($AB511,2))),DATE(VALUE(RIGHT($AB511,4)),VALUE(MID($AB511,4,2)),VALUE(LEFT($AB511,2)))))</f>
        <v>45450</v>
      </c>
      <c r="C511" s="61" t="n">
        <f aca="false">YEAR($B511)</f>
        <v>2024</v>
      </c>
      <c r="D511" s="61" t="str">
        <f aca="false">"Q"&amp;ROUNDUP(MONTH($B511)/3,0)</f>
        <v>Q2</v>
      </c>
      <c r="E511" s="61" t="n">
        <f aca="false">MONTH($B511)</f>
        <v>6</v>
      </c>
      <c r="F511" s="61" t="str">
        <f aca="false">INDEX(Parametros!$I$5:$I$16,$E511)</f>
        <v>Jun</v>
      </c>
      <c r="G511" s="61" t="str">
        <f aca="false">TEXT($C511,"0000")&amp;"-"&amp;TEXT($E511,"00")</f>
        <v>2024-06</v>
      </c>
      <c r="H511" s="61" t="str">
        <f aca="false">INDEX(Parametros!$C$71:$C$91,MATCH(TRIM(INDEX(Datos_Origen!$C$2:$C$2459,$Z511)),Parametros!$B$71:$B$91,0))</f>
        <v>AMBA</v>
      </c>
      <c r="I511" s="61" t="str">
        <f aca="false">IF(TRIM($AD511)="",INDEX(Parametros!$I$20:$I$24,MATCH($H511,Parametros!$H$20:$H$24,0)),TRIM($AD511))</f>
        <v>Buenos Aires</v>
      </c>
      <c r="J511" s="61" t="str">
        <f aca="false">INDEX(Parametros!$C$95:$C$106,MATCH(TRIM(INDEX(Datos_Origen!$E$2:$E$2459,$Z511)),Parametros!$B$95:$B$106,0))</f>
        <v>E-commerce</v>
      </c>
      <c r="K511" s="61" t="str">
        <f aca="false">INDEX(Parametros!$C$48:$C$67,MATCH(TRIM(INDEX(Datos_Origen!$F$2:$F$2459,$Z511)),Parametros!$B$48:$B$67,0))</f>
        <v>Accesorios</v>
      </c>
      <c r="L511" s="61" t="str">
        <f aca="false">$K511&amp;" "&amp;$C511</f>
        <v>Accesorios 2024</v>
      </c>
      <c r="M511" s="61" t="str">
        <f aca="false">TRIM(INDEX(Datos_Origen!$G$2:$G$2459,$Z511))</f>
        <v>Teclado Mecanico</v>
      </c>
      <c r="N511" s="61" t="str">
        <f aca="false">$M511&amp;" "&amp;$C511</f>
        <v>Teclado Mecanico 2024</v>
      </c>
      <c r="O511" s="63" t="n">
        <f aca="false">IF(ISTEXT($AC511),VALUE($AC511),$AC511)</f>
        <v>45</v>
      </c>
      <c r="P511" s="64" t="n">
        <f aca="false">INDEX(Datos_Origen!$I$2:$I$2459,$Z511)</f>
        <v>93.1</v>
      </c>
      <c r="Q511" s="64" t="n">
        <f aca="false">INDEX(Datos_Origen!$J$2:$J$2459,$Z511)</f>
        <v>47.98</v>
      </c>
      <c r="R511" s="65" t="n">
        <f aca="false">ROUND($O511*$P511,2)</f>
        <v>4189.5</v>
      </c>
      <c r="S511" s="65" t="n">
        <f aca="false">ROUND($O511*$Q511,2)</f>
        <v>2159.1</v>
      </c>
      <c r="T511" s="65" t="n">
        <f aca="false">ROUND($R511*SUMIFS(Parametros!$E$28:$E$43,Parametros!$B$28:$B$43,$J511,Parametros!$C$28:$C$43,$C511,Parametros!$D$28:$D$43,$D511),2)</f>
        <v>184.34</v>
      </c>
      <c r="U511" s="65" t="n">
        <f aca="false">$R511-$S511-$T511</f>
        <v>1846.06</v>
      </c>
      <c r="V511" s="66" t="n">
        <f aca="false">IFERROR($U511/$R511,0)</f>
        <v>0.440639694474281</v>
      </c>
      <c r="W511" s="67" t="str">
        <f aca="false">IF(AND($V511&gt;=Parametros!$C$8,$R511&gt;=Parametros!$C$12),"Alta rentabilidad",IF(OR($V511&lt;Parametros!$C$11,$R511&lt;Parametros!$C$13),"Revisar","Estandar"))</f>
        <v>Alta rentabilidad</v>
      </c>
      <c r="X511" s="67" t="str">
        <f aca="false">IF(AND($J511="E-commerce",IFERROR($T511/$R511,0)&gt;Parametros!$C$14),"Alerta","OK")</f>
        <v>OK</v>
      </c>
      <c r="Y511" s="61" t="str">
        <f aca="false">IF($R511&gt;=Parametros!$C$12,"Alto",IF($R511&lt;Parametros!$C$13,"Bajo","Medio"))</f>
        <v>Alto</v>
      </c>
      <c r="Z511" s="61" t="n">
        <v>2062</v>
      </c>
      <c r="AA511" s="61" t="str">
        <f aca="false">IF(MATCH($A511,Datos_Origen!$A$2:$A$2459,0)=$Z511,"OK","REVISAR")</f>
        <v>OK</v>
      </c>
      <c r="AB511" s="61" t="str">
        <f aca="false">INDEX(Datos_Origen!$B$2:$B$2459,$Z511)</f>
        <v>2024-06-07</v>
      </c>
      <c r="AC511" s="61" t="n">
        <f aca="false">INDEX(Datos_Origen!$H$2:$H$2459,$Z511)</f>
        <v>45</v>
      </c>
      <c r="AD511" s="61" t="str">
        <f aca="false">INDEX(Datos_Origen!$D$2:$D$2459,$Z511)&amp;""</f>
        <v>Buenos Aires</v>
      </c>
    </row>
    <row r="512" customFormat="false" ht="15" hidden="false" customHeight="false" outlineLevel="0" collapsed="false">
      <c r="A512" s="61" t="n">
        <f aca="false">INDEX(Datos_Origen!$A$2:$A$2459,$Z512)</f>
        <v>511</v>
      </c>
      <c r="B512" s="62" t="n">
        <f aca="false">IF(ISNUMBER($AB512),$AB512,IF(MID($AB512,5,1)="-",DATE(VALUE(LEFT($AB512,4)),VALUE(MID($AB512,6,2)),VALUE(RIGHT($AB512,2))),DATE(VALUE(RIGHT($AB512,4)),VALUE(MID($AB512,4,2)),VALUE(LEFT($AB512,2)))))</f>
        <v>45457</v>
      </c>
      <c r="C512" s="61" t="n">
        <f aca="false">YEAR($B512)</f>
        <v>2024</v>
      </c>
      <c r="D512" s="61" t="str">
        <f aca="false">"Q"&amp;ROUNDUP(MONTH($B512)/3,0)</f>
        <v>Q2</v>
      </c>
      <c r="E512" s="61" t="n">
        <f aca="false">MONTH($B512)</f>
        <v>6</v>
      </c>
      <c r="F512" s="61" t="str">
        <f aca="false">INDEX(Parametros!$I$5:$I$16,$E512)</f>
        <v>Jun</v>
      </c>
      <c r="G512" s="61" t="str">
        <f aca="false">TEXT($C512,"0000")&amp;"-"&amp;TEXT($E512,"00")</f>
        <v>2024-06</v>
      </c>
      <c r="H512" s="61" t="str">
        <f aca="false">INDEX(Parametros!$C$71:$C$91,MATCH(TRIM(INDEX(Datos_Origen!$C$2:$C$2459,$Z512)),Parametros!$B$71:$B$91,0))</f>
        <v>AMBA</v>
      </c>
      <c r="I512" s="61" t="str">
        <f aca="false">IF(TRIM($AD512)="",INDEX(Parametros!$I$20:$I$24,MATCH($H512,Parametros!$H$20:$H$24,0)),TRIM($AD512))</f>
        <v>Buenos Aires</v>
      </c>
      <c r="J512" s="61" t="str">
        <f aca="false">INDEX(Parametros!$C$95:$C$106,MATCH(TRIM(INDEX(Datos_Origen!$E$2:$E$2459,$Z512)),Parametros!$B$95:$B$106,0))</f>
        <v>Tienda fisica</v>
      </c>
      <c r="K512" s="61" t="str">
        <f aca="false">INDEX(Parametros!$C$48:$C$67,MATCH(TRIM(INDEX(Datos_Origen!$F$2:$F$2459,$Z512)),Parametros!$B$48:$B$67,0))</f>
        <v>Accesorios</v>
      </c>
      <c r="L512" s="61" t="str">
        <f aca="false">$K512&amp;" "&amp;$C512</f>
        <v>Accesorios 2024</v>
      </c>
      <c r="M512" s="61" t="str">
        <f aca="false">TRIM(INDEX(Datos_Origen!$G$2:$G$2459,$Z512))</f>
        <v>Webcam Full HD</v>
      </c>
      <c r="N512" s="61" t="str">
        <f aca="false">$M512&amp;" "&amp;$C512</f>
        <v>Webcam Full HD 2024</v>
      </c>
      <c r="O512" s="63" t="n">
        <f aca="false">IF(ISTEXT($AC512),VALUE($AC512),$AC512)</f>
        <v>114</v>
      </c>
      <c r="P512" s="64" t="n">
        <f aca="false">INDEX(Datos_Origen!$I$2:$I$2459,$Z512)</f>
        <v>63.7</v>
      </c>
      <c r="Q512" s="64" t="n">
        <f aca="false">INDEX(Datos_Origen!$J$2:$J$2459,$Z512)</f>
        <v>35.43</v>
      </c>
      <c r="R512" s="65" t="n">
        <f aca="false">ROUND($O512*$P512,2)</f>
        <v>7261.8</v>
      </c>
      <c r="S512" s="65" t="n">
        <f aca="false">ROUND($O512*$Q512,2)</f>
        <v>4039.02</v>
      </c>
      <c r="T512" s="65" t="n">
        <f aca="false">ROUND($R512*SUMIFS(Parametros!$E$28:$E$43,Parametros!$B$28:$B$43,$J512,Parametros!$C$28:$C$43,$C512,Parametros!$D$28:$D$43,$D512),2)</f>
        <v>87.14</v>
      </c>
      <c r="U512" s="65" t="n">
        <f aca="false">$R512-$S512-$T512</f>
        <v>3135.64</v>
      </c>
      <c r="V512" s="66" t="n">
        <f aca="false">IFERROR($U512/$R512,0)</f>
        <v>0.43179927841582</v>
      </c>
      <c r="W512" s="67" t="str">
        <f aca="false">IF(AND($V512&gt;=Parametros!$C$8,$R512&gt;=Parametros!$C$12),"Alta rentabilidad",IF(OR($V512&lt;Parametros!$C$11,$R512&lt;Parametros!$C$13),"Revisar","Estandar"))</f>
        <v>Alta rentabilidad</v>
      </c>
      <c r="X512" s="67" t="str">
        <f aca="false">IF(AND($J512="E-commerce",IFERROR($T512/$R512,0)&gt;Parametros!$C$14),"Alerta","OK")</f>
        <v>OK</v>
      </c>
      <c r="Y512" s="61" t="str">
        <f aca="false">IF($R512&gt;=Parametros!$C$12,"Alto",IF($R512&lt;Parametros!$C$13,"Bajo","Medio"))</f>
        <v>Alto</v>
      </c>
      <c r="Z512" s="61" t="n">
        <v>588</v>
      </c>
      <c r="AA512" s="61" t="str">
        <f aca="false">IF(MATCH($A512,Datos_Origen!$A$2:$A$2459,0)=$Z512,"OK","REVISAR")</f>
        <v>OK</v>
      </c>
      <c r="AB512" s="62" t="n">
        <f aca="false">INDEX(Datos_Origen!$B$2:$B$2459,$Z512)</f>
        <v>45457</v>
      </c>
      <c r="AC512" s="61" t="str">
        <f aca="false">INDEX(Datos_Origen!$H$2:$H$2459,$Z512)</f>
        <v>114</v>
      </c>
      <c r="AD512" s="61" t="str">
        <f aca="false">INDEX(Datos_Origen!$D$2:$D$2459,$Z512)&amp;""</f>
        <v>Buenos Aires</v>
      </c>
    </row>
    <row r="513" customFormat="false" ht="15" hidden="false" customHeight="false" outlineLevel="0" collapsed="false">
      <c r="A513" s="61" t="n">
        <f aca="false">INDEX(Datos_Origen!$A$2:$A$2459,$Z513)</f>
        <v>512</v>
      </c>
      <c r="B513" s="62" t="n">
        <f aca="false">IF(ISNUMBER($AB513),$AB513,IF(MID($AB513,5,1)="-",DATE(VALUE(LEFT($AB513,4)),VALUE(MID($AB513,6,2)),VALUE(RIGHT($AB513,2))),DATE(VALUE(RIGHT($AB513,4)),VALUE(MID($AB513,4,2)),VALUE(LEFT($AB513,2)))))</f>
        <v>45464</v>
      </c>
      <c r="C513" s="61" t="n">
        <f aca="false">YEAR($B513)</f>
        <v>2024</v>
      </c>
      <c r="D513" s="61" t="str">
        <f aca="false">"Q"&amp;ROUNDUP(MONTH($B513)/3,0)</f>
        <v>Q2</v>
      </c>
      <c r="E513" s="61" t="n">
        <f aca="false">MONTH($B513)</f>
        <v>6</v>
      </c>
      <c r="F513" s="61" t="str">
        <f aca="false">INDEX(Parametros!$I$5:$I$16,$E513)</f>
        <v>Jun</v>
      </c>
      <c r="G513" s="61" t="str">
        <f aca="false">TEXT($C513,"0000")&amp;"-"&amp;TEXT($E513,"00")</f>
        <v>2024-06</v>
      </c>
      <c r="H513" s="61" t="str">
        <f aca="false">INDEX(Parametros!$C$71:$C$91,MATCH(TRIM(INDEX(Datos_Origen!$C$2:$C$2459,$Z513)),Parametros!$B$71:$B$91,0))</f>
        <v>AMBA</v>
      </c>
      <c r="I513" s="61" t="str">
        <f aca="false">IF(TRIM($AD513)="",INDEX(Parametros!$I$20:$I$24,MATCH($H513,Parametros!$H$20:$H$24,0)),TRIM($AD513))</f>
        <v>Buenos Aires</v>
      </c>
      <c r="J513" s="61" t="str">
        <f aca="false">INDEX(Parametros!$C$95:$C$106,MATCH(TRIM(INDEX(Datos_Origen!$E$2:$E$2459,$Z513)),Parametros!$B$95:$B$106,0))</f>
        <v>E-commerce</v>
      </c>
      <c r="K513" s="61" t="str">
        <f aca="false">INDEX(Parametros!$C$48:$C$67,MATCH(TRIM(INDEX(Datos_Origen!$F$2:$F$2459,$Z513)),Parametros!$B$48:$B$67,0))</f>
        <v>Accesorios</v>
      </c>
      <c r="L513" s="61" t="str">
        <f aca="false">$K513&amp;" "&amp;$C513</f>
        <v>Accesorios 2024</v>
      </c>
      <c r="M513" s="61" t="str">
        <f aca="false">TRIM(INDEX(Datos_Origen!$G$2:$G$2459,$Z513))</f>
        <v>Webcam Full HD</v>
      </c>
      <c r="N513" s="61" t="str">
        <f aca="false">$M513&amp;" "&amp;$C513</f>
        <v>Webcam Full HD 2024</v>
      </c>
      <c r="O513" s="63" t="n">
        <f aca="false">IF(ISTEXT($AC513),VALUE($AC513),$AC513)</f>
        <v>46</v>
      </c>
      <c r="P513" s="64" t="n">
        <f aca="false">INDEX(Datos_Origen!$I$2:$I$2459,$Z513)</f>
        <v>63.7</v>
      </c>
      <c r="Q513" s="64" t="n">
        <f aca="false">INDEX(Datos_Origen!$J$2:$J$2459,$Z513)</f>
        <v>35.43</v>
      </c>
      <c r="R513" s="65" t="n">
        <f aca="false">ROUND($O513*$P513,2)</f>
        <v>2930.2</v>
      </c>
      <c r="S513" s="65" t="n">
        <f aca="false">ROUND($O513*$Q513,2)</f>
        <v>1629.78</v>
      </c>
      <c r="T513" s="65" t="n">
        <f aca="false">ROUND($R513*SUMIFS(Parametros!$E$28:$E$43,Parametros!$B$28:$B$43,$J513,Parametros!$C$28:$C$43,$C513,Parametros!$D$28:$D$43,$D513),2)</f>
        <v>128.93</v>
      </c>
      <c r="U513" s="65" t="n">
        <f aca="false">$R513-$S513-$T513</f>
        <v>1171.49</v>
      </c>
      <c r="V513" s="66" t="n">
        <f aca="false">IFERROR($U513/$R513,0)</f>
        <v>0.399798648556413</v>
      </c>
      <c r="W513" s="67" t="str">
        <f aca="false">IF(AND($V513&gt;=Parametros!$C$8,$R513&gt;=Parametros!$C$12),"Alta rentabilidad",IF(OR($V513&lt;Parametros!$C$11,$R513&lt;Parametros!$C$13),"Revisar","Estandar"))</f>
        <v>Estandar</v>
      </c>
      <c r="X513" s="67" t="str">
        <f aca="false">IF(AND($J513="E-commerce",IFERROR($T513/$R513,0)&gt;Parametros!$C$14),"Alerta","OK")</f>
        <v>OK</v>
      </c>
      <c r="Y513" s="61" t="str">
        <f aca="false">IF($R513&gt;=Parametros!$C$12,"Alto",IF($R513&lt;Parametros!$C$13,"Bajo","Medio"))</f>
        <v>Medio</v>
      </c>
      <c r="Z513" s="61" t="n">
        <v>682</v>
      </c>
      <c r="AA513" s="61" t="str">
        <f aca="false">IF(MATCH($A513,Datos_Origen!$A$2:$A$2459,0)=$Z513,"OK","REVISAR")</f>
        <v>OK</v>
      </c>
      <c r="AB513" s="61" t="str">
        <f aca="false">INDEX(Datos_Origen!$B$2:$B$2459,$Z513)</f>
        <v>2024-06-21</v>
      </c>
      <c r="AC513" s="61" t="n">
        <f aca="false">INDEX(Datos_Origen!$H$2:$H$2459,$Z513)</f>
        <v>46</v>
      </c>
      <c r="AD513" s="61" t="str">
        <f aca="false">INDEX(Datos_Origen!$D$2:$D$2459,$Z513)&amp;""</f>
        <v>Buenos Aires</v>
      </c>
    </row>
    <row r="514" customFormat="false" ht="15" hidden="false" customHeight="false" outlineLevel="0" collapsed="false">
      <c r="A514" s="61" t="n">
        <f aca="false">INDEX(Datos_Origen!$A$2:$A$2459,$Z514)</f>
        <v>513</v>
      </c>
      <c r="B514" s="62" t="n">
        <f aca="false">IF(ISNUMBER($AB514),$AB514,IF(MID($AB514,5,1)="-",DATE(VALUE(LEFT($AB514,4)),VALUE(MID($AB514,6,2)),VALUE(RIGHT($AB514,2))),DATE(VALUE(RIGHT($AB514,4)),VALUE(MID($AB514,4,2)),VALUE(LEFT($AB514,2)))))</f>
        <v>45444</v>
      </c>
      <c r="C514" s="61" t="n">
        <f aca="false">YEAR($B514)</f>
        <v>2024</v>
      </c>
      <c r="D514" s="61" t="str">
        <f aca="false">"Q"&amp;ROUNDUP(MONTH($B514)/3,0)</f>
        <v>Q2</v>
      </c>
      <c r="E514" s="61" t="n">
        <f aca="false">MONTH($B514)</f>
        <v>6</v>
      </c>
      <c r="F514" s="61" t="str">
        <f aca="false">INDEX(Parametros!$I$5:$I$16,$E514)</f>
        <v>Jun</v>
      </c>
      <c r="G514" s="61" t="str">
        <f aca="false">TEXT($C514,"0000")&amp;"-"&amp;TEXT($E514,"00")</f>
        <v>2024-06</v>
      </c>
      <c r="H514" s="61" t="str">
        <f aca="false">INDEX(Parametros!$C$71:$C$91,MATCH(TRIM(INDEX(Datos_Origen!$C$2:$C$2459,$Z514)),Parametros!$B$71:$B$91,0))</f>
        <v>AMBA</v>
      </c>
      <c r="I514" s="61" t="str">
        <f aca="false">IF(TRIM($AD514)="",INDEX(Parametros!$I$20:$I$24,MATCH($H514,Parametros!$H$20:$H$24,0)),TRIM($AD514))</f>
        <v>Buenos Aires</v>
      </c>
      <c r="J514" s="61" t="str">
        <f aca="false">INDEX(Parametros!$C$95:$C$106,MATCH(TRIM(INDEX(Datos_Origen!$E$2:$E$2459,$Z514)),Parametros!$B$95:$B$106,0))</f>
        <v>Tienda fisica</v>
      </c>
      <c r="K514" s="61" t="str">
        <f aca="false">INDEX(Parametros!$C$48:$C$67,MATCH(TRIM(INDEX(Datos_Origen!$F$2:$F$2459,$Z514)),Parametros!$B$48:$B$67,0))</f>
        <v>Audio</v>
      </c>
      <c r="L514" s="61" t="str">
        <f aca="false">$K514&amp;" "&amp;$C514</f>
        <v>Audio 2024</v>
      </c>
      <c r="M514" s="61" t="str">
        <f aca="false">TRIM(INDEX(Datos_Origen!$G$2:$G$2459,$Z514))</f>
        <v>Auriculares BT Pro</v>
      </c>
      <c r="N514" s="61" t="str">
        <f aca="false">$M514&amp;" "&amp;$C514</f>
        <v>Auriculares BT Pro 2024</v>
      </c>
      <c r="O514" s="63" t="n">
        <f aca="false">IF(ISTEXT($AC514),VALUE($AC514),$AC514)</f>
        <v>40</v>
      </c>
      <c r="P514" s="64" t="n">
        <f aca="false">INDEX(Datos_Origen!$I$2:$I$2459,$Z514)</f>
        <v>117.6</v>
      </c>
      <c r="Q514" s="64" t="n">
        <f aca="false">INDEX(Datos_Origen!$J$2:$J$2459,$Z514)</f>
        <v>63.6</v>
      </c>
      <c r="R514" s="65" t="n">
        <f aca="false">ROUND($O514*$P514,2)</f>
        <v>4704</v>
      </c>
      <c r="S514" s="65" t="n">
        <f aca="false">ROUND($O514*$Q514,2)</f>
        <v>2544</v>
      </c>
      <c r="T514" s="65" t="n">
        <f aca="false">ROUND($R514*SUMIFS(Parametros!$E$28:$E$43,Parametros!$B$28:$B$43,$J514,Parametros!$C$28:$C$43,$C514,Parametros!$D$28:$D$43,$D514),2)</f>
        <v>56.45</v>
      </c>
      <c r="U514" s="65" t="n">
        <f aca="false">$R514-$S514-$T514</f>
        <v>2103.55</v>
      </c>
      <c r="V514" s="66" t="n">
        <f aca="false">IFERROR($U514/$R514,0)</f>
        <v>0.44718324829932</v>
      </c>
      <c r="W514" s="67" t="str">
        <f aca="false">IF(AND($V514&gt;=Parametros!$C$8,$R514&gt;=Parametros!$C$12),"Alta rentabilidad",IF(OR($V514&lt;Parametros!$C$11,$R514&lt;Parametros!$C$13),"Revisar","Estandar"))</f>
        <v>Alta rentabilidad</v>
      </c>
      <c r="X514" s="67" t="str">
        <f aca="false">IF(AND($J514="E-commerce",IFERROR($T514/$R514,0)&gt;Parametros!$C$14),"Alerta","OK")</f>
        <v>OK</v>
      </c>
      <c r="Y514" s="61" t="str">
        <f aca="false">IF($R514&gt;=Parametros!$C$12,"Alto",IF($R514&lt;Parametros!$C$13,"Bajo","Medio"))</f>
        <v>Alto</v>
      </c>
      <c r="Z514" s="61" t="n">
        <v>773</v>
      </c>
      <c r="AA514" s="61" t="str">
        <f aca="false">IF(MATCH($A514,Datos_Origen!$A$2:$A$2459,0)=$Z514,"OK","REVISAR")</f>
        <v>OK</v>
      </c>
      <c r="AB514" s="62" t="n">
        <f aca="false">INDEX(Datos_Origen!$B$2:$B$2459,$Z514)</f>
        <v>45444</v>
      </c>
      <c r="AC514" s="61" t="n">
        <f aca="false">INDEX(Datos_Origen!$H$2:$H$2459,$Z514)</f>
        <v>40</v>
      </c>
      <c r="AD514" s="61" t="str">
        <f aca="false">INDEX(Datos_Origen!$D$2:$D$2459,$Z514)&amp;""</f>
        <v>Buenos Aires</v>
      </c>
    </row>
    <row r="515" customFormat="false" ht="15" hidden="false" customHeight="false" outlineLevel="0" collapsed="false">
      <c r="A515" s="61" t="n">
        <f aca="false">INDEX(Datos_Origen!$A$2:$A$2459,$Z515)</f>
        <v>514</v>
      </c>
      <c r="B515" s="62" t="n">
        <f aca="false">IF(ISNUMBER($AB515),$AB515,IF(MID($AB515,5,1)="-",DATE(VALUE(LEFT($AB515,4)),VALUE(MID($AB515,6,2)),VALUE(RIGHT($AB515,2))),DATE(VALUE(RIGHT($AB515,4)),VALUE(MID($AB515,4,2)),VALUE(LEFT($AB515,2)))))</f>
        <v>45451</v>
      </c>
      <c r="C515" s="61" t="n">
        <f aca="false">YEAR($B515)</f>
        <v>2024</v>
      </c>
      <c r="D515" s="61" t="str">
        <f aca="false">"Q"&amp;ROUNDUP(MONTH($B515)/3,0)</f>
        <v>Q2</v>
      </c>
      <c r="E515" s="61" t="n">
        <f aca="false">MONTH($B515)</f>
        <v>6</v>
      </c>
      <c r="F515" s="61" t="str">
        <f aca="false">INDEX(Parametros!$I$5:$I$16,$E515)</f>
        <v>Jun</v>
      </c>
      <c r="G515" s="61" t="str">
        <f aca="false">TEXT($C515,"0000")&amp;"-"&amp;TEXT($E515,"00")</f>
        <v>2024-06</v>
      </c>
      <c r="H515" s="61" t="str">
        <f aca="false">INDEX(Parametros!$C$71:$C$91,MATCH(TRIM(INDEX(Datos_Origen!$C$2:$C$2459,$Z515)),Parametros!$B$71:$B$91,0))</f>
        <v>AMBA</v>
      </c>
      <c r="I515" s="61" t="str">
        <f aca="false">IF(TRIM($AD515)="",INDEX(Parametros!$I$20:$I$24,MATCH($H515,Parametros!$H$20:$H$24,0)),TRIM($AD515))</f>
        <v>Buenos Aires</v>
      </c>
      <c r="J515" s="61" t="str">
        <f aca="false">INDEX(Parametros!$C$95:$C$106,MATCH(TRIM(INDEX(Datos_Origen!$E$2:$E$2459,$Z515)),Parametros!$B$95:$B$106,0))</f>
        <v>E-commerce</v>
      </c>
      <c r="K515" s="61" t="str">
        <f aca="false">INDEX(Parametros!$C$48:$C$67,MATCH(TRIM(INDEX(Datos_Origen!$F$2:$F$2459,$Z515)),Parametros!$B$48:$B$67,0))</f>
        <v>Audio</v>
      </c>
      <c r="L515" s="61" t="str">
        <f aca="false">$K515&amp;" "&amp;$C515</f>
        <v>Audio 2024</v>
      </c>
      <c r="M515" s="61" t="str">
        <f aca="false">TRIM(INDEX(Datos_Origen!$G$2:$G$2459,$Z515))</f>
        <v>Auriculares BT Pro</v>
      </c>
      <c r="N515" s="61" t="str">
        <f aca="false">$M515&amp;" "&amp;$C515</f>
        <v>Auriculares BT Pro 2024</v>
      </c>
      <c r="O515" s="63" t="n">
        <f aca="false">IF(ISTEXT($AC515),VALUE($AC515),$AC515)</f>
        <v>19</v>
      </c>
      <c r="P515" s="64" t="n">
        <f aca="false">INDEX(Datos_Origen!$I$2:$I$2459,$Z515)</f>
        <v>117.6</v>
      </c>
      <c r="Q515" s="64" t="n">
        <f aca="false">INDEX(Datos_Origen!$J$2:$J$2459,$Z515)</f>
        <v>63.6</v>
      </c>
      <c r="R515" s="65" t="n">
        <f aca="false">ROUND($O515*$P515,2)</f>
        <v>2234.4</v>
      </c>
      <c r="S515" s="65" t="n">
        <f aca="false">ROUND($O515*$Q515,2)</f>
        <v>1208.4</v>
      </c>
      <c r="T515" s="65" t="n">
        <f aca="false">ROUND($R515*SUMIFS(Parametros!$E$28:$E$43,Parametros!$B$28:$B$43,$J515,Parametros!$C$28:$C$43,$C515,Parametros!$D$28:$D$43,$D515),2)</f>
        <v>98.31</v>
      </c>
      <c r="U515" s="65" t="n">
        <f aca="false">$R515-$S515-$T515</f>
        <v>927.69</v>
      </c>
      <c r="V515" s="66" t="n">
        <f aca="false">IFERROR($U515/$R515,0)</f>
        <v>0.415185284640172</v>
      </c>
      <c r="W515" s="67" t="str">
        <f aca="false">IF(AND($V515&gt;=Parametros!$C$8,$R515&gt;=Parametros!$C$12),"Alta rentabilidad",IF(OR($V515&lt;Parametros!$C$11,$R515&lt;Parametros!$C$13),"Revisar","Estandar"))</f>
        <v>Estandar</v>
      </c>
      <c r="X515" s="67" t="str">
        <f aca="false">IF(AND($J515="E-commerce",IFERROR($T515/$R515,0)&gt;Parametros!$C$14),"Alerta","OK")</f>
        <v>OK</v>
      </c>
      <c r="Y515" s="61" t="str">
        <f aca="false">IF($R515&gt;=Parametros!$C$12,"Alto",IF($R515&lt;Parametros!$C$13,"Bajo","Medio"))</f>
        <v>Medio</v>
      </c>
      <c r="Z515" s="61" t="n">
        <v>1431</v>
      </c>
      <c r="AA515" s="61" t="str">
        <f aca="false">IF(MATCH($A515,Datos_Origen!$A$2:$A$2459,0)=$Z515,"OK","REVISAR")</f>
        <v>OK</v>
      </c>
      <c r="AB515" s="62" t="n">
        <f aca="false">INDEX(Datos_Origen!$B$2:$B$2459,$Z515)</f>
        <v>45451</v>
      </c>
      <c r="AC515" s="61" t="n">
        <f aca="false">INDEX(Datos_Origen!$H$2:$H$2459,$Z515)</f>
        <v>19</v>
      </c>
      <c r="AD515" s="61" t="str">
        <f aca="false">INDEX(Datos_Origen!$D$2:$D$2459,$Z515)&amp;""</f>
        <v>Buenos Aires</v>
      </c>
    </row>
    <row r="516" customFormat="false" ht="15" hidden="false" customHeight="false" outlineLevel="0" collapsed="false">
      <c r="A516" s="61" t="n">
        <f aca="false">INDEX(Datos_Origen!$A$2:$A$2459,$Z516)</f>
        <v>515</v>
      </c>
      <c r="B516" s="62" t="n">
        <f aca="false">IF(ISNUMBER($AB516),$AB516,IF(MID($AB516,5,1)="-",DATE(VALUE(LEFT($AB516,4)),VALUE(MID($AB516,6,2)),VALUE(RIGHT($AB516,2))),DATE(VALUE(RIGHT($AB516,4)),VALUE(MID($AB516,4,2)),VALUE(LEFT($AB516,2)))))</f>
        <v>45458</v>
      </c>
      <c r="C516" s="61" t="n">
        <f aca="false">YEAR($B516)</f>
        <v>2024</v>
      </c>
      <c r="D516" s="61" t="str">
        <f aca="false">"Q"&amp;ROUNDUP(MONTH($B516)/3,0)</f>
        <v>Q2</v>
      </c>
      <c r="E516" s="61" t="n">
        <f aca="false">MONTH($B516)</f>
        <v>6</v>
      </c>
      <c r="F516" s="61" t="str">
        <f aca="false">INDEX(Parametros!$I$5:$I$16,$E516)</f>
        <v>Jun</v>
      </c>
      <c r="G516" s="61" t="str">
        <f aca="false">TEXT($C516,"0000")&amp;"-"&amp;TEXT($E516,"00")</f>
        <v>2024-06</v>
      </c>
      <c r="H516" s="61" t="str">
        <f aca="false">INDEX(Parametros!$C$71:$C$91,MATCH(TRIM(INDEX(Datos_Origen!$C$2:$C$2459,$Z516)),Parametros!$B$71:$B$91,0))</f>
        <v>AMBA</v>
      </c>
      <c r="I516" s="61" t="str">
        <f aca="false">IF(TRIM($AD516)="",INDEX(Parametros!$I$20:$I$24,MATCH($H516,Parametros!$H$20:$H$24,0)),TRIM($AD516))</f>
        <v>Buenos Aires</v>
      </c>
      <c r="J516" s="61" t="str">
        <f aca="false">INDEX(Parametros!$C$95:$C$106,MATCH(TRIM(INDEX(Datos_Origen!$E$2:$E$2459,$Z516)),Parametros!$B$95:$B$106,0))</f>
        <v>Tienda fisica</v>
      </c>
      <c r="K516" s="61" t="str">
        <f aca="false">INDEX(Parametros!$C$48:$C$67,MATCH(TRIM(INDEX(Datos_Origen!$F$2:$F$2459,$Z516)),Parametros!$B$48:$B$67,0))</f>
        <v>Audio</v>
      </c>
      <c r="L516" s="61" t="str">
        <f aca="false">$K516&amp;" "&amp;$C516</f>
        <v>Audio 2024</v>
      </c>
      <c r="M516" s="61" t="str">
        <f aca="false">TRIM(INDEX(Datos_Origen!$G$2:$G$2459,$Z516))</f>
        <v>Parlante Bluetooth</v>
      </c>
      <c r="N516" s="61" t="str">
        <f aca="false">$M516&amp;" "&amp;$C516</f>
        <v>Parlante Bluetooth 2024</v>
      </c>
      <c r="O516" s="63" t="n">
        <f aca="false">IF(ISTEXT($AC516),VALUE($AC516),$AC516)</f>
        <v>48</v>
      </c>
      <c r="P516" s="64" t="n">
        <f aca="false">INDEX(Datos_Origen!$I$2:$I$2459,$Z516)</f>
        <v>83.3</v>
      </c>
      <c r="Q516" s="64" t="n">
        <f aca="false">INDEX(Datos_Origen!$J$2:$J$2459,$Z516)</f>
        <v>48.03</v>
      </c>
      <c r="R516" s="65" t="n">
        <f aca="false">ROUND($O516*$P516,2)</f>
        <v>3998.4</v>
      </c>
      <c r="S516" s="65" t="n">
        <f aca="false">ROUND($O516*$Q516,2)</f>
        <v>2305.44</v>
      </c>
      <c r="T516" s="65" t="n">
        <f aca="false">ROUND($R516*SUMIFS(Parametros!$E$28:$E$43,Parametros!$B$28:$B$43,$J516,Parametros!$C$28:$C$43,$C516,Parametros!$D$28:$D$43,$D516),2)</f>
        <v>47.98</v>
      </c>
      <c r="U516" s="65" t="n">
        <f aca="false">$R516-$S516-$T516</f>
        <v>1644.98</v>
      </c>
      <c r="V516" s="66" t="n">
        <f aca="false">IFERROR($U516/$R516,0)</f>
        <v>0.41140956382553</v>
      </c>
      <c r="W516" s="67" t="str">
        <f aca="false">IF(AND($V516&gt;=Parametros!$C$8,$R516&gt;=Parametros!$C$12),"Alta rentabilidad",IF(OR($V516&lt;Parametros!$C$11,$R516&lt;Parametros!$C$13),"Revisar","Estandar"))</f>
        <v>Alta rentabilidad</v>
      </c>
      <c r="X516" s="67" t="str">
        <f aca="false">IF(AND($J516="E-commerce",IFERROR($T516/$R516,0)&gt;Parametros!$C$14),"Alerta","OK")</f>
        <v>OK</v>
      </c>
      <c r="Y516" s="61" t="str">
        <f aca="false">IF($R516&gt;=Parametros!$C$12,"Alto",IF($R516&lt;Parametros!$C$13,"Bajo","Medio"))</f>
        <v>Alto</v>
      </c>
      <c r="Z516" s="61" t="n">
        <v>1133</v>
      </c>
      <c r="AA516" s="61" t="str">
        <f aca="false">IF(MATCH($A516,Datos_Origen!$A$2:$A$2459,0)=$Z516,"OK","REVISAR")</f>
        <v>OK</v>
      </c>
      <c r="AB516" s="62" t="n">
        <f aca="false">INDEX(Datos_Origen!$B$2:$B$2459,$Z516)</f>
        <v>45458</v>
      </c>
      <c r="AC516" s="61" t="n">
        <f aca="false">INDEX(Datos_Origen!$H$2:$H$2459,$Z516)</f>
        <v>48</v>
      </c>
      <c r="AD516" s="61" t="str">
        <f aca="false">INDEX(Datos_Origen!$D$2:$D$2459,$Z516)&amp;""</f>
        <v>Buenos Aires</v>
      </c>
    </row>
    <row r="517" customFormat="false" ht="15" hidden="false" customHeight="false" outlineLevel="0" collapsed="false">
      <c r="A517" s="61" t="n">
        <f aca="false">INDEX(Datos_Origen!$A$2:$A$2459,$Z517)</f>
        <v>516</v>
      </c>
      <c r="B517" s="62" t="n">
        <f aca="false">IF(ISNUMBER($AB517),$AB517,IF(MID($AB517,5,1)="-",DATE(VALUE(LEFT($AB517,4)),VALUE(MID($AB517,6,2)),VALUE(RIGHT($AB517,2))),DATE(VALUE(RIGHT($AB517,4)),VALUE(MID($AB517,4,2)),VALUE(LEFT($AB517,2)))))</f>
        <v>45465</v>
      </c>
      <c r="C517" s="61" t="n">
        <f aca="false">YEAR($B517)</f>
        <v>2024</v>
      </c>
      <c r="D517" s="61" t="str">
        <f aca="false">"Q"&amp;ROUNDUP(MONTH($B517)/3,0)</f>
        <v>Q2</v>
      </c>
      <c r="E517" s="61" t="n">
        <f aca="false">MONTH($B517)</f>
        <v>6</v>
      </c>
      <c r="F517" s="61" t="str">
        <f aca="false">INDEX(Parametros!$I$5:$I$16,$E517)</f>
        <v>Jun</v>
      </c>
      <c r="G517" s="61" t="str">
        <f aca="false">TEXT($C517,"0000")&amp;"-"&amp;TEXT($E517,"00")</f>
        <v>2024-06</v>
      </c>
      <c r="H517" s="61" t="str">
        <f aca="false">INDEX(Parametros!$C$71:$C$91,MATCH(TRIM(INDEX(Datos_Origen!$C$2:$C$2459,$Z517)),Parametros!$B$71:$B$91,0))</f>
        <v>AMBA</v>
      </c>
      <c r="I517" s="61" t="str">
        <f aca="false">IF(TRIM($AD517)="",INDEX(Parametros!$I$20:$I$24,MATCH($H517,Parametros!$H$20:$H$24,0)),TRIM($AD517))</f>
        <v>Buenos Aires</v>
      </c>
      <c r="J517" s="61" t="str">
        <f aca="false">INDEX(Parametros!$C$95:$C$106,MATCH(TRIM(INDEX(Datos_Origen!$E$2:$E$2459,$Z517)),Parametros!$B$95:$B$106,0))</f>
        <v>E-commerce</v>
      </c>
      <c r="K517" s="61" t="str">
        <f aca="false">INDEX(Parametros!$C$48:$C$67,MATCH(TRIM(INDEX(Datos_Origen!$F$2:$F$2459,$Z517)),Parametros!$B$48:$B$67,0))</f>
        <v>Audio</v>
      </c>
      <c r="L517" s="61" t="str">
        <f aca="false">$K517&amp;" "&amp;$C517</f>
        <v>Audio 2024</v>
      </c>
      <c r="M517" s="61" t="str">
        <f aca="false">TRIM(INDEX(Datos_Origen!$G$2:$G$2459,$Z517))</f>
        <v>Parlante Bluetooth</v>
      </c>
      <c r="N517" s="61" t="str">
        <f aca="false">$M517&amp;" "&amp;$C517</f>
        <v>Parlante Bluetooth 2024</v>
      </c>
      <c r="O517" s="63" t="n">
        <f aca="false">IF(ISTEXT($AC517),VALUE($AC517),$AC517)</f>
        <v>17</v>
      </c>
      <c r="P517" s="64" t="n">
        <f aca="false">INDEX(Datos_Origen!$I$2:$I$2459,$Z517)</f>
        <v>83.3</v>
      </c>
      <c r="Q517" s="64" t="n">
        <f aca="false">INDEX(Datos_Origen!$J$2:$J$2459,$Z517)</f>
        <v>48.03</v>
      </c>
      <c r="R517" s="65" t="n">
        <f aca="false">ROUND($O517*$P517,2)</f>
        <v>1416.1</v>
      </c>
      <c r="S517" s="65" t="n">
        <f aca="false">ROUND($O517*$Q517,2)</f>
        <v>816.51</v>
      </c>
      <c r="T517" s="65" t="n">
        <f aca="false">ROUND($R517*SUMIFS(Parametros!$E$28:$E$43,Parametros!$B$28:$B$43,$J517,Parametros!$C$28:$C$43,$C517,Parametros!$D$28:$D$43,$D517),2)</f>
        <v>62.31</v>
      </c>
      <c r="U517" s="65" t="n">
        <f aca="false">$R517-$S517-$T517</f>
        <v>537.28</v>
      </c>
      <c r="V517" s="66" t="n">
        <f aca="false">IFERROR($U517/$R517,0)</f>
        <v>0.379408233881788</v>
      </c>
      <c r="W517" s="67" t="str">
        <f aca="false">IF(AND($V517&gt;=Parametros!$C$8,$R517&gt;=Parametros!$C$12),"Alta rentabilidad",IF(OR($V517&lt;Parametros!$C$11,$R517&lt;Parametros!$C$13),"Revisar","Estandar"))</f>
        <v>Estandar</v>
      </c>
      <c r="X517" s="67" t="str">
        <f aca="false">IF(AND($J517="E-commerce",IFERROR($T517/$R517,0)&gt;Parametros!$C$14),"Alerta","OK")</f>
        <v>OK</v>
      </c>
      <c r="Y517" s="61" t="str">
        <f aca="false">IF($R517&gt;=Parametros!$C$12,"Alto",IF($R517&lt;Parametros!$C$13,"Bajo","Medio"))</f>
        <v>Medio</v>
      </c>
      <c r="Z517" s="61" t="n">
        <v>9</v>
      </c>
      <c r="AA517" s="61" t="str">
        <f aca="false">IF(MATCH($A517,Datos_Origen!$A$2:$A$2459,0)=$Z517,"OK","REVISAR")</f>
        <v>OK</v>
      </c>
      <c r="AB517" s="62" t="n">
        <f aca="false">INDEX(Datos_Origen!$B$2:$B$2459,$Z517)</f>
        <v>45465</v>
      </c>
      <c r="AC517" s="61" t="n">
        <f aca="false">INDEX(Datos_Origen!$H$2:$H$2459,$Z517)</f>
        <v>17</v>
      </c>
      <c r="AD517" s="61" t="str">
        <f aca="false">INDEX(Datos_Origen!$D$2:$D$2459,$Z517)&amp;""</f>
        <v>Buenos Aires</v>
      </c>
    </row>
    <row r="518" customFormat="false" ht="15" hidden="false" customHeight="false" outlineLevel="0" collapsed="false">
      <c r="A518" s="61" t="n">
        <f aca="false">INDEX(Datos_Origen!$A$2:$A$2459,$Z518)</f>
        <v>517</v>
      </c>
      <c r="B518" s="62" t="n">
        <f aca="false">IF(ISNUMBER($AB518),$AB518,IF(MID($AB518,5,1)="-",DATE(VALUE(LEFT($AB518,4)),VALUE(MID($AB518,6,2)),VALUE(RIGHT($AB518,2))),DATE(VALUE(RIGHT($AB518,4)),VALUE(MID($AB518,4,2)),VALUE(LEFT($AB518,2)))))</f>
        <v>45445</v>
      </c>
      <c r="C518" s="61" t="n">
        <f aca="false">YEAR($B518)</f>
        <v>2024</v>
      </c>
      <c r="D518" s="61" t="str">
        <f aca="false">"Q"&amp;ROUNDUP(MONTH($B518)/3,0)</f>
        <v>Q2</v>
      </c>
      <c r="E518" s="61" t="n">
        <f aca="false">MONTH($B518)</f>
        <v>6</v>
      </c>
      <c r="F518" s="61" t="str">
        <f aca="false">INDEX(Parametros!$I$5:$I$16,$E518)</f>
        <v>Jun</v>
      </c>
      <c r="G518" s="61" t="str">
        <f aca="false">TEXT($C518,"0000")&amp;"-"&amp;TEXT($E518,"00")</f>
        <v>2024-06</v>
      </c>
      <c r="H518" s="61" t="str">
        <f aca="false">INDEX(Parametros!$C$71:$C$91,MATCH(TRIM(INDEX(Datos_Origen!$C$2:$C$2459,$Z518)),Parametros!$B$71:$B$91,0))</f>
        <v>AMBA</v>
      </c>
      <c r="I518" s="61" t="str">
        <f aca="false">IF(TRIM($AD518)="",INDEX(Parametros!$I$20:$I$24,MATCH($H518,Parametros!$H$20:$H$24,0)),TRIM($AD518))</f>
        <v>Buenos Aires</v>
      </c>
      <c r="J518" s="61" t="str">
        <f aca="false">INDEX(Parametros!$C$95:$C$106,MATCH(TRIM(INDEX(Datos_Origen!$E$2:$E$2459,$Z518)),Parametros!$B$95:$B$106,0))</f>
        <v>Tienda fisica</v>
      </c>
      <c r="K518" s="61" t="str">
        <f aca="false">INDEX(Parametros!$C$48:$C$67,MATCH(TRIM(INDEX(Datos_Origen!$F$2:$F$2459,$Z518)),Parametros!$B$48:$B$67,0))</f>
        <v>Almacenamiento</v>
      </c>
      <c r="L518" s="61" t="str">
        <f aca="false">$K518&amp;" "&amp;$C518</f>
        <v>Almacenamiento 2024</v>
      </c>
      <c r="M518" s="61" t="str">
        <f aca="false">TRIM(INDEX(Datos_Origen!$G$2:$G$2459,$Z518))</f>
        <v>SSD Externo 1TB</v>
      </c>
      <c r="N518" s="61" t="str">
        <f aca="false">$M518&amp;" "&amp;$C518</f>
        <v>SSD Externo 1TB 2024</v>
      </c>
      <c r="O518" s="63" t="n">
        <f aca="false">IF(ISTEXT($AC518),VALUE($AC518),$AC518)</f>
        <v>65</v>
      </c>
      <c r="P518" s="64" t="n">
        <f aca="false">INDEX(Datos_Origen!$I$2:$I$2459,$Z518)</f>
        <v>127.4</v>
      </c>
      <c r="Q518" s="64" t="n">
        <f aca="false">INDEX(Datos_Origen!$J$2:$J$2459,$Z518)</f>
        <v>76.05</v>
      </c>
      <c r="R518" s="65" t="n">
        <f aca="false">ROUND($O518*$P518,2)</f>
        <v>8281</v>
      </c>
      <c r="S518" s="65" t="n">
        <f aca="false">ROUND($O518*$Q518,2)</f>
        <v>4943.25</v>
      </c>
      <c r="T518" s="65" t="n">
        <f aca="false">ROUND($R518*SUMIFS(Parametros!$E$28:$E$43,Parametros!$B$28:$B$43,$J518,Parametros!$C$28:$C$43,$C518,Parametros!$D$28:$D$43,$D518),2)</f>
        <v>99.37</v>
      </c>
      <c r="U518" s="65" t="n">
        <f aca="false">$R518-$S518-$T518</f>
        <v>3238.38</v>
      </c>
      <c r="V518" s="66" t="n">
        <f aca="false">IFERROR($U518/$R518,0)</f>
        <v>0.391061466006521</v>
      </c>
      <c r="W518" s="67" t="str">
        <f aca="false">IF(AND($V518&gt;=Parametros!$C$8,$R518&gt;=Parametros!$C$12),"Alta rentabilidad",IF(OR($V518&lt;Parametros!$C$11,$R518&lt;Parametros!$C$13),"Revisar","Estandar"))</f>
        <v>Alta rentabilidad</v>
      </c>
      <c r="X518" s="67" t="str">
        <f aca="false">IF(AND($J518="E-commerce",IFERROR($T518/$R518,0)&gt;Parametros!$C$14),"Alerta","OK")</f>
        <v>OK</v>
      </c>
      <c r="Y518" s="61" t="str">
        <f aca="false">IF($R518&gt;=Parametros!$C$12,"Alto",IF($R518&lt;Parametros!$C$13,"Bajo","Medio"))</f>
        <v>Alto</v>
      </c>
      <c r="Z518" s="61" t="n">
        <v>1922</v>
      </c>
      <c r="AA518" s="61" t="str">
        <f aca="false">IF(MATCH($A518,Datos_Origen!$A$2:$A$2459,0)=$Z518,"OK","REVISAR")</f>
        <v>OK</v>
      </c>
      <c r="AB518" s="62" t="n">
        <f aca="false">INDEX(Datos_Origen!$B$2:$B$2459,$Z518)</f>
        <v>45445</v>
      </c>
      <c r="AC518" s="61" t="n">
        <f aca="false">INDEX(Datos_Origen!$H$2:$H$2459,$Z518)</f>
        <v>65</v>
      </c>
      <c r="AD518" s="61" t="str">
        <f aca="false">INDEX(Datos_Origen!$D$2:$D$2459,$Z518)&amp;""</f>
        <v>Buenos Aires</v>
      </c>
    </row>
    <row r="519" customFormat="false" ht="15" hidden="false" customHeight="false" outlineLevel="0" collapsed="false">
      <c r="A519" s="61" t="n">
        <f aca="false">INDEX(Datos_Origen!$A$2:$A$2459,$Z519)</f>
        <v>518</v>
      </c>
      <c r="B519" s="62" t="n">
        <f aca="false">IF(ISNUMBER($AB519),$AB519,IF(MID($AB519,5,1)="-",DATE(VALUE(LEFT($AB519,4)),VALUE(MID($AB519,6,2)),VALUE(RIGHT($AB519,2))),DATE(VALUE(RIGHT($AB519,4)),VALUE(MID($AB519,4,2)),VALUE(LEFT($AB519,2)))))</f>
        <v>45452</v>
      </c>
      <c r="C519" s="61" t="n">
        <f aca="false">YEAR($B519)</f>
        <v>2024</v>
      </c>
      <c r="D519" s="61" t="str">
        <f aca="false">"Q"&amp;ROUNDUP(MONTH($B519)/3,0)</f>
        <v>Q2</v>
      </c>
      <c r="E519" s="61" t="n">
        <f aca="false">MONTH($B519)</f>
        <v>6</v>
      </c>
      <c r="F519" s="61" t="str">
        <f aca="false">INDEX(Parametros!$I$5:$I$16,$E519)</f>
        <v>Jun</v>
      </c>
      <c r="G519" s="61" t="str">
        <f aca="false">TEXT($C519,"0000")&amp;"-"&amp;TEXT($E519,"00")</f>
        <v>2024-06</v>
      </c>
      <c r="H519" s="61" t="str">
        <f aca="false">INDEX(Parametros!$C$71:$C$91,MATCH(TRIM(INDEX(Datos_Origen!$C$2:$C$2459,$Z519)),Parametros!$B$71:$B$91,0))</f>
        <v>AMBA</v>
      </c>
      <c r="I519" s="61" t="str">
        <f aca="false">IF(TRIM($AD519)="",INDEX(Parametros!$I$20:$I$24,MATCH($H519,Parametros!$H$20:$H$24,0)),TRIM($AD519))</f>
        <v>Buenos Aires</v>
      </c>
      <c r="J519" s="61" t="str">
        <f aca="false">INDEX(Parametros!$C$95:$C$106,MATCH(TRIM(INDEX(Datos_Origen!$E$2:$E$2459,$Z519)),Parametros!$B$95:$B$106,0))</f>
        <v>E-commerce</v>
      </c>
      <c r="K519" s="61" t="str">
        <f aca="false">INDEX(Parametros!$C$48:$C$67,MATCH(TRIM(INDEX(Datos_Origen!$F$2:$F$2459,$Z519)),Parametros!$B$48:$B$67,0))</f>
        <v>Almacenamiento</v>
      </c>
      <c r="L519" s="61" t="str">
        <f aca="false">$K519&amp;" "&amp;$C519</f>
        <v>Almacenamiento 2024</v>
      </c>
      <c r="M519" s="61" t="str">
        <f aca="false">TRIM(INDEX(Datos_Origen!$G$2:$G$2459,$Z519))</f>
        <v>SSD Externo 1TB</v>
      </c>
      <c r="N519" s="61" t="str">
        <f aca="false">$M519&amp;" "&amp;$C519</f>
        <v>SSD Externo 1TB 2024</v>
      </c>
      <c r="O519" s="63" t="n">
        <f aca="false">IF(ISTEXT($AC519),VALUE($AC519),$AC519)</f>
        <v>22</v>
      </c>
      <c r="P519" s="64" t="n">
        <f aca="false">INDEX(Datos_Origen!$I$2:$I$2459,$Z519)</f>
        <v>127.4</v>
      </c>
      <c r="Q519" s="64" t="n">
        <f aca="false">INDEX(Datos_Origen!$J$2:$J$2459,$Z519)</f>
        <v>76.05</v>
      </c>
      <c r="R519" s="65" t="n">
        <f aca="false">ROUND($O519*$P519,2)</f>
        <v>2802.8</v>
      </c>
      <c r="S519" s="65" t="n">
        <f aca="false">ROUND($O519*$Q519,2)</f>
        <v>1673.1</v>
      </c>
      <c r="T519" s="65" t="n">
        <f aca="false">ROUND($R519*SUMIFS(Parametros!$E$28:$E$43,Parametros!$B$28:$B$43,$J519,Parametros!$C$28:$C$43,$C519,Parametros!$D$28:$D$43,$D519),2)</f>
        <v>123.32</v>
      </c>
      <c r="U519" s="65" t="n">
        <f aca="false">$R519-$S519-$T519</f>
        <v>1006.38</v>
      </c>
      <c r="V519" s="66" t="n">
        <f aca="false">IFERROR($U519/$R519,0)</f>
        <v>0.359062366205223</v>
      </c>
      <c r="W519" s="67" t="str">
        <f aca="false">IF(AND($V519&gt;=Parametros!$C$8,$R519&gt;=Parametros!$C$12),"Alta rentabilidad",IF(OR($V519&lt;Parametros!$C$11,$R519&lt;Parametros!$C$13),"Revisar","Estandar"))</f>
        <v>Estandar</v>
      </c>
      <c r="X519" s="67" t="str">
        <f aca="false">IF(AND($J519="E-commerce",IFERROR($T519/$R519,0)&gt;Parametros!$C$14),"Alerta","OK")</f>
        <v>OK</v>
      </c>
      <c r="Y519" s="61" t="str">
        <f aca="false">IF($R519&gt;=Parametros!$C$12,"Alto",IF($R519&lt;Parametros!$C$13,"Bajo","Medio"))</f>
        <v>Medio</v>
      </c>
      <c r="Z519" s="61" t="n">
        <v>776</v>
      </c>
      <c r="AA519" s="61" t="str">
        <f aca="false">IF(MATCH($A519,Datos_Origen!$A$2:$A$2459,0)=$Z519,"OK","REVISAR")</f>
        <v>OK</v>
      </c>
      <c r="AB519" s="61" t="str">
        <f aca="false">INDEX(Datos_Origen!$B$2:$B$2459,$Z519)</f>
        <v>2024-06-09</v>
      </c>
      <c r="AC519" s="61" t="str">
        <f aca="false">INDEX(Datos_Origen!$H$2:$H$2459,$Z519)</f>
        <v>22</v>
      </c>
      <c r="AD519" s="61" t="str">
        <f aca="false">INDEX(Datos_Origen!$D$2:$D$2459,$Z519)&amp;""</f>
        <v>Buenos Aires</v>
      </c>
    </row>
    <row r="520" customFormat="false" ht="15" hidden="false" customHeight="false" outlineLevel="0" collapsed="false">
      <c r="A520" s="61" t="n">
        <f aca="false">INDEX(Datos_Origen!$A$2:$A$2459,$Z520)</f>
        <v>519</v>
      </c>
      <c r="B520" s="62" t="n">
        <f aca="false">IF(ISNUMBER($AB520),$AB520,IF(MID($AB520,5,1)="-",DATE(VALUE(LEFT($AB520,4)),VALUE(MID($AB520,6,2)),VALUE(RIGHT($AB520,2))),DATE(VALUE(RIGHT($AB520,4)),VALUE(MID($AB520,4,2)),VALUE(LEFT($AB520,2)))))</f>
        <v>45459</v>
      </c>
      <c r="C520" s="61" t="n">
        <f aca="false">YEAR($B520)</f>
        <v>2024</v>
      </c>
      <c r="D520" s="61" t="str">
        <f aca="false">"Q"&amp;ROUNDUP(MONTH($B520)/3,0)</f>
        <v>Q2</v>
      </c>
      <c r="E520" s="61" t="n">
        <f aca="false">MONTH($B520)</f>
        <v>6</v>
      </c>
      <c r="F520" s="61" t="str">
        <f aca="false">INDEX(Parametros!$I$5:$I$16,$E520)</f>
        <v>Jun</v>
      </c>
      <c r="G520" s="61" t="str">
        <f aca="false">TEXT($C520,"0000")&amp;"-"&amp;TEXT($E520,"00")</f>
        <v>2024-06</v>
      </c>
      <c r="H520" s="61" t="str">
        <f aca="false">INDEX(Parametros!$C$71:$C$91,MATCH(TRIM(INDEX(Datos_Origen!$C$2:$C$2459,$Z520)),Parametros!$B$71:$B$91,0))</f>
        <v>AMBA</v>
      </c>
      <c r="I520" s="61" t="str">
        <f aca="false">IF(TRIM($AD520)="",INDEX(Parametros!$I$20:$I$24,MATCH($H520,Parametros!$H$20:$H$24,0)),TRIM($AD520))</f>
        <v>Buenos Aires</v>
      </c>
      <c r="J520" s="61" t="str">
        <f aca="false">INDEX(Parametros!$C$95:$C$106,MATCH(TRIM(INDEX(Datos_Origen!$E$2:$E$2459,$Z520)),Parametros!$B$95:$B$106,0))</f>
        <v>Tienda fisica</v>
      </c>
      <c r="K520" s="61" t="str">
        <f aca="false">INDEX(Parametros!$C$48:$C$67,MATCH(TRIM(INDEX(Datos_Origen!$F$2:$F$2459,$Z520)),Parametros!$B$48:$B$67,0))</f>
        <v>Almacenamiento</v>
      </c>
      <c r="L520" s="61" t="str">
        <f aca="false">$K520&amp;" "&amp;$C520</f>
        <v>Almacenamiento 2024</v>
      </c>
      <c r="M520" s="61" t="str">
        <f aca="false">TRIM(INDEX(Datos_Origen!$G$2:$G$2459,$Z520))</f>
        <v>Pendrive 256GB</v>
      </c>
      <c r="N520" s="61" t="str">
        <f aca="false">$M520&amp;" "&amp;$C520</f>
        <v>Pendrive 256GB 2024</v>
      </c>
      <c r="O520" s="63" t="n">
        <f aca="false">IF(ISTEXT($AC520),VALUE($AC520),$AC520)</f>
        <v>63</v>
      </c>
      <c r="P520" s="64" t="n">
        <f aca="false">INDEX(Datos_Origen!$I$2:$I$2459,$Z520)</f>
        <v>34.3</v>
      </c>
      <c r="Q520" s="64" t="n">
        <f aca="false">INDEX(Datos_Origen!$J$2:$J$2459,$Z520)</f>
        <v>17.85</v>
      </c>
      <c r="R520" s="65" t="n">
        <f aca="false">ROUND($O520*$P520,2)</f>
        <v>2160.9</v>
      </c>
      <c r="S520" s="65" t="n">
        <f aca="false">ROUND($O520*$Q520,2)</f>
        <v>1124.55</v>
      </c>
      <c r="T520" s="65" t="n">
        <f aca="false">ROUND($R520*SUMIFS(Parametros!$E$28:$E$43,Parametros!$B$28:$B$43,$J520,Parametros!$C$28:$C$43,$C520,Parametros!$D$28:$D$43,$D520),2)</f>
        <v>25.93</v>
      </c>
      <c r="U520" s="65" t="n">
        <f aca="false">$R520-$S520-$T520</f>
        <v>1010.42</v>
      </c>
      <c r="V520" s="66" t="n">
        <f aca="false">IFERROR($U520/$R520,0)</f>
        <v>0.467592206950808</v>
      </c>
      <c r="W520" s="67" t="str">
        <f aca="false">IF(AND($V520&gt;=Parametros!$C$8,$R520&gt;=Parametros!$C$12),"Alta rentabilidad",IF(OR($V520&lt;Parametros!$C$11,$R520&lt;Parametros!$C$13),"Revisar","Estandar"))</f>
        <v>Estandar</v>
      </c>
      <c r="X520" s="67" t="str">
        <f aca="false">IF(AND($J520="E-commerce",IFERROR($T520/$R520,0)&gt;Parametros!$C$14),"Alerta","OK")</f>
        <v>OK</v>
      </c>
      <c r="Y520" s="61" t="str">
        <f aca="false">IF($R520&gt;=Parametros!$C$12,"Alto",IF($R520&lt;Parametros!$C$13,"Bajo","Medio"))</f>
        <v>Medio</v>
      </c>
      <c r="Z520" s="61" t="n">
        <v>1714</v>
      </c>
      <c r="AA520" s="61" t="str">
        <f aca="false">IF(MATCH($A520,Datos_Origen!$A$2:$A$2459,0)=$Z520,"OK","REVISAR")</f>
        <v>OK</v>
      </c>
      <c r="AB520" s="62" t="n">
        <f aca="false">INDEX(Datos_Origen!$B$2:$B$2459,$Z520)</f>
        <v>45459</v>
      </c>
      <c r="AC520" s="61" t="n">
        <f aca="false">INDEX(Datos_Origen!$H$2:$H$2459,$Z520)</f>
        <v>63</v>
      </c>
      <c r="AD520" s="61" t="str">
        <f aca="false">INDEX(Datos_Origen!$D$2:$D$2459,$Z520)&amp;""</f>
        <v>Buenos Aires</v>
      </c>
    </row>
    <row r="521" customFormat="false" ht="15" hidden="false" customHeight="false" outlineLevel="0" collapsed="false">
      <c r="A521" s="61" t="n">
        <f aca="false">INDEX(Datos_Origen!$A$2:$A$2459,$Z521)</f>
        <v>520</v>
      </c>
      <c r="B521" s="62" t="n">
        <f aca="false">IF(ISNUMBER($AB521),$AB521,IF(MID($AB521,5,1)="-",DATE(VALUE(LEFT($AB521,4)),VALUE(MID($AB521,6,2)),VALUE(RIGHT($AB521,2))),DATE(VALUE(RIGHT($AB521,4)),VALUE(MID($AB521,4,2)),VALUE(LEFT($AB521,2)))))</f>
        <v>45466</v>
      </c>
      <c r="C521" s="61" t="n">
        <f aca="false">YEAR($B521)</f>
        <v>2024</v>
      </c>
      <c r="D521" s="61" t="str">
        <f aca="false">"Q"&amp;ROUNDUP(MONTH($B521)/3,0)</f>
        <v>Q2</v>
      </c>
      <c r="E521" s="61" t="n">
        <f aca="false">MONTH($B521)</f>
        <v>6</v>
      </c>
      <c r="F521" s="61" t="str">
        <f aca="false">INDEX(Parametros!$I$5:$I$16,$E521)</f>
        <v>Jun</v>
      </c>
      <c r="G521" s="61" t="str">
        <f aca="false">TEXT($C521,"0000")&amp;"-"&amp;TEXT($E521,"00")</f>
        <v>2024-06</v>
      </c>
      <c r="H521" s="61" t="str">
        <f aca="false">INDEX(Parametros!$C$71:$C$91,MATCH(TRIM(INDEX(Datos_Origen!$C$2:$C$2459,$Z521)),Parametros!$B$71:$B$91,0))</f>
        <v>AMBA</v>
      </c>
      <c r="I521" s="61" t="str">
        <f aca="false">IF(TRIM($AD521)="",INDEX(Parametros!$I$20:$I$24,MATCH($H521,Parametros!$H$20:$H$24,0)),TRIM($AD521))</f>
        <v>Buenos Aires</v>
      </c>
      <c r="J521" s="61" t="str">
        <f aca="false">INDEX(Parametros!$C$95:$C$106,MATCH(TRIM(INDEX(Datos_Origen!$E$2:$E$2459,$Z521)),Parametros!$B$95:$B$106,0))</f>
        <v>E-commerce</v>
      </c>
      <c r="K521" s="61" t="str">
        <f aca="false">INDEX(Parametros!$C$48:$C$67,MATCH(TRIM(INDEX(Datos_Origen!$F$2:$F$2459,$Z521)),Parametros!$B$48:$B$67,0))</f>
        <v>Almacenamiento</v>
      </c>
      <c r="L521" s="61" t="str">
        <f aca="false">$K521&amp;" "&amp;$C521</f>
        <v>Almacenamiento 2024</v>
      </c>
      <c r="M521" s="61" t="str">
        <f aca="false">TRIM(INDEX(Datos_Origen!$G$2:$G$2459,$Z521))</f>
        <v>Pendrive 256GB</v>
      </c>
      <c r="N521" s="61" t="str">
        <f aca="false">$M521&amp;" "&amp;$C521</f>
        <v>Pendrive 256GB 2024</v>
      </c>
      <c r="O521" s="63" t="n">
        <f aca="false">IF(ISTEXT($AC521),VALUE($AC521),$AC521)</f>
        <v>24</v>
      </c>
      <c r="P521" s="64" t="n">
        <f aca="false">INDEX(Datos_Origen!$I$2:$I$2459,$Z521)</f>
        <v>34.3</v>
      </c>
      <c r="Q521" s="64" t="n">
        <f aca="false">INDEX(Datos_Origen!$J$2:$J$2459,$Z521)</f>
        <v>17.85</v>
      </c>
      <c r="R521" s="65" t="n">
        <f aca="false">ROUND($O521*$P521,2)</f>
        <v>823.2</v>
      </c>
      <c r="S521" s="65" t="n">
        <f aca="false">ROUND($O521*$Q521,2)</f>
        <v>428.4</v>
      </c>
      <c r="T521" s="65" t="n">
        <f aca="false">ROUND($R521*SUMIFS(Parametros!$E$28:$E$43,Parametros!$B$28:$B$43,$J521,Parametros!$C$28:$C$43,$C521,Parametros!$D$28:$D$43,$D521),2)</f>
        <v>36.22</v>
      </c>
      <c r="U521" s="65" t="n">
        <f aca="false">$R521-$S521-$T521</f>
        <v>358.58</v>
      </c>
      <c r="V521" s="66" t="n">
        <f aca="false">IFERROR($U521/$R521,0)</f>
        <v>0.435592808551992</v>
      </c>
      <c r="W521" s="67" t="str">
        <f aca="false">IF(AND($V521&gt;=Parametros!$C$8,$R521&gt;=Parametros!$C$12),"Alta rentabilidad",IF(OR($V521&lt;Parametros!$C$11,$R521&lt;Parametros!$C$13),"Revisar","Estandar"))</f>
        <v>Estandar</v>
      </c>
      <c r="X521" s="67" t="str">
        <f aca="false">IF(AND($J521="E-commerce",IFERROR($T521/$R521,0)&gt;Parametros!$C$14),"Alerta","OK")</f>
        <v>OK</v>
      </c>
      <c r="Y521" s="61" t="str">
        <f aca="false">IF($R521&gt;=Parametros!$C$12,"Alto",IF($R521&lt;Parametros!$C$13,"Bajo","Medio"))</f>
        <v>Medio</v>
      </c>
      <c r="Z521" s="61" t="n">
        <v>385</v>
      </c>
      <c r="AA521" s="61" t="str">
        <f aca="false">IF(MATCH($A521,Datos_Origen!$A$2:$A$2459,0)=$Z521,"OK","REVISAR")</f>
        <v>OK</v>
      </c>
      <c r="AB521" s="61" t="str">
        <f aca="false">INDEX(Datos_Origen!$B$2:$B$2459,$Z521)</f>
        <v>2024-06-23</v>
      </c>
      <c r="AC521" s="61" t="n">
        <f aca="false">INDEX(Datos_Origen!$H$2:$H$2459,$Z521)</f>
        <v>24</v>
      </c>
      <c r="AD521" s="61" t="str">
        <f aca="false">INDEX(Datos_Origen!$D$2:$D$2459,$Z521)&amp;""</f>
        <v>Buenos Aires</v>
      </c>
    </row>
    <row r="522" customFormat="false" ht="15" hidden="false" customHeight="false" outlineLevel="0" collapsed="false">
      <c r="A522" s="61" t="n">
        <f aca="false">INDEX(Datos_Origen!$A$2:$A$2459,$Z522)</f>
        <v>521</v>
      </c>
      <c r="B522" s="62" t="n">
        <f aca="false">IF(ISNUMBER($AB522),$AB522,IF(MID($AB522,5,1)="-",DATE(VALUE(LEFT($AB522,4)),VALUE(MID($AB522,6,2)),VALUE(RIGHT($AB522,2))),DATE(VALUE(RIGHT($AB522,4)),VALUE(MID($AB522,4,2)),VALUE(LEFT($AB522,2)))))</f>
        <v>45446</v>
      </c>
      <c r="C522" s="61" t="n">
        <f aca="false">YEAR($B522)</f>
        <v>2024</v>
      </c>
      <c r="D522" s="61" t="str">
        <f aca="false">"Q"&amp;ROUNDUP(MONTH($B522)/3,0)</f>
        <v>Q2</v>
      </c>
      <c r="E522" s="61" t="n">
        <f aca="false">MONTH($B522)</f>
        <v>6</v>
      </c>
      <c r="F522" s="61" t="str">
        <f aca="false">INDEX(Parametros!$I$5:$I$16,$E522)</f>
        <v>Jun</v>
      </c>
      <c r="G522" s="61" t="str">
        <f aca="false">TEXT($C522,"0000")&amp;"-"&amp;TEXT($E522,"00")</f>
        <v>2024-06</v>
      </c>
      <c r="H522" s="61" t="str">
        <f aca="false">INDEX(Parametros!$C$71:$C$91,MATCH(TRIM(INDEX(Datos_Origen!$C$2:$C$2459,$Z522)),Parametros!$B$71:$B$91,0))</f>
        <v>Centro</v>
      </c>
      <c r="I522" s="61" t="str">
        <f aca="false">IF(TRIM($AD522)="",INDEX(Parametros!$I$20:$I$24,MATCH($H522,Parametros!$H$20:$H$24,0)),TRIM($AD522))</f>
        <v>Cordoba</v>
      </c>
      <c r="J522" s="61" t="str">
        <f aca="false">INDEX(Parametros!$C$95:$C$106,MATCH(TRIM(INDEX(Datos_Origen!$E$2:$E$2459,$Z522)),Parametros!$B$95:$B$106,0))</f>
        <v>Tienda fisica</v>
      </c>
      <c r="K522" s="61" t="str">
        <f aca="false">INDEX(Parametros!$C$48:$C$67,MATCH(TRIM(INDEX(Datos_Origen!$F$2:$F$2459,$Z522)),Parametros!$B$48:$B$67,0))</f>
        <v>Computacion</v>
      </c>
      <c r="L522" s="61" t="str">
        <f aca="false">$K522&amp;" "&amp;$C522</f>
        <v>Computacion 2024</v>
      </c>
      <c r="M522" s="61" t="str">
        <f aca="false">TRIM(INDEX(Datos_Origen!$G$2:$G$2459,$Z522))</f>
        <v>Laptop Pro 15</v>
      </c>
      <c r="N522" s="61" t="str">
        <f aca="false">$M522&amp;" "&amp;$C522</f>
        <v>Laptop Pro 15 2024</v>
      </c>
      <c r="O522" s="63" t="n">
        <f aca="false">IF(ISTEXT($AC522),VALUE($AC522),$AC522)</f>
        <v>14</v>
      </c>
      <c r="P522" s="64" t="n">
        <f aca="false">INDEX(Datos_Origen!$I$2:$I$2459,$Z522)</f>
        <v>1176</v>
      </c>
      <c r="Q522" s="64" t="n">
        <f aca="false">INDEX(Datos_Origen!$J$2:$J$2459,$Z522)</f>
        <v>744</v>
      </c>
      <c r="R522" s="65" t="n">
        <f aca="false">ROUND($O522*$P522,2)</f>
        <v>16464</v>
      </c>
      <c r="S522" s="65" t="n">
        <f aca="false">ROUND($O522*$Q522,2)</f>
        <v>10416</v>
      </c>
      <c r="T522" s="65" t="n">
        <f aca="false">ROUND($R522*SUMIFS(Parametros!$E$28:$E$43,Parametros!$B$28:$B$43,$J522,Parametros!$C$28:$C$43,$C522,Parametros!$D$28:$D$43,$D522),2)</f>
        <v>197.57</v>
      </c>
      <c r="U522" s="65" t="n">
        <f aca="false">$R522-$S522-$T522</f>
        <v>5850.43</v>
      </c>
      <c r="V522" s="66" t="n">
        <f aca="false">IFERROR($U522/$R522,0)</f>
        <v>0.355346817298348</v>
      </c>
      <c r="W522" s="67" t="str">
        <f aca="false">IF(AND($V522&gt;=Parametros!$C$8,$R522&gt;=Parametros!$C$12),"Alta rentabilidad",IF(OR($V522&lt;Parametros!$C$11,$R522&lt;Parametros!$C$13),"Revisar","Estandar"))</f>
        <v>Alta rentabilidad</v>
      </c>
      <c r="X522" s="67" t="str">
        <f aca="false">IF(AND($J522="E-commerce",IFERROR($T522/$R522,0)&gt;Parametros!$C$14),"Alerta","OK")</f>
        <v>OK</v>
      </c>
      <c r="Y522" s="61" t="str">
        <f aca="false">IF($R522&gt;=Parametros!$C$12,"Alto",IF($R522&lt;Parametros!$C$13,"Bajo","Medio"))</f>
        <v>Alto</v>
      </c>
      <c r="Z522" s="61" t="n">
        <v>1351</v>
      </c>
      <c r="AA522" s="61" t="str">
        <f aca="false">IF(MATCH($A522,Datos_Origen!$A$2:$A$2459,0)=$Z522,"OK","REVISAR")</f>
        <v>OK</v>
      </c>
      <c r="AB522" s="62" t="n">
        <f aca="false">INDEX(Datos_Origen!$B$2:$B$2459,$Z522)</f>
        <v>45446</v>
      </c>
      <c r="AC522" s="61" t="n">
        <f aca="false">INDEX(Datos_Origen!$H$2:$H$2459,$Z522)</f>
        <v>14</v>
      </c>
      <c r="AD522" s="61" t="str">
        <f aca="false">INDEX(Datos_Origen!$D$2:$D$2459,$Z522)&amp;""</f>
        <v>Cordoba</v>
      </c>
    </row>
    <row r="523" customFormat="false" ht="15" hidden="false" customHeight="false" outlineLevel="0" collapsed="false">
      <c r="A523" s="61" t="n">
        <f aca="false">INDEX(Datos_Origen!$A$2:$A$2459,$Z523)</f>
        <v>522</v>
      </c>
      <c r="B523" s="62" t="n">
        <f aca="false">IF(ISNUMBER($AB523),$AB523,IF(MID($AB523,5,1)="-",DATE(VALUE(LEFT($AB523,4)),VALUE(MID($AB523,6,2)),VALUE(RIGHT($AB523,2))),DATE(VALUE(RIGHT($AB523,4)),VALUE(MID($AB523,4,2)),VALUE(LEFT($AB523,2)))))</f>
        <v>45453</v>
      </c>
      <c r="C523" s="61" t="n">
        <f aca="false">YEAR($B523)</f>
        <v>2024</v>
      </c>
      <c r="D523" s="61" t="str">
        <f aca="false">"Q"&amp;ROUNDUP(MONTH($B523)/3,0)</f>
        <v>Q2</v>
      </c>
      <c r="E523" s="61" t="n">
        <f aca="false">MONTH($B523)</f>
        <v>6</v>
      </c>
      <c r="F523" s="61" t="str">
        <f aca="false">INDEX(Parametros!$I$5:$I$16,$E523)</f>
        <v>Jun</v>
      </c>
      <c r="G523" s="61" t="str">
        <f aca="false">TEXT($C523,"0000")&amp;"-"&amp;TEXT($E523,"00")</f>
        <v>2024-06</v>
      </c>
      <c r="H523" s="61" t="str">
        <f aca="false">INDEX(Parametros!$C$71:$C$91,MATCH(TRIM(INDEX(Datos_Origen!$C$2:$C$2459,$Z523)),Parametros!$B$71:$B$91,0))</f>
        <v>Centro</v>
      </c>
      <c r="I523" s="61" t="str">
        <f aca="false">IF(TRIM($AD523)="",INDEX(Parametros!$I$20:$I$24,MATCH($H523,Parametros!$H$20:$H$24,0)),TRIM($AD523))</f>
        <v>Cordoba</v>
      </c>
      <c r="J523" s="61" t="str">
        <f aca="false">INDEX(Parametros!$C$95:$C$106,MATCH(TRIM(INDEX(Datos_Origen!$E$2:$E$2459,$Z523)),Parametros!$B$95:$B$106,0))</f>
        <v>E-commerce</v>
      </c>
      <c r="K523" s="61" t="str">
        <f aca="false">INDEX(Parametros!$C$48:$C$67,MATCH(TRIM(INDEX(Datos_Origen!$F$2:$F$2459,$Z523)),Parametros!$B$48:$B$67,0))</f>
        <v>Computacion</v>
      </c>
      <c r="L523" s="61" t="str">
        <f aca="false">$K523&amp;" "&amp;$C523</f>
        <v>Computacion 2024</v>
      </c>
      <c r="M523" s="61" t="str">
        <f aca="false">TRIM(INDEX(Datos_Origen!$G$2:$G$2459,$Z523))</f>
        <v>Laptop Pro 15</v>
      </c>
      <c r="N523" s="61" t="str">
        <f aca="false">$M523&amp;" "&amp;$C523</f>
        <v>Laptop Pro 15 2024</v>
      </c>
      <c r="O523" s="63" t="n">
        <f aca="false">IF(ISTEXT($AC523),VALUE($AC523),$AC523)</f>
        <v>5</v>
      </c>
      <c r="P523" s="64" t="n">
        <f aca="false">INDEX(Datos_Origen!$I$2:$I$2459,$Z523)</f>
        <v>1176</v>
      </c>
      <c r="Q523" s="64" t="n">
        <f aca="false">INDEX(Datos_Origen!$J$2:$J$2459,$Z523)</f>
        <v>744</v>
      </c>
      <c r="R523" s="65" t="n">
        <f aca="false">ROUND($O523*$P523,2)</f>
        <v>5880</v>
      </c>
      <c r="S523" s="65" t="n">
        <f aca="false">ROUND($O523*$Q523,2)</f>
        <v>3720</v>
      </c>
      <c r="T523" s="65" t="n">
        <f aca="false">ROUND($R523*SUMIFS(Parametros!$E$28:$E$43,Parametros!$B$28:$B$43,$J523,Parametros!$C$28:$C$43,$C523,Parametros!$D$28:$D$43,$D523),2)</f>
        <v>258.72</v>
      </c>
      <c r="U523" s="65" t="n">
        <f aca="false">$R523-$S523-$T523</f>
        <v>1901.28</v>
      </c>
      <c r="V523" s="66" t="n">
        <f aca="false">IFERROR($U523/$R523,0)</f>
        <v>0.32334693877551</v>
      </c>
      <c r="W523" s="67" t="str">
        <f aca="false">IF(AND($V523&gt;=Parametros!$C$8,$R523&gt;=Parametros!$C$12),"Alta rentabilidad",IF(OR($V523&lt;Parametros!$C$11,$R523&lt;Parametros!$C$13),"Revisar","Estandar"))</f>
        <v>Estandar</v>
      </c>
      <c r="X523" s="67" t="str">
        <f aca="false">IF(AND($J523="E-commerce",IFERROR($T523/$R523,0)&gt;Parametros!$C$14),"Alerta","OK")</f>
        <v>OK</v>
      </c>
      <c r="Y523" s="61" t="str">
        <f aca="false">IF($R523&gt;=Parametros!$C$12,"Alto",IF($R523&lt;Parametros!$C$13,"Bajo","Medio"))</f>
        <v>Alto</v>
      </c>
      <c r="Z523" s="61" t="n">
        <v>1623</v>
      </c>
      <c r="AA523" s="61" t="str">
        <f aca="false">IF(MATCH($A523,Datos_Origen!$A$2:$A$2459,0)=$Z523,"OK","REVISAR")</f>
        <v>OK</v>
      </c>
      <c r="AB523" s="62" t="n">
        <f aca="false">INDEX(Datos_Origen!$B$2:$B$2459,$Z523)</f>
        <v>45453</v>
      </c>
      <c r="AC523" s="61" t="n">
        <f aca="false">INDEX(Datos_Origen!$H$2:$H$2459,$Z523)</f>
        <v>5</v>
      </c>
      <c r="AD523" s="61" t="str">
        <f aca="false">INDEX(Datos_Origen!$D$2:$D$2459,$Z523)&amp;""</f>
        <v>Cordoba</v>
      </c>
    </row>
    <row r="524" customFormat="false" ht="15" hidden="false" customHeight="false" outlineLevel="0" collapsed="false">
      <c r="A524" s="61" t="n">
        <f aca="false">INDEX(Datos_Origen!$A$2:$A$2459,$Z524)</f>
        <v>523</v>
      </c>
      <c r="B524" s="62" t="n">
        <f aca="false">IF(ISNUMBER($AB524),$AB524,IF(MID($AB524,5,1)="-",DATE(VALUE(LEFT($AB524,4)),VALUE(MID($AB524,6,2)),VALUE(RIGHT($AB524,2))),DATE(VALUE(RIGHT($AB524,4)),VALUE(MID($AB524,4,2)),VALUE(LEFT($AB524,2)))))</f>
        <v>45460</v>
      </c>
      <c r="C524" s="61" t="n">
        <f aca="false">YEAR($B524)</f>
        <v>2024</v>
      </c>
      <c r="D524" s="61" t="str">
        <f aca="false">"Q"&amp;ROUNDUP(MONTH($B524)/3,0)</f>
        <v>Q2</v>
      </c>
      <c r="E524" s="61" t="n">
        <f aca="false">MONTH($B524)</f>
        <v>6</v>
      </c>
      <c r="F524" s="61" t="str">
        <f aca="false">INDEX(Parametros!$I$5:$I$16,$E524)</f>
        <v>Jun</v>
      </c>
      <c r="G524" s="61" t="str">
        <f aca="false">TEXT($C524,"0000")&amp;"-"&amp;TEXT($E524,"00")</f>
        <v>2024-06</v>
      </c>
      <c r="H524" s="61" t="str">
        <f aca="false">INDEX(Parametros!$C$71:$C$91,MATCH(TRIM(INDEX(Datos_Origen!$C$2:$C$2459,$Z524)),Parametros!$B$71:$B$91,0))</f>
        <v>Centro</v>
      </c>
      <c r="I524" s="61" t="str">
        <f aca="false">IF(TRIM($AD524)="",INDEX(Parametros!$I$20:$I$24,MATCH($H524,Parametros!$H$20:$H$24,0)),TRIM($AD524))</f>
        <v>Cordoba</v>
      </c>
      <c r="J524" s="61" t="str">
        <f aca="false">INDEX(Parametros!$C$95:$C$106,MATCH(TRIM(INDEX(Datos_Origen!$E$2:$E$2459,$Z524)),Parametros!$B$95:$B$106,0))</f>
        <v>Tienda fisica</v>
      </c>
      <c r="K524" s="61" t="str">
        <f aca="false">INDEX(Parametros!$C$48:$C$67,MATCH(TRIM(INDEX(Datos_Origen!$F$2:$F$2459,$Z524)),Parametros!$B$48:$B$67,0))</f>
        <v>Computacion</v>
      </c>
      <c r="L524" s="61" t="str">
        <f aca="false">$K524&amp;" "&amp;$C524</f>
        <v>Computacion 2024</v>
      </c>
      <c r="M524" s="61" t="str">
        <f aca="false">TRIM(INDEX(Datos_Origen!$G$2:$G$2459,$Z524))</f>
        <v>Monitor 4K 27</v>
      </c>
      <c r="N524" s="61" t="str">
        <f aca="false">$M524&amp;" "&amp;$C524</f>
        <v>Monitor 4K 27 2024</v>
      </c>
      <c r="O524" s="63" t="n">
        <f aca="false">IF(ISTEXT($AC524),VALUE($AC524),$AC524)</f>
        <v>14</v>
      </c>
      <c r="P524" s="64" t="n">
        <f aca="false">INDEX(Datos_Origen!$I$2:$I$2459,$Z524)</f>
        <v>441</v>
      </c>
      <c r="Q524" s="64" t="n">
        <f aca="false">INDEX(Datos_Origen!$J$2:$J$2459,$Z524)</f>
        <v>272.25</v>
      </c>
      <c r="R524" s="65" t="n">
        <f aca="false">ROUND($O524*$P524,2)</f>
        <v>6174</v>
      </c>
      <c r="S524" s="65" t="n">
        <f aca="false">ROUND($O524*$Q524,2)</f>
        <v>3811.5</v>
      </c>
      <c r="T524" s="65" t="n">
        <f aca="false">ROUND($R524*SUMIFS(Parametros!$E$28:$E$43,Parametros!$B$28:$B$43,$J524,Parametros!$C$28:$C$43,$C524,Parametros!$D$28:$D$43,$D524),2)</f>
        <v>74.09</v>
      </c>
      <c r="U524" s="65" t="n">
        <f aca="false">$R524-$S524-$T524</f>
        <v>2288.41</v>
      </c>
      <c r="V524" s="66" t="n">
        <f aca="false">IFERROR($U524/$R524,0)</f>
        <v>0.37065273728539</v>
      </c>
      <c r="W524" s="67" t="str">
        <f aca="false">IF(AND($V524&gt;=Parametros!$C$8,$R524&gt;=Parametros!$C$12),"Alta rentabilidad",IF(OR($V524&lt;Parametros!$C$11,$R524&lt;Parametros!$C$13),"Revisar","Estandar"))</f>
        <v>Alta rentabilidad</v>
      </c>
      <c r="X524" s="67" t="str">
        <f aca="false">IF(AND($J524="E-commerce",IFERROR($T524/$R524,0)&gt;Parametros!$C$14),"Alerta","OK")</f>
        <v>OK</v>
      </c>
      <c r="Y524" s="61" t="str">
        <f aca="false">IF($R524&gt;=Parametros!$C$12,"Alto",IF($R524&lt;Parametros!$C$13,"Bajo","Medio"))</f>
        <v>Alto</v>
      </c>
      <c r="Z524" s="61" t="n">
        <v>163</v>
      </c>
      <c r="AA524" s="61" t="str">
        <f aca="false">IF(MATCH($A524,Datos_Origen!$A$2:$A$2459,0)=$Z524,"OK","REVISAR")</f>
        <v>OK</v>
      </c>
      <c r="AB524" s="61" t="str">
        <f aca="false">INDEX(Datos_Origen!$B$2:$B$2459,$Z524)</f>
        <v>17/06/2024</v>
      </c>
      <c r="AC524" s="61" t="n">
        <f aca="false">INDEX(Datos_Origen!$H$2:$H$2459,$Z524)</f>
        <v>14</v>
      </c>
      <c r="AD524" s="61" t="str">
        <f aca="false">INDEX(Datos_Origen!$D$2:$D$2459,$Z524)&amp;""</f>
        <v>Cordoba</v>
      </c>
    </row>
    <row r="525" customFormat="false" ht="15" hidden="false" customHeight="false" outlineLevel="0" collapsed="false">
      <c r="A525" s="61" t="n">
        <f aca="false">INDEX(Datos_Origen!$A$2:$A$2459,$Z525)</f>
        <v>524</v>
      </c>
      <c r="B525" s="62" t="n">
        <f aca="false">IF(ISNUMBER($AB525),$AB525,IF(MID($AB525,5,1)="-",DATE(VALUE(LEFT($AB525,4)),VALUE(MID($AB525,6,2)),VALUE(RIGHT($AB525,2))),DATE(VALUE(RIGHT($AB525,4)),VALUE(MID($AB525,4,2)),VALUE(LEFT($AB525,2)))))</f>
        <v>45467</v>
      </c>
      <c r="C525" s="61" t="n">
        <f aca="false">YEAR($B525)</f>
        <v>2024</v>
      </c>
      <c r="D525" s="61" t="str">
        <f aca="false">"Q"&amp;ROUNDUP(MONTH($B525)/3,0)</f>
        <v>Q2</v>
      </c>
      <c r="E525" s="61" t="n">
        <f aca="false">MONTH($B525)</f>
        <v>6</v>
      </c>
      <c r="F525" s="61" t="str">
        <f aca="false">INDEX(Parametros!$I$5:$I$16,$E525)</f>
        <v>Jun</v>
      </c>
      <c r="G525" s="61" t="str">
        <f aca="false">TEXT($C525,"0000")&amp;"-"&amp;TEXT($E525,"00")</f>
        <v>2024-06</v>
      </c>
      <c r="H525" s="61" t="str">
        <f aca="false">INDEX(Parametros!$C$71:$C$91,MATCH(TRIM(INDEX(Datos_Origen!$C$2:$C$2459,$Z525)),Parametros!$B$71:$B$91,0))</f>
        <v>Centro</v>
      </c>
      <c r="I525" s="61" t="str">
        <f aca="false">IF(TRIM($AD525)="",INDEX(Parametros!$I$20:$I$24,MATCH($H525,Parametros!$H$20:$H$24,0)),TRIM($AD525))</f>
        <v>Cordoba</v>
      </c>
      <c r="J525" s="61" t="str">
        <f aca="false">INDEX(Parametros!$C$95:$C$106,MATCH(TRIM(INDEX(Datos_Origen!$E$2:$E$2459,$Z525)),Parametros!$B$95:$B$106,0))</f>
        <v>E-commerce</v>
      </c>
      <c r="K525" s="61" t="str">
        <f aca="false">INDEX(Parametros!$C$48:$C$67,MATCH(TRIM(INDEX(Datos_Origen!$F$2:$F$2459,$Z525)),Parametros!$B$48:$B$67,0))</f>
        <v>Computacion</v>
      </c>
      <c r="L525" s="61" t="str">
        <f aca="false">$K525&amp;" "&amp;$C525</f>
        <v>Computacion 2024</v>
      </c>
      <c r="M525" s="61" t="str">
        <f aca="false">TRIM(INDEX(Datos_Origen!$G$2:$G$2459,$Z525))</f>
        <v>Monitor 4K 27</v>
      </c>
      <c r="N525" s="61" t="str">
        <f aca="false">$M525&amp;" "&amp;$C525</f>
        <v>Monitor 4K 27 2024</v>
      </c>
      <c r="O525" s="63" t="n">
        <f aca="false">IF(ISTEXT($AC525),VALUE($AC525),$AC525)</f>
        <v>5</v>
      </c>
      <c r="P525" s="64" t="n">
        <f aca="false">INDEX(Datos_Origen!$I$2:$I$2459,$Z525)</f>
        <v>441</v>
      </c>
      <c r="Q525" s="64" t="n">
        <f aca="false">INDEX(Datos_Origen!$J$2:$J$2459,$Z525)</f>
        <v>272.25</v>
      </c>
      <c r="R525" s="65" t="n">
        <f aca="false">ROUND($O525*$P525,2)</f>
        <v>2205</v>
      </c>
      <c r="S525" s="65" t="n">
        <f aca="false">ROUND($O525*$Q525,2)</f>
        <v>1361.25</v>
      </c>
      <c r="T525" s="65" t="n">
        <f aca="false">ROUND($R525*SUMIFS(Parametros!$E$28:$E$43,Parametros!$B$28:$B$43,$J525,Parametros!$C$28:$C$43,$C525,Parametros!$D$28:$D$43,$D525),2)</f>
        <v>97.02</v>
      </c>
      <c r="U525" s="65" t="n">
        <f aca="false">$R525-$S525-$T525</f>
        <v>746.73</v>
      </c>
      <c r="V525" s="66" t="n">
        <f aca="false">IFERROR($U525/$R525,0)</f>
        <v>0.33865306122449</v>
      </c>
      <c r="W525" s="67" t="str">
        <f aca="false">IF(AND($V525&gt;=Parametros!$C$8,$R525&gt;=Parametros!$C$12),"Alta rentabilidad",IF(OR($V525&lt;Parametros!$C$11,$R525&lt;Parametros!$C$13),"Revisar","Estandar"))</f>
        <v>Estandar</v>
      </c>
      <c r="X525" s="67" t="str">
        <f aca="false">IF(AND($J525="E-commerce",IFERROR($T525/$R525,0)&gt;Parametros!$C$14),"Alerta","OK")</f>
        <v>OK</v>
      </c>
      <c r="Y525" s="61" t="str">
        <f aca="false">IF($R525&gt;=Parametros!$C$12,"Alto",IF($R525&lt;Parametros!$C$13,"Bajo","Medio"))</f>
        <v>Medio</v>
      </c>
      <c r="Z525" s="61" t="n">
        <v>1117</v>
      </c>
      <c r="AA525" s="61" t="str">
        <f aca="false">IF(MATCH($A525,Datos_Origen!$A$2:$A$2459,0)=$Z525,"OK","REVISAR")</f>
        <v>OK</v>
      </c>
      <c r="AB525" s="61" t="str">
        <f aca="false">INDEX(Datos_Origen!$B$2:$B$2459,$Z525)</f>
        <v>2024-06-24</v>
      </c>
      <c r="AC525" s="61" t="n">
        <f aca="false">INDEX(Datos_Origen!$H$2:$H$2459,$Z525)</f>
        <v>5</v>
      </c>
      <c r="AD525" s="61" t="str">
        <f aca="false">INDEX(Datos_Origen!$D$2:$D$2459,$Z525)&amp;""</f>
        <v>Cordoba</v>
      </c>
    </row>
    <row r="526" customFormat="false" ht="15" hidden="false" customHeight="false" outlineLevel="0" collapsed="false">
      <c r="A526" s="61" t="n">
        <f aca="false">INDEX(Datos_Origen!$A$2:$A$2459,$Z526)</f>
        <v>525</v>
      </c>
      <c r="B526" s="62" t="n">
        <f aca="false">IF(ISNUMBER($AB526),$AB526,IF(MID($AB526,5,1)="-",DATE(VALUE(LEFT($AB526,4)),VALUE(MID($AB526,6,2)),VALUE(RIGHT($AB526,2))),DATE(VALUE(RIGHT($AB526,4)),VALUE(MID($AB526,4,2)),VALUE(LEFT($AB526,2)))))</f>
        <v>45447</v>
      </c>
      <c r="C526" s="61" t="n">
        <f aca="false">YEAR($B526)</f>
        <v>2024</v>
      </c>
      <c r="D526" s="61" t="str">
        <f aca="false">"Q"&amp;ROUNDUP(MONTH($B526)/3,0)</f>
        <v>Q2</v>
      </c>
      <c r="E526" s="61" t="n">
        <f aca="false">MONTH($B526)</f>
        <v>6</v>
      </c>
      <c r="F526" s="61" t="str">
        <f aca="false">INDEX(Parametros!$I$5:$I$16,$E526)</f>
        <v>Jun</v>
      </c>
      <c r="G526" s="61" t="str">
        <f aca="false">TEXT($C526,"0000")&amp;"-"&amp;TEXT($E526,"00")</f>
        <v>2024-06</v>
      </c>
      <c r="H526" s="61" t="str">
        <f aca="false">INDEX(Parametros!$C$71:$C$91,MATCH(TRIM(INDEX(Datos_Origen!$C$2:$C$2459,$Z526)),Parametros!$B$71:$B$91,0))</f>
        <v>Centro</v>
      </c>
      <c r="I526" s="61" t="str">
        <f aca="false">IF(TRIM($AD526)="",INDEX(Parametros!$I$20:$I$24,MATCH($H526,Parametros!$H$20:$H$24,0)),TRIM($AD526))</f>
        <v>Cordoba</v>
      </c>
      <c r="J526" s="61" t="str">
        <f aca="false">INDEX(Parametros!$C$95:$C$106,MATCH(TRIM(INDEX(Datos_Origen!$E$2:$E$2459,$Z526)),Parametros!$B$95:$B$106,0))</f>
        <v>Tienda fisica</v>
      </c>
      <c r="K526" s="61" t="str">
        <f aca="false">INDEX(Parametros!$C$48:$C$67,MATCH(TRIM(INDEX(Datos_Origen!$F$2:$F$2459,$Z526)),Parametros!$B$48:$B$67,0))</f>
        <v>Computacion</v>
      </c>
      <c r="L526" s="61" t="str">
        <f aca="false">$K526&amp;" "&amp;$C526</f>
        <v>Computacion 2024</v>
      </c>
      <c r="M526" s="61" t="str">
        <f aca="false">TRIM(INDEX(Datos_Origen!$G$2:$G$2459,$Z526))</f>
        <v>PC Gamer Ryzen</v>
      </c>
      <c r="N526" s="61" t="str">
        <f aca="false">$M526&amp;" "&amp;$C526</f>
        <v>PC Gamer Ryzen 2024</v>
      </c>
      <c r="O526" s="63" t="n">
        <f aca="false">IF(ISTEXT($AC526),VALUE($AC526),$AC526)</f>
        <v>11</v>
      </c>
      <c r="P526" s="64" t="n">
        <f aca="false">INDEX(Datos_Origen!$I$2:$I$2459,$Z526)</f>
        <v>1617</v>
      </c>
      <c r="Q526" s="64" t="n">
        <f aca="false">INDEX(Datos_Origen!$J$2:$J$2459,$Z526)</f>
        <v>1122</v>
      </c>
      <c r="R526" s="65" t="n">
        <f aca="false">ROUND($O526*$P526,2)</f>
        <v>17787</v>
      </c>
      <c r="S526" s="65" t="n">
        <f aca="false">ROUND($O526*$Q526,2)</f>
        <v>12342</v>
      </c>
      <c r="T526" s="65" t="n">
        <f aca="false">ROUND($R526*SUMIFS(Parametros!$E$28:$E$43,Parametros!$B$28:$B$43,$J526,Parametros!$C$28:$C$43,$C526,Parametros!$D$28:$D$43,$D526),2)</f>
        <v>213.44</v>
      </c>
      <c r="U526" s="65" t="n">
        <f aca="false">$R526-$S526-$T526</f>
        <v>5231.56</v>
      </c>
      <c r="V526" s="66" t="n">
        <f aca="false">IFERROR($U526/$R526,0)</f>
        <v>0.294122673862934</v>
      </c>
      <c r="W526" s="67" t="str">
        <f aca="false">IF(AND($V526&gt;=Parametros!$C$8,$R526&gt;=Parametros!$C$12),"Alta rentabilidad",IF(OR($V526&lt;Parametros!$C$11,$R526&lt;Parametros!$C$13),"Revisar","Estandar"))</f>
        <v>Estandar</v>
      </c>
      <c r="X526" s="67" t="str">
        <f aca="false">IF(AND($J526="E-commerce",IFERROR($T526/$R526,0)&gt;Parametros!$C$14),"Alerta","OK")</f>
        <v>OK</v>
      </c>
      <c r="Y526" s="61" t="str">
        <f aca="false">IF($R526&gt;=Parametros!$C$12,"Alto",IF($R526&lt;Parametros!$C$13,"Bajo","Medio"))</f>
        <v>Alto</v>
      </c>
      <c r="Z526" s="61" t="n">
        <v>87</v>
      </c>
      <c r="AA526" s="61" t="str">
        <f aca="false">IF(MATCH($A526,Datos_Origen!$A$2:$A$2459,0)=$Z526,"OK","REVISAR")</f>
        <v>OK</v>
      </c>
      <c r="AB526" s="62" t="n">
        <f aca="false">INDEX(Datos_Origen!$B$2:$B$2459,$Z526)</f>
        <v>45447</v>
      </c>
      <c r="AC526" s="61" t="n">
        <f aca="false">INDEX(Datos_Origen!$H$2:$H$2459,$Z526)</f>
        <v>11</v>
      </c>
      <c r="AD526" s="61" t="str">
        <f aca="false">INDEX(Datos_Origen!$D$2:$D$2459,$Z526)&amp;""</f>
        <v>Cordoba</v>
      </c>
    </row>
    <row r="527" customFormat="false" ht="15" hidden="false" customHeight="false" outlineLevel="0" collapsed="false">
      <c r="A527" s="61" t="n">
        <f aca="false">INDEX(Datos_Origen!$A$2:$A$2459,$Z527)</f>
        <v>526</v>
      </c>
      <c r="B527" s="62" t="n">
        <f aca="false">IF(ISNUMBER($AB527),$AB527,IF(MID($AB527,5,1)="-",DATE(VALUE(LEFT($AB527,4)),VALUE(MID($AB527,6,2)),VALUE(RIGHT($AB527,2))),DATE(VALUE(RIGHT($AB527,4)),VALUE(MID($AB527,4,2)),VALUE(LEFT($AB527,2)))))</f>
        <v>45454</v>
      </c>
      <c r="C527" s="61" t="n">
        <f aca="false">YEAR($B527)</f>
        <v>2024</v>
      </c>
      <c r="D527" s="61" t="str">
        <f aca="false">"Q"&amp;ROUNDUP(MONTH($B527)/3,0)</f>
        <v>Q2</v>
      </c>
      <c r="E527" s="61" t="n">
        <f aca="false">MONTH($B527)</f>
        <v>6</v>
      </c>
      <c r="F527" s="61" t="str">
        <f aca="false">INDEX(Parametros!$I$5:$I$16,$E527)</f>
        <v>Jun</v>
      </c>
      <c r="G527" s="61" t="str">
        <f aca="false">TEXT($C527,"0000")&amp;"-"&amp;TEXT($E527,"00")</f>
        <v>2024-06</v>
      </c>
      <c r="H527" s="61" t="str">
        <f aca="false">INDEX(Parametros!$C$71:$C$91,MATCH(TRIM(INDEX(Datos_Origen!$C$2:$C$2459,$Z527)),Parametros!$B$71:$B$91,0))</f>
        <v>Centro</v>
      </c>
      <c r="I527" s="61" t="str">
        <f aca="false">IF(TRIM($AD527)="",INDEX(Parametros!$I$20:$I$24,MATCH($H527,Parametros!$H$20:$H$24,0)),TRIM($AD527))</f>
        <v>Cordoba</v>
      </c>
      <c r="J527" s="61" t="str">
        <f aca="false">INDEX(Parametros!$C$95:$C$106,MATCH(TRIM(INDEX(Datos_Origen!$E$2:$E$2459,$Z527)),Parametros!$B$95:$B$106,0))</f>
        <v>E-commerce</v>
      </c>
      <c r="K527" s="61" t="str">
        <f aca="false">INDEX(Parametros!$C$48:$C$67,MATCH(TRIM(INDEX(Datos_Origen!$F$2:$F$2459,$Z527)),Parametros!$B$48:$B$67,0))</f>
        <v>Computacion</v>
      </c>
      <c r="L527" s="61" t="str">
        <f aca="false">$K527&amp;" "&amp;$C527</f>
        <v>Computacion 2024</v>
      </c>
      <c r="M527" s="61" t="str">
        <f aca="false">TRIM(INDEX(Datos_Origen!$G$2:$G$2459,$Z527))</f>
        <v>PC Gamer Ryzen</v>
      </c>
      <c r="N527" s="61" t="str">
        <f aca="false">$M527&amp;" "&amp;$C527</f>
        <v>PC Gamer Ryzen 2024</v>
      </c>
      <c r="O527" s="63" t="n">
        <f aca="false">IF(ISTEXT($AC527),VALUE($AC527),$AC527)</f>
        <v>5</v>
      </c>
      <c r="P527" s="64" t="n">
        <f aca="false">INDEX(Datos_Origen!$I$2:$I$2459,$Z527)</f>
        <v>1617</v>
      </c>
      <c r="Q527" s="64" t="n">
        <f aca="false">INDEX(Datos_Origen!$J$2:$J$2459,$Z527)</f>
        <v>1122</v>
      </c>
      <c r="R527" s="65" t="n">
        <f aca="false">ROUND($O527*$P527,2)</f>
        <v>8085</v>
      </c>
      <c r="S527" s="65" t="n">
        <f aca="false">ROUND($O527*$Q527,2)</f>
        <v>5610</v>
      </c>
      <c r="T527" s="65" t="n">
        <f aca="false">ROUND($R527*SUMIFS(Parametros!$E$28:$E$43,Parametros!$B$28:$B$43,$J527,Parametros!$C$28:$C$43,$C527,Parametros!$D$28:$D$43,$D527),2)</f>
        <v>355.74</v>
      </c>
      <c r="U527" s="65" t="n">
        <f aca="false">$R527-$S527-$T527</f>
        <v>2119.26</v>
      </c>
      <c r="V527" s="66" t="n">
        <f aca="false">IFERROR($U527/$R527,0)</f>
        <v>0.262122448979592</v>
      </c>
      <c r="W527" s="67" t="str">
        <f aca="false">IF(AND($V527&gt;=Parametros!$C$8,$R527&gt;=Parametros!$C$12),"Alta rentabilidad",IF(OR($V527&lt;Parametros!$C$11,$R527&lt;Parametros!$C$13),"Revisar","Estandar"))</f>
        <v>Revisar</v>
      </c>
      <c r="X527" s="67" t="str">
        <f aca="false">IF(AND($J527="E-commerce",IFERROR($T527/$R527,0)&gt;Parametros!$C$14),"Alerta","OK")</f>
        <v>OK</v>
      </c>
      <c r="Y527" s="61" t="str">
        <f aca="false">IF($R527&gt;=Parametros!$C$12,"Alto",IF($R527&lt;Parametros!$C$13,"Bajo","Medio"))</f>
        <v>Alto</v>
      </c>
      <c r="Z527" s="61" t="n">
        <v>1818</v>
      </c>
      <c r="AA527" s="61" t="str">
        <f aca="false">IF(MATCH($A527,Datos_Origen!$A$2:$A$2459,0)=$Z527,"OK","REVISAR")</f>
        <v>OK</v>
      </c>
      <c r="AB527" s="62" t="n">
        <f aca="false">INDEX(Datos_Origen!$B$2:$B$2459,$Z527)</f>
        <v>45454</v>
      </c>
      <c r="AC527" s="61" t="n">
        <f aca="false">INDEX(Datos_Origen!$H$2:$H$2459,$Z527)</f>
        <v>5</v>
      </c>
      <c r="AD527" s="61" t="str">
        <f aca="false">INDEX(Datos_Origen!$D$2:$D$2459,$Z527)&amp;""</f>
        <v>Cordoba</v>
      </c>
    </row>
    <row r="528" customFormat="false" ht="15" hidden="false" customHeight="false" outlineLevel="0" collapsed="false">
      <c r="A528" s="61" t="n">
        <f aca="false">INDEX(Datos_Origen!$A$2:$A$2459,$Z528)</f>
        <v>527</v>
      </c>
      <c r="B528" s="62" t="n">
        <f aca="false">IF(ISNUMBER($AB528),$AB528,IF(MID($AB528,5,1)="-",DATE(VALUE(LEFT($AB528,4)),VALUE(MID($AB528,6,2)),VALUE(RIGHT($AB528,2))),DATE(VALUE(RIGHT($AB528,4)),VALUE(MID($AB528,4,2)),VALUE(LEFT($AB528,2)))))</f>
        <v>45461</v>
      </c>
      <c r="C528" s="61" t="n">
        <f aca="false">YEAR($B528)</f>
        <v>2024</v>
      </c>
      <c r="D528" s="61" t="str">
        <f aca="false">"Q"&amp;ROUNDUP(MONTH($B528)/3,0)</f>
        <v>Q2</v>
      </c>
      <c r="E528" s="61" t="n">
        <f aca="false">MONTH($B528)</f>
        <v>6</v>
      </c>
      <c r="F528" s="61" t="str">
        <f aca="false">INDEX(Parametros!$I$5:$I$16,$E528)</f>
        <v>Jun</v>
      </c>
      <c r="G528" s="61" t="str">
        <f aca="false">TEXT($C528,"0000")&amp;"-"&amp;TEXT($E528,"00")</f>
        <v>2024-06</v>
      </c>
      <c r="H528" s="61" t="str">
        <f aca="false">INDEX(Parametros!$C$71:$C$91,MATCH(TRIM(INDEX(Datos_Origen!$C$2:$C$2459,$Z528)),Parametros!$B$71:$B$91,0))</f>
        <v>Centro</v>
      </c>
      <c r="I528" s="61" t="str">
        <f aca="false">IF(TRIM($AD528)="",INDEX(Parametros!$I$20:$I$24,MATCH($H528,Parametros!$H$20:$H$24,0)),TRIM($AD528))</f>
        <v>Cordoba</v>
      </c>
      <c r="J528" s="61" t="str">
        <f aca="false">INDEX(Parametros!$C$95:$C$106,MATCH(TRIM(INDEX(Datos_Origen!$E$2:$E$2459,$Z528)),Parametros!$B$95:$B$106,0))</f>
        <v>Tienda fisica</v>
      </c>
      <c r="K528" s="61" t="str">
        <f aca="false">INDEX(Parametros!$C$48:$C$67,MATCH(TRIM(INDEX(Datos_Origen!$F$2:$F$2459,$Z528)),Parametros!$B$48:$B$67,0))</f>
        <v>Accesorios</v>
      </c>
      <c r="L528" s="61" t="str">
        <f aca="false">$K528&amp;" "&amp;$C528</f>
        <v>Accesorios 2024</v>
      </c>
      <c r="M528" s="61" t="str">
        <f aca="false">TRIM(INDEX(Datos_Origen!$G$2:$G$2459,$Z528))</f>
        <v>Mouse Inalambrico</v>
      </c>
      <c r="N528" s="61" t="str">
        <f aca="false">$M528&amp;" "&amp;$C528</f>
        <v>Mouse Inalambrico 2024</v>
      </c>
      <c r="O528" s="63" t="n">
        <f aca="false">IF(ISTEXT($AC528),VALUE($AC528),$AC528)</f>
        <v>70</v>
      </c>
      <c r="P528" s="64" t="n">
        <f aca="false">INDEX(Datos_Origen!$I$2:$I$2459,$Z528)</f>
        <v>27.44</v>
      </c>
      <c r="Q528" s="64" t="n">
        <f aca="false">INDEX(Datos_Origen!$J$2:$J$2459,$Z528)</f>
        <v>13.44</v>
      </c>
      <c r="R528" s="65" t="n">
        <f aca="false">ROUND($O528*$P528,2)</f>
        <v>1920.8</v>
      </c>
      <c r="S528" s="65" t="n">
        <f aca="false">ROUND($O528*$Q528,2)</f>
        <v>940.8</v>
      </c>
      <c r="T528" s="65" t="n">
        <f aca="false">ROUND($R528*SUMIFS(Parametros!$E$28:$E$43,Parametros!$B$28:$B$43,$J528,Parametros!$C$28:$C$43,$C528,Parametros!$D$28:$D$43,$D528),2)</f>
        <v>23.05</v>
      </c>
      <c r="U528" s="65" t="n">
        <f aca="false">$R528-$S528-$T528</f>
        <v>956.95</v>
      </c>
      <c r="V528" s="66" t="n">
        <f aca="false">IFERROR($U528/$R528,0)</f>
        <v>0.498203873386089</v>
      </c>
      <c r="W528" s="67" t="str">
        <f aca="false">IF(AND($V528&gt;=Parametros!$C$8,$R528&gt;=Parametros!$C$12),"Alta rentabilidad",IF(OR($V528&lt;Parametros!$C$11,$R528&lt;Parametros!$C$13),"Revisar","Estandar"))</f>
        <v>Estandar</v>
      </c>
      <c r="X528" s="67" t="str">
        <f aca="false">IF(AND($J528="E-commerce",IFERROR($T528/$R528,0)&gt;Parametros!$C$14),"Alerta","OK")</f>
        <v>OK</v>
      </c>
      <c r="Y528" s="61" t="str">
        <f aca="false">IF($R528&gt;=Parametros!$C$12,"Alto",IF($R528&lt;Parametros!$C$13,"Bajo","Medio"))</f>
        <v>Medio</v>
      </c>
      <c r="Z528" s="61" t="n">
        <v>747</v>
      </c>
      <c r="AA528" s="61" t="str">
        <f aca="false">IF(MATCH($A528,Datos_Origen!$A$2:$A$2459,0)=$Z528,"OK","REVISAR")</f>
        <v>OK</v>
      </c>
      <c r="AB528" s="62" t="n">
        <f aca="false">INDEX(Datos_Origen!$B$2:$B$2459,$Z528)</f>
        <v>45461</v>
      </c>
      <c r="AC528" s="61" t="n">
        <f aca="false">INDEX(Datos_Origen!$H$2:$H$2459,$Z528)</f>
        <v>70</v>
      </c>
      <c r="AD528" s="61" t="str">
        <f aca="false">INDEX(Datos_Origen!$D$2:$D$2459,$Z528)&amp;""</f>
        <v>Cordoba</v>
      </c>
    </row>
    <row r="529" customFormat="false" ht="15" hidden="false" customHeight="false" outlineLevel="0" collapsed="false">
      <c r="A529" s="61" t="n">
        <f aca="false">INDEX(Datos_Origen!$A$2:$A$2459,$Z529)</f>
        <v>528</v>
      </c>
      <c r="B529" s="62" t="n">
        <f aca="false">IF(ISNUMBER($AB529),$AB529,IF(MID($AB529,5,1)="-",DATE(VALUE(LEFT($AB529,4)),VALUE(MID($AB529,6,2)),VALUE(RIGHT($AB529,2))),DATE(VALUE(RIGHT($AB529,4)),VALUE(MID($AB529,4,2)),VALUE(LEFT($AB529,2)))))</f>
        <v>45468</v>
      </c>
      <c r="C529" s="61" t="n">
        <f aca="false">YEAR($B529)</f>
        <v>2024</v>
      </c>
      <c r="D529" s="61" t="str">
        <f aca="false">"Q"&amp;ROUNDUP(MONTH($B529)/3,0)</f>
        <v>Q2</v>
      </c>
      <c r="E529" s="61" t="n">
        <f aca="false">MONTH($B529)</f>
        <v>6</v>
      </c>
      <c r="F529" s="61" t="str">
        <f aca="false">INDEX(Parametros!$I$5:$I$16,$E529)</f>
        <v>Jun</v>
      </c>
      <c r="G529" s="61" t="str">
        <f aca="false">TEXT($C529,"0000")&amp;"-"&amp;TEXT($E529,"00")</f>
        <v>2024-06</v>
      </c>
      <c r="H529" s="61" t="str">
        <f aca="false">INDEX(Parametros!$C$71:$C$91,MATCH(TRIM(INDEX(Datos_Origen!$C$2:$C$2459,$Z529)),Parametros!$B$71:$B$91,0))</f>
        <v>Centro</v>
      </c>
      <c r="I529" s="61" t="str">
        <f aca="false">IF(TRIM($AD529)="",INDEX(Parametros!$I$20:$I$24,MATCH($H529,Parametros!$H$20:$H$24,0)),TRIM($AD529))</f>
        <v>Cordoba</v>
      </c>
      <c r="J529" s="61" t="str">
        <f aca="false">INDEX(Parametros!$C$95:$C$106,MATCH(TRIM(INDEX(Datos_Origen!$E$2:$E$2459,$Z529)),Parametros!$B$95:$B$106,0))</f>
        <v>E-commerce</v>
      </c>
      <c r="K529" s="61" t="str">
        <f aca="false">INDEX(Parametros!$C$48:$C$67,MATCH(TRIM(INDEX(Datos_Origen!$F$2:$F$2459,$Z529)),Parametros!$B$48:$B$67,0))</f>
        <v>Accesorios</v>
      </c>
      <c r="L529" s="61" t="str">
        <f aca="false">$K529&amp;" "&amp;$C529</f>
        <v>Accesorios 2024</v>
      </c>
      <c r="M529" s="61" t="str">
        <f aca="false">TRIM(INDEX(Datos_Origen!$G$2:$G$2459,$Z529))</f>
        <v>Mouse Inalambrico</v>
      </c>
      <c r="N529" s="61" t="str">
        <f aca="false">$M529&amp;" "&amp;$C529</f>
        <v>Mouse Inalambrico 2024</v>
      </c>
      <c r="O529" s="63" t="n">
        <f aca="false">IF(ISTEXT($AC529),VALUE($AC529),$AC529)</f>
        <v>24</v>
      </c>
      <c r="P529" s="64" t="n">
        <f aca="false">INDEX(Datos_Origen!$I$2:$I$2459,$Z529)</f>
        <v>27.44</v>
      </c>
      <c r="Q529" s="64" t="n">
        <f aca="false">INDEX(Datos_Origen!$J$2:$J$2459,$Z529)</f>
        <v>13.44</v>
      </c>
      <c r="R529" s="65" t="n">
        <f aca="false">ROUND($O529*$P529,2)</f>
        <v>658.56</v>
      </c>
      <c r="S529" s="65" t="n">
        <f aca="false">ROUND($O529*$Q529,2)</f>
        <v>322.56</v>
      </c>
      <c r="T529" s="65" t="n">
        <f aca="false">ROUND($R529*SUMIFS(Parametros!$E$28:$E$43,Parametros!$B$28:$B$43,$J529,Parametros!$C$28:$C$43,$C529,Parametros!$D$28:$D$43,$D529),2)</f>
        <v>28.98</v>
      </c>
      <c r="U529" s="65" t="n">
        <f aca="false">$R529-$S529-$T529</f>
        <v>307.02</v>
      </c>
      <c r="V529" s="66" t="n">
        <f aca="false">IFERROR($U529/$R529,0)</f>
        <v>0.466198979591837</v>
      </c>
      <c r="W529" s="67" t="str">
        <f aca="false">IF(AND($V529&gt;=Parametros!$C$8,$R529&gt;=Parametros!$C$12),"Alta rentabilidad",IF(OR($V529&lt;Parametros!$C$11,$R529&lt;Parametros!$C$13),"Revisar","Estandar"))</f>
        <v>Estandar</v>
      </c>
      <c r="X529" s="67" t="str">
        <f aca="false">IF(AND($J529="E-commerce",IFERROR($T529/$R529,0)&gt;Parametros!$C$14),"Alerta","OK")</f>
        <v>OK</v>
      </c>
      <c r="Y529" s="61" t="str">
        <f aca="false">IF($R529&gt;=Parametros!$C$12,"Alto",IF($R529&lt;Parametros!$C$13,"Bajo","Medio"))</f>
        <v>Medio</v>
      </c>
      <c r="Z529" s="61" t="n">
        <v>2099</v>
      </c>
      <c r="AA529" s="61" t="str">
        <f aca="false">IF(MATCH($A529,Datos_Origen!$A$2:$A$2459,0)=$Z529,"OK","REVISAR")</f>
        <v>OK</v>
      </c>
      <c r="AB529" s="62" t="n">
        <f aca="false">INDEX(Datos_Origen!$B$2:$B$2459,$Z529)</f>
        <v>45468</v>
      </c>
      <c r="AC529" s="61" t="n">
        <f aca="false">INDEX(Datos_Origen!$H$2:$H$2459,$Z529)</f>
        <v>24</v>
      </c>
      <c r="AD529" s="61" t="str">
        <f aca="false">INDEX(Datos_Origen!$D$2:$D$2459,$Z529)&amp;""</f>
        <v>Cordoba</v>
      </c>
    </row>
    <row r="530" customFormat="false" ht="15" hidden="false" customHeight="false" outlineLevel="0" collapsed="false">
      <c r="A530" s="61" t="n">
        <f aca="false">INDEX(Datos_Origen!$A$2:$A$2459,$Z530)</f>
        <v>529</v>
      </c>
      <c r="B530" s="62" t="n">
        <f aca="false">IF(ISNUMBER($AB530),$AB530,IF(MID($AB530,5,1)="-",DATE(VALUE(LEFT($AB530,4)),VALUE(MID($AB530,6,2)),VALUE(RIGHT($AB530,2))),DATE(VALUE(RIGHT($AB530,4)),VALUE(MID($AB530,4,2)),VALUE(LEFT($AB530,2)))))</f>
        <v>45448</v>
      </c>
      <c r="C530" s="61" t="n">
        <f aca="false">YEAR($B530)</f>
        <v>2024</v>
      </c>
      <c r="D530" s="61" t="str">
        <f aca="false">"Q"&amp;ROUNDUP(MONTH($B530)/3,0)</f>
        <v>Q2</v>
      </c>
      <c r="E530" s="61" t="n">
        <f aca="false">MONTH($B530)</f>
        <v>6</v>
      </c>
      <c r="F530" s="61" t="str">
        <f aca="false">INDEX(Parametros!$I$5:$I$16,$E530)</f>
        <v>Jun</v>
      </c>
      <c r="G530" s="61" t="str">
        <f aca="false">TEXT($C530,"0000")&amp;"-"&amp;TEXT($E530,"00")</f>
        <v>2024-06</v>
      </c>
      <c r="H530" s="61" t="str">
        <f aca="false">INDEX(Parametros!$C$71:$C$91,MATCH(TRIM(INDEX(Datos_Origen!$C$2:$C$2459,$Z530)),Parametros!$B$71:$B$91,0))</f>
        <v>Centro</v>
      </c>
      <c r="I530" s="61" t="str">
        <f aca="false">IF(TRIM($AD530)="",INDEX(Parametros!$I$20:$I$24,MATCH($H530,Parametros!$H$20:$H$24,0)),TRIM($AD530))</f>
        <v>Cordoba</v>
      </c>
      <c r="J530" s="61" t="str">
        <f aca="false">INDEX(Parametros!$C$95:$C$106,MATCH(TRIM(INDEX(Datos_Origen!$E$2:$E$2459,$Z530)),Parametros!$B$95:$B$106,0))</f>
        <v>Tienda fisica</v>
      </c>
      <c r="K530" s="61" t="str">
        <f aca="false">INDEX(Parametros!$C$48:$C$67,MATCH(TRIM(INDEX(Datos_Origen!$F$2:$F$2459,$Z530)),Parametros!$B$48:$B$67,0))</f>
        <v>Accesorios</v>
      </c>
      <c r="L530" s="61" t="str">
        <f aca="false">$K530&amp;" "&amp;$C530</f>
        <v>Accesorios 2024</v>
      </c>
      <c r="M530" s="61" t="str">
        <f aca="false">TRIM(INDEX(Datos_Origen!$G$2:$G$2459,$Z530))</f>
        <v>Teclado Mecanico</v>
      </c>
      <c r="N530" s="61" t="str">
        <f aca="false">$M530&amp;" "&amp;$C530</f>
        <v>Teclado Mecanico 2024</v>
      </c>
      <c r="O530" s="63" t="n">
        <f aca="false">IF(ISTEXT($AC530),VALUE($AC530),$AC530)</f>
        <v>58</v>
      </c>
      <c r="P530" s="64" t="n">
        <f aca="false">INDEX(Datos_Origen!$I$2:$I$2459,$Z530)</f>
        <v>93.1</v>
      </c>
      <c r="Q530" s="64" t="n">
        <f aca="false">INDEX(Datos_Origen!$J$2:$J$2459,$Z530)</f>
        <v>47.98</v>
      </c>
      <c r="R530" s="65" t="n">
        <f aca="false">ROUND($O530*$P530,2)</f>
        <v>5399.8</v>
      </c>
      <c r="S530" s="65" t="n">
        <f aca="false">ROUND($O530*$Q530,2)</f>
        <v>2782.84</v>
      </c>
      <c r="T530" s="65" t="n">
        <f aca="false">ROUND($R530*SUMIFS(Parametros!$E$28:$E$43,Parametros!$B$28:$B$43,$J530,Parametros!$C$28:$C$43,$C530,Parametros!$D$28:$D$43,$D530),2)</f>
        <v>64.8</v>
      </c>
      <c r="U530" s="65" t="n">
        <f aca="false">$R530-$S530-$T530</f>
        <v>2552.16</v>
      </c>
      <c r="V530" s="66" t="n">
        <f aca="false">IFERROR($U530/$R530,0)</f>
        <v>0.472639727397311</v>
      </c>
      <c r="W530" s="67" t="str">
        <f aca="false">IF(AND($V530&gt;=Parametros!$C$8,$R530&gt;=Parametros!$C$12),"Alta rentabilidad",IF(OR($V530&lt;Parametros!$C$11,$R530&lt;Parametros!$C$13),"Revisar","Estandar"))</f>
        <v>Alta rentabilidad</v>
      </c>
      <c r="X530" s="67" t="str">
        <f aca="false">IF(AND($J530="E-commerce",IFERROR($T530/$R530,0)&gt;Parametros!$C$14),"Alerta","OK")</f>
        <v>OK</v>
      </c>
      <c r="Y530" s="61" t="str">
        <f aca="false">IF($R530&gt;=Parametros!$C$12,"Alto",IF($R530&lt;Parametros!$C$13,"Bajo","Medio"))</f>
        <v>Alto</v>
      </c>
      <c r="Z530" s="61" t="n">
        <v>1867</v>
      </c>
      <c r="AA530" s="61" t="str">
        <f aca="false">IF(MATCH($A530,Datos_Origen!$A$2:$A$2459,0)=$Z530,"OK","REVISAR")</f>
        <v>OK</v>
      </c>
      <c r="AB530" s="62" t="n">
        <f aca="false">INDEX(Datos_Origen!$B$2:$B$2459,$Z530)</f>
        <v>45448</v>
      </c>
      <c r="AC530" s="61" t="n">
        <f aca="false">INDEX(Datos_Origen!$H$2:$H$2459,$Z530)</f>
        <v>58</v>
      </c>
      <c r="AD530" s="61" t="str">
        <f aca="false">INDEX(Datos_Origen!$D$2:$D$2459,$Z530)&amp;""</f>
        <v>Cordoba</v>
      </c>
    </row>
    <row r="531" customFormat="false" ht="15" hidden="false" customHeight="false" outlineLevel="0" collapsed="false">
      <c r="A531" s="61" t="n">
        <f aca="false">INDEX(Datos_Origen!$A$2:$A$2459,$Z531)</f>
        <v>530</v>
      </c>
      <c r="B531" s="62" t="n">
        <f aca="false">IF(ISNUMBER($AB531),$AB531,IF(MID($AB531,5,1)="-",DATE(VALUE(LEFT($AB531,4)),VALUE(MID($AB531,6,2)),VALUE(RIGHT($AB531,2))),DATE(VALUE(RIGHT($AB531,4)),VALUE(MID($AB531,4,2)),VALUE(LEFT($AB531,2)))))</f>
        <v>45455</v>
      </c>
      <c r="C531" s="61" t="n">
        <f aca="false">YEAR($B531)</f>
        <v>2024</v>
      </c>
      <c r="D531" s="61" t="str">
        <f aca="false">"Q"&amp;ROUNDUP(MONTH($B531)/3,0)</f>
        <v>Q2</v>
      </c>
      <c r="E531" s="61" t="n">
        <f aca="false">MONTH($B531)</f>
        <v>6</v>
      </c>
      <c r="F531" s="61" t="str">
        <f aca="false">INDEX(Parametros!$I$5:$I$16,$E531)</f>
        <v>Jun</v>
      </c>
      <c r="G531" s="61" t="str">
        <f aca="false">TEXT($C531,"0000")&amp;"-"&amp;TEXT($E531,"00")</f>
        <v>2024-06</v>
      </c>
      <c r="H531" s="61" t="str">
        <f aca="false">INDEX(Parametros!$C$71:$C$91,MATCH(TRIM(INDEX(Datos_Origen!$C$2:$C$2459,$Z531)),Parametros!$B$71:$B$91,0))</f>
        <v>Centro</v>
      </c>
      <c r="I531" s="61" t="str">
        <f aca="false">IF(TRIM($AD531)="",INDEX(Parametros!$I$20:$I$24,MATCH($H531,Parametros!$H$20:$H$24,0)),TRIM($AD531))</f>
        <v>Cordoba</v>
      </c>
      <c r="J531" s="61" t="str">
        <f aca="false">INDEX(Parametros!$C$95:$C$106,MATCH(TRIM(INDEX(Datos_Origen!$E$2:$E$2459,$Z531)),Parametros!$B$95:$B$106,0))</f>
        <v>E-commerce</v>
      </c>
      <c r="K531" s="61" t="str">
        <f aca="false">INDEX(Parametros!$C$48:$C$67,MATCH(TRIM(INDEX(Datos_Origen!$F$2:$F$2459,$Z531)),Parametros!$B$48:$B$67,0))</f>
        <v>Accesorios</v>
      </c>
      <c r="L531" s="61" t="str">
        <f aca="false">$K531&amp;" "&amp;$C531</f>
        <v>Accesorios 2024</v>
      </c>
      <c r="M531" s="61" t="str">
        <f aca="false">TRIM(INDEX(Datos_Origen!$G$2:$G$2459,$Z531))</f>
        <v>Teclado Mecanico</v>
      </c>
      <c r="N531" s="61" t="str">
        <f aca="false">$M531&amp;" "&amp;$C531</f>
        <v>Teclado Mecanico 2024</v>
      </c>
      <c r="O531" s="63" t="n">
        <f aca="false">IF(ISTEXT($AC531),VALUE($AC531),$AC531)</f>
        <v>20</v>
      </c>
      <c r="P531" s="64" t="n">
        <f aca="false">INDEX(Datos_Origen!$I$2:$I$2459,$Z531)</f>
        <v>93.1</v>
      </c>
      <c r="Q531" s="64" t="n">
        <f aca="false">INDEX(Datos_Origen!$J$2:$J$2459,$Z531)</f>
        <v>47.98</v>
      </c>
      <c r="R531" s="65" t="n">
        <f aca="false">ROUND($O531*$P531,2)</f>
        <v>1862</v>
      </c>
      <c r="S531" s="65" t="n">
        <f aca="false">ROUND($O531*$Q531,2)</f>
        <v>959.6</v>
      </c>
      <c r="T531" s="65" t="n">
        <f aca="false">ROUND($R531*SUMIFS(Parametros!$E$28:$E$43,Parametros!$B$28:$B$43,$J531,Parametros!$C$28:$C$43,$C531,Parametros!$D$28:$D$43,$D531),2)</f>
        <v>81.93</v>
      </c>
      <c r="U531" s="65" t="n">
        <f aca="false">$R531-$S531-$T531</f>
        <v>820.47</v>
      </c>
      <c r="V531" s="66" t="n">
        <f aca="false">IFERROR($U531/$R531,0)</f>
        <v>0.440639097744361</v>
      </c>
      <c r="W531" s="67" t="str">
        <f aca="false">IF(AND($V531&gt;=Parametros!$C$8,$R531&gt;=Parametros!$C$12),"Alta rentabilidad",IF(OR($V531&lt;Parametros!$C$11,$R531&lt;Parametros!$C$13),"Revisar","Estandar"))</f>
        <v>Estandar</v>
      </c>
      <c r="X531" s="67" t="str">
        <f aca="false">IF(AND($J531="E-commerce",IFERROR($T531/$R531,0)&gt;Parametros!$C$14),"Alerta","OK")</f>
        <v>OK</v>
      </c>
      <c r="Y531" s="61" t="str">
        <f aca="false">IF($R531&gt;=Parametros!$C$12,"Alto",IF($R531&lt;Parametros!$C$13,"Bajo","Medio"))</f>
        <v>Medio</v>
      </c>
      <c r="Z531" s="61" t="n">
        <v>2250</v>
      </c>
      <c r="AA531" s="61" t="str">
        <f aca="false">IF(MATCH($A531,Datos_Origen!$A$2:$A$2459,0)=$Z531,"OK","REVISAR")</f>
        <v>OK</v>
      </c>
      <c r="AB531" s="61" t="str">
        <f aca="false">INDEX(Datos_Origen!$B$2:$B$2459,$Z531)</f>
        <v>12/06/2024</v>
      </c>
      <c r="AC531" s="61" t="n">
        <f aca="false">INDEX(Datos_Origen!$H$2:$H$2459,$Z531)</f>
        <v>20</v>
      </c>
      <c r="AD531" s="61" t="str">
        <f aca="false">INDEX(Datos_Origen!$D$2:$D$2459,$Z531)&amp;""</f>
        <v>Cordoba</v>
      </c>
    </row>
    <row r="532" customFormat="false" ht="15" hidden="false" customHeight="false" outlineLevel="0" collapsed="false">
      <c r="A532" s="61" t="n">
        <f aca="false">INDEX(Datos_Origen!$A$2:$A$2459,$Z532)</f>
        <v>531</v>
      </c>
      <c r="B532" s="62" t="n">
        <f aca="false">IF(ISNUMBER($AB532),$AB532,IF(MID($AB532,5,1)="-",DATE(VALUE(LEFT($AB532,4)),VALUE(MID($AB532,6,2)),VALUE(RIGHT($AB532,2))),DATE(VALUE(RIGHT($AB532,4)),VALUE(MID($AB532,4,2)),VALUE(LEFT($AB532,2)))))</f>
        <v>45462</v>
      </c>
      <c r="C532" s="61" t="n">
        <f aca="false">YEAR($B532)</f>
        <v>2024</v>
      </c>
      <c r="D532" s="61" t="str">
        <f aca="false">"Q"&amp;ROUNDUP(MONTH($B532)/3,0)</f>
        <v>Q2</v>
      </c>
      <c r="E532" s="61" t="n">
        <f aca="false">MONTH($B532)</f>
        <v>6</v>
      </c>
      <c r="F532" s="61" t="str">
        <f aca="false">INDEX(Parametros!$I$5:$I$16,$E532)</f>
        <v>Jun</v>
      </c>
      <c r="G532" s="61" t="str">
        <f aca="false">TEXT($C532,"0000")&amp;"-"&amp;TEXT($E532,"00")</f>
        <v>2024-06</v>
      </c>
      <c r="H532" s="61" t="str">
        <f aca="false">INDEX(Parametros!$C$71:$C$91,MATCH(TRIM(INDEX(Datos_Origen!$C$2:$C$2459,$Z532)),Parametros!$B$71:$B$91,0))</f>
        <v>Centro</v>
      </c>
      <c r="I532" s="61" t="str">
        <f aca="false">IF(TRIM($AD532)="",INDEX(Parametros!$I$20:$I$24,MATCH($H532,Parametros!$H$20:$H$24,0)),TRIM($AD532))</f>
        <v>Cordoba</v>
      </c>
      <c r="J532" s="61" t="str">
        <f aca="false">INDEX(Parametros!$C$95:$C$106,MATCH(TRIM(INDEX(Datos_Origen!$E$2:$E$2459,$Z532)),Parametros!$B$95:$B$106,0))</f>
        <v>Tienda fisica</v>
      </c>
      <c r="K532" s="61" t="str">
        <f aca="false">INDEX(Parametros!$C$48:$C$67,MATCH(TRIM(INDEX(Datos_Origen!$F$2:$F$2459,$Z532)),Parametros!$B$48:$B$67,0))</f>
        <v>Accesorios</v>
      </c>
      <c r="L532" s="61" t="str">
        <f aca="false">$K532&amp;" "&amp;$C532</f>
        <v>Accesorios 2024</v>
      </c>
      <c r="M532" s="61" t="str">
        <f aca="false">TRIM(INDEX(Datos_Origen!$G$2:$G$2459,$Z532))</f>
        <v>Webcam Full HD</v>
      </c>
      <c r="N532" s="61" t="str">
        <f aca="false">$M532&amp;" "&amp;$C532</f>
        <v>Webcam Full HD 2024</v>
      </c>
      <c r="O532" s="63" t="n">
        <f aca="false">IF(ISTEXT($AC532),VALUE($AC532),$AC532)</f>
        <v>70</v>
      </c>
      <c r="P532" s="64" t="n">
        <f aca="false">INDEX(Datos_Origen!$I$2:$I$2459,$Z532)</f>
        <v>63.7</v>
      </c>
      <c r="Q532" s="64" t="n">
        <f aca="false">INDEX(Datos_Origen!$J$2:$J$2459,$Z532)</f>
        <v>35.43</v>
      </c>
      <c r="R532" s="65" t="n">
        <f aca="false">ROUND($O532*$P532,2)</f>
        <v>4459</v>
      </c>
      <c r="S532" s="65" t="n">
        <f aca="false">ROUND($O532*$Q532,2)</f>
        <v>2480.1</v>
      </c>
      <c r="T532" s="65" t="n">
        <f aca="false">ROUND($R532*SUMIFS(Parametros!$E$28:$E$43,Parametros!$B$28:$B$43,$J532,Parametros!$C$28:$C$43,$C532,Parametros!$D$28:$D$43,$D532),2)</f>
        <v>53.51</v>
      </c>
      <c r="U532" s="65" t="n">
        <f aca="false">$R532-$S532-$T532</f>
        <v>1925.39</v>
      </c>
      <c r="V532" s="66" t="n">
        <f aca="false">IFERROR($U532/$R532,0)</f>
        <v>0.431798609553712</v>
      </c>
      <c r="W532" s="67" t="str">
        <f aca="false">IF(AND($V532&gt;=Parametros!$C$8,$R532&gt;=Parametros!$C$12),"Alta rentabilidad",IF(OR($V532&lt;Parametros!$C$11,$R532&lt;Parametros!$C$13),"Revisar","Estandar"))</f>
        <v>Alta rentabilidad</v>
      </c>
      <c r="X532" s="67" t="str">
        <f aca="false">IF(AND($J532="E-commerce",IFERROR($T532/$R532,0)&gt;Parametros!$C$14),"Alerta","OK")</f>
        <v>OK</v>
      </c>
      <c r="Y532" s="61" t="str">
        <f aca="false">IF($R532&gt;=Parametros!$C$12,"Alto",IF($R532&lt;Parametros!$C$13,"Bajo","Medio"))</f>
        <v>Alto</v>
      </c>
      <c r="Z532" s="61" t="n">
        <v>2402</v>
      </c>
      <c r="AA532" s="61" t="str">
        <f aca="false">IF(MATCH($A532,Datos_Origen!$A$2:$A$2459,0)=$Z532,"OK","REVISAR")</f>
        <v>OK</v>
      </c>
      <c r="AB532" s="62" t="n">
        <f aca="false">INDEX(Datos_Origen!$B$2:$B$2459,$Z532)</f>
        <v>45462</v>
      </c>
      <c r="AC532" s="61" t="str">
        <f aca="false">INDEX(Datos_Origen!$H$2:$H$2459,$Z532)</f>
        <v>70</v>
      </c>
      <c r="AD532" s="61" t="str">
        <f aca="false">INDEX(Datos_Origen!$D$2:$D$2459,$Z532)&amp;""</f>
        <v>Cordoba</v>
      </c>
    </row>
    <row r="533" customFormat="false" ht="15" hidden="false" customHeight="false" outlineLevel="0" collapsed="false">
      <c r="A533" s="61" t="n">
        <f aca="false">INDEX(Datos_Origen!$A$2:$A$2459,$Z533)</f>
        <v>532</v>
      </c>
      <c r="B533" s="62" t="n">
        <f aca="false">IF(ISNUMBER($AB533),$AB533,IF(MID($AB533,5,1)="-",DATE(VALUE(LEFT($AB533,4)),VALUE(MID($AB533,6,2)),VALUE(RIGHT($AB533,2))),DATE(VALUE(RIGHT($AB533,4)),VALUE(MID($AB533,4,2)),VALUE(LEFT($AB533,2)))))</f>
        <v>45469</v>
      </c>
      <c r="C533" s="61" t="n">
        <f aca="false">YEAR($B533)</f>
        <v>2024</v>
      </c>
      <c r="D533" s="61" t="str">
        <f aca="false">"Q"&amp;ROUNDUP(MONTH($B533)/3,0)</f>
        <v>Q2</v>
      </c>
      <c r="E533" s="61" t="n">
        <f aca="false">MONTH($B533)</f>
        <v>6</v>
      </c>
      <c r="F533" s="61" t="str">
        <f aca="false">INDEX(Parametros!$I$5:$I$16,$E533)</f>
        <v>Jun</v>
      </c>
      <c r="G533" s="61" t="str">
        <f aca="false">TEXT($C533,"0000")&amp;"-"&amp;TEXT($E533,"00")</f>
        <v>2024-06</v>
      </c>
      <c r="H533" s="61" t="str">
        <f aca="false">INDEX(Parametros!$C$71:$C$91,MATCH(TRIM(INDEX(Datos_Origen!$C$2:$C$2459,$Z533)),Parametros!$B$71:$B$91,0))</f>
        <v>Centro</v>
      </c>
      <c r="I533" s="61" t="str">
        <f aca="false">IF(TRIM($AD533)="",INDEX(Parametros!$I$20:$I$24,MATCH($H533,Parametros!$H$20:$H$24,0)),TRIM($AD533))</f>
        <v>Cordoba</v>
      </c>
      <c r="J533" s="61" t="str">
        <f aca="false">INDEX(Parametros!$C$95:$C$106,MATCH(TRIM(INDEX(Datos_Origen!$E$2:$E$2459,$Z533)),Parametros!$B$95:$B$106,0))</f>
        <v>E-commerce</v>
      </c>
      <c r="K533" s="61" t="str">
        <f aca="false">INDEX(Parametros!$C$48:$C$67,MATCH(TRIM(INDEX(Datos_Origen!$F$2:$F$2459,$Z533)),Parametros!$B$48:$B$67,0))</f>
        <v>Accesorios</v>
      </c>
      <c r="L533" s="61" t="str">
        <f aca="false">$K533&amp;" "&amp;$C533</f>
        <v>Accesorios 2024</v>
      </c>
      <c r="M533" s="61" t="str">
        <f aca="false">TRIM(INDEX(Datos_Origen!$G$2:$G$2459,$Z533))</f>
        <v>Webcam Full HD</v>
      </c>
      <c r="N533" s="61" t="str">
        <f aca="false">$M533&amp;" "&amp;$C533</f>
        <v>Webcam Full HD 2024</v>
      </c>
      <c r="O533" s="63" t="n">
        <f aca="false">IF(ISTEXT($AC533),VALUE($AC533),$AC533)</f>
        <v>23</v>
      </c>
      <c r="P533" s="64" t="n">
        <f aca="false">INDEX(Datos_Origen!$I$2:$I$2459,$Z533)</f>
        <v>63.7</v>
      </c>
      <c r="Q533" s="64" t="n">
        <f aca="false">INDEX(Datos_Origen!$J$2:$J$2459,$Z533)</f>
        <v>35.43</v>
      </c>
      <c r="R533" s="65" t="n">
        <f aca="false">ROUND($O533*$P533,2)</f>
        <v>1465.1</v>
      </c>
      <c r="S533" s="65" t="n">
        <f aca="false">ROUND($O533*$Q533,2)</f>
        <v>814.89</v>
      </c>
      <c r="T533" s="65" t="n">
        <f aca="false">ROUND($R533*SUMIFS(Parametros!$E$28:$E$43,Parametros!$B$28:$B$43,$J533,Parametros!$C$28:$C$43,$C533,Parametros!$D$28:$D$43,$D533),2)</f>
        <v>64.46</v>
      </c>
      <c r="U533" s="65" t="n">
        <f aca="false">$R533-$S533-$T533</f>
        <v>585.75</v>
      </c>
      <c r="V533" s="66" t="n">
        <f aca="false">IFERROR($U533/$R533,0)</f>
        <v>0.399802061292745</v>
      </c>
      <c r="W533" s="67" t="str">
        <f aca="false">IF(AND($V533&gt;=Parametros!$C$8,$R533&gt;=Parametros!$C$12),"Alta rentabilidad",IF(OR($V533&lt;Parametros!$C$11,$R533&lt;Parametros!$C$13),"Revisar","Estandar"))</f>
        <v>Estandar</v>
      </c>
      <c r="X533" s="67" t="str">
        <f aca="false">IF(AND($J533="E-commerce",IFERROR($T533/$R533,0)&gt;Parametros!$C$14),"Alerta","OK")</f>
        <v>OK</v>
      </c>
      <c r="Y533" s="61" t="str">
        <f aca="false">IF($R533&gt;=Parametros!$C$12,"Alto",IF($R533&lt;Parametros!$C$13,"Bajo","Medio"))</f>
        <v>Medio</v>
      </c>
      <c r="Z533" s="61" t="n">
        <v>1410</v>
      </c>
      <c r="AA533" s="61" t="str">
        <f aca="false">IF(MATCH($A533,Datos_Origen!$A$2:$A$2459,0)=$Z533,"OK","REVISAR")</f>
        <v>OK</v>
      </c>
      <c r="AB533" s="61" t="str">
        <f aca="false">INDEX(Datos_Origen!$B$2:$B$2459,$Z533)</f>
        <v>2024-06-26</v>
      </c>
      <c r="AC533" s="61" t="str">
        <f aca="false">INDEX(Datos_Origen!$H$2:$H$2459,$Z533)</f>
        <v>23</v>
      </c>
      <c r="AD533" s="61" t="str">
        <f aca="false">INDEX(Datos_Origen!$D$2:$D$2459,$Z533)&amp;""</f>
        <v>Cordoba</v>
      </c>
    </row>
    <row r="534" customFormat="false" ht="15" hidden="false" customHeight="false" outlineLevel="0" collapsed="false">
      <c r="A534" s="61" t="n">
        <f aca="false">INDEX(Datos_Origen!$A$2:$A$2459,$Z534)</f>
        <v>533</v>
      </c>
      <c r="B534" s="62" t="n">
        <f aca="false">IF(ISNUMBER($AB534),$AB534,IF(MID($AB534,5,1)="-",DATE(VALUE(LEFT($AB534,4)),VALUE(MID($AB534,6,2)),VALUE(RIGHT($AB534,2))),DATE(VALUE(RIGHT($AB534,4)),VALUE(MID($AB534,4,2)),VALUE(LEFT($AB534,2)))))</f>
        <v>45449</v>
      </c>
      <c r="C534" s="61" t="n">
        <f aca="false">YEAR($B534)</f>
        <v>2024</v>
      </c>
      <c r="D534" s="61" t="str">
        <f aca="false">"Q"&amp;ROUNDUP(MONTH($B534)/3,0)</f>
        <v>Q2</v>
      </c>
      <c r="E534" s="61" t="n">
        <f aca="false">MONTH($B534)</f>
        <v>6</v>
      </c>
      <c r="F534" s="61" t="str">
        <f aca="false">INDEX(Parametros!$I$5:$I$16,$E534)</f>
        <v>Jun</v>
      </c>
      <c r="G534" s="61" t="str">
        <f aca="false">TEXT($C534,"0000")&amp;"-"&amp;TEXT($E534,"00")</f>
        <v>2024-06</v>
      </c>
      <c r="H534" s="61" t="str">
        <f aca="false">INDEX(Parametros!$C$71:$C$91,MATCH(TRIM(INDEX(Datos_Origen!$C$2:$C$2459,$Z534)),Parametros!$B$71:$B$91,0))</f>
        <v>Centro</v>
      </c>
      <c r="I534" s="61" t="str">
        <f aca="false">IF(TRIM($AD534)="",INDEX(Parametros!$I$20:$I$24,MATCH($H534,Parametros!$H$20:$H$24,0)),TRIM($AD534))</f>
        <v>Cordoba</v>
      </c>
      <c r="J534" s="61" t="str">
        <f aca="false">INDEX(Parametros!$C$95:$C$106,MATCH(TRIM(INDEX(Datos_Origen!$E$2:$E$2459,$Z534)),Parametros!$B$95:$B$106,0))</f>
        <v>Tienda fisica</v>
      </c>
      <c r="K534" s="61" t="str">
        <f aca="false">INDEX(Parametros!$C$48:$C$67,MATCH(TRIM(INDEX(Datos_Origen!$F$2:$F$2459,$Z534)),Parametros!$B$48:$B$67,0))</f>
        <v>Audio</v>
      </c>
      <c r="L534" s="61" t="str">
        <f aca="false">$K534&amp;" "&amp;$C534</f>
        <v>Audio 2024</v>
      </c>
      <c r="M534" s="61" t="str">
        <f aca="false">TRIM(INDEX(Datos_Origen!$G$2:$G$2459,$Z534))</f>
        <v>Auriculares BT Pro</v>
      </c>
      <c r="N534" s="61" t="str">
        <f aca="false">$M534&amp;" "&amp;$C534</f>
        <v>Auriculares BT Pro 2024</v>
      </c>
      <c r="O534" s="63" t="n">
        <f aca="false">IF(ISTEXT($AC534),VALUE($AC534),$AC534)</f>
        <v>23</v>
      </c>
      <c r="P534" s="64" t="n">
        <f aca="false">INDEX(Datos_Origen!$I$2:$I$2459,$Z534)</f>
        <v>117.6</v>
      </c>
      <c r="Q534" s="64" t="n">
        <f aca="false">INDEX(Datos_Origen!$J$2:$J$2459,$Z534)</f>
        <v>63.6</v>
      </c>
      <c r="R534" s="65" t="n">
        <f aca="false">ROUND($O534*$P534,2)</f>
        <v>2704.8</v>
      </c>
      <c r="S534" s="65" t="n">
        <f aca="false">ROUND($O534*$Q534,2)</f>
        <v>1462.8</v>
      </c>
      <c r="T534" s="65" t="n">
        <f aca="false">ROUND($R534*SUMIFS(Parametros!$E$28:$E$43,Parametros!$B$28:$B$43,$J534,Parametros!$C$28:$C$43,$C534,Parametros!$D$28:$D$43,$D534),2)</f>
        <v>32.46</v>
      </c>
      <c r="U534" s="65" t="n">
        <f aca="false">$R534-$S534-$T534</f>
        <v>1209.54</v>
      </c>
      <c r="V534" s="66" t="n">
        <f aca="false">IFERROR($U534/$R534,0)</f>
        <v>0.447182786157942</v>
      </c>
      <c r="W534" s="67" t="str">
        <f aca="false">IF(AND($V534&gt;=Parametros!$C$8,$R534&gt;=Parametros!$C$12),"Alta rentabilidad",IF(OR($V534&lt;Parametros!$C$11,$R534&lt;Parametros!$C$13),"Revisar","Estandar"))</f>
        <v>Estandar</v>
      </c>
      <c r="X534" s="67" t="str">
        <f aca="false">IF(AND($J534="E-commerce",IFERROR($T534/$R534,0)&gt;Parametros!$C$14),"Alerta","OK")</f>
        <v>OK</v>
      </c>
      <c r="Y534" s="61" t="str">
        <f aca="false">IF($R534&gt;=Parametros!$C$12,"Alto",IF($R534&lt;Parametros!$C$13,"Bajo","Medio"))</f>
        <v>Medio</v>
      </c>
      <c r="Z534" s="61" t="n">
        <v>1932</v>
      </c>
      <c r="AA534" s="61" t="str">
        <f aca="false">IF(MATCH($A534,Datos_Origen!$A$2:$A$2459,0)=$Z534,"OK","REVISAR")</f>
        <v>OK</v>
      </c>
      <c r="AB534" s="62" t="n">
        <f aca="false">INDEX(Datos_Origen!$B$2:$B$2459,$Z534)</f>
        <v>45449</v>
      </c>
      <c r="AC534" s="61" t="n">
        <f aca="false">INDEX(Datos_Origen!$H$2:$H$2459,$Z534)</f>
        <v>23</v>
      </c>
      <c r="AD534" s="61" t="str">
        <f aca="false">INDEX(Datos_Origen!$D$2:$D$2459,$Z534)&amp;""</f>
        <v>Cordoba</v>
      </c>
    </row>
    <row r="535" customFormat="false" ht="15" hidden="false" customHeight="false" outlineLevel="0" collapsed="false">
      <c r="A535" s="61" t="n">
        <f aca="false">INDEX(Datos_Origen!$A$2:$A$2459,$Z535)</f>
        <v>534</v>
      </c>
      <c r="B535" s="62" t="n">
        <f aca="false">IF(ISNUMBER($AB535),$AB535,IF(MID($AB535,5,1)="-",DATE(VALUE(LEFT($AB535,4)),VALUE(MID($AB535,6,2)),VALUE(RIGHT($AB535,2))),DATE(VALUE(RIGHT($AB535,4)),VALUE(MID($AB535,4,2)),VALUE(LEFT($AB535,2)))))</f>
        <v>45456</v>
      </c>
      <c r="C535" s="61" t="n">
        <f aca="false">YEAR($B535)</f>
        <v>2024</v>
      </c>
      <c r="D535" s="61" t="str">
        <f aca="false">"Q"&amp;ROUNDUP(MONTH($B535)/3,0)</f>
        <v>Q2</v>
      </c>
      <c r="E535" s="61" t="n">
        <f aca="false">MONTH($B535)</f>
        <v>6</v>
      </c>
      <c r="F535" s="61" t="str">
        <f aca="false">INDEX(Parametros!$I$5:$I$16,$E535)</f>
        <v>Jun</v>
      </c>
      <c r="G535" s="61" t="str">
        <f aca="false">TEXT($C535,"0000")&amp;"-"&amp;TEXT($E535,"00")</f>
        <v>2024-06</v>
      </c>
      <c r="H535" s="61" t="str">
        <f aca="false">INDEX(Parametros!$C$71:$C$91,MATCH(TRIM(INDEX(Datos_Origen!$C$2:$C$2459,$Z535)),Parametros!$B$71:$B$91,0))</f>
        <v>Centro</v>
      </c>
      <c r="I535" s="61" t="str">
        <f aca="false">IF(TRIM($AD535)="",INDEX(Parametros!$I$20:$I$24,MATCH($H535,Parametros!$H$20:$H$24,0)),TRIM($AD535))</f>
        <v>Cordoba</v>
      </c>
      <c r="J535" s="61" t="str">
        <f aca="false">INDEX(Parametros!$C$95:$C$106,MATCH(TRIM(INDEX(Datos_Origen!$E$2:$E$2459,$Z535)),Parametros!$B$95:$B$106,0))</f>
        <v>E-commerce</v>
      </c>
      <c r="K535" s="61" t="str">
        <f aca="false">INDEX(Parametros!$C$48:$C$67,MATCH(TRIM(INDEX(Datos_Origen!$F$2:$F$2459,$Z535)),Parametros!$B$48:$B$67,0))</f>
        <v>Audio</v>
      </c>
      <c r="L535" s="61" t="str">
        <f aca="false">$K535&amp;" "&amp;$C535</f>
        <v>Audio 2024</v>
      </c>
      <c r="M535" s="61" t="str">
        <f aca="false">TRIM(INDEX(Datos_Origen!$G$2:$G$2459,$Z535))</f>
        <v>Auriculares BT Pro</v>
      </c>
      <c r="N535" s="61" t="str">
        <f aca="false">$M535&amp;" "&amp;$C535</f>
        <v>Auriculares BT Pro 2024</v>
      </c>
      <c r="O535" s="63" t="n">
        <f aca="false">IF(ISTEXT($AC535),VALUE($AC535),$AC535)</f>
        <v>13</v>
      </c>
      <c r="P535" s="64" t="n">
        <f aca="false">INDEX(Datos_Origen!$I$2:$I$2459,$Z535)</f>
        <v>117.6</v>
      </c>
      <c r="Q535" s="64" t="n">
        <f aca="false">INDEX(Datos_Origen!$J$2:$J$2459,$Z535)</f>
        <v>63.6</v>
      </c>
      <c r="R535" s="65" t="n">
        <f aca="false">ROUND($O535*$P535,2)</f>
        <v>1528.8</v>
      </c>
      <c r="S535" s="65" t="n">
        <f aca="false">ROUND($O535*$Q535,2)</f>
        <v>826.8</v>
      </c>
      <c r="T535" s="65" t="n">
        <f aca="false">ROUND($R535*SUMIFS(Parametros!$E$28:$E$43,Parametros!$B$28:$B$43,$J535,Parametros!$C$28:$C$43,$C535,Parametros!$D$28:$D$43,$D535),2)</f>
        <v>67.27</v>
      </c>
      <c r="U535" s="65" t="n">
        <f aca="false">$R535-$S535-$T535</f>
        <v>634.73</v>
      </c>
      <c r="V535" s="66" t="n">
        <f aca="false">IFERROR($U535/$R535,0)</f>
        <v>0.415181841967556</v>
      </c>
      <c r="W535" s="67" t="str">
        <f aca="false">IF(AND($V535&gt;=Parametros!$C$8,$R535&gt;=Parametros!$C$12),"Alta rentabilidad",IF(OR($V535&lt;Parametros!$C$11,$R535&lt;Parametros!$C$13),"Revisar","Estandar"))</f>
        <v>Estandar</v>
      </c>
      <c r="X535" s="67" t="str">
        <f aca="false">IF(AND($J535="E-commerce",IFERROR($T535/$R535,0)&gt;Parametros!$C$14),"Alerta","OK")</f>
        <v>OK</v>
      </c>
      <c r="Y535" s="61" t="str">
        <f aca="false">IF($R535&gt;=Parametros!$C$12,"Alto",IF($R535&lt;Parametros!$C$13,"Bajo","Medio"))</f>
        <v>Medio</v>
      </c>
      <c r="Z535" s="61" t="n">
        <v>653</v>
      </c>
      <c r="AA535" s="61" t="str">
        <f aca="false">IF(MATCH($A535,Datos_Origen!$A$2:$A$2459,0)=$Z535,"OK","REVISAR")</f>
        <v>OK</v>
      </c>
      <c r="AB535" s="61" t="str">
        <f aca="false">INDEX(Datos_Origen!$B$2:$B$2459,$Z535)</f>
        <v>2024-06-13</v>
      </c>
      <c r="AC535" s="61" t="n">
        <f aca="false">INDEX(Datos_Origen!$H$2:$H$2459,$Z535)</f>
        <v>13</v>
      </c>
      <c r="AD535" s="61" t="str">
        <f aca="false">INDEX(Datos_Origen!$D$2:$D$2459,$Z535)&amp;""</f>
        <v>Cordoba</v>
      </c>
    </row>
    <row r="536" customFormat="false" ht="15" hidden="false" customHeight="false" outlineLevel="0" collapsed="false">
      <c r="A536" s="61" t="n">
        <f aca="false">INDEX(Datos_Origen!$A$2:$A$2459,$Z536)</f>
        <v>535</v>
      </c>
      <c r="B536" s="62" t="n">
        <f aca="false">IF(ISNUMBER($AB536),$AB536,IF(MID($AB536,5,1)="-",DATE(VALUE(LEFT($AB536,4)),VALUE(MID($AB536,6,2)),VALUE(RIGHT($AB536,2))),DATE(VALUE(RIGHT($AB536,4)),VALUE(MID($AB536,4,2)),VALUE(LEFT($AB536,2)))))</f>
        <v>45463</v>
      </c>
      <c r="C536" s="61" t="n">
        <f aca="false">YEAR($B536)</f>
        <v>2024</v>
      </c>
      <c r="D536" s="61" t="str">
        <f aca="false">"Q"&amp;ROUNDUP(MONTH($B536)/3,0)</f>
        <v>Q2</v>
      </c>
      <c r="E536" s="61" t="n">
        <f aca="false">MONTH($B536)</f>
        <v>6</v>
      </c>
      <c r="F536" s="61" t="str">
        <f aca="false">INDEX(Parametros!$I$5:$I$16,$E536)</f>
        <v>Jun</v>
      </c>
      <c r="G536" s="61" t="str">
        <f aca="false">TEXT($C536,"0000")&amp;"-"&amp;TEXT($E536,"00")</f>
        <v>2024-06</v>
      </c>
      <c r="H536" s="61" t="str">
        <f aca="false">INDEX(Parametros!$C$71:$C$91,MATCH(TRIM(INDEX(Datos_Origen!$C$2:$C$2459,$Z536)),Parametros!$B$71:$B$91,0))</f>
        <v>Centro</v>
      </c>
      <c r="I536" s="61" t="str">
        <f aca="false">IF(TRIM($AD536)="",INDEX(Parametros!$I$20:$I$24,MATCH($H536,Parametros!$H$20:$H$24,0)),TRIM($AD536))</f>
        <v>Cordoba</v>
      </c>
      <c r="J536" s="61" t="str">
        <f aca="false">INDEX(Parametros!$C$95:$C$106,MATCH(TRIM(INDEX(Datos_Origen!$E$2:$E$2459,$Z536)),Parametros!$B$95:$B$106,0))</f>
        <v>Tienda fisica</v>
      </c>
      <c r="K536" s="61" t="str">
        <f aca="false">INDEX(Parametros!$C$48:$C$67,MATCH(TRIM(INDEX(Datos_Origen!$F$2:$F$2459,$Z536)),Parametros!$B$48:$B$67,0))</f>
        <v>Audio</v>
      </c>
      <c r="L536" s="61" t="str">
        <f aca="false">$K536&amp;" "&amp;$C536</f>
        <v>Audio 2024</v>
      </c>
      <c r="M536" s="61" t="str">
        <f aca="false">TRIM(INDEX(Datos_Origen!$G$2:$G$2459,$Z536))</f>
        <v>Parlante Bluetooth</v>
      </c>
      <c r="N536" s="61" t="str">
        <f aca="false">$M536&amp;" "&amp;$C536</f>
        <v>Parlante Bluetooth 2024</v>
      </c>
      <c r="O536" s="63" t="n">
        <f aca="false">IF(ISTEXT($AC536),VALUE($AC536),$AC536)</f>
        <v>27</v>
      </c>
      <c r="P536" s="64" t="n">
        <f aca="false">INDEX(Datos_Origen!$I$2:$I$2459,$Z536)</f>
        <v>83.3</v>
      </c>
      <c r="Q536" s="64" t="n">
        <f aca="false">INDEX(Datos_Origen!$J$2:$J$2459,$Z536)</f>
        <v>48.03</v>
      </c>
      <c r="R536" s="65" t="n">
        <f aca="false">ROUND($O536*$P536,2)</f>
        <v>2249.1</v>
      </c>
      <c r="S536" s="65" t="n">
        <f aca="false">ROUND($O536*$Q536,2)</f>
        <v>1296.81</v>
      </c>
      <c r="T536" s="65" t="n">
        <f aca="false">ROUND($R536*SUMIFS(Parametros!$E$28:$E$43,Parametros!$B$28:$B$43,$J536,Parametros!$C$28:$C$43,$C536,Parametros!$D$28:$D$43,$D536),2)</f>
        <v>26.99</v>
      </c>
      <c r="U536" s="65" t="n">
        <f aca="false">$R536-$S536-$T536</f>
        <v>925.3</v>
      </c>
      <c r="V536" s="66" t="n">
        <f aca="false">IFERROR($U536/$R536,0)</f>
        <v>0.411409008047664</v>
      </c>
      <c r="W536" s="67" t="str">
        <f aca="false">IF(AND($V536&gt;=Parametros!$C$8,$R536&gt;=Parametros!$C$12),"Alta rentabilidad",IF(OR($V536&lt;Parametros!$C$11,$R536&lt;Parametros!$C$13),"Revisar","Estandar"))</f>
        <v>Estandar</v>
      </c>
      <c r="X536" s="67" t="str">
        <f aca="false">IF(AND($J536="E-commerce",IFERROR($T536/$R536,0)&gt;Parametros!$C$14),"Alerta","OK")</f>
        <v>OK</v>
      </c>
      <c r="Y536" s="61" t="str">
        <f aca="false">IF($R536&gt;=Parametros!$C$12,"Alto",IF($R536&lt;Parametros!$C$13,"Bajo","Medio"))</f>
        <v>Medio</v>
      </c>
      <c r="Z536" s="61" t="n">
        <v>2076</v>
      </c>
      <c r="AA536" s="61" t="str">
        <f aca="false">IF(MATCH($A536,Datos_Origen!$A$2:$A$2459,0)=$Z536,"OK","REVISAR")</f>
        <v>OK</v>
      </c>
      <c r="AB536" s="62" t="n">
        <f aca="false">INDEX(Datos_Origen!$B$2:$B$2459,$Z536)</f>
        <v>45463</v>
      </c>
      <c r="AC536" s="61" t="n">
        <f aca="false">INDEX(Datos_Origen!$H$2:$H$2459,$Z536)</f>
        <v>27</v>
      </c>
      <c r="AD536" s="61" t="str">
        <f aca="false">INDEX(Datos_Origen!$D$2:$D$2459,$Z536)&amp;""</f>
        <v>Cordoba</v>
      </c>
    </row>
    <row r="537" customFormat="false" ht="15" hidden="false" customHeight="false" outlineLevel="0" collapsed="false">
      <c r="A537" s="61" t="n">
        <f aca="false">INDEX(Datos_Origen!$A$2:$A$2459,$Z537)</f>
        <v>536</v>
      </c>
      <c r="B537" s="62" t="n">
        <f aca="false">IF(ISNUMBER($AB537),$AB537,IF(MID($AB537,5,1)="-",DATE(VALUE(LEFT($AB537,4)),VALUE(MID($AB537,6,2)),VALUE(RIGHT($AB537,2))),DATE(VALUE(RIGHT($AB537,4)),VALUE(MID($AB537,4,2)),VALUE(LEFT($AB537,2)))))</f>
        <v>45470</v>
      </c>
      <c r="C537" s="61" t="n">
        <f aca="false">YEAR($B537)</f>
        <v>2024</v>
      </c>
      <c r="D537" s="61" t="str">
        <f aca="false">"Q"&amp;ROUNDUP(MONTH($B537)/3,0)</f>
        <v>Q2</v>
      </c>
      <c r="E537" s="61" t="n">
        <f aca="false">MONTH($B537)</f>
        <v>6</v>
      </c>
      <c r="F537" s="61" t="str">
        <f aca="false">INDEX(Parametros!$I$5:$I$16,$E537)</f>
        <v>Jun</v>
      </c>
      <c r="G537" s="61" t="str">
        <f aca="false">TEXT($C537,"0000")&amp;"-"&amp;TEXT($E537,"00")</f>
        <v>2024-06</v>
      </c>
      <c r="H537" s="61" t="str">
        <f aca="false">INDEX(Parametros!$C$71:$C$91,MATCH(TRIM(INDEX(Datos_Origen!$C$2:$C$2459,$Z537)),Parametros!$B$71:$B$91,0))</f>
        <v>Centro</v>
      </c>
      <c r="I537" s="61" t="str">
        <f aca="false">IF(TRIM($AD537)="",INDEX(Parametros!$I$20:$I$24,MATCH($H537,Parametros!$H$20:$H$24,0)),TRIM($AD537))</f>
        <v>Cordoba</v>
      </c>
      <c r="J537" s="61" t="str">
        <f aca="false">INDEX(Parametros!$C$95:$C$106,MATCH(TRIM(INDEX(Datos_Origen!$E$2:$E$2459,$Z537)),Parametros!$B$95:$B$106,0))</f>
        <v>E-commerce</v>
      </c>
      <c r="K537" s="61" t="str">
        <f aca="false">INDEX(Parametros!$C$48:$C$67,MATCH(TRIM(INDEX(Datos_Origen!$F$2:$F$2459,$Z537)),Parametros!$B$48:$B$67,0))</f>
        <v>Audio</v>
      </c>
      <c r="L537" s="61" t="str">
        <f aca="false">$K537&amp;" "&amp;$C537</f>
        <v>Audio 2024</v>
      </c>
      <c r="M537" s="61" t="str">
        <f aca="false">TRIM(INDEX(Datos_Origen!$G$2:$G$2459,$Z537))</f>
        <v>Parlante Bluetooth</v>
      </c>
      <c r="N537" s="61" t="str">
        <f aca="false">$M537&amp;" "&amp;$C537</f>
        <v>Parlante Bluetooth 2024</v>
      </c>
      <c r="O537" s="63" t="n">
        <f aca="false">IF(ISTEXT($AC537),VALUE($AC537),$AC537)</f>
        <v>11</v>
      </c>
      <c r="P537" s="64" t="n">
        <f aca="false">INDEX(Datos_Origen!$I$2:$I$2459,$Z537)</f>
        <v>83.3</v>
      </c>
      <c r="Q537" s="64" t="n">
        <f aca="false">INDEX(Datos_Origen!$J$2:$J$2459,$Z537)</f>
        <v>48.03</v>
      </c>
      <c r="R537" s="65" t="n">
        <f aca="false">ROUND($O537*$P537,2)</f>
        <v>916.3</v>
      </c>
      <c r="S537" s="65" t="n">
        <f aca="false">ROUND($O537*$Q537,2)</f>
        <v>528.33</v>
      </c>
      <c r="T537" s="65" t="n">
        <f aca="false">ROUND($R537*SUMIFS(Parametros!$E$28:$E$43,Parametros!$B$28:$B$43,$J537,Parametros!$C$28:$C$43,$C537,Parametros!$D$28:$D$43,$D537),2)</f>
        <v>40.32</v>
      </c>
      <c r="U537" s="65" t="n">
        <f aca="false">$R537-$S537-$T537</f>
        <v>347.65</v>
      </c>
      <c r="V537" s="66" t="n">
        <f aca="false">IFERROR($U537/$R537,0)</f>
        <v>0.379406307977737</v>
      </c>
      <c r="W537" s="67" t="str">
        <f aca="false">IF(AND($V537&gt;=Parametros!$C$8,$R537&gt;=Parametros!$C$12),"Alta rentabilidad",IF(OR($V537&lt;Parametros!$C$11,$R537&lt;Parametros!$C$13),"Revisar","Estandar"))</f>
        <v>Estandar</v>
      </c>
      <c r="X537" s="67" t="str">
        <f aca="false">IF(AND($J537="E-commerce",IFERROR($T537/$R537,0)&gt;Parametros!$C$14),"Alerta","OK")</f>
        <v>OK</v>
      </c>
      <c r="Y537" s="61" t="str">
        <f aca="false">IF($R537&gt;=Parametros!$C$12,"Alto",IF($R537&lt;Parametros!$C$13,"Bajo","Medio"))</f>
        <v>Medio</v>
      </c>
      <c r="Z537" s="61" t="n">
        <v>1331</v>
      </c>
      <c r="AA537" s="61" t="str">
        <f aca="false">IF(MATCH($A537,Datos_Origen!$A$2:$A$2459,0)=$Z537,"OK","REVISAR")</f>
        <v>OK</v>
      </c>
      <c r="AB537" s="61" t="str">
        <f aca="false">INDEX(Datos_Origen!$B$2:$B$2459,$Z537)</f>
        <v>27/06/2024</v>
      </c>
      <c r="AC537" s="61" t="n">
        <f aca="false">INDEX(Datos_Origen!$H$2:$H$2459,$Z537)</f>
        <v>11</v>
      </c>
      <c r="AD537" s="61" t="str">
        <f aca="false">INDEX(Datos_Origen!$D$2:$D$2459,$Z537)&amp;""</f>
        <v>Cordoba</v>
      </c>
    </row>
    <row r="538" customFormat="false" ht="15" hidden="false" customHeight="false" outlineLevel="0" collapsed="false">
      <c r="A538" s="61" t="n">
        <f aca="false">INDEX(Datos_Origen!$A$2:$A$2459,$Z538)</f>
        <v>537</v>
      </c>
      <c r="B538" s="62" t="n">
        <f aca="false">IF(ISNUMBER($AB538),$AB538,IF(MID($AB538,5,1)="-",DATE(VALUE(LEFT($AB538,4)),VALUE(MID($AB538,6,2)),VALUE(RIGHT($AB538,2))),DATE(VALUE(RIGHT($AB538,4)),VALUE(MID($AB538,4,2)),VALUE(LEFT($AB538,2)))))</f>
        <v>45450</v>
      </c>
      <c r="C538" s="61" t="n">
        <f aca="false">YEAR($B538)</f>
        <v>2024</v>
      </c>
      <c r="D538" s="61" t="str">
        <f aca="false">"Q"&amp;ROUNDUP(MONTH($B538)/3,0)</f>
        <v>Q2</v>
      </c>
      <c r="E538" s="61" t="n">
        <f aca="false">MONTH($B538)</f>
        <v>6</v>
      </c>
      <c r="F538" s="61" t="str">
        <f aca="false">INDEX(Parametros!$I$5:$I$16,$E538)</f>
        <v>Jun</v>
      </c>
      <c r="G538" s="61" t="str">
        <f aca="false">TEXT($C538,"0000")&amp;"-"&amp;TEXT($E538,"00")</f>
        <v>2024-06</v>
      </c>
      <c r="H538" s="61" t="str">
        <f aca="false">INDEX(Parametros!$C$71:$C$91,MATCH(TRIM(INDEX(Datos_Origen!$C$2:$C$2459,$Z538)),Parametros!$B$71:$B$91,0))</f>
        <v>Centro</v>
      </c>
      <c r="I538" s="61" t="str">
        <f aca="false">IF(TRIM($AD538)="",INDEX(Parametros!$I$20:$I$24,MATCH($H538,Parametros!$H$20:$H$24,0)),TRIM($AD538))</f>
        <v>Cordoba</v>
      </c>
      <c r="J538" s="61" t="str">
        <f aca="false">INDEX(Parametros!$C$95:$C$106,MATCH(TRIM(INDEX(Datos_Origen!$E$2:$E$2459,$Z538)),Parametros!$B$95:$B$106,0))</f>
        <v>Tienda fisica</v>
      </c>
      <c r="K538" s="61" t="str">
        <f aca="false">INDEX(Parametros!$C$48:$C$67,MATCH(TRIM(INDEX(Datos_Origen!$F$2:$F$2459,$Z538)),Parametros!$B$48:$B$67,0))</f>
        <v>Almacenamiento</v>
      </c>
      <c r="L538" s="61" t="str">
        <f aca="false">$K538&amp;" "&amp;$C538</f>
        <v>Almacenamiento 2024</v>
      </c>
      <c r="M538" s="61" t="str">
        <f aca="false">TRIM(INDEX(Datos_Origen!$G$2:$G$2459,$Z538))</f>
        <v>SSD Externo 1TB</v>
      </c>
      <c r="N538" s="61" t="str">
        <f aca="false">$M538&amp;" "&amp;$C538</f>
        <v>SSD Externo 1TB 2024</v>
      </c>
      <c r="O538" s="63" t="n">
        <f aca="false">IF(ISTEXT($AC538),VALUE($AC538),$AC538)</f>
        <v>36</v>
      </c>
      <c r="P538" s="64" t="n">
        <f aca="false">INDEX(Datos_Origen!$I$2:$I$2459,$Z538)</f>
        <v>127.4</v>
      </c>
      <c r="Q538" s="64" t="n">
        <f aca="false">INDEX(Datos_Origen!$J$2:$J$2459,$Z538)</f>
        <v>76.05</v>
      </c>
      <c r="R538" s="65" t="n">
        <f aca="false">ROUND($O538*$P538,2)</f>
        <v>4586.4</v>
      </c>
      <c r="S538" s="65" t="n">
        <f aca="false">ROUND($O538*$Q538,2)</f>
        <v>2737.8</v>
      </c>
      <c r="T538" s="65" t="n">
        <f aca="false">ROUND($R538*SUMIFS(Parametros!$E$28:$E$43,Parametros!$B$28:$B$43,$J538,Parametros!$C$28:$C$43,$C538,Parametros!$D$28:$D$43,$D538),2)</f>
        <v>55.04</v>
      </c>
      <c r="U538" s="65" t="n">
        <f aca="false">$R538-$S538-$T538</f>
        <v>1793.56</v>
      </c>
      <c r="V538" s="66" t="n">
        <f aca="false">IFERROR($U538/$R538,0)</f>
        <v>0.391060526774812</v>
      </c>
      <c r="W538" s="67" t="str">
        <f aca="false">IF(AND($V538&gt;=Parametros!$C$8,$R538&gt;=Parametros!$C$12),"Alta rentabilidad",IF(OR($V538&lt;Parametros!$C$11,$R538&lt;Parametros!$C$13),"Revisar","Estandar"))</f>
        <v>Alta rentabilidad</v>
      </c>
      <c r="X538" s="67" t="str">
        <f aca="false">IF(AND($J538="E-commerce",IFERROR($T538/$R538,0)&gt;Parametros!$C$14),"Alerta","OK")</f>
        <v>OK</v>
      </c>
      <c r="Y538" s="61" t="str">
        <f aca="false">IF($R538&gt;=Parametros!$C$12,"Alto",IF($R538&lt;Parametros!$C$13,"Bajo","Medio"))</f>
        <v>Alto</v>
      </c>
      <c r="Z538" s="61" t="n">
        <v>565</v>
      </c>
      <c r="AA538" s="61" t="str">
        <f aca="false">IF(MATCH($A538,Datos_Origen!$A$2:$A$2459,0)=$Z538,"OK","REVISAR")</f>
        <v>OK</v>
      </c>
      <c r="AB538" s="62" t="n">
        <f aca="false">INDEX(Datos_Origen!$B$2:$B$2459,$Z538)</f>
        <v>45450</v>
      </c>
      <c r="AC538" s="61" t="n">
        <f aca="false">INDEX(Datos_Origen!$H$2:$H$2459,$Z538)</f>
        <v>36</v>
      </c>
      <c r="AD538" s="61" t="str">
        <f aca="false">INDEX(Datos_Origen!$D$2:$D$2459,$Z538)&amp;""</f>
        <v>Cordoba</v>
      </c>
    </row>
    <row r="539" customFormat="false" ht="15" hidden="false" customHeight="false" outlineLevel="0" collapsed="false">
      <c r="A539" s="61" t="n">
        <f aca="false">INDEX(Datos_Origen!$A$2:$A$2459,$Z539)</f>
        <v>538</v>
      </c>
      <c r="B539" s="62" t="n">
        <f aca="false">IF(ISNUMBER($AB539),$AB539,IF(MID($AB539,5,1)="-",DATE(VALUE(LEFT($AB539,4)),VALUE(MID($AB539,6,2)),VALUE(RIGHT($AB539,2))),DATE(VALUE(RIGHT($AB539,4)),VALUE(MID($AB539,4,2)),VALUE(LEFT($AB539,2)))))</f>
        <v>45457</v>
      </c>
      <c r="C539" s="61" t="n">
        <f aca="false">YEAR($B539)</f>
        <v>2024</v>
      </c>
      <c r="D539" s="61" t="str">
        <f aca="false">"Q"&amp;ROUNDUP(MONTH($B539)/3,0)</f>
        <v>Q2</v>
      </c>
      <c r="E539" s="61" t="n">
        <f aca="false">MONTH($B539)</f>
        <v>6</v>
      </c>
      <c r="F539" s="61" t="str">
        <f aca="false">INDEX(Parametros!$I$5:$I$16,$E539)</f>
        <v>Jun</v>
      </c>
      <c r="G539" s="61" t="str">
        <f aca="false">TEXT($C539,"0000")&amp;"-"&amp;TEXT($E539,"00")</f>
        <v>2024-06</v>
      </c>
      <c r="H539" s="61" t="str">
        <f aca="false">INDEX(Parametros!$C$71:$C$91,MATCH(TRIM(INDEX(Datos_Origen!$C$2:$C$2459,$Z539)),Parametros!$B$71:$B$91,0))</f>
        <v>Centro</v>
      </c>
      <c r="I539" s="61" t="str">
        <f aca="false">IF(TRIM($AD539)="",INDEX(Parametros!$I$20:$I$24,MATCH($H539,Parametros!$H$20:$H$24,0)),TRIM($AD539))</f>
        <v>Cordoba</v>
      </c>
      <c r="J539" s="61" t="str">
        <f aca="false">INDEX(Parametros!$C$95:$C$106,MATCH(TRIM(INDEX(Datos_Origen!$E$2:$E$2459,$Z539)),Parametros!$B$95:$B$106,0))</f>
        <v>E-commerce</v>
      </c>
      <c r="K539" s="61" t="str">
        <f aca="false">INDEX(Parametros!$C$48:$C$67,MATCH(TRIM(INDEX(Datos_Origen!$F$2:$F$2459,$Z539)),Parametros!$B$48:$B$67,0))</f>
        <v>Almacenamiento</v>
      </c>
      <c r="L539" s="61" t="str">
        <f aca="false">$K539&amp;" "&amp;$C539</f>
        <v>Almacenamiento 2024</v>
      </c>
      <c r="M539" s="61" t="str">
        <f aca="false">TRIM(INDEX(Datos_Origen!$G$2:$G$2459,$Z539))</f>
        <v>SSD Externo 1TB</v>
      </c>
      <c r="N539" s="61" t="str">
        <f aca="false">$M539&amp;" "&amp;$C539</f>
        <v>SSD Externo 1TB 2024</v>
      </c>
      <c r="O539" s="63" t="n">
        <f aca="false">IF(ISTEXT($AC539),VALUE($AC539),$AC539)</f>
        <v>14</v>
      </c>
      <c r="P539" s="64" t="n">
        <f aca="false">INDEX(Datos_Origen!$I$2:$I$2459,$Z539)</f>
        <v>127.4</v>
      </c>
      <c r="Q539" s="64" t="n">
        <f aca="false">INDEX(Datos_Origen!$J$2:$J$2459,$Z539)</f>
        <v>76.05</v>
      </c>
      <c r="R539" s="65" t="n">
        <f aca="false">ROUND($O539*$P539,2)</f>
        <v>1783.6</v>
      </c>
      <c r="S539" s="65" t="n">
        <f aca="false">ROUND($O539*$Q539,2)</f>
        <v>1064.7</v>
      </c>
      <c r="T539" s="65" t="n">
        <f aca="false">ROUND($R539*SUMIFS(Parametros!$E$28:$E$43,Parametros!$B$28:$B$43,$J539,Parametros!$C$28:$C$43,$C539,Parametros!$D$28:$D$43,$D539),2)</f>
        <v>78.48</v>
      </c>
      <c r="U539" s="65" t="n">
        <f aca="false">$R539-$S539-$T539</f>
        <v>640.42</v>
      </c>
      <c r="V539" s="66" t="n">
        <f aca="false">IFERROR($U539/$R539,0)</f>
        <v>0.359060327427674</v>
      </c>
      <c r="W539" s="67" t="str">
        <f aca="false">IF(AND($V539&gt;=Parametros!$C$8,$R539&gt;=Parametros!$C$12),"Alta rentabilidad",IF(OR($V539&lt;Parametros!$C$11,$R539&lt;Parametros!$C$13),"Revisar","Estandar"))</f>
        <v>Estandar</v>
      </c>
      <c r="X539" s="67" t="str">
        <f aca="false">IF(AND($J539="E-commerce",IFERROR($T539/$R539,0)&gt;Parametros!$C$14),"Alerta","OK")</f>
        <v>OK</v>
      </c>
      <c r="Y539" s="61" t="str">
        <f aca="false">IF($R539&gt;=Parametros!$C$12,"Alto",IF($R539&lt;Parametros!$C$13,"Bajo","Medio"))</f>
        <v>Medio</v>
      </c>
      <c r="Z539" s="61" t="n">
        <v>231</v>
      </c>
      <c r="AA539" s="61" t="str">
        <f aca="false">IF(MATCH($A539,Datos_Origen!$A$2:$A$2459,0)=$Z539,"OK","REVISAR")</f>
        <v>OK</v>
      </c>
      <c r="AB539" s="62" t="n">
        <f aca="false">INDEX(Datos_Origen!$B$2:$B$2459,$Z539)</f>
        <v>45457</v>
      </c>
      <c r="AC539" s="61" t="str">
        <f aca="false">INDEX(Datos_Origen!$H$2:$H$2459,$Z539)</f>
        <v>14</v>
      </c>
      <c r="AD539" s="61" t="str">
        <f aca="false">INDEX(Datos_Origen!$D$2:$D$2459,$Z539)&amp;""</f>
        <v>Cordoba</v>
      </c>
    </row>
    <row r="540" customFormat="false" ht="15" hidden="false" customHeight="false" outlineLevel="0" collapsed="false">
      <c r="A540" s="61" t="n">
        <f aca="false">INDEX(Datos_Origen!$A$2:$A$2459,$Z540)</f>
        <v>539</v>
      </c>
      <c r="B540" s="62" t="n">
        <f aca="false">IF(ISNUMBER($AB540),$AB540,IF(MID($AB540,5,1)="-",DATE(VALUE(LEFT($AB540,4)),VALUE(MID($AB540,6,2)),VALUE(RIGHT($AB540,2))),DATE(VALUE(RIGHT($AB540,4)),VALUE(MID($AB540,4,2)),VALUE(LEFT($AB540,2)))))</f>
        <v>45464</v>
      </c>
      <c r="C540" s="61" t="n">
        <f aca="false">YEAR($B540)</f>
        <v>2024</v>
      </c>
      <c r="D540" s="61" t="str">
        <f aca="false">"Q"&amp;ROUNDUP(MONTH($B540)/3,0)</f>
        <v>Q2</v>
      </c>
      <c r="E540" s="61" t="n">
        <f aca="false">MONTH($B540)</f>
        <v>6</v>
      </c>
      <c r="F540" s="61" t="str">
        <f aca="false">INDEX(Parametros!$I$5:$I$16,$E540)</f>
        <v>Jun</v>
      </c>
      <c r="G540" s="61" t="str">
        <f aca="false">TEXT($C540,"0000")&amp;"-"&amp;TEXT($E540,"00")</f>
        <v>2024-06</v>
      </c>
      <c r="H540" s="61" t="str">
        <f aca="false">INDEX(Parametros!$C$71:$C$91,MATCH(TRIM(INDEX(Datos_Origen!$C$2:$C$2459,$Z540)),Parametros!$B$71:$B$91,0))</f>
        <v>Centro</v>
      </c>
      <c r="I540" s="61" t="str">
        <f aca="false">IF(TRIM($AD540)="",INDEX(Parametros!$I$20:$I$24,MATCH($H540,Parametros!$H$20:$H$24,0)),TRIM($AD540))</f>
        <v>Cordoba</v>
      </c>
      <c r="J540" s="61" t="str">
        <f aca="false">INDEX(Parametros!$C$95:$C$106,MATCH(TRIM(INDEX(Datos_Origen!$E$2:$E$2459,$Z540)),Parametros!$B$95:$B$106,0))</f>
        <v>Tienda fisica</v>
      </c>
      <c r="K540" s="61" t="str">
        <f aca="false">INDEX(Parametros!$C$48:$C$67,MATCH(TRIM(INDEX(Datos_Origen!$F$2:$F$2459,$Z540)),Parametros!$B$48:$B$67,0))</f>
        <v>Almacenamiento</v>
      </c>
      <c r="L540" s="61" t="str">
        <f aca="false">$K540&amp;" "&amp;$C540</f>
        <v>Almacenamiento 2024</v>
      </c>
      <c r="M540" s="61" t="str">
        <f aca="false">TRIM(INDEX(Datos_Origen!$G$2:$G$2459,$Z540))</f>
        <v>Pendrive 256GB</v>
      </c>
      <c r="N540" s="61" t="str">
        <f aca="false">$M540&amp;" "&amp;$C540</f>
        <v>Pendrive 256GB 2024</v>
      </c>
      <c r="O540" s="63" t="n">
        <f aca="false">IF(ISTEXT($AC540),VALUE($AC540),$AC540)</f>
        <v>40</v>
      </c>
      <c r="P540" s="64" t="n">
        <f aca="false">INDEX(Datos_Origen!$I$2:$I$2459,$Z540)</f>
        <v>34.3</v>
      </c>
      <c r="Q540" s="64" t="n">
        <f aca="false">INDEX(Datos_Origen!$J$2:$J$2459,$Z540)</f>
        <v>17.85</v>
      </c>
      <c r="R540" s="65" t="n">
        <f aca="false">ROUND($O540*$P540,2)</f>
        <v>1372</v>
      </c>
      <c r="S540" s="65" t="n">
        <f aca="false">ROUND($O540*$Q540,2)</f>
        <v>714</v>
      </c>
      <c r="T540" s="65" t="n">
        <f aca="false">ROUND($R540*SUMIFS(Parametros!$E$28:$E$43,Parametros!$B$28:$B$43,$J540,Parametros!$C$28:$C$43,$C540,Parametros!$D$28:$D$43,$D540),2)</f>
        <v>16.46</v>
      </c>
      <c r="U540" s="65" t="n">
        <f aca="false">$R540-$S540-$T540</f>
        <v>641.54</v>
      </c>
      <c r="V540" s="66" t="n">
        <f aca="false">IFERROR($U540/$R540,0)</f>
        <v>0.467594752186589</v>
      </c>
      <c r="W540" s="67" t="str">
        <f aca="false">IF(AND($V540&gt;=Parametros!$C$8,$R540&gt;=Parametros!$C$12),"Alta rentabilidad",IF(OR($V540&lt;Parametros!$C$11,$R540&lt;Parametros!$C$13),"Revisar","Estandar"))</f>
        <v>Estandar</v>
      </c>
      <c r="X540" s="67" t="str">
        <f aca="false">IF(AND($J540="E-commerce",IFERROR($T540/$R540,0)&gt;Parametros!$C$14),"Alerta","OK")</f>
        <v>OK</v>
      </c>
      <c r="Y540" s="61" t="str">
        <f aca="false">IF($R540&gt;=Parametros!$C$12,"Alto",IF($R540&lt;Parametros!$C$13,"Bajo","Medio"))</f>
        <v>Medio</v>
      </c>
      <c r="Z540" s="61" t="n">
        <v>1287</v>
      </c>
      <c r="AA540" s="61" t="str">
        <f aca="false">IF(MATCH($A540,Datos_Origen!$A$2:$A$2459,0)=$Z540,"OK","REVISAR")</f>
        <v>OK</v>
      </c>
      <c r="AB540" s="62" t="n">
        <f aca="false">INDEX(Datos_Origen!$B$2:$B$2459,$Z540)</f>
        <v>45464</v>
      </c>
      <c r="AC540" s="61" t="n">
        <f aca="false">INDEX(Datos_Origen!$H$2:$H$2459,$Z540)</f>
        <v>40</v>
      </c>
      <c r="AD540" s="61" t="str">
        <f aca="false">INDEX(Datos_Origen!$D$2:$D$2459,$Z540)&amp;""</f>
        <v>Cordoba</v>
      </c>
    </row>
    <row r="541" customFormat="false" ht="15" hidden="false" customHeight="false" outlineLevel="0" collapsed="false">
      <c r="A541" s="61" t="n">
        <f aca="false">INDEX(Datos_Origen!$A$2:$A$2459,$Z541)</f>
        <v>540</v>
      </c>
      <c r="B541" s="62" t="n">
        <f aca="false">IF(ISNUMBER($AB541),$AB541,IF(MID($AB541,5,1)="-",DATE(VALUE(LEFT($AB541,4)),VALUE(MID($AB541,6,2)),VALUE(RIGHT($AB541,2))),DATE(VALUE(RIGHT($AB541,4)),VALUE(MID($AB541,4,2)),VALUE(LEFT($AB541,2)))))</f>
        <v>45444</v>
      </c>
      <c r="C541" s="61" t="n">
        <f aca="false">YEAR($B541)</f>
        <v>2024</v>
      </c>
      <c r="D541" s="61" t="str">
        <f aca="false">"Q"&amp;ROUNDUP(MONTH($B541)/3,0)</f>
        <v>Q2</v>
      </c>
      <c r="E541" s="61" t="n">
        <f aca="false">MONTH($B541)</f>
        <v>6</v>
      </c>
      <c r="F541" s="61" t="str">
        <f aca="false">INDEX(Parametros!$I$5:$I$16,$E541)</f>
        <v>Jun</v>
      </c>
      <c r="G541" s="61" t="str">
        <f aca="false">TEXT($C541,"0000")&amp;"-"&amp;TEXT($E541,"00")</f>
        <v>2024-06</v>
      </c>
      <c r="H541" s="61" t="str">
        <f aca="false">INDEX(Parametros!$C$71:$C$91,MATCH(TRIM(INDEX(Datos_Origen!$C$2:$C$2459,$Z541)),Parametros!$B$71:$B$91,0))</f>
        <v>Centro</v>
      </c>
      <c r="I541" s="61" t="str">
        <f aca="false">IF(TRIM($AD541)="",INDEX(Parametros!$I$20:$I$24,MATCH($H541,Parametros!$H$20:$H$24,0)),TRIM($AD541))</f>
        <v>Cordoba</v>
      </c>
      <c r="J541" s="61" t="str">
        <f aca="false">INDEX(Parametros!$C$95:$C$106,MATCH(TRIM(INDEX(Datos_Origen!$E$2:$E$2459,$Z541)),Parametros!$B$95:$B$106,0))</f>
        <v>E-commerce</v>
      </c>
      <c r="K541" s="61" t="str">
        <f aca="false">INDEX(Parametros!$C$48:$C$67,MATCH(TRIM(INDEX(Datos_Origen!$F$2:$F$2459,$Z541)),Parametros!$B$48:$B$67,0))</f>
        <v>Almacenamiento</v>
      </c>
      <c r="L541" s="61" t="str">
        <f aca="false">$K541&amp;" "&amp;$C541</f>
        <v>Almacenamiento 2024</v>
      </c>
      <c r="M541" s="61" t="str">
        <f aca="false">TRIM(INDEX(Datos_Origen!$G$2:$G$2459,$Z541))</f>
        <v>Pendrive 256GB</v>
      </c>
      <c r="N541" s="61" t="str">
        <f aca="false">$M541&amp;" "&amp;$C541</f>
        <v>Pendrive 256GB 2024</v>
      </c>
      <c r="O541" s="63" t="n">
        <f aca="false">IF(ISTEXT($AC541),VALUE($AC541),$AC541)</f>
        <v>15</v>
      </c>
      <c r="P541" s="64" t="n">
        <f aca="false">INDEX(Datos_Origen!$I$2:$I$2459,$Z541)</f>
        <v>34.3</v>
      </c>
      <c r="Q541" s="64" t="n">
        <f aca="false">INDEX(Datos_Origen!$J$2:$J$2459,$Z541)</f>
        <v>17.85</v>
      </c>
      <c r="R541" s="65" t="n">
        <f aca="false">ROUND($O541*$P541,2)</f>
        <v>514.5</v>
      </c>
      <c r="S541" s="65" t="n">
        <f aca="false">ROUND($O541*$Q541,2)</f>
        <v>267.75</v>
      </c>
      <c r="T541" s="65" t="n">
        <f aca="false">ROUND($R541*SUMIFS(Parametros!$E$28:$E$43,Parametros!$B$28:$B$43,$J541,Parametros!$C$28:$C$43,$C541,Parametros!$D$28:$D$43,$D541),2)</f>
        <v>22.64</v>
      </c>
      <c r="U541" s="65" t="n">
        <f aca="false">$R541-$S541-$T541</f>
        <v>224.11</v>
      </c>
      <c r="V541" s="66" t="n">
        <f aca="false">IFERROR($U541/$R541,0)</f>
        <v>0.435587949465501</v>
      </c>
      <c r="W541" s="67" t="str">
        <f aca="false">IF(AND($V541&gt;=Parametros!$C$8,$R541&gt;=Parametros!$C$12),"Alta rentabilidad",IF(OR($V541&lt;Parametros!$C$11,$R541&lt;Parametros!$C$13),"Revisar","Estandar"))</f>
        <v>Estandar</v>
      </c>
      <c r="X541" s="67" t="str">
        <f aca="false">IF(AND($J541="E-commerce",IFERROR($T541/$R541,0)&gt;Parametros!$C$14),"Alerta","OK")</f>
        <v>OK</v>
      </c>
      <c r="Y541" s="61" t="str">
        <f aca="false">IF($R541&gt;=Parametros!$C$12,"Alto",IF($R541&lt;Parametros!$C$13,"Bajo","Medio"))</f>
        <v>Medio</v>
      </c>
      <c r="Z541" s="61" t="n">
        <v>1359</v>
      </c>
      <c r="AA541" s="61" t="str">
        <f aca="false">IF(MATCH($A541,Datos_Origen!$A$2:$A$2459,0)=$Z541,"OK","REVISAR")</f>
        <v>OK</v>
      </c>
      <c r="AB541" s="61" t="str">
        <f aca="false">INDEX(Datos_Origen!$B$2:$B$2459,$Z541)</f>
        <v>2024-06-01</v>
      </c>
      <c r="AC541" s="61" t="n">
        <f aca="false">INDEX(Datos_Origen!$H$2:$H$2459,$Z541)</f>
        <v>15</v>
      </c>
      <c r="AD541" s="61" t="str">
        <f aca="false">INDEX(Datos_Origen!$D$2:$D$2459,$Z541)&amp;""</f>
        <v>Cordoba</v>
      </c>
    </row>
    <row r="542" customFormat="false" ht="15" hidden="false" customHeight="false" outlineLevel="0" collapsed="false">
      <c r="A542" s="61" t="n">
        <f aca="false">INDEX(Datos_Origen!$A$2:$A$2459,$Z542)</f>
        <v>541</v>
      </c>
      <c r="B542" s="62" t="n">
        <f aca="false">IF(ISNUMBER($AB542),$AB542,IF(MID($AB542,5,1)="-",DATE(VALUE(LEFT($AB542,4)),VALUE(MID($AB542,6,2)),VALUE(RIGHT($AB542,2))),DATE(VALUE(RIGHT($AB542,4)),VALUE(MID($AB542,4,2)),VALUE(LEFT($AB542,2)))))</f>
        <v>45451</v>
      </c>
      <c r="C542" s="61" t="n">
        <f aca="false">YEAR($B542)</f>
        <v>2024</v>
      </c>
      <c r="D542" s="61" t="str">
        <f aca="false">"Q"&amp;ROUNDUP(MONTH($B542)/3,0)</f>
        <v>Q2</v>
      </c>
      <c r="E542" s="61" t="n">
        <f aca="false">MONTH($B542)</f>
        <v>6</v>
      </c>
      <c r="F542" s="61" t="str">
        <f aca="false">INDEX(Parametros!$I$5:$I$16,$E542)</f>
        <v>Jun</v>
      </c>
      <c r="G542" s="61" t="str">
        <f aca="false">TEXT($C542,"0000")&amp;"-"&amp;TEXT($E542,"00")</f>
        <v>2024-06</v>
      </c>
      <c r="H542" s="61" t="str">
        <f aca="false">INDEX(Parametros!$C$71:$C$91,MATCH(TRIM(INDEX(Datos_Origen!$C$2:$C$2459,$Z542)),Parametros!$B$71:$B$91,0))</f>
        <v>Litoral</v>
      </c>
      <c r="I542" s="61" t="str">
        <f aca="false">IF(TRIM($AD542)="",INDEX(Parametros!$I$20:$I$24,MATCH($H542,Parametros!$H$20:$H$24,0)),TRIM($AD542))</f>
        <v>Rosario</v>
      </c>
      <c r="J542" s="61" t="str">
        <f aca="false">INDEX(Parametros!$C$95:$C$106,MATCH(TRIM(INDEX(Datos_Origen!$E$2:$E$2459,$Z542)),Parametros!$B$95:$B$106,0))</f>
        <v>Tienda fisica</v>
      </c>
      <c r="K542" s="61" t="str">
        <f aca="false">INDEX(Parametros!$C$48:$C$67,MATCH(TRIM(INDEX(Datos_Origen!$F$2:$F$2459,$Z542)),Parametros!$B$48:$B$67,0))</f>
        <v>Computacion</v>
      </c>
      <c r="L542" s="61" t="str">
        <f aca="false">$K542&amp;" "&amp;$C542</f>
        <v>Computacion 2024</v>
      </c>
      <c r="M542" s="61" t="str">
        <f aca="false">TRIM(INDEX(Datos_Origen!$G$2:$G$2459,$Z542))</f>
        <v>Laptop Pro 15</v>
      </c>
      <c r="N542" s="61" t="str">
        <f aca="false">$M542&amp;" "&amp;$C542</f>
        <v>Laptop Pro 15 2024</v>
      </c>
      <c r="O542" s="63" t="n">
        <f aca="false">IF(ISTEXT($AC542),VALUE($AC542),$AC542)</f>
        <v>8</v>
      </c>
      <c r="P542" s="64" t="n">
        <f aca="false">INDEX(Datos_Origen!$I$2:$I$2459,$Z542)</f>
        <v>1176</v>
      </c>
      <c r="Q542" s="64" t="n">
        <f aca="false">INDEX(Datos_Origen!$J$2:$J$2459,$Z542)</f>
        <v>744</v>
      </c>
      <c r="R542" s="65" t="n">
        <f aca="false">ROUND($O542*$P542,2)</f>
        <v>9408</v>
      </c>
      <c r="S542" s="65" t="n">
        <f aca="false">ROUND($O542*$Q542,2)</f>
        <v>5952</v>
      </c>
      <c r="T542" s="65" t="n">
        <f aca="false">ROUND($R542*SUMIFS(Parametros!$E$28:$E$43,Parametros!$B$28:$B$43,$J542,Parametros!$C$28:$C$43,$C542,Parametros!$D$28:$D$43,$D542),2)</f>
        <v>112.9</v>
      </c>
      <c r="U542" s="65" t="n">
        <f aca="false">$R542-$S542-$T542</f>
        <v>3343.1</v>
      </c>
      <c r="V542" s="66" t="n">
        <f aca="false">IFERROR($U542/$R542,0)</f>
        <v>0.355346513605442</v>
      </c>
      <c r="W542" s="67" t="str">
        <f aca="false">IF(AND($V542&gt;=Parametros!$C$8,$R542&gt;=Parametros!$C$12),"Alta rentabilidad",IF(OR($V542&lt;Parametros!$C$11,$R542&lt;Parametros!$C$13),"Revisar","Estandar"))</f>
        <v>Alta rentabilidad</v>
      </c>
      <c r="X542" s="67" t="str">
        <f aca="false">IF(AND($J542="E-commerce",IFERROR($T542/$R542,0)&gt;Parametros!$C$14),"Alerta","OK")</f>
        <v>OK</v>
      </c>
      <c r="Y542" s="61" t="str">
        <f aca="false">IF($R542&gt;=Parametros!$C$12,"Alto",IF($R542&lt;Parametros!$C$13,"Bajo","Medio"))</f>
        <v>Alto</v>
      </c>
      <c r="Z542" s="61" t="n">
        <v>951</v>
      </c>
      <c r="AA542" s="61" t="str">
        <f aca="false">IF(MATCH($A542,Datos_Origen!$A$2:$A$2459,0)=$Z542,"OK","REVISAR")</f>
        <v>OK</v>
      </c>
      <c r="AB542" s="61" t="str">
        <f aca="false">INDEX(Datos_Origen!$B$2:$B$2459,$Z542)</f>
        <v>08/06/2024</v>
      </c>
      <c r="AC542" s="61" t="n">
        <f aca="false">INDEX(Datos_Origen!$H$2:$H$2459,$Z542)</f>
        <v>8</v>
      </c>
      <c r="AD542" s="61" t="str">
        <f aca="false">INDEX(Datos_Origen!$D$2:$D$2459,$Z542)&amp;""</f>
        <v>Rosario</v>
      </c>
    </row>
    <row r="543" customFormat="false" ht="15" hidden="false" customHeight="false" outlineLevel="0" collapsed="false">
      <c r="A543" s="61" t="n">
        <f aca="false">INDEX(Datos_Origen!$A$2:$A$2459,$Z543)</f>
        <v>542</v>
      </c>
      <c r="B543" s="62" t="n">
        <f aca="false">IF(ISNUMBER($AB543),$AB543,IF(MID($AB543,5,1)="-",DATE(VALUE(LEFT($AB543,4)),VALUE(MID($AB543,6,2)),VALUE(RIGHT($AB543,2))),DATE(VALUE(RIGHT($AB543,4)),VALUE(MID($AB543,4,2)),VALUE(LEFT($AB543,2)))))</f>
        <v>45458</v>
      </c>
      <c r="C543" s="61" t="n">
        <f aca="false">YEAR($B543)</f>
        <v>2024</v>
      </c>
      <c r="D543" s="61" t="str">
        <f aca="false">"Q"&amp;ROUNDUP(MONTH($B543)/3,0)</f>
        <v>Q2</v>
      </c>
      <c r="E543" s="61" t="n">
        <f aca="false">MONTH($B543)</f>
        <v>6</v>
      </c>
      <c r="F543" s="61" t="str">
        <f aca="false">INDEX(Parametros!$I$5:$I$16,$E543)</f>
        <v>Jun</v>
      </c>
      <c r="G543" s="61" t="str">
        <f aca="false">TEXT($C543,"0000")&amp;"-"&amp;TEXT($E543,"00")</f>
        <v>2024-06</v>
      </c>
      <c r="H543" s="61" t="str">
        <f aca="false">INDEX(Parametros!$C$71:$C$91,MATCH(TRIM(INDEX(Datos_Origen!$C$2:$C$2459,$Z543)),Parametros!$B$71:$B$91,0))</f>
        <v>Litoral</v>
      </c>
      <c r="I543" s="61" t="str">
        <f aca="false">IF(TRIM($AD543)="",INDEX(Parametros!$I$20:$I$24,MATCH($H543,Parametros!$H$20:$H$24,0)),TRIM($AD543))</f>
        <v>Rosario</v>
      </c>
      <c r="J543" s="61" t="str">
        <f aca="false">INDEX(Parametros!$C$95:$C$106,MATCH(TRIM(INDEX(Datos_Origen!$E$2:$E$2459,$Z543)),Parametros!$B$95:$B$106,0))</f>
        <v>E-commerce</v>
      </c>
      <c r="K543" s="61" t="str">
        <f aca="false">INDEX(Parametros!$C$48:$C$67,MATCH(TRIM(INDEX(Datos_Origen!$F$2:$F$2459,$Z543)),Parametros!$B$48:$B$67,0))</f>
        <v>Computacion</v>
      </c>
      <c r="L543" s="61" t="str">
        <f aca="false">$K543&amp;" "&amp;$C543</f>
        <v>Computacion 2024</v>
      </c>
      <c r="M543" s="61" t="str">
        <f aca="false">TRIM(INDEX(Datos_Origen!$G$2:$G$2459,$Z543))</f>
        <v>Laptop Pro 15</v>
      </c>
      <c r="N543" s="61" t="str">
        <f aca="false">$M543&amp;" "&amp;$C543</f>
        <v>Laptop Pro 15 2024</v>
      </c>
      <c r="O543" s="63" t="n">
        <f aca="false">IF(ISTEXT($AC543),VALUE($AC543),$AC543)</f>
        <v>3</v>
      </c>
      <c r="P543" s="64" t="n">
        <f aca="false">INDEX(Datos_Origen!$I$2:$I$2459,$Z543)</f>
        <v>1176</v>
      </c>
      <c r="Q543" s="64" t="n">
        <f aca="false">INDEX(Datos_Origen!$J$2:$J$2459,$Z543)</f>
        <v>744</v>
      </c>
      <c r="R543" s="65" t="n">
        <f aca="false">ROUND($O543*$P543,2)</f>
        <v>3528</v>
      </c>
      <c r="S543" s="65" t="n">
        <f aca="false">ROUND($O543*$Q543,2)</f>
        <v>2232</v>
      </c>
      <c r="T543" s="65" t="n">
        <f aca="false">ROUND($R543*SUMIFS(Parametros!$E$28:$E$43,Parametros!$B$28:$B$43,$J543,Parametros!$C$28:$C$43,$C543,Parametros!$D$28:$D$43,$D543),2)</f>
        <v>155.23</v>
      </c>
      <c r="U543" s="65" t="n">
        <f aca="false">$R543-$S543-$T543</f>
        <v>1140.77</v>
      </c>
      <c r="V543" s="66" t="n">
        <f aca="false">IFERROR($U543/$R543,0)</f>
        <v>0.323347505668934</v>
      </c>
      <c r="W543" s="67" t="str">
        <f aca="false">IF(AND($V543&gt;=Parametros!$C$8,$R543&gt;=Parametros!$C$12),"Alta rentabilidad",IF(OR($V543&lt;Parametros!$C$11,$R543&lt;Parametros!$C$13),"Revisar","Estandar"))</f>
        <v>Estandar</v>
      </c>
      <c r="X543" s="67" t="str">
        <f aca="false">IF(AND($J543="E-commerce",IFERROR($T543/$R543,0)&gt;Parametros!$C$14),"Alerta","OK")</f>
        <v>OK</v>
      </c>
      <c r="Y543" s="61" t="str">
        <f aca="false">IF($R543&gt;=Parametros!$C$12,"Alto",IF($R543&lt;Parametros!$C$13,"Bajo","Medio"))</f>
        <v>Alto</v>
      </c>
      <c r="Z543" s="61" t="n">
        <v>2256</v>
      </c>
      <c r="AA543" s="61" t="str">
        <f aca="false">IF(MATCH($A543,Datos_Origen!$A$2:$A$2459,0)=$Z543,"OK","REVISAR")</f>
        <v>OK</v>
      </c>
      <c r="AB543" s="62" t="n">
        <f aca="false">INDEX(Datos_Origen!$B$2:$B$2459,$Z543)</f>
        <v>45458</v>
      </c>
      <c r="AC543" s="61" t="n">
        <f aca="false">INDEX(Datos_Origen!$H$2:$H$2459,$Z543)</f>
        <v>3</v>
      </c>
      <c r="AD543" s="61" t="str">
        <f aca="false">INDEX(Datos_Origen!$D$2:$D$2459,$Z543)&amp;""</f>
        <v>Rosario</v>
      </c>
    </row>
    <row r="544" customFormat="false" ht="15" hidden="false" customHeight="false" outlineLevel="0" collapsed="false">
      <c r="A544" s="61" t="n">
        <f aca="false">INDEX(Datos_Origen!$A$2:$A$2459,$Z544)</f>
        <v>543</v>
      </c>
      <c r="B544" s="62" t="n">
        <f aca="false">IF(ISNUMBER($AB544),$AB544,IF(MID($AB544,5,1)="-",DATE(VALUE(LEFT($AB544,4)),VALUE(MID($AB544,6,2)),VALUE(RIGHT($AB544,2))),DATE(VALUE(RIGHT($AB544,4)),VALUE(MID($AB544,4,2)),VALUE(LEFT($AB544,2)))))</f>
        <v>45465</v>
      </c>
      <c r="C544" s="61" t="n">
        <f aca="false">YEAR($B544)</f>
        <v>2024</v>
      </c>
      <c r="D544" s="61" t="str">
        <f aca="false">"Q"&amp;ROUNDUP(MONTH($B544)/3,0)</f>
        <v>Q2</v>
      </c>
      <c r="E544" s="61" t="n">
        <f aca="false">MONTH($B544)</f>
        <v>6</v>
      </c>
      <c r="F544" s="61" t="str">
        <f aca="false">INDEX(Parametros!$I$5:$I$16,$E544)</f>
        <v>Jun</v>
      </c>
      <c r="G544" s="61" t="str">
        <f aca="false">TEXT($C544,"0000")&amp;"-"&amp;TEXT($E544,"00")</f>
        <v>2024-06</v>
      </c>
      <c r="H544" s="61" t="str">
        <f aca="false">INDEX(Parametros!$C$71:$C$91,MATCH(TRIM(INDEX(Datos_Origen!$C$2:$C$2459,$Z544)),Parametros!$B$71:$B$91,0))</f>
        <v>Litoral</v>
      </c>
      <c r="I544" s="61" t="str">
        <f aca="false">IF(TRIM($AD544)="",INDEX(Parametros!$I$20:$I$24,MATCH($H544,Parametros!$H$20:$H$24,0)),TRIM($AD544))</f>
        <v>Rosario</v>
      </c>
      <c r="J544" s="61" t="str">
        <f aca="false">INDEX(Parametros!$C$95:$C$106,MATCH(TRIM(INDEX(Datos_Origen!$E$2:$E$2459,$Z544)),Parametros!$B$95:$B$106,0))</f>
        <v>Tienda fisica</v>
      </c>
      <c r="K544" s="61" t="str">
        <f aca="false">INDEX(Parametros!$C$48:$C$67,MATCH(TRIM(INDEX(Datos_Origen!$F$2:$F$2459,$Z544)),Parametros!$B$48:$B$67,0))</f>
        <v>Computacion</v>
      </c>
      <c r="L544" s="61" t="str">
        <f aca="false">$K544&amp;" "&amp;$C544</f>
        <v>Computacion 2024</v>
      </c>
      <c r="M544" s="61" t="str">
        <f aca="false">TRIM(INDEX(Datos_Origen!$G$2:$G$2459,$Z544))</f>
        <v>Monitor 4K 27</v>
      </c>
      <c r="N544" s="61" t="str">
        <f aca="false">$M544&amp;" "&amp;$C544</f>
        <v>Monitor 4K 27 2024</v>
      </c>
      <c r="O544" s="63" t="n">
        <f aca="false">IF(ISTEXT($AC544),VALUE($AC544),$AC544)</f>
        <v>10</v>
      </c>
      <c r="P544" s="64" t="n">
        <f aca="false">INDEX(Datos_Origen!$I$2:$I$2459,$Z544)</f>
        <v>441</v>
      </c>
      <c r="Q544" s="64" t="n">
        <f aca="false">INDEX(Datos_Origen!$J$2:$J$2459,$Z544)</f>
        <v>272.25</v>
      </c>
      <c r="R544" s="65" t="n">
        <f aca="false">ROUND($O544*$P544,2)</f>
        <v>4410</v>
      </c>
      <c r="S544" s="65" t="n">
        <f aca="false">ROUND($O544*$Q544,2)</f>
        <v>2722.5</v>
      </c>
      <c r="T544" s="65" t="n">
        <f aca="false">ROUND($R544*SUMIFS(Parametros!$E$28:$E$43,Parametros!$B$28:$B$43,$J544,Parametros!$C$28:$C$43,$C544,Parametros!$D$28:$D$43,$D544),2)</f>
        <v>52.92</v>
      </c>
      <c r="U544" s="65" t="n">
        <f aca="false">$R544-$S544-$T544</f>
        <v>1634.58</v>
      </c>
      <c r="V544" s="66" t="n">
        <f aca="false">IFERROR($U544/$R544,0)</f>
        <v>0.37065306122449</v>
      </c>
      <c r="W544" s="67" t="str">
        <f aca="false">IF(AND($V544&gt;=Parametros!$C$8,$R544&gt;=Parametros!$C$12),"Alta rentabilidad",IF(OR($V544&lt;Parametros!$C$11,$R544&lt;Parametros!$C$13),"Revisar","Estandar"))</f>
        <v>Alta rentabilidad</v>
      </c>
      <c r="X544" s="67" t="str">
        <f aca="false">IF(AND($J544="E-commerce",IFERROR($T544/$R544,0)&gt;Parametros!$C$14),"Alerta","OK")</f>
        <v>OK</v>
      </c>
      <c r="Y544" s="61" t="str">
        <f aca="false">IF($R544&gt;=Parametros!$C$12,"Alto",IF($R544&lt;Parametros!$C$13,"Bajo","Medio"))</f>
        <v>Alto</v>
      </c>
      <c r="Z544" s="61" t="n">
        <v>522</v>
      </c>
      <c r="AA544" s="61" t="str">
        <f aca="false">IF(MATCH($A544,Datos_Origen!$A$2:$A$2459,0)=$Z544,"OK","REVISAR")</f>
        <v>OK</v>
      </c>
      <c r="AB544" s="61" t="str">
        <f aca="false">INDEX(Datos_Origen!$B$2:$B$2459,$Z544)</f>
        <v>22/06/2024</v>
      </c>
      <c r="AC544" s="61" t="n">
        <f aca="false">INDEX(Datos_Origen!$H$2:$H$2459,$Z544)</f>
        <v>10</v>
      </c>
      <c r="AD544" s="61" t="str">
        <f aca="false">INDEX(Datos_Origen!$D$2:$D$2459,$Z544)&amp;""</f>
        <v>Rosario</v>
      </c>
    </row>
    <row r="545" customFormat="false" ht="15" hidden="false" customHeight="false" outlineLevel="0" collapsed="false">
      <c r="A545" s="61" t="n">
        <f aca="false">INDEX(Datos_Origen!$A$2:$A$2459,$Z545)</f>
        <v>544</v>
      </c>
      <c r="B545" s="62" t="n">
        <f aca="false">IF(ISNUMBER($AB545),$AB545,IF(MID($AB545,5,1)="-",DATE(VALUE(LEFT($AB545,4)),VALUE(MID($AB545,6,2)),VALUE(RIGHT($AB545,2))),DATE(VALUE(RIGHT($AB545,4)),VALUE(MID($AB545,4,2)),VALUE(LEFT($AB545,2)))))</f>
        <v>45445</v>
      </c>
      <c r="C545" s="61" t="n">
        <f aca="false">YEAR($B545)</f>
        <v>2024</v>
      </c>
      <c r="D545" s="61" t="str">
        <f aca="false">"Q"&amp;ROUNDUP(MONTH($B545)/3,0)</f>
        <v>Q2</v>
      </c>
      <c r="E545" s="61" t="n">
        <f aca="false">MONTH($B545)</f>
        <v>6</v>
      </c>
      <c r="F545" s="61" t="str">
        <f aca="false">INDEX(Parametros!$I$5:$I$16,$E545)</f>
        <v>Jun</v>
      </c>
      <c r="G545" s="61" t="str">
        <f aca="false">TEXT($C545,"0000")&amp;"-"&amp;TEXT($E545,"00")</f>
        <v>2024-06</v>
      </c>
      <c r="H545" s="61" t="str">
        <f aca="false">INDEX(Parametros!$C$71:$C$91,MATCH(TRIM(INDEX(Datos_Origen!$C$2:$C$2459,$Z545)),Parametros!$B$71:$B$91,0))</f>
        <v>Litoral</v>
      </c>
      <c r="I545" s="61" t="str">
        <f aca="false">IF(TRIM($AD545)="",INDEX(Parametros!$I$20:$I$24,MATCH($H545,Parametros!$H$20:$H$24,0)),TRIM($AD545))</f>
        <v>Rosario</v>
      </c>
      <c r="J545" s="61" t="str">
        <f aca="false">INDEX(Parametros!$C$95:$C$106,MATCH(TRIM(INDEX(Datos_Origen!$E$2:$E$2459,$Z545)),Parametros!$B$95:$B$106,0))</f>
        <v>E-commerce</v>
      </c>
      <c r="K545" s="61" t="str">
        <f aca="false">INDEX(Parametros!$C$48:$C$67,MATCH(TRIM(INDEX(Datos_Origen!$F$2:$F$2459,$Z545)),Parametros!$B$48:$B$67,0))</f>
        <v>Computacion</v>
      </c>
      <c r="L545" s="61" t="str">
        <f aca="false">$K545&amp;" "&amp;$C545</f>
        <v>Computacion 2024</v>
      </c>
      <c r="M545" s="61" t="str">
        <f aca="false">TRIM(INDEX(Datos_Origen!$G$2:$G$2459,$Z545))</f>
        <v>Monitor 4K 27</v>
      </c>
      <c r="N545" s="61" t="str">
        <f aca="false">$M545&amp;" "&amp;$C545</f>
        <v>Monitor 4K 27 2024</v>
      </c>
      <c r="O545" s="63" t="n">
        <f aca="false">IF(ISTEXT($AC545),VALUE($AC545),$AC545)</f>
        <v>4</v>
      </c>
      <c r="P545" s="64" t="n">
        <f aca="false">INDEX(Datos_Origen!$I$2:$I$2459,$Z545)</f>
        <v>441</v>
      </c>
      <c r="Q545" s="64" t="n">
        <f aca="false">INDEX(Datos_Origen!$J$2:$J$2459,$Z545)</f>
        <v>272.25</v>
      </c>
      <c r="R545" s="65" t="n">
        <f aca="false">ROUND($O545*$P545,2)</f>
        <v>1764</v>
      </c>
      <c r="S545" s="65" t="n">
        <f aca="false">ROUND($O545*$Q545,2)</f>
        <v>1089</v>
      </c>
      <c r="T545" s="65" t="n">
        <f aca="false">ROUND($R545*SUMIFS(Parametros!$E$28:$E$43,Parametros!$B$28:$B$43,$J545,Parametros!$C$28:$C$43,$C545,Parametros!$D$28:$D$43,$D545),2)</f>
        <v>77.62</v>
      </c>
      <c r="U545" s="65" t="n">
        <f aca="false">$R545-$S545-$T545</f>
        <v>597.38</v>
      </c>
      <c r="V545" s="66" t="n">
        <f aca="false">IFERROR($U545/$R545,0)</f>
        <v>0.338650793650794</v>
      </c>
      <c r="W545" s="67" t="str">
        <f aca="false">IF(AND($V545&gt;=Parametros!$C$8,$R545&gt;=Parametros!$C$12),"Alta rentabilidad",IF(OR($V545&lt;Parametros!$C$11,$R545&lt;Parametros!$C$13),"Revisar","Estandar"))</f>
        <v>Estandar</v>
      </c>
      <c r="X545" s="67" t="str">
        <f aca="false">IF(AND($J545="E-commerce",IFERROR($T545/$R545,0)&gt;Parametros!$C$14),"Alerta","OK")</f>
        <v>OK</v>
      </c>
      <c r="Y545" s="61" t="str">
        <f aca="false">IF($R545&gt;=Parametros!$C$12,"Alto",IF($R545&lt;Parametros!$C$13,"Bajo","Medio"))</f>
        <v>Medio</v>
      </c>
      <c r="Z545" s="61" t="n">
        <v>1298</v>
      </c>
      <c r="AA545" s="61" t="str">
        <f aca="false">IF(MATCH($A545,Datos_Origen!$A$2:$A$2459,0)=$Z545,"OK","REVISAR")</f>
        <v>OK</v>
      </c>
      <c r="AB545" s="62" t="n">
        <f aca="false">INDEX(Datos_Origen!$B$2:$B$2459,$Z545)</f>
        <v>45445</v>
      </c>
      <c r="AC545" s="61" t="n">
        <f aca="false">INDEX(Datos_Origen!$H$2:$H$2459,$Z545)</f>
        <v>4</v>
      </c>
      <c r="AD545" s="61" t="str">
        <f aca="false">INDEX(Datos_Origen!$D$2:$D$2459,$Z545)&amp;""</f>
        <v>Rosario</v>
      </c>
    </row>
    <row r="546" customFormat="false" ht="15" hidden="false" customHeight="false" outlineLevel="0" collapsed="false">
      <c r="A546" s="61" t="n">
        <f aca="false">INDEX(Datos_Origen!$A$2:$A$2459,$Z546)</f>
        <v>545</v>
      </c>
      <c r="B546" s="62" t="n">
        <f aca="false">IF(ISNUMBER($AB546),$AB546,IF(MID($AB546,5,1)="-",DATE(VALUE(LEFT($AB546,4)),VALUE(MID($AB546,6,2)),VALUE(RIGHT($AB546,2))),DATE(VALUE(RIGHT($AB546,4)),VALUE(MID($AB546,4,2)),VALUE(LEFT($AB546,2)))))</f>
        <v>45452</v>
      </c>
      <c r="C546" s="61" t="n">
        <f aca="false">YEAR($B546)</f>
        <v>2024</v>
      </c>
      <c r="D546" s="61" t="str">
        <f aca="false">"Q"&amp;ROUNDUP(MONTH($B546)/3,0)</f>
        <v>Q2</v>
      </c>
      <c r="E546" s="61" t="n">
        <f aca="false">MONTH($B546)</f>
        <v>6</v>
      </c>
      <c r="F546" s="61" t="str">
        <f aca="false">INDEX(Parametros!$I$5:$I$16,$E546)</f>
        <v>Jun</v>
      </c>
      <c r="G546" s="61" t="str">
        <f aca="false">TEXT($C546,"0000")&amp;"-"&amp;TEXT($E546,"00")</f>
        <v>2024-06</v>
      </c>
      <c r="H546" s="61" t="str">
        <f aca="false">INDEX(Parametros!$C$71:$C$91,MATCH(TRIM(INDEX(Datos_Origen!$C$2:$C$2459,$Z546)),Parametros!$B$71:$B$91,0))</f>
        <v>Litoral</v>
      </c>
      <c r="I546" s="61" t="str">
        <f aca="false">IF(TRIM($AD546)="",INDEX(Parametros!$I$20:$I$24,MATCH($H546,Parametros!$H$20:$H$24,0)),TRIM($AD546))</f>
        <v>Rosario</v>
      </c>
      <c r="J546" s="61" t="str">
        <f aca="false">INDEX(Parametros!$C$95:$C$106,MATCH(TRIM(INDEX(Datos_Origen!$E$2:$E$2459,$Z546)),Parametros!$B$95:$B$106,0))</f>
        <v>Tienda fisica</v>
      </c>
      <c r="K546" s="61" t="str">
        <f aca="false">INDEX(Parametros!$C$48:$C$67,MATCH(TRIM(INDEX(Datos_Origen!$F$2:$F$2459,$Z546)),Parametros!$B$48:$B$67,0))</f>
        <v>Computacion</v>
      </c>
      <c r="L546" s="61" t="str">
        <f aca="false">$K546&amp;" "&amp;$C546</f>
        <v>Computacion 2024</v>
      </c>
      <c r="M546" s="61" t="str">
        <f aca="false">TRIM(INDEX(Datos_Origen!$G$2:$G$2459,$Z546))</f>
        <v>PC Gamer Ryzen</v>
      </c>
      <c r="N546" s="61" t="str">
        <f aca="false">$M546&amp;" "&amp;$C546</f>
        <v>PC Gamer Ryzen 2024</v>
      </c>
      <c r="O546" s="63" t="n">
        <f aca="false">IF(ISTEXT($AC546),VALUE($AC546),$AC546)</f>
        <v>10</v>
      </c>
      <c r="P546" s="64" t="n">
        <f aca="false">INDEX(Datos_Origen!$I$2:$I$2459,$Z546)</f>
        <v>1617</v>
      </c>
      <c r="Q546" s="64" t="n">
        <f aca="false">INDEX(Datos_Origen!$J$2:$J$2459,$Z546)</f>
        <v>1122</v>
      </c>
      <c r="R546" s="65" t="n">
        <f aca="false">ROUND($O546*$P546,2)</f>
        <v>16170</v>
      </c>
      <c r="S546" s="65" t="n">
        <f aca="false">ROUND($O546*$Q546,2)</f>
        <v>11220</v>
      </c>
      <c r="T546" s="65" t="n">
        <f aca="false">ROUND($R546*SUMIFS(Parametros!$E$28:$E$43,Parametros!$B$28:$B$43,$J546,Parametros!$C$28:$C$43,$C546,Parametros!$D$28:$D$43,$D546),2)</f>
        <v>194.04</v>
      </c>
      <c r="U546" s="65" t="n">
        <f aca="false">$R546-$S546-$T546</f>
        <v>4755.96</v>
      </c>
      <c r="V546" s="66" t="n">
        <f aca="false">IFERROR($U546/$R546,0)</f>
        <v>0.294122448979592</v>
      </c>
      <c r="W546" s="67" t="str">
        <f aca="false">IF(AND($V546&gt;=Parametros!$C$8,$R546&gt;=Parametros!$C$12),"Alta rentabilidad",IF(OR($V546&lt;Parametros!$C$11,$R546&lt;Parametros!$C$13),"Revisar","Estandar"))</f>
        <v>Estandar</v>
      </c>
      <c r="X546" s="67" t="str">
        <f aca="false">IF(AND($J546="E-commerce",IFERROR($T546/$R546,0)&gt;Parametros!$C$14),"Alerta","OK")</f>
        <v>OK</v>
      </c>
      <c r="Y546" s="61" t="str">
        <f aca="false">IF($R546&gt;=Parametros!$C$12,"Alto",IF($R546&lt;Parametros!$C$13,"Bajo","Medio"))</f>
        <v>Alto</v>
      </c>
      <c r="Z546" s="61" t="n">
        <v>1129</v>
      </c>
      <c r="AA546" s="61" t="str">
        <f aca="false">IF(MATCH($A546,Datos_Origen!$A$2:$A$2459,0)=$Z546,"OK","REVISAR")</f>
        <v>OK</v>
      </c>
      <c r="AB546" s="61" t="str">
        <f aca="false">INDEX(Datos_Origen!$B$2:$B$2459,$Z546)</f>
        <v>09/06/2024</v>
      </c>
      <c r="AC546" s="61" t="n">
        <f aca="false">INDEX(Datos_Origen!$H$2:$H$2459,$Z546)</f>
        <v>10</v>
      </c>
      <c r="AD546" s="61" t="str">
        <f aca="false">INDEX(Datos_Origen!$D$2:$D$2459,$Z546)&amp;""</f>
        <v>Rosario</v>
      </c>
    </row>
    <row r="547" customFormat="false" ht="15" hidden="false" customHeight="false" outlineLevel="0" collapsed="false">
      <c r="A547" s="61" t="n">
        <f aca="false">INDEX(Datos_Origen!$A$2:$A$2459,$Z547)</f>
        <v>546</v>
      </c>
      <c r="B547" s="62" t="n">
        <f aca="false">IF(ISNUMBER($AB547),$AB547,IF(MID($AB547,5,1)="-",DATE(VALUE(LEFT($AB547,4)),VALUE(MID($AB547,6,2)),VALUE(RIGHT($AB547,2))),DATE(VALUE(RIGHT($AB547,4)),VALUE(MID($AB547,4,2)),VALUE(LEFT($AB547,2)))))</f>
        <v>45459</v>
      </c>
      <c r="C547" s="61" t="n">
        <f aca="false">YEAR($B547)</f>
        <v>2024</v>
      </c>
      <c r="D547" s="61" t="str">
        <f aca="false">"Q"&amp;ROUNDUP(MONTH($B547)/3,0)</f>
        <v>Q2</v>
      </c>
      <c r="E547" s="61" t="n">
        <f aca="false">MONTH($B547)</f>
        <v>6</v>
      </c>
      <c r="F547" s="61" t="str">
        <f aca="false">INDEX(Parametros!$I$5:$I$16,$E547)</f>
        <v>Jun</v>
      </c>
      <c r="G547" s="61" t="str">
        <f aca="false">TEXT($C547,"0000")&amp;"-"&amp;TEXT($E547,"00")</f>
        <v>2024-06</v>
      </c>
      <c r="H547" s="61" t="str">
        <f aca="false">INDEX(Parametros!$C$71:$C$91,MATCH(TRIM(INDEX(Datos_Origen!$C$2:$C$2459,$Z547)),Parametros!$B$71:$B$91,0))</f>
        <v>Litoral</v>
      </c>
      <c r="I547" s="61" t="str">
        <f aca="false">IF(TRIM($AD547)="",INDEX(Parametros!$I$20:$I$24,MATCH($H547,Parametros!$H$20:$H$24,0)),TRIM($AD547))</f>
        <v>Rosario</v>
      </c>
      <c r="J547" s="61" t="str">
        <f aca="false">INDEX(Parametros!$C$95:$C$106,MATCH(TRIM(INDEX(Datos_Origen!$E$2:$E$2459,$Z547)),Parametros!$B$95:$B$106,0))</f>
        <v>E-commerce</v>
      </c>
      <c r="K547" s="61" t="str">
        <f aca="false">INDEX(Parametros!$C$48:$C$67,MATCH(TRIM(INDEX(Datos_Origen!$F$2:$F$2459,$Z547)),Parametros!$B$48:$B$67,0))</f>
        <v>Computacion</v>
      </c>
      <c r="L547" s="61" t="str">
        <f aca="false">$K547&amp;" "&amp;$C547</f>
        <v>Computacion 2024</v>
      </c>
      <c r="M547" s="61" t="str">
        <f aca="false">TRIM(INDEX(Datos_Origen!$G$2:$G$2459,$Z547))</f>
        <v>PC Gamer Ryzen</v>
      </c>
      <c r="N547" s="61" t="str">
        <f aca="false">$M547&amp;" "&amp;$C547</f>
        <v>PC Gamer Ryzen 2024</v>
      </c>
      <c r="O547" s="63" t="n">
        <f aca="false">IF(ISTEXT($AC547),VALUE($AC547),$AC547)</f>
        <v>4</v>
      </c>
      <c r="P547" s="64" t="n">
        <f aca="false">INDEX(Datos_Origen!$I$2:$I$2459,$Z547)</f>
        <v>1617</v>
      </c>
      <c r="Q547" s="64" t="n">
        <f aca="false">INDEX(Datos_Origen!$J$2:$J$2459,$Z547)</f>
        <v>1122</v>
      </c>
      <c r="R547" s="65" t="n">
        <f aca="false">ROUND($O547*$P547,2)</f>
        <v>6468</v>
      </c>
      <c r="S547" s="65" t="n">
        <f aca="false">ROUND($O547*$Q547,2)</f>
        <v>4488</v>
      </c>
      <c r="T547" s="65" t="n">
        <f aca="false">ROUND($R547*SUMIFS(Parametros!$E$28:$E$43,Parametros!$B$28:$B$43,$J547,Parametros!$C$28:$C$43,$C547,Parametros!$D$28:$D$43,$D547),2)</f>
        <v>284.59</v>
      </c>
      <c r="U547" s="65" t="n">
        <f aca="false">$R547-$S547-$T547</f>
        <v>1695.41</v>
      </c>
      <c r="V547" s="66" t="n">
        <f aca="false">IFERROR($U547/$R547,0)</f>
        <v>0.262122758194187</v>
      </c>
      <c r="W547" s="67" t="str">
        <f aca="false">IF(AND($V547&gt;=Parametros!$C$8,$R547&gt;=Parametros!$C$12),"Alta rentabilidad",IF(OR($V547&lt;Parametros!$C$11,$R547&lt;Parametros!$C$13),"Revisar","Estandar"))</f>
        <v>Revisar</v>
      </c>
      <c r="X547" s="67" t="str">
        <f aca="false">IF(AND($J547="E-commerce",IFERROR($T547/$R547,0)&gt;Parametros!$C$14),"Alerta","OK")</f>
        <v>OK</v>
      </c>
      <c r="Y547" s="61" t="str">
        <f aca="false">IF($R547&gt;=Parametros!$C$12,"Alto",IF($R547&lt;Parametros!$C$13,"Bajo","Medio"))</f>
        <v>Alto</v>
      </c>
      <c r="Z547" s="61" t="n">
        <v>470</v>
      </c>
      <c r="AA547" s="61" t="str">
        <f aca="false">IF(MATCH($A547,Datos_Origen!$A$2:$A$2459,0)=$Z547,"OK","REVISAR")</f>
        <v>OK</v>
      </c>
      <c r="AB547" s="62" t="n">
        <f aca="false">INDEX(Datos_Origen!$B$2:$B$2459,$Z547)</f>
        <v>45459</v>
      </c>
      <c r="AC547" s="61" t="n">
        <f aca="false">INDEX(Datos_Origen!$H$2:$H$2459,$Z547)</f>
        <v>4</v>
      </c>
      <c r="AD547" s="61" t="str">
        <f aca="false">INDEX(Datos_Origen!$D$2:$D$2459,$Z547)&amp;""</f>
        <v>Rosario</v>
      </c>
    </row>
    <row r="548" customFormat="false" ht="15" hidden="false" customHeight="false" outlineLevel="0" collapsed="false">
      <c r="A548" s="61" t="n">
        <f aca="false">INDEX(Datos_Origen!$A$2:$A$2459,$Z548)</f>
        <v>547</v>
      </c>
      <c r="B548" s="62" t="n">
        <f aca="false">IF(ISNUMBER($AB548),$AB548,IF(MID($AB548,5,1)="-",DATE(VALUE(LEFT($AB548,4)),VALUE(MID($AB548,6,2)),VALUE(RIGHT($AB548,2))),DATE(VALUE(RIGHT($AB548,4)),VALUE(MID($AB548,4,2)),VALUE(LEFT($AB548,2)))))</f>
        <v>45466</v>
      </c>
      <c r="C548" s="61" t="n">
        <f aca="false">YEAR($B548)</f>
        <v>2024</v>
      </c>
      <c r="D548" s="61" t="str">
        <f aca="false">"Q"&amp;ROUNDUP(MONTH($B548)/3,0)</f>
        <v>Q2</v>
      </c>
      <c r="E548" s="61" t="n">
        <f aca="false">MONTH($B548)</f>
        <v>6</v>
      </c>
      <c r="F548" s="61" t="str">
        <f aca="false">INDEX(Parametros!$I$5:$I$16,$E548)</f>
        <v>Jun</v>
      </c>
      <c r="G548" s="61" t="str">
        <f aca="false">TEXT($C548,"0000")&amp;"-"&amp;TEXT($E548,"00")</f>
        <v>2024-06</v>
      </c>
      <c r="H548" s="61" t="str">
        <f aca="false">INDEX(Parametros!$C$71:$C$91,MATCH(TRIM(INDEX(Datos_Origen!$C$2:$C$2459,$Z548)),Parametros!$B$71:$B$91,0))</f>
        <v>Litoral</v>
      </c>
      <c r="I548" s="61" t="str">
        <f aca="false">IF(TRIM($AD548)="",INDEX(Parametros!$I$20:$I$24,MATCH($H548,Parametros!$H$20:$H$24,0)),TRIM($AD548))</f>
        <v>Rosario</v>
      </c>
      <c r="J548" s="61" t="str">
        <f aca="false">INDEX(Parametros!$C$95:$C$106,MATCH(TRIM(INDEX(Datos_Origen!$E$2:$E$2459,$Z548)),Parametros!$B$95:$B$106,0))</f>
        <v>Tienda fisica</v>
      </c>
      <c r="K548" s="61" t="str">
        <f aca="false">INDEX(Parametros!$C$48:$C$67,MATCH(TRIM(INDEX(Datos_Origen!$F$2:$F$2459,$Z548)),Parametros!$B$48:$B$67,0))</f>
        <v>Accesorios</v>
      </c>
      <c r="L548" s="61" t="str">
        <f aca="false">$K548&amp;" "&amp;$C548</f>
        <v>Accesorios 2024</v>
      </c>
      <c r="M548" s="61" t="str">
        <f aca="false">TRIM(INDEX(Datos_Origen!$G$2:$G$2459,$Z548))</f>
        <v>Mouse Inalambrico</v>
      </c>
      <c r="N548" s="61" t="str">
        <f aca="false">$M548&amp;" "&amp;$C548</f>
        <v>Mouse Inalambrico 2024</v>
      </c>
      <c r="O548" s="63" t="n">
        <f aca="false">IF(ISTEXT($AC548),VALUE($AC548),$AC548)</f>
        <v>44</v>
      </c>
      <c r="P548" s="64" t="n">
        <f aca="false">INDEX(Datos_Origen!$I$2:$I$2459,$Z548)</f>
        <v>27.44</v>
      </c>
      <c r="Q548" s="64" t="n">
        <f aca="false">INDEX(Datos_Origen!$J$2:$J$2459,$Z548)</f>
        <v>13.44</v>
      </c>
      <c r="R548" s="65" t="n">
        <f aca="false">ROUND($O548*$P548,2)</f>
        <v>1207.36</v>
      </c>
      <c r="S548" s="65" t="n">
        <f aca="false">ROUND($O548*$Q548,2)</f>
        <v>591.36</v>
      </c>
      <c r="T548" s="65" t="n">
        <f aca="false">ROUND($R548*SUMIFS(Parametros!$E$28:$E$43,Parametros!$B$28:$B$43,$J548,Parametros!$C$28:$C$43,$C548,Parametros!$D$28:$D$43,$D548),2)</f>
        <v>14.49</v>
      </c>
      <c r="U548" s="65" t="n">
        <f aca="false">$R548-$S548-$T548</f>
        <v>601.51</v>
      </c>
      <c r="V548" s="66" t="n">
        <f aca="false">IFERROR($U548/$R548,0)</f>
        <v>0.498202690166976</v>
      </c>
      <c r="W548" s="67" t="str">
        <f aca="false">IF(AND($V548&gt;=Parametros!$C$8,$R548&gt;=Parametros!$C$12),"Alta rentabilidad",IF(OR($V548&lt;Parametros!$C$11,$R548&lt;Parametros!$C$13),"Revisar","Estandar"))</f>
        <v>Estandar</v>
      </c>
      <c r="X548" s="67" t="str">
        <f aca="false">IF(AND($J548="E-commerce",IFERROR($T548/$R548,0)&gt;Parametros!$C$14),"Alerta","OK")</f>
        <v>OK</v>
      </c>
      <c r="Y548" s="61" t="str">
        <f aca="false">IF($R548&gt;=Parametros!$C$12,"Alto",IF($R548&lt;Parametros!$C$13,"Bajo","Medio"))</f>
        <v>Medio</v>
      </c>
      <c r="Z548" s="61" t="n">
        <v>1814</v>
      </c>
      <c r="AA548" s="61" t="str">
        <f aca="false">IF(MATCH($A548,Datos_Origen!$A$2:$A$2459,0)=$Z548,"OK","REVISAR")</f>
        <v>OK</v>
      </c>
      <c r="AB548" s="62" t="n">
        <f aca="false">INDEX(Datos_Origen!$B$2:$B$2459,$Z548)</f>
        <v>45466</v>
      </c>
      <c r="AC548" s="61" t="str">
        <f aca="false">INDEX(Datos_Origen!$H$2:$H$2459,$Z548)</f>
        <v>44</v>
      </c>
      <c r="AD548" s="61" t="str">
        <f aca="false">INDEX(Datos_Origen!$D$2:$D$2459,$Z548)&amp;""</f>
        <v/>
      </c>
    </row>
    <row r="549" customFormat="false" ht="15" hidden="false" customHeight="false" outlineLevel="0" collapsed="false">
      <c r="A549" s="61" t="n">
        <f aca="false">INDEX(Datos_Origen!$A$2:$A$2459,$Z549)</f>
        <v>548</v>
      </c>
      <c r="B549" s="62" t="n">
        <f aca="false">IF(ISNUMBER($AB549),$AB549,IF(MID($AB549,5,1)="-",DATE(VALUE(LEFT($AB549,4)),VALUE(MID($AB549,6,2)),VALUE(RIGHT($AB549,2))),DATE(VALUE(RIGHT($AB549,4)),VALUE(MID($AB549,4,2)),VALUE(LEFT($AB549,2)))))</f>
        <v>45446</v>
      </c>
      <c r="C549" s="61" t="n">
        <f aca="false">YEAR($B549)</f>
        <v>2024</v>
      </c>
      <c r="D549" s="61" t="str">
        <f aca="false">"Q"&amp;ROUNDUP(MONTH($B549)/3,0)</f>
        <v>Q2</v>
      </c>
      <c r="E549" s="61" t="n">
        <f aca="false">MONTH($B549)</f>
        <v>6</v>
      </c>
      <c r="F549" s="61" t="str">
        <f aca="false">INDEX(Parametros!$I$5:$I$16,$E549)</f>
        <v>Jun</v>
      </c>
      <c r="G549" s="61" t="str">
        <f aca="false">TEXT($C549,"0000")&amp;"-"&amp;TEXT($E549,"00")</f>
        <v>2024-06</v>
      </c>
      <c r="H549" s="61" t="str">
        <f aca="false">INDEX(Parametros!$C$71:$C$91,MATCH(TRIM(INDEX(Datos_Origen!$C$2:$C$2459,$Z549)),Parametros!$B$71:$B$91,0))</f>
        <v>Litoral</v>
      </c>
      <c r="I549" s="61" t="str">
        <f aca="false">IF(TRIM($AD549)="",INDEX(Parametros!$I$20:$I$24,MATCH($H549,Parametros!$H$20:$H$24,0)),TRIM($AD549))</f>
        <v>Rosario</v>
      </c>
      <c r="J549" s="61" t="str">
        <f aca="false">INDEX(Parametros!$C$95:$C$106,MATCH(TRIM(INDEX(Datos_Origen!$E$2:$E$2459,$Z549)),Parametros!$B$95:$B$106,0))</f>
        <v>E-commerce</v>
      </c>
      <c r="K549" s="61" t="str">
        <f aca="false">INDEX(Parametros!$C$48:$C$67,MATCH(TRIM(INDEX(Datos_Origen!$F$2:$F$2459,$Z549)),Parametros!$B$48:$B$67,0))</f>
        <v>Accesorios</v>
      </c>
      <c r="L549" s="61" t="str">
        <f aca="false">$K549&amp;" "&amp;$C549</f>
        <v>Accesorios 2024</v>
      </c>
      <c r="M549" s="61" t="str">
        <f aca="false">TRIM(INDEX(Datos_Origen!$G$2:$G$2459,$Z549))</f>
        <v>Mouse Inalambrico</v>
      </c>
      <c r="N549" s="61" t="str">
        <f aca="false">$M549&amp;" "&amp;$C549</f>
        <v>Mouse Inalambrico 2024</v>
      </c>
      <c r="O549" s="63" t="n">
        <f aca="false">IF(ISTEXT($AC549),VALUE($AC549),$AC549)</f>
        <v>17</v>
      </c>
      <c r="P549" s="64" t="n">
        <f aca="false">INDEX(Datos_Origen!$I$2:$I$2459,$Z549)</f>
        <v>27.44</v>
      </c>
      <c r="Q549" s="64" t="n">
        <f aca="false">INDEX(Datos_Origen!$J$2:$J$2459,$Z549)</f>
        <v>13.44</v>
      </c>
      <c r="R549" s="65" t="n">
        <f aca="false">ROUND($O549*$P549,2)</f>
        <v>466.48</v>
      </c>
      <c r="S549" s="65" t="n">
        <f aca="false">ROUND($O549*$Q549,2)</f>
        <v>228.48</v>
      </c>
      <c r="T549" s="65" t="n">
        <f aca="false">ROUND($R549*SUMIFS(Parametros!$E$28:$E$43,Parametros!$B$28:$B$43,$J549,Parametros!$C$28:$C$43,$C549,Parametros!$D$28:$D$43,$D549),2)</f>
        <v>20.53</v>
      </c>
      <c r="U549" s="65" t="n">
        <f aca="false">$R549-$S549-$T549</f>
        <v>217.47</v>
      </c>
      <c r="V549" s="66" t="n">
        <f aca="false">IFERROR($U549/$R549,0)</f>
        <v>0.466193620305265</v>
      </c>
      <c r="W549" s="67" t="str">
        <f aca="false">IF(AND($V549&gt;=Parametros!$C$8,$R549&gt;=Parametros!$C$12),"Alta rentabilidad",IF(OR($V549&lt;Parametros!$C$11,$R549&lt;Parametros!$C$13),"Revisar","Estandar"))</f>
        <v>Estandar</v>
      </c>
      <c r="X549" s="67" t="str">
        <f aca="false">IF(AND($J549="E-commerce",IFERROR($T549/$R549,0)&gt;Parametros!$C$14),"Alerta","OK")</f>
        <v>OK</v>
      </c>
      <c r="Y549" s="61" t="str">
        <f aca="false">IF($R549&gt;=Parametros!$C$12,"Alto",IF($R549&lt;Parametros!$C$13,"Bajo","Medio"))</f>
        <v>Medio</v>
      </c>
      <c r="Z549" s="61" t="n">
        <v>241</v>
      </c>
      <c r="AA549" s="61" t="str">
        <f aca="false">IF(MATCH($A549,Datos_Origen!$A$2:$A$2459,0)=$Z549,"OK","REVISAR")</f>
        <v>OK</v>
      </c>
      <c r="AB549" s="61" t="str">
        <f aca="false">INDEX(Datos_Origen!$B$2:$B$2459,$Z549)</f>
        <v>03/06/2024</v>
      </c>
      <c r="AC549" s="61" t="n">
        <f aca="false">INDEX(Datos_Origen!$H$2:$H$2459,$Z549)</f>
        <v>17</v>
      </c>
      <c r="AD549" s="61" t="str">
        <f aca="false">INDEX(Datos_Origen!$D$2:$D$2459,$Z549)&amp;""</f>
        <v>Rosario</v>
      </c>
    </row>
    <row r="550" customFormat="false" ht="15" hidden="false" customHeight="false" outlineLevel="0" collapsed="false">
      <c r="A550" s="61" t="n">
        <f aca="false">INDEX(Datos_Origen!$A$2:$A$2459,$Z550)</f>
        <v>549</v>
      </c>
      <c r="B550" s="62" t="n">
        <f aca="false">IF(ISNUMBER($AB550),$AB550,IF(MID($AB550,5,1)="-",DATE(VALUE(LEFT($AB550,4)),VALUE(MID($AB550,6,2)),VALUE(RIGHT($AB550,2))),DATE(VALUE(RIGHT($AB550,4)),VALUE(MID($AB550,4,2)),VALUE(LEFT($AB550,2)))))</f>
        <v>45453</v>
      </c>
      <c r="C550" s="61" t="n">
        <f aca="false">YEAR($B550)</f>
        <v>2024</v>
      </c>
      <c r="D550" s="61" t="str">
        <f aca="false">"Q"&amp;ROUNDUP(MONTH($B550)/3,0)</f>
        <v>Q2</v>
      </c>
      <c r="E550" s="61" t="n">
        <f aca="false">MONTH($B550)</f>
        <v>6</v>
      </c>
      <c r="F550" s="61" t="str">
        <f aca="false">INDEX(Parametros!$I$5:$I$16,$E550)</f>
        <v>Jun</v>
      </c>
      <c r="G550" s="61" t="str">
        <f aca="false">TEXT($C550,"0000")&amp;"-"&amp;TEXT($E550,"00")</f>
        <v>2024-06</v>
      </c>
      <c r="H550" s="61" t="str">
        <f aca="false">INDEX(Parametros!$C$71:$C$91,MATCH(TRIM(INDEX(Datos_Origen!$C$2:$C$2459,$Z550)),Parametros!$B$71:$B$91,0))</f>
        <v>Litoral</v>
      </c>
      <c r="I550" s="61" t="str">
        <f aca="false">IF(TRIM($AD550)="",INDEX(Parametros!$I$20:$I$24,MATCH($H550,Parametros!$H$20:$H$24,0)),TRIM($AD550))</f>
        <v>Rosario</v>
      </c>
      <c r="J550" s="61" t="str">
        <f aca="false">INDEX(Parametros!$C$95:$C$106,MATCH(TRIM(INDEX(Datos_Origen!$E$2:$E$2459,$Z550)),Parametros!$B$95:$B$106,0))</f>
        <v>Tienda fisica</v>
      </c>
      <c r="K550" s="61" t="str">
        <f aca="false">INDEX(Parametros!$C$48:$C$67,MATCH(TRIM(INDEX(Datos_Origen!$F$2:$F$2459,$Z550)),Parametros!$B$48:$B$67,0))</f>
        <v>Accesorios</v>
      </c>
      <c r="L550" s="61" t="str">
        <f aca="false">$K550&amp;" "&amp;$C550</f>
        <v>Accesorios 2024</v>
      </c>
      <c r="M550" s="61" t="str">
        <f aca="false">TRIM(INDEX(Datos_Origen!$G$2:$G$2459,$Z550))</f>
        <v>Teclado Mecanico</v>
      </c>
      <c r="N550" s="61" t="str">
        <f aca="false">$M550&amp;" "&amp;$C550</f>
        <v>Teclado Mecanico 2024</v>
      </c>
      <c r="O550" s="63" t="n">
        <f aca="false">IF(ISTEXT($AC550),VALUE($AC550),$AC550)</f>
        <v>51</v>
      </c>
      <c r="P550" s="64" t="n">
        <f aca="false">INDEX(Datos_Origen!$I$2:$I$2459,$Z550)</f>
        <v>93.1</v>
      </c>
      <c r="Q550" s="64" t="n">
        <f aca="false">INDEX(Datos_Origen!$J$2:$J$2459,$Z550)</f>
        <v>47.98</v>
      </c>
      <c r="R550" s="65" t="n">
        <f aca="false">ROUND($O550*$P550,2)</f>
        <v>4748.1</v>
      </c>
      <c r="S550" s="65" t="n">
        <f aca="false">ROUND($O550*$Q550,2)</f>
        <v>2446.98</v>
      </c>
      <c r="T550" s="65" t="n">
        <f aca="false">ROUND($R550*SUMIFS(Parametros!$E$28:$E$43,Parametros!$B$28:$B$43,$J550,Parametros!$C$28:$C$43,$C550,Parametros!$D$28:$D$43,$D550),2)</f>
        <v>56.98</v>
      </c>
      <c r="U550" s="65" t="n">
        <f aca="false">$R550-$S550-$T550</f>
        <v>2244.14</v>
      </c>
      <c r="V550" s="66" t="n">
        <f aca="false">IFERROR($U550/$R550,0)</f>
        <v>0.472639582148649</v>
      </c>
      <c r="W550" s="67" t="str">
        <f aca="false">IF(AND($V550&gt;=Parametros!$C$8,$R550&gt;=Parametros!$C$12),"Alta rentabilidad",IF(OR($V550&lt;Parametros!$C$11,$R550&lt;Parametros!$C$13),"Revisar","Estandar"))</f>
        <v>Alta rentabilidad</v>
      </c>
      <c r="X550" s="67" t="str">
        <f aca="false">IF(AND($J550="E-commerce",IFERROR($T550/$R550,0)&gt;Parametros!$C$14),"Alerta","OK")</f>
        <v>OK</v>
      </c>
      <c r="Y550" s="61" t="str">
        <f aca="false">IF($R550&gt;=Parametros!$C$12,"Alto",IF($R550&lt;Parametros!$C$13,"Bajo","Medio"))</f>
        <v>Alto</v>
      </c>
      <c r="Z550" s="61" t="n">
        <v>1662</v>
      </c>
      <c r="AA550" s="61" t="str">
        <f aca="false">IF(MATCH($A550,Datos_Origen!$A$2:$A$2459,0)=$Z550,"OK","REVISAR")</f>
        <v>OK</v>
      </c>
      <c r="AB550" s="62" t="n">
        <f aca="false">INDEX(Datos_Origen!$B$2:$B$2459,$Z550)</f>
        <v>45453</v>
      </c>
      <c r="AC550" s="61" t="n">
        <f aca="false">INDEX(Datos_Origen!$H$2:$H$2459,$Z550)</f>
        <v>51</v>
      </c>
      <c r="AD550" s="61" t="str">
        <f aca="false">INDEX(Datos_Origen!$D$2:$D$2459,$Z550)&amp;""</f>
        <v>Rosario</v>
      </c>
    </row>
    <row r="551" customFormat="false" ht="15" hidden="false" customHeight="false" outlineLevel="0" collapsed="false">
      <c r="A551" s="61" t="n">
        <f aca="false">INDEX(Datos_Origen!$A$2:$A$2459,$Z551)</f>
        <v>550</v>
      </c>
      <c r="B551" s="62" t="n">
        <f aca="false">IF(ISNUMBER($AB551),$AB551,IF(MID($AB551,5,1)="-",DATE(VALUE(LEFT($AB551,4)),VALUE(MID($AB551,6,2)),VALUE(RIGHT($AB551,2))),DATE(VALUE(RIGHT($AB551,4)),VALUE(MID($AB551,4,2)),VALUE(LEFT($AB551,2)))))</f>
        <v>45460</v>
      </c>
      <c r="C551" s="61" t="n">
        <f aca="false">YEAR($B551)</f>
        <v>2024</v>
      </c>
      <c r="D551" s="61" t="str">
        <f aca="false">"Q"&amp;ROUNDUP(MONTH($B551)/3,0)</f>
        <v>Q2</v>
      </c>
      <c r="E551" s="61" t="n">
        <f aca="false">MONTH($B551)</f>
        <v>6</v>
      </c>
      <c r="F551" s="61" t="str">
        <f aca="false">INDEX(Parametros!$I$5:$I$16,$E551)</f>
        <v>Jun</v>
      </c>
      <c r="G551" s="61" t="str">
        <f aca="false">TEXT($C551,"0000")&amp;"-"&amp;TEXT($E551,"00")</f>
        <v>2024-06</v>
      </c>
      <c r="H551" s="61" t="str">
        <f aca="false">INDEX(Parametros!$C$71:$C$91,MATCH(TRIM(INDEX(Datos_Origen!$C$2:$C$2459,$Z551)),Parametros!$B$71:$B$91,0))</f>
        <v>Litoral</v>
      </c>
      <c r="I551" s="61" t="str">
        <f aca="false">IF(TRIM($AD551)="",INDEX(Parametros!$I$20:$I$24,MATCH($H551,Parametros!$H$20:$H$24,0)),TRIM($AD551))</f>
        <v>Rosario</v>
      </c>
      <c r="J551" s="61" t="str">
        <f aca="false">INDEX(Parametros!$C$95:$C$106,MATCH(TRIM(INDEX(Datos_Origen!$E$2:$E$2459,$Z551)),Parametros!$B$95:$B$106,0))</f>
        <v>E-commerce</v>
      </c>
      <c r="K551" s="61" t="str">
        <f aca="false">INDEX(Parametros!$C$48:$C$67,MATCH(TRIM(INDEX(Datos_Origen!$F$2:$F$2459,$Z551)),Parametros!$B$48:$B$67,0))</f>
        <v>Accesorios</v>
      </c>
      <c r="L551" s="61" t="str">
        <f aca="false">$K551&amp;" "&amp;$C551</f>
        <v>Accesorios 2024</v>
      </c>
      <c r="M551" s="61" t="str">
        <f aca="false">TRIM(INDEX(Datos_Origen!$G$2:$G$2459,$Z551))</f>
        <v>Teclado Mecanico</v>
      </c>
      <c r="N551" s="61" t="str">
        <f aca="false">$M551&amp;" "&amp;$C551</f>
        <v>Teclado Mecanico 2024</v>
      </c>
      <c r="O551" s="63" t="n">
        <f aca="false">IF(ISTEXT($AC551),VALUE($AC551),$AC551)</f>
        <v>19</v>
      </c>
      <c r="P551" s="64" t="n">
        <f aca="false">INDEX(Datos_Origen!$I$2:$I$2459,$Z551)</f>
        <v>93.1</v>
      </c>
      <c r="Q551" s="64" t="n">
        <f aca="false">INDEX(Datos_Origen!$J$2:$J$2459,$Z551)</f>
        <v>47.98</v>
      </c>
      <c r="R551" s="65" t="n">
        <f aca="false">ROUND($O551*$P551,2)</f>
        <v>1768.9</v>
      </c>
      <c r="S551" s="65" t="n">
        <f aca="false">ROUND($O551*$Q551,2)</f>
        <v>911.62</v>
      </c>
      <c r="T551" s="65" t="n">
        <f aca="false">ROUND($R551*SUMIFS(Parametros!$E$28:$E$43,Parametros!$B$28:$B$43,$J551,Parametros!$C$28:$C$43,$C551,Parametros!$D$28:$D$43,$D551),2)</f>
        <v>77.83</v>
      </c>
      <c r="U551" s="65" t="n">
        <f aca="false">$R551-$S551-$T551</f>
        <v>779.45</v>
      </c>
      <c r="V551" s="66" t="n">
        <f aca="false">IFERROR($U551/$R551,0)</f>
        <v>0.440641076375148</v>
      </c>
      <c r="W551" s="67" t="str">
        <f aca="false">IF(AND($V551&gt;=Parametros!$C$8,$R551&gt;=Parametros!$C$12),"Alta rentabilidad",IF(OR($V551&lt;Parametros!$C$11,$R551&lt;Parametros!$C$13),"Revisar","Estandar"))</f>
        <v>Estandar</v>
      </c>
      <c r="X551" s="67" t="str">
        <f aca="false">IF(AND($J551="E-commerce",IFERROR($T551/$R551,0)&gt;Parametros!$C$14),"Alerta","OK")</f>
        <v>OK</v>
      </c>
      <c r="Y551" s="61" t="str">
        <f aca="false">IF($R551&gt;=Parametros!$C$12,"Alto",IF($R551&lt;Parametros!$C$13,"Bajo","Medio"))</f>
        <v>Medio</v>
      </c>
      <c r="Z551" s="61" t="n">
        <v>2199</v>
      </c>
      <c r="AA551" s="61" t="str">
        <f aca="false">IF(MATCH($A551,Datos_Origen!$A$2:$A$2459,0)=$Z551,"OK","REVISAR")</f>
        <v>OK</v>
      </c>
      <c r="AB551" s="61" t="str">
        <f aca="false">INDEX(Datos_Origen!$B$2:$B$2459,$Z551)</f>
        <v>17/06/2024</v>
      </c>
      <c r="AC551" s="61" t="n">
        <f aca="false">INDEX(Datos_Origen!$H$2:$H$2459,$Z551)</f>
        <v>19</v>
      </c>
      <c r="AD551" s="61" t="str">
        <f aca="false">INDEX(Datos_Origen!$D$2:$D$2459,$Z551)&amp;""</f>
        <v>Rosario</v>
      </c>
    </row>
    <row r="552" customFormat="false" ht="15" hidden="false" customHeight="false" outlineLevel="0" collapsed="false">
      <c r="A552" s="61" t="n">
        <f aca="false">INDEX(Datos_Origen!$A$2:$A$2459,$Z552)</f>
        <v>551</v>
      </c>
      <c r="B552" s="62" t="n">
        <f aca="false">IF(ISNUMBER($AB552),$AB552,IF(MID($AB552,5,1)="-",DATE(VALUE(LEFT($AB552,4)),VALUE(MID($AB552,6,2)),VALUE(RIGHT($AB552,2))),DATE(VALUE(RIGHT($AB552,4)),VALUE(MID($AB552,4,2)),VALUE(LEFT($AB552,2)))))</f>
        <v>45467</v>
      </c>
      <c r="C552" s="61" t="n">
        <f aca="false">YEAR($B552)</f>
        <v>2024</v>
      </c>
      <c r="D552" s="61" t="str">
        <f aca="false">"Q"&amp;ROUNDUP(MONTH($B552)/3,0)</f>
        <v>Q2</v>
      </c>
      <c r="E552" s="61" t="n">
        <f aca="false">MONTH($B552)</f>
        <v>6</v>
      </c>
      <c r="F552" s="61" t="str">
        <f aca="false">INDEX(Parametros!$I$5:$I$16,$E552)</f>
        <v>Jun</v>
      </c>
      <c r="G552" s="61" t="str">
        <f aca="false">TEXT($C552,"0000")&amp;"-"&amp;TEXT($E552,"00")</f>
        <v>2024-06</v>
      </c>
      <c r="H552" s="61" t="str">
        <f aca="false">INDEX(Parametros!$C$71:$C$91,MATCH(TRIM(INDEX(Datos_Origen!$C$2:$C$2459,$Z552)),Parametros!$B$71:$B$91,0))</f>
        <v>Litoral</v>
      </c>
      <c r="I552" s="61" t="str">
        <f aca="false">IF(TRIM($AD552)="",INDEX(Parametros!$I$20:$I$24,MATCH($H552,Parametros!$H$20:$H$24,0)),TRIM($AD552))</f>
        <v>Rosario</v>
      </c>
      <c r="J552" s="61" t="str">
        <f aca="false">INDEX(Parametros!$C$95:$C$106,MATCH(TRIM(INDEX(Datos_Origen!$E$2:$E$2459,$Z552)),Parametros!$B$95:$B$106,0))</f>
        <v>Tienda fisica</v>
      </c>
      <c r="K552" s="61" t="str">
        <f aca="false">INDEX(Parametros!$C$48:$C$67,MATCH(TRIM(INDEX(Datos_Origen!$F$2:$F$2459,$Z552)),Parametros!$B$48:$B$67,0))</f>
        <v>Accesorios</v>
      </c>
      <c r="L552" s="61" t="str">
        <f aca="false">$K552&amp;" "&amp;$C552</f>
        <v>Accesorios 2024</v>
      </c>
      <c r="M552" s="61" t="str">
        <f aca="false">TRIM(INDEX(Datos_Origen!$G$2:$G$2459,$Z552))</f>
        <v>Webcam Full HD</v>
      </c>
      <c r="N552" s="61" t="str">
        <f aca="false">$M552&amp;" "&amp;$C552</f>
        <v>Webcam Full HD 2024</v>
      </c>
      <c r="O552" s="63" t="n">
        <f aca="false">IF(ISTEXT($AC552),VALUE($AC552),$AC552)</f>
        <v>41</v>
      </c>
      <c r="P552" s="64" t="n">
        <f aca="false">INDEX(Datos_Origen!$I$2:$I$2459,$Z552)</f>
        <v>63.7</v>
      </c>
      <c r="Q552" s="64" t="n">
        <f aca="false">INDEX(Datos_Origen!$J$2:$J$2459,$Z552)</f>
        <v>35.43</v>
      </c>
      <c r="R552" s="65" t="n">
        <f aca="false">ROUND($O552*$P552,2)</f>
        <v>2611.7</v>
      </c>
      <c r="S552" s="65" t="n">
        <f aca="false">ROUND($O552*$Q552,2)</f>
        <v>1452.63</v>
      </c>
      <c r="T552" s="65" t="n">
        <f aca="false">ROUND($R552*SUMIFS(Parametros!$E$28:$E$43,Parametros!$B$28:$B$43,$J552,Parametros!$C$28:$C$43,$C552,Parametros!$D$28:$D$43,$D552),2)</f>
        <v>31.34</v>
      </c>
      <c r="U552" s="65" t="n">
        <f aca="false">$R552-$S552-$T552</f>
        <v>1127.73</v>
      </c>
      <c r="V552" s="66" t="n">
        <f aca="false">IFERROR($U552/$R552,0)</f>
        <v>0.43179921124172</v>
      </c>
      <c r="W552" s="67" t="str">
        <f aca="false">IF(AND($V552&gt;=Parametros!$C$8,$R552&gt;=Parametros!$C$12),"Alta rentabilidad",IF(OR($V552&lt;Parametros!$C$11,$R552&lt;Parametros!$C$13),"Revisar","Estandar"))</f>
        <v>Estandar</v>
      </c>
      <c r="X552" s="67" t="str">
        <f aca="false">IF(AND($J552="E-commerce",IFERROR($T552/$R552,0)&gt;Parametros!$C$14),"Alerta","OK")</f>
        <v>OK</v>
      </c>
      <c r="Y552" s="61" t="str">
        <f aca="false">IF($R552&gt;=Parametros!$C$12,"Alto",IF($R552&lt;Parametros!$C$13,"Bajo","Medio"))</f>
        <v>Medio</v>
      </c>
      <c r="Z552" s="61" t="n">
        <v>1126</v>
      </c>
      <c r="AA552" s="61" t="str">
        <f aca="false">IF(MATCH($A552,Datos_Origen!$A$2:$A$2459,0)=$Z552,"OK","REVISAR")</f>
        <v>OK</v>
      </c>
      <c r="AB552" s="61" t="str">
        <f aca="false">INDEX(Datos_Origen!$B$2:$B$2459,$Z552)</f>
        <v>24/06/2024</v>
      </c>
      <c r="AC552" s="61" t="n">
        <f aca="false">INDEX(Datos_Origen!$H$2:$H$2459,$Z552)</f>
        <v>41</v>
      </c>
      <c r="AD552" s="61" t="str">
        <f aca="false">INDEX(Datos_Origen!$D$2:$D$2459,$Z552)&amp;""</f>
        <v>Rosario</v>
      </c>
    </row>
    <row r="553" customFormat="false" ht="15" hidden="false" customHeight="false" outlineLevel="0" collapsed="false">
      <c r="A553" s="61" t="n">
        <f aca="false">INDEX(Datos_Origen!$A$2:$A$2459,$Z553)</f>
        <v>552</v>
      </c>
      <c r="B553" s="62" t="n">
        <f aca="false">IF(ISNUMBER($AB553),$AB553,IF(MID($AB553,5,1)="-",DATE(VALUE(LEFT($AB553,4)),VALUE(MID($AB553,6,2)),VALUE(RIGHT($AB553,2))),DATE(VALUE(RIGHT($AB553,4)),VALUE(MID($AB553,4,2)),VALUE(LEFT($AB553,2)))))</f>
        <v>45447</v>
      </c>
      <c r="C553" s="61" t="n">
        <f aca="false">YEAR($B553)</f>
        <v>2024</v>
      </c>
      <c r="D553" s="61" t="str">
        <f aca="false">"Q"&amp;ROUNDUP(MONTH($B553)/3,0)</f>
        <v>Q2</v>
      </c>
      <c r="E553" s="61" t="n">
        <f aca="false">MONTH($B553)</f>
        <v>6</v>
      </c>
      <c r="F553" s="61" t="str">
        <f aca="false">INDEX(Parametros!$I$5:$I$16,$E553)</f>
        <v>Jun</v>
      </c>
      <c r="G553" s="61" t="str">
        <f aca="false">TEXT($C553,"0000")&amp;"-"&amp;TEXT($E553,"00")</f>
        <v>2024-06</v>
      </c>
      <c r="H553" s="61" t="str">
        <f aca="false">INDEX(Parametros!$C$71:$C$91,MATCH(TRIM(INDEX(Datos_Origen!$C$2:$C$2459,$Z553)),Parametros!$B$71:$B$91,0))</f>
        <v>Litoral</v>
      </c>
      <c r="I553" s="61" t="str">
        <f aca="false">IF(TRIM($AD553)="",INDEX(Parametros!$I$20:$I$24,MATCH($H553,Parametros!$H$20:$H$24,0)),TRIM($AD553))</f>
        <v>Rosario</v>
      </c>
      <c r="J553" s="61" t="str">
        <f aca="false">INDEX(Parametros!$C$95:$C$106,MATCH(TRIM(INDEX(Datos_Origen!$E$2:$E$2459,$Z553)),Parametros!$B$95:$B$106,0))</f>
        <v>E-commerce</v>
      </c>
      <c r="K553" s="61" t="str">
        <f aca="false">INDEX(Parametros!$C$48:$C$67,MATCH(TRIM(INDEX(Datos_Origen!$F$2:$F$2459,$Z553)),Parametros!$B$48:$B$67,0))</f>
        <v>Accesorios</v>
      </c>
      <c r="L553" s="61" t="str">
        <f aca="false">$K553&amp;" "&amp;$C553</f>
        <v>Accesorios 2024</v>
      </c>
      <c r="M553" s="61" t="str">
        <f aca="false">TRIM(INDEX(Datos_Origen!$G$2:$G$2459,$Z553))</f>
        <v>Webcam Full HD</v>
      </c>
      <c r="N553" s="61" t="str">
        <f aca="false">$M553&amp;" "&amp;$C553</f>
        <v>Webcam Full HD 2024</v>
      </c>
      <c r="O553" s="63" t="n">
        <f aca="false">IF(ISTEXT($AC553),VALUE($AC553),$AC553)</f>
        <v>16</v>
      </c>
      <c r="P553" s="64" t="n">
        <f aca="false">INDEX(Datos_Origen!$I$2:$I$2459,$Z553)</f>
        <v>63.7</v>
      </c>
      <c r="Q553" s="64" t="n">
        <f aca="false">INDEX(Datos_Origen!$J$2:$J$2459,$Z553)</f>
        <v>35.43</v>
      </c>
      <c r="R553" s="65" t="n">
        <f aca="false">ROUND($O553*$P553,2)</f>
        <v>1019.2</v>
      </c>
      <c r="S553" s="65" t="n">
        <f aca="false">ROUND($O553*$Q553,2)</f>
        <v>566.88</v>
      </c>
      <c r="T553" s="65" t="n">
        <f aca="false">ROUND($R553*SUMIFS(Parametros!$E$28:$E$43,Parametros!$B$28:$B$43,$J553,Parametros!$C$28:$C$43,$C553,Parametros!$D$28:$D$43,$D553),2)</f>
        <v>44.84</v>
      </c>
      <c r="U553" s="65" t="n">
        <f aca="false">$R553-$S553-$T553</f>
        <v>407.48</v>
      </c>
      <c r="V553" s="66" t="n">
        <f aca="false">IFERROR($U553/$R553,0)</f>
        <v>0.399803767660911</v>
      </c>
      <c r="W553" s="67" t="str">
        <f aca="false">IF(AND($V553&gt;=Parametros!$C$8,$R553&gt;=Parametros!$C$12),"Alta rentabilidad",IF(OR($V553&lt;Parametros!$C$11,$R553&lt;Parametros!$C$13),"Revisar","Estandar"))</f>
        <v>Estandar</v>
      </c>
      <c r="X553" s="67" t="str">
        <f aca="false">IF(AND($J553="E-commerce",IFERROR($T553/$R553,0)&gt;Parametros!$C$14),"Alerta","OK")</f>
        <v>OK</v>
      </c>
      <c r="Y553" s="61" t="str">
        <f aca="false">IF($R553&gt;=Parametros!$C$12,"Alto",IF($R553&lt;Parametros!$C$13,"Bajo","Medio"))</f>
        <v>Medio</v>
      </c>
      <c r="Z553" s="61" t="n">
        <v>733</v>
      </c>
      <c r="AA553" s="61" t="str">
        <f aca="false">IF(MATCH($A553,Datos_Origen!$A$2:$A$2459,0)=$Z553,"OK","REVISAR")</f>
        <v>OK</v>
      </c>
      <c r="AB553" s="62" t="n">
        <f aca="false">INDEX(Datos_Origen!$B$2:$B$2459,$Z553)</f>
        <v>45447</v>
      </c>
      <c r="AC553" s="61" t="n">
        <f aca="false">INDEX(Datos_Origen!$H$2:$H$2459,$Z553)</f>
        <v>16</v>
      </c>
      <c r="AD553" s="61" t="str">
        <f aca="false">INDEX(Datos_Origen!$D$2:$D$2459,$Z553)&amp;""</f>
        <v>Rosario</v>
      </c>
    </row>
    <row r="554" customFormat="false" ht="15" hidden="false" customHeight="false" outlineLevel="0" collapsed="false">
      <c r="A554" s="61" t="n">
        <f aca="false">INDEX(Datos_Origen!$A$2:$A$2459,$Z554)</f>
        <v>553</v>
      </c>
      <c r="B554" s="62" t="n">
        <f aca="false">IF(ISNUMBER($AB554),$AB554,IF(MID($AB554,5,1)="-",DATE(VALUE(LEFT($AB554,4)),VALUE(MID($AB554,6,2)),VALUE(RIGHT($AB554,2))),DATE(VALUE(RIGHT($AB554,4)),VALUE(MID($AB554,4,2)),VALUE(LEFT($AB554,2)))))</f>
        <v>45454</v>
      </c>
      <c r="C554" s="61" t="n">
        <f aca="false">YEAR($B554)</f>
        <v>2024</v>
      </c>
      <c r="D554" s="61" t="str">
        <f aca="false">"Q"&amp;ROUNDUP(MONTH($B554)/3,0)</f>
        <v>Q2</v>
      </c>
      <c r="E554" s="61" t="n">
        <f aca="false">MONTH($B554)</f>
        <v>6</v>
      </c>
      <c r="F554" s="61" t="str">
        <f aca="false">INDEX(Parametros!$I$5:$I$16,$E554)</f>
        <v>Jun</v>
      </c>
      <c r="G554" s="61" t="str">
        <f aca="false">TEXT($C554,"0000")&amp;"-"&amp;TEXT($E554,"00")</f>
        <v>2024-06</v>
      </c>
      <c r="H554" s="61" t="str">
        <f aca="false">INDEX(Parametros!$C$71:$C$91,MATCH(TRIM(INDEX(Datos_Origen!$C$2:$C$2459,$Z554)),Parametros!$B$71:$B$91,0))</f>
        <v>Litoral</v>
      </c>
      <c r="I554" s="61" t="str">
        <f aca="false">IF(TRIM($AD554)="",INDEX(Parametros!$I$20:$I$24,MATCH($H554,Parametros!$H$20:$H$24,0)),TRIM($AD554))</f>
        <v>Rosario</v>
      </c>
      <c r="J554" s="61" t="str">
        <f aca="false">INDEX(Parametros!$C$95:$C$106,MATCH(TRIM(INDEX(Datos_Origen!$E$2:$E$2459,$Z554)),Parametros!$B$95:$B$106,0))</f>
        <v>Tienda fisica</v>
      </c>
      <c r="K554" s="61" t="str">
        <f aca="false">INDEX(Parametros!$C$48:$C$67,MATCH(TRIM(INDEX(Datos_Origen!$F$2:$F$2459,$Z554)),Parametros!$B$48:$B$67,0))</f>
        <v>Audio</v>
      </c>
      <c r="L554" s="61" t="str">
        <f aca="false">$K554&amp;" "&amp;$C554</f>
        <v>Audio 2024</v>
      </c>
      <c r="M554" s="61" t="str">
        <f aca="false">TRIM(INDEX(Datos_Origen!$G$2:$G$2459,$Z554))</f>
        <v>Auriculares BT Pro</v>
      </c>
      <c r="N554" s="61" t="str">
        <f aca="false">$M554&amp;" "&amp;$C554</f>
        <v>Auriculares BT Pro 2024</v>
      </c>
      <c r="O554" s="63" t="n">
        <f aca="false">IF(ISTEXT($AC554),VALUE($AC554),$AC554)</f>
        <v>22</v>
      </c>
      <c r="P554" s="64" t="n">
        <f aca="false">INDEX(Datos_Origen!$I$2:$I$2459,$Z554)</f>
        <v>117.6</v>
      </c>
      <c r="Q554" s="64" t="n">
        <f aca="false">INDEX(Datos_Origen!$J$2:$J$2459,$Z554)</f>
        <v>63.6</v>
      </c>
      <c r="R554" s="65" t="n">
        <f aca="false">ROUND($O554*$P554,2)</f>
        <v>2587.2</v>
      </c>
      <c r="S554" s="65" t="n">
        <f aca="false">ROUND($O554*$Q554,2)</f>
        <v>1399.2</v>
      </c>
      <c r="T554" s="65" t="n">
        <f aca="false">ROUND($R554*SUMIFS(Parametros!$E$28:$E$43,Parametros!$B$28:$B$43,$J554,Parametros!$C$28:$C$43,$C554,Parametros!$D$28:$D$43,$D554),2)</f>
        <v>31.05</v>
      </c>
      <c r="U554" s="65" t="n">
        <f aca="false">$R554-$S554-$T554</f>
        <v>1156.95</v>
      </c>
      <c r="V554" s="66" t="n">
        <f aca="false">IFERROR($U554/$R554,0)</f>
        <v>0.447182282003711</v>
      </c>
      <c r="W554" s="67" t="str">
        <f aca="false">IF(AND($V554&gt;=Parametros!$C$8,$R554&gt;=Parametros!$C$12),"Alta rentabilidad",IF(OR($V554&lt;Parametros!$C$11,$R554&lt;Parametros!$C$13),"Revisar","Estandar"))</f>
        <v>Estandar</v>
      </c>
      <c r="X554" s="67" t="str">
        <f aca="false">IF(AND($J554="E-commerce",IFERROR($T554/$R554,0)&gt;Parametros!$C$14),"Alerta","OK")</f>
        <v>OK</v>
      </c>
      <c r="Y554" s="61" t="str">
        <f aca="false">IF($R554&gt;=Parametros!$C$12,"Alto",IF($R554&lt;Parametros!$C$13,"Bajo","Medio"))</f>
        <v>Medio</v>
      </c>
      <c r="Z554" s="61" t="n">
        <v>1325</v>
      </c>
      <c r="AA554" s="61" t="str">
        <f aca="false">IF(MATCH($A554,Datos_Origen!$A$2:$A$2459,0)=$Z554,"OK","REVISAR")</f>
        <v>OK</v>
      </c>
      <c r="AB554" s="62" t="n">
        <f aca="false">INDEX(Datos_Origen!$B$2:$B$2459,$Z554)</f>
        <v>45454</v>
      </c>
      <c r="AC554" s="61" t="str">
        <f aca="false">INDEX(Datos_Origen!$H$2:$H$2459,$Z554)</f>
        <v>22</v>
      </c>
      <c r="AD554" s="61" t="str">
        <f aca="false">INDEX(Datos_Origen!$D$2:$D$2459,$Z554)&amp;""</f>
        <v>Rosario</v>
      </c>
    </row>
    <row r="555" customFormat="false" ht="15" hidden="false" customHeight="false" outlineLevel="0" collapsed="false">
      <c r="A555" s="61" t="n">
        <f aca="false">INDEX(Datos_Origen!$A$2:$A$2459,$Z555)</f>
        <v>554</v>
      </c>
      <c r="B555" s="62" t="n">
        <f aca="false">IF(ISNUMBER($AB555),$AB555,IF(MID($AB555,5,1)="-",DATE(VALUE(LEFT($AB555,4)),VALUE(MID($AB555,6,2)),VALUE(RIGHT($AB555,2))),DATE(VALUE(RIGHT($AB555,4)),VALUE(MID($AB555,4,2)),VALUE(LEFT($AB555,2)))))</f>
        <v>45461</v>
      </c>
      <c r="C555" s="61" t="n">
        <f aca="false">YEAR($B555)</f>
        <v>2024</v>
      </c>
      <c r="D555" s="61" t="str">
        <f aca="false">"Q"&amp;ROUNDUP(MONTH($B555)/3,0)</f>
        <v>Q2</v>
      </c>
      <c r="E555" s="61" t="n">
        <f aca="false">MONTH($B555)</f>
        <v>6</v>
      </c>
      <c r="F555" s="61" t="str">
        <f aca="false">INDEX(Parametros!$I$5:$I$16,$E555)</f>
        <v>Jun</v>
      </c>
      <c r="G555" s="61" t="str">
        <f aca="false">TEXT($C555,"0000")&amp;"-"&amp;TEXT($E555,"00")</f>
        <v>2024-06</v>
      </c>
      <c r="H555" s="61" t="str">
        <f aca="false">INDEX(Parametros!$C$71:$C$91,MATCH(TRIM(INDEX(Datos_Origen!$C$2:$C$2459,$Z555)),Parametros!$B$71:$B$91,0))</f>
        <v>Litoral</v>
      </c>
      <c r="I555" s="61" t="str">
        <f aca="false">IF(TRIM($AD555)="",INDEX(Parametros!$I$20:$I$24,MATCH($H555,Parametros!$H$20:$H$24,0)),TRIM($AD555))</f>
        <v>Rosario</v>
      </c>
      <c r="J555" s="61" t="str">
        <f aca="false">INDEX(Parametros!$C$95:$C$106,MATCH(TRIM(INDEX(Datos_Origen!$E$2:$E$2459,$Z555)),Parametros!$B$95:$B$106,0))</f>
        <v>E-commerce</v>
      </c>
      <c r="K555" s="61" t="str">
        <f aca="false">INDEX(Parametros!$C$48:$C$67,MATCH(TRIM(INDEX(Datos_Origen!$F$2:$F$2459,$Z555)),Parametros!$B$48:$B$67,0))</f>
        <v>Audio</v>
      </c>
      <c r="L555" s="61" t="str">
        <f aca="false">$K555&amp;" "&amp;$C555</f>
        <v>Audio 2024</v>
      </c>
      <c r="M555" s="61" t="str">
        <f aca="false">TRIM(INDEX(Datos_Origen!$G$2:$G$2459,$Z555))</f>
        <v>Auriculares BT Pro</v>
      </c>
      <c r="N555" s="61" t="str">
        <f aca="false">$M555&amp;" "&amp;$C555</f>
        <v>Auriculares BT Pro 2024</v>
      </c>
      <c r="O555" s="63" t="n">
        <f aca="false">IF(ISTEXT($AC555),VALUE($AC555),$AC555)</f>
        <v>6</v>
      </c>
      <c r="P555" s="64" t="n">
        <f aca="false">INDEX(Datos_Origen!$I$2:$I$2459,$Z555)</f>
        <v>117.6</v>
      </c>
      <c r="Q555" s="64" t="n">
        <f aca="false">INDEX(Datos_Origen!$J$2:$J$2459,$Z555)</f>
        <v>63.6</v>
      </c>
      <c r="R555" s="65" t="n">
        <f aca="false">ROUND($O555*$P555,2)</f>
        <v>705.6</v>
      </c>
      <c r="S555" s="65" t="n">
        <f aca="false">ROUND($O555*$Q555,2)</f>
        <v>381.6</v>
      </c>
      <c r="T555" s="65" t="n">
        <f aca="false">ROUND($R555*SUMIFS(Parametros!$E$28:$E$43,Parametros!$B$28:$B$43,$J555,Parametros!$C$28:$C$43,$C555,Parametros!$D$28:$D$43,$D555),2)</f>
        <v>31.05</v>
      </c>
      <c r="U555" s="65" t="n">
        <f aca="false">$R555-$S555-$T555</f>
        <v>292.95</v>
      </c>
      <c r="V555" s="66" t="n">
        <f aca="false">IFERROR($U555/$R555,0)</f>
        <v>0.415178571428571</v>
      </c>
      <c r="W555" s="67" t="str">
        <f aca="false">IF(AND($V555&gt;=Parametros!$C$8,$R555&gt;=Parametros!$C$12),"Alta rentabilidad",IF(OR($V555&lt;Parametros!$C$11,$R555&lt;Parametros!$C$13),"Revisar","Estandar"))</f>
        <v>Estandar</v>
      </c>
      <c r="X555" s="67" t="str">
        <f aca="false">IF(AND($J555="E-commerce",IFERROR($T555/$R555,0)&gt;Parametros!$C$14),"Alerta","OK")</f>
        <v>OK</v>
      </c>
      <c r="Y555" s="61" t="str">
        <f aca="false">IF($R555&gt;=Parametros!$C$12,"Alto",IF($R555&lt;Parametros!$C$13,"Bajo","Medio"))</f>
        <v>Medio</v>
      </c>
      <c r="Z555" s="61" t="n">
        <v>2043</v>
      </c>
      <c r="AA555" s="61" t="str">
        <f aca="false">IF(MATCH($A555,Datos_Origen!$A$2:$A$2459,0)=$Z555,"OK","REVISAR")</f>
        <v>OK</v>
      </c>
      <c r="AB555" s="61" t="str">
        <f aca="false">INDEX(Datos_Origen!$B$2:$B$2459,$Z555)</f>
        <v>18/06/2024</v>
      </c>
      <c r="AC555" s="61" t="n">
        <f aca="false">INDEX(Datos_Origen!$H$2:$H$2459,$Z555)</f>
        <v>6</v>
      </c>
      <c r="AD555" s="61" t="str">
        <f aca="false">INDEX(Datos_Origen!$D$2:$D$2459,$Z555)&amp;""</f>
        <v>Rosario</v>
      </c>
    </row>
    <row r="556" customFormat="false" ht="15" hidden="false" customHeight="false" outlineLevel="0" collapsed="false">
      <c r="A556" s="61" t="n">
        <f aca="false">INDEX(Datos_Origen!$A$2:$A$2459,$Z556)</f>
        <v>555</v>
      </c>
      <c r="B556" s="62" t="n">
        <f aca="false">IF(ISNUMBER($AB556),$AB556,IF(MID($AB556,5,1)="-",DATE(VALUE(LEFT($AB556,4)),VALUE(MID($AB556,6,2)),VALUE(RIGHT($AB556,2))),DATE(VALUE(RIGHT($AB556,4)),VALUE(MID($AB556,4,2)),VALUE(LEFT($AB556,2)))))</f>
        <v>45468</v>
      </c>
      <c r="C556" s="61" t="n">
        <f aca="false">YEAR($B556)</f>
        <v>2024</v>
      </c>
      <c r="D556" s="61" t="str">
        <f aca="false">"Q"&amp;ROUNDUP(MONTH($B556)/3,0)</f>
        <v>Q2</v>
      </c>
      <c r="E556" s="61" t="n">
        <f aca="false">MONTH($B556)</f>
        <v>6</v>
      </c>
      <c r="F556" s="61" t="str">
        <f aca="false">INDEX(Parametros!$I$5:$I$16,$E556)</f>
        <v>Jun</v>
      </c>
      <c r="G556" s="61" t="str">
        <f aca="false">TEXT($C556,"0000")&amp;"-"&amp;TEXT($E556,"00")</f>
        <v>2024-06</v>
      </c>
      <c r="H556" s="61" t="str">
        <f aca="false">INDEX(Parametros!$C$71:$C$91,MATCH(TRIM(INDEX(Datos_Origen!$C$2:$C$2459,$Z556)),Parametros!$B$71:$B$91,0))</f>
        <v>Litoral</v>
      </c>
      <c r="I556" s="61" t="str">
        <f aca="false">IF(TRIM($AD556)="",INDEX(Parametros!$I$20:$I$24,MATCH($H556,Parametros!$H$20:$H$24,0)),TRIM($AD556))</f>
        <v>Rosario</v>
      </c>
      <c r="J556" s="61" t="str">
        <f aca="false">INDEX(Parametros!$C$95:$C$106,MATCH(TRIM(INDEX(Datos_Origen!$E$2:$E$2459,$Z556)),Parametros!$B$95:$B$106,0))</f>
        <v>Tienda fisica</v>
      </c>
      <c r="K556" s="61" t="str">
        <f aca="false">INDEX(Parametros!$C$48:$C$67,MATCH(TRIM(INDEX(Datos_Origen!$F$2:$F$2459,$Z556)),Parametros!$B$48:$B$67,0))</f>
        <v>Audio</v>
      </c>
      <c r="L556" s="61" t="str">
        <f aca="false">$K556&amp;" "&amp;$C556</f>
        <v>Audio 2024</v>
      </c>
      <c r="M556" s="61" t="str">
        <f aca="false">TRIM(INDEX(Datos_Origen!$G$2:$G$2459,$Z556))</f>
        <v>Parlante Bluetooth</v>
      </c>
      <c r="N556" s="61" t="str">
        <f aca="false">$M556&amp;" "&amp;$C556</f>
        <v>Parlante Bluetooth 2024</v>
      </c>
      <c r="O556" s="63" t="n">
        <f aca="false">IF(ISTEXT($AC556),VALUE($AC556),$AC556)</f>
        <v>23</v>
      </c>
      <c r="P556" s="64" t="n">
        <f aca="false">INDEX(Datos_Origen!$I$2:$I$2459,$Z556)</f>
        <v>83.3</v>
      </c>
      <c r="Q556" s="64" t="n">
        <f aca="false">INDEX(Datos_Origen!$J$2:$J$2459,$Z556)</f>
        <v>48.03</v>
      </c>
      <c r="R556" s="65" t="n">
        <f aca="false">ROUND($O556*$P556,2)</f>
        <v>1915.9</v>
      </c>
      <c r="S556" s="65" t="n">
        <f aca="false">ROUND($O556*$Q556,2)</f>
        <v>1104.69</v>
      </c>
      <c r="T556" s="65" t="n">
        <f aca="false">ROUND($R556*SUMIFS(Parametros!$E$28:$E$43,Parametros!$B$28:$B$43,$J556,Parametros!$C$28:$C$43,$C556,Parametros!$D$28:$D$43,$D556),2)</f>
        <v>22.99</v>
      </c>
      <c r="U556" s="65" t="n">
        <f aca="false">$R556-$S556-$T556</f>
        <v>788.22</v>
      </c>
      <c r="V556" s="66" t="n">
        <f aca="false">IFERROR($U556/$R556,0)</f>
        <v>0.411409781303826</v>
      </c>
      <c r="W556" s="67" t="str">
        <f aca="false">IF(AND($V556&gt;=Parametros!$C$8,$R556&gt;=Parametros!$C$12),"Alta rentabilidad",IF(OR($V556&lt;Parametros!$C$11,$R556&lt;Parametros!$C$13),"Revisar","Estandar"))</f>
        <v>Estandar</v>
      </c>
      <c r="X556" s="67" t="str">
        <f aca="false">IF(AND($J556="E-commerce",IFERROR($T556/$R556,0)&gt;Parametros!$C$14),"Alerta","OK")</f>
        <v>OK</v>
      </c>
      <c r="Y556" s="61" t="str">
        <f aca="false">IF($R556&gt;=Parametros!$C$12,"Alto",IF($R556&lt;Parametros!$C$13,"Bajo","Medio"))</f>
        <v>Medio</v>
      </c>
      <c r="Z556" s="61" t="n">
        <v>1665</v>
      </c>
      <c r="AA556" s="61" t="str">
        <f aca="false">IF(MATCH($A556,Datos_Origen!$A$2:$A$2459,0)=$Z556,"OK","REVISAR")</f>
        <v>OK</v>
      </c>
      <c r="AB556" s="62" t="n">
        <f aca="false">INDEX(Datos_Origen!$B$2:$B$2459,$Z556)</f>
        <v>45468</v>
      </c>
      <c r="AC556" s="61" t="n">
        <f aca="false">INDEX(Datos_Origen!$H$2:$H$2459,$Z556)</f>
        <v>23</v>
      </c>
      <c r="AD556" s="61" t="str">
        <f aca="false">INDEX(Datos_Origen!$D$2:$D$2459,$Z556)&amp;""</f>
        <v/>
      </c>
    </row>
    <row r="557" customFormat="false" ht="15" hidden="false" customHeight="false" outlineLevel="0" collapsed="false">
      <c r="A557" s="61" t="n">
        <f aca="false">INDEX(Datos_Origen!$A$2:$A$2459,$Z557)</f>
        <v>556</v>
      </c>
      <c r="B557" s="62" t="n">
        <f aca="false">IF(ISNUMBER($AB557),$AB557,IF(MID($AB557,5,1)="-",DATE(VALUE(LEFT($AB557,4)),VALUE(MID($AB557,6,2)),VALUE(RIGHT($AB557,2))),DATE(VALUE(RIGHT($AB557,4)),VALUE(MID($AB557,4,2)),VALUE(LEFT($AB557,2)))))</f>
        <v>45448</v>
      </c>
      <c r="C557" s="61" t="n">
        <f aca="false">YEAR($B557)</f>
        <v>2024</v>
      </c>
      <c r="D557" s="61" t="str">
        <f aca="false">"Q"&amp;ROUNDUP(MONTH($B557)/3,0)</f>
        <v>Q2</v>
      </c>
      <c r="E557" s="61" t="n">
        <f aca="false">MONTH($B557)</f>
        <v>6</v>
      </c>
      <c r="F557" s="61" t="str">
        <f aca="false">INDEX(Parametros!$I$5:$I$16,$E557)</f>
        <v>Jun</v>
      </c>
      <c r="G557" s="61" t="str">
        <f aca="false">TEXT($C557,"0000")&amp;"-"&amp;TEXT($E557,"00")</f>
        <v>2024-06</v>
      </c>
      <c r="H557" s="61" t="str">
        <f aca="false">INDEX(Parametros!$C$71:$C$91,MATCH(TRIM(INDEX(Datos_Origen!$C$2:$C$2459,$Z557)),Parametros!$B$71:$B$91,0))</f>
        <v>Litoral</v>
      </c>
      <c r="I557" s="61" t="str">
        <f aca="false">IF(TRIM($AD557)="",INDEX(Parametros!$I$20:$I$24,MATCH($H557,Parametros!$H$20:$H$24,0)),TRIM($AD557))</f>
        <v>Rosario</v>
      </c>
      <c r="J557" s="61" t="str">
        <f aca="false">INDEX(Parametros!$C$95:$C$106,MATCH(TRIM(INDEX(Datos_Origen!$E$2:$E$2459,$Z557)),Parametros!$B$95:$B$106,0))</f>
        <v>E-commerce</v>
      </c>
      <c r="K557" s="61" t="str">
        <f aca="false">INDEX(Parametros!$C$48:$C$67,MATCH(TRIM(INDEX(Datos_Origen!$F$2:$F$2459,$Z557)),Parametros!$B$48:$B$67,0))</f>
        <v>Audio</v>
      </c>
      <c r="L557" s="61" t="str">
        <f aca="false">$K557&amp;" "&amp;$C557</f>
        <v>Audio 2024</v>
      </c>
      <c r="M557" s="61" t="str">
        <f aca="false">TRIM(INDEX(Datos_Origen!$G$2:$G$2459,$Z557))</f>
        <v>Parlante Bluetooth</v>
      </c>
      <c r="N557" s="61" t="str">
        <f aca="false">$M557&amp;" "&amp;$C557</f>
        <v>Parlante Bluetooth 2024</v>
      </c>
      <c r="O557" s="63" t="n">
        <f aca="false">IF(ISTEXT($AC557),VALUE($AC557),$AC557)</f>
        <v>8</v>
      </c>
      <c r="P557" s="64" t="n">
        <f aca="false">INDEX(Datos_Origen!$I$2:$I$2459,$Z557)</f>
        <v>83.3</v>
      </c>
      <c r="Q557" s="64" t="n">
        <f aca="false">INDEX(Datos_Origen!$J$2:$J$2459,$Z557)</f>
        <v>48.03</v>
      </c>
      <c r="R557" s="65" t="n">
        <f aca="false">ROUND($O557*$P557,2)</f>
        <v>666.4</v>
      </c>
      <c r="S557" s="65" t="n">
        <f aca="false">ROUND($O557*$Q557,2)</f>
        <v>384.24</v>
      </c>
      <c r="T557" s="65" t="n">
        <f aca="false">ROUND($R557*SUMIFS(Parametros!$E$28:$E$43,Parametros!$B$28:$B$43,$J557,Parametros!$C$28:$C$43,$C557,Parametros!$D$28:$D$43,$D557),2)</f>
        <v>29.32</v>
      </c>
      <c r="U557" s="65" t="n">
        <f aca="false">$R557-$S557-$T557</f>
        <v>252.84</v>
      </c>
      <c r="V557" s="66" t="n">
        <f aca="false">IFERROR($U557/$R557,0)</f>
        <v>0.379411764705882</v>
      </c>
      <c r="W557" s="67" t="str">
        <f aca="false">IF(AND($V557&gt;=Parametros!$C$8,$R557&gt;=Parametros!$C$12),"Alta rentabilidad",IF(OR($V557&lt;Parametros!$C$11,$R557&lt;Parametros!$C$13),"Revisar","Estandar"))</f>
        <v>Estandar</v>
      </c>
      <c r="X557" s="67" t="str">
        <f aca="false">IF(AND($J557="E-commerce",IFERROR($T557/$R557,0)&gt;Parametros!$C$14),"Alerta","OK")</f>
        <v>OK</v>
      </c>
      <c r="Y557" s="61" t="str">
        <f aca="false">IF($R557&gt;=Parametros!$C$12,"Alto",IF($R557&lt;Parametros!$C$13,"Bajo","Medio"))</f>
        <v>Medio</v>
      </c>
      <c r="Z557" s="61" t="n">
        <v>651</v>
      </c>
      <c r="AA557" s="61" t="str">
        <f aca="false">IF(MATCH($A557,Datos_Origen!$A$2:$A$2459,0)=$Z557,"OK","REVISAR")</f>
        <v>OK</v>
      </c>
      <c r="AB557" s="61" t="str">
        <f aca="false">INDEX(Datos_Origen!$B$2:$B$2459,$Z557)</f>
        <v>05/06/2024</v>
      </c>
      <c r="AC557" s="61" t="n">
        <f aca="false">INDEX(Datos_Origen!$H$2:$H$2459,$Z557)</f>
        <v>8</v>
      </c>
      <c r="AD557" s="61" t="str">
        <f aca="false">INDEX(Datos_Origen!$D$2:$D$2459,$Z557)&amp;""</f>
        <v>Rosario</v>
      </c>
    </row>
    <row r="558" customFormat="false" ht="15" hidden="false" customHeight="false" outlineLevel="0" collapsed="false">
      <c r="A558" s="61" t="n">
        <f aca="false">INDEX(Datos_Origen!$A$2:$A$2459,$Z558)</f>
        <v>557</v>
      </c>
      <c r="B558" s="62" t="n">
        <f aca="false">IF(ISNUMBER($AB558),$AB558,IF(MID($AB558,5,1)="-",DATE(VALUE(LEFT($AB558,4)),VALUE(MID($AB558,6,2)),VALUE(RIGHT($AB558,2))),DATE(VALUE(RIGHT($AB558,4)),VALUE(MID($AB558,4,2)),VALUE(LEFT($AB558,2)))))</f>
        <v>45455</v>
      </c>
      <c r="C558" s="61" t="n">
        <f aca="false">YEAR($B558)</f>
        <v>2024</v>
      </c>
      <c r="D558" s="61" t="str">
        <f aca="false">"Q"&amp;ROUNDUP(MONTH($B558)/3,0)</f>
        <v>Q2</v>
      </c>
      <c r="E558" s="61" t="n">
        <f aca="false">MONTH($B558)</f>
        <v>6</v>
      </c>
      <c r="F558" s="61" t="str">
        <f aca="false">INDEX(Parametros!$I$5:$I$16,$E558)</f>
        <v>Jun</v>
      </c>
      <c r="G558" s="61" t="str">
        <f aca="false">TEXT($C558,"0000")&amp;"-"&amp;TEXT($E558,"00")</f>
        <v>2024-06</v>
      </c>
      <c r="H558" s="61" t="str">
        <f aca="false">INDEX(Parametros!$C$71:$C$91,MATCH(TRIM(INDEX(Datos_Origen!$C$2:$C$2459,$Z558)),Parametros!$B$71:$B$91,0))</f>
        <v>Litoral</v>
      </c>
      <c r="I558" s="61" t="str">
        <f aca="false">IF(TRIM($AD558)="",INDEX(Parametros!$I$20:$I$24,MATCH($H558,Parametros!$H$20:$H$24,0)),TRIM($AD558))</f>
        <v>Rosario</v>
      </c>
      <c r="J558" s="61" t="str">
        <f aca="false">INDEX(Parametros!$C$95:$C$106,MATCH(TRIM(INDEX(Datos_Origen!$E$2:$E$2459,$Z558)),Parametros!$B$95:$B$106,0))</f>
        <v>Tienda fisica</v>
      </c>
      <c r="K558" s="61" t="str">
        <f aca="false">INDEX(Parametros!$C$48:$C$67,MATCH(TRIM(INDEX(Datos_Origen!$F$2:$F$2459,$Z558)),Parametros!$B$48:$B$67,0))</f>
        <v>Almacenamiento</v>
      </c>
      <c r="L558" s="61" t="str">
        <f aca="false">$K558&amp;" "&amp;$C558</f>
        <v>Almacenamiento 2024</v>
      </c>
      <c r="M558" s="61" t="str">
        <f aca="false">TRIM(INDEX(Datos_Origen!$G$2:$G$2459,$Z558))</f>
        <v>SSD Externo 1TB</v>
      </c>
      <c r="N558" s="61" t="str">
        <f aca="false">$M558&amp;" "&amp;$C558</f>
        <v>SSD Externo 1TB 2024</v>
      </c>
      <c r="O558" s="63" t="n">
        <f aca="false">IF(ISTEXT($AC558),VALUE($AC558),$AC558)</f>
        <v>23</v>
      </c>
      <c r="P558" s="64" t="n">
        <f aca="false">INDEX(Datos_Origen!$I$2:$I$2459,$Z558)</f>
        <v>127.4</v>
      </c>
      <c r="Q558" s="64" t="n">
        <f aca="false">INDEX(Datos_Origen!$J$2:$J$2459,$Z558)</f>
        <v>76.05</v>
      </c>
      <c r="R558" s="65" t="n">
        <f aca="false">ROUND($O558*$P558,2)</f>
        <v>2930.2</v>
      </c>
      <c r="S558" s="65" t="n">
        <f aca="false">ROUND($O558*$Q558,2)</f>
        <v>1749.15</v>
      </c>
      <c r="T558" s="65" t="n">
        <f aca="false">ROUND($R558*SUMIFS(Parametros!$E$28:$E$43,Parametros!$B$28:$B$43,$J558,Parametros!$C$28:$C$43,$C558,Parametros!$D$28:$D$43,$D558),2)</f>
        <v>35.16</v>
      </c>
      <c r="U558" s="65" t="n">
        <f aca="false">$R558-$S558-$T558</f>
        <v>1145.89</v>
      </c>
      <c r="V558" s="66" t="n">
        <f aca="false">IFERROR($U558/$R558,0)</f>
        <v>0.391062043546516</v>
      </c>
      <c r="W558" s="67" t="str">
        <f aca="false">IF(AND($V558&gt;=Parametros!$C$8,$R558&gt;=Parametros!$C$12),"Alta rentabilidad",IF(OR($V558&lt;Parametros!$C$11,$R558&lt;Parametros!$C$13),"Revisar","Estandar"))</f>
        <v>Estandar</v>
      </c>
      <c r="X558" s="67" t="str">
        <f aca="false">IF(AND($J558="E-commerce",IFERROR($T558/$R558,0)&gt;Parametros!$C$14),"Alerta","OK")</f>
        <v>OK</v>
      </c>
      <c r="Y558" s="61" t="str">
        <f aca="false">IF($R558&gt;=Parametros!$C$12,"Alto",IF($R558&lt;Parametros!$C$13,"Bajo","Medio"))</f>
        <v>Medio</v>
      </c>
      <c r="Z558" s="61" t="n">
        <v>1258</v>
      </c>
      <c r="AA558" s="61" t="str">
        <f aca="false">IF(MATCH($A558,Datos_Origen!$A$2:$A$2459,0)=$Z558,"OK","REVISAR")</f>
        <v>OK</v>
      </c>
      <c r="AB558" s="61" t="str">
        <f aca="false">INDEX(Datos_Origen!$B$2:$B$2459,$Z558)</f>
        <v>2024-06-12</v>
      </c>
      <c r="AC558" s="61" t="n">
        <f aca="false">INDEX(Datos_Origen!$H$2:$H$2459,$Z558)</f>
        <v>23</v>
      </c>
      <c r="AD558" s="61" t="str">
        <f aca="false">INDEX(Datos_Origen!$D$2:$D$2459,$Z558)&amp;""</f>
        <v>Rosario</v>
      </c>
    </row>
    <row r="559" customFormat="false" ht="15" hidden="false" customHeight="false" outlineLevel="0" collapsed="false">
      <c r="A559" s="61" t="n">
        <f aca="false">INDEX(Datos_Origen!$A$2:$A$2459,$Z559)</f>
        <v>558</v>
      </c>
      <c r="B559" s="62" t="n">
        <f aca="false">IF(ISNUMBER($AB559),$AB559,IF(MID($AB559,5,1)="-",DATE(VALUE(LEFT($AB559,4)),VALUE(MID($AB559,6,2)),VALUE(RIGHT($AB559,2))),DATE(VALUE(RIGHT($AB559,4)),VALUE(MID($AB559,4,2)),VALUE(LEFT($AB559,2)))))</f>
        <v>45462</v>
      </c>
      <c r="C559" s="61" t="n">
        <f aca="false">YEAR($B559)</f>
        <v>2024</v>
      </c>
      <c r="D559" s="61" t="str">
        <f aca="false">"Q"&amp;ROUNDUP(MONTH($B559)/3,0)</f>
        <v>Q2</v>
      </c>
      <c r="E559" s="61" t="n">
        <f aca="false">MONTH($B559)</f>
        <v>6</v>
      </c>
      <c r="F559" s="61" t="str">
        <f aca="false">INDEX(Parametros!$I$5:$I$16,$E559)</f>
        <v>Jun</v>
      </c>
      <c r="G559" s="61" t="str">
        <f aca="false">TEXT($C559,"0000")&amp;"-"&amp;TEXT($E559,"00")</f>
        <v>2024-06</v>
      </c>
      <c r="H559" s="61" t="str">
        <f aca="false">INDEX(Parametros!$C$71:$C$91,MATCH(TRIM(INDEX(Datos_Origen!$C$2:$C$2459,$Z559)),Parametros!$B$71:$B$91,0))</f>
        <v>Litoral</v>
      </c>
      <c r="I559" s="61" t="str">
        <f aca="false">IF(TRIM($AD559)="",INDEX(Parametros!$I$20:$I$24,MATCH($H559,Parametros!$H$20:$H$24,0)),TRIM($AD559))</f>
        <v>Rosario</v>
      </c>
      <c r="J559" s="61" t="str">
        <f aca="false">INDEX(Parametros!$C$95:$C$106,MATCH(TRIM(INDEX(Datos_Origen!$E$2:$E$2459,$Z559)),Parametros!$B$95:$B$106,0))</f>
        <v>E-commerce</v>
      </c>
      <c r="K559" s="61" t="str">
        <f aca="false">INDEX(Parametros!$C$48:$C$67,MATCH(TRIM(INDEX(Datos_Origen!$F$2:$F$2459,$Z559)),Parametros!$B$48:$B$67,0))</f>
        <v>Almacenamiento</v>
      </c>
      <c r="L559" s="61" t="str">
        <f aca="false">$K559&amp;" "&amp;$C559</f>
        <v>Almacenamiento 2024</v>
      </c>
      <c r="M559" s="61" t="str">
        <f aca="false">TRIM(INDEX(Datos_Origen!$G$2:$G$2459,$Z559))</f>
        <v>SSD Externo 1TB</v>
      </c>
      <c r="N559" s="61" t="str">
        <f aca="false">$M559&amp;" "&amp;$C559</f>
        <v>SSD Externo 1TB 2024</v>
      </c>
      <c r="O559" s="63" t="n">
        <f aca="false">IF(ISTEXT($AC559),VALUE($AC559),$AC559)</f>
        <v>10</v>
      </c>
      <c r="P559" s="64" t="n">
        <f aca="false">INDEX(Datos_Origen!$I$2:$I$2459,$Z559)</f>
        <v>127.4</v>
      </c>
      <c r="Q559" s="64" t="n">
        <f aca="false">INDEX(Datos_Origen!$J$2:$J$2459,$Z559)</f>
        <v>76.05</v>
      </c>
      <c r="R559" s="65" t="n">
        <f aca="false">ROUND($O559*$P559,2)</f>
        <v>1274</v>
      </c>
      <c r="S559" s="65" t="n">
        <f aca="false">ROUND($O559*$Q559,2)</f>
        <v>760.5</v>
      </c>
      <c r="T559" s="65" t="n">
        <f aca="false">ROUND($R559*SUMIFS(Parametros!$E$28:$E$43,Parametros!$B$28:$B$43,$J559,Parametros!$C$28:$C$43,$C559,Parametros!$D$28:$D$43,$D559),2)</f>
        <v>56.06</v>
      </c>
      <c r="U559" s="65" t="n">
        <f aca="false">$R559-$S559-$T559</f>
        <v>457.44</v>
      </c>
      <c r="V559" s="66" t="n">
        <f aca="false">IFERROR($U559/$R559,0)</f>
        <v>0.359058084772371</v>
      </c>
      <c r="W559" s="67" t="str">
        <f aca="false">IF(AND($V559&gt;=Parametros!$C$8,$R559&gt;=Parametros!$C$12),"Alta rentabilidad",IF(OR($V559&lt;Parametros!$C$11,$R559&lt;Parametros!$C$13),"Revisar","Estandar"))</f>
        <v>Estandar</v>
      </c>
      <c r="X559" s="67" t="str">
        <f aca="false">IF(AND($J559="E-commerce",IFERROR($T559/$R559,0)&gt;Parametros!$C$14),"Alerta","OK")</f>
        <v>OK</v>
      </c>
      <c r="Y559" s="61" t="str">
        <f aca="false">IF($R559&gt;=Parametros!$C$12,"Alto",IF($R559&lt;Parametros!$C$13,"Bajo","Medio"))</f>
        <v>Medio</v>
      </c>
      <c r="Z559" s="61" t="n">
        <v>2270</v>
      </c>
      <c r="AA559" s="61" t="str">
        <f aca="false">IF(MATCH($A559,Datos_Origen!$A$2:$A$2459,0)=$Z559,"OK","REVISAR")</f>
        <v>OK</v>
      </c>
      <c r="AB559" s="62" t="n">
        <f aca="false">INDEX(Datos_Origen!$B$2:$B$2459,$Z559)</f>
        <v>45462</v>
      </c>
      <c r="AC559" s="61" t="n">
        <f aca="false">INDEX(Datos_Origen!$H$2:$H$2459,$Z559)</f>
        <v>10</v>
      </c>
      <c r="AD559" s="61" t="str">
        <f aca="false">INDEX(Datos_Origen!$D$2:$D$2459,$Z559)&amp;""</f>
        <v>Rosario</v>
      </c>
    </row>
    <row r="560" customFormat="false" ht="15" hidden="false" customHeight="false" outlineLevel="0" collapsed="false">
      <c r="A560" s="61" t="n">
        <f aca="false">INDEX(Datos_Origen!$A$2:$A$2459,$Z560)</f>
        <v>559</v>
      </c>
      <c r="B560" s="62" t="n">
        <f aca="false">IF(ISNUMBER($AB560),$AB560,IF(MID($AB560,5,1)="-",DATE(VALUE(LEFT($AB560,4)),VALUE(MID($AB560,6,2)),VALUE(RIGHT($AB560,2))),DATE(VALUE(RIGHT($AB560,4)),VALUE(MID($AB560,4,2)),VALUE(LEFT($AB560,2)))))</f>
        <v>45469</v>
      </c>
      <c r="C560" s="61" t="n">
        <f aca="false">YEAR($B560)</f>
        <v>2024</v>
      </c>
      <c r="D560" s="61" t="str">
        <f aca="false">"Q"&amp;ROUNDUP(MONTH($B560)/3,0)</f>
        <v>Q2</v>
      </c>
      <c r="E560" s="61" t="n">
        <f aca="false">MONTH($B560)</f>
        <v>6</v>
      </c>
      <c r="F560" s="61" t="str">
        <f aca="false">INDEX(Parametros!$I$5:$I$16,$E560)</f>
        <v>Jun</v>
      </c>
      <c r="G560" s="61" t="str">
        <f aca="false">TEXT($C560,"0000")&amp;"-"&amp;TEXT($E560,"00")</f>
        <v>2024-06</v>
      </c>
      <c r="H560" s="61" t="str">
        <f aca="false">INDEX(Parametros!$C$71:$C$91,MATCH(TRIM(INDEX(Datos_Origen!$C$2:$C$2459,$Z560)),Parametros!$B$71:$B$91,0))</f>
        <v>Litoral</v>
      </c>
      <c r="I560" s="61" t="str">
        <f aca="false">IF(TRIM($AD560)="",INDEX(Parametros!$I$20:$I$24,MATCH($H560,Parametros!$H$20:$H$24,0)),TRIM($AD560))</f>
        <v>Rosario</v>
      </c>
      <c r="J560" s="61" t="str">
        <f aca="false">INDEX(Parametros!$C$95:$C$106,MATCH(TRIM(INDEX(Datos_Origen!$E$2:$E$2459,$Z560)),Parametros!$B$95:$B$106,0))</f>
        <v>Tienda fisica</v>
      </c>
      <c r="K560" s="61" t="str">
        <f aca="false">INDEX(Parametros!$C$48:$C$67,MATCH(TRIM(INDEX(Datos_Origen!$F$2:$F$2459,$Z560)),Parametros!$B$48:$B$67,0))</f>
        <v>Almacenamiento</v>
      </c>
      <c r="L560" s="61" t="str">
        <f aca="false">$K560&amp;" "&amp;$C560</f>
        <v>Almacenamiento 2024</v>
      </c>
      <c r="M560" s="61" t="str">
        <f aca="false">TRIM(INDEX(Datos_Origen!$G$2:$G$2459,$Z560))</f>
        <v>Pendrive 256GB</v>
      </c>
      <c r="N560" s="61" t="str">
        <f aca="false">$M560&amp;" "&amp;$C560</f>
        <v>Pendrive 256GB 2024</v>
      </c>
      <c r="O560" s="63" t="n">
        <f aca="false">IF(ISTEXT($AC560),VALUE($AC560),$AC560)</f>
        <v>26</v>
      </c>
      <c r="P560" s="64" t="n">
        <f aca="false">INDEX(Datos_Origen!$I$2:$I$2459,$Z560)</f>
        <v>34.3</v>
      </c>
      <c r="Q560" s="64" t="n">
        <f aca="false">INDEX(Datos_Origen!$J$2:$J$2459,$Z560)</f>
        <v>17.85</v>
      </c>
      <c r="R560" s="65" t="n">
        <f aca="false">ROUND($O560*$P560,2)</f>
        <v>891.8</v>
      </c>
      <c r="S560" s="65" t="n">
        <f aca="false">ROUND($O560*$Q560,2)</f>
        <v>464.1</v>
      </c>
      <c r="T560" s="65" t="n">
        <f aca="false">ROUND($R560*SUMIFS(Parametros!$E$28:$E$43,Parametros!$B$28:$B$43,$J560,Parametros!$C$28:$C$43,$C560,Parametros!$D$28:$D$43,$D560),2)</f>
        <v>10.7</v>
      </c>
      <c r="U560" s="65" t="n">
        <f aca="false">$R560-$S560-$T560</f>
        <v>417</v>
      </c>
      <c r="V560" s="66" t="n">
        <f aca="false">IFERROR($U560/$R560,0)</f>
        <v>0.467593630858937</v>
      </c>
      <c r="W560" s="67" t="str">
        <f aca="false">IF(AND($V560&gt;=Parametros!$C$8,$R560&gt;=Parametros!$C$12),"Alta rentabilidad",IF(OR($V560&lt;Parametros!$C$11,$R560&lt;Parametros!$C$13),"Revisar","Estandar"))</f>
        <v>Estandar</v>
      </c>
      <c r="X560" s="67" t="str">
        <f aca="false">IF(AND($J560="E-commerce",IFERROR($T560/$R560,0)&gt;Parametros!$C$14),"Alerta","OK")</f>
        <v>OK</v>
      </c>
      <c r="Y560" s="61" t="str">
        <f aca="false">IF($R560&gt;=Parametros!$C$12,"Alto",IF($R560&lt;Parametros!$C$13,"Bajo","Medio"))</f>
        <v>Medio</v>
      </c>
      <c r="Z560" s="61" t="n">
        <v>95</v>
      </c>
      <c r="AA560" s="61" t="str">
        <f aca="false">IF(MATCH($A560,Datos_Origen!$A$2:$A$2459,0)=$Z560,"OK","REVISAR")</f>
        <v>OK</v>
      </c>
      <c r="AB560" s="62" t="n">
        <f aca="false">INDEX(Datos_Origen!$B$2:$B$2459,$Z560)</f>
        <v>45469</v>
      </c>
      <c r="AC560" s="61" t="str">
        <f aca="false">INDEX(Datos_Origen!$H$2:$H$2459,$Z560)</f>
        <v>26</v>
      </c>
      <c r="AD560" s="61" t="str">
        <f aca="false">INDEX(Datos_Origen!$D$2:$D$2459,$Z560)&amp;""</f>
        <v>Rosario</v>
      </c>
    </row>
    <row r="561" customFormat="false" ht="15" hidden="false" customHeight="false" outlineLevel="0" collapsed="false">
      <c r="A561" s="61" t="n">
        <f aca="false">INDEX(Datos_Origen!$A$2:$A$2459,$Z561)</f>
        <v>560</v>
      </c>
      <c r="B561" s="62" t="n">
        <f aca="false">IF(ISNUMBER($AB561),$AB561,IF(MID($AB561,5,1)="-",DATE(VALUE(LEFT($AB561,4)),VALUE(MID($AB561,6,2)),VALUE(RIGHT($AB561,2))),DATE(VALUE(RIGHT($AB561,4)),VALUE(MID($AB561,4,2)),VALUE(LEFT($AB561,2)))))</f>
        <v>45449</v>
      </c>
      <c r="C561" s="61" t="n">
        <f aca="false">YEAR($B561)</f>
        <v>2024</v>
      </c>
      <c r="D561" s="61" t="str">
        <f aca="false">"Q"&amp;ROUNDUP(MONTH($B561)/3,0)</f>
        <v>Q2</v>
      </c>
      <c r="E561" s="61" t="n">
        <f aca="false">MONTH($B561)</f>
        <v>6</v>
      </c>
      <c r="F561" s="61" t="str">
        <f aca="false">INDEX(Parametros!$I$5:$I$16,$E561)</f>
        <v>Jun</v>
      </c>
      <c r="G561" s="61" t="str">
        <f aca="false">TEXT($C561,"0000")&amp;"-"&amp;TEXT($E561,"00")</f>
        <v>2024-06</v>
      </c>
      <c r="H561" s="61" t="str">
        <f aca="false">INDEX(Parametros!$C$71:$C$91,MATCH(TRIM(INDEX(Datos_Origen!$C$2:$C$2459,$Z561)),Parametros!$B$71:$B$91,0))</f>
        <v>Litoral</v>
      </c>
      <c r="I561" s="61" t="str">
        <f aca="false">IF(TRIM($AD561)="",INDEX(Parametros!$I$20:$I$24,MATCH($H561,Parametros!$H$20:$H$24,0)),TRIM($AD561))</f>
        <v>Rosario</v>
      </c>
      <c r="J561" s="61" t="str">
        <f aca="false">INDEX(Parametros!$C$95:$C$106,MATCH(TRIM(INDEX(Datos_Origen!$E$2:$E$2459,$Z561)),Parametros!$B$95:$B$106,0))</f>
        <v>E-commerce</v>
      </c>
      <c r="K561" s="61" t="str">
        <f aca="false">INDEX(Parametros!$C$48:$C$67,MATCH(TRIM(INDEX(Datos_Origen!$F$2:$F$2459,$Z561)),Parametros!$B$48:$B$67,0))</f>
        <v>Almacenamiento</v>
      </c>
      <c r="L561" s="61" t="str">
        <f aca="false">$K561&amp;" "&amp;$C561</f>
        <v>Almacenamiento 2024</v>
      </c>
      <c r="M561" s="61" t="str">
        <f aca="false">TRIM(INDEX(Datos_Origen!$G$2:$G$2459,$Z561))</f>
        <v>Pendrive 256GB</v>
      </c>
      <c r="N561" s="61" t="str">
        <f aca="false">$M561&amp;" "&amp;$C561</f>
        <v>Pendrive 256GB 2024</v>
      </c>
      <c r="O561" s="63" t="n">
        <f aca="false">IF(ISTEXT($AC561),VALUE($AC561),$AC561)</f>
        <v>10</v>
      </c>
      <c r="P561" s="64" t="n">
        <f aca="false">INDEX(Datos_Origen!$I$2:$I$2459,$Z561)</f>
        <v>34.3</v>
      </c>
      <c r="Q561" s="64" t="n">
        <f aca="false">INDEX(Datos_Origen!$J$2:$J$2459,$Z561)</f>
        <v>17.85</v>
      </c>
      <c r="R561" s="65" t="n">
        <f aca="false">ROUND($O561*$P561,2)</f>
        <v>343</v>
      </c>
      <c r="S561" s="65" t="n">
        <f aca="false">ROUND($O561*$Q561,2)</f>
        <v>178.5</v>
      </c>
      <c r="T561" s="65" t="n">
        <f aca="false">ROUND($R561*SUMIFS(Parametros!$E$28:$E$43,Parametros!$B$28:$B$43,$J561,Parametros!$C$28:$C$43,$C561,Parametros!$D$28:$D$43,$D561),2)</f>
        <v>15.09</v>
      </c>
      <c r="U561" s="65" t="n">
        <f aca="false">$R561-$S561-$T561</f>
        <v>149.41</v>
      </c>
      <c r="V561" s="66" t="n">
        <f aca="false">IFERROR($U561/$R561,0)</f>
        <v>0.435597667638484</v>
      </c>
      <c r="W561" s="67" t="str">
        <f aca="false">IF(AND($V561&gt;=Parametros!$C$8,$R561&gt;=Parametros!$C$12),"Alta rentabilidad",IF(OR($V561&lt;Parametros!$C$11,$R561&lt;Parametros!$C$13),"Revisar","Estandar"))</f>
        <v>Estandar</v>
      </c>
      <c r="X561" s="67" t="str">
        <f aca="false">IF(AND($J561="E-commerce",IFERROR($T561/$R561,0)&gt;Parametros!$C$14),"Alerta","OK")</f>
        <v>OK</v>
      </c>
      <c r="Y561" s="61" t="str">
        <f aca="false">IF($R561&gt;=Parametros!$C$12,"Alto",IF($R561&lt;Parametros!$C$13,"Bajo","Medio"))</f>
        <v>Medio</v>
      </c>
      <c r="Z561" s="61" t="n">
        <v>1962</v>
      </c>
      <c r="AA561" s="61" t="str">
        <f aca="false">IF(MATCH($A561,Datos_Origen!$A$2:$A$2459,0)=$Z561,"OK","REVISAR")</f>
        <v>OK</v>
      </c>
      <c r="AB561" s="62" t="n">
        <f aca="false">INDEX(Datos_Origen!$B$2:$B$2459,$Z561)</f>
        <v>45449</v>
      </c>
      <c r="AC561" s="61" t="str">
        <f aca="false">INDEX(Datos_Origen!$H$2:$H$2459,$Z561)</f>
        <v>10</v>
      </c>
      <c r="AD561" s="61" t="str">
        <f aca="false">INDEX(Datos_Origen!$D$2:$D$2459,$Z561)&amp;""</f>
        <v>Rosario</v>
      </c>
    </row>
    <row r="562" customFormat="false" ht="15" hidden="false" customHeight="false" outlineLevel="0" collapsed="false">
      <c r="A562" s="61" t="n">
        <f aca="false">INDEX(Datos_Origen!$A$2:$A$2459,$Z562)</f>
        <v>561</v>
      </c>
      <c r="B562" s="62" t="n">
        <f aca="false">IF(ISNUMBER($AB562),$AB562,IF(MID($AB562,5,1)="-",DATE(VALUE(LEFT($AB562,4)),VALUE(MID($AB562,6,2)),VALUE(RIGHT($AB562,2))),DATE(VALUE(RIGHT($AB562,4)),VALUE(MID($AB562,4,2)),VALUE(LEFT($AB562,2)))))</f>
        <v>45456</v>
      </c>
      <c r="C562" s="61" t="n">
        <f aca="false">YEAR($B562)</f>
        <v>2024</v>
      </c>
      <c r="D562" s="61" t="str">
        <f aca="false">"Q"&amp;ROUNDUP(MONTH($B562)/3,0)</f>
        <v>Q2</v>
      </c>
      <c r="E562" s="61" t="n">
        <f aca="false">MONTH($B562)</f>
        <v>6</v>
      </c>
      <c r="F562" s="61" t="str">
        <f aca="false">INDEX(Parametros!$I$5:$I$16,$E562)</f>
        <v>Jun</v>
      </c>
      <c r="G562" s="61" t="str">
        <f aca="false">TEXT($C562,"0000")&amp;"-"&amp;TEXT($E562,"00")</f>
        <v>2024-06</v>
      </c>
      <c r="H562" s="61" t="str">
        <f aca="false">INDEX(Parametros!$C$71:$C$91,MATCH(TRIM(INDEX(Datos_Origen!$C$2:$C$2459,$Z562)),Parametros!$B$71:$B$91,0))</f>
        <v>Cuyo</v>
      </c>
      <c r="I562" s="61" t="str">
        <f aca="false">IF(TRIM($AD562)="",INDEX(Parametros!$I$20:$I$24,MATCH($H562,Parametros!$H$20:$H$24,0)),TRIM($AD562))</f>
        <v>Mendoza</v>
      </c>
      <c r="J562" s="61" t="str">
        <f aca="false">INDEX(Parametros!$C$95:$C$106,MATCH(TRIM(INDEX(Datos_Origen!$E$2:$E$2459,$Z562)),Parametros!$B$95:$B$106,0))</f>
        <v>Tienda fisica</v>
      </c>
      <c r="K562" s="61" t="str">
        <f aca="false">INDEX(Parametros!$C$48:$C$67,MATCH(TRIM(INDEX(Datos_Origen!$F$2:$F$2459,$Z562)),Parametros!$B$48:$B$67,0))</f>
        <v>Computacion</v>
      </c>
      <c r="L562" s="61" t="str">
        <f aca="false">$K562&amp;" "&amp;$C562</f>
        <v>Computacion 2024</v>
      </c>
      <c r="M562" s="61" t="str">
        <f aca="false">TRIM(INDEX(Datos_Origen!$G$2:$G$2459,$Z562))</f>
        <v>Laptop Pro 15</v>
      </c>
      <c r="N562" s="61" t="str">
        <f aca="false">$M562&amp;" "&amp;$C562</f>
        <v>Laptop Pro 15 2024</v>
      </c>
      <c r="O562" s="63" t="n">
        <f aca="false">IF(ISTEXT($AC562),VALUE($AC562),$AC562)</f>
        <v>6</v>
      </c>
      <c r="P562" s="64" t="n">
        <f aca="false">INDEX(Datos_Origen!$I$2:$I$2459,$Z562)</f>
        <v>1176</v>
      </c>
      <c r="Q562" s="64" t="n">
        <f aca="false">INDEX(Datos_Origen!$J$2:$J$2459,$Z562)</f>
        <v>744</v>
      </c>
      <c r="R562" s="65" t="n">
        <f aca="false">ROUND($O562*$P562,2)</f>
        <v>7056</v>
      </c>
      <c r="S562" s="65" t="n">
        <f aca="false">ROUND($O562*$Q562,2)</f>
        <v>4464</v>
      </c>
      <c r="T562" s="65" t="n">
        <f aca="false">ROUND($R562*SUMIFS(Parametros!$E$28:$E$43,Parametros!$B$28:$B$43,$J562,Parametros!$C$28:$C$43,$C562,Parametros!$D$28:$D$43,$D562),2)</f>
        <v>84.67</v>
      </c>
      <c r="U562" s="65" t="n">
        <f aca="false">$R562-$S562-$T562</f>
        <v>2507.33</v>
      </c>
      <c r="V562" s="66" t="n">
        <f aca="false">IFERROR($U562/$R562,0)</f>
        <v>0.355347222222222</v>
      </c>
      <c r="W562" s="67" t="str">
        <f aca="false">IF(AND($V562&gt;=Parametros!$C$8,$R562&gt;=Parametros!$C$12),"Alta rentabilidad",IF(OR($V562&lt;Parametros!$C$11,$R562&lt;Parametros!$C$13),"Revisar","Estandar"))</f>
        <v>Alta rentabilidad</v>
      </c>
      <c r="X562" s="67" t="str">
        <f aca="false">IF(AND($J562="E-commerce",IFERROR($T562/$R562,0)&gt;Parametros!$C$14),"Alerta","OK")</f>
        <v>OK</v>
      </c>
      <c r="Y562" s="61" t="str">
        <f aca="false">IF($R562&gt;=Parametros!$C$12,"Alto",IF($R562&lt;Parametros!$C$13,"Bajo","Medio"))</f>
        <v>Alto</v>
      </c>
      <c r="Z562" s="61" t="n">
        <v>1687</v>
      </c>
      <c r="AA562" s="61" t="str">
        <f aca="false">IF(MATCH($A562,Datos_Origen!$A$2:$A$2459,0)=$Z562,"OK","REVISAR")</f>
        <v>OK</v>
      </c>
      <c r="AB562" s="62" t="n">
        <f aca="false">INDEX(Datos_Origen!$B$2:$B$2459,$Z562)</f>
        <v>45456</v>
      </c>
      <c r="AC562" s="61" t="n">
        <f aca="false">INDEX(Datos_Origen!$H$2:$H$2459,$Z562)</f>
        <v>6</v>
      </c>
      <c r="AD562" s="61" t="str">
        <f aca="false">INDEX(Datos_Origen!$D$2:$D$2459,$Z562)&amp;""</f>
        <v>Mendoza</v>
      </c>
    </row>
    <row r="563" customFormat="false" ht="15" hidden="false" customHeight="false" outlineLevel="0" collapsed="false">
      <c r="A563" s="61" t="n">
        <f aca="false">INDEX(Datos_Origen!$A$2:$A$2459,$Z563)</f>
        <v>562</v>
      </c>
      <c r="B563" s="62" t="n">
        <f aca="false">IF(ISNUMBER($AB563),$AB563,IF(MID($AB563,5,1)="-",DATE(VALUE(LEFT($AB563,4)),VALUE(MID($AB563,6,2)),VALUE(RIGHT($AB563,2))),DATE(VALUE(RIGHT($AB563,4)),VALUE(MID($AB563,4,2)),VALUE(LEFT($AB563,2)))))</f>
        <v>45463</v>
      </c>
      <c r="C563" s="61" t="n">
        <f aca="false">YEAR($B563)</f>
        <v>2024</v>
      </c>
      <c r="D563" s="61" t="str">
        <f aca="false">"Q"&amp;ROUNDUP(MONTH($B563)/3,0)</f>
        <v>Q2</v>
      </c>
      <c r="E563" s="61" t="n">
        <f aca="false">MONTH($B563)</f>
        <v>6</v>
      </c>
      <c r="F563" s="61" t="str">
        <f aca="false">INDEX(Parametros!$I$5:$I$16,$E563)</f>
        <v>Jun</v>
      </c>
      <c r="G563" s="61" t="str">
        <f aca="false">TEXT($C563,"0000")&amp;"-"&amp;TEXT($E563,"00")</f>
        <v>2024-06</v>
      </c>
      <c r="H563" s="61" t="str">
        <f aca="false">INDEX(Parametros!$C$71:$C$91,MATCH(TRIM(INDEX(Datos_Origen!$C$2:$C$2459,$Z563)),Parametros!$B$71:$B$91,0))</f>
        <v>Cuyo</v>
      </c>
      <c r="I563" s="61" t="str">
        <f aca="false">IF(TRIM($AD563)="",INDEX(Parametros!$I$20:$I$24,MATCH($H563,Parametros!$H$20:$H$24,0)),TRIM($AD563))</f>
        <v>Mendoza</v>
      </c>
      <c r="J563" s="61" t="str">
        <f aca="false">INDEX(Parametros!$C$95:$C$106,MATCH(TRIM(INDEX(Datos_Origen!$E$2:$E$2459,$Z563)),Parametros!$B$95:$B$106,0))</f>
        <v>E-commerce</v>
      </c>
      <c r="K563" s="61" t="str">
        <f aca="false">INDEX(Parametros!$C$48:$C$67,MATCH(TRIM(INDEX(Datos_Origen!$F$2:$F$2459,$Z563)),Parametros!$B$48:$B$67,0))</f>
        <v>Computacion</v>
      </c>
      <c r="L563" s="61" t="str">
        <f aca="false">$K563&amp;" "&amp;$C563</f>
        <v>Computacion 2024</v>
      </c>
      <c r="M563" s="61" t="str">
        <f aca="false">TRIM(INDEX(Datos_Origen!$G$2:$G$2459,$Z563))</f>
        <v>Laptop Pro 15</v>
      </c>
      <c r="N563" s="61" t="str">
        <f aca="false">$M563&amp;" "&amp;$C563</f>
        <v>Laptop Pro 15 2024</v>
      </c>
      <c r="O563" s="63" t="n">
        <f aca="false">IF(ISTEXT($AC563),VALUE($AC563),$AC563)</f>
        <v>3</v>
      </c>
      <c r="P563" s="64" t="n">
        <f aca="false">INDEX(Datos_Origen!$I$2:$I$2459,$Z563)</f>
        <v>1176</v>
      </c>
      <c r="Q563" s="64" t="n">
        <f aca="false">INDEX(Datos_Origen!$J$2:$J$2459,$Z563)</f>
        <v>744</v>
      </c>
      <c r="R563" s="65" t="n">
        <f aca="false">ROUND($O563*$P563,2)</f>
        <v>3528</v>
      </c>
      <c r="S563" s="65" t="n">
        <f aca="false">ROUND($O563*$Q563,2)</f>
        <v>2232</v>
      </c>
      <c r="T563" s="65" t="n">
        <f aca="false">ROUND($R563*SUMIFS(Parametros!$E$28:$E$43,Parametros!$B$28:$B$43,$J563,Parametros!$C$28:$C$43,$C563,Parametros!$D$28:$D$43,$D563),2)</f>
        <v>155.23</v>
      </c>
      <c r="U563" s="65" t="n">
        <f aca="false">$R563-$S563-$T563</f>
        <v>1140.77</v>
      </c>
      <c r="V563" s="66" t="n">
        <f aca="false">IFERROR($U563/$R563,0)</f>
        <v>0.323347505668934</v>
      </c>
      <c r="W563" s="67" t="str">
        <f aca="false">IF(AND($V563&gt;=Parametros!$C$8,$R563&gt;=Parametros!$C$12),"Alta rentabilidad",IF(OR($V563&lt;Parametros!$C$11,$R563&lt;Parametros!$C$13),"Revisar","Estandar"))</f>
        <v>Estandar</v>
      </c>
      <c r="X563" s="67" t="str">
        <f aca="false">IF(AND($J563="E-commerce",IFERROR($T563/$R563,0)&gt;Parametros!$C$14),"Alerta","OK")</f>
        <v>OK</v>
      </c>
      <c r="Y563" s="61" t="str">
        <f aca="false">IF($R563&gt;=Parametros!$C$12,"Alto",IF($R563&lt;Parametros!$C$13,"Bajo","Medio"))</f>
        <v>Alto</v>
      </c>
      <c r="Z563" s="61" t="n">
        <v>540</v>
      </c>
      <c r="AA563" s="61" t="str">
        <f aca="false">IF(MATCH($A563,Datos_Origen!$A$2:$A$2459,0)=$Z563,"OK","REVISAR")</f>
        <v>OK</v>
      </c>
      <c r="AB563" s="62" t="n">
        <f aca="false">INDEX(Datos_Origen!$B$2:$B$2459,$Z563)</f>
        <v>45463</v>
      </c>
      <c r="AC563" s="61" t="n">
        <f aca="false">INDEX(Datos_Origen!$H$2:$H$2459,$Z563)</f>
        <v>3</v>
      </c>
      <c r="AD563" s="61" t="str">
        <f aca="false">INDEX(Datos_Origen!$D$2:$D$2459,$Z563)&amp;""</f>
        <v>Mendoza</v>
      </c>
    </row>
    <row r="564" customFormat="false" ht="15" hidden="false" customHeight="false" outlineLevel="0" collapsed="false">
      <c r="A564" s="61" t="n">
        <f aca="false">INDEX(Datos_Origen!$A$2:$A$2459,$Z564)</f>
        <v>563</v>
      </c>
      <c r="B564" s="62" t="n">
        <f aca="false">IF(ISNUMBER($AB564),$AB564,IF(MID($AB564,5,1)="-",DATE(VALUE(LEFT($AB564,4)),VALUE(MID($AB564,6,2)),VALUE(RIGHT($AB564,2))),DATE(VALUE(RIGHT($AB564,4)),VALUE(MID($AB564,4,2)),VALUE(LEFT($AB564,2)))))</f>
        <v>45470</v>
      </c>
      <c r="C564" s="61" t="n">
        <f aca="false">YEAR($B564)</f>
        <v>2024</v>
      </c>
      <c r="D564" s="61" t="str">
        <f aca="false">"Q"&amp;ROUNDUP(MONTH($B564)/3,0)</f>
        <v>Q2</v>
      </c>
      <c r="E564" s="61" t="n">
        <f aca="false">MONTH($B564)</f>
        <v>6</v>
      </c>
      <c r="F564" s="61" t="str">
        <f aca="false">INDEX(Parametros!$I$5:$I$16,$E564)</f>
        <v>Jun</v>
      </c>
      <c r="G564" s="61" t="str">
        <f aca="false">TEXT($C564,"0000")&amp;"-"&amp;TEXT($E564,"00")</f>
        <v>2024-06</v>
      </c>
      <c r="H564" s="61" t="str">
        <f aca="false">INDEX(Parametros!$C$71:$C$91,MATCH(TRIM(INDEX(Datos_Origen!$C$2:$C$2459,$Z564)),Parametros!$B$71:$B$91,0))</f>
        <v>Cuyo</v>
      </c>
      <c r="I564" s="61" t="str">
        <f aca="false">IF(TRIM($AD564)="",INDEX(Parametros!$I$20:$I$24,MATCH($H564,Parametros!$H$20:$H$24,0)),TRIM($AD564))</f>
        <v>Mendoza</v>
      </c>
      <c r="J564" s="61" t="str">
        <f aca="false">INDEX(Parametros!$C$95:$C$106,MATCH(TRIM(INDEX(Datos_Origen!$E$2:$E$2459,$Z564)),Parametros!$B$95:$B$106,0))</f>
        <v>Tienda fisica</v>
      </c>
      <c r="K564" s="61" t="str">
        <f aca="false">INDEX(Parametros!$C$48:$C$67,MATCH(TRIM(INDEX(Datos_Origen!$F$2:$F$2459,$Z564)),Parametros!$B$48:$B$67,0))</f>
        <v>Computacion</v>
      </c>
      <c r="L564" s="61" t="str">
        <f aca="false">$K564&amp;" "&amp;$C564</f>
        <v>Computacion 2024</v>
      </c>
      <c r="M564" s="61" t="str">
        <f aca="false">TRIM(INDEX(Datos_Origen!$G$2:$G$2459,$Z564))</f>
        <v>Monitor 4K 27</v>
      </c>
      <c r="N564" s="61" t="str">
        <f aca="false">$M564&amp;" "&amp;$C564</f>
        <v>Monitor 4K 27 2024</v>
      </c>
      <c r="O564" s="63" t="n">
        <f aca="false">IF(ISTEXT($AC564),VALUE($AC564),$AC564)</f>
        <v>7</v>
      </c>
      <c r="P564" s="64" t="n">
        <f aca="false">INDEX(Datos_Origen!$I$2:$I$2459,$Z564)</f>
        <v>441</v>
      </c>
      <c r="Q564" s="64" t="n">
        <f aca="false">INDEX(Datos_Origen!$J$2:$J$2459,$Z564)</f>
        <v>272.25</v>
      </c>
      <c r="R564" s="65" t="n">
        <f aca="false">ROUND($O564*$P564,2)</f>
        <v>3087</v>
      </c>
      <c r="S564" s="65" t="n">
        <f aca="false">ROUND($O564*$Q564,2)</f>
        <v>1905.75</v>
      </c>
      <c r="T564" s="65" t="n">
        <f aca="false">ROUND($R564*SUMIFS(Parametros!$E$28:$E$43,Parametros!$B$28:$B$43,$J564,Parametros!$C$28:$C$43,$C564,Parametros!$D$28:$D$43,$D564),2)</f>
        <v>37.04</v>
      </c>
      <c r="U564" s="65" t="n">
        <f aca="false">$R564-$S564-$T564</f>
        <v>1144.21</v>
      </c>
      <c r="V564" s="66" t="n">
        <f aca="false">IFERROR($U564/$R564,0)</f>
        <v>0.370654356980888</v>
      </c>
      <c r="W564" s="67" t="str">
        <f aca="false">IF(AND($V564&gt;=Parametros!$C$8,$R564&gt;=Parametros!$C$12),"Alta rentabilidad",IF(OR($V564&lt;Parametros!$C$11,$R564&lt;Parametros!$C$13),"Revisar","Estandar"))</f>
        <v>Alta rentabilidad</v>
      </c>
      <c r="X564" s="67" t="str">
        <f aca="false">IF(AND($J564="E-commerce",IFERROR($T564/$R564,0)&gt;Parametros!$C$14),"Alerta","OK")</f>
        <v>OK</v>
      </c>
      <c r="Y564" s="61" t="str">
        <f aca="false">IF($R564&gt;=Parametros!$C$12,"Alto",IF($R564&lt;Parametros!$C$13,"Bajo","Medio"))</f>
        <v>Alto</v>
      </c>
      <c r="Z564" s="61" t="n">
        <v>409</v>
      </c>
      <c r="AA564" s="61" t="str">
        <f aca="false">IF(MATCH($A564,Datos_Origen!$A$2:$A$2459,0)=$Z564,"OK","REVISAR")</f>
        <v>OK</v>
      </c>
      <c r="AB564" s="61" t="str">
        <f aca="false">INDEX(Datos_Origen!$B$2:$B$2459,$Z564)</f>
        <v>27/06/2024</v>
      </c>
      <c r="AC564" s="61" t="n">
        <f aca="false">INDEX(Datos_Origen!$H$2:$H$2459,$Z564)</f>
        <v>7</v>
      </c>
      <c r="AD564" s="61" t="str">
        <f aca="false">INDEX(Datos_Origen!$D$2:$D$2459,$Z564)&amp;""</f>
        <v>Mendoza</v>
      </c>
    </row>
    <row r="565" customFormat="false" ht="15" hidden="false" customHeight="false" outlineLevel="0" collapsed="false">
      <c r="A565" s="61" t="n">
        <f aca="false">INDEX(Datos_Origen!$A$2:$A$2459,$Z565)</f>
        <v>564</v>
      </c>
      <c r="B565" s="62" t="n">
        <f aca="false">IF(ISNUMBER($AB565),$AB565,IF(MID($AB565,5,1)="-",DATE(VALUE(LEFT($AB565,4)),VALUE(MID($AB565,6,2)),VALUE(RIGHT($AB565,2))),DATE(VALUE(RIGHT($AB565,4)),VALUE(MID($AB565,4,2)),VALUE(LEFT($AB565,2)))))</f>
        <v>45450</v>
      </c>
      <c r="C565" s="61" t="n">
        <f aca="false">YEAR($B565)</f>
        <v>2024</v>
      </c>
      <c r="D565" s="61" t="str">
        <f aca="false">"Q"&amp;ROUNDUP(MONTH($B565)/3,0)</f>
        <v>Q2</v>
      </c>
      <c r="E565" s="61" t="n">
        <f aca="false">MONTH($B565)</f>
        <v>6</v>
      </c>
      <c r="F565" s="61" t="str">
        <f aca="false">INDEX(Parametros!$I$5:$I$16,$E565)</f>
        <v>Jun</v>
      </c>
      <c r="G565" s="61" t="str">
        <f aca="false">TEXT($C565,"0000")&amp;"-"&amp;TEXT($E565,"00")</f>
        <v>2024-06</v>
      </c>
      <c r="H565" s="61" t="str">
        <f aca="false">INDEX(Parametros!$C$71:$C$91,MATCH(TRIM(INDEX(Datos_Origen!$C$2:$C$2459,$Z565)),Parametros!$B$71:$B$91,0))</f>
        <v>Cuyo</v>
      </c>
      <c r="I565" s="61" t="str">
        <f aca="false">IF(TRIM($AD565)="",INDEX(Parametros!$I$20:$I$24,MATCH($H565,Parametros!$H$20:$H$24,0)),TRIM($AD565))</f>
        <v>Mendoza</v>
      </c>
      <c r="J565" s="61" t="str">
        <f aca="false">INDEX(Parametros!$C$95:$C$106,MATCH(TRIM(INDEX(Datos_Origen!$E$2:$E$2459,$Z565)),Parametros!$B$95:$B$106,0))</f>
        <v>E-commerce</v>
      </c>
      <c r="K565" s="61" t="str">
        <f aca="false">INDEX(Parametros!$C$48:$C$67,MATCH(TRIM(INDEX(Datos_Origen!$F$2:$F$2459,$Z565)),Parametros!$B$48:$B$67,0))</f>
        <v>Computacion</v>
      </c>
      <c r="L565" s="61" t="str">
        <f aca="false">$K565&amp;" "&amp;$C565</f>
        <v>Computacion 2024</v>
      </c>
      <c r="M565" s="61" t="str">
        <f aca="false">TRIM(INDEX(Datos_Origen!$G$2:$G$2459,$Z565))</f>
        <v>Monitor 4K 27</v>
      </c>
      <c r="N565" s="61" t="str">
        <f aca="false">$M565&amp;" "&amp;$C565</f>
        <v>Monitor 4K 27 2024</v>
      </c>
      <c r="O565" s="63" t="n">
        <f aca="false">IF(ISTEXT($AC565),VALUE($AC565),$AC565)</f>
        <v>3</v>
      </c>
      <c r="P565" s="64" t="n">
        <f aca="false">INDEX(Datos_Origen!$I$2:$I$2459,$Z565)</f>
        <v>441</v>
      </c>
      <c r="Q565" s="64" t="n">
        <f aca="false">INDEX(Datos_Origen!$J$2:$J$2459,$Z565)</f>
        <v>272.25</v>
      </c>
      <c r="R565" s="65" t="n">
        <f aca="false">ROUND($O565*$P565,2)</f>
        <v>1323</v>
      </c>
      <c r="S565" s="65" t="n">
        <f aca="false">ROUND($O565*$Q565,2)</f>
        <v>816.75</v>
      </c>
      <c r="T565" s="65" t="n">
        <f aca="false">ROUND($R565*SUMIFS(Parametros!$E$28:$E$43,Parametros!$B$28:$B$43,$J565,Parametros!$C$28:$C$43,$C565,Parametros!$D$28:$D$43,$D565),2)</f>
        <v>58.21</v>
      </c>
      <c r="U565" s="65" t="n">
        <f aca="false">$R565-$S565-$T565</f>
        <v>448.04</v>
      </c>
      <c r="V565" s="66" t="n">
        <f aca="false">IFERROR($U565/$R565,0)</f>
        <v>0.338654572940287</v>
      </c>
      <c r="W565" s="67" t="str">
        <f aca="false">IF(AND($V565&gt;=Parametros!$C$8,$R565&gt;=Parametros!$C$12),"Alta rentabilidad",IF(OR($V565&lt;Parametros!$C$11,$R565&lt;Parametros!$C$13),"Revisar","Estandar"))</f>
        <v>Estandar</v>
      </c>
      <c r="X565" s="67" t="str">
        <f aca="false">IF(AND($J565="E-commerce",IFERROR($T565/$R565,0)&gt;Parametros!$C$14),"Alerta","OK")</f>
        <v>OK</v>
      </c>
      <c r="Y565" s="61" t="str">
        <f aca="false">IF($R565&gt;=Parametros!$C$12,"Alto",IF($R565&lt;Parametros!$C$13,"Bajo","Medio"))</f>
        <v>Medio</v>
      </c>
      <c r="Z565" s="61" t="n">
        <v>81</v>
      </c>
      <c r="AA565" s="61" t="str">
        <f aca="false">IF(MATCH($A565,Datos_Origen!$A$2:$A$2459,0)=$Z565,"OK","REVISAR")</f>
        <v>OK</v>
      </c>
      <c r="AB565" s="61" t="str">
        <f aca="false">INDEX(Datos_Origen!$B$2:$B$2459,$Z565)</f>
        <v>07/06/2024</v>
      </c>
      <c r="AC565" s="61" t="n">
        <f aca="false">INDEX(Datos_Origen!$H$2:$H$2459,$Z565)</f>
        <v>3</v>
      </c>
      <c r="AD565" s="61" t="str">
        <f aca="false">INDEX(Datos_Origen!$D$2:$D$2459,$Z565)&amp;""</f>
        <v>Mendoza</v>
      </c>
    </row>
    <row r="566" customFormat="false" ht="15" hidden="false" customHeight="false" outlineLevel="0" collapsed="false">
      <c r="A566" s="61" t="n">
        <f aca="false">INDEX(Datos_Origen!$A$2:$A$2459,$Z566)</f>
        <v>565</v>
      </c>
      <c r="B566" s="62" t="n">
        <f aca="false">IF(ISNUMBER($AB566),$AB566,IF(MID($AB566,5,1)="-",DATE(VALUE(LEFT($AB566,4)),VALUE(MID($AB566,6,2)),VALUE(RIGHT($AB566,2))),DATE(VALUE(RIGHT($AB566,4)),VALUE(MID($AB566,4,2)),VALUE(LEFT($AB566,2)))))</f>
        <v>45457</v>
      </c>
      <c r="C566" s="61" t="n">
        <f aca="false">YEAR($B566)</f>
        <v>2024</v>
      </c>
      <c r="D566" s="61" t="str">
        <f aca="false">"Q"&amp;ROUNDUP(MONTH($B566)/3,0)</f>
        <v>Q2</v>
      </c>
      <c r="E566" s="61" t="n">
        <f aca="false">MONTH($B566)</f>
        <v>6</v>
      </c>
      <c r="F566" s="61" t="str">
        <f aca="false">INDEX(Parametros!$I$5:$I$16,$E566)</f>
        <v>Jun</v>
      </c>
      <c r="G566" s="61" t="str">
        <f aca="false">TEXT($C566,"0000")&amp;"-"&amp;TEXT($E566,"00")</f>
        <v>2024-06</v>
      </c>
      <c r="H566" s="61" t="str">
        <f aca="false">INDEX(Parametros!$C$71:$C$91,MATCH(TRIM(INDEX(Datos_Origen!$C$2:$C$2459,$Z566)),Parametros!$B$71:$B$91,0))</f>
        <v>Cuyo</v>
      </c>
      <c r="I566" s="61" t="str">
        <f aca="false">IF(TRIM($AD566)="",INDEX(Parametros!$I$20:$I$24,MATCH($H566,Parametros!$H$20:$H$24,0)),TRIM($AD566))</f>
        <v>Mendoza</v>
      </c>
      <c r="J566" s="61" t="str">
        <f aca="false">INDEX(Parametros!$C$95:$C$106,MATCH(TRIM(INDEX(Datos_Origen!$E$2:$E$2459,$Z566)),Parametros!$B$95:$B$106,0))</f>
        <v>Tienda fisica</v>
      </c>
      <c r="K566" s="61" t="str">
        <f aca="false">INDEX(Parametros!$C$48:$C$67,MATCH(TRIM(INDEX(Datos_Origen!$F$2:$F$2459,$Z566)),Parametros!$B$48:$B$67,0))</f>
        <v>Computacion</v>
      </c>
      <c r="L566" s="61" t="str">
        <f aca="false">$K566&amp;" "&amp;$C566</f>
        <v>Computacion 2024</v>
      </c>
      <c r="M566" s="61" t="str">
        <f aca="false">TRIM(INDEX(Datos_Origen!$G$2:$G$2459,$Z566))</f>
        <v>PC Gamer Ryzen</v>
      </c>
      <c r="N566" s="61" t="str">
        <f aca="false">$M566&amp;" "&amp;$C566</f>
        <v>PC Gamer Ryzen 2024</v>
      </c>
      <c r="O566" s="63" t="n">
        <f aca="false">IF(ISTEXT($AC566),VALUE($AC566),$AC566)</f>
        <v>8</v>
      </c>
      <c r="P566" s="64" t="n">
        <f aca="false">INDEX(Datos_Origen!$I$2:$I$2459,$Z566)</f>
        <v>1617</v>
      </c>
      <c r="Q566" s="64" t="n">
        <f aca="false">INDEX(Datos_Origen!$J$2:$J$2459,$Z566)</f>
        <v>1122</v>
      </c>
      <c r="R566" s="65" t="n">
        <f aca="false">ROUND($O566*$P566,2)</f>
        <v>12936</v>
      </c>
      <c r="S566" s="65" t="n">
        <f aca="false">ROUND($O566*$Q566,2)</f>
        <v>8976</v>
      </c>
      <c r="T566" s="65" t="n">
        <f aca="false">ROUND($R566*SUMIFS(Parametros!$E$28:$E$43,Parametros!$B$28:$B$43,$J566,Parametros!$C$28:$C$43,$C566,Parametros!$D$28:$D$43,$D566),2)</f>
        <v>155.23</v>
      </c>
      <c r="U566" s="65" t="n">
        <f aca="false">$R566-$S566-$T566</f>
        <v>3804.77</v>
      </c>
      <c r="V566" s="66" t="n">
        <f aca="false">IFERROR($U566/$R566,0)</f>
        <v>0.294122603586889</v>
      </c>
      <c r="W566" s="67" t="str">
        <f aca="false">IF(AND($V566&gt;=Parametros!$C$8,$R566&gt;=Parametros!$C$12),"Alta rentabilidad",IF(OR($V566&lt;Parametros!$C$11,$R566&lt;Parametros!$C$13),"Revisar","Estandar"))</f>
        <v>Estandar</v>
      </c>
      <c r="X566" s="67" t="str">
        <f aca="false">IF(AND($J566="E-commerce",IFERROR($T566/$R566,0)&gt;Parametros!$C$14),"Alerta","OK")</f>
        <v>OK</v>
      </c>
      <c r="Y566" s="61" t="str">
        <f aca="false">IF($R566&gt;=Parametros!$C$12,"Alto",IF($R566&lt;Parametros!$C$13,"Bajo","Medio"))</f>
        <v>Alto</v>
      </c>
      <c r="Z566" s="61" t="n">
        <v>926</v>
      </c>
      <c r="AA566" s="61" t="str">
        <f aca="false">IF(MATCH($A566,Datos_Origen!$A$2:$A$2459,0)=$Z566,"OK","REVISAR")</f>
        <v>OK</v>
      </c>
      <c r="AB566" s="61" t="str">
        <f aca="false">INDEX(Datos_Origen!$B$2:$B$2459,$Z566)</f>
        <v>14/06/2024</v>
      </c>
      <c r="AC566" s="61" t="n">
        <f aca="false">INDEX(Datos_Origen!$H$2:$H$2459,$Z566)</f>
        <v>8</v>
      </c>
      <c r="AD566" s="61" t="str">
        <f aca="false">INDEX(Datos_Origen!$D$2:$D$2459,$Z566)&amp;""</f>
        <v>Mendoza</v>
      </c>
    </row>
    <row r="567" customFormat="false" ht="15" hidden="false" customHeight="false" outlineLevel="0" collapsed="false">
      <c r="A567" s="61" t="n">
        <f aca="false">INDEX(Datos_Origen!$A$2:$A$2459,$Z567)</f>
        <v>566</v>
      </c>
      <c r="B567" s="62" t="n">
        <f aca="false">IF(ISNUMBER($AB567),$AB567,IF(MID($AB567,5,1)="-",DATE(VALUE(LEFT($AB567,4)),VALUE(MID($AB567,6,2)),VALUE(RIGHT($AB567,2))),DATE(VALUE(RIGHT($AB567,4)),VALUE(MID($AB567,4,2)),VALUE(LEFT($AB567,2)))))</f>
        <v>45464</v>
      </c>
      <c r="C567" s="61" t="n">
        <f aca="false">YEAR($B567)</f>
        <v>2024</v>
      </c>
      <c r="D567" s="61" t="str">
        <f aca="false">"Q"&amp;ROUNDUP(MONTH($B567)/3,0)</f>
        <v>Q2</v>
      </c>
      <c r="E567" s="61" t="n">
        <f aca="false">MONTH($B567)</f>
        <v>6</v>
      </c>
      <c r="F567" s="61" t="str">
        <f aca="false">INDEX(Parametros!$I$5:$I$16,$E567)</f>
        <v>Jun</v>
      </c>
      <c r="G567" s="61" t="str">
        <f aca="false">TEXT($C567,"0000")&amp;"-"&amp;TEXT($E567,"00")</f>
        <v>2024-06</v>
      </c>
      <c r="H567" s="61" t="str">
        <f aca="false">INDEX(Parametros!$C$71:$C$91,MATCH(TRIM(INDEX(Datos_Origen!$C$2:$C$2459,$Z567)),Parametros!$B$71:$B$91,0))</f>
        <v>Cuyo</v>
      </c>
      <c r="I567" s="61" t="str">
        <f aca="false">IF(TRIM($AD567)="",INDEX(Parametros!$I$20:$I$24,MATCH($H567,Parametros!$H$20:$H$24,0)),TRIM($AD567))</f>
        <v>Mendoza</v>
      </c>
      <c r="J567" s="61" t="str">
        <f aca="false">INDEX(Parametros!$C$95:$C$106,MATCH(TRIM(INDEX(Datos_Origen!$E$2:$E$2459,$Z567)),Parametros!$B$95:$B$106,0))</f>
        <v>E-commerce</v>
      </c>
      <c r="K567" s="61" t="str">
        <f aca="false">INDEX(Parametros!$C$48:$C$67,MATCH(TRIM(INDEX(Datos_Origen!$F$2:$F$2459,$Z567)),Parametros!$B$48:$B$67,0))</f>
        <v>Computacion</v>
      </c>
      <c r="L567" s="61" t="str">
        <f aca="false">$K567&amp;" "&amp;$C567</f>
        <v>Computacion 2024</v>
      </c>
      <c r="M567" s="61" t="str">
        <f aca="false">TRIM(INDEX(Datos_Origen!$G$2:$G$2459,$Z567))</f>
        <v>PC Gamer Ryzen</v>
      </c>
      <c r="N567" s="61" t="str">
        <f aca="false">$M567&amp;" "&amp;$C567</f>
        <v>PC Gamer Ryzen 2024</v>
      </c>
      <c r="O567" s="63" t="n">
        <f aca="false">IF(ISTEXT($AC567),VALUE($AC567),$AC567)</f>
        <v>3</v>
      </c>
      <c r="P567" s="64" t="n">
        <f aca="false">INDEX(Datos_Origen!$I$2:$I$2459,$Z567)</f>
        <v>1617</v>
      </c>
      <c r="Q567" s="64" t="n">
        <f aca="false">INDEX(Datos_Origen!$J$2:$J$2459,$Z567)</f>
        <v>1122</v>
      </c>
      <c r="R567" s="65" t="n">
        <f aca="false">ROUND($O567*$P567,2)</f>
        <v>4851</v>
      </c>
      <c r="S567" s="65" t="n">
        <f aca="false">ROUND($O567*$Q567,2)</f>
        <v>3366</v>
      </c>
      <c r="T567" s="65" t="n">
        <f aca="false">ROUND($R567*SUMIFS(Parametros!$E$28:$E$43,Parametros!$B$28:$B$43,$J567,Parametros!$C$28:$C$43,$C567,Parametros!$D$28:$D$43,$D567),2)</f>
        <v>213.44</v>
      </c>
      <c r="U567" s="65" t="n">
        <f aca="false">$R567-$S567-$T567</f>
        <v>1271.56</v>
      </c>
      <c r="V567" s="66" t="n">
        <f aca="false">IFERROR($U567/$R567,0)</f>
        <v>0.262123273551845</v>
      </c>
      <c r="W567" s="67" t="str">
        <f aca="false">IF(AND($V567&gt;=Parametros!$C$8,$R567&gt;=Parametros!$C$12),"Alta rentabilidad",IF(OR($V567&lt;Parametros!$C$11,$R567&lt;Parametros!$C$13),"Revisar","Estandar"))</f>
        <v>Revisar</v>
      </c>
      <c r="X567" s="67" t="str">
        <f aca="false">IF(AND($J567="E-commerce",IFERROR($T567/$R567,0)&gt;Parametros!$C$14),"Alerta","OK")</f>
        <v>OK</v>
      </c>
      <c r="Y567" s="61" t="str">
        <f aca="false">IF($R567&gt;=Parametros!$C$12,"Alto",IF($R567&lt;Parametros!$C$13,"Bajo","Medio"))</f>
        <v>Alto</v>
      </c>
      <c r="Z567" s="61" t="n">
        <v>144</v>
      </c>
      <c r="AA567" s="61" t="str">
        <f aca="false">IF(MATCH($A567,Datos_Origen!$A$2:$A$2459,0)=$Z567,"OK","REVISAR")</f>
        <v>OK</v>
      </c>
      <c r="AB567" s="62" t="n">
        <f aca="false">INDEX(Datos_Origen!$B$2:$B$2459,$Z567)</f>
        <v>45464</v>
      </c>
      <c r="AC567" s="61" t="n">
        <f aca="false">INDEX(Datos_Origen!$H$2:$H$2459,$Z567)</f>
        <v>3</v>
      </c>
      <c r="AD567" s="61" t="str">
        <f aca="false">INDEX(Datos_Origen!$D$2:$D$2459,$Z567)&amp;""</f>
        <v>Mendoza</v>
      </c>
    </row>
    <row r="568" customFormat="false" ht="15" hidden="false" customHeight="false" outlineLevel="0" collapsed="false">
      <c r="A568" s="61" t="n">
        <f aca="false">INDEX(Datos_Origen!$A$2:$A$2459,$Z568)</f>
        <v>567</v>
      </c>
      <c r="B568" s="62" t="n">
        <f aca="false">IF(ISNUMBER($AB568),$AB568,IF(MID($AB568,5,1)="-",DATE(VALUE(LEFT($AB568,4)),VALUE(MID($AB568,6,2)),VALUE(RIGHT($AB568,2))),DATE(VALUE(RIGHT($AB568,4)),VALUE(MID($AB568,4,2)),VALUE(LEFT($AB568,2)))))</f>
        <v>45444</v>
      </c>
      <c r="C568" s="61" t="n">
        <f aca="false">YEAR($B568)</f>
        <v>2024</v>
      </c>
      <c r="D568" s="61" t="str">
        <f aca="false">"Q"&amp;ROUNDUP(MONTH($B568)/3,0)</f>
        <v>Q2</v>
      </c>
      <c r="E568" s="61" t="n">
        <f aca="false">MONTH($B568)</f>
        <v>6</v>
      </c>
      <c r="F568" s="61" t="str">
        <f aca="false">INDEX(Parametros!$I$5:$I$16,$E568)</f>
        <v>Jun</v>
      </c>
      <c r="G568" s="61" t="str">
        <f aca="false">TEXT($C568,"0000")&amp;"-"&amp;TEXT($E568,"00")</f>
        <v>2024-06</v>
      </c>
      <c r="H568" s="61" t="str">
        <f aca="false">INDEX(Parametros!$C$71:$C$91,MATCH(TRIM(INDEX(Datos_Origen!$C$2:$C$2459,$Z568)),Parametros!$B$71:$B$91,0))</f>
        <v>Cuyo</v>
      </c>
      <c r="I568" s="61" t="str">
        <f aca="false">IF(TRIM($AD568)="",INDEX(Parametros!$I$20:$I$24,MATCH($H568,Parametros!$H$20:$H$24,0)),TRIM($AD568))</f>
        <v>Mendoza</v>
      </c>
      <c r="J568" s="61" t="str">
        <f aca="false">INDEX(Parametros!$C$95:$C$106,MATCH(TRIM(INDEX(Datos_Origen!$E$2:$E$2459,$Z568)),Parametros!$B$95:$B$106,0))</f>
        <v>Tienda fisica</v>
      </c>
      <c r="K568" s="61" t="str">
        <f aca="false">INDEX(Parametros!$C$48:$C$67,MATCH(TRIM(INDEX(Datos_Origen!$F$2:$F$2459,$Z568)),Parametros!$B$48:$B$67,0))</f>
        <v>Accesorios</v>
      </c>
      <c r="L568" s="61" t="str">
        <f aca="false">$K568&amp;" "&amp;$C568</f>
        <v>Accesorios 2024</v>
      </c>
      <c r="M568" s="61" t="str">
        <f aca="false">TRIM(INDEX(Datos_Origen!$G$2:$G$2459,$Z568))</f>
        <v>Mouse Inalambrico</v>
      </c>
      <c r="N568" s="61" t="str">
        <f aca="false">$M568&amp;" "&amp;$C568</f>
        <v>Mouse Inalambrico 2024</v>
      </c>
      <c r="O568" s="63" t="n">
        <f aca="false">IF(ISTEXT($AC568),VALUE($AC568),$AC568)</f>
        <v>32</v>
      </c>
      <c r="P568" s="64" t="n">
        <f aca="false">INDEX(Datos_Origen!$I$2:$I$2459,$Z568)</f>
        <v>27.44</v>
      </c>
      <c r="Q568" s="64" t="n">
        <f aca="false">INDEX(Datos_Origen!$J$2:$J$2459,$Z568)</f>
        <v>13.44</v>
      </c>
      <c r="R568" s="65" t="n">
        <f aca="false">ROUND($O568*$P568,2)</f>
        <v>878.08</v>
      </c>
      <c r="S568" s="65" t="n">
        <f aca="false">ROUND($O568*$Q568,2)</f>
        <v>430.08</v>
      </c>
      <c r="T568" s="65" t="n">
        <f aca="false">ROUND($R568*SUMIFS(Parametros!$E$28:$E$43,Parametros!$B$28:$B$43,$J568,Parametros!$C$28:$C$43,$C568,Parametros!$D$28:$D$43,$D568),2)</f>
        <v>10.54</v>
      </c>
      <c r="U568" s="65" t="n">
        <f aca="false">$R568-$S568-$T568</f>
        <v>437.46</v>
      </c>
      <c r="V568" s="66" t="n">
        <f aca="false">IFERROR($U568/$R568,0)</f>
        <v>0.498200619533528</v>
      </c>
      <c r="W568" s="67" t="str">
        <f aca="false">IF(AND($V568&gt;=Parametros!$C$8,$R568&gt;=Parametros!$C$12),"Alta rentabilidad",IF(OR($V568&lt;Parametros!$C$11,$R568&lt;Parametros!$C$13),"Revisar","Estandar"))</f>
        <v>Estandar</v>
      </c>
      <c r="X568" s="67" t="str">
        <f aca="false">IF(AND($J568="E-commerce",IFERROR($T568/$R568,0)&gt;Parametros!$C$14),"Alerta","OK")</f>
        <v>OK</v>
      </c>
      <c r="Y568" s="61" t="str">
        <f aca="false">IF($R568&gt;=Parametros!$C$12,"Alto",IF($R568&lt;Parametros!$C$13,"Bajo","Medio"))</f>
        <v>Medio</v>
      </c>
      <c r="Z568" s="61" t="n">
        <v>1738</v>
      </c>
      <c r="AA568" s="61" t="str">
        <f aca="false">IF(MATCH($A568,Datos_Origen!$A$2:$A$2459,0)=$Z568,"OK","REVISAR")</f>
        <v>OK</v>
      </c>
      <c r="AB568" s="62" t="n">
        <f aca="false">INDEX(Datos_Origen!$B$2:$B$2459,$Z568)</f>
        <v>45444</v>
      </c>
      <c r="AC568" s="61" t="n">
        <f aca="false">INDEX(Datos_Origen!$H$2:$H$2459,$Z568)</f>
        <v>32</v>
      </c>
      <c r="AD568" s="61" t="str">
        <f aca="false">INDEX(Datos_Origen!$D$2:$D$2459,$Z568)&amp;""</f>
        <v>Mendoza</v>
      </c>
    </row>
    <row r="569" customFormat="false" ht="15" hidden="false" customHeight="false" outlineLevel="0" collapsed="false">
      <c r="A569" s="61" t="n">
        <f aca="false">INDEX(Datos_Origen!$A$2:$A$2459,$Z569)</f>
        <v>568</v>
      </c>
      <c r="B569" s="62" t="n">
        <f aca="false">IF(ISNUMBER($AB569),$AB569,IF(MID($AB569,5,1)="-",DATE(VALUE(LEFT($AB569,4)),VALUE(MID($AB569,6,2)),VALUE(RIGHT($AB569,2))),DATE(VALUE(RIGHT($AB569,4)),VALUE(MID($AB569,4,2)),VALUE(LEFT($AB569,2)))))</f>
        <v>45451</v>
      </c>
      <c r="C569" s="61" t="n">
        <f aca="false">YEAR($B569)</f>
        <v>2024</v>
      </c>
      <c r="D569" s="61" t="str">
        <f aca="false">"Q"&amp;ROUNDUP(MONTH($B569)/3,0)</f>
        <v>Q2</v>
      </c>
      <c r="E569" s="61" t="n">
        <f aca="false">MONTH($B569)</f>
        <v>6</v>
      </c>
      <c r="F569" s="61" t="str">
        <f aca="false">INDEX(Parametros!$I$5:$I$16,$E569)</f>
        <v>Jun</v>
      </c>
      <c r="G569" s="61" t="str">
        <f aca="false">TEXT($C569,"0000")&amp;"-"&amp;TEXT($E569,"00")</f>
        <v>2024-06</v>
      </c>
      <c r="H569" s="61" t="str">
        <f aca="false">INDEX(Parametros!$C$71:$C$91,MATCH(TRIM(INDEX(Datos_Origen!$C$2:$C$2459,$Z569)),Parametros!$B$71:$B$91,0))</f>
        <v>Cuyo</v>
      </c>
      <c r="I569" s="61" t="str">
        <f aca="false">IF(TRIM($AD569)="",INDEX(Parametros!$I$20:$I$24,MATCH($H569,Parametros!$H$20:$H$24,0)),TRIM($AD569))</f>
        <v>Mendoza</v>
      </c>
      <c r="J569" s="61" t="str">
        <f aca="false">INDEX(Parametros!$C$95:$C$106,MATCH(TRIM(INDEX(Datos_Origen!$E$2:$E$2459,$Z569)),Parametros!$B$95:$B$106,0))</f>
        <v>E-commerce</v>
      </c>
      <c r="K569" s="61" t="str">
        <f aca="false">INDEX(Parametros!$C$48:$C$67,MATCH(TRIM(INDEX(Datos_Origen!$F$2:$F$2459,$Z569)),Parametros!$B$48:$B$67,0))</f>
        <v>Accesorios</v>
      </c>
      <c r="L569" s="61" t="str">
        <f aca="false">$K569&amp;" "&amp;$C569</f>
        <v>Accesorios 2024</v>
      </c>
      <c r="M569" s="61" t="str">
        <f aca="false">TRIM(INDEX(Datos_Origen!$G$2:$G$2459,$Z569))</f>
        <v>Mouse Inalambrico</v>
      </c>
      <c r="N569" s="61" t="str">
        <f aca="false">$M569&amp;" "&amp;$C569</f>
        <v>Mouse Inalambrico 2024</v>
      </c>
      <c r="O569" s="63" t="n">
        <f aca="false">IF(ISTEXT($AC569),VALUE($AC569),$AC569)</f>
        <v>11</v>
      </c>
      <c r="P569" s="64" t="n">
        <f aca="false">INDEX(Datos_Origen!$I$2:$I$2459,$Z569)</f>
        <v>27.44</v>
      </c>
      <c r="Q569" s="64" t="n">
        <f aca="false">INDEX(Datos_Origen!$J$2:$J$2459,$Z569)</f>
        <v>13.44</v>
      </c>
      <c r="R569" s="65" t="n">
        <f aca="false">ROUND($O569*$P569,2)</f>
        <v>301.84</v>
      </c>
      <c r="S569" s="65" t="n">
        <f aca="false">ROUND($O569*$Q569,2)</f>
        <v>147.84</v>
      </c>
      <c r="T569" s="65" t="n">
        <f aca="false">ROUND($R569*SUMIFS(Parametros!$E$28:$E$43,Parametros!$B$28:$B$43,$J569,Parametros!$C$28:$C$43,$C569,Parametros!$D$28:$D$43,$D569),2)</f>
        <v>13.28</v>
      </c>
      <c r="U569" s="65" t="n">
        <f aca="false">$R569-$S569-$T569</f>
        <v>140.72</v>
      </c>
      <c r="V569" s="66" t="n">
        <f aca="false">IFERROR($U569/$R569,0)</f>
        <v>0.466207262125629</v>
      </c>
      <c r="W569" s="67" t="str">
        <f aca="false">IF(AND($V569&gt;=Parametros!$C$8,$R569&gt;=Parametros!$C$12),"Alta rentabilidad",IF(OR($V569&lt;Parametros!$C$11,$R569&lt;Parametros!$C$13),"Revisar","Estandar"))</f>
        <v>Estandar</v>
      </c>
      <c r="X569" s="67" t="str">
        <f aca="false">IF(AND($J569="E-commerce",IFERROR($T569/$R569,0)&gt;Parametros!$C$14),"Alerta","OK")</f>
        <v>OK</v>
      </c>
      <c r="Y569" s="61" t="str">
        <f aca="false">IF($R569&gt;=Parametros!$C$12,"Alto",IF($R569&lt;Parametros!$C$13,"Bajo","Medio"))</f>
        <v>Medio</v>
      </c>
      <c r="Z569" s="61" t="n">
        <v>2069</v>
      </c>
      <c r="AA569" s="61" t="str">
        <f aca="false">IF(MATCH($A569,Datos_Origen!$A$2:$A$2459,0)=$Z569,"OK","REVISAR")</f>
        <v>OK</v>
      </c>
      <c r="AB569" s="61" t="str">
        <f aca="false">INDEX(Datos_Origen!$B$2:$B$2459,$Z569)</f>
        <v>08/06/2024</v>
      </c>
      <c r="AC569" s="61" t="n">
        <f aca="false">INDEX(Datos_Origen!$H$2:$H$2459,$Z569)</f>
        <v>11</v>
      </c>
      <c r="AD569" s="61" t="str">
        <f aca="false">INDEX(Datos_Origen!$D$2:$D$2459,$Z569)&amp;""</f>
        <v>Mendoza</v>
      </c>
    </row>
    <row r="570" customFormat="false" ht="15" hidden="false" customHeight="false" outlineLevel="0" collapsed="false">
      <c r="A570" s="61" t="n">
        <f aca="false">INDEX(Datos_Origen!$A$2:$A$2459,$Z570)</f>
        <v>569</v>
      </c>
      <c r="B570" s="62" t="n">
        <f aca="false">IF(ISNUMBER($AB570),$AB570,IF(MID($AB570,5,1)="-",DATE(VALUE(LEFT($AB570,4)),VALUE(MID($AB570,6,2)),VALUE(RIGHT($AB570,2))),DATE(VALUE(RIGHT($AB570,4)),VALUE(MID($AB570,4,2)),VALUE(LEFT($AB570,2)))))</f>
        <v>45458</v>
      </c>
      <c r="C570" s="61" t="n">
        <f aca="false">YEAR($B570)</f>
        <v>2024</v>
      </c>
      <c r="D570" s="61" t="str">
        <f aca="false">"Q"&amp;ROUNDUP(MONTH($B570)/3,0)</f>
        <v>Q2</v>
      </c>
      <c r="E570" s="61" t="n">
        <f aca="false">MONTH($B570)</f>
        <v>6</v>
      </c>
      <c r="F570" s="61" t="str">
        <f aca="false">INDEX(Parametros!$I$5:$I$16,$E570)</f>
        <v>Jun</v>
      </c>
      <c r="G570" s="61" t="str">
        <f aca="false">TEXT($C570,"0000")&amp;"-"&amp;TEXT($E570,"00")</f>
        <v>2024-06</v>
      </c>
      <c r="H570" s="61" t="str">
        <f aca="false">INDEX(Parametros!$C$71:$C$91,MATCH(TRIM(INDEX(Datos_Origen!$C$2:$C$2459,$Z570)),Parametros!$B$71:$B$91,0))</f>
        <v>Cuyo</v>
      </c>
      <c r="I570" s="61" t="str">
        <f aca="false">IF(TRIM($AD570)="",INDEX(Parametros!$I$20:$I$24,MATCH($H570,Parametros!$H$20:$H$24,0)),TRIM($AD570))</f>
        <v>Mendoza</v>
      </c>
      <c r="J570" s="61" t="str">
        <f aca="false">INDEX(Parametros!$C$95:$C$106,MATCH(TRIM(INDEX(Datos_Origen!$E$2:$E$2459,$Z570)),Parametros!$B$95:$B$106,0))</f>
        <v>Tienda fisica</v>
      </c>
      <c r="K570" s="61" t="str">
        <f aca="false">INDEX(Parametros!$C$48:$C$67,MATCH(TRIM(INDEX(Datos_Origen!$F$2:$F$2459,$Z570)),Parametros!$B$48:$B$67,0))</f>
        <v>Accesorios</v>
      </c>
      <c r="L570" s="61" t="str">
        <f aca="false">$K570&amp;" "&amp;$C570</f>
        <v>Accesorios 2024</v>
      </c>
      <c r="M570" s="61" t="str">
        <f aca="false">TRIM(INDEX(Datos_Origen!$G$2:$G$2459,$Z570))</f>
        <v>Teclado Mecanico</v>
      </c>
      <c r="N570" s="61" t="str">
        <f aca="false">$M570&amp;" "&amp;$C570</f>
        <v>Teclado Mecanico 2024</v>
      </c>
      <c r="O570" s="63" t="n">
        <f aca="false">IF(ISTEXT($AC570),VALUE($AC570),$AC570)</f>
        <v>34</v>
      </c>
      <c r="P570" s="64" t="n">
        <f aca="false">INDEX(Datos_Origen!$I$2:$I$2459,$Z570)</f>
        <v>93.1</v>
      </c>
      <c r="Q570" s="64" t="n">
        <f aca="false">INDEX(Datos_Origen!$J$2:$J$2459,$Z570)</f>
        <v>47.98</v>
      </c>
      <c r="R570" s="65" t="n">
        <f aca="false">ROUND($O570*$P570,2)</f>
        <v>3165.4</v>
      </c>
      <c r="S570" s="65" t="n">
        <f aca="false">ROUND($O570*$Q570,2)</f>
        <v>1631.32</v>
      </c>
      <c r="T570" s="65" t="n">
        <f aca="false">ROUND($R570*SUMIFS(Parametros!$E$28:$E$43,Parametros!$B$28:$B$43,$J570,Parametros!$C$28:$C$43,$C570,Parametros!$D$28:$D$43,$D570),2)</f>
        <v>37.98</v>
      </c>
      <c r="U570" s="65" t="n">
        <f aca="false">$R570-$S570-$T570</f>
        <v>1496.1</v>
      </c>
      <c r="V570" s="66" t="n">
        <f aca="false">IFERROR($U570/$R570,0)</f>
        <v>0.472641688254249</v>
      </c>
      <c r="W570" s="67" t="str">
        <f aca="false">IF(AND($V570&gt;=Parametros!$C$8,$R570&gt;=Parametros!$C$12),"Alta rentabilidad",IF(OR($V570&lt;Parametros!$C$11,$R570&lt;Parametros!$C$13),"Revisar","Estandar"))</f>
        <v>Alta rentabilidad</v>
      </c>
      <c r="X570" s="67" t="str">
        <f aca="false">IF(AND($J570="E-commerce",IFERROR($T570/$R570,0)&gt;Parametros!$C$14),"Alerta","OK")</f>
        <v>OK</v>
      </c>
      <c r="Y570" s="61" t="str">
        <f aca="false">IF($R570&gt;=Parametros!$C$12,"Alto",IF($R570&lt;Parametros!$C$13,"Bajo","Medio"))</f>
        <v>Alto</v>
      </c>
      <c r="Z570" s="61" t="n">
        <v>1941</v>
      </c>
      <c r="AA570" s="61" t="str">
        <f aca="false">IF(MATCH($A570,Datos_Origen!$A$2:$A$2459,0)=$Z570,"OK","REVISAR")</f>
        <v>OK</v>
      </c>
      <c r="AB570" s="61" t="str">
        <f aca="false">INDEX(Datos_Origen!$B$2:$B$2459,$Z570)</f>
        <v>2024-06-15</v>
      </c>
      <c r="AC570" s="61" t="n">
        <f aca="false">INDEX(Datos_Origen!$H$2:$H$2459,$Z570)</f>
        <v>34</v>
      </c>
      <c r="AD570" s="61" t="str">
        <f aca="false">INDEX(Datos_Origen!$D$2:$D$2459,$Z570)&amp;""</f>
        <v>Mendoza</v>
      </c>
    </row>
    <row r="571" customFormat="false" ht="15" hidden="false" customHeight="false" outlineLevel="0" collapsed="false">
      <c r="A571" s="61" t="n">
        <f aca="false">INDEX(Datos_Origen!$A$2:$A$2459,$Z571)</f>
        <v>570</v>
      </c>
      <c r="B571" s="62" t="n">
        <f aca="false">IF(ISNUMBER($AB571),$AB571,IF(MID($AB571,5,1)="-",DATE(VALUE(LEFT($AB571,4)),VALUE(MID($AB571,6,2)),VALUE(RIGHT($AB571,2))),DATE(VALUE(RIGHT($AB571,4)),VALUE(MID($AB571,4,2)),VALUE(LEFT($AB571,2)))))</f>
        <v>45465</v>
      </c>
      <c r="C571" s="61" t="n">
        <f aca="false">YEAR($B571)</f>
        <v>2024</v>
      </c>
      <c r="D571" s="61" t="str">
        <f aca="false">"Q"&amp;ROUNDUP(MONTH($B571)/3,0)</f>
        <v>Q2</v>
      </c>
      <c r="E571" s="61" t="n">
        <f aca="false">MONTH($B571)</f>
        <v>6</v>
      </c>
      <c r="F571" s="61" t="str">
        <f aca="false">INDEX(Parametros!$I$5:$I$16,$E571)</f>
        <v>Jun</v>
      </c>
      <c r="G571" s="61" t="str">
        <f aca="false">TEXT($C571,"0000")&amp;"-"&amp;TEXT($E571,"00")</f>
        <v>2024-06</v>
      </c>
      <c r="H571" s="61" t="str">
        <f aca="false">INDEX(Parametros!$C$71:$C$91,MATCH(TRIM(INDEX(Datos_Origen!$C$2:$C$2459,$Z571)),Parametros!$B$71:$B$91,0))</f>
        <v>Cuyo</v>
      </c>
      <c r="I571" s="61" t="str">
        <f aca="false">IF(TRIM($AD571)="",INDEX(Parametros!$I$20:$I$24,MATCH($H571,Parametros!$H$20:$H$24,0)),TRIM($AD571))</f>
        <v>Mendoza</v>
      </c>
      <c r="J571" s="61" t="str">
        <f aca="false">INDEX(Parametros!$C$95:$C$106,MATCH(TRIM(INDEX(Datos_Origen!$E$2:$E$2459,$Z571)),Parametros!$B$95:$B$106,0))</f>
        <v>E-commerce</v>
      </c>
      <c r="K571" s="61" t="str">
        <f aca="false">INDEX(Parametros!$C$48:$C$67,MATCH(TRIM(INDEX(Datos_Origen!$F$2:$F$2459,$Z571)),Parametros!$B$48:$B$67,0))</f>
        <v>Accesorios</v>
      </c>
      <c r="L571" s="61" t="str">
        <f aca="false">$K571&amp;" "&amp;$C571</f>
        <v>Accesorios 2024</v>
      </c>
      <c r="M571" s="61" t="str">
        <f aca="false">TRIM(INDEX(Datos_Origen!$G$2:$G$2459,$Z571))</f>
        <v>Teclado Mecanico</v>
      </c>
      <c r="N571" s="61" t="str">
        <f aca="false">$M571&amp;" "&amp;$C571</f>
        <v>Teclado Mecanico 2024</v>
      </c>
      <c r="O571" s="63" t="n">
        <f aca="false">IF(ISTEXT($AC571),VALUE($AC571),$AC571)</f>
        <v>11</v>
      </c>
      <c r="P571" s="64" t="n">
        <f aca="false">INDEX(Datos_Origen!$I$2:$I$2459,$Z571)</f>
        <v>93.1</v>
      </c>
      <c r="Q571" s="64" t="n">
        <f aca="false">INDEX(Datos_Origen!$J$2:$J$2459,$Z571)</f>
        <v>47.98</v>
      </c>
      <c r="R571" s="65" t="n">
        <f aca="false">ROUND($O571*$P571,2)</f>
        <v>1024.1</v>
      </c>
      <c r="S571" s="65" t="n">
        <f aca="false">ROUND($O571*$Q571,2)</f>
        <v>527.78</v>
      </c>
      <c r="T571" s="65" t="n">
        <f aca="false">ROUND($R571*SUMIFS(Parametros!$E$28:$E$43,Parametros!$B$28:$B$43,$J571,Parametros!$C$28:$C$43,$C571,Parametros!$D$28:$D$43,$D571),2)</f>
        <v>45.06</v>
      </c>
      <c r="U571" s="65" t="n">
        <f aca="false">$R571-$S571-$T571</f>
        <v>451.26</v>
      </c>
      <c r="V571" s="66" t="n">
        <f aca="false">IFERROR($U571/$R571,0)</f>
        <v>0.440640562445074</v>
      </c>
      <c r="W571" s="67" t="str">
        <f aca="false">IF(AND($V571&gt;=Parametros!$C$8,$R571&gt;=Parametros!$C$12),"Alta rentabilidad",IF(OR($V571&lt;Parametros!$C$11,$R571&lt;Parametros!$C$13),"Revisar","Estandar"))</f>
        <v>Estandar</v>
      </c>
      <c r="X571" s="67" t="str">
        <f aca="false">IF(AND($J571="E-commerce",IFERROR($T571/$R571,0)&gt;Parametros!$C$14),"Alerta","OK")</f>
        <v>OK</v>
      </c>
      <c r="Y571" s="61" t="str">
        <f aca="false">IF($R571&gt;=Parametros!$C$12,"Alto",IF($R571&lt;Parametros!$C$13,"Bajo","Medio"))</f>
        <v>Medio</v>
      </c>
      <c r="Z571" s="61" t="n">
        <v>1619</v>
      </c>
      <c r="AA571" s="61" t="str">
        <f aca="false">IF(MATCH($A571,Datos_Origen!$A$2:$A$2459,0)=$Z571,"OK","REVISAR")</f>
        <v>OK</v>
      </c>
      <c r="AB571" s="62" t="n">
        <f aca="false">INDEX(Datos_Origen!$B$2:$B$2459,$Z571)</f>
        <v>45465</v>
      </c>
      <c r="AC571" s="61" t="n">
        <f aca="false">INDEX(Datos_Origen!$H$2:$H$2459,$Z571)</f>
        <v>11</v>
      </c>
      <c r="AD571" s="61" t="str">
        <f aca="false">INDEX(Datos_Origen!$D$2:$D$2459,$Z571)&amp;""</f>
        <v>Mendoza</v>
      </c>
    </row>
    <row r="572" customFormat="false" ht="15" hidden="false" customHeight="false" outlineLevel="0" collapsed="false">
      <c r="A572" s="61" t="n">
        <f aca="false">INDEX(Datos_Origen!$A$2:$A$2459,$Z572)</f>
        <v>571</v>
      </c>
      <c r="B572" s="62" t="n">
        <f aca="false">IF(ISNUMBER($AB572),$AB572,IF(MID($AB572,5,1)="-",DATE(VALUE(LEFT($AB572,4)),VALUE(MID($AB572,6,2)),VALUE(RIGHT($AB572,2))),DATE(VALUE(RIGHT($AB572,4)),VALUE(MID($AB572,4,2)),VALUE(LEFT($AB572,2)))))</f>
        <v>45445</v>
      </c>
      <c r="C572" s="61" t="n">
        <f aca="false">YEAR($B572)</f>
        <v>2024</v>
      </c>
      <c r="D572" s="61" t="str">
        <f aca="false">"Q"&amp;ROUNDUP(MONTH($B572)/3,0)</f>
        <v>Q2</v>
      </c>
      <c r="E572" s="61" t="n">
        <f aca="false">MONTH($B572)</f>
        <v>6</v>
      </c>
      <c r="F572" s="61" t="str">
        <f aca="false">INDEX(Parametros!$I$5:$I$16,$E572)</f>
        <v>Jun</v>
      </c>
      <c r="G572" s="61" t="str">
        <f aca="false">TEXT($C572,"0000")&amp;"-"&amp;TEXT($E572,"00")</f>
        <v>2024-06</v>
      </c>
      <c r="H572" s="61" t="str">
        <f aca="false">INDEX(Parametros!$C$71:$C$91,MATCH(TRIM(INDEX(Datos_Origen!$C$2:$C$2459,$Z572)),Parametros!$B$71:$B$91,0))</f>
        <v>Cuyo</v>
      </c>
      <c r="I572" s="61" t="str">
        <f aca="false">IF(TRIM($AD572)="",INDEX(Parametros!$I$20:$I$24,MATCH($H572,Parametros!$H$20:$H$24,0)),TRIM($AD572))</f>
        <v>Mendoza</v>
      </c>
      <c r="J572" s="61" t="str">
        <f aca="false">INDEX(Parametros!$C$95:$C$106,MATCH(TRIM(INDEX(Datos_Origen!$E$2:$E$2459,$Z572)),Parametros!$B$95:$B$106,0))</f>
        <v>Tienda fisica</v>
      </c>
      <c r="K572" s="61" t="str">
        <f aca="false">INDEX(Parametros!$C$48:$C$67,MATCH(TRIM(INDEX(Datos_Origen!$F$2:$F$2459,$Z572)),Parametros!$B$48:$B$67,0))</f>
        <v>Accesorios</v>
      </c>
      <c r="L572" s="61" t="str">
        <f aca="false">$K572&amp;" "&amp;$C572</f>
        <v>Accesorios 2024</v>
      </c>
      <c r="M572" s="61" t="str">
        <f aca="false">TRIM(INDEX(Datos_Origen!$G$2:$G$2459,$Z572))</f>
        <v>Webcam Full HD</v>
      </c>
      <c r="N572" s="61" t="str">
        <f aca="false">$M572&amp;" "&amp;$C572</f>
        <v>Webcam Full HD 2024</v>
      </c>
      <c r="O572" s="63" t="n">
        <f aca="false">IF(ISTEXT($AC572),VALUE($AC572),$AC572)</f>
        <v>31</v>
      </c>
      <c r="P572" s="64" t="n">
        <f aca="false">INDEX(Datos_Origen!$I$2:$I$2459,$Z572)</f>
        <v>63.7</v>
      </c>
      <c r="Q572" s="64" t="n">
        <f aca="false">INDEX(Datos_Origen!$J$2:$J$2459,$Z572)</f>
        <v>35.43</v>
      </c>
      <c r="R572" s="65" t="n">
        <f aca="false">ROUND($O572*$P572,2)</f>
        <v>1974.7</v>
      </c>
      <c r="S572" s="65" t="n">
        <f aca="false">ROUND($O572*$Q572,2)</f>
        <v>1098.33</v>
      </c>
      <c r="T572" s="65" t="n">
        <f aca="false">ROUND($R572*SUMIFS(Parametros!$E$28:$E$43,Parametros!$B$28:$B$43,$J572,Parametros!$C$28:$C$43,$C572,Parametros!$D$28:$D$43,$D572),2)</f>
        <v>23.7</v>
      </c>
      <c r="U572" s="65" t="n">
        <f aca="false">$R572-$S572-$T572</f>
        <v>852.67</v>
      </c>
      <c r="V572" s="66" t="n">
        <f aca="false">IFERROR($U572/$R572,0)</f>
        <v>0.431797235023042</v>
      </c>
      <c r="W572" s="67" t="str">
        <f aca="false">IF(AND($V572&gt;=Parametros!$C$8,$R572&gt;=Parametros!$C$12),"Alta rentabilidad",IF(OR($V572&lt;Parametros!$C$11,$R572&lt;Parametros!$C$13),"Revisar","Estandar"))</f>
        <v>Estandar</v>
      </c>
      <c r="X572" s="67" t="str">
        <f aca="false">IF(AND($J572="E-commerce",IFERROR($T572/$R572,0)&gt;Parametros!$C$14),"Alerta","OK")</f>
        <v>OK</v>
      </c>
      <c r="Y572" s="61" t="str">
        <f aca="false">IF($R572&gt;=Parametros!$C$12,"Alto",IF($R572&lt;Parametros!$C$13,"Bajo","Medio"))</f>
        <v>Medio</v>
      </c>
      <c r="Z572" s="61" t="n">
        <v>579</v>
      </c>
      <c r="AA572" s="61" t="str">
        <f aca="false">IF(MATCH($A572,Datos_Origen!$A$2:$A$2459,0)=$Z572,"OK","REVISAR")</f>
        <v>OK</v>
      </c>
      <c r="AB572" s="62" t="n">
        <f aca="false">INDEX(Datos_Origen!$B$2:$B$2459,$Z572)</f>
        <v>45445</v>
      </c>
      <c r="AC572" s="61" t="n">
        <f aca="false">INDEX(Datos_Origen!$H$2:$H$2459,$Z572)</f>
        <v>31</v>
      </c>
      <c r="AD572" s="61" t="str">
        <f aca="false">INDEX(Datos_Origen!$D$2:$D$2459,$Z572)&amp;""</f>
        <v>Mendoza</v>
      </c>
    </row>
    <row r="573" customFormat="false" ht="15" hidden="false" customHeight="false" outlineLevel="0" collapsed="false">
      <c r="A573" s="61" t="n">
        <f aca="false">INDEX(Datos_Origen!$A$2:$A$2459,$Z573)</f>
        <v>572</v>
      </c>
      <c r="B573" s="62" t="n">
        <f aca="false">IF(ISNUMBER($AB573),$AB573,IF(MID($AB573,5,1)="-",DATE(VALUE(LEFT($AB573,4)),VALUE(MID($AB573,6,2)),VALUE(RIGHT($AB573,2))),DATE(VALUE(RIGHT($AB573,4)),VALUE(MID($AB573,4,2)),VALUE(LEFT($AB573,2)))))</f>
        <v>45452</v>
      </c>
      <c r="C573" s="61" t="n">
        <f aca="false">YEAR($B573)</f>
        <v>2024</v>
      </c>
      <c r="D573" s="61" t="str">
        <f aca="false">"Q"&amp;ROUNDUP(MONTH($B573)/3,0)</f>
        <v>Q2</v>
      </c>
      <c r="E573" s="61" t="n">
        <f aca="false">MONTH($B573)</f>
        <v>6</v>
      </c>
      <c r="F573" s="61" t="str">
        <f aca="false">INDEX(Parametros!$I$5:$I$16,$E573)</f>
        <v>Jun</v>
      </c>
      <c r="G573" s="61" t="str">
        <f aca="false">TEXT($C573,"0000")&amp;"-"&amp;TEXT($E573,"00")</f>
        <v>2024-06</v>
      </c>
      <c r="H573" s="61" t="str">
        <f aca="false">INDEX(Parametros!$C$71:$C$91,MATCH(TRIM(INDEX(Datos_Origen!$C$2:$C$2459,$Z573)),Parametros!$B$71:$B$91,0))</f>
        <v>Cuyo</v>
      </c>
      <c r="I573" s="61" t="str">
        <f aca="false">IF(TRIM($AD573)="",INDEX(Parametros!$I$20:$I$24,MATCH($H573,Parametros!$H$20:$H$24,0)),TRIM($AD573))</f>
        <v>Mendoza</v>
      </c>
      <c r="J573" s="61" t="str">
        <f aca="false">INDEX(Parametros!$C$95:$C$106,MATCH(TRIM(INDEX(Datos_Origen!$E$2:$E$2459,$Z573)),Parametros!$B$95:$B$106,0))</f>
        <v>E-commerce</v>
      </c>
      <c r="K573" s="61" t="str">
        <f aca="false">INDEX(Parametros!$C$48:$C$67,MATCH(TRIM(INDEX(Datos_Origen!$F$2:$F$2459,$Z573)),Parametros!$B$48:$B$67,0))</f>
        <v>Accesorios</v>
      </c>
      <c r="L573" s="61" t="str">
        <f aca="false">$K573&amp;" "&amp;$C573</f>
        <v>Accesorios 2024</v>
      </c>
      <c r="M573" s="61" t="str">
        <f aca="false">TRIM(INDEX(Datos_Origen!$G$2:$G$2459,$Z573))</f>
        <v>Webcam Full HD</v>
      </c>
      <c r="N573" s="61" t="str">
        <f aca="false">$M573&amp;" "&amp;$C573</f>
        <v>Webcam Full HD 2024</v>
      </c>
      <c r="O573" s="63" t="n">
        <f aca="false">IF(ISTEXT($AC573),VALUE($AC573),$AC573)</f>
        <v>11</v>
      </c>
      <c r="P573" s="64" t="n">
        <f aca="false">INDEX(Datos_Origen!$I$2:$I$2459,$Z573)</f>
        <v>63.7</v>
      </c>
      <c r="Q573" s="64" t="n">
        <f aca="false">INDEX(Datos_Origen!$J$2:$J$2459,$Z573)</f>
        <v>35.43</v>
      </c>
      <c r="R573" s="65" t="n">
        <f aca="false">ROUND($O573*$P573,2)</f>
        <v>700.7</v>
      </c>
      <c r="S573" s="65" t="n">
        <f aca="false">ROUND($O573*$Q573,2)</f>
        <v>389.73</v>
      </c>
      <c r="T573" s="65" t="n">
        <f aca="false">ROUND($R573*SUMIFS(Parametros!$E$28:$E$43,Parametros!$B$28:$B$43,$J573,Parametros!$C$28:$C$43,$C573,Parametros!$D$28:$D$43,$D573),2)</f>
        <v>30.83</v>
      </c>
      <c r="U573" s="65" t="n">
        <f aca="false">$R573-$S573-$T573</f>
        <v>280.14</v>
      </c>
      <c r="V573" s="66" t="n">
        <f aca="false">IFERROR($U573/$R573,0)</f>
        <v>0.3998001998002</v>
      </c>
      <c r="W573" s="67" t="str">
        <f aca="false">IF(AND($V573&gt;=Parametros!$C$8,$R573&gt;=Parametros!$C$12),"Alta rentabilidad",IF(OR($V573&lt;Parametros!$C$11,$R573&lt;Parametros!$C$13),"Revisar","Estandar"))</f>
        <v>Estandar</v>
      </c>
      <c r="X573" s="67" t="str">
        <f aca="false">IF(AND($J573="E-commerce",IFERROR($T573/$R573,0)&gt;Parametros!$C$14),"Alerta","OK")</f>
        <v>OK</v>
      </c>
      <c r="Y573" s="61" t="str">
        <f aca="false">IF($R573&gt;=Parametros!$C$12,"Alto",IF($R573&lt;Parametros!$C$13,"Bajo","Medio"))</f>
        <v>Medio</v>
      </c>
      <c r="Z573" s="61" t="n">
        <v>674</v>
      </c>
      <c r="AA573" s="61" t="str">
        <f aca="false">IF(MATCH($A573,Datos_Origen!$A$2:$A$2459,0)=$Z573,"OK","REVISAR")</f>
        <v>OK</v>
      </c>
      <c r="AB573" s="61" t="str">
        <f aca="false">INDEX(Datos_Origen!$B$2:$B$2459,$Z573)</f>
        <v>2024-06-09</v>
      </c>
      <c r="AC573" s="61" t="str">
        <f aca="false">INDEX(Datos_Origen!$H$2:$H$2459,$Z573)</f>
        <v>11</v>
      </c>
      <c r="AD573" s="61" t="str">
        <f aca="false">INDEX(Datos_Origen!$D$2:$D$2459,$Z573)&amp;""</f>
        <v>Mendoza</v>
      </c>
    </row>
    <row r="574" customFormat="false" ht="15" hidden="false" customHeight="false" outlineLevel="0" collapsed="false">
      <c r="A574" s="61" t="n">
        <f aca="false">INDEX(Datos_Origen!$A$2:$A$2459,$Z574)</f>
        <v>573</v>
      </c>
      <c r="B574" s="62" t="n">
        <f aca="false">IF(ISNUMBER($AB574),$AB574,IF(MID($AB574,5,1)="-",DATE(VALUE(LEFT($AB574,4)),VALUE(MID($AB574,6,2)),VALUE(RIGHT($AB574,2))),DATE(VALUE(RIGHT($AB574,4)),VALUE(MID($AB574,4,2)),VALUE(LEFT($AB574,2)))))</f>
        <v>45459</v>
      </c>
      <c r="C574" s="61" t="n">
        <f aca="false">YEAR($B574)</f>
        <v>2024</v>
      </c>
      <c r="D574" s="61" t="str">
        <f aca="false">"Q"&amp;ROUNDUP(MONTH($B574)/3,0)</f>
        <v>Q2</v>
      </c>
      <c r="E574" s="61" t="n">
        <f aca="false">MONTH($B574)</f>
        <v>6</v>
      </c>
      <c r="F574" s="61" t="str">
        <f aca="false">INDEX(Parametros!$I$5:$I$16,$E574)</f>
        <v>Jun</v>
      </c>
      <c r="G574" s="61" t="str">
        <f aca="false">TEXT($C574,"0000")&amp;"-"&amp;TEXT($E574,"00")</f>
        <v>2024-06</v>
      </c>
      <c r="H574" s="61" t="str">
        <f aca="false">INDEX(Parametros!$C$71:$C$91,MATCH(TRIM(INDEX(Datos_Origen!$C$2:$C$2459,$Z574)),Parametros!$B$71:$B$91,0))</f>
        <v>Cuyo</v>
      </c>
      <c r="I574" s="61" t="str">
        <f aca="false">IF(TRIM($AD574)="",INDEX(Parametros!$I$20:$I$24,MATCH($H574,Parametros!$H$20:$H$24,0)),TRIM($AD574))</f>
        <v>Mendoza</v>
      </c>
      <c r="J574" s="61" t="str">
        <f aca="false">INDEX(Parametros!$C$95:$C$106,MATCH(TRIM(INDEX(Datos_Origen!$E$2:$E$2459,$Z574)),Parametros!$B$95:$B$106,0))</f>
        <v>Tienda fisica</v>
      </c>
      <c r="K574" s="61" t="str">
        <f aca="false">INDEX(Parametros!$C$48:$C$67,MATCH(TRIM(INDEX(Datos_Origen!$F$2:$F$2459,$Z574)),Parametros!$B$48:$B$67,0))</f>
        <v>Audio</v>
      </c>
      <c r="L574" s="61" t="str">
        <f aca="false">$K574&amp;" "&amp;$C574</f>
        <v>Audio 2024</v>
      </c>
      <c r="M574" s="61" t="str">
        <f aca="false">TRIM(INDEX(Datos_Origen!$G$2:$G$2459,$Z574))</f>
        <v>Auriculares BT Pro</v>
      </c>
      <c r="N574" s="61" t="str">
        <f aca="false">$M574&amp;" "&amp;$C574</f>
        <v>Auriculares BT Pro 2024</v>
      </c>
      <c r="O574" s="63" t="n">
        <f aca="false">IF(ISTEXT($AC574),VALUE($AC574),$AC574)</f>
        <v>16</v>
      </c>
      <c r="P574" s="64" t="n">
        <f aca="false">INDEX(Datos_Origen!$I$2:$I$2459,$Z574)</f>
        <v>117.6</v>
      </c>
      <c r="Q574" s="64" t="n">
        <f aca="false">INDEX(Datos_Origen!$J$2:$J$2459,$Z574)</f>
        <v>63.6</v>
      </c>
      <c r="R574" s="65" t="n">
        <f aca="false">ROUND($O574*$P574,2)</f>
        <v>1881.6</v>
      </c>
      <c r="S574" s="65" t="n">
        <f aca="false">ROUND($O574*$Q574,2)</f>
        <v>1017.6</v>
      </c>
      <c r="T574" s="65" t="n">
        <f aca="false">ROUND($R574*SUMIFS(Parametros!$E$28:$E$43,Parametros!$B$28:$B$43,$J574,Parametros!$C$28:$C$43,$C574,Parametros!$D$28:$D$43,$D574),2)</f>
        <v>22.58</v>
      </c>
      <c r="U574" s="65" t="n">
        <f aca="false">$R574-$S574-$T574</f>
        <v>841.42</v>
      </c>
      <c r="V574" s="66" t="n">
        <f aca="false">IFERROR($U574/$R574,0)</f>
        <v>0.44718324829932</v>
      </c>
      <c r="W574" s="67" t="str">
        <f aca="false">IF(AND($V574&gt;=Parametros!$C$8,$R574&gt;=Parametros!$C$12),"Alta rentabilidad",IF(OR($V574&lt;Parametros!$C$11,$R574&lt;Parametros!$C$13),"Revisar","Estandar"))</f>
        <v>Estandar</v>
      </c>
      <c r="X574" s="67" t="str">
        <f aca="false">IF(AND($J574="E-commerce",IFERROR($T574/$R574,0)&gt;Parametros!$C$14),"Alerta","OK")</f>
        <v>OK</v>
      </c>
      <c r="Y574" s="61" t="str">
        <f aca="false">IF($R574&gt;=Parametros!$C$12,"Alto",IF($R574&lt;Parametros!$C$13,"Bajo","Medio"))</f>
        <v>Medio</v>
      </c>
      <c r="Z574" s="61" t="n">
        <v>812</v>
      </c>
      <c r="AA574" s="61" t="str">
        <f aca="false">IF(MATCH($A574,Datos_Origen!$A$2:$A$2459,0)=$Z574,"OK","REVISAR")</f>
        <v>OK</v>
      </c>
      <c r="AB574" s="61" t="str">
        <f aca="false">INDEX(Datos_Origen!$B$2:$B$2459,$Z574)</f>
        <v>16/06/2024</v>
      </c>
      <c r="AC574" s="61" t="n">
        <f aca="false">INDEX(Datos_Origen!$H$2:$H$2459,$Z574)</f>
        <v>16</v>
      </c>
      <c r="AD574" s="61" t="str">
        <f aca="false">INDEX(Datos_Origen!$D$2:$D$2459,$Z574)&amp;""</f>
        <v>Mendoza</v>
      </c>
    </row>
    <row r="575" customFormat="false" ht="15" hidden="false" customHeight="false" outlineLevel="0" collapsed="false">
      <c r="A575" s="61" t="n">
        <f aca="false">INDEX(Datos_Origen!$A$2:$A$2459,$Z575)</f>
        <v>574</v>
      </c>
      <c r="B575" s="62" t="n">
        <f aca="false">IF(ISNUMBER($AB575),$AB575,IF(MID($AB575,5,1)="-",DATE(VALUE(LEFT($AB575,4)),VALUE(MID($AB575,6,2)),VALUE(RIGHT($AB575,2))),DATE(VALUE(RIGHT($AB575,4)),VALUE(MID($AB575,4,2)),VALUE(LEFT($AB575,2)))))</f>
        <v>45466</v>
      </c>
      <c r="C575" s="61" t="n">
        <f aca="false">YEAR($B575)</f>
        <v>2024</v>
      </c>
      <c r="D575" s="61" t="str">
        <f aca="false">"Q"&amp;ROUNDUP(MONTH($B575)/3,0)</f>
        <v>Q2</v>
      </c>
      <c r="E575" s="61" t="n">
        <f aca="false">MONTH($B575)</f>
        <v>6</v>
      </c>
      <c r="F575" s="61" t="str">
        <f aca="false">INDEX(Parametros!$I$5:$I$16,$E575)</f>
        <v>Jun</v>
      </c>
      <c r="G575" s="61" t="str">
        <f aca="false">TEXT($C575,"0000")&amp;"-"&amp;TEXT($E575,"00")</f>
        <v>2024-06</v>
      </c>
      <c r="H575" s="61" t="str">
        <f aca="false">INDEX(Parametros!$C$71:$C$91,MATCH(TRIM(INDEX(Datos_Origen!$C$2:$C$2459,$Z575)),Parametros!$B$71:$B$91,0))</f>
        <v>Cuyo</v>
      </c>
      <c r="I575" s="61" t="str">
        <f aca="false">IF(TRIM($AD575)="",INDEX(Parametros!$I$20:$I$24,MATCH($H575,Parametros!$H$20:$H$24,0)),TRIM($AD575))</f>
        <v>Mendoza</v>
      </c>
      <c r="J575" s="61" t="str">
        <f aca="false">INDEX(Parametros!$C$95:$C$106,MATCH(TRIM(INDEX(Datos_Origen!$E$2:$E$2459,$Z575)),Parametros!$B$95:$B$106,0))</f>
        <v>E-commerce</v>
      </c>
      <c r="K575" s="61" t="str">
        <f aca="false">INDEX(Parametros!$C$48:$C$67,MATCH(TRIM(INDEX(Datos_Origen!$F$2:$F$2459,$Z575)),Parametros!$B$48:$B$67,0))</f>
        <v>Audio</v>
      </c>
      <c r="L575" s="61" t="str">
        <f aca="false">$K575&amp;" "&amp;$C575</f>
        <v>Audio 2024</v>
      </c>
      <c r="M575" s="61" t="str">
        <f aca="false">TRIM(INDEX(Datos_Origen!$G$2:$G$2459,$Z575))</f>
        <v>Auriculares BT Pro</v>
      </c>
      <c r="N575" s="61" t="str">
        <f aca="false">$M575&amp;" "&amp;$C575</f>
        <v>Auriculares BT Pro 2024</v>
      </c>
      <c r="O575" s="63" t="n">
        <f aca="false">IF(ISTEXT($AC575),VALUE($AC575),$AC575)</f>
        <v>6</v>
      </c>
      <c r="P575" s="64" t="n">
        <f aca="false">INDEX(Datos_Origen!$I$2:$I$2459,$Z575)</f>
        <v>117.6</v>
      </c>
      <c r="Q575" s="64" t="n">
        <f aca="false">INDEX(Datos_Origen!$J$2:$J$2459,$Z575)</f>
        <v>63.6</v>
      </c>
      <c r="R575" s="65" t="n">
        <f aca="false">ROUND($O575*$P575,2)</f>
        <v>705.6</v>
      </c>
      <c r="S575" s="65" t="n">
        <f aca="false">ROUND($O575*$Q575,2)</f>
        <v>381.6</v>
      </c>
      <c r="T575" s="65" t="n">
        <f aca="false">ROUND($R575*SUMIFS(Parametros!$E$28:$E$43,Parametros!$B$28:$B$43,$J575,Parametros!$C$28:$C$43,$C575,Parametros!$D$28:$D$43,$D575),2)</f>
        <v>31.05</v>
      </c>
      <c r="U575" s="65" t="n">
        <f aca="false">$R575-$S575-$T575</f>
        <v>292.95</v>
      </c>
      <c r="V575" s="66" t="n">
        <f aca="false">IFERROR($U575/$R575,0)</f>
        <v>0.415178571428571</v>
      </c>
      <c r="W575" s="67" t="str">
        <f aca="false">IF(AND($V575&gt;=Parametros!$C$8,$R575&gt;=Parametros!$C$12),"Alta rentabilidad",IF(OR($V575&lt;Parametros!$C$11,$R575&lt;Parametros!$C$13),"Revisar","Estandar"))</f>
        <v>Estandar</v>
      </c>
      <c r="X575" s="67" t="str">
        <f aca="false">IF(AND($J575="E-commerce",IFERROR($T575/$R575,0)&gt;Parametros!$C$14),"Alerta","OK")</f>
        <v>OK</v>
      </c>
      <c r="Y575" s="61" t="str">
        <f aca="false">IF($R575&gt;=Parametros!$C$12,"Alto",IF($R575&lt;Parametros!$C$13,"Bajo","Medio"))</f>
        <v>Medio</v>
      </c>
      <c r="Z575" s="61" t="n">
        <v>1128</v>
      </c>
      <c r="AA575" s="61" t="str">
        <f aca="false">IF(MATCH($A575,Datos_Origen!$A$2:$A$2459,0)=$Z575,"OK","REVISAR")</f>
        <v>OK</v>
      </c>
      <c r="AB575" s="62" t="n">
        <f aca="false">INDEX(Datos_Origen!$B$2:$B$2459,$Z575)</f>
        <v>45466</v>
      </c>
      <c r="AC575" s="61" t="n">
        <f aca="false">INDEX(Datos_Origen!$H$2:$H$2459,$Z575)</f>
        <v>6</v>
      </c>
      <c r="AD575" s="61" t="str">
        <f aca="false">INDEX(Datos_Origen!$D$2:$D$2459,$Z575)&amp;""</f>
        <v>Mendoza</v>
      </c>
    </row>
    <row r="576" customFormat="false" ht="15" hidden="false" customHeight="false" outlineLevel="0" collapsed="false">
      <c r="A576" s="61" t="n">
        <f aca="false">INDEX(Datos_Origen!$A$2:$A$2459,$Z576)</f>
        <v>575</v>
      </c>
      <c r="B576" s="62" t="n">
        <f aca="false">IF(ISNUMBER($AB576),$AB576,IF(MID($AB576,5,1)="-",DATE(VALUE(LEFT($AB576,4)),VALUE(MID($AB576,6,2)),VALUE(RIGHT($AB576,2))),DATE(VALUE(RIGHT($AB576,4)),VALUE(MID($AB576,4,2)),VALUE(LEFT($AB576,2)))))</f>
        <v>45446</v>
      </c>
      <c r="C576" s="61" t="n">
        <f aca="false">YEAR($B576)</f>
        <v>2024</v>
      </c>
      <c r="D576" s="61" t="str">
        <f aca="false">"Q"&amp;ROUNDUP(MONTH($B576)/3,0)</f>
        <v>Q2</v>
      </c>
      <c r="E576" s="61" t="n">
        <f aca="false">MONTH($B576)</f>
        <v>6</v>
      </c>
      <c r="F576" s="61" t="str">
        <f aca="false">INDEX(Parametros!$I$5:$I$16,$E576)</f>
        <v>Jun</v>
      </c>
      <c r="G576" s="61" t="str">
        <f aca="false">TEXT($C576,"0000")&amp;"-"&amp;TEXT($E576,"00")</f>
        <v>2024-06</v>
      </c>
      <c r="H576" s="61" t="str">
        <f aca="false">INDEX(Parametros!$C$71:$C$91,MATCH(TRIM(INDEX(Datos_Origen!$C$2:$C$2459,$Z576)),Parametros!$B$71:$B$91,0))</f>
        <v>Cuyo</v>
      </c>
      <c r="I576" s="61" t="str">
        <f aca="false">IF(TRIM($AD576)="",INDEX(Parametros!$I$20:$I$24,MATCH($H576,Parametros!$H$20:$H$24,0)),TRIM($AD576))</f>
        <v>Mendoza</v>
      </c>
      <c r="J576" s="61" t="str">
        <f aca="false">INDEX(Parametros!$C$95:$C$106,MATCH(TRIM(INDEX(Datos_Origen!$E$2:$E$2459,$Z576)),Parametros!$B$95:$B$106,0))</f>
        <v>Tienda fisica</v>
      </c>
      <c r="K576" s="61" t="str">
        <f aca="false">INDEX(Parametros!$C$48:$C$67,MATCH(TRIM(INDEX(Datos_Origen!$F$2:$F$2459,$Z576)),Parametros!$B$48:$B$67,0))</f>
        <v>Audio</v>
      </c>
      <c r="L576" s="61" t="str">
        <f aca="false">$K576&amp;" "&amp;$C576</f>
        <v>Audio 2024</v>
      </c>
      <c r="M576" s="61" t="str">
        <f aca="false">TRIM(INDEX(Datos_Origen!$G$2:$G$2459,$Z576))</f>
        <v>Parlante Bluetooth</v>
      </c>
      <c r="N576" s="61" t="str">
        <f aca="false">$M576&amp;" "&amp;$C576</f>
        <v>Parlante Bluetooth 2024</v>
      </c>
      <c r="O576" s="63" t="n">
        <f aca="false">IF(ISTEXT($AC576),VALUE($AC576),$AC576)</f>
        <v>17</v>
      </c>
      <c r="P576" s="64" t="n">
        <f aca="false">INDEX(Datos_Origen!$I$2:$I$2459,$Z576)</f>
        <v>83.3</v>
      </c>
      <c r="Q576" s="64" t="n">
        <f aca="false">INDEX(Datos_Origen!$J$2:$J$2459,$Z576)</f>
        <v>48.03</v>
      </c>
      <c r="R576" s="65" t="n">
        <f aca="false">ROUND($O576*$P576,2)</f>
        <v>1416.1</v>
      </c>
      <c r="S576" s="65" t="n">
        <f aca="false">ROUND($O576*$Q576,2)</f>
        <v>816.51</v>
      </c>
      <c r="T576" s="65" t="n">
        <f aca="false">ROUND($R576*SUMIFS(Parametros!$E$28:$E$43,Parametros!$B$28:$B$43,$J576,Parametros!$C$28:$C$43,$C576,Parametros!$D$28:$D$43,$D576),2)</f>
        <v>16.99</v>
      </c>
      <c r="U576" s="65" t="n">
        <f aca="false">$R576-$S576-$T576</f>
        <v>582.6</v>
      </c>
      <c r="V576" s="66" t="n">
        <f aca="false">IFERROR($U576/$R576,0)</f>
        <v>0.411411623472919</v>
      </c>
      <c r="W576" s="67" t="str">
        <f aca="false">IF(AND($V576&gt;=Parametros!$C$8,$R576&gt;=Parametros!$C$12),"Alta rentabilidad",IF(OR($V576&lt;Parametros!$C$11,$R576&lt;Parametros!$C$13),"Revisar","Estandar"))</f>
        <v>Estandar</v>
      </c>
      <c r="X576" s="67" t="str">
        <f aca="false">IF(AND($J576="E-commerce",IFERROR($T576/$R576,0)&gt;Parametros!$C$14),"Alerta","OK")</f>
        <v>OK</v>
      </c>
      <c r="Y576" s="61" t="str">
        <f aca="false">IF($R576&gt;=Parametros!$C$12,"Alto",IF($R576&lt;Parametros!$C$13,"Bajo","Medio"))</f>
        <v>Medio</v>
      </c>
      <c r="Z576" s="61" t="n">
        <v>1203</v>
      </c>
      <c r="AA576" s="61" t="str">
        <f aca="false">IF(MATCH($A576,Datos_Origen!$A$2:$A$2459,0)=$Z576,"OK","REVISAR")</f>
        <v>OK</v>
      </c>
      <c r="AB576" s="61" t="str">
        <f aca="false">INDEX(Datos_Origen!$B$2:$B$2459,$Z576)</f>
        <v>03/06/2024</v>
      </c>
      <c r="AC576" s="61" t="n">
        <f aca="false">INDEX(Datos_Origen!$H$2:$H$2459,$Z576)</f>
        <v>17</v>
      </c>
      <c r="AD576" s="61" t="str">
        <f aca="false">INDEX(Datos_Origen!$D$2:$D$2459,$Z576)&amp;""</f>
        <v>Mendoza</v>
      </c>
    </row>
    <row r="577" customFormat="false" ht="15" hidden="false" customHeight="false" outlineLevel="0" collapsed="false">
      <c r="A577" s="61" t="n">
        <f aca="false">INDEX(Datos_Origen!$A$2:$A$2459,$Z577)</f>
        <v>576</v>
      </c>
      <c r="B577" s="62" t="n">
        <f aca="false">IF(ISNUMBER($AB577),$AB577,IF(MID($AB577,5,1)="-",DATE(VALUE(LEFT($AB577,4)),VALUE(MID($AB577,6,2)),VALUE(RIGHT($AB577,2))),DATE(VALUE(RIGHT($AB577,4)),VALUE(MID($AB577,4,2)),VALUE(LEFT($AB577,2)))))</f>
        <v>45453</v>
      </c>
      <c r="C577" s="61" t="n">
        <f aca="false">YEAR($B577)</f>
        <v>2024</v>
      </c>
      <c r="D577" s="61" t="str">
        <f aca="false">"Q"&amp;ROUNDUP(MONTH($B577)/3,0)</f>
        <v>Q2</v>
      </c>
      <c r="E577" s="61" t="n">
        <f aca="false">MONTH($B577)</f>
        <v>6</v>
      </c>
      <c r="F577" s="61" t="str">
        <f aca="false">INDEX(Parametros!$I$5:$I$16,$E577)</f>
        <v>Jun</v>
      </c>
      <c r="G577" s="61" t="str">
        <f aca="false">TEXT($C577,"0000")&amp;"-"&amp;TEXT($E577,"00")</f>
        <v>2024-06</v>
      </c>
      <c r="H577" s="61" t="str">
        <f aca="false">INDEX(Parametros!$C$71:$C$91,MATCH(TRIM(INDEX(Datos_Origen!$C$2:$C$2459,$Z577)),Parametros!$B$71:$B$91,0))</f>
        <v>Cuyo</v>
      </c>
      <c r="I577" s="61" t="str">
        <f aca="false">IF(TRIM($AD577)="",INDEX(Parametros!$I$20:$I$24,MATCH($H577,Parametros!$H$20:$H$24,0)),TRIM($AD577))</f>
        <v>Mendoza</v>
      </c>
      <c r="J577" s="61" t="str">
        <f aca="false">INDEX(Parametros!$C$95:$C$106,MATCH(TRIM(INDEX(Datos_Origen!$E$2:$E$2459,$Z577)),Parametros!$B$95:$B$106,0))</f>
        <v>E-commerce</v>
      </c>
      <c r="K577" s="61" t="str">
        <f aca="false">INDEX(Parametros!$C$48:$C$67,MATCH(TRIM(INDEX(Datos_Origen!$F$2:$F$2459,$Z577)),Parametros!$B$48:$B$67,0))</f>
        <v>Audio</v>
      </c>
      <c r="L577" s="61" t="str">
        <f aca="false">$K577&amp;" "&amp;$C577</f>
        <v>Audio 2024</v>
      </c>
      <c r="M577" s="61" t="str">
        <f aca="false">TRIM(INDEX(Datos_Origen!$G$2:$G$2459,$Z577))</f>
        <v>Parlante Bluetooth</v>
      </c>
      <c r="N577" s="61" t="str">
        <f aca="false">$M577&amp;" "&amp;$C577</f>
        <v>Parlante Bluetooth 2024</v>
      </c>
      <c r="O577" s="63" t="n">
        <f aca="false">IF(ISTEXT($AC577),VALUE($AC577),$AC577)</f>
        <v>6</v>
      </c>
      <c r="P577" s="64" t="n">
        <f aca="false">INDEX(Datos_Origen!$I$2:$I$2459,$Z577)</f>
        <v>83.3</v>
      </c>
      <c r="Q577" s="64" t="n">
        <f aca="false">INDEX(Datos_Origen!$J$2:$J$2459,$Z577)</f>
        <v>48.03</v>
      </c>
      <c r="R577" s="65" t="n">
        <f aca="false">ROUND($O577*$P577,2)</f>
        <v>499.8</v>
      </c>
      <c r="S577" s="65" t="n">
        <f aca="false">ROUND($O577*$Q577,2)</f>
        <v>288.18</v>
      </c>
      <c r="T577" s="65" t="n">
        <f aca="false">ROUND($R577*SUMIFS(Parametros!$E$28:$E$43,Parametros!$B$28:$B$43,$J577,Parametros!$C$28:$C$43,$C577,Parametros!$D$28:$D$43,$D577),2)</f>
        <v>21.99</v>
      </c>
      <c r="U577" s="65" t="n">
        <f aca="false">$R577-$S577-$T577</f>
        <v>189.63</v>
      </c>
      <c r="V577" s="66" t="n">
        <f aca="false">IFERROR($U577/$R577,0)</f>
        <v>0.379411764705882</v>
      </c>
      <c r="W577" s="67" t="str">
        <f aca="false">IF(AND($V577&gt;=Parametros!$C$8,$R577&gt;=Parametros!$C$12),"Alta rentabilidad",IF(OR($V577&lt;Parametros!$C$11,$R577&lt;Parametros!$C$13),"Revisar","Estandar"))</f>
        <v>Estandar</v>
      </c>
      <c r="X577" s="67" t="str">
        <f aca="false">IF(AND($J577="E-commerce",IFERROR($T577/$R577,0)&gt;Parametros!$C$14),"Alerta","OK")</f>
        <v>OK</v>
      </c>
      <c r="Y577" s="61" t="str">
        <f aca="false">IF($R577&gt;=Parametros!$C$12,"Alto",IF($R577&lt;Parametros!$C$13,"Bajo","Medio"))</f>
        <v>Medio</v>
      </c>
      <c r="Z577" s="61" t="n">
        <v>1464</v>
      </c>
      <c r="AA577" s="61" t="str">
        <f aca="false">IF(MATCH($A577,Datos_Origen!$A$2:$A$2459,0)=$Z577,"OK","REVISAR")</f>
        <v>OK</v>
      </c>
      <c r="AB577" s="62" t="n">
        <f aca="false">INDEX(Datos_Origen!$B$2:$B$2459,$Z577)</f>
        <v>45453</v>
      </c>
      <c r="AC577" s="61" t="n">
        <f aca="false">INDEX(Datos_Origen!$H$2:$H$2459,$Z577)</f>
        <v>6</v>
      </c>
      <c r="AD577" s="61" t="str">
        <f aca="false">INDEX(Datos_Origen!$D$2:$D$2459,$Z577)&amp;""</f>
        <v>Mendoza</v>
      </c>
    </row>
    <row r="578" customFormat="false" ht="15" hidden="false" customHeight="false" outlineLevel="0" collapsed="false">
      <c r="A578" s="61" t="n">
        <f aca="false">INDEX(Datos_Origen!$A$2:$A$2459,$Z578)</f>
        <v>577</v>
      </c>
      <c r="B578" s="62" t="n">
        <f aca="false">IF(ISNUMBER($AB578),$AB578,IF(MID($AB578,5,1)="-",DATE(VALUE(LEFT($AB578,4)),VALUE(MID($AB578,6,2)),VALUE(RIGHT($AB578,2))),DATE(VALUE(RIGHT($AB578,4)),VALUE(MID($AB578,4,2)),VALUE(LEFT($AB578,2)))))</f>
        <v>45460</v>
      </c>
      <c r="C578" s="61" t="n">
        <f aca="false">YEAR($B578)</f>
        <v>2024</v>
      </c>
      <c r="D578" s="61" t="str">
        <f aca="false">"Q"&amp;ROUNDUP(MONTH($B578)/3,0)</f>
        <v>Q2</v>
      </c>
      <c r="E578" s="61" t="n">
        <f aca="false">MONTH($B578)</f>
        <v>6</v>
      </c>
      <c r="F578" s="61" t="str">
        <f aca="false">INDEX(Parametros!$I$5:$I$16,$E578)</f>
        <v>Jun</v>
      </c>
      <c r="G578" s="61" t="str">
        <f aca="false">TEXT($C578,"0000")&amp;"-"&amp;TEXT($E578,"00")</f>
        <v>2024-06</v>
      </c>
      <c r="H578" s="61" t="str">
        <f aca="false">INDEX(Parametros!$C$71:$C$91,MATCH(TRIM(INDEX(Datos_Origen!$C$2:$C$2459,$Z578)),Parametros!$B$71:$B$91,0))</f>
        <v>Cuyo</v>
      </c>
      <c r="I578" s="61" t="str">
        <f aca="false">IF(TRIM($AD578)="",INDEX(Parametros!$I$20:$I$24,MATCH($H578,Parametros!$H$20:$H$24,0)),TRIM($AD578))</f>
        <v>Mendoza</v>
      </c>
      <c r="J578" s="61" t="str">
        <f aca="false">INDEX(Parametros!$C$95:$C$106,MATCH(TRIM(INDEX(Datos_Origen!$E$2:$E$2459,$Z578)),Parametros!$B$95:$B$106,0))</f>
        <v>Tienda fisica</v>
      </c>
      <c r="K578" s="61" t="str">
        <f aca="false">INDEX(Parametros!$C$48:$C$67,MATCH(TRIM(INDEX(Datos_Origen!$F$2:$F$2459,$Z578)),Parametros!$B$48:$B$67,0))</f>
        <v>Almacenamiento</v>
      </c>
      <c r="L578" s="61" t="str">
        <f aca="false">$K578&amp;" "&amp;$C578</f>
        <v>Almacenamiento 2024</v>
      </c>
      <c r="M578" s="61" t="str">
        <f aca="false">TRIM(INDEX(Datos_Origen!$G$2:$G$2459,$Z578))</f>
        <v>SSD Externo 1TB</v>
      </c>
      <c r="N578" s="61" t="str">
        <f aca="false">$M578&amp;" "&amp;$C578</f>
        <v>SSD Externo 1TB 2024</v>
      </c>
      <c r="O578" s="63" t="n">
        <f aca="false">IF(ISTEXT($AC578),VALUE($AC578),$AC578)</f>
        <v>22</v>
      </c>
      <c r="P578" s="64" t="n">
        <f aca="false">INDEX(Datos_Origen!$I$2:$I$2459,$Z578)</f>
        <v>127.4</v>
      </c>
      <c r="Q578" s="64" t="n">
        <f aca="false">INDEX(Datos_Origen!$J$2:$J$2459,$Z578)</f>
        <v>76.05</v>
      </c>
      <c r="R578" s="65" t="n">
        <f aca="false">ROUND($O578*$P578,2)</f>
        <v>2802.8</v>
      </c>
      <c r="S578" s="65" t="n">
        <f aca="false">ROUND($O578*$Q578,2)</f>
        <v>1673.1</v>
      </c>
      <c r="T578" s="65" t="n">
        <f aca="false">ROUND($R578*SUMIFS(Parametros!$E$28:$E$43,Parametros!$B$28:$B$43,$J578,Parametros!$C$28:$C$43,$C578,Parametros!$D$28:$D$43,$D578),2)</f>
        <v>33.63</v>
      </c>
      <c r="U578" s="65" t="n">
        <f aca="false">$R578-$S578-$T578</f>
        <v>1096.07</v>
      </c>
      <c r="V578" s="66" t="n">
        <f aca="false">IFERROR($U578/$R578,0)</f>
        <v>0.391062508919652</v>
      </c>
      <c r="W578" s="67" t="str">
        <f aca="false">IF(AND($V578&gt;=Parametros!$C$8,$R578&gt;=Parametros!$C$12),"Alta rentabilidad",IF(OR($V578&lt;Parametros!$C$11,$R578&lt;Parametros!$C$13),"Revisar","Estandar"))</f>
        <v>Estandar</v>
      </c>
      <c r="X578" s="67" t="str">
        <f aca="false">IF(AND($J578="E-commerce",IFERROR($T578/$R578,0)&gt;Parametros!$C$14),"Alerta","OK")</f>
        <v>OK</v>
      </c>
      <c r="Y578" s="61" t="str">
        <f aca="false">IF($R578&gt;=Parametros!$C$12,"Alto",IF($R578&lt;Parametros!$C$13,"Bajo","Medio"))</f>
        <v>Medio</v>
      </c>
      <c r="Z578" s="61" t="n">
        <v>1066</v>
      </c>
      <c r="AA578" s="61" t="str">
        <f aca="false">IF(MATCH($A578,Datos_Origen!$A$2:$A$2459,0)=$Z578,"OK","REVISAR")</f>
        <v>OK</v>
      </c>
      <c r="AB578" s="62" t="n">
        <f aca="false">INDEX(Datos_Origen!$B$2:$B$2459,$Z578)</f>
        <v>45460</v>
      </c>
      <c r="AC578" s="61" t="n">
        <f aca="false">INDEX(Datos_Origen!$H$2:$H$2459,$Z578)</f>
        <v>22</v>
      </c>
      <c r="AD578" s="61" t="str">
        <f aca="false">INDEX(Datos_Origen!$D$2:$D$2459,$Z578)&amp;""</f>
        <v>Mendoza</v>
      </c>
    </row>
    <row r="579" customFormat="false" ht="15" hidden="false" customHeight="false" outlineLevel="0" collapsed="false">
      <c r="A579" s="61" t="n">
        <f aca="false">INDEX(Datos_Origen!$A$2:$A$2459,$Z579)</f>
        <v>578</v>
      </c>
      <c r="B579" s="62" t="n">
        <f aca="false">IF(ISNUMBER($AB579),$AB579,IF(MID($AB579,5,1)="-",DATE(VALUE(LEFT($AB579,4)),VALUE(MID($AB579,6,2)),VALUE(RIGHT($AB579,2))),DATE(VALUE(RIGHT($AB579,4)),VALUE(MID($AB579,4,2)),VALUE(LEFT($AB579,2)))))</f>
        <v>45467</v>
      </c>
      <c r="C579" s="61" t="n">
        <f aca="false">YEAR($B579)</f>
        <v>2024</v>
      </c>
      <c r="D579" s="61" t="str">
        <f aca="false">"Q"&amp;ROUNDUP(MONTH($B579)/3,0)</f>
        <v>Q2</v>
      </c>
      <c r="E579" s="61" t="n">
        <f aca="false">MONTH($B579)</f>
        <v>6</v>
      </c>
      <c r="F579" s="61" t="str">
        <f aca="false">INDEX(Parametros!$I$5:$I$16,$E579)</f>
        <v>Jun</v>
      </c>
      <c r="G579" s="61" t="str">
        <f aca="false">TEXT($C579,"0000")&amp;"-"&amp;TEXT($E579,"00")</f>
        <v>2024-06</v>
      </c>
      <c r="H579" s="61" t="str">
        <f aca="false">INDEX(Parametros!$C$71:$C$91,MATCH(TRIM(INDEX(Datos_Origen!$C$2:$C$2459,$Z579)),Parametros!$B$71:$B$91,0))</f>
        <v>Cuyo</v>
      </c>
      <c r="I579" s="61" t="str">
        <f aca="false">IF(TRIM($AD579)="",INDEX(Parametros!$I$20:$I$24,MATCH($H579,Parametros!$H$20:$H$24,0)),TRIM($AD579))</f>
        <v>Mendoza</v>
      </c>
      <c r="J579" s="61" t="str">
        <f aca="false">INDEX(Parametros!$C$95:$C$106,MATCH(TRIM(INDEX(Datos_Origen!$E$2:$E$2459,$Z579)),Parametros!$B$95:$B$106,0))</f>
        <v>E-commerce</v>
      </c>
      <c r="K579" s="61" t="str">
        <f aca="false">INDEX(Parametros!$C$48:$C$67,MATCH(TRIM(INDEX(Datos_Origen!$F$2:$F$2459,$Z579)),Parametros!$B$48:$B$67,0))</f>
        <v>Almacenamiento</v>
      </c>
      <c r="L579" s="61" t="str">
        <f aca="false">$K579&amp;" "&amp;$C579</f>
        <v>Almacenamiento 2024</v>
      </c>
      <c r="M579" s="61" t="str">
        <f aca="false">TRIM(INDEX(Datos_Origen!$G$2:$G$2459,$Z579))</f>
        <v>SSD Externo 1TB</v>
      </c>
      <c r="N579" s="61" t="str">
        <f aca="false">$M579&amp;" "&amp;$C579</f>
        <v>SSD Externo 1TB 2024</v>
      </c>
      <c r="O579" s="63" t="n">
        <f aca="false">IF(ISTEXT($AC579),VALUE($AC579),$AC579)</f>
        <v>8</v>
      </c>
      <c r="P579" s="64" t="n">
        <f aca="false">INDEX(Datos_Origen!$I$2:$I$2459,$Z579)</f>
        <v>127.4</v>
      </c>
      <c r="Q579" s="64" t="n">
        <f aca="false">INDEX(Datos_Origen!$J$2:$J$2459,$Z579)</f>
        <v>76.05</v>
      </c>
      <c r="R579" s="65" t="n">
        <f aca="false">ROUND($O579*$P579,2)</f>
        <v>1019.2</v>
      </c>
      <c r="S579" s="65" t="n">
        <f aca="false">ROUND($O579*$Q579,2)</f>
        <v>608.4</v>
      </c>
      <c r="T579" s="65" t="n">
        <f aca="false">ROUND($R579*SUMIFS(Parametros!$E$28:$E$43,Parametros!$B$28:$B$43,$J579,Parametros!$C$28:$C$43,$C579,Parametros!$D$28:$D$43,$D579),2)</f>
        <v>44.84</v>
      </c>
      <c r="U579" s="65" t="n">
        <f aca="false">$R579-$S579-$T579</f>
        <v>365.96</v>
      </c>
      <c r="V579" s="66" t="n">
        <f aca="false">IFERROR($U579/$R579,0)</f>
        <v>0.359065934065934</v>
      </c>
      <c r="W579" s="67" t="str">
        <f aca="false">IF(AND($V579&gt;=Parametros!$C$8,$R579&gt;=Parametros!$C$12),"Alta rentabilidad",IF(OR($V579&lt;Parametros!$C$11,$R579&lt;Parametros!$C$13),"Revisar","Estandar"))</f>
        <v>Estandar</v>
      </c>
      <c r="X579" s="67" t="str">
        <f aca="false">IF(AND($J579="E-commerce",IFERROR($T579/$R579,0)&gt;Parametros!$C$14),"Alerta","OK")</f>
        <v>OK</v>
      </c>
      <c r="Y579" s="61" t="str">
        <f aca="false">IF($R579&gt;=Parametros!$C$12,"Alto",IF($R579&lt;Parametros!$C$13,"Bajo","Medio"))</f>
        <v>Medio</v>
      </c>
      <c r="Z579" s="61" t="n">
        <v>1854</v>
      </c>
      <c r="AA579" s="61" t="str">
        <f aca="false">IF(MATCH($A579,Datos_Origen!$A$2:$A$2459,0)=$Z579,"OK","REVISAR")</f>
        <v>OK</v>
      </c>
      <c r="AB579" s="62" t="n">
        <f aca="false">INDEX(Datos_Origen!$B$2:$B$2459,$Z579)</f>
        <v>45467</v>
      </c>
      <c r="AC579" s="61" t="n">
        <f aca="false">INDEX(Datos_Origen!$H$2:$H$2459,$Z579)</f>
        <v>8</v>
      </c>
      <c r="AD579" s="61" t="str">
        <f aca="false">INDEX(Datos_Origen!$D$2:$D$2459,$Z579)&amp;""</f>
        <v>Mendoza</v>
      </c>
    </row>
    <row r="580" customFormat="false" ht="15" hidden="false" customHeight="false" outlineLevel="0" collapsed="false">
      <c r="A580" s="61" t="n">
        <f aca="false">INDEX(Datos_Origen!$A$2:$A$2459,$Z580)</f>
        <v>579</v>
      </c>
      <c r="B580" s="62" t="n">
        <f aca="false">IF(ISNUMBER($AB580),$AB580,IF(MID($AB580,5,1)="-",DATE(VALUE(LEFT($AB580,4)),VALUE(MID($AB580,6,2)),VALUE(RIGHT($AB580,2))),DATE(VALUE(RIGHT($AB580,4)),VALUE(MID($AB580,4,2)),VALUE(LEFT($AB580,2)))))</f>
        <v>45447</v>
      </c>
      <c r="C580" s="61" t="n">
        <f aca="false">YEAR($B580)</f>
        <v>2024</v>
      </c>
      <c r="D580" s="61" t="str">
        <f aca="false">"Q"&amp;ROUNDUP(MONTH($B580)/3,0)</f>
        <v>Q2</v>
      </c>
      <c r="E580" s="61" t="n">
        <f aca="false">MONTH($B580)</f>
        <v>6</v>
      </c>
      <c r="F580" s="61" t="str">
        <f aca="false">INDEX(Parametros!$I$5:$I$16,$E580)</f>
        <v>Jun</v>
      </c>
      <c r="G580" s="61" t="str">
        <f aca="false">TEXT($C580,"0000")&amp;"-"&amp;TEXT($E580,"00")</f>
        <v>2024-06</v>
      </c>
      <c r="H580" s="61" t="str">
        <f aca="false">INDEX(Parametros!$C$71:$C$91,MATCH(TRIM(INDEX(Datos_Origen!$C$2:$C$2459,$Z580)),Parametros!$B$71:$B$91,0))</f>
        <v>Cuyo</v>
      </c>
      <c r="I580" s="61" t="str">
        <f aca="false">IF(TRIM($AD580)="",INDEX(Parametros!$I$20:$I$24,MATCH($H580,Parametros!$H$20:$H$24,0)),TRIM($AD580))</f>
        <v>Mendoza</v>
      </c>
      <c r="J580" s="61" t="str">
        <f aca="false">INDEX(Parametros!$C$95:$C$106,MATCH(TRIM(INDEX(Datos_Origen!$E$2:$E$2459,$Z580)),Parametros!$B$95:$B$106,0))</f>
        <v>Tienda fisica</v>
      </c>
      <c r="K580" s="61" t="str">
        <f aca="false">INDEX(Parametros!$C$48:$C$67,MATCH(TRIM(INDEX(Datos_Origen!$F$2:$F$2459,$Z580)),Parametros!$B$48:$B$67,0))</f>
        <v>Almacenamiento</v>
      </c>
      <c r="L580" s="61" t="str">
        <f aca="false">$K580&amp;" "&amp;$C580</f>
        <v>Almacenamiento 2024</v>
      </c>
      <c r="M580" s="61" t="str">
        <f aca="false">TRIM(INDEX(Datos_Origen!$G$2:$G$2459,$Z580))</f>
        <v>Pendrive 256GB</v>
      </c>
      <c r="N580" s="61" t="str">
        <f aca="false">$M580&amp;" "&amp;$C580</f>
        <v>Pendrive 256GB 2024</v>
      </c>
      <c r="O580" s="63" t="n">
        <f aca="false">IF(ISTEXT($AC580),VALUE($AC580),$AC580)</f>
        <v>18</v>
      </c>
      <c r="P580" s="64" t="n">
        <f aca="false">INDEX(Datos_Origen!$I$2:$I$2459,$Z580)</f>
        <v>34.3</v>
      </c>
      <c r="Q580" s="64" t="n">
        <f aca="false">INDEX(Datos_Origen!$J$2:$J$2459,$Z580)</f>
        <v>17.85</v>
      </c>
      <c r="R580" s="65" t="n">
        <f aca="false">ROUND($O580*$P580,2)</f>
        <v>617.4</v>
      </c>
      <c r="S580" s="65" t="n">
        <f aca="false">ROUND($O580*$Q580,2)</f>
        <v>321.3</v>
      </c>
      <c r="T580" s="65" t="n">
        <f aca="false">ROUND($R580*SUMIFS(Parametros!$E$28:$E$43,Parametros!$B$28:$B$43,$J580,Parametros!$C$28:$C$43,$C580,Parametros!$D$28:$D$43,$D580),2)</f>
        <v>7.41</v>
      </c>
      <c r="U580" s="65" t="n">
        <f aca="false">$R580-$S580-$T580</f>
        <v>288.69</v>
      </c>
      <c r="V580" s="66" t="n">
        <f aca="false">IFERROR($U580/$R580,0)</f>
        <v>0.467589893100097</v>
      </c>
      <c r="W580" s="67" t="str">
        <f aca="false">IF(AND($V580&gt;=Parametros!$C$8,$R580&gt;=Parametros!$C$12),"Alta rentabilidad",IF(OR($V580&lt;Parametros!$C$11,$R580&lt;Parametros!$C$13),"Revisar","Estandar"))</f>
        <v>Estandar</v>
      </c>
      <c r="X580" s="67" t="str">
        <f aca="false">IF(AND($J580="E-commerce",IFERROR($T580/$R580,0)&gt;Parametros!$C$14),"Alerta","OK")</f>
        <v>OK</v>
      </c>
      <c r="Y580" s="61" t="str">
        <f aca="false">IF($R580&gt;=Parametros!$C$12,"Alto",IF($R580&lt;Parametros!$C$13,"Bajo","Medio"))</f>
        <v>Medio</v>
      </c>
      <c r="Z580" s="61" t="n">
        <v>69</v>
      </c>
      <c r="AA580" s="61" t="str">
        <f aca="false">IF(MATCH($A580,Datos_Origen!$A$2:$A$2459,0)=$Z580,"OK","REVISAR")</f>
        <v>OK</v>
      </c>
      <c r="AB580" s="62" t="n">
        <f aca="false">INDEX(Datos_Origen!$B$2:$B$2459,$Z580)</f>
        <v>45447</v>
      </c>
      <c r="AC580" s="61" t="n">
        <f aca="false">INDEX(Datos_Origen!$H$2:$H$2459,$Z580)</f>
        <v>18</v>
      </c>
      <c r="AD580" s="61" t="str">
        <f aca="false">INDEX(Datos_Origen!$D$2:$D$2459,$Z580)&amp;""</f>
        <v>Mendoza</v>
      </c>
    </row>
    <row r="581" customFormat="false" ht="15" hidden="false" customHeight="false" outlineLevel="0" collapsed="false">
      <c r="A581" s="61" t="n">
        <f aca="false">INDEX(Datos_Origen!$A$2:$A$2459,$Z581)</f>
        <v>580</v>
      </c>
      <c r="B581" s="62" t="n">
        <f aca="false">IF(ISNUMBER($AB581),$AB581,IF(MID($AB581,5,1)="-",DATE(VALUE(LEFT($AB581,4)),VALUE(MID($AB581,6,2)),VALUE(RIGHT($AB581,2))),DATE(VALUE(RIGHT($AB581,4)),VALUE(MID($AB581,4,2)),VALUE(LEFT($AB581,2)))))</f>
        <v>45454</v>
      </c>
      <c r="C581" s="61" t="n">
        <f aca="false">YEAR($B581)</f>
        <v>2024</v>
      </c>
      <c r="D581" s="61" t="str">
        <f aca="false">"Q"&amp;ROUNDUP(MONTH($B581)/3,0)</f>
        <v>Q2</v>
      </c>
      <c r="E581" s="61" t="n">
        <f aca="false">MONTH($B581)</f>
        <v>6</v>
      </c>
      <c r="F581" s="61" t="str">
        <f aca="false">INDEX(Parametros!$I$5:$I$16,$E581)</f>
        <v>Jun</v>
      </c>
      <c r="G581" s="61" t="str">
        <f aca="false">TEXT($C581,"0000")&amp;"-"&amp;TEXT($E581,"00")</f>
        <v>2024-06</v>
      </c>
      <c r="H581" s="61" t="str">
        <f aca="false">INDEX(Parametros!$C$71:$C$91,MATCH(TRIM(INDEX(Datos_Origen!$C$2:$C$2459,$Z581)),Parametros!$B$71:$B$91,0))</f>
        <v>Cuyo</v>
      </c>
      <c r="I581" s="61" t="str">
        <f aca="false">IF(TRIM($AD581)="",INDEX(Parametros!$I$20:$I$24,MATCH($H581,Parametros!$H$20:$H$24,0)),TRIM($AD581))</f>
        <v>Mendoza</v>
      </c>
      <c r="J581" s="61" t="str">
        <f aca="false">INDEX(Parametros!$C$95:$C$106,MATCH(TRIM(INDEX(Datos_Origen!$E$2:$E$2459,$Z581)),Parametros!$B$95:$B$106,0))</f>
        <v>E-commerce</v>
      </c>
      <c r="K581" s="61" t="str">
        <f aca="false">INDEX(Parametros!$C$48:$C$67,MATCH(TRIM(INDEX(Datos_Origen!$F$2:$F$2459,$Z581)),Parametros!$B$48:$B$67,0))</f>
        <v>Almacenamiento</v>
      </c>
      <c r="L581" s="61" t="str">
        <f aca="false">$K581&amp;" "&amp;$C581</f>
        <v>Almacenamiento 2024</v>
      </c>
      <c r="M581" s="61" t="str">
        <f aca="false">TRIM(INDEX(Datos_Origen!$G$2:$G$2459,$Z581))</f>
        <v>Pendrive 256GB</v>
      </c>
      <c r="N581" s="61" t="str">
        <f aca="false">$M581&amp;" "&amp;$C581</f>
        <v>Pendrive 256GB 2024</v>
      </c>
      <c r="O581" s="63" t="n">
        <f aca="false">IF(ISTEXT($AC581),VALUE($AC581),$AC581)</f>
        <v>7</v>
      </c>
      <c r="P581" s="64" t="n">
        <f aca="false">INDEX(Datos_Origen!$I$2:$I$2459,$Z581)</f>
        <v>34.3</v>
      </c>
      <c r="Q581" s="64" t="n">
        <f aca="false">INDEX(Datos_Origen!$J$2:$J$2459,$Z581)</f>
        <v>17.85</v>
      </c>
      <c r="R581" s="65" t="n">
        <f aca="false">ROUND($O581*$P581,2)</f>
        <v>240.1</v>
      </c>
      <c r="S581" s="65" t="n">
        <f aca="false">ROUND($O581*$Q581,2)</f>
        <v>124.95</v>
      </c>
      <c r="T581" s="65" t="n">
        <f aca="false">ROUND($R581*SUMIFS(Parametros!$E$28:$E$43,Parametros!$B$28:$B$43,$J581,Parametros!$C$28:$C$43,$C581,Parametros!$D$28:$D$43,$D581),2)</f>
        <v>10.56</v>
      </c>
      <c r="U581" s="65" t="n">
        <f aca="false">$R581-$S581-$T581</f>
        <v>104.59</v>
      </c>
      <c r="V581" s="66" t="n">
        <f aca="false">IFERROR($U581/$R581,0)</f>
        <v>0.43561016243232</v>
      </c>
      <c r="W581" s="67" t="str">
        <f aca="false">IF(AND($V581&gt;=Parametros!$C$8,$R581&gt;=Parametros!$C$12),"Alta rentabilidad",IF(OR($V581&lt;Parametros!$C$11,$R581&lt;Parametros!$C$13),"Revisar","Estandar"))</f>
        <v>Revisar</v>
      </c>
      <c r="X581" s="67" t="str">
        <f aca="false">IF(AND($J581="E-commerce",IFERROR($T581/$R581,0)&gt;Parametros!$C$14),"Alerta","OK")</f>
        <v>OK</v>
      </c>
      <c r="Y581" s="61" t="str">
        <f aca="false">IF($R581&gt;=Parametros!$C$12,"Alto",IF($R581&lt;Parametros!$C$13,"Bajo","Medio"))</f>
        <v>Bajo</v>
      </c>
      <c r="Z581" s="61" t="n">
        <v>699</v>
      </c>
      <c r="AA581" s="61" t="str">
        <f aca="false">IF(MATCH($A581,Datos_Origen!$A$2:$A$2459,0)=$Z581,"OK","REVISAR")</f>
        <v>OK</v>
      </c>
      <c r="AB581" s="61" t="str">
        <f aca="false">INDEX(Datos_Origen!$B$2:$B$2459,$Z581)</f>
        <v>2024-06-11</v>
      </c>
      <c r="AC581" s="61" t="n">
        <f aca="false">INDEX(Datos_Origen!$H$2:$H$2459,$Z581)</f>
        <v>7</v>
      </c>
      <c r="AD581" s="61" t="str">
        <f aca="false">INDEX(Datos_Origen!$D$2:$D$2459,$Z581)&amp;""</f>
        <v>Mendoza</v>
      </c>
    </row>
    <row r="582" customFormat="false" ht="15" hidden="false" customHeight="false" outlineLevel="0" collapsed="false">
      <c r="A582" s="61" t="n">
        <f aca="false">INDEX(Datos_Origen!$A$2:$A$2459,$Z582)</f>
        <v>581</v>
      </c>
      <c r="B582" s="62" t="n">
        <f aca="false">IF(ISNUMBER($AB582),$AB582,IF(MID($AB582,5,1)="-",DATE(VALUE(LEFT($AB582,4)),VALUE(MID($AB582,6,2)),VALUE(RIGHT($AB582,2))),DATE(VALUE(RIGHT($AB582,4)),VALUE(MID($AB582,4,2)),VALUE(LEFT($AB582,2)))))</f>
        <v>45461</v>
      </c>
      <c r="C582" s="61" t="n">
        <f aca="false">YEAR($B582)</f>
        <v>2024</v>
      </c>
      <c r="D582" s="61" t="str">
        <f aca="false">"Q"&amp;ROUNDUP(MONTH($B582)/3,0)</f>
        <v>Q2</v>
      </c>
      <c r="E582" s="61" t="n">
        <f aca="false">MONTH($B582)</f>
        <v>6</v>
      </c>
      <c r="F582" s="61" t="str">
        <f aca="false">INDEX(Parametros!$I$5:$I$16,$E582)</f>
        <v>Jun</v>
      </c>
      <c r="G582" s="61" t="str">
        <f aca="false">TEXT($C582,"0000")&amp;"-"&amp;TEXT($E582,"00")</f>
        <v>2024-06</v>
      </c>
      <c r="H582" s="61" t="str">
        <f aca="false">INDEX(Parametros!$C$71:$C$91,MATCH(TRIM(INDEX(Datos_Origen!$C$2:$C$2459,$Z582)),Parametros!$B$71:$B$91,0))</f>
        <v>NOA</v>
      </c>
      <c r="I582" s="61" t="str">
        <f aca="false">IF(TRIM($AD582)="",INDEX(Parametros!$I$20:$I$24,MATCH($H582,Parametros!$H$20:$H$24,0)),TRIM($AD582))</f>
        <v>Tucuman</v>
      </c>
      <c r="J582" s="61" t="str">
        <f aca="false">INDEX(Parametros!$C$95:$C$106,MATCH(TRIM(INDEX(Datos_Origen!$E$2:$E$2459,$Z582)),Parametros!$B$95:$B$106,0))</f>
        <v>Tienda fisica</v>
      </c>
      <c r="K582" s="61" t="str">
        <f aca="false">INDEX(Parametros!$C$48:$C$67,MATCH(TRIM(INDEX(Datos_Origen!$F$2:$F$2459,$Z582)),Parametros!$B$48:$B$67,0))</f>
        <v>Computacion</v>
      </c>
      <c r="L582" s="61" t="str">
        <f aca="false">$K582&amp;" "&amp;$C582</f>
        <v>Computacion 2024</v>
      </c>
      <c r="M582" s="61" t="str">
        <f aca="false">TRIM(INDEX(Datos_Origen!$G$2:$G$2459,$Z582))</f>
        <v>Laptop Pro 15</v>
      </c>
      <c r="N582" s="61" t="str">
        <f aca="false">$M582&amp;" "&amp;$C582</f>
        <v>Laptop Pro 15 2024</v>
      </c>
      <c r="O582" s="63" t="n">
        <f aca="false">IF(ISTEXT($AC582),VALUE($AC582),$AC582)</f>
        <v>7</v>
      </c>
      <c r="P582" s="64" t="n">
        <f aca="false">INDEX(Datos_Origen!$I$2:$I$2459,$Z582)</f>
        <v>1176</v>
      </c>
      <c r="Q582" s="64" t="n">
        <f aca="false">INDEX(Datos_Origen!$J$2:$J$2459,$Z582)</f>
        <v>744</v>
      </c>
      <c r="R582" s="65" t="n">
        <f aca="false">ROUND($O582*$P582,2)</f>
        <v>8232</v>
      </c>
      <c r="S582" s="65" t="n">
        <f aca="false">ROUND($O582*$Q582,2)</f>
        <v>5208</v>
      </c>
      <c r="T582" s="65" t="n">
        <f aca="false">ROUND($R582*SUMIFS(Parametros!$E$28:$E$43,Parametros!$B$28:$B$43,$J582,Parametros!$C$28:$C$43,$C582,Parametros!$D$28:$D$43,$D582),2)</f>
        <v>98.78</v>
      </c>
      <c r="U582" s="65" t="n">
        <f aca="false">$R582-$S582-$T582</f>
        <v>2925.22</v>
      </c>
      <c r="V582" s="66" t="n">
        <f aca="false">IFERROR($U582/$R582,0)</f>
        <v>0.355347424684159</v>
      </c>
      <c r="W582" s="67" t="str">
        <f aca="false">IF(AND($V582&gt;=Parametros!$C$8,$R582&gt;=Parametros!$C$12),"Alta rentabilidad",IF(OR($V582&lt;Parametros!$C$11,$R582&lt;Parametros!$C$13),"Revisar","Estandar"))</f>
        <v>Alta rentabilidad</v>
      </c>
      <c r="X582" s="67" t="str">
        <f aca="false">IF(AND($J582="E-commerce",IFERROR($T582/$R582,0)&gt;Parametros!$C$14),"Alerta","OK")</f>
        <v>OK</v>
      </c>
      <c r="Y582" s="61" t="str">
        <f aca="false">IF($R582&gt;=Parametros!$C$12,"Alto",IF($R582&lt;Parametros!$C$13,"Bajo","Medio"))</f>
        <v>Alto</v>
      </c>
      <c r="Z582" s="61" t="n">
        <v>1918</v>
      </c>
      <c r="AA582" s="61" t="str">
        <f aca="false">IF(MATCH($A582,Datos_Origen!$A$2:$A$2459,0)=$Z582,"OK","REVISAR")</f>
        <v>OK</v>
      </c>
      <c r="AB582" s="62" t="n">
        <f aca="false">INDEX(Datos_Origen!$B$2:$B$2459,$Z582)</f>
        <v>45461</v>
      </c>
      <c r="AC582" s="61" t="n">
        <f aca="false">INDEX(Datos_Origen!$H$2:$H$2459,$Z582)</f>
        <v>7</v>
      </c>
      <c r="AD582" s="61" t="str">
        <f aca="false">INDEX(Datos_Origen!$D$2:$D$2459,$Z582)&amp;""</f>
        <v>Tucuman</v>
      </c>
    </row>
    <row r="583" customFormat="false" ht="15" hidden="false" customHeight="false" outlineLevel="0" collapsed="false">
      <c r="A583" s="61" t="n">
        <f aca="false">INDEX(Datos_Origen!$A$2:$A$2459,$Z583)</f>
        <v>582</v>
      </c>
      <c r="B583" s="62" t="n">
        <f aca="false">IF(ISNUMBER($AB583),$AB583,IF(MID($AB583,5,1)="-",DATE(VALUE(LEFT($AB583,4)),VALUE(MID($AB583,6,2)),VALUE(RIGHT($AB583,2))),DATE(VALUE(RIGHT($AB583,4)),VALUE(MID($AB583,4,2)),VALUE(LEFT($AB583,2)))))</f>
        <v>45468</v>
      </c>
      <c r="C583" s="61" t="n">
        <f aca="false">YEAR($B583)</f>
        <v>2024</v>
      </c>
      <c r="D583" s="61" t="str">
        <f aca="false">"Q"&amp;ROUNDUP(MONTH($B583)/3,0)</f>
        <v>Q2</v>
      </c>
      <c r="E583" s="61" t="n">
        <f aca="false">MONTH($B583)</f>
        <v>6</v>
      </c>
      <c r="F583" s="61" t="str">
        <f aca="false">INDEX(Parametros!$I$5:$I$16,$E583)</f>
        <v>Jun</v>
      </c>
      <c r="G583" s="61" t="str">
        <f aca="false">TEXT($C583,"0000")&amp;"-"&amp;TEXT($E583,"00")</f>
        <v>2024-06</v>
      </c>
      <c r="H583" s="61" t="str">
        <f aca="false">INDEX(Parametros!$C$71:$C$91,MATCH(TRIM(INDEX(Datos_Origen!$C$2:$C$2459,$Z583)),Parametros!$B$71:$B$91,0))</f>
        <v>NOA</v>
      </c>
      <c r="I583" s="61" t="str">
        <f aca="false">IF(TRIM($AD583)="",INDEX(Parametros!$I$20:$I$24,MATCH($H583,Parametros!$H$20:$H$24,0)),TRIM($AD583))</f>
        <v>Tucuman</v>
      </c>
      <c r="J583" s="61" t="str">
        <f aca="false">INDEX(Parametros!$C$95:$C$106,MATCH(TRIM(INDEX(Datos_Origen!$E$2:$E$2459,$Z583)),Parametros!$B$95:$B$106,0))</f>
        <v>E-commerce</v>
      </c>
      <c r="K583" s="61" t="str">
        <f aca="false">INDEX(Parametros!$C$48:$C$67,MATCH(TRIM(INDEX(Datos_Origen!$F$2:$F$2459,$Z583)),Parametros!$B$48:$B$67,0))</f>
        <v>Computacion</v>
      </c>
      <c r="L583" s="61" t="str">
        <f aca="false">$K583&amp;" "&amp;$C583</f>
        <v>Computacion 2024</v>
      </c>
      <c r="M583" s="61" t="str">
        <f aca="false">TRIM(INDEX(Datos_Origen!$G$2:$G$2459,$Z583))</f>
        <v>Laptop Pro 15</v>
      </c>
      <c r="N583" s="61" t="str">
        <f aca="false">$M583&amp;" "&amp;$C583</f>
        <v>Laptop Pro 15 2024</v>
      </c>
      <c r="O583" s="63" t="n">
        <f aca="false">IF(ISTEXT($AC583),VALUE($AC583),$AC583)</f>
        <v>3</v>
      </c>
      <c r="P583" s="64" t="n">
        <f aca="false">INDEX(Datos_Origen!$I$2:$I$2459,$Z583)</f>
        <v>1176</v>
      </c>
      <c r="Q583" s="64" t="n">
        <f aca="false">INDEX(Datos_Origen!$J$2:$J$2459,$Z583)</f>
        <v>744</v>
      </c>
      <c r="R583" s="65" t="n">
        <f aca="false">ROUND($O583*$P583,2)</f>
        <v>3528</v>
      </c>
      <c r="S583" s="65" t="n">
        <f aca="false">ROUND($O583*$Q583,2)</f>
        <v>2232</v>
      </c>
      <c r="T583" s="65" t="n">
        <f aca="false">ROUND($R583*SUMIFS(Parametros!$E$28:$E$43,Parametros!$B$28:$B$43,$J583,Parametros!$C$28:$C$43,$C583,Parametros!$D$28:$D$43,$D583),2)</f>
        <v>155.23</v>
      </c>
      <c r="U583" s="65" t="n">
        <f aca="false">$R583-$S583-$T583</f>
        <v>1140.77</v>
      </c>
      <c r="V583" s="66" t="n">
        <f aca="false">IFERROR($U583/$R583,0)</f>
        <v>0.323347505668934</v>
      </c>
      <c r="W583" s="67" t="str">
        <f aca="false">IF(AND($V583&gt;=Parametros!$C$8,$R583&gt;=Parametros!$C$12),"Alta rentabilidad",IF(OR($V583&lt;Parametros!$C$11,$R583&lt;Parametros!$C$13),"Revisar","Estandar"))</f>
        <v>Estandar</v>
      </c>
      <c r="X583" s="67" t="str">
        <f aca="false">IF(AND($J583="E-commerce",IFERROR($T583/$R583,0)&gt;Parametros!$C$14),"Alerta","OK")</f>
        <v>OK</v>
      </c>
      <c r="Y583" s="61" t="str">
        <f aca="false">IF($R583&gt;=Parametros!$C$12,"Alto",IF($R583&lt;Parametros!$C$13,"Bajo","Medio"))</f>
        <v>Alto</v>
      </c>
      <c r="Z583" s="61" t="n">
        <v>2221</v>
      </c>
      <c r="AA583" s="61" t="str">
        <f aca="false">IF(MATCH($A583,Datos_Origen!$A$2:$A$2459,0)=$Z583,"OK","REVISAR")</f>
        <v>OK</v>
      </c>
      <c r="AB583" s="62" t="n">
        <f aca="false">INDEX(Datos_Origen!$B$2:$B$2459,$Z583)</f>
        <v>45468</v>
      </c>
      <c r="AC583" s="61" t="n">
        <f aca="false">INDEX(Datos_Origen!$H$2:$H$2459,$Z583)</f>
        <v>3</v>
      </c>
      <c r="AD583" s="61" t="str">
        <f aca="false">INDEX(Datos_Origen!$D$2:$D$2459,$Z583)&amp;""</f>
        <v>Tucuman</v>
      </c>
    </row>
    <row r="584" customFormat="false" ht="15" hidden="false" customHeight="false" outlineLevel="0" collapsed="false">
      <c r="A584" s="61" t="n">
        <f aca="false">INDEX(Datos_Origen!$A$2:$A$2459,$Z584)</f>
        <v>583</v>
      </c>
      <c r="B584" s="62" t="n">
        <f aca="false">IF(ISNUMBER($AB584),$AB584,IF(MID($AB584,5,1)="-",DATE(VALUE(LEFT($AB584,4)),VALUE(MID($AB584,6,2)),VALUE(RIGHT($AB584,2))),DATE(VALUE(RIGHT($AB584,4)),VALUE(MID($AB584,4,2)),VALUE(LEFT($AB584,2)))))</f>
        <v>45448</v>
      </c>
      <c r="C584" s="61" t="n">
        <f aca="false">YEAR($B584)</f>
        <v>2024</v>
      </c>
      <c r="D584" s="61" t="str">
        <f aca="false">"Q"&amp;ROUNDUP(MONTH($B584)/3,0)</f>
        <v>Q2</v>
      </c>
      <c r="E584" s="61" t="n">
        <f aca="false">MONTH($B584)</f>
        <v>6</v>
      </c>
      <c r="F584" s="61" t="str">
        <f aca="false">INDEX(Parametros!$I$5:$I$16,$E584)</f>
        <v>Jun</v>
      </c>
      <c r="G584" s="61" t="str">
        <f aca="false">TEXT($C584,"0000")&amp;"-"&amp;TEXT($E584,"00")</f>
        <v>2024-06</v>
      </c>
      <c r="H584" s="61" t="str">
        <f aca="false">INDEX(Parametros!$C$71:$C$91,MATCH(TRIM(INDEX(Datos_Origen!$C$2:$C$2459,$Z584)),Parametros!$B$71:$B$91,0))</f>
        <v>NOA</v>
      </c>
      <c r="I584" s="61" t="str">
        <f aca="false">IF(TRIM($AD584)="",INDEX(Parametros!$I$20:$I$24,MATCH($H584,Parametros!$H$20:$H$24,0)),TRIM($AD584))</f>
        <v>Tucuman</v>
      </c>
      <c r="J584" s="61" t="str">
        <f aca="false">INDEX(Parametros!$C$95:$C$106,MATCH(TRIM(INDEX(Datos_Origen!$E$2:$E$2459,$Z584)),Parametros!$B$95:$B$106,0))</f>
        <v>Tienda fisica</v>
      </c>
      <c r="K584" s="61" t="str">
        <f aca="false">INDEX(Parametros!$C$48:$C$67,MATCH(TRIM(INDEX(Datos_Origen!$F$2:$F$2459,$Z584)),Parametros!$B$48:$B$67,0))</f>
        <v>Computacion</v>
      </c>
      <c r="L584" s="61" t="str">
        <f aca="false">$K584&amp;" "&amp;$C584</f>
        <v>Computacion 2024</v>
      </c>
      <c r="M584" s="61" t="str">
        <f aca="false">TRIM(INDEX(Datos_Origen!$G$2:$G$2459,$Z584))</f>
        <v>Monitor 4K 27</v>
      </c>
      <c r="N584" s="61" t="str">
        <f aca="false">$M584&amp;" "&amp;$C584</f>
        <v>Monitor 4K 27 2024</v>
      </c>
      <c r="O584" s="63" t="n">
        <f aca="false">IF(ISTEXT($AC584),VALUE($AC584),$AC584)</f>
        <v>6</v>
      </c>
      <c r="P584" s="64" t="n">
        <f aca="false">INDEX(Datos_Origen!$I$2:$I$2459,$Z584)</f>
        <v>441</v>
      </c>
      <c r="Q584" s="64" t="n">
        <f aca="false">INDEX(Datos_Origen!$J$2:$J$2459,$Z584)</f>
        <v>272.25</v>
      </c>
      <c r="R584" s="65" t="n">
        <f aca="false">ROUND($O584*$P584,2)</f>
        <v>2646</v>
      </c>
      <c r="S584" s="65" t="n">
        <f aca="false">ROUND($O584*$Q584,2)</f>
        <v>1633.5</v>
      </c>
      <c r="T584" s="65" t="n">
        <f aca="false">ROUND($R584*SUMIFS(Parametros!$E$28:$E$43,Parametros!$B$28:$B$43,$J584,Parametros!$C$28:$C$43,$C584,Parametros!$D$28:$D$43,$D584),2)</f>
        <v>31.75</v>
      </c>
      <c r="U584" s="65" t="n">
        <f aca="false">$R584-$S584-$T584</f>
        <v>980.75</v>
      </c>
      <c r="V584" s="66" t="n">
        <f aca="false">IFERROR($U584/$R584,0)</f>
        <v>0.370653817082389</v>
      </c>
      <c r="W584" s="67" t="str">
        <f aca="false">IF(AND($V584&gt;=Parametros!$C$8,$R584&gt;=Parametros!$C$12),"Alta rentabilidad",IF(OR($V584&lt;Parametros!$C$11,$R584&lt;Parametros!$C$13),"Revisar","Estandar"))</f>
        <v>Estandar</v>
      </c>
      <c r="X584" s="67" t="str">
        <f aca="false">IF(AND($J584="E-commerce",IFERROR($T584/$R584,0)&gt;Parametros!$C$14),"Alerta","OK")</f>
        <v>OK</v>
      </c>
      <c r="Y584" s="61" t="str">
        <f aca="false">IF($R584&gt;=Parametros!$C$12,"Alto",IF($R584&lt;Parametros!$C$13,"Bajo","Medio"))</f>
        <v>Medio</v>
      </c>
      <c r="Z584" s="61" t="n">
        <v>1432</v>
      </c>
      <c r="AA584" s="61" t="str">
        <f aca="false">IF(MATCH($A584,Datos_Origen!$A$2:$A$2459,0)=$Z584,"OK","REVISAR")</f>
        <v>OK</v>
      </c>
      <c r="AB584" s="61" t="str">
        <f aca="false">INDEX(Datos_Origen!$B$2:$B$2459,$Z584)</f>
        <v>2024-06-05</v>
      </c>
      <c r="AC584" s="61" t="n">
        <f aca="false">INDEX(Datos_Origen!$H$2:$H$2459,$Z584)</f>
        <v>6</v>
      </c>
      <c r="AD584" s="61" t="str">
        <f aca="false">INDEX(Datos_Origen!$D$2:$D$2459,$Z584)&amp;""</f>
        <v>Tucuman</v>
      </c>
    </row>
    <row r="585" customFormat="false" ht="15" hidden="false" customHeight="false" outlineLevel="0" collapsed="false">
      <c r="A585" s="61" t="n">
        <f aca="false">INDEX(Datos_Origen!$A$2:$A$2459,$Z585)</f>
        <v>584</v>
      </c>
      <c r="B585" s="62" t="n">
        <f aca="false">IF(ISNUMBER($AB585),$AB585,IF(MID($AB585,5,1)="-",DATE(VALUE(LEFT($AB585,4)),VALUE(MID($AB585,6,2)),VALUE(RIGHT($AB585,2))),DATE(VALUE(RIGHT($AB585,4)),VALUE(MID($AB585,4,2)),VALUE(LEFT($AB585,2)))))</f>
        <v>45455</v>
      </c>
      <c r="C585" s="61" t="n">
        <f aca="false">YEAR($B585)</f>
        <v>2024</v>
      </c>
      <c r="D585" s="61" t="str">
        <f aca="false">"Q"&amp;ROUNDUP(MONTH($B585)/3,0)</f>
        <v>Q2</v>
      </c>
      <c r="E585" s="61" t="n">
        <f aca="false">MONTH($B585)</f>
        <v>6</v>
      </c>
      <c r="F585" s="61" t="str">
        <f aca="false">INDEX(Parametros!$I$5:$I$16,$E585)</f>
        <v>Jun</v>
      </c>
      <c r="G585" s="61" t="str">
        <f aca="false">TEXT($C585,"0000")&amp;"-"&amp;TEXT($E585,"00")</f>
        <v>2024-06</v>
      </c>
      <c r="H585" s="61" t="str">
        <f aca="false">INDEX(Parametros!$C$71:$C$91,MATCH(TRIM(INDEX(Datos_Origen!$C$2:$C$2459,$Z585)),Parametros!$B$71:$B$91,0))</f>
        <v>NOA</v>
      </c>
      <c r="I585" s="61" t="str">
        <f aca="false">IF(TRIM($AD585)="",INDEX(Parametros!$I$20:$I$24,MATCH($H585,Parametros!$H$20:$H$24,0)),TRIM($AD585))</f>
        <v>Tucuman</v>
      </c>
      <c r="J585" s="61" t="str">
        <f aca="false">INDEX(Parametros!$C$95:$C$106,MATCH(TRIM(INDEX(Datos_Origen!$E$2:$E$2459,$Z585)),Parametros!$B$95:$B$106,0))</f>
        <v>E-commerce</v>
      </c>
      <c r="K585" s="61" t="str">
        <f aca="false">INDEX(Parametros!$C$48:$C$67,MATCH(TRIM(INDEX(Datos_Origen!$F$2:$F$2459,$Z585)),Parametros!$B$48:$B$67,0))</f>
        <v>Computacion</v>
      </c>
      <c r="L585" s="61" t="str">
        <f aca="false">$K585&amp;" "&amp;$C585</f>
        <v>Computacion 2024</v>
      </c>
      <c r="M585" s="61" t="str">
        <f aca="false">TRIM(INDEX(Datos_Origen!$G$2:$G$2459,$Z585))</f>
        <v>Monitor 4K 27</v>
      </c>
      <c r="N585" s="61" t="str">
        <f aca="false">$M585&amp;" "&amp;$C585</f>
        <v>Monitor 4K 27 2024</v>
      </c>
      <c r="O585" s="63" t="n">
        <f aca="false">IF(ISTEXT($AC585),VALUE($AC585),$AC585)</f>
        <v>3</v>
      </c>
      <c r="P585" s="64" t="n">
        <f aca="false">INDEX(Datos_Origen!$I$2:$I$2459,$Z585)</f>
        <v>441</v>
      </c>
      <c r="Q585" s="64" t="n">
        <f aca="false">INDEX(Datos_Origen!$J$2:$J$2459,$Z585)</f>
        <v>272.25</v>
      </c>
      <c r="R585" s="65" t="n">
        <f aca="false">ROUND($O585*$P585,2)</f>
        <v>1323</v>
      </c>
      <c r="S585" s="65" t="n">
        <f aca="false">ROUND($O585*$Q585,2)</f>
        <v>816.75</v>
      </c>
      <c r="T585" s="65" t="n">
        <f aca="false">ROUND($R585*SUMIFS(Parametros!$E$28:$E$43,Parametros!$B$28:$B$43,$J585,Parametros!$C$28:$C$43,$C585,Parametros!$D$28:$D$43,$D585),2)</f>
        <v>58.21</v>
      </c>
      <c r="U585" s="65" t="n">
        <f aca="false">$R585-$S585-$T585</f>
        <v>448.04</v>
      </c>
      <c r="V585" s="66" t="n">
        <f aca="false">IFERROR($U585/$R585,0)</f>
        <v>0.338654572940287</v>
      </c>
      <c r="W585" s="67" t="str">
        <f aca="false">IF(AND($V585&gt;=Parametros!$C$8,$R585&gt;=Parametros!$C$12),"Alta rentabilidad",IF(OR($V585&lt;Parametros!$C$11,$R585&lt;Parametros!$C$13),"Revisar","Estandar"))</f>
        <v>Estandar</v>
      </c>
      <c r="X585" s="67" t="str">
        <f aca="false">IF(AND($J585="E-commerce",IFERROR($T585/$R585,0)&gt;Parametros!$C$14),"Alerta","OK")</f>
        <v>OK</v>
      </c>
      <c r="Y585" s="61" t="str">
        <f aca="false">IF($R585&gt;=Parametros!$C$12,"Alto",IF($R585&lt;Parametros!$C$13,"Bajo","Medio"))</f>
        <v>Medio</v>
      </c>
      <c r="Z585" s="61" t="n">
        <v>983</v>
      </c>
      <c r="AA585" s="61" t="str">
        <f aca="false">IF(MATCH($A585,Datos_Origen!$A$2:$A$2459,0)=$Z585,"OK","REVISAR")</f>
        <v>OK</v>
      </c>
      <c r="AB585" s="62" t="n">
        <f aca="false">INDEX(Datos_Origen!$B$2:$B$2459,$Z585)</f>
        <v>45455</v>
      </c>
      <c r="AC585" s="61" t="n">
        <f aca="false">INDEX(Datos_Origen!$H$2:$H$2459,$Z585)</f>
        <v>3</v>
      </c>
      <c r="AD585" s="61" t="str">
        <f aca="false">INDEX(Datos_Origen!$D$2:$D$2459,$Z585)&amp;""</f>
        <v/>
      </c>
    </row>
    <row r="586" customFormat="false" ht="15" hidden="false" customHeight="false" outlineLevel="0" collapsed="false">
      <c r="A586" s="61" t="n">
        <f aca="false">INDEX(Datos_Origen!$A$2:$A$2459,$Z586)</f>
        <v>585</v>
      </c>
      <c r="B586" s="62" t="n">
        <f aca="false">IF(ISNUMBER($AB586),$AB586,IF(MID($AB586,5,1)="-",DATE(VALUE(LEFT($AB586,4)),VALUE(MID($AB586,6,2)),VALUE(RIGHT($AB586,2))),DATE(VALUE(RIGHT($AB586,4)),VALUE(MID($AB586,4,2)),VALUE(LEFT($AB586,2)))))</f>
        <v>45462</v>
      </c>
      <c r="C586" s="61" t="n">
        <f aca="false">YEAR($B586)</f>
        <v>2024</v>
      </c>
      <c r="D586" s="61" t="str">
        <f aca="false">"Q"&amp;ROUNDUP(MONTH($B586)/3,0)</f>
        <v>Q2</v>
      </c>
      <c r="E586" s="61" t="n">
        <f aca="false">MONTH($B586)</f>
        <v>6</v>
      </c>
      <c r="F586" s="61" t="str">
        <f aca="false">INDEX(Parametros!$I$5:$I$16,$E586)</f>
        <v>Jun</v>
      </c>
      <c r="G586" s="61" t="str">
        <f aca="false">TEXT($C586,"0000")&amp;"-"&amp;TEXT($E586,"00")</f>
        <v>2024-06</v>
      </c>
      <c r="H586" s="61" t="str">
        <f aca="false">INDEX(Parametros!$C$71:$C$91,MATCH(TRIM(INDEX(Datos_Origen!$C$2:$C$2459,$Z586)),Parametros!$B$71:$B$91,0))</f>
        <v>NOA</v>
      </c>
      <c r="I586" s="61" t="str">
        <f aca="false">IF(TRIM($AD586)="",INDEX(Parametros!$I$20:$I$24,MATCH($H586,Parametros!$H$20:$H$24,0)),TRIM($AD586))</f>
        <v>Tucuman</v>
      </c>
      <c r="J586" s="61" t="str">
        <f aca="false">INDEX(Parametros!$C$95:$C$106,MATCH(TRIM(INDEX(Datos_Origen!$E$2:$E$2459,$Z586)),Parametros!$B$95:$B$106,0))</f>
        <v>Tienda fisica</v>
      </c>
      <c r="K586" s="61" t="str">
        <f aca="false">INDEX(Parametros!$C$48:$C$67,MATCH(TRIM(INDEX(Datos_Origen!$F$2:$F$2459,$Z586)),Parametros!$B$48:$B$67,0))</f>
        <v>Computacion</v>
      </c>
      <c r="L586" s="61" t="str">
        <f aca="false">$K586&amp;" "&amp;$C586</f>
        <v>Computacion 2024</v>
      </c>
      <c r="M586" s="61" t="str">
        <f aca="false">TRIM(INDEX(Datos_Origen!$G$2:$G$2459,$Z586))</f>
        <v>PC Gamer Ryzen</v>
      </c>
      <c r="N586" s="61" t="str">
        <f aca="false">$M586&amp;" "&amp;$C586</f>
        <v>PC Gamer Ryzen 2024</v>
      </c>
      <c r="O586" s="63" t="n">
        <f aca="false">IF(ISTEXT($AC586),VALUE($AC586),$AC586)</f>
        <v>8</v>
      </c>
      <c r="P586" s="64" t="n">
        <f aca="false">INDEX(Datos_Origen!$I$2:$I$2459,$Z586)</f>
        <v>1617</v>
      </c>
      <c r="Q586" s="64" t="n">
        <f aca="false">INDEX(Datos_Origen!$J$2:$J$2459,$Z586)</f>
        <v>1122</v>
      </c>
      <c r="R586" s="65" t="n">
        <f aca="false">ROUND($O586*$P586,2)</f>
        <v>12936</v>
      </c>
      <c r="S586" s="65" t="n">
        <f aca="false">ROUND($O586*$Q586,2)</f>
        <v>8976</v>
      </c>
      <c r="T586" s="65" t="n">
        <f aca="false">ROUND($R586*SUMIFS(Parametros!$E$28:$E$43,Parametros!$B$28:$B$43,$J586,Parametros!$C$28:$C$43,$C586,Parametros!$D$28:$D$43,$D586),2)</f>
        <v>155.23</v>
      </c>
      <c r="U586" s="65" t="n">
        <f aca="false">$R586-$S586-$T586</f>
        <v>3804.77</v>
      </c>
      <c r="V586" s="66" t="n">
        <f aca="false">IFERROR($U586/$R586,0)</f>
        <v>0.294122603586889</v>
      </c>
      <c r="W586" s="67" t="str">
        <f aca="false">IF(AND($V586&gt;=Parametros!$C$8,$R586&gt;=Parametros!$C$12),"Alta rentabilidad",IF(OR($V586&lt;Parametros!$C$11,$R586&lt;Parametros!$C$13),"Revisar","Estandar"))</f>
        <v>Estandar</v>
      </c>
      <c r="X586" s="67" t="str">
        <f aca="false">IF(AND($J586="E-commerce",IFERROR($T586/$R586,0)&gt;Parametros!$C$14),"Alerta","OK")</f>
        <v>OK</v>
      </c>
      <c r="Y586" s="61" t="str">
        <f aca="false">IF($R586&gt;=Parametros!$C$12,"Alto",IF($R586&lt;Parametros!$C$13,"Bajo","Medio"))</f>
        <v>Alto</v>
      </c>
      <c r="Z586" s="61" t="n">
        <v>1859</v>
      </c>
      <c r="AA586" s="61" t="str">
        <f aca="false">IF(MATCH($A586,Datos_Origen!$A$2:$A$2459,0)=$Z586,"OK","REVISAR")</f>
        <v>OK</v>
      </c>
      <c r="AB586" s="61" t="str">
        <f aca="false">INDEX(Datos_Origen!$B$2:$B$2459,$Z586)</f>
        <v>2024-06-19</v>
      </c>
      <c r="AC586" s="61" t="n">
        <f aca="false">INDEX(Datos_Origen!$H$2:$H$2459,$Z586)</f>
        <v>8</v>
      </c>
      <c r="AD586" s="61" t="str">
        <f aca="false">INDEX(Datos_Origen!$D$2:$D$2459,$Z586)&amp;""</f>
        <v>Tucuman</v>
      </c>
    </row>
    <row r="587" customFormat="false" ht="15" hidden="false" customHeight="false" outlineLevel="0" collapsed="false">
      <c r="A587" s="61" t="n">
        <f aca="false">INDEX(Datos_Origen!$A$2:$A$2459,$Z587)</f>
        <v>586</v>
      </c>
      <c r="B587" s="62" t="n">
        <f aca="false">IF(ISNUMBER($AB587),$AB587,IF(MID($AB587,5,1)="-",DATE(VALUE(LEFT($AB587,4)),VALUE(MID($AB587,6,2)),VALUE(RIGHT($AB587,2))),DATE(VALUE(RIGHT($AB587,4)),VALUE(MID($AB587,4,2)),VALUE(LEFT($AB587,2)))))</f>
        <v>45469</v>
      </c>
      <c r="C587" s="61" t="n">
        <f aca="false">YEAR($B587)</f>
        <v>2024</v>
      </c>
      <c r="D587" s="61" t="str">
        <f aca="false">"Q"&amp;ROUNDUP(MONTH($B587)/3,0)</f>
        <v>Q2</v>
      </c>
      <c r="E587" s="61" t="n">
        <f aca="false">MONTH($B587)</f>
        <v>6</v>
      </c>
      <c r="F587" s="61" t="str">
        <f aca="false">INDEX(Parametros!$I$5:$I$16,$E587)</f>
        <v>Jun</v>
      </c>
      <c r="G587" s="61" t="str">
        <f aca="false">TEXT($C587,"0000")&amp;"-"&amp;TEXT($E587,"00")</f>
        <v>2024-06</v>
      </c>
      <c r="H587" s="61" t="str">
        <f aca="false">INDEX(Parametros!$C$71:$C$91,MATCH(TRIM(INDEX(Datos_Origen!$C$2:$C$2459,$Z587)),Parametros!$B$71:$B$91,0))</f>
        <v>NOA</v>
      </c>
      <c r="I587" s="61" t="str">
        <f aca="false">IF(TRIM($AD587)="",INDEX(Parametros!$I$20:$I$24,MATCH($H587,Parametros!$H$20:$H$24,0)),TRIM($AD587))</f>
        <v>Tucuman</v>
      </c>
      <c r="J587" s="61" t="str">
        <f aca="false">INDEX(Parametros!$C$95:$C$106,MATCH(TRIM(INDEX(Datos_Origen!$E$2:$E$2459,$Z587)),Parametros!$B$95:$B$106,0))</f>
        <v>E-commerce</v>
      </c>
      <c r="K587" s="61" t="str">
        <f aca="false">INDEX(Parametros!$C$48:$C$67,MATCH(TRIM(INDEX(Datos_Origen!$F$2:$F$2459,$Z587)),Parametros!$B$48:$B$67,0))</f>
        <v>Computacion</v>
      </c>
      <c r="L587" s="61" t="str">
        <f aca="false">$K587&amp;" "&amp;$C587</f>
        <v>Computacion 2024</v>
      </c>
      <c r="M587" s="61" t="str">
        <f aca="false">TRIM(INDEX(Datos_Origen!$G$2:$G$2459,$Z587))</f>
        <v>PC Gamer Ryzen</v>
      </c>
      <c r="N587" s="61" t="str">
        <f aca="false">$M587&amp;" "&amp;$C587</f>
        <v>PC Gamer Ryzen 2024</v>
      </c>
      <c r="O587" s="63" t="n">
        <f aca="false">IF(ISTEXT($AC587),VALUE($AC587),$AC587)</f>
        <v>2</v>
      </c>
      <c r="P587" s="64" t="n">
        <f aca="false">INDEX(Datos_Origen!$I$2:$I$2459,$Z587)</f>
        <v>1617</v>
      </c>
      <c r="Q587" s="64" t="n">
        <f aca="false">INDEX(Datos_Origen!$J$2:$J$2459,$Z587)</f>
        <v>1122</v>
      </c>
      <c r="R587" s="65" t="n">
        <f aca="false">ROUND($O587*$P587,2)</f>
        <v>3234</v>
      </c>
      <c r="S587" s="65" t="n">
        <f aca="false">ROUND($O587*$Q587,2)</f>
        <v>2244</v>
      </c>
      <c r="T587" s="65" t="n">
        <f aca="false">ROUND($R587*SUMIFS(Parametros!$E$28:$E$43,Parametros!$B$28:$B$43,$J587,Parametros!$C$28:$C$43,$C587,Parametros!$D$28:$D$43,$D587),2)</f>
        <v>142.3</v>
      </c>
      <c r="U587" s="65" t="n">
        <f aca="false">$R587-$S587-$T587</f>
        <v>847.7</v>
      </c>
      <c r="V587" s="66" t="n">
        <f aca="false">IFERROR($U587/$R587,0)</f>
        <v>0.262121212121212</v>
      </c>
      <c r="W587" s="67" t="str">
        <f aca="false">IF(AND($V587&gt;=Parametros!$C$8,$R587&gt;=Parametros!$C$12),"Alta rentabilidad",IF(OR($V587&lt;Parametros!$C$11,$R587&lt;Parametros!$C$13),"Revisar","Estandar"))</f>
        <v>Revisar</v>
      </c>
      <c r="X587" s="67" t="str">
        <f aca="false">IF(AND($J587="E-commerce",IFERROR($T587/$R587,0)&gt;Parametros!$C$14),"Alerta","OK")</f>
        <v>OK</v>
      </c>
      <c r="Y587" s="61" t="str">
        <f aca="false">IF($R587&gt;=Parametros!$C$12,"Alto",IF($R587&lt;Parametros!$C$13,"Bajo","Medio"))</f>
        <v>Alto</v>
      </c>
      <c r="Z587" s="61" t="n">
        <v>1266</v>
      </c>
      <c r="AA587" s="61" t="str">
        <f aca="false">IF(MATCH($A587,Datos_Origen!$A$2:$A$2459,0)=$Z587,"OK","REVISAR")</f>
        <v>OK</v>
      </c>
      <c r="AB587" s="61" t="str">
        <f aca="false">INDEX(Datos_Origen!$B$2:$B$2459,$Z587)</f>
        <v>2024-06-26</v>
      </c>
      <c r="AC587" s="61" t="n">
        <f aca="false">INDEX(Datos_Origen!$H$2:$H$2459,$Z587)</f>
        <v>2</v>
      </c>
      <c r="AD587" s="61" t="str">
        <f aca="false">INDEX(Datos_Origen!$D$2:$D$2459,$Z587)&amp;""</f>
        <v>Tucuman</v>
      </c>
    </row>
    <row r="588" customFormat="false" ht="15" hidden="false" customHeight="false" outlineLevel="0" collapsed="false">
      <c r="A588" s="61" t="n">
        <f aca="false">INDEX(Datos_Origen!$A$2:$A$2459,$Z588)</f>
        <v>587</v>
      </c>
      <c r="B588" s="62" t="n">
        <f aca="false">IF(ISNUMBER($AB588),$AB588,IF(MID($AB588,5,1)="-",DATE(VALUE(LEFT($AB588,4)),VALUE(MID($AB588,6,2)),VALUE(RIGHT($AB588,2))),DATE(VALUE(RIGHT($AB588,4)),VALUE(MID($AB588,4,2)),VALUE(LEFT($AB588,2)))))</f>
        <v>45449</v>
      </c>
      <c r="C588" s="61" t="n">
        <f aca="false">YEAR($B588)</f>
        <v>2024</v>
      </c>
      <c r="D588" s="61" t="str">
        <f aca="false">"Q"&amp;ROUNDUP(MONTH($B588)/3,0)</f>
        <v>Q2</v>
      </c>
      <c r="E588" s="61" t="n">
        <f aca="false">MONTH($B588)</f>
        <v>6</v>
      </c>
      <c r="F588" s="61" t="str">
        <f aca="false">INDEX(Parametros!$I$5:$I$16,$E588)</f>
        <v>Jun</v>
      </c>
      <c r="G588" s="61" t="str">
        <f aca="false">TEXT($C588,"0000")&amp;"-"&amp;TEXT($E588,"00")</f>
        <v>2024-06</v>
      </c>
      <c r="H588" s="61" t="str">
        <f aca="false">INDEX(Parametros!$C$71:$C$91,MATCH(TRIM(INDEX(Datos_Origen!$C$2:$C$2459,$Z588)),Parametros!$B$71:$B$91,0))</f>
        <v>NOA</v>
      </c>
      <c r="I588" s="61" t="str">
        <f aca="false">IF(TRIM($AD588)="",INDEX(Parametros!$I$20:$I$24,MATCH($H588,Parametros!$H$20:$H$24,0)),TRIM($AD588))</f>
        <v>Tucuman</v>
      </c>
      <c r="J588" s="61" t="str">
        <f aca="false">INDEX(Parametros!$C$95:$C$106,MATCH(TRIM(INDEX(Datos_Origen!$E$2:$E$2459,$Z588)),Parametros!$B$95:$B$106,0))</f>
        <v>Tienda fisica</v>
      </c>
      <c r="K588" s="61" t="str">
        <f aca="false">INDEX(Parametros!$C$48:$C$67,MATCH(TRIM(INDEX(Datos_Origen!$F$2:$F$2459,$Z588)),Parametros!$B$48:$B$67,0))</f>
        <v>Accesorios</v>
      </c>
      <c r="L588" s="61" t="str">
        <f aca="false">$K588&amp;" "&amp;$C588</f>
        <v>Accesorios 2024</v>
      </c>
      <c r="M588" s="61" t="str">
        <f aca="false">TRIM(INDEX(Datos_Origen!$G$2:$G$2459,$Z588))</f>
        <v>Mouse Inalambrico</v>
      </c>
      <c r="N588" s="61" t="str">
        <f aca="false">$M588&amp;" "&amp;$C588</f>
        <v>Mouse Inalambrico 2024</v>
      </c>
      <c r="O588" s="63" t="n">
        <f aca="false">IF(ISTEXT($AC588),VALUE($AC588),$AC588)</f>
        <v>35</v>
      </c>
      <c r="P588" s="64" t="n">
        <f aca="false">INDEX(Datos_Origen!$I$2:$I$2459,$Z588)</f>
        <v>27.44</v>
      </c>
      <c r="Q588" s="64" t="n">
        <f aca="false">INDEX(Datos_Origen!$J$2:$J$2459,$Z588)</f>
        <v>13.44</v>
      </c>
      <c r="R588" s="65" t="n">
        <f aca="false">ROUND($O588*$P588,2)</f>
        <v>960.4</v>
      </c>
      <c r="S588" s="65" t="n">
        <f aca="false">ROUND($O588*$Q588,2)</f>
        <v>470.4</v>
      </c>
      <c r="T588" s="65" t="n">
        <f aca="false">ROUND($R588*SUMIFS(Parametros!$E$28:$E$43,Parametros!$B$28:$B$43,$J588,Parametros!$C$28:$C$43,$C588,Parametros!$D$28:$D$43,$D588),2)</f>
        <v>11.52</v>
      </c>
      <c r="U588" s="65" t="n">
        <f aca="false">$R588-$S588-$T588</f>
        <v>478.48</v>
      </c>
      <c r="V588" s="66" t="n">
        <f aca="false">IFERROR($U588/$R588,0)</f>
        <v>0.498209079550187</v>
      </c>
      <c r="W588" s="67" t="str">
        <f aca="false">IF(AND($V588&gt;=Parametros!$C$8,$R588&gt;=Parametros!$C$12),"Alta rentabilidad",IF(OR($V588&lt;Parametros!$C$11,$R588&lt;Parametros!$C$13),"Revisar","Estandar"))</f>
        <v>Estandar</v>
      </c>
      <c r="X588" s="67" t="str">
        <f aca="false">IF(AND($J588="E-commerce",IFERROR($T588/$R588,0)&gt;Parametros!$C$14),"Alerta","OK")</f>
        <v>OK</v>
      </c>
      <c r="Y588" s="61" t="str">
        <f aca="false">IF($R588&gt;=Parametros!$C$12,"Alto",IF($R588&lt;Parametros!$C$13,"Bajo","Medio"))</f>
        <v>Medio</v>
      </c>
      <c r="Z588" s="61" t="n">
        <v>503</v>
      </c>
      <c r="AA588" s="61" t="str">
        <f aca="false">IF(MATCH($A588,Datos_Origen!$A$2:$A$2459,0)=$Z588,"OK","REVISAR")</f>
        <v>OK</v>
      </c>
      <c r="AB588" s="62" t="n">
        <f aca="false">INDEX(Datos_Origen!$B$2:$B$2459,$Z588)</f>
        <v>45449</v>
      </c>
      <c r="AC588" s="61" t="n">
        <f aca="false">INDEX(Datos_Origen!$H$2:$H$2459,$Z588)</f>
        <v>35</v>
      </c>
      <c r="AD588" s="61" t="str">
        <f aca="false">INDEX(Datos_Origen!$D$2:$D$2459,$Z588)&amp;""</f>
        <v>Tucuman</v>
      </c>
    </row>
    <row r="589" customFormat="false" ht="15" hidden="false" customHeight="false" outlineLevel="0" collapsed="false">
      <c r="A589" s="61" t="n">
        <f aca="false">INDEX(Datos_Origen!$A$2:$A$2459,$Z589)</f>
        <v>588</v>
      </c>
      <c r="B589" s="62" t="n">
        <f aca="false">IF(ISNUMBER($AB589),$AB589,IF(MID($AB589,5,1)="-",DATE(VALUE(LEFT($AB589,4)),VALUE(MID($AB589,6,2)),VALUE(RIGHT($AB589,2))),DATE(VALUE(RIGHT($AB589,4)),VALUE(MID($AB589,4,2)),VALUE(LEFT($AB589,2)))))</f>
        <v>45456</v>
      </c>
      <c r="C589" s="61" t="n">
        <f aca="false">YEAR($B589)</f>
        <v>2024</v>
      </c>
      <c r="D589" s="61" t="str">
        <f aca="false">"Q"&amp;ROUNDUP(MONTH($B589)/3,0)</f>
        <v>Q2</v>
      </c>
      <c r="E589" s="61" t="n">
        <f aca="false">MONTH($B589)</f>
        <v>6</v>
      </c>
      <c r="F589" s="61" t="str">
        <f aca="false">INDEX(Parametros!$I$5:$I$16,$E589)</f>
        <v>Jun</v>
      </c>
      <c r="G589" s="61" t="str">
        <f aca="false">TEXT($C589,"0000")&amp;"-"&amp;TEXT($E589,"00")</f>
        <v>2024-06</v>
      </c>
      <c r="H589" s="61" t="str">
        <f aca="false">INDEX(Parametros!$C$71:$C$91,MATCH(TRIM(INDEX(Datos_Origen!$C$2:$C$2459,$Z589)),Parametros!$B$71:$B$91,0))</f>
        <v>NOA</v>
      </c>
      <c r="I589" s="61" t="str">
        <f aca="false">IF(TRIM($AD589)="",INDEX(Parametros!$I$20:$I$24,MATCH($H589,Parametros!$H$20:$H$24,0)),TRIM($AD589))</f>
        <v>Tucuman</v>
      </c>
      <c r="J589" s="61" t="str">
        <f aca="false">INDEX(Parametros!$C$95:$C$106,MATCH(TRIM(INDEX(Datos_Origen!$E$2:$E$2459,$Z589)),Parametros!$B$95:$B$106,0))</f>
        <v>E-commerce</v>
      </c>
      <c r="K589" s="61" t="str">
        <f aca="false">INDEX(Parametros!$C$48:$C$67,MATCH(TRIM(INDEX(Datos_Origen!$F$2:$F$2459,$Z589)),Parametros!$B$48:$B$67,0))</f>
        <v>Accesorios</v>
      </c>
      <c r="L589" s="61" t="str">
        <f aca="false">$K589&amp;" "&amp;$C589</f>
        <v>Accesorios 2024</v>
      </c>
      <c r="M589" s="61" t="str">
        <f aca="false">TRIM(INDEX(Datos_Origen!$G$2:$G$2459,$Z589))</f>
        <v>Mouse Inalambrico</v>
      </c>
      <c r="N589" s="61" t="str">
        <f aca="false">$M589&amp;" "&amp;$C589</f>
        <v>Mouse Inalambrico 2024</v>
      </c>
      <c r="O589" s="63" t="n">
        <f aca="false">IF(ISTEXT($AC589),VALUE($AC589),$AC589)</f>
        <v>11</v>
      </c>
      <c r="P589" s="64" t="n">
        <f aca="false">INDEX(Datos_Origen!$I$2:$I$2459,$Z589)</f>
        <v>27.44</v>
      </c>
      <c r="Q589" s="64" t="n">
        <f aca="false">INDEX(Datos_Origen!$J$2:$J$2459,$Z589)</f>
        <v>13.44</v>
      </c>
      <c r="R589" s="65" t="n">
        <f aca="false">ROUND($O589*$P589,2)</f>
        <v>301.84</v>
      </c>
      <c r="S589" s="65" t="n">
        <f aca="false">ROUND($O589*$Q589,2)</f>
        <v>147.84</v>
      </c>
      <c r="T589" s="65" t="n">
        <f aca="false">ROUND($R589*SUMIFS(Parametros!$E$28:$E$43,Parametros!$B$28:$B$43,$J589,Parametros!$C$28:$C$43,$C589,Parametros!$D$28:$D$43,$D589),2)</f>
        <v>13.28</v>
      </c>
      <c r="U589" s="65" t="n">
        <f aca="false">$R589-$S589-$T589</f>
        <v>140.72</v>
      </c>
      <c r="V589" s="66" t="n">
        <f aca="false">IFERROR($U589/$R589,0)</f>
        <v>0.466207262125629</v>
      </c>
      <c r="W589" s="67" t="str">
        <f aca="false">IF(AND($V589&gt;=Parametros!$C$8,$R589&gt;=Parametros!$C$12),"Alta rentabilidad",IF(OR($V589&lt;Parametros!$C$11,$R589&lt;Parametros!$C$13),"Revisar","Estandar"))</f>
        <v>Estandar</v>
      </c>
      <c r="X589" s="67" t="str">
        <f aca="false">IF(AND($J589="E-commerce",IFERROR($T589/$R589,0)&gt;Parametros!$C$14),"Alerta","OK")</f>
        <v>OK</v>
      </c>
      <c r="Y589" s="61" t="str">
        <f aca="false">IF($R589&gt;=Parametros!$C$12,"Alto",IF($R589&lt;Parametros!$C$13,"Bajo","Medio"))</f>
        <v>Medio</v>
      </c>
      <c r="Z589" s="61" t="n">
        <v>2438</v>
      </c>
      <c r="AA589" s="61" t="str">
        <f aca="false">IF(MATCH($A589,Datos_Origen!$A$2:$A$2459,0)=$Z589,"OK","REVISAR")</f>
        <v>OK</v>
      </c>
      <c r="AB589" s="62" t="n">
        <f aca="false">INDEX(Datos_Origen!$B$2:$B$2459,$Z589)</f>
        <v>45456</v>
      </c>
      <c r="AC589" s="61" t="n">
        <f aca="false">INDEX(Datos_Origen!$H$2:$H$2459,$Z589)</f>
        <v>11</v>
      </c>
      <c r="AD589" s="61" t="str">
        <f aca="false">INDEX(Datos_Origen!$D$2:$D$2459,$Z589)&amp;""</f>
        <v>Tucuman</v>
      </c>
    </row>
    <row r="590" customFormat="false" ht="15" hidden="false" customHeight="false" outlineLevel="0" collapsed="false">
      <c r="A590" s="61" t="n">
        <f aca="false">INDEX(Datos_Origen!$A$2:$A$2459,$Z590)</f>
        <v>589</v>
      </c>
      <c r="B590" s="62" t="n">
        <f aca="false">IF(ISNUMBER($AB590),$AB590,IF(MID($AB590,5,1)="-",DATE(VALUE(LEFT($AB590,4)),VALUE(MID($AB590,6,2)),VALUE(RIGHT($AB590,2))),DATE(VALUE(RIGHT($AB590,4)),VALUE(MID($AB590,4,2)),VALUE(LEFT($AB590,2)))))</f>
        <v>45463</v>
      </c>
      <c r="C590" s="61" t="n">
        <f aca="false">YEAR($B590)</f>
        <v>2024</v>
      </c>
      <c r="D590" s="61" t="str">
        <f aca="false">"Q"&amp;ROUNDUP(MONTH($B590)/3,0)</f>
        <v>Q2</v>
      </c>
      <c r="E590" s="61" t="n">
        <f aca="false">MONTH($B590)</f>
        <v>6</v>
      </c>
      <c r="F590" s="61" t="str">
        <f aca="false">INDEX(Parametros!$I$5:$I$16,$E590)</f>
        <v>Jun</v>
      </c>
      <c r="G590" s="61" t="str">
        <f aca="false">TEXT($C590,"0000")&amp;"-"&amp;TEXT($E590,"00")</f>
        <v>2024-06</v>
      </c>
      <c r="H590" s="61" t="str">
        <f aca="false">INDEX(Parametros!$C$71:$C$91,MATCH(TRIM(INDEX(Datos_Origen!$C$2:$C$2459,$Z590)),Parametros!$B$71:$B$91,0))</f>
        <v>NOA</v>
      </c>
      <c r="I590" s="61" t="str">
        <f aca="false">IF(TRIM($AD590)="",INDEX(Parametros!$I$20:$I$24,MATCH($H590,Parametros!$H$20:$H$24,0)),TRIM($AD590))</f>
        <v>Tucuman</v>
      </c>
      <c r="J590" s="61" t="str">
        <f aca="false">INDEX(Parametros!$C$95:$C$106,MATCH(TRIM(INDEX(Datos_Origen!$E$2:$E$2459,$Z590)),Parametros!$B$95:$B$106,0))</f>
        <v>Tienda fisica</v>
      </c>
      <c r="K590" s="61" t="str">
        <f aca="false">INDEX(Parametros!$C$48:$C$67,MATCH(TRIM(INDEX(Datos_Origen!$F$2:$F$2459,$Z590)),Parametros!$B$48:$B$67,0))</f>
        <v>Accesorios</v>
      </c>
      <c r="L590" s="61" t="str">
        <f aca="false">$K590&amp;" "&amp;$C590</f>
        <v>Accesorios 2024</v>
      </c>
      <c r="M590" s="61" t="str">
        <f aca="false">TRIM(INDEX(Datos_Origen!$G$2:$G$2459,$Z590))</f>
        <v>Teclado Mecanico</v>
      </c>
      <c r="N590" s="61" t="str">
        <f aca="false">$M590&amp;" "&amp;$C590</f>
        <v>Teclado Mecanico 2024</v>
      </c>
      <c r="O590" s="63" t="n">
        <f aca="false">IF(ISTEXT($AC590),VALUE($AC590),$AC590)</f>
        <v>31</v>
      </c>
      <c r="P590" s="64" t="n">
        <f aca="false">INDEX(Datos_Origen!$I$2:$I$2459,$Z590)</f>
        <v>93.1</v>
      </c>
      <c r="Q590" s="64" t="n">
        <f aca="false">INDEX(Datos_Origen!$J$2:$J$2459,$Z590)</f>
        <v>47.98</v>
      </c>
      <c r="R590" s="65" t="n">
        <f aca="false">ROUND($O590*$P590,2)</f>
        <v>2886.1</v>
      </c>
      <c r="S590" s="65" t="n">
        <f aca="false">ROUND($O590*$Q590,2)</f>
        <v>1487.38</v>
      </c>
      <c r="T590" s="65" t="n">
        <f aca="false">ROUND($R590*SUMIFS(Parametros!$E$28:$E$43,Parametros!$B$28:$B$43,$J590,Parametros!$C$28:$C$43,$C590,Parametros!$D$28:$D$43,$D590),2)</f>
        <v>34.63</v>
      </c>
      <c r="U590" s="65" t="n">
        <f aca="false">$R590-$S590-$T590</f>
        <v>1364.09</v>
      </c>
      <c r="V590" s="66" t="n">
        <f aca="false">IFERROR($U590/$R590,0)</f>
        <v>0.472641280620907</v>
      </c>
      <c r="W590" s="67" t="str">
        <f aca="false">IF(AND($V590&gt;=Parametros!$C$8,$R590&gt;=Parametros!$C$12),"Alta rentabilidad",IF(OR($V590&lt;Parametros!$C$11,$R590&lt;Parametros!$C$13),"Revisar","Estandar"))</f>
        <v>Estandar</v>
      </c>
      <c r="X590" s="67" t="str">
        <f aca="false">IF(AND($J590="E-commerce",IFERROR($T590/$R590,0)&gt;Parametros!$C$14),"Alerta","OK")</f>
        <v>OK</v>
      </c>
      <c r="Y590" s="61" t="str">
        <f aca="false">IF($R590&gt;=Parametros!$C$12,"Alto",IF($R590&lt;Parametros!$C$13,"Bajo","Medio"))</f>
        <v>Medio</v>
      </c>
      <c r="Z590" s="61" t="n">
        <v>155</v>
      </c>
      <c r="AA590" s="61" t="str">
        <f aca="false">IF(MATCH($A590,Datos_Origen!$A$2:$A$2459,0)=$Z590,"OK","REVISAR")</f>
        <v>OK</v>
      </c>
      <c r="AB590" s="61" t="str">
        <f aca="false">INDEX(Datos_Origen!$B$2:$B$2459,$Z590)</f>
        <v>20/06/2024</v>
      </c>
      <c r="AC590" s="61" t="str">
        <f aca="false">INDEX(Datos_Origen!$H$2:$H$2459,$Z590)</f>
        <v>31</v>
      </c>
      <c r="AD590" s="61" t="str">
        <f aca="false">INDEX(Datos_Origen!$D$2:$D$2459,$Z590)&amp;""</f>
        <v>Tucuman</v>
      </c>
    </row>
    <row r="591" customFormat="false" ht="15" hidden="false" customHeight="false" outlineLevel="0" collapsed="false">
      <c r="A591" s="61" t="n">
        <f aca="false">INDEX(Datos_Origen!$A$2:$A$2459,$Z591)</f>
        <v>590</v>
      </c>
      <c r="B591" s="62" t="n">
        <f aca="false">IF(ISNUMBER($AB591),$AB591,IF(MID($AB591,5,1)="-",DATE(VALUE(LEFT($AB591,4)),VALUE(MID($AB591,6,2)),VALUE(RIGHT($AB591,2))),DATE(VALUE(RIGHT($AB591,4)),VALUE(MID($AB591,4,2)),VALUE(LEFT($AB591,2)))))</f>
        <v>45470</v>
      </c>
      <c r="C591" s="61" t="n">
        <f aca="false">YEAR($B591)</f>
        <v>2024</v>
      </c>
      <c r="D591" s="61" t="str">
        <f aca="false">"Q"&amp;ROUNDUP(MONTH($B591)/3,0)</f>
        <v>Q2</v>
      </c>
      <c r="E591" s="61" t="n">
        <f aca="false">MONTH($B591)</f>
        <v>6</v>
      </c>
      <c r="F591" s="61" t="str">
        <f aca="false">INDEX(Parametros!$I$5:$I$16,$E591)</f>
        <v>Jun</v>
      </c>
      <c r="G591" s="61" t="str">
        <f aca="false">TEXT($C591,"0000")&amp;"-"&amp;TEXT($E591,"00")</f>
        <v>2024-06</v>
      </c>
      <c r="H591" s="61" t="str">
        <f aca="false">INDEX(Parametros!$C$71:$C$91,MATCH(TRIM(INDEX(Datos_Origen!$C$2:$C$2459,$Z591)),Parametros!$B$71:$B$91,0))</f>
        <v>NOA</v>
      </c>
      <c r="I591" s="61" t="str">
        <f aca="false">IF(TRIM($AD591)="",INDEX(Parametros!$I$20:$I$24,MATCH($H591,Parametros!$H$20:$H$24,0)),TRIM($AD591))</f>
        <v>Tucuman</v>
      </c>
      <c r="J591" s="61" t="str">
        <f aca="false">INDEX(Parametros!$C$95:$C$106,MATCH(TRIM(INDEX(Datos_Origen!$E$2:$E$2459,$Z591)),Parametros!$B$95:$B$106,0))</f>
        <v>E-commerce</v>
      </c>
      <c r="K591" s="61" t="str">
        <f aca="false">INDEX(Parametros!$C$48:$C$67,MATCH(TRIM(INDEX(Datos_Origen!$F$2:$F$2459,$Z591)),Parametros!$B$48:$B$67,0))</f>
        <v>Accesorios</v>
      </c>
      <c r="L591" s="61" t="str">
        <f aca="false">$K591&amp;" "&amp;$C591</f>
        <v>Accesorios 2024</v>
      </c>
      <c r="M591" s="61" t="str">
        <f aca="false">TRIM(INDEX(Datos_Origen!$G$2:$G$2459,$Z591))</f>
        <v>Teclado Mecanico</v>
      </c>
      <c r="N591" s="61" t="str">
        <f aca="false">$M591&amp;" "&amp;$C591</f>
        <v>Teclado Mecanico 2024</v>
      </c>
      <c r="O591" s="63" t="n">
        <f aca="false">IF(ISTEXT($AC591),VALUE($AC591),$AC591)</f>
        <v>14</v>
      </c>
      <c r="P591" s="64" t="n">
        <f aca="false">INDEX(Datos_Origen!$I$2:$I$2459,$Z591)</f>
        <v>93.1</v>
      </c>
      <c r="Q591" s="64" t="n">
        <f aca="false">INDEX(Datos_Origen!$J$2:$J$2459,$Z591)</f>
        <v>47.98</v>
      </c>
      <c r="R591" s="65" t="n">
        <f aca="false">ROUND($O591*$P591,2)</f>
        <v>1303.4</v>
      </c>
      <c r="S591" s="65" t="n">
        <f aca="false">ROUND($O591*$Q591,2)</f>
        <v>671.72</v>
      </c>
      <c r="T591" s="65" t="n">
        <f aca="false">ROUND($R591*SUMIFS(Parametros!$E$28:$E$43,Parametros!$B$28:$B$43,$J591,Parametros!$C$28:$C$43,$C591,Parametros!$D$28:$D$43,$D591),2)</f>
        <v>57.35</v>
      </c>
      <c r="U591" s="65" t="n">
        <f aca="false">$R591-$S591-$T591</f>
        <v>574.33</v>
      </c>
      <c r="V591" s="66" t="n">
        <f aca="false">IFERROR($U591/$R591,0)</f>
        <v>0.440639864968544</v>
      </c>
      <c r="W591" s="67" t="str">
        <f aca="false">IF(AND($V591&gt;=Parametros!$C$8,$R591&gt;=Parametros!$C$12),"Alta rentabilidad",IF(OR($V591&lt;Parametros!$C$11,$R591&lt;Parametros!$C$13),"Revisar","Estandar"))</f>
        <v>Estandar</v>
      </c>
      <c r="X591" s="67" t="str">
        <f aca="false">IF(AND($J591="E-commerce",IFERROR($T591/$R591,0)&gt;Parametros!$C$14),"Alerta","OK")</f>
        <v>OK</v>
      </c>
      <c r="Y591" s="61" t="str">
        <f aca="false">IF($R591&gt;=Parametros!$C$12,"Alto",IF($R591&lt;Parametros!$C$13,"Bajo","Medio"))</f>
        <v>Medio</v>
      </c>
      <c r="Z591" s="61" t="n">
        <v>2080</v>
      </c>
      <c r="AA591" s="61" t="str">
        <f aca="false">IF(MATCH($A591,Datos_Origen!$A$2:$A$2459,0)=$Z591,"OK","REVISAR")</f>
        <v>OK</v>
      </c>
      <c r="AB591" s="62" t="n">
        <f aca="false">INDEX(Datos_Origen!$B$2:$B$2459,$Z591)</f>
        <v>45470</v>
      </c>
      <c r="AC591" s="61" t="n">
        <f aca="false">INDEX(Datos_Origen!$H$2:$H$2459,$Z591)</f>
        <v>14</v>
      </c>
      <c r="AD591" s="61" t="str">
        <f aca="false">INDEX(Datos_Origen!$D$2:$D$2459,$Z591)&amp;""</f>
        <v>Tucuman</v>
      </c>
    </row>
    <row r="592" customFormat="false" ht="15" hidden="false" customHeight="false" outlineLevel="0" collapsed="false">
      <c r="A592" s="61" t="n">
        <f aca="false">INDEX(Datos_Origen!$A$2:$A$2459,$Z592)</f>
        <v>591</v>
      </c>
      <c r="B592" s="62" t="n">
        <f aca="false">IF(ISNUMBER($AB592),$AB592,IF(MID($AB592,5,1)="-",DATE(VALUE(LEFT($AB592,4)),VALUE(MID($AB592,6,2)),VALUE(RIGHT($AB592,2))),DATE(VALUE(RIGHT($AB592,4)),VALUE(MID($AB592,4,2)),VALUE(LEFT($AB592,2)))))</f>
        <v>45450</v>
      </c>
      <c r="C592" s="61" t="n">
        <f aca="false">YEAR($B592)</f>
        <v>2024</v>
      </c>
      <c r="D592" s="61" t="str">
        <f aca="false">"Q"&amp;ROUNDUP(MONTH($B592)/3,0)</f>
        <v>Q2</v>
      </c>
      <c r="E592" s="61" t="n">
        <f aca="false">MONTH($B592)</f>
        <v>6</v>
      </c>
      <c r="F592" s="61" t="str">
        <f aca="false">INDEX(Parametros!$I$5:$I$16,$E592)</f>
        <v>Jun</v>
      </c>
      <c r="G592" s="61" t="str">
        <f aca="false">TEXT($C592,"0000")&amp;"-"&amp;TEXT($E592,"00")</f>
        <v>2024-06</v>
      </c>
      <c r="H592" s="61" t="str">
        <f aca="false">INDEX(Parametros!$C$71:$C$91,MATCH(TRIM(INDEX(Datos_Origen!$C$2:$C$2459,$Z592)),Parametros!$B$71:$B$91,0))</f>
        <v>NOA</v>
      </c>
      <c r="I592" s="61" t="str">
        <f aca="false">IF(TRIM($AD592)="",INDEX(Parametros!$I$20:$I$24,MATCH($H592,Parametros!$H$20:$H$24,0)),TRIM($AD592))</f>
        <v>Tucuman</v>
      </c>
      <c r="J592" s="61" t="str">
        <f aca="false">INDEX(Parametros!$C$95:$C$106,MATCH(TRIM(INDEX(Datos_Origen!$E$2:$E$2459,$Z592)),Parametros!$B$95:$B$106,0))</f>
        <v>Tienda fisica</v>
      </c>
      <c r="K592" s="61" t="str">
        <f aca="false">INDEX(Parametros!$C$48:$C$67,MATCH(TRIM(INDEX(Datos_Origen!$F$2:$F$2459,$Z592)),Parametros!$B$48:$B$67,0))</f>
        <v>Accesorios</v>
      </c>
      <c r="L592" s="61" t="str">
        <f aca="false">$K592&amp;" "&amp;$C592</f>
        <v>Accesorios 2024</v>
      </c>
      <c r="M592" s="61" t="str">
        <f aca="false">TRIM(INDEX(Datos_Origen!$G$2:$G$2459,$Z592))</f>
        <v>Webcam Full HD</v>
      </c>
      <c r="N592" s="61" t="str">
        <f aca="false">$M592&amp;" "&amp;$C592</f>
        <v>Webcam Full HD 2024</v>
      </c>
      <c r="O592" s="63" t="n">
        <f aca="false">IF(ISTEXT($AC592),VALUE($AC592),$AC592)</f>
        <v>32</v>
      </c>
      <c r="P592" s="64" t="n">
        <f aca="false">INDEX(Datos_Origen!$I$2:$I$2459,$Z592)</f>
        <v>63.7</v>
      </c>
      <c r="Q592" s="64" t="n">
        <f aca="false">INDEX(Datos_Origen!$J$2:$J$2459,$Z592)</f>
        <v>35.43</v>
      </c>
      <c r="R592" s="65" t="n">
        <f aca="false">ROUND($O592*$P592,2)</f>
        <v>2038.4</v>
      </c>
      <c r="S592" s="65" t="n">
        <f aca="false">ROUND($O592*$Q592,2)</f>
        <v>1133.76</v>
      </c>
      <c r="T592" s="65" t="n">
        <f aca="false">ROUND($R592*SUMIFS(Parametros!$E$28:$E$43,Parametros!$B$28:$B$43,$J592,Parametros!$C$28:$C$43,$C592,Parametros!$D$28:$D$43,$D592),2)</f>
        <v>24.46</v>
      </c>
      <c r="U592" s="65" t="n">
        <f aca="false">$R592-$S592-$T592</f>
        <v>880.18</v>
      </c>
      <c r="V592" s="66" t="n">
        <f aca="false">IFERROR($U592/$R592,0)</f>
        <v>0.431799450549451</v>
      </c>
      <c r="W592" s="67" t="str">
        <f aca="false">IF(AND($V592&gt;=Parametros!$C$8,$R592&gt;=Parametros!$C$12),"Alta rentabilidad",IF(OR($V592&lt;Parametros!$C$11,$R592&lt;Parametros!$C$13),"Revisar","Estandar"))</f>
        <v>Estandar</v>
      </c>
      <c r="X592" s="67" t="str">
        <f aca="false">IF(AND($J592="E-commerce",IFERROR($T592/$R592,0)&gt;Parametros!$C$14),"Alerta","OK")</f>
        <v>OK</v>
      </c>
      <c r="Y592" s="61" t="str">
        <f aca="false">IF($R592&gt;=Parametros!$C$12,"Alto",IF($R592&lt;Parametros!$C$13,"Bajo","Medio"))</f>
        <v>Medio</v>
      </c>
      <c r="Z592" s="61" t="n">
        <v>1055</v>
      </c>
      <c r="AA592" s="61" t="str">
        <f aca="false">IF(MATCH($A592,Datos_Origen!$A$2:$A$2459,0)=$Z592,"OK","REVISAR")</f>
        <v>OK</v>
      </c>
      <c r="AB592" s="61" t="str">
        <f aca="false">INDEX(Datos_Origen!$B$2:$B$2459,$Z592)</f>
        <v>2024-06-07</v>
      </c>
      <c r="AC592" s="61" t="str">
        <f aca="false">INDEX(Datos_Origen!$H$2:$H$2459,$Z592)</f>
        <v>32</v>
      </c>
      <c r="AD592" s="61" t="str">
        <f aca="false">INDEX(Datos_Origen!$D$2:$D$2459,$Z592)&amp;""</f>
        <v>Tucuman</v>
      </c>
    </row>
    <row r="593" customFormat="false" ht="15" hidden="false" customHeight="false" outlineLevel="0" collapsed="false">
      <c r="A593" s="61" t="n">
        <f aca="false">INDEX(Datos_Origen!$A$2:$A$2459,$Z593)</f>
        <v>592</v>
      </c>
      <c r="B593" s="62" t="n">
        <f aca="false">IF(ISNUMBER($AB593),$AB593,IF(MID($AB593,5,1)="-",DATE(VALUE(LEFT($AB593,4)),VALUE(MID($AB593,6,2)),VALUE(RIGHT($AB593,2))),DATE(VALUE(RIGHT($AB593,4)),VALUE(MID($AB593,4,2)),VALUE(LEFT($AB593,2)))))</f>
        <v>45457</v>
      </c>
      <c r="C593" s="61" t="n">
        <f aca="false">YEAR($B593)</f>
        <v>2024</v>
      </c>
      <c r="D593" s="61" t="str">
        <f aca="false">"Q"&amp;ROUNDUP(MONTH($B593)/3,0)</f>
        <v>Q2</v>
      </c>
      <c r="E593" s="61" t="n">
        <f aca="false">MONTH($B593)</f>
        <v>6</v>
      </c>
      <c r="F593" s="61" t="str">
        <f aca="false">INDEX(Parametros!$I$5:$I$16,$E593)</f>
        <v>Jun</v>
      </c>
      <c r="G593" s="61" t="str">
        <f aca="false">TEXT($C593,"0000")&amp;"-"&amp;TEXT($E593,"00")</f>
        <v>2024-06</v>
      </c>
      <c r="H593" s="61" t="str">
        <f aca="false">INDEX(Parametros!$C$71:$C$91,MATCH(TRIM(INDEX(Datos_Origen!$C$2:$C$2459,$Z593)),Parametros!$B$71:$B$91,0))</f>
        <v>NOA</v>
      </c>
      <c r="I593" s="61" t="str">
        <f aca="false">IF(TRIM($AD593)="",INDEX(Parametros!$I$20:$I$24,MATCH($H593,Parametros!$H$20:$H$24,0)),TRIM($AD593))</f>
        <v>Tucuman</v>
      </c>
      <c r="J593" s="61" t="str">
        <f aca="false">INDEX(Parametros!$C$95:$C$106,MATCH(TRIM(INDEX(Datos_Origen!$E$2:$E$2459,$Z593)),Parametros!$B$95:$B$106,0))</f>
        <v>E-commerce</v>
      </c>
      <c r="K593" s="61" t="str">
        <f aca="false">INDEX(Parametros!$C$48:$C$67,MATCH(TRIM(INDEX(Datos_Origen!$F$2:$F$2459,$Z593)),Parametros!$B$48:$B$67,0))</f>
        <v>Accesorios</v>
      </c>
      <c r="L593" s="61" t="str">
        <f aca="false">$K593&amp;" "&amp;$C593</f>
        <v>Accesorios 2024</v>
      </c>
      <c r="M593" s="61" t="str">
        <f aca="false">TRIM(INDEX(Datos_Origen!$G$2:$G$2459,$Z593))</f>
        <v>Webcam Full HD</v>
      </c>
      <c r="N593" s="61" t="str">
        <f aca="false">$M593&amp;" "&amp;$C593</f>
        <v>Webcam Full HD 2024</v>
      </c>
      <c r="O593" s="63" t="n">
        <f aca="false">IF(ISTEXT($AC593),VALUE($AC593),$AC593)</f>
        <v>11</v>
      </c>
      <c r="P593" s="64" t="n">
        <f aca="false">INDEX(Datos_Origen!$I$2:$I$2459,$Z593)</f>
        <v>63.7</v>
      </c>
      <c r="Q593" s="64" t="n">
        <f aca="false">INDEX(Datos_Origen!$J$2:$J$2459,$Z593)</f>
        <v>35.43</v>
      </c>
      <c r="R593" s="65" t="n">
        <f aca="false">ROUND($O593*$P593,2)</f>
        <v>700.7</v>
      </c>
      <c r="S593" s="65" t="n">
        <f aca="false">ROUND($O593*$Q593,2)</f>
        <v>389.73</v>
      </c>
      <c r="T593" s="65" t="n">
        <f aca="false">ROUND($R593*SUMIFS(Parametros!$E$28:$E$43,Parametros!$B$28:$B$43,$J593,Parametros!$C$28:$C$43,$C593,Parametros!$D$28:$D$43,$D593),2)</f>
        <v>30.83</v>
      </c>
      <c r="U593" s="65" t="n">
        <f aca="false">$R593-$S593-$T593</f>
        <v>280.14</v>
      </c>
      <c r="V593" s="66" t="n">
        <f aca="false">IFERROR($U593/$R593,0)</f>
        <v>0.3998001998002</v>
      </c>
      <c r="W593" s="67" t="str">
        <f aca="false">IF(AND($V593&gt;=Parametros!$C$8,$R593&gt;=Parametros!$C$12),"Alta rentabilidad",IF(OR($V593&lt;Parametros!$C$11,$R593&lt;Parametros!$C$13),"Revisar","Estandar"))</f>
        <v>Estandar</v>
      </c>
      <c r="X593" s="67" t="str">
        <f aca="false">IF(AND($J593="E-commerce",IFERROR($T593/$R593,0)&gt;Parametros!$C$14),"Alerta","OK")</f>
        <v>OK</v>
      </c>
      <c r="Y593" s="61" t="str">
        <f aca="false">IF($R593&gt;=Parametros!$C$12,"Alto",IF($R593&lt;Parametros!$C$13,"Bajo","Medio"))</f>
        <v>Medio</v>
      </c>
      <c r="Z593" s="61" t="n">
        <v>546</v>
      </c>
      <c r="AA593" s="61" t="str">
        <f aca="false">IF(MATCH($A593,Datos_Origen!$A$2:$A$2459,0)=$Z593,"OK","REVISAR")</f>
        <v>OK</v>
      </c>
      <c r="AB593" s="62" t="n">
        <f aca="false">INDEX(Datos_Origen!$B$2:$B$2459,$Z593)</f>
        <v>45457</v>
      </c>
      <c r="AC593" s="61" t="str">
        <f aca="false">INDEX(Datos_Origen!$H$2:$H$2459,$Z593)</f>
        <v>11</v>
      </c>
      <c r="AD593" s="61" t="str">
        <f aca="false">INDEX(Datos_Origen!$D$2:$D$2459,$Z593)&amp;""</f>
        <v>Tucuman</v>
      </c>
    </row>
    <row r="594" customFormat="false" ht="15" hidden="false" customHeight="false" outlineLevel="0" collapsed="false">
      <c r="A594" s="61" t="n">
        <f aca="false">INDEX(Datos_Origen!$A$2:$A$2459,$Z594)</f>
        <v>593</v>
      </c>
      <c r="B594" s="62" t="n">
        <f aca="false">IF(ISNUMBER($AB594),$AB594,IF(MID($AB594,5,1)="-",DATE(VALUE(LEFT($AB594,4)),VALUE(MID($AB594,6,2)),VALUE(RIGHT($AB594,2))),DATE(VALUE(RIGHT($AB594,4)),VALUE(MID($AB594,4,2)),VALUE(LEFT($AB594,2)))))</f>
        <v>45464</v>
      </c>
      <c r="C594" s="61" t="n">
        <f aca="false">YEAR($B594)</f>
        <v>2024</v>
      </c>
      <c r="D594" s="61" t="str">
        <f aca="false">"Q"&amp;ROUNDUP(MONTH($B594)/3,0)</f>
        <v>Q2</v>
      </c>
      <c r="E594" s="61" t="n">
        <f aca="false">MONTH($B594)</f>
        <v>6</v>
      </c>
      <c r="F594" s="61" t="str">
        <f aca="false">INDEX(Parametros!$I$5:$I$16,$E594)</f>
        <v>Jun</v>
      </c>
      <c r="G594" s="61" t="str">
        <f aca="false">TEXT($C594,"0000")&amp;"-"&amp;TEXT($E594,"00")</f>
        <v>2024-06</v>
      </c>
      <c r="H594" s="61" t="str">
        <f aca="false">INDEX(Parametros!$C$71:$C$91,MATCH(TRIM(INDEX(Datos_Origen!$C$2:$C$2459,$Z594)),Parametros!$B$71:$B$91,0))</f>
        <v>NOA</v>
      </c>
      <c r="I594" s="61" t="str">
        <f aca="false">IF(TRIM($AD594)="",INDEX(Parametros!$I$20:$I$24,MATCH($H594,Parametros!$H$20:$H$24,0)),TRIM($AD594))</f>
        <v>Tucuman</v>
      </c>
      <c r="J594" s="61" t="str">
        <f aca="false">INDEX(Parametros!$C$95:$C$106,MATCH(TRIM(INDEX(Datos_Origen!$E$2:$E$2459,$Z594)),Parametros!$B$95:$B$106,0))</f>
        <v>Tienda fisica</v>
      </c>
      <c r="K594" s="61" t="str">
        <f aca="false">INDEX(Parametros!$C$48:$C$67,MATCH(TRIM(INDEX(Datos_Origen!$F$2:$F$2459,$Z594)),Parametros!$B$48:$B$67,0))</f>
        <v>Audio</v>
      </c>
      <c r="L594" s="61" t="str">
        <f aca="false">$K594&amp;" "&amp;$C594</f>
        <v>Audio 2024</v>
      </c>
      <c r="M594" s="61" t="str">
        <f aca="false">TRIM(INDEX(Datos_Origen!$G$2:$G$2459,$Z594))</f>
        <v>Auriculares BT Pro</v>
      </c>
      <c r="N594" s="61" t="str">
        <f aca="false">$M594&amp;" "&amp;$C594</f>
        <v>Auriculares BT Pro 2024</v>
      </c>
      <c r="O594" s="63" t="n">
        <f aca="false">IF(ISTEXT($AC594),VALUE($AC594),$AC594)</f>
        <v>15</v>
      </c>
      <c r="P594" s="64" t="n">
        <f aca="false">INDEX(Datos_Origen!$I$2:$I$2459,$Z594)</f>
        <v>117.6</v>
      </c>
      <c r="Q594" s="64" t="n">
        <f aca="false">INDEX(Datos_Origen!$J$2:$J$2459,$Z594)</f>
        <v>63.6</v>
      </c>
      <c r="R594" s="65" t="n">
        <f aca="false">ROUND($O594*$P594,2)</f>
        <v>1764</v>
      </c>
      <c r="S594" s="65" t="n">
        <f aca="false">ROUND($O594*$Q594,2)</f>
        <v>954</v>
      </c>
      <c r="T594" s="65" t="n">
        <f aca="false">ROUND($R594*SUMIFS(Parametros!$E$28:$E$43,Parametros!$B$28:$B$43,$J594,Parametros!$C$28:$C$43,$C594,Parametros!$D$28:$D$43,$D594),2)</f>
        <v>21.17</v>
      </c>
      <c r="U594" s="65" t="n">
        <f aca="false">$R594-$S594-$T594</f>
        <v>788.83</v>
      </c>
      <c r="V594" s="66" t="n">
        <f aca="false">IFERROR($U594/$R594,0)</f>
        <v>0.44718253968254</v>
      </c>
      <c r="W594" s="67" t="str">
        <f aca="false">IF(AND($V594&gt;=Parametros!$C$8,$R594&gt;=Parametros!$C$12),"Alta rentabilidad",IF(OR($V594&lt;Parametros!$C$11,$R594&lt;Parametros!$C$13),"Revisar","Estandar"))</f>
        <v>Estandar</v>
      </c>
      <c r="X594" s="67" t="str">
        <f aca="false">IF(AND($J594="E-commerce",IFERROR($T594/$R594,0)&gt;Parametros!$C$14),"Alerta","OK")</f>
        <v>OK</v>
      </c>
      <c r="Y594" s="61" t="str">
        <f aca="false">IF($R594&gt;=Parametros!$C$12,"Alto",IF($R594&lt;Parametros!$C$13,"Bajo","Medio"))</f>
        <v>Medio</v>
      </c>
      <c r="Z594" s="61" t="n">
        <v>41</v>
      </c>
      <c r="AA594" s="61" t="str">
        <f aca="false">IF(MATCH($A594,Datos_Origen!$A$2:$A$2459,0)=$Z594,"OK","REVISAR")</f>
        <v>OK</v>
      </c>
      <c r="AB594" s="61" t="str">
        <f aca="false">INDEX(Datos_Origen!$B$2:$B$2459,$Z594)</f>
        <v>21/06/2024</v>
      </c>
      <c r="AC594" s="61" t="str">
        <f aca="false">INDEX(Datos_Origen!$H$2:$H$2459,$Z594)</f>
        <v>15</v>
      </c>
      <c r="AD594" s="61" t="str">
        <f aca="false">INDEX(Datos_Origen!$D$2:$D$2459,$Z594)&amp;""</f>
        <v>Tucuman</v>
      </c>
    </row>
    <row r="595" customFormat="false" ht="15" hidden="false" customHeight="false" outlineLevel="0" collapsed="false">
      <c r="A595" s="61" t="n">
        <f aca="false">INDEX(Datos_Origen!$A$2:$A$2459,$Z595)</f>
        <v>594</v>
      </c>
      <c r="B595" s="62" t="n">
        <f aca="false">IF(ISNUMBER($AB595),$AB595,IF(MID($AB595,5,1)="-",DATE(VALUE(LEFT($AB595,4)),VALUE(MID($AB595,6,2)),VALUE(RIGHT($AB595,2))),DATE(VALUE(RIGHT($AB595,4)),VALUE(MID($AB595,4,2)),VALUE(LEFT($AB595,2)))))</f>
        <v>45444</v>
      </c>
      <c r="C595" s="61" t="n">
        <f aca="false">YEAR($B595)</f>
        <v>2024</v>
      </c>
      <c r="D595" s="61" t="str">
        <f aca="false">"Q"&amp;ROUNDUP(MONTH($B595)/3,0)</f>
        <v>Q2</v>
      </c>
      <c r="E595" s="61" t="n">
        <f aca="false">MONTH($B595)</f>
        <v>6</v>
      </c>
      <c r="F595" s="61" t="str">
        <f aca="false">INDEX(Parametros!$I$5:$I$16,$E595)</f>
        <v>Jun</v>
      </c>
      <c r="G595" s="61" t="str">
        <f aca="false">TEXT($C595,"0000")&amp;"-"&amp;TEXT($E595,"00")</f>
        <v>2024-06</v>
      </c>
      <c r="H595" s="61" t="str">
        <f aca="false">INDEX(Parametros!$C$71:$C$91,MATCH(TRIM(INDEX(Datos_Origen!$C$2:$C$2459,$Z595)),Parametros!$B$71:$B$91,0))</f>
        <v>NOA</v>
      </c>
      <c r="I595" s="61" t="str">
        <f aca="false">IF(TRIM($AD595)="",INDEX(Parametros!$I$20:$I$24,MATCH($H595,Parametros!$H$20:$H$24,0)),TRIM($AD595))</f>
        <v>Tucuman</v>
      </c>
      <c r="J595" s="61" t="str">
        <f aca="false">INDEX(Parametros!$C$95:$C$106,MATCH(TRIM(INDEX(Datos_Origen!$E$2:$E$2459,$Z595)),Parametros!$B$95:$B$106,0))</f>
        <v>E-commerce</v>
      </c>
      <c r="K595" s="61" t="str">
        <f aca="false">INDEX(Parametros!$C$48:$C$67,MATCH(TRIM(INDEX(Datos_Origen!$F$2:$F$2459,$Z595)),Parametros!$B$48:$B$67,0))</f>
        <v>Audio</v>
      </c>
      <c r="L595" s="61" t="str">
        <f aca="false">$K595&amp;" "&amp;$C595</f>
        <v>Audio 2024</v>
      </c>
      <c r="M595" s="61" t="str">
        <f aca="false">TRIM(INDEX(Datos_Origen!$G$2:$G$2459,$Z595))</f>
        <v>Auriculares BT Pro</v>
      </c>
      <c r="N595" s="61" t="str">
        <f aca="false">$M595&amp;" "&amp;$C595</f>
        <v>Auriculares BT Pro 2024</v>
      </c>
      <c r="O595" s="63" t="n">
        <f aca="false">IF(ISTEXT($AC595),VALUE($AC595),$AC595)</f>
        <v>6</v>
      </c>
      <c r="P595" s="64" t="n">
        <f aca="false">INDEX(Datos_Origen!$I$2:$I$2459,$Z595)</f>
        <v>117.6</v>
      </c>
      <c r="Q595" s="64" t="n">
        <f aca="false">INDEX(Datos_Origen!$J$2:$J$2459,$Z595)</f>
        <v>63.6</v>
      </c>
      <c r="R595" s="65" t="n">
        <f aca="false">ROUND($O595*$P595,2)</f>
        <v>705.6</v>
      </c>
      <c r="S595" s="65" t="n">
        <f aca="false">ROUND($O595*$Q595,2)</f>
        <v>381.6</v>
      </c>
      <c r="T595" s="65" t="n">
        <f aca="false">ROUND($R595*SUMIFS(Parametros!$E$28:$E$43,Parametros!$B$28:$B$43,$J595,Parametros!$C$28:$C$43,$C595,Parametros!$D$28:$D$43,$D595),2)</f>
        <v>31.05</v>
      </c>
      <c r="U595" s="65" t="n">
        <f aca="false">$R595-$S595-$T595</f>
        <v>292.95</v>
      </c>
      <c r="V595" s="66" t="n">
        <f aca="false">IFERROR($U595/$R595,0)</f>
        <v>0.415178571428571</v>
      </c>
      <c r="W595" s="67" t="str">
        <f aca="false">IF(AND($V595&gt;=Parametros!$C$8,$R595&gt;=Parametros!$C$12),"Alta rentabilidad",IF(OR($V595&lt;Parametros!$C$11,$R595&lt;Parametros!$C$13),"Revisar","Estandar"))</f>
        <v>Estandar</v>
      </c>
      <c r="X595" s="67" t="str">
        <f aca="false">IF(AND($J595="E-commerce",IFERROR($T595/$R595,0)&gt;Parametros!$C$14),"Alerta","OK")</f>
        <v>OK</v>
      </c>
      <c r="Y595" s="61" t="str">
        <f aca="false">IF($R595&gt;=Parametros!$C$12,"Alto",IF($R595&lt;Parametros!$C$13,"Bajo","Medio"))</f>
        <v>Medio</v>
      </c>
      <c r="Z595" s="61" t="n">
        <v>2378</v>
      </c>
      <c r="AA595" s="61" t="str">
        <f aca="false">IF(MATCH($A595,Datos_Origen!$A$2:$A$2459,0)=$Z595,"OK","REVISAR")</f>
        <v>OK</v>
      </c>
      <c r="AB595" s="61" t="str">
        <f aca="false">INDEX(Datos_Origen!$B$2:$B$2459,$Z595)</f>
        <v>2024-06-01</v>
      </c>
      <c r="AC595" s="61" t="n">
        <f aca="false">INDEX(Datos_Origen!$H$2:$H$2459,$Z595)</f>
        <v>6</v>
      </c>
      <c r="AD595" s="61" t="str">
        <f aca="false">INDEX(Datos_Origen!$D$2:$D$2459,$Z595)&amp;""</f>
        <v>Tucuman</v>
      </c>
    </row>
    <row r="596" customFormat="false" ht="15" hidden="false" customHeight="false" outlineLevel="0" collapsed="false">
      <c r="A596" s="61" t="n">
        <f aca="false">INDEX(Datos_Origen!$A$2:$A$2459,$Z596)</f>
        <v>595</v>
      </c>
      <c r="B596" s="62" t="n">
        <f aca="false">IF(ISNUMBER($AB596),$AB596,IF(MID($AB596,5,1)="-",DATE(VALUE(LEFT($AB596,4)),VALUE(MID($AB596,6,2)),VALUE(RIGHT($AB596,2))),DATE(VALUE(RIGHT($AB596,4)),VALUE(MID($AB596,4,2)),VALUE(LEFT($AB596,2)))))</f>
        <v>45451</v>
      </c>
      <c r="C596" s="61" t="n">
        <f aca="false">YEAR($B596)</f>
        <v>2024</v>
      </c>
      <c r="D596" s="61" t="str">
        <f aca="false">"Q"&amp;ROUNDUP(MONTH($B596)/3,0)</f>
        <v>Q2</v>
      </c>
      <c r="E596" s="61" t="n">
        <f aca="false">MONTH($B596)</f>
        <v>6</v>
      </c>
      <c r="F596" s="61" t="str">
        <f aca="false">INDEX(Parametros!$I$5:$I$16,$E596)</f>
        <v>Jun</v>
      </c>
      <c r="G596" s="61" t="str">
        <f aca="false">TEXT($C596,"0000")&amp;"-"&amp;TEXT($E596,"00")</f>
        <v>2024-06</v>
      </c>
      <c r="H596" s="61" t="str">
        <f aca="false">INDEX(Parametros!$C$71:$C$91,MATCH(TRIM(INDEX(Datos_Origen!$C$2:$C$2459,$Z596)),Parametros!$B$71:$B$91,0))</f>
        <v>NOA</v>
      </c>
      <c r="I596" s="61" t="str">
        <f aca="false">IF(TRIM($AD596)="",INDEX(Parametros!$I$20:$I$24,MATCH($H596,Parametros!$H$20:$H$24,0)),TRIM($AD596))</f>
        <v>Tucuman</v>
      </c>
      <c r="J596" s="61" t="str">
        <f aca="false">INDEX(Parametros!$C$95:$C$106,MATCH(TRIM(INDEX(Datos_Origen!$E$2:$E$2459,$Z596)),Parametros!$B$95:$B$106,0))</f>
        <v>Tienda fisica</v>
      </c>
      <c r="K596" s="61" t="str">
        <f aca="false">INDEX(Parametros!$C$48:$C$67,MATCH(TRIM(INDEX(Datos_Origen!$F$2:$F$2459,$Z596)),Parametros!$B$48:$B$67,0))</f>
        <v>Audio</v>
      </c>
      <c r="L596" s="61" t="str">
        <f aca="false">$K596&amp;" "&amp;$C596</f>
        <v>Audio 2024</v>
      </c>
      <c r="M596" s="61" t="str">
        <f aca="false">TRIM(INDEX(Datos_Origen!$G$2:$G$2459,$Z596))</f>
        <v>Parlante Bluetooth</v>
      </c>
      <c r="N596" s="61" t="str">
        <f aca="false">$M596&amp;" "&amp;$C596</f>
        <v>Parlante Bluetooth 2024</v>
      </c>
      <c r="O596" s="63" t="n">
        <f aca="false">IF(ISTEXT($AC596),VALUE($AC596),$AC596)</f>
        <v>14</v>
      </c>
      <c r="P596" s="64" t="n">
        <f aca="false">INDEX(Datos_Origen!$I$2:$I$2459,$Z596)</f>
        <v>83.3</v>
      </c>
      <c r="Q596" s="64" t="n">
        <f aca="false">INDEX(Datos_Origen!$J$2:$J$2459,$Z596)</f>
        <v>48.03</v>
      </c>
      <c r="R596" s="65" t="n">
        <f aca="false">ROUND($O596*$P596,2)</f>
        <v>1166.2</v>
      </c>
      <c r="S596" s="65" t="n">
        <f aca="false">ROUND($O596*$Q596,2)</f>
        <v>672.42</v>
      </c>
      <c r="T596" s="65" t="n">
        <f aca="false">ROUND($R596*SUMIFS(Parametros!$E$28:$E$43,Parametros!$B$28:$B$43,$J596,Parametros!$C$28:$C$43,$C596,Parametros!$D$28:$D$43,$D596),2)</f>
        <v>13.99</v>
      </c>
      <c r="U596" s="65" t="n">
        <f aca="false">$R596-$S596-$T596</f>
        <v>479.79</v>
      </c>
      <c r="V596" s="66" t="n">
        <f aca="false">IFERROR($U596/$R596,0)</f>
        <v>0.411413136683245</v>
      </c>
      <c r="W596" s="67" t="str">
        <f aca="false">IF(AND($V596&gt;=Parametros!$C$8,$R596&gt;=Parametros!$C$12),"Alta rentabilidad",IF(OR($V596&lt;Parametros!$C$11,$R596&lt;Parametros!$C$13),"Revisar","Estandar"))</f>
        <v>Estandar</v>
      </c>
      <c r="X596" s="67" t="str">
        <f aca="false">IF(AND($J596="E-commerce",IFERROR($T596/$R596,0)&gt;Parametros!$C$14),"Alerta","OK")</f>
        <v>OK</v>
      </c>
      <c r="Y596" s="61" t="str">
        <f aca="false">IF($R596&gt;=Parametros!$C$12,"Alto",IF($R596&lt;Parametros!$C$13,"Bajo","Medio"))</f>
        <v>Medio</v>
      </c>
      <c r="Z596" s="61" t="n">
        <v>103</v>
      </c>
      <c r="AA596" s="61" t="str">
        <f aca="false">IF(MATCH($A596,Datos_Origen!$A$2:$A$2459,0)=$Z596,"OK","REVISAR")</f>
        <v>OK</v>
      </c>
      <c r="AB596" s="62" t="n">
        <f aca="false">INDEX(Datos_Origen!$B$2:$B$2459,$Z596)</f>
        <v>45451</v>
      </c>
      <c r="AC596" s="61" t="n">
        <f aca="false">INDEX(Datos_Origen!$H$2:$H$2459,$Z596)</f>
        <v>14</v>
      </c>
      <c r="AD596" s="61" t="str">
        <f aca="false">INDEX(Datos_Origen!$D$2:$D$2459,$Z596)&amp;""</f>
        <v>Tucuman</v>
      </c>
    </row>
    <row r="597" customFormat="false" ht="15" hidden="false" customHeight="false" outlineLevel="0" collapsed="false">
      <c r="A597" s="61" t="n">
        <f aca="false">INDEX(Datos_Origen!$A$2:$A$2459,$Z597)</f>
        <v>596</v>
      </c>
      <c r="B597" s="62" t="n">
        <f aca="false">IF(ISNUMBER($AB597),$AB597,IF(MID($AB597,5,1)="-",DATE(VALUE(LEFT($AB597,4)),VALUE(MID($AB597,6,2)),VALUE(RIGHT($AB597,2))),DATE(VALUE(RIGHT($AB597,4)),VALUE(MID($AB597,4,2)),VALUE(LEFT($AB597,2)))))</f>
        <v>45458</v>
      </c>
      <c r="C597" s="61" t="n">
        <f aca="false">YEAR($B597)</f>
        <v>2024</v>
      </c>
      <c r="D597" s="61" t="str">
        <f aca="false">"Q"&amp;ROUNDUP(MONTH($B597)/3,0)</f>
        <v>Q2</v>
      </c>
      <c r="E597" s="61" t="n">
        <f aca="false">MONTH($B597)</f>
        <v>6</v>
      </c>
      <c r="F597" s="61" t="str">
        <f aca="false">INDEX(Parametros!$I$5:$I$16,$E597)</f>
        <v>Jun</v>
      </c>
      <c r="G597" s="61" t="str">
        <f aca="false">TEXT($C597,"0000")&amp;"-"&amp;TEXT($E597,"00")</f>
        <v>2024-06</v>
      </c>
      <c r="H597" s="61" t="str">
        <f aca="false">INDEX(Parametros!$C$71:$C$91,MATCH(TRIM(INDEX(Datos_Origen!$C$2:$C$2459,$Z597)),Parametros!$B$71:$B$91,0))</f>
        <v>NOA</v>
      </c>
      <c r="I597" s="61" t="str">
        <f aca="false">IF(TRIM($AD597)="",INDEX(Parametros!$I$20:$I$24,MATCH($H597,Parametros!$H$20:$H$24,0)),TRIM($AD597))</f>
        <v>Tucuman</v>
      </c>
      <c r="J597" s="61" t="str">
        <f aca="false">INDEX(Parametros!$C$95:$C$106,MATCH(TRIM(INDEX(Datos_Origen!$E$2:$E$2459,$Z597)),Parametros!$B$95:$B$106,0))</f>
        <v>E-commerce</v>
      </c>
      <c r="K597" s="61" t="str">
        <f aca="false">INDEX(Parametros!$C$48:$C$67,MATCH(TRIM(INDEX(Datos_Origen!$F$2:$F$2459,$Z597)),Parametros!$B$48:$B$67,0))</f>
        <v>Audio</v>
      </c>
      <c r="L597" s="61" t="str">
        <f aca="false">$K597&amp;" "&amp;$C597</f>
        <v>Audio 2024</v>
      </c>
      <c r="M597" s="61" t="str">
        <f aca="false">TRIM(INDEX(Datos_Origen!$G$2:$G$2459,$Z597))</f>
        <v>Parlante Bluetooth</v>
      </c>
      <c r="N597" s="61" t="str">
        <f aca="false">$M597&amp;" "&amp;$C597</f>
        <v>Parlante Bluetooth 2024</v>
      </c>
      <c r="O597" s="63" t="n">
        <f aca="false">IF(ISTEXT($AC597),VALUE($AC597),$AC597)</f>
        <v>6</v>
      </c>
      <c r="P597" s="64" t="n">
        <f aca="false">INDEX(Datos_Origen!$I$2:$I$2459,$Z597)</f>
        <v>83.3</v>
      </c>
      <c r="Q597" s="64" t="n">
        <f aca="false">INDEX(Datos_Origen!$J$2:$J$2459,$Z597)</f>
        <v>48.03</v>
      </c>
      <c r="R597" s="65" t="n">
        <f aca="false">ROUND($O597*$P597,2)</f>
        <v>499.8</v>
      </c>
      <c r="S597" s="65" t="n">
        <f aca="false">ROUND($O597*$Q597,2)</f>
        <v>288.18</v>
      </c>
      <c r="T597" s="65" t="n">
        <f aca="false">ROUND($R597*SUMIFS(Parametros!$E$28:$E$43,Parametros!$B$28:$B$43,$J597,Parametros!$C$28:$C$43,$C597,Parametros!$D$28:$D$43,$D597),2)</f>
        <v>21.99</v>
      </c>
      <c r="U597" s="65" t="n">
        <f aca="false">$R597-$S597-$T597</f>
        <v>189.63</v>
      </c>
      <c r="V597" s="66" t="n">
        <f aca="false">IFERROR($U597/$R597,0)</f>
        <v>0.379411764705882</v>
      </c>
      <c r="W597" s="67" t="str">
        <f aca="false">IF(AND($V597&gt;=Parametros!$C$8,$R597&gt;=Parametros!$C$12),"Alta rentabilidad",IF(OR($V597&lt;Parametros!$C$11,$R597&lt;Parametros!$C$13),"Revisar","Estandar"))</f>
        <v>Estandar</v>
      </c>
      <c r="X597" s="67" t="str">
        <f aca="false">IF(AND($J597="E-commerce",IFERROR($T597/$R597,0)&gt;Parametros!$C$14),"Alerta","OK")</f>
        <v>OK</v>
      </c>
      <c r="Y597" s="61" t="str">
        <f aca="false">IF($R597&gt;=Parametros!$C$12,"Alto",IF($R597&lt;Parametros!$C$13,"Bajo","Medio"))</f>
        <v>Medio</v>
      </c>
      <c r="Z597" s="61" t="n">
        <v>210</v>
      </c>
      <c r="AA597" s="61" t="str">
        <f aca="false">IF(MATCH($A597,Datos_Origen!$A$2:$A$2459,0)=$Z597,"OK","REVISAR")</f>
        <v>OK</v>
      </c>
      <c r="AB597" s="62" t="n">
        <f aca="false">INDEX(Datos_Origen!$B$2:$B$2459,$Z597)</f>
        <v>45458</v>
      </c>
      <c r="AC597" s="61" t="n">
        <f aca="false">INDEX(Datos_Origen!$H$2:$H$2459,$Z597)</f>
        <v>6</v>
      </c>
      <c r="AD597" s="61" t="str">
        <f aca="false">INDEX(Datos_Origen!$D$2:$D$2459,$Z597)&amp;""</f>
        <v>Tucuman</v>
      </c>
    </row>
    <row r="598" customFormat="false" ht="15" hidden="false" customHeight="false" outlineLevel="0" collapsed="false">
      <c r="A598" s="61" t="n">
        <f aca="false">INDEX(Datos_Origen!$A$2:$A$2459,$Z598)</f>
        <v>597</v>
      </c>
      <c r="B598" s="62" t="n">
        <f aca="false">IF(ISNUMBER($AB598),$AB598,IF(MID($AB598,5,1)="-",DATE(VALUE(LEFT($AB598,4)),VALUE(MID($AB598,6,2)),VALUE(RIGHT($AB598,2))),DATE(VALUE(RIGHT($AB598,4)),VALUE(MID($AB598,4,2)),VALUE(LEFT($AB598,2)))))</f>
        <v>45465</v>
      </c>
      <c r="C598" s="61" t="n">
        <f aca="false">YEAR($B598)</f>
        <v>2024</v>
      </c>
      <c r="D598" s="61" t="str">
        <f aca="false">"Q"&amp;ROUNDUP(MONTH($B598)/3,0)</f>
        <v>Q2</v>
      </c>
      <c r="E598" s="61" t="n">
        <f aca="false">MONTH($B598)</f>
        <v>6</v>
      </c>
      <c r="F598" s="61" t="str">
        <f aca="false">INDEX(Parametros!$I$5:$I$16,$E598)</f>
        <v>Jun</v>
      </c>
      <c r="G598" s="61" t="str">
        <f aca="false">TEXT($C598,"0000")&amp;"-"&amp;TEXT($E598,"00")</f>
        <v>2024-06</v>
      </c>
      <c r="H598" s="61" t="str">
        <f aca="false">INDEX(Parametros!$C$71:$C$91,MATCH(TRIM(INDEX(Datos_Origen!$C$2:$C$2459,$Z598)),Parametros!$B$71:$B$91,0))</f>
        <v>NOA</v>
      </c>
      <c r="I598" s="61" t="str">
        <f aca="false">IF(TRIM($AD598)="",INDEX(Parametros!$I$20:$I$24,MATCH($H598,Parametros!$H$20:$H$24,0)),TRIM($AD598))</f>
        <v>Tucuman</v>
      </c>
      <c r="J598" s="61" t="str">
        <f aca="false">INDEX(Parametros!$C$95:$C$106,MATCH(TRIM(INDEX(Datos_Origen!$E$2:$E$2459,$Z598)),Parametros!$B$95:$B$106,0))</f>
        <v>Tienda fisica</v>
      </c>
      <c r="K598" s="61" t="str">
        <f aca="false">INDEX(Parametros!$C$48:$C$67,MATCH(TRIM(INDEX(Datos_Origen!$F$2:$F$2459,$Z598)),Parametros!$B$48:$B$67,0))</f>
        <v>Almacenamiento</v>
      </c>
      <c r="L598" s="61" t="str">
        <f aca="false">$K598&amp;" "&amp;$C598</f>
        <v>Almacenamiento 2024</v>
      </c>
      <c r="M598" s="61" t="str">
        <f aca="false">TRIM(INDEX(Datos_Origen!$G$2:$G$2459,$Z598))</f>
        <v>SSD Externo 1TB</v>
      </c>
      <c r="N598" s="61" t="str">
        <f aca="false">$M598&amp;" "&amp;$C598</f>
        <v>SSD Externo 1TB 2024</v>
      </c>
      <c r="O598" s="63" t="n">
        <f aca="false">IF(ISTEXT($AC598),VALUE($AC598),$AC598)</f>
        <v>16</v>
      </c>
      <c r="P598" s="64" t="n">
        <f aca="false">INDEX(Datos_Origen!$I$2:$I$2459,$Z598)</f>
        <v>127.4</v>
      </c>
      <c r="Q598" s="64" t="n">
        <f aca="false">INDEX(Datos_Origen!$J$2:$J$2459,$Z598)</f>
        <v>76.05</v>
      </c>
      <c r="R598" s="65" t="n">
        <f aca="false">ROUND($O598*$P598,2)</f>
        <v>2038.4</v>
      </c>
      <c r="S598" s="65" t="n">
        <f aca="false">ROUND($O598*$Q598,2)</f>
        <v>1216.8</v>
      </c>
      <c r="T598" s="65" t="n">
        <f aca="false">ROUND($R598*SUMIFS(Parametros!$E$28:$E$43,Parametros!$B$28:$B$43,$J598,Parametros!$C$28:$C$43,$C598,Parametros!$D$28:$D$43,$D598),2)</f>
        <v>24.46</v>
      </c>
      <c r="U598" s="65" t="n">
        <f aca="false">$R598-$S598-$T598</f>
        <v>797.14</v>
      </c>
      <c r="V598" s="66" t="n">
        <f aca="false">IFERROR($U598/$R598,0)</f>
        <v>0.391061616954474</v>
      </c>
      <c r="W598" s="67" t="str">
        <f aca="false">IF(AND($V598&gt;=Parametros!$C$8,$R598&gt;=Parametros!$C$12),"Alta rentabilidad",IF(OR($V598&lt;Parametros!$C$11,$R598&lt;Parametros!$C$13),"Revisar","Estandar"))</f>
        <v>Estandar</v>
      </c>
      <c r="X598" s="67" t="str">
        <f aca="false">IF(AND($J598="E-commerce",IFERROR($T598/$R598,0)&gt;Parametros!$C$14),"Alerta","OK")</f>
        <v>OK</v>
      </c>
      <c r="Y598" s="61" t="str">
        <f aca="false">IF($R598&gt;=Parametros!$C$12,"Alto",IF($R598&lt;Parametros!$C$13,"Bajo","Medio"))</f>
        <v>Medio</v>
      </c>
      <c r="Z598" s="61" t="n">
        <v>1314</v>
      </c>
      <c r="AA598" s="61" t="str">
        <f aca="false">IF(MATCH($A598,Datos_Origen!$A$2:$A$2459,0)=$Z598,"OK","REVISAR")</f>
        <v>OK</v>
      </c>
      <c r="AB598" s="62" t="n">
        <f aca="false">INDEX(Datos_Origen!$B$2:$B$2459,$Z598)</f>
        <v>45465</v>
      </c>
      <c r="AC598" s="61" t="n">
        <f aca="false">INDEX(Datos_Origen!$H$2:$H$2459,$Z598)</f>
        <v>16</v>
      </c>
      <c r="AD598" s="61" t="str">
        <f aca="false">INDEX(Datos_Origen!$D$2:$D$2459,$Z598)&amp;""</f>
        <v/>
      </c>
    </row>
    <row r="599" customFormat="false" ht="15" hidden="false" customHeight="false" outlineLevel="0" collapsed="false">
      <c r="A599" s="61" t="n">
        <f aca="false">INDEX(Datos_Origen!$A$2:$A$2459,$Z599)</f>
        <v>598</v>
      </c>
      <c r="B599" s="62" t="n">
        <f aca="false">IF(ISNUMBER($AB599),$AB599,IF(MID($AB599,5,1)="-",DATE(VALUE(LEFT($AB599,4)),VALUE(MID($AB599,6,2)),VALUE(RIGHT($AB599,2))),DATE(VALUE(RIGHT($AB599,4)),VALUE(MID($AB599,4,2)),VALUE(LEFT($AB599,2)))))</f>
        <v>45445</v>
      </c>
      <c r="C599" s="61" t="n">
        <f aca="false">YEAR($B599)</f>
        <v>2024</v>
      </c>
      <c r="D599" s="61" t="str">
        <f aca="false">"Q"&amp;ROUNDUP(MONTH($B599)/3,0)</f>
        <v>Q2</v>
      </c>
      <c r="E599" s="61" t="n">
        <f aca="false">MONTH($B599)</f>
        <v>6</v>
      </c>
      <c r="F599" s="61" t="str">
        <f aca="false">INDEX(Parametros!$I$5:$I$16,$E599)</f>
        <v>Jun</v>
      </c>
      <c r="G599" s="61" t="str">
        <f aca="false">TEXT($C599,"0000")&amp;"-"&amp;TEXT($E599,"00")</f>
        <v>2024-06</v>
      </c>
      <c r="H599" s="61" t="str">
        <f aca="false">INDEX(Parametros!$C$71:$C$91,MATCH(TRIM(INDEX(Datos_Origen!$C$2:$C$2459,$Z599)),Parametros!$B$71:$B$91,0))</f>
        <v>NOA</v>
      </c>
      <c r="I599" s="61" t="str">
        <f aca="false">IF(TRIM($AD599)="",INDEX(Parametros!$I$20:$I$24,MATCH($H599,Parametros!$H$20:$H$24,0)),TRIM($AD599))</f>
        <v>Tucuman</v>
      </c>
      <c r="J599" s="61" t="str">
        <f aca="false">INDEX(Parametros!$C$95:$C$106,MATCH(TRIM(INDEX(Datos_Origen!$E$2:$E$2459,$Z599)),Parametros!$B$95:$B$106,0))</f>
        <v>E-commerce</v>
      </c>
      <c r="K599" s="61" t="str">
        <f aca="false">INDEX(Parametros!$C$48:$C$67,MATCH(TRIM(INDEX(Datos_Origen!$F$2:$F$2459,$Z599)),Parametros!$B$48:$B$67,0))</f>
        <v>Almacenamiento</v>
      </c>
      <c r="L599" s="61" t="str">
        <f aca="false">$K599&amp;" "&amp;$C599</f>
        <v>Almacenamiento 2024</v>
      </c>
      <c r="M599" s="61" t="str">
        <f aca="false">TRIM(INDEX(Datos_Origen!$G$2:$G$2459,$Z599))</f>
        <v>SSD Externo 1TB</v>
      </c>
      <c r="N599" s="61" t="str">
        <f aca="false">$M599&amp;" "&amp;$C599</f>
        <v>SSD Externo 1TB 2024</v>
      </c>
      <c r="O599" s="63" t="n">
        <f aca="false">IF(ISTEXT($AC599),VALUE($AC599),$AC599)</f>
        <v>9</v>
      </c>
      <c r="P599" s="64" t="n">
        <f aca="false">INDEX(Datos_Origen!$I$2:$I$2459,$Z599)</f>
        <v>127.4</v>
      </c>
      <c r="Q599" s="64" t="n">
        <f aca="false">INDEX(Datos_Origen!$J$2:$J$2459,$Z599)</f>
        <v>76.05</v>
      </c>
      <c r="R599" s="65" t="n">
        <f aca="false">ROUND($O599*$P599,2)</f>
        <v>1146.6</v>
      </c>
      <c r="S599" s="65" t="n">
        <f aca="false">ROUND($O599*$Q599,2)</f>
        <v>684.45</v>
      </c>
      <c r="T599" s="65" t="n">
        <f aca="false">ROUND($R599*SUMIFS(Parametros!$E$28:$E$43,Parametros!$B$28:$B$43,$J599,Parametros!$C$28:$C$43,$C599,Parametros!$D$28:$D$43,$D599),2)</f>
        <v>50.45</v>
      </c>
      <c r="U599" s="65" t="n">
        <f aca="false">$R599-$S599-$T599</f>
        <v>411.7</v>
      </c>
      <c r="V599" s="66" t="n">
        <f aca="false">IFERROR($U599/$R599,0)</f>
        <v>0.359061573347288</v>
      </c>
      <c r="W599" s="67" t="str">
        <f aca="false">IF(AND($V599&gt;=Parametros!$C$8,$R599&gt;=Parametros!$C$12),"Alta rentabilidad",IF(OR($V599&lt;Parametros!$C$11,$R599&lt;Parametros!$C$13),"Revisar","Estandar"))</f>
        <v>Estandar</v>
      </c>
      <c r="X599" s="67" t="str">
        <f aca="false">IF(AND($J599="E-commerce",IFERROR($T599/$R599,0)&gt;Parametros!$C$14),"Alerta","OK")</f>
        <v>OK</v>
      </c>
      <c r="Y599" s="61" t="str">
        <f aca="false">IF($R599&gt;=Parametros!$C$12,"Alto",IF($R599&lt;Parametros!$C$13,"Bajo","Medio"))</f>
        <v>Medio</v>
      </c>
      <c r="Z599" s="61" t="n">
        <v>1790</v>
      </c>
      <c r="AA599" s="61" t="str">
        <f aca="false">IF(MATCH($A599,Datos_Origen!$A$2:$A$2459,0)=$Z599,"OK","REVISAR")</f>
        <v>OK</v>
      </c>
      <c r="AB599" s="62" t="n">
        <f aca="false">INDEX(Datos_Origen!$B$2:$B$2459,$Z599)</f>
        <v>45445</v>
      </c>
      <c r="AC599" s="61" t="str">
        <f aca="false">INDEX(Datos_Origen!$H$2:$H$2459,$Z599)</f>
        <v>9</v>
      </c>
      <c r="AD599" s="61" t="str">
        <f aca="false">INDEX(Datos_Origen!$D$2:$D$2459,$Z599)&amp;""</f>
        <v>Tucuman</v>
      </c>
    </row>
    <row r="600" customFormat="false" ht="15" hidden="false" customHeight="false" outlineLevel="0" collapsed="false">
      <c r="A600" s="61" t="n">
        <f aca="false">INDEX(Datos_Origen!$A$2:$A$2459,$Z600)</f>
        <v>599</v>
      </c>
      <c r="B600" s="62" t="n">
        <f aca="false">IF(ISNUMBER($AB600),$AB600,IF(MID($AB600,5,1)="-",DATE(VALUE(LEFT($AB600,4)),VALUE(MID($AB600,6,2)),VALUE(RIGHT($AB600,2))),DATE(VALUE(RIGHT($AB600,4)),VALUE(MID($AB600,4,2)),VALUE(LEFT($AB600,2)))))</f>
        <v>45452</v>
      </c>
      <c r="C600" s="61" t="n">
        <f aca="false">YEAR($B600)</f>
        <v>2024</v>
      </c>
      <c r="D600" s="61" t="str">
        <f aca="false">"Q"&amp;ROUNDUP(MONTH($B600)/3,0)</f>
        <v>Q2</v>
      </c>
      <c r="E600" s="61" t="n">
        <f aca="false">MONTH($B600)</f>
        <v>6</v>
      </c>
      <c r="F600" s="61" t="str">
        <f aca="false">INDEX(Parametros!$I$5:$I$16,$E600)</f>
        <v>Jun</v>
      </c>
      <c r="G600" s="61" t="str">
        <f aca="false">TEXT($C600,"0000")&amp;"-"&amp;TEXT($E600,"00")</f>
        <v>2024-06</v>
      </c>
      <c r="H600" s="61" t="str">
        <f aca="false">INDEX(Parametros!$C$71:$C$91,MATCH(TRIM(INDEX(Datos_Origen!$C$2:$C$2459,$Z600)),Parametros!$B$71:$B$91,0))</f>
        <v>NOA</v>
      </c>
      <c r="I600" s="61" t="str">
        <f aca="false">IF(TRIM($AD600)="",INDEX(Parametros!$I$20:$I$24,MATCH($H600,Parametros!$H$20:$H$24,0)),TRIM($AD600))</f>
        <v>Tucuman</v>
      </c>
      <c r="J600" s="61" t="str">
        <f aca="false">INDEX(Parametros!$C$95:$C$106,MATCH(TRIM(INDEX(Datos_Origen!$E$2:$E$2459,$Z600)),Parametros!$B$95:$B$106,0))</f>
        <v>Tienda fisica</v>
      </c>
      <c r="K600" s="61" t="str">
        <f aca="false">INDEX(Parametros!$C$48:$C$67,MATCH(TRIM(INDEX(Datos_Origen!$F$2:$F$2459,$Z600)),Parametros!$B$48:$B$67,0))</f>
        <v>Almacenamiento</v>
      </c>
      <c r="L600" s="61" t="str">
        <f aca="false">$K600&amp;" "&amp;$C600</f>
        <v>Almacenamiento 2024</v>
      </c>
      <c r="M600" s="61" t="str">
        <f aca="false">TRIM(INDEX(Datos_Origen!$G$2:$G$2459,$Z600))</f>
        <v>Pendrive 256GB</v>
      </c>
      <c r="N600" s="61" t="str">
        <f aca="false">$M600&amp;" "&amp;$C600</f>
        <v>Pendrive 256GB 2024</v>
      </c>
      <c r="O600" s="63" t="n">
        <f aca="false">IF(ISTEXT($AC600),VALUE($AC600),$AC600)</f>
        <v>22</v>
      </c>
      <c r="P600" s="64" t="n">
        <f aca="false">INDEX(Datos_Origen!$I$2:$I$2459,$Z600)</f>
        <v>34.3</v>
      </c>
      <c r="Q600" s="64" t="n">
        <f aca="false">INDEX(Datos_Origen!$J$2:$J$2459,$Z600)</f>
        <v>17.85</v>
      </c>
      <c r="R600" s="65" t="n">
        <f aca="false">ROUND($O600*$P600,2)</f>
        <v>754.6</v>
      </c>
      <c r="S600" s="65" t="n">
        <f aca="false">ROUND($O600*$Q600,2)</f>
        <v>392.7</v>
      </c>
      <c r="T600" s="65" t="n">
        <f aca="false">ROUND($R600*SUMIFS(Parametros!$E$28:$E$43,Parametros!$B$28:$B$43,$J600,Parametros!$C$28:$C$43,$C600,Parametros!$D$28:$D$43,$D600),2)</f>
        <v>9.06</v>
      </c>
      <c r="U600" s="65" t="n">
        <f aca="false">$R600-$S600-$T600</f>
        <v>352.84</v>
      </c>
      <c r="V600" s="66" t="n">
        <f aca="false">IFERROR($U600/$R600,0)</f>
        <v>0.467585475748741</v>
      </c>
      <c r="W600" s="67" t="str">
        <f aca="false">IF(AND($V600&gt;=Parametros!$C$8,$R600&gt;=Parametros!$C$12),"Alta rentabilidad",IF(OR($V600&lt;Parametros!$C$11,$R600&lt;Parametros!$C$13),"Revisar","Estandar"))</f>
        <v>Estandar</v>
      </c>
      <c r="X600" s="67" t="str">
        <f aca="false">IF(AND($J600="E-commerce",IFERROR($T600/$R600,0)&gt;Parametros!$C$14),"Alerta","OK")</f>
        <v>OK</v>
      </c>
      <c r="Y600" s="61" t="str">
        <f aca="false">IF($R600&gt;=Parametros!$C$12,"Alto",IF($R600&lt;Parametros!$C$13,"Bajo","Medio"))</f>
        <v>Medio</v>
      </c>
      <c r="Z600" s="61" t="n">
        <v>1310</v>
      </c>
      <c r="AA600" s="61" t="str">
        <f aca="false">IF(MATCH($A600,Datos_Origen!$A$2:$A$2459,0)=$Z600,"OK","REVISAR")</f>
        <v>OK</v>
      </c>
      <c r="AB600" s="62" t="n">
        <f aca="false">INDEX(Datos_Origen!$B$2:$B$2459,$Z600)</f>
        <v>45452</v>
      </c>
      <c r="AC600" s="61" t="n">
        <f aca="false">INDEX(Datos_Origen!$H$2:$H$2459,$Z600)</f>
        <v>22</v>
      </c>
      <c r="AD600" s="61" t="str">
        <f aca="false">INDEX(Datos_Origen!$D$2:$D$2459,$Z600)&amp;""</f>
        <v>Tucuman</v>
      </c>
    </row>
    <row r="601" customFormat="false" ht="15" hidden="false" customHeight="false" outlineLevel="0" collapsed="false">
      <c r="A601" s="61" t="n">
        <f aca="false">INDEX(Datos_Origen!$A$2:$A$2459,$Z601)</f>
        <v>600</v>
      </c>
      <c r="B601" s="62" t="n">
        <f aca="false">IF(ISNUMBER($AB601),$AB601,IF(MID($AB601,5,1)="-",DATE(VALUE(LEFT($AB601,4)),VALUE(MID($AB601,6,2)),VALUE(RIGHT($AB601,2))),DATE(VALUE(RIGHT($AB601,4)),VALUE(MID($AB601,4,2)),VALUE(LEFT($AB601,2)))))</f>
        <v>45459</v>
      </c>
      <c r="C601" s="61" t="n">
        <f aca="false">YEAR($B601)</f>
        <v>2024</v>
      </c>
      <c r="D601" s="61" t="str">
        <f aca="false">"Q"&amp;ROUNDUP(MONTH($B601)/3,0)</f>
        <v>Q2</v>
      </c>
      <c r="E601" s="61" t="n">
        <f aca="false">MONTH($B601)</f>
        <v>6</v>
      </c>
      <c r="F601" s="61" t="str">
        <f aca="false">INDEX(Parametros!$I$5:$I$16,$E601)</f>
        <v>Jun</v>
      </c>
      <c r="G601" s="61" t="str">
        <f aca="false">TEXT($C601,"0000")&amp;"-"&amp;TEXT($E601,"00")</f>
        <v>2024-06</v>
      </c>
      <c r="H601" s="61" t="str">
        <f aca="false">INDEX(Parametros!$C$71:$C$91,MATCH(TRIM(INDEX(Datos_Origen!$C$2:$C$2459,$Z601)),Parametros!$B$71:$B$91,0))</f>
        <v>NOA</v>
      </c>
      <c r="I601" s="61" t="str">
        <f aca="false">IF(TRIM($AD601)="",INDEX(Parametros!$I$20:$I$24,MATCH($H601,Parametros!$H$20:$H$24,0)),TRIM($AD601))</f>
        <v>Tucuman</v>
      </c>
      <c r="J601" s="61" t="str">
        <f aca="false">INDEX(Parametros!$C$95:$C$106,MATCH(TRIM(INDEX(Datos_Origen!$E$2:$E$2459,$Z601)),Parametros!$B$95:$B$106,0))</f>
        <v>E-commerce</v>
      </c>
      <c r="K601" s="61" t="str">
        <f aca="false">INDEX(Parametros!$C$48:$C$67,MATCH(TRIM(INDEX(Datos_Origen!$F$2:$F$2459,$Z601)),Parametros!$B$48:$B$67,0))</f>
        <v>Almacenamiento</v>
      </c>
      <c r="L601" s="61" t="str">
        <f aca="false">$K601&amp;" "&amp;$C601</f>
        <v>Almacenamiento 2024</v>
      </c>
      <c r="M601" s="61" t="str">
        <f aca="false">TRIM(INDEX(Datos_Origen!$G$2:$G$2459,$Z601))</f>
        <v>Pendrive 256GB</v>
      </c>
      <c r="N601" s="61" t="str">
        <f aca="false">$M601&amp;" "&amp;$C601</f>
        <v>Pendrive 256GB 2024</v>
      </c>
      <c r="O601" s="63" t="n">
        <f aca="false">IF(ISTEXT($AC601),VALUE($AC601),$AC601)</f>
        <v>7</v>
      </c>
      <c r="P601" s="64" t="n">
        <f aca="false">INDEX(Datos_Origen!$I$2:$I$2459,$Z601)</f>
        <v>34.3</v>
      </c>
      <c r="Q601" s="64" t="n">
        <f aca="false">INDEX(Datos_Origen!$J$2:$J$2459,$Z601)</f>
        <v>17.85</v>
      </c>
      <c r="R601" s="65" t="n">
        <f aca="false">ROUND($O601*$P601,2)</f>
        <v>240.1</v>
      </c>
      <c r="S601" s="65" t="n">
        <f aca="false">ROUND($O601*$Q601,2)</f>
        <v>124.95</v>
      </c>
      <c r="T601" s="65" t="n">
        <f aca="false">ROUND($R601*SUMIFS(Parametros!$E$28:$E$43,Parametros!$B$28:$B$43,$J601,Parametros!$C$28:$C$43,$C601,Parametros!$D$28:$D$43,$D601),2)</f>
        <v>10.56</v>
      </c>
      <c r="U601" s="65" t="n">
        <f aca="false">$R601-$S601-$T601</f>
        <v>104.59</v>
      </c>
      <c r="V601" s="66" t="n">
        <f aca="false">IFERROR($U601/$R601,0)</f>
        <v>0.43561016243232</v>
      </c>
      <c r="W601" s="67" t="str">
        <f aca="false">IF(AND($V601&gt;=Parametros!$C$8,$R601&gt;=Parametros!$C$12),"Alta rentabilidad",IF(OR($V601&lt;Parametros!$C$11,$R601&lt;Parametros!$C$13),"Revisar","Estandar"))</f>
        <v>Revisar</v>
      </c>
      <c r="X601" s="67" t="str">
        <f aca="false">IF(AND($J601="E-commerce",IFERROR($T601/$R601,0)&gt;Parametros!$C$14),"Alerta","OK")</f>
        <v>OK</v>
      </c>
      <c r="Y601" s="61" t="str">
        <f aca="false">IF($R601&gt;=Parametros!$C$12,"Alto",IF($R601&lt;Parametros!$C$13,"Bajo","Medio"))</f>
        <v>Bajo</v>
      </c>
      <c r="Z601" s="61" t="n">
        <v>1308</v>
      </c>
      <c r="AA601" s="61" t="str">
        <f aca="false">IF(MATCH($A601,Datos_Origen!$A$2:$A$2459,0)=$Z601,"OK","REVISAR")</f>
        <v>OK</v>
      </c>
      <c r="AB601" s="62" t="n">
        <f aca="false">INDEX(Datos_Origen!$B$2:$B$2459,$Z601)</f>
        <v>45459</v>
      </c>
      <c r="AC601" s="61" t="n">
        <f aca="false">INDEX(Datos_Origen!$H$2:$H$2459,$Z601)</f>
        <v>7</v>
      </c>
      <c r="AD601" s="61" t="str">
        <f aca="false">INDEX(Datos_Origen!$D$2:$D$2459,$Z601)&amp;""</f>
        <v>Tucuman</v>
      </c>
    </row>
    <row r="602" customFormat="false" ht="15" hidden="false" customHeight="false" outlineLevel="0" collapsed="false">
      <c r="A602" s="61" t="n">
        <f aca="false">INDEX(Datos_Origen!$A$2:$A$2459,$Z602)</f>
        <v>601</v>
      </c>
      <c r="B602" s="62" t="n">
        <f aca="false">IF(ISNUMBER($AB602),$AB602,IF(MID($AB602,5,1)="-",DATE(VALUE(LEFT($AB602,4)),VALUE(MID($AB602,6,2)),VALUE(RIGHT($AB602,2))),DATE(VALUE(RIGHT($AB602,4)),VALUE(MID($AB602,4,2)),VALUE(LEFT($AB602,2)))))</f>
        <v>45496</v>
      </c>
      <c r="C602" s="61" t="n">
        <f aca="false">YEAR($B602)</f>
        <v>2024</v>
      </c>
      <c r="D602" s="61" t="str">
        <f aca="false">"Q"&amp;ROUNDUP(MONTH($B602)/3,0)</f>
        <v>Q3</v>
      </c>
      <c r="E602" s="61" t="n">
        <f aca="false">MONTH($B602)</f>
        <v>7</v>
      </c>
      <c r="F602" s="61" t="str">
        <f aca="false">INDEX(Parametros!$I$5:$I$16,$E602)</f>
        <v>Jul</v>
      </c>
      <c r="G602" s="61" t="str">
        <f aca="false">TEXT($C602,"0000")&amp;"-"&amp;TEXT($E602,"00")</f>
        <v>2024-07</v>
      </c>
      <c r="H602" s="61" t="str">
        <f aca="false">INDEX(Parametros!$C$71:$C$91,MATCH(TRIM(INDEX(Datos_Origen!$C$2:$C$2459,$Z602)),Parametros!$B$71:$B$91,0))</f>
        <v>AMBA</v>
      </c>
      <c r="I602" s="61" t="str">
        <f aca="false">IF(TRIM($AD602)="",INDEX(Parametros!$I$20:$I$24,MATCH($H602,Parametros!$H$20:$H$24,0)),TRIM($AD602))</f>
        <v>Buenos Aires</v>
      </c>
      <c r="J602" s="61" t="str">
        <f aca="false">INDEX(Parametros!$C$95:$C$106,MATCH(TRIM(INDEX(Datos_Origen!$E$2:$E$2459,$Z602)),Parametros!$B$95:$B$106,0))</f>
        <v>Tienda fisica</v>
      </c>
      <c r="K602" s="61" t="str">
        <f aca="false">INDEX(Parametros!$C$48:$C$67,MATCH(TRIM(INDEX(Datos_Origen!$F$2:$F$2459,$Z602)),Parametros!$B$48:$B$67,0))</f>
        <v>Computacion</v>
      </c>
      <c r="L602" s="61" t="str">
        <f aca="false">$K602&amp;" "&amp;$C602</f>
        <v>Computacion 2024</v>
      </c>
      <c r="M602" s="61" t="str">
        <f aca="false">TRIM(INDEX(Datos_Origen!$G$2:$G$2459,$Z602))</f>
        <v>Laptop Pro 15</v>
      </c>
      <c r="N602" s="61" t="str">
        <f aca="false">$M602&amp;" "&amp;$C602</f>
        <v>Laptop Pro 15 2024</v>
      </c>
      <c r="O602" s="63" t="n">
        <f aca="false">IF(ISTEXT($AC602),VALUE($AC602),$AC602)</f>
        <v>23</v>
      </c>
      <c r="P602" s="64" t="n">
        <f aca="false">INDEX(Datos_Origen!$I$2:$I$2459,$Z602)</f>
        <v>1176</v>
      </c>
      <c r="Q602" s="64" t="n">
        <f aca="false">INDEX(Datos_Origen!$J$2:$J$2459,$Z602)</f>
        <v>744</v>
      </c>
      <c r="R602" s="65" t="n">
        <f aca="false">ROUND($O602*$P602,2)</f>
        <v>27048</v>
      </c>
      <c r="S602" s="65" t="n">
        <f aca="false">ROUND($O602*$Q602,2)</f>
        <v>17112</v>
      </c>
      <c r="T602" s="65" t="n">
        <f aca="false">ROUND($R602*SUMIFS(Parametros!$E$28:$E$43,Parametros!$B$28:$B$43,$J602,Parametros!$C$28:$C$43,$C602,Parametros!$D$28:$D$43,$D602),2)</f>
        <v>351.62</v>
      </c>
      <c r="U602" s="65" t="n">
        <f aca="false">$R602-$S602-$T602</f>
        <v>9584.38</v>
      </c>
      <c r="V602" s="66" t="n">
        <f aca="false">IFERROR($U602/$R602,0)</f>
        <v>0.354347086660751</v>
      </c>
      <c r="W602" s="67" t="str">
        <f aca="false">IF(AND($V602&gt;=Parametros!$C$8,$R602&gt;=Parametros!$C$12),"Alta rentabilidad",IF(OR($V602&lt;Parametros!$C$11,$R602&lt;Parametros!$C$13),"Revisar","Estandar"))</f>
        <v>Alta rentabilidad</v>
      </c>
      <c r="X602" s="67" t="str">
        <f aca="false">IF(AND($J602="E-commerce",IFERROR($T602/$R602,0)&gt;Parametros!$C$14),"Alerta","OK")</f>
        <v>OK</v>
      </c>
      <c r="Y602" s="61" t="str">
        <f aca="false">IF($R602&gt;=Parametros!$C$12,"Alto",IF($R602&lt;Parametros!$C$13,"Bajo","Medio"))</f>
        <v>Alto</v>
      </c>
      <c r="Z602" s="61" t="n">
        <v>1751</v>
      </c>
      <c r="AA602" s="61" t="str">
        <f aca="false">IF(MATCH($A602,Datos_Origen!$A$2:$A$2459,0)=$Z602,"OK","REVISAR")</f>
        <v>OK</v>
      </c>
      <c r="AB602" s="62" t="n">
        <f aca="false">INDEX(Datos_Origen!$B$2:$B$2459,$Z602)</f>
        <v>45496</v>
      </c>
      <c r="AC602" s="61" t="str">
        <f aca="false">INDEX(Datos_Origen!$H$2:$H$2459,$Z602)</f>
        <v>23</v>
      </c>
      <c r="AD602" s="61" t="str">
        <f aca="false">INDEX(Datos_Origen!$D$2:$D$2459,$Z602)&amp;""</f>
        <v>Buenos Aires</v>
      </c>
    </row>
    <row r="603" customFormat="false" ht="15" hidden="false" customHeight="false" outlineLevel="0" collapsed="false">
      <c r="A603" s="61" t="n">
        <f aca="false">INDEX(Datos_Origen!$A$2:$A$2459,$Z603)</f>
        <v>602</v>
      </c>
      <c r="B603" s="62" t="n">
        <f aca="false">IF(ISNUMBER($AB603),$AB603,IF(MID($AB603,5,1)="-",DATE(VALUE(LEFT($AB603,4)),VALUE(MID($AB603,6,2)),VALUE(RIGHT($AB603,2))),DATE(VALUE(RIGHT($AB603,4)),VALUE(MID($AB603,4,2)),VALUE(LEFT($AB603,2)))))</f>
        <v>45476</v>
      </c>
      <c r="C603" s="61" t="n">
        <f aca="false">YEAR($B603)</f>
        <v>2024</v>
      </c>
      <c r="D603" s="61" t="str">
        <f aca="false">"Q"&amp;ROUNDUP(MONTH($B603)/3,0)</f>
        <v>Q3</v>
      </c>
      <c r="E603" s="61" t="n">
        <f aca="false">MONTH($B603)</f>
        <v>7</v>
      </c>
      <c r="F603" s="61" t="str">
        <f aca="false">INDEX(Parametros!$I$5:$I$16,$E603)</f>
        <v>Jul</v>
      </c>
      <c r="G603" s="61" t="str">
        <f aca="false">TEXT($C603,"0000")&amp;"-"&amp;TEXT($E603,"00")</f>
        <v>2024-07</v>
      </c>
      <c r="H603" s="61" t="str">
        <f aca="false">INDEX(Parametros!$C$71:$C$91,MATCH(TRIM(INDEX(Datos_Origen!$C$2:$C$2459,$Z603)),Parametros!$B$71:$B$91,0))</f>
        <v>AMBA</v>
      </c>
      <c r="I603" s="61" t="str">
        <f aca="false">IF(TRIM($AD603)="",INDEX(Parametros!$I$20:$I$24,MATCH($H603,Parametros!$H$20:$H$24,0)),TRIM($AD603))</f>
        <v>Buenos Aires</v>
      </c>
      <c r="J603" s="61" t="str">
        <f aca="false">INDEX(Parametros!$C$95:$C$106,MATCH(TRIM(INDEX(Datos_Origen!$E$2:$E$2459,$Z603)),Parametros!$B$95:$B$106,0))</f>
        <v>E-commerce</v>
      </c>
      <c r="K603" s="61" t="str">
        <f aca="false">INDEX(Parametros!$C$48:$C$67,MATCH(TRIM(INDEX(Datos_Origen!$F$2:$F$2459,$Z603)),Parametros!$B$48:$B$67,0))</f>
        <v>Computacion</v>
      </c>
      <c r="L603" s="61" t="str">
        <f aca="false">$K603&amp;" "&amp;$C603</f>
        <v>Computacion 2024</v>
      </c>
      <c r="M603" s="61" t="str">
        <f aca="false">TRIM(INDEX(Datos_Origen!$G$2:$G$2459,$Z603))</f>
        <v>Laptop Pro 15</v>
      </c>
      <c r="N603" s="61" t="str">
        <f aca="false">$M603&amp;" "&amp;$C603</f>
        <v>Laptop Pro 15 2024</v>
      </c>
      <c r="O603" s="63" t="n">
        <f aca="false">IF(ISTEXT($AC603),VALUE($AC603),$AC603)</f>
        <v>10</v>
      </c>
      <c r="P603" s="64" t="n">
        <f aca="false">INDEX(Datos_Origen!$I$2:$I$2459,$Z603)</f>
        <v>1176</v>
      </c>
      <c r="Q603" s="64" t="n">
        <f aca="false">INDEX(Datos_Origen!$J$2:$J$2459,$Z603)</f>
        <v>744</v>
      </c>
      <c r="R603" s="65" t="n">
        <f aca="false">ROUND($O603*$P603,2)</f>
        <v>11760</v>
      </c>
      <c r="S603" s="65" t="n">
        <f aca="false">ROUND($O603*$Q603,2)</f>
        <v>7440</v>
      </c>
      <c r="T603" s="65" t="n">
        <f aca="false">ROUND($R603*SUMIFS(Parametros!$E$28:$E$43,Parametros!$B$28:$B$43,$J603,Parametros!$C$28:$C$43,$C603,Parametros!$D$28:$D$43,$D603),2)</f>
        <v>540.96</v>
      </c>
      <c r="U603" s="65" t="n">
        <f aca="false">$R603-$S603-$T603</f>
        <v>3779.04</v>
      </c>
      <c r="V603" s="66" t="n">
        <f aca="false">IFERROR($U603/$R603,0)</f>
        <v>0.32134693877551</v>
      </c>
      <c r="W603" s="67" t="str">
        <f aca="false">IF(AND($V603&gt;=Parametros!$C$8,$R603&gt;=Parametros!$C$12),"Alta rentabilidad",IF(OR($V603&lt;Parametros!$C$11,$R603&lt;Parametros!$C$13),"Revisar","Estandar"))</f>
        <v>Estandar</v>
      </c>
      <c r="X603" s="67" t="str">
        <f aca="false">IF(AND($J603="E-commerce",IFERROR($T603/$R603,0)&gt;Parametros!$C$14),"Alerta","OK")</f>
        <v>OK</v>
      </c>
      <c r="Y603" s="61" t="str">
        <f aca="false">IF($R603&gt;=Parametros!$C$12,"Alto",IF($R603&lt;Parametros!$C$13,"Bajo","Medio"))</f>
        <v>Alto</v>
      </c>
      <c r="Z603" s="61" t="n">
        <v>86</v>
      </c>
      <c r="AA603" s="61" t="str">
        <f aca="false">IF(MATCH($A603,Datos_Origen!$A$2:$A$2459,0)=$Z603,"OK","REVISAR")</f>
        <v>OK</v>
      </c>
      <c r="AB603" s="62" t="n">
        <f aca="false">INDEX(Datos_Origen!$B$2:$B$2459,$Z603)</f>
        <v>45476</v>
      </c>
      <c r="AC603" s="61" t="n">
        <f aca="false">INDEX(Datos_Origen!$H$2:$H$2459,$Z603)</f>
        <v>10</v>
      </c>
      <c r="AD603" s="61" t="str">
        <f aca="false">INDEX(Datos_Origen!$D$2:$D$2459,$Z603)&amp;""</f>
        <v>Buenos Aires</v>
      </c>
    </row>
    <row r="604" customFormat="false" ht="15" hidden="false" customHeight="false" outlineLevel="0" collapsed="false">
      <c r="A604" s="61" t="n">
        <f aca="false">INDEX(Datos_Origen!$A$2:$A$2459,$Z604)</f>
        <v>603</v>
      </c>
      <c r="B604" s="62" t="n">
        <f aca="false">IF(ISNUMBER($AB604),$AB604,IF(MID($AB604,5,1)="-",DATE(VALUE(LEFT($AB604,4)),VALUE(MID($AB604,6,2)),VALUE(RIGHT($AB604,2))),DATE(VALUE(RIGHT($AB604,4)),VALUE(MID($AB604,4,2)),VALUE(LEFT($AB604,2)))))</f>
        <v>45483</v>
      </c>
      <c r="C604" s="61" t="n">
        <f aca="false">YEAR($B604)</f>
        <v>2024</v>
      </c>
      <c r="D604" s="61" t="str">
        <f aca="false">"Q"&amp;ROUNDUP(MONTH($B604)/3,0)</f>
        <v>Q3</v>
      </c>
      <c r="E604" s="61" t="n">
        <f aca="false">MONTH($B604)</f>
        <v>7</v>
      </c>
      <c r="F604" s="61" t="str">
        <f aca="false">INDEX(Parametros!$I$5:$I$16,$E604)</f>
        <v>Jul</v>
      </c>
      <c r="G604" s="61" t="str">
        <f aca="false">TEXT($C604,"0000")&amp;"-"&amp;TEXT($E604,"00")</f>
        <v>2024-07</v>
      </c>
      <c r="H604" s="61" t="str">
        <f aca="false">INDEX(Parametros!$C$71:$C$91,MATCH(TRIM(INDEX(Datos_Origen!$C$2:$C$2459,$Z604)),Parametros!$B$71:$B$91,0))</f>
        <v>AMBA</v>
      </c>
      <c r="I604" s="61" t="str">
        <f aca="false">IF(TRIM($AD604)="",INDEX(Parametros!$I$20:$I$24,MATCH($H604,Parametros!$H$20:$H$24,0)),TRIM($AD604))</f>
        <v>Buenos Aires</v>
      </c>
      <c r="J604" s="61" t="str">
        <f aca="false">INDEX(Parametros!$C$95:$C$106,MATCH(TRIM(INDEX(Datos_Origen!$E$2:$E$2459,$Z604)),Parametros!$B$95:$B$106,0))</f>
        <v>Tienda fisica</v>
      </c>
      <c r="K604" s="61" t="str">
        <f aca="false">INDEX(Parametros!$C$48:$C$67,MATCH(TRIM(INDEX(Datos_Origen!$F$2:$F$2459,$Z604)),Parametros!$B$48:$B$67,0))</f>
        <v>Computacion</v>
      </c>
      <c r="L604" s="61" t="str">
        <f aca="false">$K604&amp;" "&amp;$C604</f>
        <v>Computacion 2024</v>
      </c>
      <c r="M604" s="61" t="str">
        <f aca="false">TRIM(INDEX(Datos_Origen!$G$2:$G$2459,$Z604))</f>
        <v>Monitor 4K 27</v>
      </c>
      <c r="N604" s="61" t="str">
        <f aca="false">$M604&amp;" "&amp;$C604</f>
        <v>Monitor 4K 27 2024</v>
      </c>
      <c r="O604" s="63" t="n">
        <f aca="false">IF(ISTEXT($AC604),VALUE($AC604),$AC604)</f>
        <v>22</v>
      </c>
      <c r="P604" s="64" t="n">
        <f aca="false">INDEX(Datos_Origen!$I$2:$I$2459,$Z604)</f>
        <v>441</v>
      </c>
      <c r="Q604" s="64" t="n">
        <f aca="false">INDEX(Datos_Origen!$J$2:$J$2459,$Z604)</f>
        <v>272.25</v>
      </c>
      <c r="R604" s="65" t="n">
        <f aca="false">ROUND($O604*$P604,2)</f>
        <v>9702</v>
      </c>
      <c r="S604" s="65" t="n">
        <f aca="false">ROUND($O604*$Q604,2)</f>
        <v>5989.5</v>
      </c>
      <c r="T604" s="65" t="n">
        <f aca="false">ROUND($R604*SUMIFS(Parametros!$E$28:$E$43,Parametros!$B$28:$B$43,$J604,Parametros!$C$28:$C$43,$C604,Parametros!$D$28:$D$43,$D604),2)</f>
        <v>126.13</v>
      </c>
      <c r="U604" s="65" t="n">
        <f aca="false">$R604-$S604-$T604</f>
        <v>3586.37</v>
      </c>
      <c r="V604" s="66" t="n">
        <f aca="false">IFERROR($U604/$R604,0)</f>
        <v>0.369652648938363</v>
      </c>
      <c r="W604" s="67" t="str">
        <f aca="false">IF(AND($V604&gt;=Parametros!$C$8,$R604&gt;=Parametros!$C$12),"Alta rentabilidad",IF(OR($V604&lt;Parametros!$C$11,$R604&lt;Parametros!$C$13),"Revisar","Estandar"))</f>
        <v>Alta rentabilidad</v>
      </c>
      <c r="X604" s="67" t="str">
        <f aca="false">IF(AND($J604="E-commerce",IFERROR($T604/$R604,0)&gt;Parametros!$C$14),"Alerta","OK")</f>
        <v>OK</v>
      </c>
      <c r="Y604" s="61" t="str">
        <f aca="false">IF($R604&gt;=Parametros!$C$12,"Alto",IF($R604&lt;Parametros!$C$13,"Bajo","Medio"))</f>
        <v>Alto</v>
      </c>
      <c r="Z604" s="61" t="n">
        <v>1974</v>
      </c>
      <c r="AA604" s="61" t="str">
        <f aca="false">IF(MATCH($A604,Datos_Origen!$A$2:$A$2459,0)=$Z604,"OK","REVISAR")</f>
        <v>OK</v>
      </c>
      <c r="AB604" s="62" t="n">
        <f aca="false">INDEX(Datos_Origen!$B$2:$B$2459,$Z604)</f>
        <v>45483</v>
      </c>
      <c r="AC604" s="61" t="n">
        <f aca="false">INDEX(Datos_Origen!$H$2:$H$2459,$Z604)</f>
        <v>22</v>
      </c>
      <c r="AD604" s="61" t="str">
        <f aca="false">INDEX(Datos_Origen!$D$2:$D$2459,$Z604)&amp;""</f>
        <v>Buenos Aires</v>
      </c>
    </row>
    <row r="605" customFormat="false" ht="15" hidden="false" customHeight="false" outlineLevel="0" collapsed="false">
      <c r="A605" s="61" t="n">
        <f aca="false">INDEX(Datos_Origen!$A$2:$A$2459,$Z605)</f>
        <v>604</v>
      </c>
      <c r="B605" s="62" t="n">
        <f aca="false">IF(ISNUMBER($AB605),$AB605,IF(MID($AB605,5,1)="-",DATE(VALUE(LEFT($AB605,4)),VALUE(MID($AB605,6,2)),VALUE(RIGHT($AB605,2))),DATE(VALUE(RIGHT($AB605,4)),VALUE(MID($AB605,4,2)),VALUE(LEFT($AB605,2)))))</f>
        <v>45490</v>
      </c>
      <c r="C605" s="61" t="n">
        <f aca="false">YEAR($B605)</f>
        <v>2024</v>
      </c>
      <c r="D605" s="61" t="str">
        <f aca="false">"Q"&amp;ROUNDUP(MONTH($B605)/3,0)</f>
        <v>Q3</v>
      </c>
      <c r="E605" s="61" t="n">
        <f aca="false">MONTH($B605)</f>
        <v>7</v>
      </c>
      <c r="F605" s="61" t="str">
        <f aca="false">INDEX(Parametros!$I$5:$I$16,$E605)</f>
        <v>Jul</v>
      </c>
      <c r="G605" s="61" t="str">
        <f aca="false">TEXT($C605,"0000")&amp;"-"&amp;TEXT($E605,"00")</f>
        <v>2024-07</v>
      </c>
      <c r="H605" s="61" t="str">
        <f aca="false">INDEX(Parametros!$C$71:$C$91,MATCH(TRIM(INDEX(Datos_Origen!$C$2:$C$2459,$Z605)),Parametros!$B$71:$B$91,0))</f>
        <v>AMBA</v>
      </c>
      <c r="I605" s="61" t="str">
        <f aca="false">IF(TRIM($AD605)="",INDEX(Parametros!$I$20:$I$24,MATCH($H605,Parametros!$H$20:$H$24,0)),TRIM($AD605))</f>
        <v>Buenos Aires</v>
      </c>
      <c r="J605" s="61" t="str">
        <f aca="false">INDEX(Parametros!$C$95:$C$106,MATCH(TRIM(INDEX(Datos_Origen!$E$2:$E$2459,$Z605)),Parametros!$B$95:$B$106,0))</f>
        <v>E-commerce</v>
      </c>
      <c r="K605" s="61" t="str">
        <f aca="false">INDEX(Parametros!$C$48:$C$67,MATCH(TRIM(INDEX(Datos_Origen!$F$2:$F$2459,$Z605)),Parametros!$B$48:$B$67,0))</f>
        <v>Computacion</v>
      </c>
      <c r="L605" s="61" t="str">
        <f aca="false">$K605&amp;" "&amp;$C605</f>
        <v>Computacion 2024</v>
      </c>
      <c r="M605" s="61" t="str">
        <f aca="false">TRIM(INDEX(Datos_Origen!$G$2:$G$2459,$Z605))</f>
        <v>Monitor 4K 27</v>
      </c>
      <c r="N605" s="61" t="str">
        <f aca="false">$M605&amp;" "&amp;$C605</f>
        <v>Monitor 4K 27 2024</v>
      </c>
      <c r="O605" s="63" t="n">
        <f aca="false">IF(ISTEXT($AC605),VALUE($AC605),$AC605)</f>
        <v>9</v>
      </c>
      <c r="P605" s="64" t="n">
        <f aca="false">INDEX(Datos_Origen!$I$2:$I$2459,$Z605)</f>
        <v>441</v>
      </c>
      <c r="Q605" s="64" t="n">
        <f aca="false">INDEX(Datos_Origen!$J$2:$J$2459,$Z605)</f>
        <v>272.25</v>
      </c>
      <c r="R605" s="65" t="n">
        <f aca="false">ROUND($O605*$P605,2)</f>
        <v>3969</v>
      </c>
      <c r="S605" s="65" t="n">
        <f aca="false">ROUND($O605*$Q605,2)</f>
        <v>2450.25</v>
      </c>
      <c r="T605" s="65" t="n">
        <f aca="false">ROUND($R605*SUMIFS(Parametros!$E$28:$E$43,Parametros!$B$28:$B$43,$J605,Parametros!$C$28:$C$43,$C605,Parametros!$D$28:$D$43,$D605),2)</f>
        <v>182.57</v>
      </c>
      <c r="U605" s="65" t="n">
        <f aca="false">$R605-$S605-$T605</f>
        <v>1336.18</v>
      </c>
      <c r="V605" s="66" t="n">
        <f aca="false">IFERROR($U605/$R605,0)</f>
        <v>0.336654069035021</v>
      </c>
      <c r="W605" s="67" t="str">
        <f aca="false">IF(AND($V605&gt;=Parametros!$C$8,$R605&gt;=Parametros!$C$12),"Alta rentabilidad",IF(OR($V605&lt;Parametros!$C$11,$R605&lt;Parametros!$C$13),"Revisar","Estandar"))</f>
        <v>Estandar</v>
      </c>
      <c r="X605" s="67" t="str">
        <f aca="false">IF(AND($J605="E-commerce",IFERROR($T605/$R605,0)&gt;Parametros!$C$14),"Alerta","OK")</f>
        <v>OK</v>
      </c>
      <c r="Y605" s="61" t="str">
        <f aca="false">IF($R605&gt;=Parametros!$C$12,"Alto",IF($R605&lt;Parametros!$C$13,"Bajo","Medio"))</f>
        <v>Alto</v>
      </c>
      <c r="Z605" s="61" t="n">
        <v>1641</v>
      </c>
      <c r="AA605" s="61" t="str">
        <f aca="false">IF(MATCH($A605,Datos_Origen!$A$2:$A$2459,0)=$Z605,"OK","REVISAR")</f>
        <v>OK</v>
      </c>
      <c r="AB605" s="61" t="str">
        <f aca="false">INDEX(Datos_Origen!$B$2:$B$2459,$Z605)</f>
        <v>2024-07-17</v>
      </c>
      <c r="AC605" s="61" t="n">
        <f aca="false">INDEX(Datos_Origen!$H$2:$H$2459,$Z605)</f>
        <v>9</v>
      </c>
      <c r="AD605" s="61" t="str">
        <f aca="false">INDEX(Datos_Origen!$D$2:$D$2459,$Z605)&amp;""</f>
        <v/>
      </c>
    </row>
    <row r="606" customFormat="false" ht="15" hidden="false" customHeight="false" outlineLevel="0" collapsed="false">
      <c r="A606" s="61" t="n">
        <f aca="false">INDEX(Datos_Origen!$A$2:$A$2459,$Z606)</f>
        <v>605</v>
      </c>
      <c r="B606" s="62" t="n">
        <f aca="false">IF(ISNUMBER($AB606),$AB606,IF(MID($AB606,5,1)="-",DATE(VALUE(LEFT($AB606,4)),VALUE(MID($AB606,6,2)),VALUE(RIGHT($AB606,2))),DATE(VALUE(RIGHT($AB606,4)),VALUE(MID($AB606,4,2)),VALUE(LEFT($AB606,2)))))</f>
        <v>45497</v>
      </c>
      <c r="C606" s="61" t="n">
        <f aca="false">YEAR($B606)</f>
        <v>2024</v>
      </c>
      <c r="D606" s="61" t="str">
        <f aca="false">"Q"&amp;ROUNDUP(MONTH($B606)/3,0)</f>
        <v>Q3</v>
      </c>
      <c r="E606" s="61" t="n">
        <f aca="false">MONTH($B606)</f>
        <v>7</v>
      </c>
      <c r="F606" s="61" t="str">
        <f aca="false">INDEX(Parametros!$I$5:$I$16,$E606)</f>
        <v>Jul</v>
      </c>
      <c r="G606" s="61" t="str">
        <f aca="false">TEXT($C606,"0000")&amp;"-"&amp;TEXT($E606,"00")</f>
        <v>2024-07</v>
      </c>
      <c r="H606" s="61" t="str">
        <f aca="false">INDEX(Parametros!$C$71:$C$91,MATCH(TRIM(INDEX(Datos_Origen!$C$2:$C$2459,$Z606)),Parametros!$B$71:$B$91,0))</f>
        <v>AMBA</v>
      </c>
      <c r="I606" s="61" t="str">
        <f aca="false">IF(TRIM($AD606)="",INDEX(Parametros!$I$20:$I$24,MATCH($H606,Parametros!$H$20:$H$24,0)),TRIM($AD606))</f>
        <v>Buenos Aires</v>
      </c>
      <c r="J606" s="61" t="str">
        <f aca="false">INDEX(Parametros!$C$95:$C$106,MATCH(TRIM(INDEX(Datos_Origen!$E$2:$E$2459,$Z606)),Parametros!$B$95:$B$106,0))</f>
        <v>Tienda fisica</v>
      </c>
      <c r="K606" s="61" t="str">
        <f aca="false">INDEX(Parametros!$C$48:$C$67,MATCH(TRIM(INDEX(Datos_Origen!$F$2:$F$2459,$Z606)),Parametros!$B$48:$B$67,0))</f>
        <v>Computacion</v>
      </c>
      <c r="L606" s="61" t="str">
        <f aca="false">$K606&amp;" "&amp;$C606</f>
        <v>Computacion 2024</v>
      </c>
      <c r="M606" s="61" t="str">
        <f aca="false">TRIM(INDEX(Datos_Origen!$G$2:$G$2459,$Z606))</f>
        <v>PC Gamer Ryzen</v>
      </c>
      <c r="N606" s="61" t="str">
        <f aca="false">$M606&amp;" "&amp;$C606</f>
        <v>PC Gamer Ryzen 2024</v>
      </c>
      <c r="O606" s="63" t="n">
        <f aca="false">IF(ISTEXT($AC606),VALUE($AC606),$AC606)</f>
        <v>19</v>
      </c>
      <c r="P606" s="64" t="n">
        <f aca="false">INDEX(Datos_Origen!$I$2:$I$2459,$Z606)</f>
        <v>1617</v>
      </c>
      <c r="Q606" s="64" t="n">
        <f aca="false">INDEX(Datos_Origen!$J$2:$J$2459,$Z606)</f>
        <v>1122</v>
      </c>
      <c r="R606" s="65" t="n">
        <f aca="false">ROUND($O606*$P606,2)</f>
        <v>30723</v>
      </c>
      <c r="S606" s="65" t="n">
        <f aca="false">ROUND($O606*$Q606,2)</f>
        <v>21318</v>
      </c>
      <c r="T606" s="65" t="n">
        <f aca="false">ROUND($R606*SUMIFS(Parametros!$E$28:$E$43,Parametros!$B$28:$B$43,$J606,Parametros!$C$28:$C$43,$C606,Parametros!$D$28:$D$43,$D606),2)</f>
        <v>399.4</v>
      </c>
      <c r="U606" s="65" t="n">
        <f aca="false">$R606-$S606-$T606</f>
        <v>9005.6</v>
      </c>
      <c r="V606" s="66" t="n">
        <f aca="false">IFERROR($U606/$R606,0)</f>
        <v>0.293122416430687</v>
      </c>
      <c r="W606" s="67" t="str">
        <f aca="false">IF(AND($V606&gt;=Parametros!$C$8,$R606&gt;=Parametros!$C$12),"Alta rentabilidad",IF(OR($V606&lt;Parametros!$C$11,$R606&lt;Parametros!$C$13),"Revisar","Estandar"))</f>
        <v>Estandar</v>
      </c>
      <c r="X606" s="67" t="str">
        <f aca="false">IF(AND($J606="E-commerce",IFERROR($T606/$R606,0)&gt;Parametros!$C$14),"Alerta","OK")</f>
        <v>OK</v>
      </c>
      <c r="Y606" s="61" t="str">
        <f aca="false">IF($R606&gt;=Parametros!$C$12,"Alto",IF($R606&lt;Parametros!$C$13,"Bajo","Medio"))</f>
        <v>Alto</v>
      </c>
      <c r="Z606" s="61" t="n">
        <v>1732</v>
      </c>
      <c r="AA606" s="61" t="str">
        <f aca="false">IF(MATCH($A606,Datos_Origen!$A$2:$A$2459,0)=$Z606,"OK","REVISAR")</f>
        <v>OK</v>
      </c>
      <c r="AB606" s="62" t="n">
        <f aca="false">INDEX(Datos_Origen!$B$2:$B$2459,$Z606)</f>
        <v>45497</v>
      </c>
      <c r="AC606" s="61" t="str">
        <f aca="false">INDEX(Datos_Origen!$H$2:$H$2459,$Z606)</f>
        <v>19</v>
      </c>
      <c r="AD606" s="61" t="str">
        <f aca="false">INDEX(Datos_Origen!$D$2:$D$2459,$Z606)&amp;""</f>
        <v>Buenos Aires</v>
      </c>
    </row>
    <row r="607" customFormat="false" ht="15" hidden="false" customHeight="false" outlineLevel="0" collapsed="false">
      <c r="A607" s="61" t="n">
        <f aca="false">INDEX(Datos_Origen!$A$2:$A$2459,$Z607)</f>
        <v>606</v>
      </c>
      <c r="B607" s="62" t="n">
        <f aca="false">IF(ISNUMBER($AB607),$AB607,IF(MID($AB607,5,1)="-",DATE(VALUE(LEFT($AB607,4)),VALUE(MID($AB607,6,2)),VALUE(RIGHT($AB607,2))),DATE(VALUE(RIGHT($AB607,4)),VALUE(MID($AB607,4,2)),VALUE(LEFT($AB607,2)))))</f>
        <v>45477</v>
      </c>
      <c r="C607" s="61" t="n">
        <f aca="false">YEAR($B607)</f>
        <v>2024</v>
      </c>
      <c r="D607" s="61" t="str">
        <f aca="false">"Q"&amp;ROUNDUP(MONTH($B607)/3,0)</f>
        <v>Q3</v>
      </c>
      <c r="E607" s="61" t="n">
        <f aca="false">MONTH($B607)</f>
        <v>7</v>
      </c>
      <c r="F607" s="61" t="str">
        <f aca="false">INDEX(Parametros!$I$5:$I$16,$E607)</f>
        <v>Jul</v>
      </c>
      <c r="G607" s="61" t="str">
        <f aca="false">TEXT($C607,"0000")&amp;"-"&amp;TEXT($E607,"00")</f>
        <v>2024-07</v>
      </c>
      <c r="H607" s="61" t="str">
        <f aca="false">INDEX(Parametros!$C$71:$C$91,MATCH(TRIM(INDEX(Datos_Origen!$C$2:$C$2459,$Z607)),Parametros!$B$71:$B$91,0))</f>
        <v>AMBA</v>
      </c>
      <c r="I607" s="61" t="str">
        <f aca="false">IF(TRIM($AD607)="",INDEX(Parametros!$I$20:$I$24,MATCH($H607,Parametros!$H$20:$H$24,0)),TRIM($AD607))</f>
        <v>Buenos Aires</v>
      </c>
      <c r="J607" s="61" t="str">
        <f aca="false">INDEX(Parametros!$C$95:$C$106,MATCH(TRIM(INDEX(Datos_Origen!$E$2:$E$2459,$Z607)),Parametros!$B$95:$B$106,0))</f>
        <v>E-commerce</v>
      </c>
      <c r="K607" s="61" t="str">
        <f aca="false">INDEX(Parametros!$C$48:$C$67,MATCH(TRIM(INDEX(Datos_Origen!$F$2:$F$2459,$Z607)),Parametros!$B$48:$B$67,0))</f>
        <v>Computacion</v>
      </c>
      <c r="L607" s="61" t="str">
        <f aca="false">$K607&amp;" "&amp;$C607</f>
        <v>Computacion 2024</v>
      </c>
      <c r="M607" s="61" t="str">
        <f aca="false">TRIM(INDEX(Datos_Origen!$G$2:$G$2459,$Z607))</f>
        <v>PC Gamer Ryzen</v>
      </c>
      <c r="N607" s="61" t="str">
        <f aca="false">$M607&amp;" "&amp;$C607</f>
        <v>PC Gamer Ryzen 2024</v>
      </c>
      <c r="O607" s="63" t="n">
        <f aca="false">IF(ISTEXT($AC607),VALUE($AC607),$AC607)</f>
        <v>10</v>
      </c>
      <c r="P607" s="64" t="n">
        <f aca="false">INDEX(Datos_Origen!$I$2:$I$2459,$Z607)</f>
        <v>1617</v>
      </c>
      <c r="Q607" s="64" t="n">
        <f aca="false">INDEX(Datos_Origen!$J$2:$J$2459,$Z607)</f>
        <v>1122</v>
      </c>
      <c r="R607" s="65" t="n">
        <f aca="false">ROUND($O607*$P607,2)</f>
        <v>16170</v>
      </c>
      <c r="S607" s="65" t="n">
        <f aca="false">ROUND($O607*$Q607,2)</f>
        <v>11220</v>
      </c>
      <c r="T607" s="65" t="n">
        <f aca="false">ROUND($R607*SUMIFS(Parametros!$E$28:$E$43,Parametros!$B$28:$B$43,$J607,Parametros!$C$28:$C$43,$C607,Parametros!$D$28:$D$43,$D607),2)</f>
        <v>743.82</v>
      </c>
      <c r="U607" s="65" t="n">
        <f aca="false">$R607-$S607-$T607</f>
        <v>4206.18</v>
      </c>
      <c r="V607" s="66" t="n">
        <f aca="false">IFERROR($U607/$R607,0)</f>
        <v>0.260122448979592</v>
      </c>
      <c r="W607" s="67" t="str">
        <f aca="false">IF(AND($V607&gt;=Parametros!$C$8,$R607&gt;=Parametros!$C$12),"Alta rentabilidad",IF(OR($V607&lt;Parametros!$C$11,$R607&lt;Parametros!$C$13),"Revisar","Estandar"))</f>
        <v>Revisar</v>
      </c>
      <c r="X607" s="67" t="str">
        <f aca="false">IF(AND($J607="E-commerce",IFERROR($T607/$R607,0)&gt;Parametros!$C$14),"Alerta","OK")</f>
        <v>OK</v>
      </c>
      <c r="Y607" s="61" t="str">
        <f aca="false">IF($R607&gt;=Parametros!$C$12,"Alto",IF($R607&lt;Parametros!$C$13,"Bajo","Medio"))</f>
        <v>Alto</v>
      </c>
      <c r="Z607" s="61" t="n">
        <v>727</v>
      </c>
      <c r="AA607" s="61" t="str">
        <f aca="false">IF(MATCH($A607,Datos_Origen!$A$2:$A$2459,0)=$Z607,"OK","REVISAR")</f>
        <v>OK</v>
      </c>
      <c r="AB607" s="62" t="n">
        <f aca="false">INDEX(Datos_Origen!$B$2:$B$2459,$Z607)</f>
        <v>45477</v>
      </c>
      <c r="AC607" s="61" t="n">
        <f aca="false">INDEX(Datos_Origen!$H$2:$H$2459,$Z607)</f>
        <v>10</v>
      </c>
      <c r="AD607" s="61" t="str">
        <f aca="false">INDEX(Datos_Origen!$D$2:$D$2459,$Z607)&amp;""</f>
        <v>Buenos Aires</v>
      </c>
    </row>
    <row r="608" customFormat="false" ht="15" hidden="false" customHeight="false" outlineLevel="0" collapsed="false">
      <c r="A608" s="61" t="n">
        <f aca="false">INDEX(Datos_Origen!$A$2:$A$2459,$Z608)</f>
        <v>607</v>
      </c>
      <c r="B608" s="62" t="n">
        <f aca="false">IF(ISNUMBER($AB608),$AB608,IF(MID($AB608,5,1)="-",DATE(VALUE(LEFT($AB608,4)),VALUE(MID($AB608,6,2)),VALUE(RIGHT($AB608,2))),DATE(VALUE(RIGHT($AB608,4)),VALUE(MID($AB608,4,2)),VALUE(LEFT($AB608,2)))))</f>
        <v>45484</v>
      </c>
      <c r="C608" s="61" t="n">
        <f aca="false">YEAR($B608)</f>
        <v>2024</v>
      </c>
      <c r="D608" s="61" t="str">
        <f aca="false">"Q"&amp;ROUNDUP(MONTH($B608)/3,0)</f>
        <v>Q3</v>
      </c>
      <c r="E608" s="61" t="n">
        <f aca="false">MONTH($B608)</f>
        <v>7</v>
      </c>
      <c r="F608" s="61" t="str">
        <f aca="false">INDEX(Parametros!$I$5:$I$16,$E608)</f>
        <v>Jul</v>
      </c>
      <c r="G608" s="61" t="str">
        <f aca="false">TEXT($C608,"0000")&amp;"-"&amp;TEXT($E608,"00")</f>
        <v>2024-07</v>
      </c>
      <c r="H608" s="61" t="str">
        <f aca="false">INDEX(Parametros!$C$71:$C$91,MATCH(TRIM(INDEX(Datos_Origen!$C$2:$C$2459,$Z608)),Parametros!$B$71:$B$91,0))</f>
        <v>AMBA</v>
      </c>
      <c r="I608" s="61" t="str">
        <f aca="false">IF(TRIM($AD608)="",INDEX(Parametros!$I$20:$I$24,MATCH($H608,Parametros!$H$20:$H$24,0)),TRIM($AD608))</f>
        <v>Buenos Aires</v>
      </c>
      <c r="J608" s="61" t="str">
        <f aca="false">INDEX(Parametros!$C$95:$C$106,MATCH(TRIM(INDEX(Datos_Origen!$E$2:$E$2459,$Z608)),Parametros!$B$95:$B$106,0))</f>
        <v>Tienda fisica</v>
      </c>
      <c r="K608" s="61" t="str">
        <f aca="false">INDEX(Parametros!$C$48:$C$67,MATCH(TRIM(INDEX(Datos_Origen!$F$2:$F$2459,$Z608)),Parametros!$B$48:$B$67,0))</f>
        <v>Accesorios</v>
      </c>
      <c r="L608" s="61" t="str">
        <f aca="false">$K608&amp;" "&amp;$C608</f>
        <v>Accesorios 2024</v>
      </c>
      <c r="M608" s="61" t="str">
        <f aca="false">TRIM(INDEX(Datos_Origen!$G$2:$G$2459,$Z608))</f>
        <v>Mouse Inalambrico</v>
      </c>
      <c r="N608" s="61" t="str">
        <f aca="false">$M608&amp;" "&amp;$C608</f>
        <v>Mouse Inalambrico 2024</v>
      </c>
      <c r="O608" s="63" t="n">
        <f aca="false">IF(ISTEXT($AC608),VALUE($AC608),$AC608)</f>
        <v>124</v>
      </c>
      <c r="P608" s="64" t="n">
        <f aca="false">INDEX(Datos_Origen!$I$2:$I$2459,$Z608)</f>
        <v>27.44</v>
      </c>
      <c r="Q608" s="64" t="n">
        <f aca="false">INDEX(Datos_Origen!$J$2:$J$2459,$Z608)</f>
        <v>13.44</v>
      </c>
      <c r="R608" s="65" t="n">
        <f aca="false">ROUND($O608*$P608,2)</f>
        <v>3402.56</v>
      </c>
      <c r="S608" s="65" t="n">
        <f aca="false">ROUND($O608*$Q608,2)</f>
        <v>1666.56</v>
      </c>
      <c r="T608" s="65" t="n">
        <f aca="false">ROUND($R608*SUMIFS(Parametros!$E$28:$E$43,Parametros!$B$28:$B$43,$J608,Parametros!$C$28:$C$43,$C608,Parametros!$D$28:$D$43,$D608),2)</f>
        <v>44.23</v>
      </c>
      <c r="U608" s="65" t="n">
        <f aca="false">$R608-$S608-$T608</f>
        <v>1691.77</v>
      </c>
      <c r="V608" s="66" t="n">
        <f aca="false">IFERROR($U608/$R608,0)</f>
        <v>0.497205045612715</v>
      </c>
      <c r="W608" s="67" t="str">
        <f aca="false">IF(AND($V608&gt;=Parametros!$C$8,$R608&gt;=Parametros!$C$12),"Alta rentabilidad",IF(OR($V608&lt;Parametros!$C$11,$R608&lt;Parametros!$C$13),"Revisar","Estandar"))</f>
        <v>Alta rentabilidad</v>
      </c>
      <c r="X608" s="67" t="str">
        <f aca="false">IF(AND($J608="E-commerce",IFERROR($T608/$R608,0)&gt;Parametros!$C$14),"Alerta","OK")</f>
        <v>OK</v>
      </c>
      <c r="Y608" s="61" t="str">
        <f aca="false">IF($R608&gt;=Parametros!$C$12,"Alto",IF($R608&lt;Parametros!$C$13,"Bajo","Medio"))</f>
        <v>Alto</v>
      </c>
      <c r="Z608" s="61" t="n">
        <v>164</v>
      </c>
      <c r="AA608" s="61" t="str">
        <f aca="false">IF(MATCH($A608,Datos_Origen!$A$2:$A$2459,0)=$Z608,"OK","REVISAR")</f>
        <v>OK</v>
      </c>
      <c r="AB608" s="62" t="n">
        <f aca="false">INDEX(Datos_Origen!$B$2:$B$2459,$Z608)</f>
        <v>45484</v>
      </c>
      <c r="AC608" s="61" t="n">
        <f aca="false">INDEX(Datos_Origen!$H$2:$H$2459,$Z608)</f>
        <v>124</v>
      </c>
      <c r="AD608" s="61" t="str">
        <f aca="false">INDEX(Datos_Origen!$D$2:$D$2459,$Z608)&amp;""</f>
        <v>Buenos Aires</v>
      </c>
    </row>
    <row r="609" customFormat="false" ht="15" hidden="false" customHeight="false" outlineLevel="0" collapsed="false">
      <c r="A609" s="61" t="n">
        <f aca="false">INDEX(Datos_Origen!$A$2:$A$2459,$Z609)</f>
        <v>608</v>
      </c>
      <c r="B609" s="62" t="n">
        <f aca="false">IF(ISNUMBER($AB609),$AB609,IF(MID($AB609,5,1)="-",DATE(VALUE(LEFT($AB609,4)),VALUE(MID($AB609,6,2)),VALUE(RIGHT($AB609,2))),DATE(VALUE(RIGHT($AB609,4)),VALUE(MID($AB609,4,2)),VALUE(LEFT($AB609,2)))))</f>
        <v>45491</v>
      </c>
      <c r="C609" s="61" t="n">
        <f aca="false">YEAR($B609)</f>
        <v>2024</v>
      </c>
      <c r="D609" s="61" t="str">
        <f aca="false">"Q"&amp;ROUNDUP(MONTH($B609)/3,0)</f>
        <v>Q3</v>
      </c>
      <c r="E609" s="61" t="n">
        <f aca="false">MONTH($B609)</f>
        <v>7</v>
      </c>
      <c r="F609" s="61" t="str">
        <f aca="false">INDEX(Parametros!$I$5:$I$16,$E609)</f>
        <v>Jul</v>
      </c>
      <c r="G609" s="61" t="str">
        <f aca="false">TEXT($C609,"0000")&amp;"-"&amp;TEXT($E609,"00")</f>
        <v>2024-07</v>
      </c>
      <c r="H609" s="61" t="str">
        <f aca="false">INDEX(Parametros!$C$71:$C$91,MATCH(TRIM(INDEX(Datos_Origen!$C$2:$C$2459,$Z609)),Parametros!$B$71:$B$91,0))</f>
        <v>AMBA</v>
      </c>
      <c r="I609" s="61" t="str">
        <f aca="false">IF(TRIM($AD609)="",INDEX(Parametros!$I$20:$I$24,MATCH($H609,Parametros!$H$20:$H$24,0)),TRIM($AD609))</f>
        <v>Buenos Aires</v>
      </c>
      <c r="J609" s="61" t="str">
        <f aca="false">INDEX(Parametros!$C$95:$C$106,MATCH(TRIM(INDEX(Datos_Origen!$E$2:$E$2459,$Z609)),Parametros!$B$95:$B$106,0))</f>
        <v>E-commerce</v>
      </c>
      <c r="K609" s="61" t="str">
        <f aca="false">INDEX(Parametros!$C$48:$C$67,MATCH(TRIM(INDEX(Datos_Origen!$F$2:$F$2459,$Z609)),Parametros!$B$48:$B$67,0))</f>
        <v>Accesorios</v>
      </c>
      <c r="L609" s="61" t="str">
        <f aca="false">$K609&amp;" "&amp;$C609</f>
        <v>Accesorios 2024</v>
      </c>
      <c r="M609" s="61" t="str">
        <f aca="false">TRIM(INDEX(Datos_Origen!$G$2:$G$2459,$Z609))</f>
        <v>Mouse Inalambrico</v>
      </c>
      <c r="N609" s="61" t="str">
        <f aca="false">$M609&amp;" "&amp;$C609</f>
        <v>Mouse Inalambrico 2024</v>
      </c>
      <c r="O609" s="63" t="n">
        <f aca="false">IF(ISTEXT($AC609),VALUE($AC609),$AC609)</f>
        <v>40</v>
      </c>
      <c r="P609" s="64" t="n">
        <f aca="false">INDEX(Datos_Origen!$I$2:$I$2459,$Z609)</f>
        <v>27.44</v>
      </c>
      <c r="Q609" s="64" t="n">
        <f aca="false">INDEX(Datos_Origen!$J$2:$J$2459,$Z609)</f>
        <v>13.44</v>
      </c>
      <c r="R609" s="65" t="n">
        <f aca="false">ROUND($O609*$P609,2)</f>
        <v>1097.6</v>
      </c>
      <c r="S609" s="65" t="n">
        <f aca="false">ROUND($O609*$Q609,2)</f>
        <v>537.6</v>
      </c>
      <c r="T609" s="65" t="n">
        <f aca="false">ROUND($R609*SUMIFS(Parametros!$E$28:$E$43,Parametros!$B$28:$B$43,$J609,Parametros!$C$28:$C$43,$C609,Parametros!$D$28:$D$43,$D609),2)</f>
        <v>50.49</v>
      </c>
      <c r="U609" s="65" t="n">
        <f aca="false">$R609-$S609-$T609</f>
        <v>509.51</v>
      </c>
      <c r="V609" s="66" t="n">
        <f aca="false">IFERROR($U609/$R609,0)</f>
        <v>0.464203717201166</v>
      </c>
      <c r="W609" s="67" t="str">
        <f aca="false">IF(AND($V609&gt;=Parametros!$C$8,$R609&gt;=Parametros!$C$12),"Alta rentabilidad",IF(OR($V609&lt;Parametros!$C$11,$R609&lt;Parametros!$C$13),"Revisar","Estandar"))</f>
        <v>Estandar</v>
      </c>
      <c r="X609" s="67" t="str">
        <f aca="false">IF(AND($J609="E-commerce",IFERROR($T609/$R609,0)&gt;Parametros!$C$14),"Alerta","OK")</f>
        <v>OK</v>
      </c>
      <c r="Y609" s="61" t="str">
        <f aca="false">IF($R609&gt;=Parametros!$C$12,"Alto",IF($R609&lt;Parametros!$C$13,"Bajo","Medio"))</f>
        <v>Medio</v>
      </c>
      <c r="Z609" s="61" t="n">
        <v>2323</v>
      </c>
      <c r="AA609" s="61" t="str">
        <f aca="false">IF(MATCH($A609,Datos_Origen!$A$2:$A$2459,0)=$Z609,"OK","REVISAR")</f>
        <v>OK</v>
      </c>
      <c r="AB609" s="62" t="n">
        <f aca="false">INDEX(Datos_Origen!$B$2:$B$2459,$Z609)</f>
        <v>45491</v>
      </c>
      <c r="AC609" s="61" t="n">
        <f aca="false">INDEX(Datos_Origen!$H$2:$H$2459,$Z609)</f>
        <v>40</v>
      </c>
      <c r="AD609" s="61" t="str">
        <f aca="false">INDEX(Datos_Origen!$D$2:$D$2459,$Z609)&amp;""</f>
        <v>Buenos Aires</v>
      </c>
    </row>
    <row r="610" customFormat="false" ht="15" hidden="false" customHeight="false" outlineLevel="0" collapsed="false">
      <c r="A610" s="61" t="n">
        <f aca="false">INDEX(Datos_Origen!$A$2:$A$2459,$Z610)</f>
        <v>609</v>
      </c>
      <c r="B610" s="62" t="n">
        <f aca="false">IF(ISNUMBER($AB610),$AB610,IF(MID($AB610,5,1)="-",DATE(VALUE(LEFT($AB610,4)),VALUE(MID($AB610,6,2)),VALUE(RIGHT($AB610,2))),DATE(VALUE(RIGHT($AB610,4)),VALUE(MID($AB610,4,2)),VALUE(LEFT($AB610,2)))))</f>
        <v>45498</v>
      </c>
      <c r="C610" s="61" t="n">
        <f aca="false">YEAR($B610)</f>
        <v>2024</v>
      </c>
      <c r="D610" s="61" t="str">
        <f aca="false">"Q"&amp;ROUNDUP(MONTH($B610)/3,0)</f>
        <v>Q3</v>
      </c>
      <c r="E610" s="61" t="n">
        <f aca="false">MONTH($B610)</f>
        <v>7</v>
      </c>
      <c r="F610" s="61" t="str">
        <f aca="false">INDEX(Parametros!$I$5:$I$16,$E610)</f>
        <v>Jul</v>
      </c>
      <c r="G610" s="61" t="str">
        <f aca="false">TEXT($C610,"0000")&amp;"-"&amp;TEXT($E610,"00")</f>
        <v>2024-07</v>
      </c>
      <c r="H610" s="61" t="str">
        <f aca="false">INDEX(Parametros!$C$71:$C$91,MATCH(TRIM(INDEX(Datos_Origen!$C$2:$C$2459,$Z610)),Parametros!$B$71:$B$91,0))</f>
        <v>AMBA</v>
      </c>
      <c r="I610" s="61" t="str">
        <f aca="false">IF(TRIM($AD610)="",INDEX(Parametros!$I$20:$I$24,MATCH($H610,Parametros!$H$20:$H$24,0)),TRIM($AD610))</f>
        <v>Buenos Aires</v>
      </c>
      <c r="J610" s="61" t="str">
        <f aca="false">INDEX(Parametros!$C$95:$C$106,MATCH(TRIM(INDEX(Datos_Origen!$E$2:$E$2459,$Z610)),Parametros!$B$95:$B$106,0))</f>
        <v>Tienda fisica</v>
      </c>
      <c r="K610" s="61" t="str">
        <f aca="false">INDEX(Parametros!$C$48:$C$67,MATCH(TRIM(INDEX(Datos_Origen!$F$2:$F$2459,$Z610)),Parametros!$B$48:$B$67,0))</f>
        <v>Accesorios</v>
      </c>
      <c r="L610" s="61" t="str">
        <f aca="false">$K610&amp;" "&amp;$C610</f>
        <v>Accesorios 2024</v>
      </c>
      <c r="M610" s="61" t="str">
        <f aca="false">TRIM(INDEX(Datos_Origen!$G$2:$G$2459,$Z610))</f>
        <v>Teclado Mecanico</v>
      </c>
      <c r="N610" s="61" t="str">
        <f aca="false">$M610&amp;" "&amp;$C610</f>
        <v>Teclado Mecanico 2024</v>
      </c>
      <c r="O610" s="63" t="n">
        <f aca="false">IF(ISTEXT($AC610),VALUE($AC610),$AC610)</f>
        <v>125</v>
      </c>
      <c r="P610" s="64" t="n">
        <f aca="false">INDEX(Datos_Origen!$I$2:$I$2459,$Z610)</f>
        <v>93.1</v>
      </c>
      <c r="Q610" s="64" t="n">
        <f aca="false">INDEX(Datos_Origen!$J$2:$J$2459,$Z610)</f>
        <v>47.98</v>
      </c>
      <c r="R610" s="65" t="n">
        <f aca="false">ROUND($O610*$P610,2)</f>
        <v>11637.5</v>
      </c>
      <c r="S610" s="65" t="n">
        <f aca="false">ROUND($O610*$Q610,2)</f>
        <v>5997.5</v>
      </c>
      <c r="T610" s="65" t="n">
        <f aca="false">ROUND($R610*SUMIFS(Parametros!$E$28:$E$43,Parametros!$B$28:$B$43,$J610,Parametros!$C$28:$C$43,$C610,Parametros!$D$28:$D$43,$D610),2)</f>
        <v>151.29</v>
      </c>
      <c r="U610" s="65" t="n">
        <f aca="false">$R610-$S610-$T610</f>
        <v>5488.71</v>
      </c>
      <c r="V610" s="66" t="n">
        <f aca="false">IFERROR($U610/$R610,0)</f>
        <v>0.471639957035446</v>
      </c>
      <c r="W610" s="67" t="str">
        <f aca="false">IF(AND($V610&gt;=Parametros!$C$8,$R610&gt;=Parametros!$C$12),"Alta rentabilidad",IF(OR($V610&lt;Parametros!$C$11,$R610&lt;Parametros!$C$13),"Revisar","Estandar"))</f>
        <v>Alta rentabilidad</v>
      </c>
      <c r="X610" s="67" t="str">
        <f aca="false">IF(AND($J610="E-commerce",IFERROR($T610/$R610,0)&gt;Parametros!$C$14),"Alerta","OK")</f>
        <v>OK</v>
      </c>
      <c r="Y610" s="61" t="str">
        <f aca="false">IF($R610&gt;=Parametros!$C$12,"Alto",IF($R610&lt;Parametros!$C$13,"Bajo","Medio"))</f>
        <v>Alto</v>
      </c>
      <c r="Z610" s="61" t="n">
        <v>639</v>
      </c>
      <c r="AA610" s="61" t="str">
        <f aca="false">IF(MATCH($A610,Datos_Origen!$A$2:$A$2459,0)=$Z610,"OK","REVISAR")</f>
        <v>OK</v>
      </c>
      <c r="AB610" s="62" t="n">
        <f aca="false">INDEX(Datos_Origen!$B$2:$B$2459,$Z610)</f>
        <v>45498</v>
      </c>
      <c r="AC610" s="61" t="n">
        <f aca="false">INDEX(Datos_Origen!$H$2:$H$2459,$Z610)</f>
        <v>125</v>
      </c>
      <c r="AD610" s="61" t="str">
        <f aca="false">INDEX(Datos_Origen!$D$2:$D$2459,$Z610)&amp;""</f>
        <v>Buenos Aires</v>
      </c>
    </row>
    <row r="611" customFormat="false" ht="15" hidden="false" customHeight="false" outlineLevel="0" collapsed="false">
      <c r="A611" s="61" t="n">
        <f aca="false">INDEX(Datos_Origen!$A$2:$A$2459,$Z611)</f>
        <v>610</v>
      </c>
      <c r="B611" s="62" t="n">
        <f aca="false">IF(ISNUMBER($AB611),$AB611,IF(MID($AB611,5,1)="-",DATE(VALUE(LEFT($AB611,4)),VALUE(MID($AB611,6,2)),VALUE(RIGHT($AB611,2))),DATE(VALUE(RIGHT($AB611,4)),VALUE(MID($AB611,4,2)),VALUE(LEFT($AB611,2)))))</f>
        <v>45478</v>
      </c>
      <c r="C611" s="61" t="n">
        <f aca="false">YEAR($B611)</f>
        <v>2024</v>
      </c>
      <c r="D611" s="61" t="str">
        <f aca="false">"Q"&amp;ROUNDUP(MONTH($B611)/3,0)</f>
        <v>Q3</v>
      </c>
      <c r="E611" s="61" t="n">
        <f aca="false">MONTH($B611)</f>
        <v>7</v>
      </c>
      <c r="F611" s="61" t="str">
        <f aca="false">INDEX(Parametros!$I$5:$I$16,$E611)</f>
        <v>Jul</v>
      </c>
      <c r="G611" s="61" t="str">
        <f aca="false">TEXT($C611,"0000")&amp;"-"&amp;TEXT($E611,"00")</f>
        <v>2024-07</v>
      </c>
      <c r="H611" s="61" t="str">
        <f aca="false">INDEX(Parametros!$C$71:$C$91,MATCH(TRIM(INDEX(Datos_Origen!$C$2:$C$2459,$Z611)),Parametros!$B$71:$B$91,0))</f>
        <v>AMBA</v>
      </c>
      <c r="I611" s="61" t="str">
        <f aca="false">IF(TRIM($AD611)="",INDEX(Parametros!$I$20:$I$24,MATCH($H611,Parametros!$H$20:$H$24,0)),TRIM($AD611))</f>
        <v>Buenos Aires</v>
      </c>
      <c r="J611" s="61" t="str">
        <f aca="false">INDEX(Parametros!$C$95:$C$106,MATCH(TRIM(INDEX(Datos_Origen!$E$2:$E$2459,$Z611)),Parametros!$B$95:$B$106,0))</f>
        <v>E-commerce</v>
      </c>
      <c r="K611" s="61" t="str">
        <f aca="false">INDEX(Parametros!$C$48:$C$67,MATCH(TRIM(INDEX(Datos_Origen!$F$2:$F$2459,$Z611)),Parametros!$B$48:$B$67,0))</f>
        <v>Accesorios</v>
      </c>
      <c r="L611" s="61" t="str">
        <f aca="false">$K611&amp;" "&amp;$C611</f>
        <v>Accesorios 2024</v>
      </c>
      <c r="M611" s="61" t="str">
        <f aca="false">TRIM(INDEX(Datos_Origen!$G$2:$G$2459,$Z611))</f>
        <v>Teclado Mecanico</v>
      </c>
      <c r="N611" s="61" t="str">
        <f aca="false">$M611&amp;" "&amp;$C611</f>
        <v>Teclado Mecanico 2024</v>
      </c>
      <c r="O611" s="63" t="n">
        <f aca="false">IF(ISTEXT($AC611),VALUE($AC611),$AC611)</f>
        <v>49</v>
      </c>
      <c r="P611" s="64" t="n">
        <f aca="false">INDEX(Datos_Origen!$I$2:$I$2459,$Z611)</f>
        <v>93.1</v>
      </c>
      <c r="Q611" s="64" t="n">
        <f aca="false">INDEX(Datos_Origen!$J$2:$J$2459,$Z611)</f>
        <v>47.98</v>
      </c>
      <c r="R611" s="65" t="n">
        <f aca="false">ROUND($O611*$P611,2)</f>
        <v>4561.9</v>
      </c>
      <c r="S611" s="65" t="n">
        <f aca="false">ROUND($O611*$Q611,2)</f>
        <v>2351.02</v>
      </c>
      <c r="T611" s="65" t="n">
        <f aca="false">ROUND($R611*SUMIFS(Parametros!$E$28:$E$43,Parametros!$B$28:$B$43,$J611,Parametros!$C$28:$C$43,$C611,Parametros!$D$28:$D$43,$D611),2)</f>
        <v>209.85</v>
      </c>
      <c r="U611" s="65" t="n">
        <f aca="false">$R611-$S611-$T611</f>
        <v>2001.03</v>
      </c>
      <c r="V611" s="66" t="n">
        <f aca="false">IFERROR($U611/$R611,0)</f>
        <v>0.438639601920253</v>
      </c>
      <c r="W611" s="67" t="str">
        <f aca="false">IF(AND($V611&gt;=Parametros!$C$8,$R611&gt;=Parametros!$C$12),"Alta rentabilidad",IF(OR($V611&lt;Parametros!$C$11,$R611&lt;Parametros!$C$13),"Revisar","Estandar"))</f>
        <v>Alta rentabilidad</v>
      </c>
      <c r="X611" s="67" t="str">
        <f aca="false">IF(AND($J611="E-commerce",IFERROR($T611/$R611,0)&gt;Parametros!$C$14),"Alerta","OK")</f>
        <v>OK</v>
      </c>
      <c r="Y611" s="61" t="str">
        <f aca="false">IF($R611&gt;=Parametros!$C$12,"Alto",IF($R611&lt;Parametros!$C$13,"Bajo","Medio"))</f>
        <v>Alto</v>
      </c>
      <c r="Z611" s="61" t="n">
        <v>905</v>
      </c>
      <c r="AA611" s="61" t="str">
        <f aca="false">IF(MATCH($A611,Datos_Origen!$A$2:$A$2459,0)=$Z611,"OK","REVISAR")</f>
        <v>OK</v>
      </c>
      <c r="AB611" s="62" t="n">
        <f aca="false">INDEX(Datos_Origen!$B$2:$B$2459,$Z611)</f>
        <v>45478</v>
      </c>
      <c r="AC611" s="61" t="n">
        <f aca="false">INDEX(Datos_Origen!$H$2:$H$2459,$Z611)</f>
        <v>49</v>
      </c>
      <c r="AD611" s="61" t="str">
        <f aca="false">INDEX(Datos_Origen!$D$2:$D$2459,$Z611)&amp;""</f>
        <v>Buenos Aires</v>
      </c>
    </row>
    <row r="612" customFormat="false" ht="15" hidden="false" customHeight="false" outlineLevel="0" collapsed="false">
      <c r="A612" s="61" t="n">
        <f aca="false">INDEX(Datos_Origen!$A$2:$A$2459,$Z612)</f>
        <v>611</v>
      </c>
      <c r="B612" s="62" t="n">
        <f aca="false">IF(ISNUMBER($AB612),$AB612,IF(MID($AB612,5,1)="-",DATE(VALUE(LEFT($AB612,4)),VALUE(MID($AB612,6,2)),VALUE(RIGHT($AB612,2))),DATE(VALUE(RIGHT($AB612,4)),VALUE(MID($AB612,4,2)),VALUE(LEFT($AB612,2)))))</f>
        <v>45485</v>
      </c>
      <c r="C612" s="61" t="n">
        <f aca="false">YEAR($B612)</f>
        <v>2024</v>
      </c>
      <c r="D612" s="61" t="str">
        <f aca="false">"Q"&amp;ROUNDUP(MONTH($B612)/3,0)</f>
        <v>Q3</v>
      </c>
      <c r="E612" s="61" t="n">
        <f aca="false">MONTH($B612)</f>
        <v>7</v>
      </c>
      <c r="F612" s="61" t="str">
        <f aca="false">INDEX(Parametros!$I$5:$I$16,$E612)</f>
        <v>Jul</v>
      </c>
      <c r="G612" s="61" t="str">
        <f aca="false">TEXT($C612,"0000")&amp;"-"&amp;TEXT($E612,"00")</f>
        <v>2024-07</v>
      </c>
      <c r="H612" s="61" t="str">
        <f aca="false">INDEX(Parametros!$C$71:$C$91,MATCH(TRIM(INDEX(Datos_Origen!$C$2:$C$2459,$Z612)),Parametros!$B$71:$B$91,0))</f>
        <v>AMBA</v>
      </c>
      <c r="I612" s="61" t="str">
        <f aca="false">IF(TRIM($AD612)="",INDEX(Parametros!$I$20:$I$24,MATCH($H612,Parametros!$H$20:$H$24,0)),TRIM($AD612))</f>
        <v>Buenos Aires</v>
      </c>
      <c r="J612" s="61" t="str">
        <f aca="false">INDEX(Parametros!$C$95:$C$106,MATCH(TRIM(INDEX(Datos_Origen!$E$2:$E$2459,$Z612)),Parametros!$B$95:$B$106,0))</f>
        <v>Tienda fisica</v>
      </c>
      <c r="K612" s="61" t="str">
        <f aca="false">INDEX(Parametros!$C$48:$C$67,MATCH(TRIM(INDEX(Datos_Origen!$F$2:$F$2459,$Z612)),Parametros!$B$48:$B$67,0))</f>
        <v>Accesorios</v>
      </c>
      <c r="L612" s="61" t="str">
        <f aca="false">$K612&amp;" "&amp;$C612</f>
        <v>Accesorios 2024</v>
      </c>
      <c r="M612" s="61" t="str">
        <f aca="false">TRIM(INDEX(Datos_Origen!$G$2:$G$2459,$Z612))</f>
        <v>Webcam Full HD</v>
      </c>
      <c r="N612" s="61" t="str">
        <f aca="false">$M612&amp;" "&amp;$C612</f>
        <v>Webcam Full HD 2024</v>
      </c>
      <c r="O612" s="63" t="n">
        <f aca="false">IF(ISTEXT($AC612),VALUE($AC612),$AC612)</f>
        <v>101</v>
      </c>
      <c r="P612" s="64" t="n">
        <f aca="false">INDEX(Datos_Origen!$I$2:$I$2459,$Z612)</f>
        <v>63.7</v>
      </c>
      <c r="Q612" s="64" t="n">
        <f aca="false">INDEX(Datos_Origen!$J$2:$J$2459,$Z612)</f>
        <v>35.43</v>
      </c>
      <c r="R612" s="65" t="n">
        <f aca="false">ROUND($O612*$P612,2)</f>
        <v>6433.7</v>
      </c>
      <c r="S612" s="65" t="n">
        <f aca="false">ROUND($O612*$Q612,2)</f>
        <v>3578.43</v>
      </c>
      <c r="T612" s="65" t="n">
        <f aca="false">ROUND($R612*SUMIFS(Parametros!$E$28:$E$43,Parametros!$B$28:$B$43,$J612,Parametros!$C$28:$C$43,$C612,Parametros!$D$28:$D$43,$D612),2)</f>
        <v>83.64</v>
      </c>
      <c r="U612" s="65" t="n">
        <f aca="false">$R612-$S612-$T612</f>
        <v>2771.63</v>
      </c>
      <c r="V612" s="66" t="n">
        <f aca="false">IFERROR($U612/$R612,0)</f>
        <v>0.430798762764817</v>
      </c>
      <c r="W612" s="67" t="str">
        <f aca="false">IF(AND($V612&gt;=Parametros!$C$8,$R612&gt;=Parametros!$C$12),"Alta rentabilidad",IF(OR($V612&lt;Parametros!$C$11,$R612&lt;Parametros!$C$13),"Revisar","Estandar"))</f>
        <v>Alta rentabilidad</v>
      </c>
      <c r="X612" s="67" t="str">
        <f aca="false">IF(AND($J612="E-commerce",IFERROR($T612/$R612,0)&gt;Parametros!$C$14),"Alerta","OK")</f>
        <v>OK</v>
      </c>
      <c r="Y612" s="61" t="str">
        <f aca="false">IF($R612&gt;=Parametros!$C$12,"Alto",IF($R612&lt;Parametros!$C$13,"Bajo","Medio"))</f>
        <v>Alto</v>
      </c>
      <c r="Z612" s="61" t="n">
        <v>1398</v>
      </c>
      <c r="AA612" s="61" t="str">
        <f aca="false">IF(MATCH($A612,Datos_Origen!$A$2:$A$2459,0)=$Z612,"OK","REVISAR")</f>
        <v>OK</v>
      </c>
      <c r="AB612" s="61" t="str">
        <f aca="false">INDEX(Datos_Origen!$B$2:$B$2459,$Z612)</f>
        <v>12/07/2024</v>
      </c>
      <c r="AC612" s="61" t="n">
        <f aca="false">INDEX(Datos_Origen!$H$2:$H$2459,$Z612)</f>
        <v>101</v>
      </c>
      <c r="AD612" s="61" t="str">
        <f aca="false">INDEX(Datos_Origen!$D$2:$D$2459,$Z612)&amp;""</f>
        <v>Buenos Aires</v>
      </c>
    </row>
    <row r="613" customFormat="false" ht="15" hidden="false" customHeight="false" outlineLevel="0" collapsed="false">
      <c r="A613" s="61" t="n">
        <f aca="false">INDEX(Datos_Origen!$A$2:$A$2459,$Z613)</f>
        <v>612</v>
      </c>
      <c r="B613" s="62" t="n">
        <f aca="false">IF(ISNUMBER($AB613),$AB613,IF(MID($AB613,5,1)="-",DATE(VALUE(LEFT($AB613,4)),VALUE(MID($AB613,6,2)),VALUE(RIGHT($AB613,2))),DATE(VALUE(RIGHT($AB613,4)),VALUE(MID($AB613,4,2)),VALUE(LEFT($AB613,2)))))</f>
        <v>45492</v>
      </c>
      <c r="C613" s="61" t="n">
        <f aca="false">YEAR($B613)</f>
        <v>2024</v>
      </c>
      <c r="D613" s="61" t="str">
        <f aca="false">"Q"&amp;ROUNDUP(MONTH($B613)/3,0)</f>
        <v>Q3</v>
      </c>
      <c r="E613" s="61" t="n">
        <f aca="false">MONTH($B613)</f>
        <v>7</v>
      </c>
      <c r="F613" s="61" t="str">
        <f aca="false">INDEX(Parametros!$I$5:$I$16,$E613)</f>
        <v>Jul</v>
      </c>
      <c r="G613" s="61" t="str">
        <f aca="false">TEXT($C613,"0000")&amp;"-"&amp;TEXT($E613,"00")</f>
        <v>2024-07</v>
      </c>
      <c r="H613" s="61" t="str">
        <f aca="false">INDEX(Parametros!$C$71:$C$91,MATCH(TRIM(INDEX(Datos_Origen!$C$2:$C$2459,$Z613)),Parametros!$B$71:$B$91,0))</f>
        <v>AMBA</v>
      </c>
      <c r="I613" s="61" t="str">
        <f aca="false">IF(TRIM($AD613)="",INDEX(Parametros!$I$20:$I$24,MATCH($H613,Parametros!$H$20:$H$24,0)),TRIM($AD613))</f>
        <v>Buenos Aires</v>
      </c>
      <c r="J613" s="61" t="str">
        <f aca="false">INDEX(Parametros!$C$95:$C$106,MATCH(TRIM(INDEX(Datos_Origen!$E$2:$E$2459,$Z613)),Parametros!$B$95:$B$106,0))</f>
        <v>E-commerce</v>
      </c>
      <c r="K613" s="61" t="str">
        <f aca="false">INDEX(Parametros!$C$48:$C$67,MATCH(TRIM(INDEX(Datos_Origen!$F$2:$F$2459,$Z613)),Parametros!$B$48:$B$67,0))</f>
        <v>Accesorios</v>
      </c>
      <c r="L613" s="61" t="str">
        <f aca="false">$K613&amp;" "&amp;$C613</f>
        <v>Accesorios 2024</v>
      </c>
      <c r="M613" s="61" t="str">
        <f aca="false">TRIM(INDEX(Datos_Origen!$G$2:$G$2459,$Z613))</f>
        <v>Webcam Full HD</v>
      </c>
      <c r="N613" s="61" t="str">
        <f aca="false">$M613&amp;" "&amp;$C613</f>
        <v>Webcam Full HD 2024</v>
      </c>
      <c r="O613" s="63" t="n">
        <f aca="false">IF(ISTEXT($AC613),VALUE($AC613),$AC613)</f>
        <v>38</v>
      </c>
      <c r="P613" s="64" t="n">
        <f aca="false">INDEX(Datos_Origen!$I$2:$I$2459,$Z613)</f>
        <v>63.7</v>
      </c>
      <c r="Q613" s="64" t="n">
        <f aca="false">INDEX(Datos_Origen!$J$2:$J$2459,$Z613)</f>
        <v>35.43</v>
      </c>
      <c r="R613" s="65" t="n">
        <f aca="false">ROUND($O613*$P613,2)</f>
        <v>2420.6</v>
      </c>
      <c r="S613" s="65" t="n">
        <f aca="false">ROUND($O613*$Q613,2)</f>
        <v>1346.34</v>
      </c>
      <c r="T613" s="65" t="n">
        <f aca="false">ROUND($R613*SUMIFS(Parametros!$E$28:$E$43,Parametros!$B$28:$B$43,$J613,Parametros!$C$28:$C$43,$C613,Parametros!$D$28:$D$43,$D613),2)</f>
        <v>111.35</v>
      </c>
      <c r="U613" s="65" t="n">
        <f aca="false">$R613-$S613-$T613</f>
        <v>962.91</v>
      </c>
      <c r="V613" s="66" t="n">
        <f aca="false">IFERROR($U613/$R613,0)</f>
        <v>0.397798066595059</v>
      </c>
      <c r="W613" s="67" t="str">
        <f aca="false">IF(AND($V613&gt;=Parametros!$C$8,$R613&gt;=Parametros!$C$12),"Alta rentabilidad",IF(OR($V613&lt;Parametros!$C$11,$R613&lt;Parametros!$C$13),"Revisar","Estandar"))</f>
        <v>Estandar</v>
      </c>
      <c r="X613" s="67" t="str">
        <f aca="false">IF(AND($J613="E-commerce",IFERROR($T613/$R613,0)&gt;Parametros!$C$14),"Alerta","OK")</f>
        <v>OK</v>
      </c>
      <c r="Y613" s="61" t="str">
        <f aca="false">IF($R613&gt;=Parametros!$C$12,"Alto",IF($R613&lt;Parametros!$C$13,"Bajo","Medio"))</f>
        <v>Medio</v>
      </c>
      <c r="Z613" s="61" t="n">
        <v>1367</v>
      </c>
      <c r="AA613" s="61" t="str">
        <f aca="false">IF(MATCH($A613,Datos_Origen!$A$2:$A$2459,0)=$Z613,"OK","REVISAR")</f>
        <v>OK</v>
      </c>
      <c r="AB613" s="62" t="n">
        <f aca="false">INDEX(Datos_Origen!$B$2:$B$2459,$Z613)</f>
        <v>45492</v>
      </c>
      <c r="AC613" s="61" t="n">
        <f aca="false">INDEX(Datos_Origen!$H$2:$H$2459,$Z613)</f>
        <v>38</v>
      </c>
      <c r="AD613" s="61" t="str">
        <f aca="false">INDEX(Datos_Origen!$D$2:$D$2459,$Z613)&amp;""</f>
        <v>Buenos Aires</v>
      </c>
    </row>
    <row r="614" customFormat="false" ht="15" hidden="false" customHeight="false" outlineLevel="0" collapsed="false">
      <c r="A614" s="61" t="n">
        <f aca="false">INDEX(Datos_Origen!$A$2:$A$2459,$Z614)</f>
        <v>613</v>
      </c>
      <c r="B614" s="62" t="n">
        <f aca="false">IF(ISNUMBER($AB614),$AB614,IF(MID($AB614,5,1)="-",DATE(VALUE(LEFT($AB614,4)),VALUE(MID($AB614,6,2)),VALUE(RIGHT($AB614,2))),DATE(VALUE(RIGHT($AB614,4)),VALUE(MID($AB614,4,2)),VALUE(LEFT($AB614,2)))))</f>
        <v>45499</v>
      </c>
      <c r="C614" s="61" t="n">
        <f aca="false">YEAR($B614)</f>
        <v>2024</v>
      </c>
      <c r="D614" s="61" t="str">
        <f aca="false">"Q"&amp;ROUNDUP(MONTH($B614)/3,0)</f>
        <v>Q3</v>
      </c>
      <c r="E614" s="61" t="n">
        <f aca="false">MONTH($B614)</f>
        <v>7</v>
      </c>
      <c r="F614" s="61" t="str">
        <f aca="false">INDEX(Parametros!$I$5:$I$16,$E614)</f>
        <v>Jul</v>
      </c>
      <c r="G614" s="61" t="str">
        <f aca="false">TEXT($C614,"0000")&amp;"-"&amp;TEXT($E614,"00")</f>
        <v>2024-07</v>
      </c>
      <c r="H614" s="61" t="str">
        <f aca="false">INDEX(Parametros!$C$71:$C$91,MATCH(TRIM(INDEX(Datos_Origen!$C$2:$C$2459,$Z614)),Parametros!$B$71:$B$91,0))</f>
        <v>AMBA</v>
      </c>
      <c r="I614" s="61" t="str">
        <f aca="false">IF(TRIM($AD614)="",INDEX(Parametros!$I$20:$I$24,MATCH($H614,Parametros!$H$20:$H$24,0)),TRIM($AD614))</f>
        <v>Buenos Aires</v>
      </c>
      <c r="J614" s="61" t="str">
        <f aca="false">INDEX(Parametros!$C$95:$C$106,MATCH(TRIM(INDEX(Datos_Origen!$E$2:$E$2459,$Z614)),Parametros!$B$95:$B$106,0))</f>
        <v>Tienda fisica</v>
      </c>
      <c r="K614" s="61" t="str">
        <f aca="false">INDEX(Parametros!$C$48:$C$67,MATCH(TRIM(INDEX(Datos_Origen!$F$2:$F$2459,$Z614)),Parametros!$B$48:$B$67,0))</f>
        <v>Audio</v>
      </c>
      <c r="L614" s="61" t="str">
        <f aca="false">$K614&amp;" "&amp;$C614</f>
        <v>Audio 2024</v>
      </c>
      <c r="M614" s="61" t="str">
        <f aca="false">TRIM(INDEX(Datos_Origen!$G$2:$G$2459,$Z614))</f>
        <v>Auriculares BT Pro</v>
      </c>
      <c r="N614" s="61" t="str">
        <f aca="false">$M614&amp;" "&amp;$C614</f>
        <v>Auriculares BT Pro 2024</v>
      </c>
      <c r="O614" s="63" t="n">
        <f aca="false">IF(ISTEXT($AC614),VALUE($AC614),$AC614)</f>
        <v>48</v>
      </c>
      <c r="P614" s="64" t="n">
        <f aca="false">INDEX(Datos_Origen!$I$2:$I$2459,$Z614)</f>
        <v>117.6</v>
      </c>
      <c r="Q614" s="64" t="n">
        <f aca="false">INDEX(Datos_Origen!$J$2:$J$2459,$Z614)</f>
        <v>63.6</v>
      </c>
      <c r="R614" s="65" t="n">
        <f aca="false">ROUND($O614*$P614,2)</f>
        <v>5644.8</v>
      </c>
      <c r="S614" s="65" t="n">
        <f aca="false">ROUND($O614*$Q614,2)</f>
        <v>3052.8</v>
      </c>
      <c r="T614" s="65" t="n">
        <f aca="false">ROUND($R614*SUMIFS(Parametros!$E$28:$E$43,Parametros!$B$28:$B$43,$J614,Parametros!$C$28:$C$43,$C614,Parametros!$D$28:$D$43,$D614),2)</f>
        <v>73.38</v>
      </c>
      <c r="U614" s="65" t="n">
        <f aca="false">$R614-$S614-$T614</f>
        <v>2518.62</v>
      </c>
      <c r="V614" s="66" t="n">
        <f aca="false">IFERROR($U614/$R614,0)</f>
        <v>0.446184098639456</v>
      </c>
      <c r="W614" s="67" t="str">
        <f aca="false">IF(AND($V614&gt;=Parametros!$C$8,$R614&gt;=Parametros!$C$12),"Alta rentabilidad",IF(OR($V614&lt;Parametros!$C$11,$R614&lt;Parametros!$C$13),"Revisar","Estandar"))</f>
        <v>Alta rentabilidad</v>
      </c>
      <c r="X614" s="67" t="str">
        <f aca="false">IF(AND($J614="E-commerce",IFERROR($T614/$R614,0)&gt;Parametros!$C$14),"Alerta","OK")</f>
        <v>OK</v>
      </c>
      <c r="Y614" s="61" t="str">
        <f aca="false">IF($R614&gt;=Parametros!$C$12,"Alto",IF($R614&lt;Parametros!$C$13,"Bajo","Medio"))</f>
        <v>Alto</v>
      </c>
      <c r="Z614" s="61" t="n">
        <v>741</v>
      </c>
      <c r="AA614" s="61" t="str">
        <f aca="false">IF(MATCH($A614,Datos_Origen!$A$2:$A$2459,0)=$Z614,"OK","REVISAR")</f>
        <v>OK</v>
      </c>
      <c r="AB614" s="61" t="str">
        <f aca="false">INDEX(Datos_Origen!$B$2:$B$2459,$Z614)</f>
        <v>2024-07-26</v>
      </c>
      <c r="AC614" s="61" t="n">
        <f aca="false">INDEX(Datos_Origen!$H$2:$H$2459,$Z614)</f>
        <v>48</v>
      </c>
      <c r="AD614" s="61" t="str">
        <f aca="false">INDEX(Datos_Origen!$D$2:$D$2459,$Z614)&amp;""</f>
        <v>Buenos Aires</v>
      </c>
    </row>
    <row r="615" customFormat="false" ht="15" hidden="false" customHeight="false" outlineLevel="0" collapsed="false">
      <c r="A615" s="61" t="n">
        <f aca="false">INDEX(Datos_Origen!$A$2:$A$2459,$Z615)</f>
        <v>614</v>
      </c>
      <c r="B615" s="62" t="n">
        <f aca="false">IF(ISNUMBER($AB615),$AB615,IF(MID($AB615,5,1)="-",DATE(VALUE(LEFT($AB615,4)),VALUE(MID($AB615,6,2)),VALUE(RIGHT($AB615,2))),DATE(VALUE(RIGHT($AB615,4)),VALUE(MID($AB615,4,2)),VALUE(LEFT($AB615,2)))))</f>
        <v>45479</v>
      </c>
      <c r="C615" s="61" t="n">
        <f aca="false">YEAR($B615)</f>
        <v>2024</v>
      </c>
      <c r="D615" s="61" t="str">
        <f aca="false">"Q"&amp;ROUNDUP(MONTH($B615)/3,0)</f>
        <v>Q3</v>
      </c>
      <c r="E615" s="61" t="n">
        <f aca="false">MONTH($B615)</f>
        <v>7</v>
      </c>
      <c r="F615" s="61" t="str">
        <f aca="false">INDEX(Parametros!$I$5:$I$16,$E615)</f>
        <v>Jul</v>
      </c>
      <c r="G615" s="61" t="str">
        <f aca="false">TEXT($C615,"0000")&amp;"-"&amp;TEXT($E615,"00")</f>
        <v>2024-07</v>
      </c>
      <c r="H615" s="61" t="str">
        <f aca="false">INDEX(Parametros!$C$71:$C$91,MATCH(TRIM(INDEX(Datos_Origen!$C$2:$C$2459,$Z615)),Parametros!$B$71:$B$91,0))</f>
        <v>AMBA</v>
      </c>
      <c r="I615" s="61" t="str">
        <f aca="false">IF(TRIM($AD615)="",INDEX(Parametros!$I$20:$I$24,MATCH($H615,Parametros!$H$20:$H$24,0)),TRIM($AD615))</f>
        <v>Buenos Aires</v>
      </c>
      <c r="J615" s="61" t="str">
        <f aca="false">INDEX(Parametros!$C$95:$C$106,MATCH(TRIM(INDEX(Datos_Origen!$E$2:$E$2459,$Z615)),Parametros!$B$95:$B$106,0))</f>
        <v>E-commerce</v>
      </c>
      <c r="K615" s="61" t="str">
        <f aca="false">INDEX(Parametros!$C$48:$C$67,MATCH(TRIM(INDEX(Datos_Origen!$F$2:$F$2459,$Z615)),Parametros!$B$48:$B$67,0))</f>
        <v>Audio</v>
      </c>
      <c r="L615" s="61" t="str">
        <f aca="false">$K615&amp;" "&amp;$C615</f>
        <v>Audio 2024</v>
      </c>
      <c r="M615" s="61" t="str">
        <f aca="false">TRIM(INDEX(Datos_Origen!$G$2:$G$2459,$Z615))</f>
        <v>Auriculares BT Pro</v>
      </c>
      <c r="N615" s="61" t="str">
        <f aca="false">$M615&amp;" "&amp;$C615</f>
        <v>Auriculares BT Pro 2024</v>
      </c>
      <c r="O615" s="63" t="n">
        <f aca="false">IF(ISTEXT($AC615),VALUE($AC615),$AC615)</f>
        <v>18</v>
      </c>
      <c r="P615" s="64" t="n">
        <f aca="false">INDEX(Datos_Origen!$I$2:$I$2459,$Z615)</f>
        <v>117.6</v>
      </c>
      <c r="Q615" s="64" t="n">
        <f aca="false">INDEX(Datos_Origen!$J$2:$J$2459,$Z615)</f>
        <v>63.6</v>
      </c>
      <c r="R615" s="65" t="n">
        <f aca="false">ROUND($O615*$P615,2)</f>
        <v>2116.8</v>
      </c>
      <c r="S615" s="65" t="n">
        <f aca="false">ROUND($O615*$Q615,2)</f>
        <v>1144.8</v>
      </c>
      <c r="T615" s="65" t="n">
        <f aca="false">ROUND($R615*SUMIFS(Parametros!$E$28:$E$43,Parametros!$B$28:$B$43,$J615,Parametros!$C$28:$C$43,$C615,Parametros!$D$28:$D$43,$D615),2)</f>
        <v>97.37</v>
      </c>
      <c r="U615" s="65" t="n">
        <f aca="false">$R615-$S615-$T615</f>
        <v>874.63</v>
      </c>
      <c r="V615" s="66" t="n">
        <f aca="false">IFERROR($U615/$R615,0)</f>
        <v>0.413184996220711</v>
      </c>
      <c r="W615" s="67" t="str">
        <f aca="false">IF(AND($V615&gt;=Parametros!$C$8,$R615&gt;=Parametros!$C$12),"Alta rentabilidad",IF(OR($V615&lt;Parametros!$C$11,$R615&lt;Parametros!$C$13),"Revisar","Estandar"))</f>
        <v>Estandar</v>
      </c>
      <c r="X615" s="67" t="str">
        <f aca="false">IF(AND($J615="E-commerce",IFERROR($T615/$R615,0)&gt;Parametros!$C$14),"Alerta","OK")</f>
        <v>OK</v>
      </c>
      <c r="Y615" s="61" t="str">
        <f aca="false">IF($R615&gt;=Parametros!$C$12,"Alto",IF($R615&lt;Parametros!$C$13,"Bajo","Medio"))</f>
        <v>Medio</v>
      </c>
      <c r="Z615" s="61" t="n">
        <v>1048</v>
      </c>
      <c r="AA615" s="61" t="str">
        <f aca="false">IF(MATCH($A615,Datos_Origen!$A$2:$A$2459,0)=$Z615,"OK","REVISAR")</f>
        <v>OK</v>
      </c>
      <c r="AB615" s="62" t="n">
        <f aca="false">INDEX(Datos_Origen!$B$2:$B$2459,$Z615)</f>
        <v>45479</v>
      </c>
      <c r="AC615" s="61" t="n">
        <f aca="false">INDEX(Datos_Origen!$H$2:$H$2459,$Z615)</f>
        <v>18</v>
      </c>
      <c r="AD615" s="61" t="str">
        <f aca="false">INDEX(Datos_Origen!$D$2:$D$2459,$Z615)&amp;""</f>
        <v>Buenos Aires</v>
      </c>
    </row>
    <row r="616" customFormat="false" ht="15" hidden="false" customHeight="false" outlineLevel="0" collapsed="false">
      <c r="A616" s="61" t="n">
        <f aca="false">INDEX(Datos_Origen!$A$2:$A$2459,$Z616)</f>
        <v>615</v>
      </c>
      <c r="B616" s="62" t="n">
        <f aca="false">IF(ISNUMBER($AB616),$AB616,IF(MID($AB616,5,1)="-",DATE(VALUE(LEFT($AB616,4)),VALUE(MID($AB616,6,2)),VALUE(RIGHT($AB616,2))),DATE(VALUE(RIGHT($AB616,4)),VALUE(MID($AB616,4,2)),VALUE(LEFT($AB616,2)))))</f>
        <v>45486</v>
      </c>
      <c r="C616" s="61" t="n">
        <f aca="false">YEAR($B616)</f>
        <v>2024</v>
      </c>
      <c r="D616" s="61" t="str">
        <f aca="false">"Q"&amp;ROUNDUP(MONTH($B616)/3,0)</f>
        <v>Q3</v>
      </c>
      <c r="E616" s="61" t="n">
        <f aca="false">MONTH($B616)</f>
        <v>7</v>
      </c>
      <c r="F616" s="61" t="str">
        <f aca="false">INDEX(Parametros!$I$5:$I$16,$E616)</f>
        <v>Jul</v>
      </c>
      <c r="G616" s="61" t="str">
        <f aca="false">TEXT($C616,"0000")&amp;"-"&amp;TEXT($E616,"00")</f>
        <v>2024-07</v>
      </c>
      <c r="H616" s="61" t="str">
        <f aca="false">INDEX(Parametros!$C$71:$C$91,MATCH(TRIM(INDEX(Datos_Origen!$C$2:$C$2459,$Z616)),Parametros!$B$71:$B$91,0))</f>
        <v>AMBA</v>
      </c>
      <c r="I616" s="61" t="str">
        <f aca="false">IF(TRIM($AD616)="",INDEX(Parametros!$I$20:$I$24,MATCH($H616,Parametros!$H$20:$H$24,0)),TRIM($AD616))</f>
        <v>Buenos Aires</v>
      </c>
      <c r="J616" s="61" t="str">
        <f aca="false">INDEX(Parametros!$C$95:$C$106,MATCH(TRIM(INDEX(Datos_Origen!$E$2:$E$2459,$Z616)),Parametros!$B$95:$B$106,0))</f>
        <v>Tienda fisica</v>
      </c>
      <c r="K616" s="61" t="str">
        <f aca="false">INDEX(Parametros!$C$48:$C$67,MATCH(TRIM(INDEX(Datos_Origen!$F$2:$F$2459,$Z616)),Parametros!$B$48:$B$67,0))</f>
        <v>Audio</v>
      </c>
      <c r="L616" s="61" t="str">
        <f aca="false">$K616&amp;" "&amp;$C616</f>
        <v>Audio 2024</v>
      </c>
      <c r="M616" s="61" t="str">
        <f aca="false">TRIM(INDEX(Datos_Origen!$G$2:$G$2459,$Z616))</f>
        <v>Parlante Bluetooth</v>
      </c>
      <c r="N616" s="61" t="str">
        <f aca="false">$M616&amp;" "&amp;$C616</f>
        <v>Parlante Bluetooth 2024</v>
      </c>
      <c r="O616" s="63" t="n">
        <f aca="false">IF(ISTEXT($AC616),VALUE($AC616),$AC616)</f>
        <v>43</v>
      </c>
      <c r="P616" s="64" t="n">
        <f aca="false">INDEX(Datos_Origen!$I$2:$I$2459,$Z616)</f>
        <v>83.3</v>
      </c>
      <c r="Q616" s="64" t="n">
        <f aca="false">INDEX(Datos_Origen!$J$2:$J$2459,$Z616)</f>
        <v>48.03</v>
      </c>
      <c r="R616" s="65" t="n">
        <f aca="false">ROUND($O616*$P616,2)</f>
        <v>3581.9</v>
      </c>
      <c r="S616" s="65" t="n">
        <f aca="false">ROUND($O616*$Q616,2)</f>
        <v>2065.29</v>
      </c>
      <c r="T616" s="65" t="n">
        <f aca="false">ROUND($R616*SUMIFS(Parametros!$E$28:$E$43,Parametros!$B$28:$B$43,$J616,Parametros!$C$28:$C$43,$C616,Parametros!$D$28:$D$43,$D616),2)</f>
        <v>46.56</v>
      </c>
      <c r="U616" s="65" t="n">
        <f aca="false">$R616-$S616-$T616</f>
        <v>1470.05</v>
      </c>
      <c r="V616" s="66" t="n">
        <f aca="false">IFERROR($U616/$R616,0)</f>
        <v>0.410410675898266</v>
      </c>
      <c r="W616" s="67" t="str">
        <f aca="false">IF(AND($V616&gt;=Parametros!$C$8,$R616&gt;=Parametros!$C$12),"Alta rentabilidad",IF(OR($V616&lt;Parametros!$C$11,$R616&lt;Parametros!$C$13),"Revisar","Estandar"))</f>
        <v>Alta rentabilidad</v>
      </c>
      <c r="X616" s="67" t="str">
        <f aca="false">IF(AND($J616="E-commerce",IFERROR($T616/$R616,0)&gt;Parametros!$C$14),"Alerta","OK")</f>
        <v>OK</v>
      </c>
      <c r="Y616" s="61" t="str">
        <f aca="false">IF($R616&gt;=Parametros!$C$12,"Alto",IF($R616&lt;Parametros!$C$13,"Bajo","Medio"))</f>
        <v>Alto</v>
      </c>
      <c r="Z616" s="61" t="n">
        <v>1617</v>
      </c>
      <c r="AA616" s="61" t="str">
        <f aca="false">IF(MATCH($A616,Datos_Origen!$A$2:$A$2459,0)=$Z616,"OK","REVISAR")</f>
        <v>OK</v>
      </c>
      <c r="AB616" s="62" t="n">
        <f aca="false">INDEX(Datos_Origen!$B$2:$B$2459,$Z616)</f>
        <v>45486</v>
      </c>
      <c r="AC616" s="61" t="n">
        <f aca="false">INDEX(Datos_Origen!$H$2:$H$2459,$Z616)</f>
        <v>43</v>
      </c>
      <c r="AD616" s="61" t="str">
        <f aca="false">INDEX(Datos_Origen!$D$2:$D$2459,$Z616)&amp;""</f>
        <v>Buenos Aires</v>
      </c>
    </row>
    <row r="617" customFormat="false" ht="15" hidden="false" customHeight="false" outlineLevel="0" collapsed="false">
      <c r="A617" s="61" t="n">
        <f aca="false">INDEX(Datos_Origen!$A$2:$A$2459,$Z617)</f>
        <v>616</v>
      </c>
      <c r="B617" s="62" t="n">
        <f aca="false">IF(ISNUMBER($AB617),$AB617,IF(MID($AB617,5,1)="-",DATE(VALUE(LEFT($AB617,4)),VALUE(MID($AB617,6,2)),VALUE(RIGHT($AB617,2))),DATE(VALUE(RIGHT($AB617,4)),VALUE(MID($AB617,4,2)),VALUE(LEFT($AB617,2)))))</f>
        <v>45493</v>
      </c>
      <c r="C617" s="61" t="n">
        <f aca="false">YEAR($B617)</f>
        <v>2024</v>
      </c>
      <c r="D617" s="61" t="str">
        <f aca="false">"Q"&amp;ROUNDUP(MONTH($B617)/3,0)</f>
        <v>Q3</v>
      </c>
      <c r="E617" s="61" t="n">
        <f aca="false">MONTH($B617)</f>
        <v>7</v>
      </c>
      <c r="F617" s="61" t="str">
        <f aca="false">INDEX(Parametros!$I$5:$I$16,$E617)</f>
        <v>Jul</v>
      </c>
      <c r="G617" s="61" t="str">
        <f aca="false">TEXT($C617,"0000")&amp;"-"&amp;TEXT($E617,"00")</f>
        <v>2024-07</v>
      </c>
      <c r="H617" s="61" t="str">
        <f aca="false">INDEX(Parametros!$C$71:$C$91,MATCH(TRIM(INDEX(Datos_Origen!$C$2:$C$2459,$Z617)),Parametros!$B$71:$B$91,0))</f>
        <v>AMBA</v>
      </c>
      <c r="I617" s="61" t="str">
        <f aca="false">IF(TRIM($AD617)="",INDEX(Parametros!$I$20:$I$24,MATCH($H617,Parametros!$H$20:$H$24,0)),TRIM($AD617))</f>
        <v>Buenos Aires</v>
      </c>
      <c r="J617" s="61" t="str">
        <f aca="false">INDEX(Parametros!$C$95:$C$106,MATCH(TRIM(INDEX(Datos_Origen!$E$2:$E$2459,$Z617)),Parametros!$B$95:$B$106,0))</f>
        <v>E-commerce</v>
      </c>
      <c r="K617" s="61" t="str">
        <f aca="false">INDEX(Parametros!$C$48:$C$67,MATCH(TRIM(INDEX(Datos_Origen!$F$2:$F$2459,$Z617)),Parametros!$B$48:$B$67,0))</f>
        <v>Audio</v>
      </c>
      <c r="L617" s="61" t="str">
        <f aca="false">$K617&amp;" "&amp;$C617</f>
        <v>Audio 2024</v>
      </c>
      <c r="M617" s="61" t="str">
        <f aca="false">TRIM(INDEX(Datos_Origen!$G$2:$G$2459,$Z617))</f>
        <v>Parlante Bluetooth</v>
      </c>
      <c r="N617" s="61" t="str">
        <f aca="false">$M617&amp;" "&amp;$C617</f>
        <v>Parlante Bluetooth 2024</v>
      </c>
      <c r="O617" s="63" t="n">
        <f aca="false">IF(ISTEXT($AC617),VALUE($AC617),$AC617)</f>
        <v>22</v>
      </c>
      <c r="P617" s="64" t="n">
        <f aca="false">INDEX(Datos_Origen!$I$2:$I$2459,$Z617)</f>
        <v>83.3</v>
      </c>
      <c r="Q617" s="64" t="n">
        <f aca="false">INDEX(Datos_Origen!$J$2:$J$2459,$Z617)</f>
        <v>48.03</v>
      </c>
      <c r="R617" s="65" t="n">
        <f aca="false">ROUND($O617*$P617,2)</f>
        <v>1832.6</v>
      </c>
      <c r="S617" s="65" t="n">
        <f aca="false">ROUND($O617*$Q617,2)</f>
        <v>1056.66</v>
      </c>
      <c r="T617" s="65" t="n">
        <f aca="false">ROUND($R617*SUMIFS(Parametros!$E$28:$E$43,Parametros!$B$28:$B$43,$J617,Parametros!$C$28:$C$43,$C617,Parametros!$D$28:$D$43,$D617),2)</f>
        <v>84.3</v>
      </c>
      <c r="U617" s="65" t="n">
        <f aca="false">$R617-$S617-$T617</f>
        <v>691.64</v>
      </c>
      <c r="V617" s="66" t="n">
        <f aca="false">IFERROR($U617/$R617,0)</f>
        <v>0.377409145476372</v>
      </c>
      <c r="W617" s="67" t="str">
        <f aca="false">IF(AND($V617&gt;=Parametros!$C$8,$R617&gt;=Parametros!$C$12),"Alta rentabilidad",IF(OR($V617&lt;Parametros!$C$11,$R617&lt;Parametros!$C$13),"Revisar","Estandar"))</f>
        <v>Estandar</v>
      </c>
      <c r="X617" s="67" t="str">
        <f aca="false">IF(AND($J617="E-commerce",IFERROR($T617/$R617,0)&gt;Parametros!$C$14),"Alerta","OK")</f>
        <v>OK</v>
      </c>
      <c r="Y617" s="61" t="str">
        <f aca="false">IF($R617&gt;=Parametros!$C$12,"Alto",IF($R617&lt;Parametros!$C$13,"Bajo","Medio"))</f>
        <v>Medio</v>
      </c>
      <c r="Z617" s="61" t="n">
        <v>2346</v>
      </c>
      <c r="AA617" s="61" t="str">
        <f aca="false">IF(MATCH($A617,Datos_Origen!$A$2:$A$2459,0)=$Z617,"OK","REVISAR")</f>
        <v>OK</v>
      </c>
      <c r="AB617" s="62" t="n">
        <f aca="false">INDEX(Datos_Origen!$B$2:$B$2459,$Z617)</f>
        <v>45493</v>
      </c>
      <c r="AC617" s="61" t="n">
        <f aca="false">INDEX(Datos_Origen!$H$2:$H$2459,$Z617)</f>
        <v>22</v>
      </c>
      <c r="AD617" s="61" t="str">
        <f aca="false">INDEX(Datos_Origen!$D$2:$D$2459,$Z617)&amp;""</f>
        <v>Buenos Aires</v>
      </c>
    </row>
    <row r="618" customFormat="false" ht="15" hidden="false" customHeight="false" outlineLevel="0" collapsed="false">
      <c r="A618" s="61" t="n">
        <f aca="false">INDEX(Datos_Origen!$A$2:$A$2459,$Z618)</f>
        <v>617</v>
      </c>
      <c r="B618" s="62" t="n">
        <f aca="false">IF(ISNUMBER($AB618),$AB618,IF(MID($AB618,5,1)="-",DATE(VALUE(LEFT($AB618,4)),VALUE(MID($AB618,6,2)),VALUE(RIGHT($AB618,2))),DATE(VALUE(RIGHT($AB618,4)),VALUE(MID($AB618,4,2)),VALUE(LEFT($AB618,2)))))</f>
        <v>45500</v>
      </c>
      <c r="C618" s="61" t="n">
        <f aca="false">YEAR($B618)</f>
        <v>2024</v>
      </c>
      <c r="D618" s="61" t="str">
        <f aca="false">"Q"&amp;ROUNDUP(MONTH($B618)/3,0)</f>
        <v>Q3</v>
      </c>
      <c r="E618" s="61" t="n">
        <f aca="false">MONTH($B618)</f>
        <v>7</v>
      </c>
      <c r="F618" s="61" t="str">
        <f aca="false">INDEX(Parametros!$I$5:$I$16,$E618)</f>
        <v>Jul</v>
      </c>
      <c r="G618" s="61" t="str">
        <f aca="false">TEXT($C618,"0000")&amp;"-"&amp;TEXT($E618,"00")</f>
        <v>2024-07</v>
      </c>
      <c r="H618" s="61" t="str">
        <f aca="false">INDEX(Parametros!$C$71:$C$91,MATCH(TRIM(INDEX(Datos_Origen!$C$2:$C$2459,$Z618)),Parametros!$B$71:$B$91,0))</f>
        <v>AMBA</v>
      </c>
      <c r="I618" s="61" t="str">
        <f aca="false">IF(TRIM($AD618)="",INDEX(Parametros!$I$20:$I$24,MATCH($H618,Parametros!$H$20:$H$24,0)),TRIM($AD618))</f>
        <v>Buenos Aires</v>
      </c>
      <c r="J618" s="61" t="str">
        <f aca="false">INDEX(Parametros!$C$95:$C$106,MATCH(TRIM(INDEX(Datos_Origen!$E$2:$E$2459,$Z618)),Parametros!$B$95:$B$106,0))</f>
        <v>Tienda fisica</v>
      </c>
      <c r="K618" s="61" t="str">
        <f aca="false">INDEX(Parametros!$C$48:$C$67,MATCH(TRIM(INDEX(Datos_Origen!$F$2:$F$2459,$Z618)),Parametros!$B$48:$B$67,0))</f>
        <v>Almacenamiento</v>
      </c>
      <c r="L618" s="61" t="str">
        <f aca="false">$K618&amp;" "&amp;$C618</f>
        <v>Almacenamiento 2024</v>
      </c>
      <c r="M618" s="61" t="str">
        <f aca="false">TRIM(INDEX(Datos_Origen!$G$2:$G$2459,$Z618))</f>
        <v>SSD Externo 1TB</v>
      </c>
      <c r="N618" s="61" t="str">
        <f aca="false">$M618&amp;" "&amp;$C618</f>
        <v>SSD Externo 1TB 2024</v>
      </c>
      <c r="O618" s="63" t="n">
        <f aca="false">IF(ISTEXT($AC618),VALUE($AC618),$AC618)</f>
        <v>64</v>
      </c>
      <c r="P618" s="64" t="n">
        <f aca="false">INDEX(Datos_Origen!$I$2:$I$2459,$Z618)</f>
        <v>127.4</v>
      </c>
      <c r="Q618" s="64" t="n">
        <f aca="false">INDEX(Datos_Origen!$J$2:$J$2459,$Z618)</f>
        <v>76.05</v>
      </c>
      <c r="R618" s="65" t="n">
        <f aca="false">ROUND($O618*$P618,2)</f>
        <v>8153.6</v>
      </c>
      <c r="S618" s="65" t="n">
        <f aca="false">ROUND($O618*$Q618,2)</f>
        <v>4867.2</v>
      </c>
      <c r="T618" s="65" t="n">
        <f aca="false">ROUND($R618*SUMIFS(Parametros!$E$28:$E$43,Parametros!$B$28:$B$43,$J618,Parametros!$C$28:$C$43,$C618,Parametros!$D$28:$D$43,$D618),2)</f>
        <v>106</v>
      </c>
      <c r="U618" s="65" t="n">
        <f aca="false">$R618-$S618-$T618</f>
        <v>3180.4</v>
      </c>
      <c r="V618" s="66" t="n">
        <f aca="false">IFERROR($U618/$R618,0)</f>
        <v>0.390060832025118</v>
      </c>
      <c r="W618" s="67" t="str">
        <f aca="false">IF(AND($V618&gt;=Parametros!$C$8,$R618&gt;=Parametros!$C$12),"Alta rentabilidad",IF(OR($V618&lt;Parametros!$C$11,$R618&lt;Parametros!$C$13),"Revisar","Estandar"))</f>
        <v>Alta rentabilidad</v>
      </c>
      <c r="X618" s="67" t="str">
        <f aca="false">IF(AND($J618="E-commerce",IFERROR($T618/$R618,0)&gt;Parametros!$C$14),"Alerta","OK")</f>
        <v>OK</v>
      </c>
      <c r="Y618" s="61" t="str">
        <f aca="false">IF($R618&gt;=Parametros!$C$12,"Alto",IF($R618&lt;Parametros!$C$13,"Bajo","Medio"))</f>
        <v>Alto</v>
      </c>
      <c r="Z618" s="61" t="n">
        <v>1230</v>
      </c>
      <c r="AA618" s="61" t="str">
        <f aca="false">IF(MATCH($A618,Datos_Origen!$A$2:$A$2459,0)=$Z618,"OK","REVISAR")</f>
        <v>OK</v>
      </c>
      <c r="AB618" s="61" t="str">
        <f aca="false">INDEX(Datos_Origen!$B$2:$B$2459,$Z618)</f>
        <v>27/07/2024</v>
      </c>
      <c r="AC618" s="61" t="n">
        <f aca="false">INDEX(Datos_Origen!$H$2:$H$2459,$Z618)</f>
        <v>64</v>
      </c>
      <c r="AD618" s="61" t="str">
        <f aca="false">INDEX(Datos_Origen!$D$2:$D$2459,$Z618)&amp;""</f>
        <v>Buenos Aires</v>
      </c>
    </row>
    <row r="619" customFormat="false" ht="15" hidden="false" customHeight="false" outlineLevel="0" collapsed="false">
      <c r="A619" s="61" t="n">
        <f aca="false">INDEX(Datos_Origen!$A$2:$A$2459,$Z619)</f>
        <v>618</v>
      </c>
      <c r="B619" s="62" t="n">
        <f aca="false">IF(ISNUMBER($AB619),$AB619,IF(MID($AB619,5,1)="-",DATE(VALUE(LEFT($AB619,4)),VALUE(MID($AB619,6,2)),VALUE(RIGHT($AB619,2))),DATE(VALUE(RIGHT($AB619,4)),VALUE(MID($AB619,4,2)),VALUE(LEFT($AB619,2)))))</f>
        <v>45480</v>
      </c>
      <c r="C619" s="61" t="n">
        <f aca="false">YEAR($B619)</f>
        <v>2024</v>
      </c>
      <c r="D619" s="61" t="str">
        <f aca="false">"Q"&amp;ROUNDUP(MONTH($B619)/3,0)</f>
        <v>Q3</v>
      </c>
      <c r="E619" s="61" t="n">
        <f aca="false">MONTH($B619)</f>
        <v>7</v>
      </c>
      <c r="F619" s="61" t="str">
        <f aca="false">INDEX(Parametros!$I$5:$I$16,$E619)</f>
        <v>Jul</v>
      </c>
      <c r="G619" s="61" t="str">
        <f aca="false">TEXT($C619,"0000")&amp;"-"&amp;TEXT($E619,"00")</f>
        <v>2024-07</v>
      </c>
      <c r="H619" s="61" t="str">
        <f aca="false">INDEX(Parametros!$C$71:$C$91,MATCH(TRIM(INDEX(Datos_Origen!$C$2:$C$2459,$Z619)),Parametros!$B$71:$B$91,0))</f>
        <v>AMBA</v>
      </c>
      <c r="I619" s="61" t="str">
        <f aca="false">IF(TRIM($AD619)="",INDEX(Parametros!$I$20:$I$24,MATCH($H619,Parametros!$H$20:$H$24,0)),TRIM($AD619))</f>
        <v>Buenos Aires</v>
      </c>
      <c r="J619" s="61" t="str">
        <f aca="false">INDEX(Parametros!$C$95:$C$106,MATCH(TRIM(INDEX(Datos_Origen!$E$2:$E$2459,$Z619)),Parametros!$B$95:$B$106,0))</f>
        <v>E-commerce</v>
      </c>
      <c r="K619" s="61" t="str">
        <f aca="false">INDEX(Parametros!$C$48:$C$67,MATCH(TRIM(INDEX(Datos_Origen!$F$2:$F$2459,$Z619)),Parametros!$B$48:$B$67,0))</f>
        <v>Almacenamiento</v>
      </c>
      <c r="L619" s="61" t="str">
        <f aca="false">$K619&amp;" "&amp;$C619</f>
        <v>Almacenamiento 2024</v>
      </c>
      <c r="M619" s="61" t="str">
        <f aca="false">TRIM(INDEX(Datos_Origen!$G$2:$G$2459,$Z619))</f>
        <v>SSD Externo 1TB</v>
      </c>
      <c r="N619" s="61" t="str">
        <f aca="false">$M619&amp;" "&amp;$C619</f>
        <v>SSD Externo 1TB 2024</v>
      </c>
      <c r="O619" s="63" t="n">
        <f aca="false">IF(ISTEXT($AC619),VALUE($AC619),$AC619)</f>
        <v>27</v>
      </c>
      <c r="P619" s="64" t="n">
        <f aca="false">INDEX(Datos_Origen!$I$2:$I$2459,$Z619)</f>
        <v>127.4</v>
      </c>
      <c r="Q619" s="64" t="n">
        <f aca="false">INDEX(Datos_Origen!$J$2:$J$2459,$Z619)</f>
        <v>76.05</v>
      </c>
      <c r="R619" s="65" t="n">
        <f aca="false">ROUND($O619*$P619,2)</f>
        <v>3439.8</v>
      </c>
      <c r="S619" s="65" t="n">
        <f aca="false">ROUND($O619*$Q619,2)</f>
        <v>2053.35</v>
      </c>
      <c r="T619" s="65" t="n">
        <f aca="false">ROUND($R619*SUMIFS(Parametros!$E$28:$E$43,Parametros!$B$28:$B$43,$J619,Parametros!$C$28:$C$43,$C619,Parametros!$D$28:$D$43,$D619),2)</f>
        <v>158.23</v>
      </c>
      <c r="U619" s="65" t="n">
        <f aca="false">$R619-$S619-$T619</f>
        <v>1228.22</v>
      </c>
      <c r="V619" s="66" t="n">
        <f aca="false">IFERROR($U619/$R619,0)</f>
        <v>0.357061457061457</v>
      </c>
      <c r="W619" s="67" t="str">
        <f aca="false">IF(AND($V619&gt;=Parametros!$C$8,$R619&gt;=Parametros!$C$12),"Alta rentabilidad",IF(OR($V619&lt;Parametros!$C$11,$R619&lt;Parametros!$C$13),"Revisar","Estandar"))</f>
        <v>Alta rentabilidad</v>
      </c>
      <c r="X619" s="67" t="str">
        <f aca="false">IF(AND($J619="E-commerce",IFERROR($T619/$R619,0)&gt;Parametros!$C$14),"Alerta","OK")</f>
        <v>OK</v>
      </c>
      <c r="Y619" s="61" t="str">
        <f aca="false">IF($R619&gt;=Parametros!$C$12,"Alto",IF($R619&lt;Parametros!$C$13,"Bajo","Medio"))</f>
        <v>Alto</v>
      </c>
      <c r="Z619" s="61" t="n">
        <v>476</v>
      </c>
      <c r="AA619" s="61" t="str">
        <f aca="false">IF(MATCH($A619,Datos_Origen!$A$2:$A$2459,0)=$Z619,"OK","REVISAR")</f>
        <v>OK</v>
      </c>
      <c r="AB619" s="61" t="str">
        <f aca="false">INDEX(Datos_Origen!$B$2:$B$2459,$Z619)</f>
        <v>2024-07-07</v>
      </c>
      <c r="AC619" s="61" t="n">
        <f aca="false">INDEX(Datos_Origen!$H$2:$H$2459,$Z619)</f>
        <v>27</v>
      </c>
      <c r="AD619" s="61" t="str">
        <f aca="false">INDEX(Datos_Origen!$D$2:$D$2459,$Z619)&amp;""</f>
        <v>Buenos Aires</v>
      </c>
    </row>
    <row r="620" customFormat="false" ht="15" hidden="false" customHeight="false" outlineLevel="0" collapsed="false">
      <c r="A620" s="61" t="n">
        <f aca="false">INDEX(Datos_Origen!$A$2:$A$2459,$Z620)</f>
        <v>619</v>
      </c>
      <c r="B620" s="62" t="n">
        <f aca="false">IF(ISNUMBER($AB620),$AB620,IF(MID($AB620,5,1)="-",DATE(VALUE(LEFT($AB620,4)),VALUE(MID($AB620,6,2)),VALUE(RIGHT($AB620,2))),DATE(VALUE(RIGHT($AB620,4)),VALUE(MID($AB620,4,2)),VALUE(LEFT($AB620,2)))))</f>
        <v>45487</v>
      </c>
      <c r="C620" s="61" t="n">
        <f aca="false">YEAR($B620)</f>
        <v>2024</v>
      </c>
      <c r="D620" s="61" t="str">
        <f aca="false">"Q"&amp;ROUNDUP(MONTH($B620)/3,0)</f>
        <v>Q3</v>
      </c>
      <c r="E620" s="61" t="n">
        <f aca="false">MONTH($B620)</f>
        <v>7</v>
      </c>
      <c r="F620" s="61" t="str">
        <f aca="false">INDEX(Parametros!$I$5:$I$16,$E620)</f>
        <v>Jul</v>
      </c>
      <c r="G620" s="61" t="str">
        <f aca="false">TEXT($C620,"0000")&amp;"-"&amp;TEXT($E620,"00")</f>
        <v>2024-07</v>
      </c>
      <c r="H620" s="61" t="str">
        <f aca="false">INDEX(Parametros!$C$71:$C$91,MATCH(TRIM(INDEX(Datos_Origen!$C$2:$C$2459,$Z620)),Parametros!$B$71:$B$91,0))</f>
        <v>AMBA</v>
      </c>
      <c r="I620" s="61" t="str">
        <f aca="false">IF(TRIM($AD620)="",INDEX(Parametros!$I$20:$I$24,MATCH($H620,Parametros!$H$20:$H$24,0)),TRIM($AD620))</f>
        <v>Buenos Aires</v>
      </c>
      <c r="J620" s="61" t="str">
        <f aca="false">INDEX(Parametros!$C$95:$C$106,MATCH(TRIM(INDEX(Datos_Origen!$E$2:$E$2459,$Z620)),Parametros!$B$95:$B$106,0))</f>
        <v>Tienda fisica</v>
      </c>
      <c r="K620" s="61" t="str">
        <f aca="false">INDEX(Parametros!$C$48:$C$67,MATCH(TRIM(INDEX(Datos_Origen!$F$2:$F$2459,$Z620)),Parametros!$B$48:$B$67,0))</f>
        <v>Almacenamiento</v>
      </c>
      <c r="L620" s="61" t="str">
        <f aca="false">$K620&amp;" "&amp;$C620</f>
        <v>Almacenamiento 2024</v>
      </c>
      <c r="M620" s="61" t="str">
        <f aca="false">TRIM(INDEX(Datos_Origen!$G$2:$G$2459,$Z620))</f>
        <v>Pendrive 256GB</v>
      </c>
      <c r="N620" s="61" t="str">
        <f aca="false">$M620&amp;" "&amp;$C620</f>
        <v>Pendrive 256GB 2024</v>
      </c>
      <c r="O620" s="63" t="n">
        <f aca="false">IF(ISTEXT($AC620),VALUE($AC620),$AC620)</f>
        <v>56</v>
      </c>
      <c r="P620" s="64" t="n">
        <f aca="false">INDEX(Datos_Origen!$I$2:$I$2459,$Z620)</f>
        <v>34.3</v>
      </c>
      <c r="Q620" s="64" t="n">
        <f aca="false">INDEX(Datos_Origen!$J$2:$J$2459,$Z620)</f>
        <v>17.85</v>
      </c>
      <c r="R620" s="65" t="n">
        <f aca="false">ROUND($O620*$P620,2)</f>
        <v>1920.8</v>
      </c>
      <c r="S620" s="65" t="n">
        <f aca="false">ROUND($O620*$Q620,2)</f>
        <v>999.6</v>
      </c>
      <c r="T620" s="65" t="n">
        <f aca="false">ROUND($R620*SUMIFS(Parametros!$E$28:$E$43,Parametros!$B$28:$B$43,$J620,Parametros!$C$28:$C$43,$C620,Parametros!$D$28:$D$43,$D620),2)</f>
        <v>24.97</v>
      </c>
      <c r="U620" s="65" t="n">
        <f aca="false">$R620-$S620-$T620</f>
        <v>896.23</v>
      </c>
      <c r="V620" s="66" t="n">
        <f aca="false">IFERROR($U620/$R620,0)</f>
        <v>0.466592044981258</v>
      </c>
      <c r="W620" s="67" t="str">
        <f aca="false">IF(AND($V620&gt;=Parametros!$C$8,$R620&gt;=Parametros!$C$12),"Alta rentabilidad",IF(OR($V620&lt;Parametros!$C$11,$R620&lt;Parametros!$C$13),"Revisar","Estandar"))</f>
        <v>Estandar</v>
      </c>
      <c r="X620" s="67" t="str">
        <f aca="false">IF(AND($J620="E-commerce",IFERROR($T620/$R620,0)&gt;Parametros!$C$14),"Alerta","OK")</f>
        <v>OK</v>
      </c>
      <c r="Y620" s="61" t="str">
        <f aca="false">IF($R620&gt;=Parametros!$C$12,"Alto",IF($R620&lt;Parametros!$C$13,"Bajo","Medio"))</f>
        <v>Medio</v>
      </c>
      <c r="Z620" s="61" t="n">
        <v>500</v>
      </c>
      <c r="AA620" s="61" t="str">
        <f aca="false">IF(MATCH($A620,Datos_Origen!$A$2:$A$2459,0)=$Z620,"OK","REVISAR")</f>
        <v>OK</v>
      </c>
      <c r="AB620" s="62" t="n">
        <f aca="false">INDEX(Datos_Origen!$B$2:$B$2459,$Z620)</f>
        <v>45487</v>
      </c>
      <c r="AC620" s="61" t="str">
        <f aca="false">INDEX(Datos_Origen!$H$2:$H$2459,$Z620)</f>
        <v>56</v>
      </c>
      <c r="AD620" s="61" t="str">
        <f aca="false">INDEX(Datos_Origen!$D$2:$D$2459,$Z620)&amp;""</f>
        <v>Buenos Aires</v>
      </c>
    </row>
    <row r="621" customFormat="false" ht="15" hidden="false" customHeight="false" outlineLevel="0" collapsed="false">
      <c r="A621" s="61" t="n">
        <f aca="false">INDEX(Datos_Origen!$A$2:$A$2459,$Z621)</f>
        <v>620</v>
      </c>
      <c r="B621" s="62" t="n">
        <f aca="false">IF(ISNUMBER($AB621),$AB621,IF(MID($AB621,5,1)="-",DATE(VALUE(LEFT($AB621,4)),VALUE(MID($AB621,6,2)),VALUE(RIGHT($AB621,2))),DATE(VALUE(RIGHT($AB621,4)),VALUE(MID($AB621,4,2)),VALUE(LEFT($AB621,2)))))</f>
        <v>45494</v>
      </c>
      <c r="C621" s="61" t="n">
        <f aca="false">YEAR($B621)</f>
        <v>2024</v>
      </c>
      <c r="D621" s="61" t="str">
        <f aca="false">"Q"&amp;ROUNDUP(MONTH($B621)/3,0)</f>
        <v>Q3</v>
      </c>
      <c r="E621" s="61" t="n">
        <f aca="false">MONTH($B621)</f>
        <v>7</v>
      </c>
      <c r="F621" s="61" t="str">
        <f aca="false">INDEX(Parametros!$I$5:$I$16,$E621)</f>
        <v>Jul</v>
      </c>
      <c r="G621" s="61" t="str">
        <f aca="false">TEXT($C621,"0000")&amp;"-"&amp;TEXT($E621,"00")</f>
        <v>2024-07</v>
      </c>
      <c r="H621" s="61" t="str">
        <f aca="false">INDEX(Parametros!$C$71:$C$91,MATCH(TRIM(INDEX(Datos_Origen!$C$2:$C$2459,$Z621)),Parametros!$B$71:$B$91,0))</f>
        <v>AMBA</v>
      </c>
      <c r="I621" s="61" t="str">
        <f aca="false">IF(TRIM($AD621)="",INDEX(Parametros!$I$20:$I$24,MATCH($H621,Parametros!$H$20:$H$24,0)),TRIM($AD621))</f>
        <v>Buenos Aires</v>
      </c>
      <c r="J621" s="61" t="str">
        <f aca="false">INDEX(Parametros!$C$95:$C$106,MATCH(TRIM(INDEX(Datos_Origen!$E$2:$E$2459,$Z621)),Parametros!$B$95:$B$106,0))</f>
        <v>E-commerce</v>
      </c>
      <c r="K621" s="61" t="str">
        <f aca="false">INDEX(Parametros!$C$48:$C$67,MATCH(TRIM(INDEX(Datos_Origen!$F$2:$F$2459,$Z621)),Parametros!$B$48:$B$67,0))</f>
        <v>Almacenamiento</v>
      </c>
      <c r="L621" s="61" t="str">
        <f aca="false">$K621&amp;" "&amp;$C621</f>
        <v>Almacenamiento 2024</v>
      </c>
      <c r="M621" s="61" t="str">
        <f aca="false">TRIM(INDEX(Datos_Origen!$G$2:$G$2459,$Z621))</f>
        <v>Pendrive 256GB</v>
      </c>
      <c r="N621" s="61" t="str">
        <f aca="false">$M621&amp;" "&amp;$C621</f>
        <v>Pendrive 256GB 2024</v>
      </c>
      <c r="O621" s="63" t="n">
        <f aca="false">IF(ISTEXT($AC621),VALUE($AC621),$AC621)</f>
        <v>27</v>
      </c>
      <c r="P621" s="64" t="n">
        <f aca="false">INDEX(Datos_Origen!$I$2:$I$2459,$Z621)</f>
        <v>34.3</v>
      </c>
      <c r="Q621" s="64" t="n">
        <f aca="false">INDEX(Datos_Origen!$J$2:$J$2459,$Z621)</f>
        <v>17.85</v>
      </c>
      <c r="R621" s="65" t="n">
        <f aca="false">ROUND($O621*$P621,2)</f>
        <v>926.1</v>
      </c>
      <c r="S621" s="65" t="n">
        <f aca="false">ROUND($O621*$Q621,2)</f>
        <v>481.95</v>
      </c>
      <c r="T621" s="65" t="n">
        <f aca="false">ROUND($R621*SUMIFS(Parametros!$E$28:$E$43,Parametros!$B$28:$B$43,$J621,Parametros!$C$28:$C$43,$C621,Parametros!$D$28:$D$43,$D621),2)</f>
        <v>42.6</v>
      </c>
      <c r="U621" s="65" t="n">
        <f aca="false">$R621-$S621-$T621</f>
        <v>401.55</v>
      </c>
      <c r="V621" s="66" t="n">
        <f aca="false">IFERROR($U621/$R621,0)</f>
        <v>0.433592484612893</v>
      </c>
      <c r="W621" s="67" t="str">
        <f aca="false">IF(AND($V621&gt;=Parametros!$C$8,$R621&gt;=Parametros!$C$12),"Alta rentabilidad",IF(OR($V621&lt;Parametros!$C$11,$R621&lt;Parametros!$C$13),"Revisar","Estandar"))</f>
        <v>Estandar</v>
      </c>
      <c r="X621" s="67" t="str">
        <f aca="false">IF(AND($J621="E-commerce",IFERROR($T621/$R621,0)&gt;Parametros!$C$14),"Alerta","OK")</f>
        <v>OK</v>
      </c>
      <c r="Y621" s="61" t="str">
        <f aca="false">IF($R621&gt;=Parametros!$C$12,"Alto",IF($R621&lt;Parametros!$C$13,"Bajo","Medio"))</f>
        <v>Medio</v>
      </c>
      <c r="Z621" s="61" t="n">
        <v>1463</v>
      </c>
      <c r="AA621" s="61" t="str">
        <f aca="false">IF(MATCH($A621,Datos_Origen!$A$2:$A$2459,0)=$Z621,"OK","REVISAR")</f>
        <v>OK</v>
      </c>
      <c r="AB621" s="61" t="str">
        <f aca="false">INDEX(Datos_Origen!$B$2:$B$2459,$Z621)</f>
        <v>2024-07-21</v>
      </c>
      <c r="AC621" s="61" t="n">
        <f aca="false">INDEX(Datos_Origen!$H$2:$H$2459,$Z621)</f>
        <v>27</v>
      </c>
      <c r="AD621" s="61" t="str">
        <f aca="false">INDEX(Datos_Origen!$D$2:$D$2459,$Z621)&amp;""</f>
        <v>Buenos Aires</v>
      </c>
    </row>
    <row r="622" customFormat="false" ht="15" hidden="false" customHeight="false" outlineLevel="0" collapsed="false">
      <c r="A622" s="61" t="n">
        <f aca="false">INDEX(Datos_Origen!$A$2:$A$2459,$Z622)</f>
        <v>621</v>
      </c>
      <c r="B622" s="62" t="n">
        <f aca="false">IF(ISNUMBER($AB622),$AB622,IF(MID($AB622,5,1)="-",DATE(VALUE(LEFT($AB622,4)),VALUE(MID($AB622,6,2)),VALUE(RIGHT($AB622,2))),DATE(VALUE(RIGHT($AB622,4)),VALUE(MID($AB622,4,2)),VALUE(LEFT($AB622,2)))))</f>
        <v>45474</v>
      </c>
      <c r="C622" s="61" t="n">
        <f aca="false">YEAR($B622)</f>
        <v>2024</v>
      </c>
      <c r="D622" s="61" t="str">
        <f aca="false">"Q"&amp;ROUNDUP(MONTH($B622)/3,0)</f>
        <v>Q3</v>
      </c>
      <c r="E622" s="61" t="n">
        <f aca="false">MONTH($B622)</f>
        <v>7</v>
      </c>
      <c r="F622" s="61" t="str">
        <f aca="false">INDEX(Parametros!$I$5:$I$16,$E622)</f>
        <v>Jul</v>
      </c>
      <c r="G622" s="61" t="str">
        <f aca="false">TEXT($C622,"0000")&amp;"-"&amp;TEXT($E622,"00")</f>
        <v>2024-07</v>
      </c>
      <c r="H622" s="61" t="str">
        <f aca="false">INDEX(Parametros!$C$71:$C$91,MATCH(TRIM(INDEX(Datos_Origen!$C$2:$C$2459,$Z622)),Parametros!$B$71:$B$91,0))</f>
        <v>Centro</v>
      </c>
      <c r="I622" s="61" t="str">
        <f aca="false">IF(TRIM($AD622)="",INDEX(Parametros!$I$20:$I$24,MATCH($H622,Parametros!$H$20:$H$24,0)),TRIM($AD622))</f>
        <v>Cordoba</v>
      </c>
      <c r="J622" s="61" t="str">
        <f aca="false">INDEX(Parametros!$C$95:$C$106,MATCH(TRIM(INDEX(Datos_Origen!$E$2:$E$2459,$Z622)),Parametros!$B$95:$B$106,0))</f>
        <v>Tienda fisica</v>
      </c>
      <c r="K622" s="61" t="str">
        <f aca="false">INDEX(Parametros!$C$48:$C$67,MATCH(TRIM(INDEX(Datos_Origen!$F$2:$F$2459,$Z622)),Parametros!$B$48:$B$67,0))</f>
        <v>Computacion</v>
      </c>
      <c r="L622" s="61" t="str">
        <f aca="false">$K622&amp;" "&amp;$C622</f>
        <v>Computacion 2024</v>
      </c>
      <c r="M622" s="61" t="str">
        <f aca="false">TRIM(INDEX(Datos_Origen!$G$2:$G$2459,$Z622))</f>
        <v>Laptop Pro 15</v>
      </c>
      <c r="N622" s="61" t="str">
        <f aca="false">$M622&amp;" "&amp;$C622</f>
        <v>Laptop Pro 15 2024</v>
      </c>
      <c r="O622" s="63" t="n">
        <f aca="false">IF(ISTEXT($AC622),VALUE($AC622),$AC622)</f>
        <v>13</v>
      </c>
      <c r="P622" s="64" t="n">
        <f aca="false">INDEX(Datos_Origen!$I$2:$I$2459,$Z622)</f>
        <v>1176</v>
      </c>
      <c r="Q622" s="64" t="n">
        <f aca="false">INDEX(Datos_Origen!$J$2:$J$2459,$Z622)</f>
        <v>744</v>
      </c>
      <c r="R622" s="65" t="n">
        <f aca="false">ROUND($O622*$P622,2)</f>
        <v>15288</v>
      </c>
      <c r="S622" s="65" t="n">
        <f aca="false">ROUND($O622*$Q622,2)</f>
        <v>9672</v>
      </c>
      <c r="T622" s="65" t="n">
        <f aca="false">ROUND($R622*SUMIFS(Parametros!$E$28:$E$43,Parametros!$B$28:$B$43,$J622,Parametros!$C$28:$C$43,$C622,Parametros!$D$28:$D$43,$D622),2)</f>
        <v>198.74</v>
      </c>
      <c r="U622" s="65" t="n">
        <f aca="false">$R622-$S622-$T622</f>
        <v>5417.26</v>
      </c>
      <c r="V622" s="66" t="n">
        <f aca="false">IFERROR($U622/$R622,0)</f>
        <v>0.354347200418629</v>
      </c>
      <c r="W622" s="67" t="str">
        <f aca="false">IF(AND($V622&gt;=Parametros!$C$8,$R622&gt;=Parametros!$C$12),"Alta rentabilidad",IF(OR($V622&lt;Parametros!$C$11,$R622&lt;Parametros!$C$13),"Revisar","Estandar"))</f>
        <v>Alta rentabilidad</v>
      </c>
      <c r="X622" s="67" t="str">
        <f aca="false">IF(AND($J622="E-commerce",IFERROR($T622/$R622,0)&gt;Parametros!$C$14),"Alerta","OK")</f>
        <v>OK</v>
      </c>
      <c r="Y622" s="61" t="str">
        <f aca="false">IF($R622&gt;=Parametros!$C$12,"Alto",IF($R622&lt;Parametros!$C$13,"Bajo","Medio"))</f>
        <v>Alto</v>
      </c>
      <c r="Z622" s="61" t="n">
        <v>1217</v>
      </c>
      <c r="AA622" s="61" t="str">
        <f aca="false">IF(MATCH($A622,Datos_Origen!$A$2:$A$2459,0)=$Z622,"OK","REVISAR")</f>
        <v>OK</v>
      </c>
      <c r="AB622" s="62" t="n">
        <f aca="false">INDEX(Datos_Origen!$B$2:$B$2459,$Z622)</f>
        <v>45474</v>
      </c>
      <c r="AC622" s="61" t="n">
        <f aca="false">INDEX(Datos_Origen!$H$2:$H$2459,$Z622)</f>
        <v>13</v>
      </c>
      <c r="AD622" s="61" t="str">
        <f aca="false">INDEX(Datos_Origen!$D$2:$D$2459,$Z622)&amp;""</f>
        <v>Cordoba</v>
      </c>
    </row>
    <row r="623" customFormat="false" ht="15" hidden="false" customHeight="false" outlineLevel="0" collapsed="false">
      <c r="A623" s="61" t="n">
        <f aca="false">INDEX(Datos_Origen!$A$2:$A$2459,$Z623)</f>
        <v>622</v>
      </c>
      <c r="B623" s="62" t="n">
        <f aca="false">IF(ISNUMBER($AB623),$AB623,IF(MID($AB623,5,1)="-",DATE(VALUE(LEFT($AB623,4)),VALUE(MID($AB623,6,2)),VALUE(RIGHT($AB623,2))),DATE(VALUE(RIGHT($AB623,4)),VALUE(MID($AB623,4,2)),VALUE(LEFT($AB623,2)))))</f>
        <v>45481</v>
      </c>
      <c r="C623" s="61" t="n">
        <f aca="false">YEAR($B623)</f>
        <v>2024</v>
      </c>
      <c r="D623" s="61" t="str">
        <f aca="false">"Q"&amp;ROUNDUP(MONTH($B623)/3,0)</f>
        <v>Q3</v>
      </c>
      <c r="E623" s="61" t="n">
        <f aca="false">MONTH($B623)</f>
        <v>7</v>
      </c>
      <c r="F623" s="61" t="str">
        <f aca="false">INDEX(Parametros!$I$5:$I$16,$E623)</f>
        <v>Jul</v>
      </c>
      <c r="G623" s="61" t="str">
        <f aca="false">TEXT($C623,"0000")&amp;"-"&amp;TEXT($E623,"00")</f>
        <v>2024-07</v>
      </c>
      <c r="H623" s="61" t="str">
        <f aca="false">INDEX(Parametros!$C$71:$C$91,MATCH(TRIM(INDEX(Datos_Origen!$C$2:$C$2459,$Z623)),Parametros!$B$71:$B$91,0))</f>
        <v>Centro</v>
      </c>
      <c r="I623" s="61" t="str">
        <f aca="false">IF(TRIM($AD623)="",INDEX(Parametros!$I$20:$I$24,MATCH($H623,Parametros!$H$20:$H$24,0)),TRIM($AD623))</f>
        <v>Cordoba</v>
      </c>
      <c r="J623" s="61" t="str">
        <f aca="false">INDEX(Parametros!$C$95:$C$106,MATCH(TRIM(INDEX(Datos_Origen!$E$2:$E$2459,$Z623)),Parametros!$B$95:$B$106,0))</f>
        <v>E-commerce</v>
      </c>
      <c r="K623" s="61" t="str">
        <f aca="false">INDEX(Parametros!$C$48:$C$67,MATCH(TRIM(INDEX(Datos_Origen!$F$2:$F$2459,$Z623)),Parametros!$B$48:$B$67,0))</f>
        <v>Computacion</v>
      </c>
      <c r="L623" s="61" t="str">
        <f aca="false">$K623&amp;" "&amp;$C623</f>
        <v>Computacion 2024</v>
      </c>
      <c r="M623" s="61" t="str">
        <f aca="false">TRIM(INDEX(Datos_Origen!$G$2:$G$2459,$Z623))</f>
        <v>Laptop Pro 15</v>
      </c>
      <c r="N623" s="61" t="str">
        <f aca="false">$M623&amp;" "&amp;$C623</f>
        <v>Laptop Pro 15 2024</v>
      </c>
      <c r="O623" s="63" t="n">
        <f aca="false">IF(ISTEXT($AC623),VALUE($AC623),$AC623)</f>
        <v>5</v>
      </c>
      <c r="P623" s="64" t="n">
        <f aca="false">INDEX(Datos_Origen!$I$2:$I$2459,$Z623)</f>
        <v>1176</v>
      </c>
      <c r="Q623" s="64" t="n">
        <f aca="false">INDEX(Datos_Origen!$J$2:$J$2459,$Z623)</f>
        <v>744</v>
      </c>
      <c r="R623" s="65" t="n">
        <f aca="false">ROUND($O623*$P623,2)</f>
        <v>5880</v>
      </c>
      <c r="S623" s="65" t="n">
        <f aca="false">ROUND($O623*$Q623,2)</f>
        <v>3720</v>
      </c>
      <c r="T623" s="65" t="n">
        <f aca="false">ROUND($R623*SUMIFS(Parametros!$E$28:$E$43,Parametros!$B$28:$B$43,$J623,Parametros!$C$28:$C$43,$C623,Parametros!$D$28:$D$43,$D623),2)</f>
        <v>270.48</v>
      </c>
      <c r="U623" s="65" t="n">
        <f aca="false">$R623-$S623-$T623</f>
        <v>1889.52</v>
      </c>
      <c r="V623" s="66" t="n">
        <f aca="false">IFERROR($U623/$R623,0)</f>
        <v>0.32134693877551</v>
      </c>
      <c r="W623" s="67" t="str">
        <f aca="false">IF(AND($V623&gt;=Parametros!$C$8,$R623&gt;=Parametros!$C$12),"Alta rentabilidad",IF(OR($V623&lt;Parametros!$C$11,$R623&lt;Parametros!$C$13),"Revisar","Estandar"))</f>
        <v>Estandar</v>
      </c>
      <c r="X623" s="67" t="str">
        <f aca="false">IF(AND($J623="E-commerce",IFERROR($T623/$R623,0)&gt;Parametros!$C$14),"Alerta","OK")</f>
        <v>OK</v>
      </c>
      <c r="Y623" s="61" t="str">
        <f aca="false">IF($R623&gt;=Parametros!$C$12,"Alto",IF($R623&lt;Parametros!$C$13,"Bajo","Medio"))</f>
        <v>Alto</v>
      </c>
      <c r="Z623" s="61" t="n">
        <v>1829</v>
      </c>
      <c r="AA623" s="61" t="str">
        <f aca="false">IF(MATCH($A623,Datos_Origen!$A$2:$A$2459,0)=$Z623,"OK","REVISAR")</f>
        <v>OK</v>
      </c>
      <c r="AB623" s="61" t="str">
        <f aca="false">INDEX(Datos_Origen!$B$2:$B$2459,$Z623)</f>
        <v>08/07/2024</v>
      </c>
      <c r="AC623" s="61" t="n">
        <f aca="false">INDEX(Datos_Origen!$H$2:$H$2459,$Z623)</f>
        <v>5</v>
      </c>
      <c r="AD623" s="61" t="str">
        <f aca="false">INDEX(Datos_Origen!$D$2:$D$2459,$Z623)&amp;""</f>
        <v>Cordoba</v>
      </c>
    </row>
    <row r="624" customFormat="false" ht="15" hidden="false" customHeight="false" outlineLevel="0" collapsed="false">
      <c r="A624" s="61" t="n">
        <f aca="false">INDEX(Datos_Origen!$A$2:$A$2459,$Z624)</f>
        <v>623</v>
      </c>
      <c r="B624" s="62" t="n">
        <f aca="false">IF(ISNUMBER($AB624),$AB624,IF(MID($AB624,5,1)="-",DATE(VALUE(LEFT($AB624,4)),VALUE(MID($AB624,6,2)),VALUE(RIGHT($AB624,2))),DATE(VALUE(RIGHT($AB624,4)),VALUE(MID($AB624,4,2)),VALUE(LEFT($AB624,2)))))</f>
        <v>45488</v>
      </c>
      <c r="C624" s="61" t="n">
        <f aca="false">YEAR($B624)</f>
        <v>2024</v>
      </c>
      <c r="D624" s="61" t="str">
        <f aca="false">"Q"&amp;ROUNDUP(MONTH($B624)/3,0)</f>
        <v>Q3</v>
      </c>
      <c r="E624" s="61" t="n">
        <f aca="false">MONTH($B624)</f>
        <v>7</v>
      </c>
      <c r="F624" s="61" t="str">
        <f aca="false">INDEX(Parametros!$I$5:$I$16,$E624)</f>
        <v>Jul</v>
      </c>
      <c r="G624" s="61" t="str">
        <f aca="false">TEXT($C624,"0000")&amp;"-"&amp;TEXT($E624,"00")</f>
        <v>2024-07</v>
      </c>
      <c r="H624" s="61" t="str">
        <f aca="false">INDEX(Parametros!$C$71:$C$91,MATCH(TRIM(INDEX(Datos_Origen!$C$2:$C$2459,$Z624)),Parametros!$B$71:$B$91,0))</f>
        <v>Centro</v>
      </c>
      <c r="I624" s="61" t="str">
        <f aca="false">IF(TRIM($AD624)="",INDEX(Parametros!$I$20:$I$24,MATCH($H624,Parametros!$H$20:$H$24,0)),TRIM($AD624))</f>
        <v>Cordoba</v>
      </c>
      <c r="J624" s="61" t="str">
        <f aca="false">INDEX(Parametros!$C$95:$C$106,MATCH(TRIM(INDEX(Datos_Origen!$E$2:$E$2459,$Z624)),Parametros!$B$95:$B$106,0))</f>
        <v>Tienda fisica</v>
      </c>
      <c r="K624" s="61" t="str">
        <f aca="false">INDEX(Parametros!$C$48:$C$67,MATCH(TRIM(INDEX(Datos_Origen!$F$2:$F$2459,$Z624)),Parametros!$B$48:$B$67,0))</f>
        <v>Computacion</v>
      </c>
      <c r="L624" s="61" t="str">
        <f aca="false">$K624&amp;" "&amp;$C624</f>
        <v>Computacion 2024</v>
      </c>
      <c r="M624" s="61" t="str">
        <f aca="false">TRIM(INDEX(Datos_Origen!$G$2:$G$2459,$Z624))</f>
        <v>Monitor 4K 27</v>
      </c>
      <c r="N624" s="61" t="str">
        <f aca="false">$M624&amp;" "&amp;$C624</f>
        <v>Monitor 4K 27 2024</v>
      </c>
      <c r="O624" s="63" t="n">
        <f aca="false">IF(ISTEXT($AC624),VALUE($AC624),$AC624)</f>
        <v>16</v>
      </c>
      <c r="P624" s="64" t="n">
        <f aca="false">INDEX(Datos_Origen!$I$2:$I$2459,$Z624)</f>
        <v>441</v>
      </c>
      <c r="Q624" s="64" t="n">
        <f aca="false">INDEX(Datos_Origen!$J$2:$J$2459,$Z624)</f>
        <v>272.25</v>
      </c>
      <c r="R624" s="65" t="n">
        <f aca="false">ROUND($O624*$P624,2)</f>
        <v>7056</v>
      </c>
      <c r="S624" s="65" t="n">
        <f aca="false">ROUND($O624*$Q624,2)</f>
        <v>4356</v>
      </c>
      <c r="T624" s="65" t="n">
        <f aca="false">ROUND($R624*SUMIFS(Parametros!$E$28:$E$43,Parametros!$B$28:$B$43,$J624,Parametros!$C$28:$C$43,$C624,Parametros!$D$28:$D$43,$D624),2)</f>
        <v>91.73</v>
      </c>
      <c r="U624" s="65" t="n">
        <f aca="false">$R624-$S624-$T624</f>
        <v>2608.27</v>
      </c>
      <c r="V624" s="66" t="n">
        <f aca="false">IFERROR($U624/$R624,0)</f>
        <v>0.369652777777778</v>
      </c>
      <c r="W624" s="67" t="str">
        <f aca="false">IF(AND($V624&gt;=Parametros!$C$8,$R624&gt;=Parametros!$C$12),"Alta rentabilidad",IF(OR($V624&lt;Parametros!$C$11,$R624&lt;Parametros!$C$13),"Revisar","Estandar"))</f>
        <v>Alta rentabilidad</v>
      </c>
      <c r="X624" s="67" t="str">
        <f aca="false">IF(AND($J624="E-commerce",IFERROR($T624/$R624,0)&gt;Parametros!$C$14),"Alerta","OK")</f>
        <v>OK</v>
      </c>
      <c r="Y624" s="61" t="str">
        <f aca="false">IF($R624&gt;=Parametros!$C$12,"Alto",IF($R624&lt;Parametros!$C$13,"Bajo","Medio"))</f>
        <v>Alto</v>
      </c>
      <c r="Z624" s="61" t="n">
        <v>865</v>
      </c>
      <c r="AA624" s="61" t="str">
        <f aca="false">IF(MATCH($A624,Datos_Origen!$A$2:$A$2459,0)=$Z624,"OK","REVISAR")</f>
        <v>OK</v>
      </c>
      <c r="AB624" s="61" t="str">
        <f aca="false">INDEX(Datos_Origen!$B$2:$B$2459,$Z624)</f>
        <v>15/07/2024</v>
      </c>
      <c r="AC624" s="61" t="n">
        <f aca="false">INDEX(Datos_Origen!$H$2:$H$2459,$Z624)</f>
        <v>16</v>
      </c>
      <c r="AD624" s="61" t="str">
        <f aca="false">INDEX(Datos_Origen!$D$2:$D$2459,$Z624)&amp;""</f>
        <v>Cordoba</v>
      </c>
    </row>
    <row r="625" customFormat="false" ht="15" hidden="false" customHeight="false" outlineLevel="0" collapsed="false">
      <c r="A625" s="61" t="n">
        <f aca="false">INDEX(Datos_Origen!$A$2:$A$2459,$Z625)</f>
        <v>624</v>
      </c>
      <c r="B625" s="62" t="n">
        <f aca="false">IF(ISNUMBER($AB625),$AB625,IF(MID($AB625,5,1)="-",DATE(VALUE(LEFT($AB625,4)),VALUE(MID($AB625,6,2)),VALUE(RIGHT($AB625,2))),DATE(VALUE(RIGHT($AB625,4)),VALUE(MID($AB625,4,2)),VALUE(LEFT($AB625,2)))))</f>
        <v>45495</v>
      </c>
      <c r="C625" s="61" t="n">
        <f aca="false">YEAR($B625)</f>
        <v>2024</v>
      </c>
      <c r="D625" s="61" t="str">
        <f aca="false">"Q"&amp;ROUNDUP(MONTH($B625)/3,0)</f>
        <v>Q3</v>
      </c>
      <c r="E625" s="61" t="n">
        <f aca="false">MONTH($B625)</f>
        <v>7</v>
      </c>
      <c r="F625" s="61" t="str">
        <f aca="false">INDEX(Parametros!$I$5:$I$16,$E625)</f>
        <v>Jul</v>
      </c>
      <c r="G625" s="61" t="str">
        <f aca="false">TEXT($C625,"0000")&amp;"-"&amp;TEXT($E625,"00")</f>
        <v>2024-07</v>
      </c>
      <c r="H625" s="61" t="str">
        <f aca="false">INDEX(Parametros!$C$71:$C$91,MATCH(TRIM(INDEX(Datos_Origen!$C$2:$C$2459,$Z625)),Parametros!$B$71:$B$91,0))</f>
        <v>Centro</v>
      </c>
      <c r="I625" s="61" t="str">
        <f aca="false">IF(TRIM($AD625)="",INDEX(Parametros!$I$20:$I$24,MATCH($H625,Parametros!$H$20:$H$24,0)),TRIM($AD625))</f>
        <v>Cordoba</v>
      </c>
      <c r="J625" s="61" t="str">
        <f aca="false">INDEX(Parametros!$C$95:$C$106,MATCH(TRIM(INDEX(Datos_Origen!$E$2:$E$2459,$Z625)),Parametros!$B$95:$B$106,0))</f>
        <v>E-commerce</v>
      </c>
      <c r="K625" s="61" t="str">
        <f aca="false">INDEX(Parametros!$C$48:$C$67,MATCH(TRIM(INDEX(Datos_Origen!$F$2:$F$2459,$Z625)),Parametros!$B$48:$B$67,0))</f>
        <v>Computacion</v>
      </c>
      <c r="L625" s="61" t="str">
        <f aca="false">$K625&amp;" "&amp;$C625</f>
        <v>Computacion 2024</v>
      </c>
      <c r="M625" s="61" t="str">
        <f aca="false">TRIM(INDEX(Datos_Origen!$G$2:$G$2459,$Z625))</f>
        <v>Monitor 4K 27</v>
      </c>
      <c r="N625" s="61" t="str">
        <f aca="false">$M625&amp;" "&amp;$C625</f>
        <v>Monitor 4K 27 2024</v>
      </c>
      <c r="O625" s="63" t="n">
        <f aca="false">IF(ISTEXT($AC625),VALUE($AC625),$AC625)</f>
        <v>5</v>
      </c>
      <c r="P625" s="64" t="n">
        <f aca="false">INDEX(Datos_Origen!$I$2:$I$2459,$Z625)</f>
        <v>441</v>
      </c>
      <c r="Q625" s="64" t="n">
        <f aca="false">INDEX(Datos_Origen!$J$2:$J$2459,$Z625)</f>
        <v>272.25</v>
      </c>
      <c r="R625" s="65" t="n">
        <f aca="false">ROUND($O625*$P625,2)</f>
        <v>2205</v>
      </c>
      <c r="S625" s="65" t="n">
        <f aca="false">ROUND($O625*$Q625,2)</f>
        <v>1361.25</v>
      </c>
      <c r="T625" s="65" t="n">
        <f aca="false">ROUND($R625*SUMIFS(Parametros!$E$28:$E$43,Parametros!$B$28:$B$43,$J625,Parametros!$C$28:$C$43,$C625,Parametros!$D$28:$D$43,$D625),2)</f>
        <v>101.43</v>
      </c>
      <c r="U625" s="65" t="n">
        <f aca="false">$R625-$S625-$T625</f>
        <v>742.32</v>
      </c>
      <c r="V625" s="66" t="n">
        <f aca="false">IFERROR($U625/$R625,0)</f>
        <v>0.33665306122449</v>
      </c>
      <c r="W625" s="67" t="str">
        <f aca="false">IF(AND($V625&gt;=Parametros!$C$8,$R625&gt;=Parametros!$C$12),"Alta rentabilidad",IF(OR($V625&lt;Parametros!$C$11,$R625&lt;Parametros!$C$13),"Revisar","Estandar"))</f>
        <v>Estandar</v>
      </c>
      <c r="X625" s="67" t="str">
        <f aca="false">IF(AND($J625="E-commerce",IFERROR($T625/$R625,0)&gt;Parametros!$C$14),"Alerta","OK")</f>
        <v>OK</v>
      </c>
      <c r="Y625" s="61" t="str">
        <f aca="false">IF($R625&gt;=Parametros!$C$12,"Alto",IF($R625&lt;Parametros!$C$13,"Bajo","Medio"))</f>
        <v>Medio</v>
      </c>
      <c r="Z625" s="61" t="n">
        <v>882</v>
      </c>
      <c r="AA625" s="61" t="str">
        <f aca="false">IF(MATCH($A625,Datos_Origen!$A$2:$A$2459,0)=$Z625,"OK","REVISAR")</f>
        <v>OK</v>
      </c>
      <c r="AB625" s="61" t="str">
        <f aca="false">INDEX(Datos_Origen!$B$2:$B$2459,$Z625)</f>
        <v>2024-07-22</v>
      </c>
      <c r="AC625" s="61" t="n">
        <f aca="false">INDEX(Datos_Origen!$H$2:$H$2459,$Z625)</f>
        <v>5</v>
      </c>
      <c r="AD625" s="61" t="str">
        <f aca="false">INDEX(Datos_Origen!$D$2:$D$2459,$Z625)&amp;""</f>
        <v>Cordoba</v>
      </c>
    </row>
    <row r="626" customFormat="false" ht="15" hidden="false" customHeight="false" outlineLevel="0" collapsed="false">
      <c r="A626" s="61" t="n">
        <f aca="false">INDEX(Datos_Origen!$A$2:$A$2459,$Z626)</f>
        <v>625</v>
      </c>
      <c r="B626" s="62" t="n">
        <f aca="false">IF(ISNUMBER($AB626),$AB626,IF(MID($AB626,5,1)="-",DATE(VALUE(LEFT($AB626,4)),VALUE(MID($AB626,6,2)),VALUE(RIGHT($AB626,2))),DATE(VALUE(RIGHT($AB626,4)),VALUE(MID($AB626,4,2)),VALUE(LEFT($AB626,2)))))</f>
        <v>45475</v>
      </c>
      <c r="C626" s="61" t="n">
        <f aca="false">YEAR($B626)</f>
        <v>2024</v>
      </c>
      <c r="D626" s="61" t="str">
        <f aca="false">"Q"&amp;ROUNDUP(MONTH($B626)/3,0)</f>
        <v>Q3</v>
      </c>
      <c r="E626" s="61" t="n">
        <f aca="false">MONTH($B626)</f>
        <v>7</v>
      </c>
      <c r="F626" s="61" t="str">
        <f aca="false">INDEX(Parametros!$I$5:$I$16,$E626)</f>
        <v>Jul</v>
      </c>
      <c r="G626" s="61" t="str">
        <f aca="false">TEXT($C626,"0000")&amp;"-"&amp;TEXT($E626,"00")</f>
        <v>2024-07</v>
      </c>
      <c r="H626" s="61" t="str">
        <f aca="false">INDEX(Parametros!$C$71:$C$91,MATCH(TRIM(INDEX(Datos_Origen!$C$2:$C$2459,$Z626)),Parametros!$B$71:$B$91,0))</f>
        <v>Centro</v>
      </c>
      <c r="I626" s="61" t="str">
        <f aca="false">IF(TRIM($AD626)="",INDEX(Parametros!$I$20:$I$24,MATCH($H626,Parametros!$H$20:$H$24,0)),TRIM($AD626))</f>
        <v>Cordoba</v>
      </c>
      <c r="J626" s="61" t="str">
        <f aca="false">INDEX(Parametros!$C$95:$C$106,MATCH(TRIM(INDEX(Datos_Origen!$E$2:$E$2459,$Z626)),Parametros!$B$95:$B$106,0))</f>
        <v>Tienda fisica</v>
      </c>
      <c r="K626" s="61" t="str">
        <f aca="false">INDEX(Parametros!$C$48:$C$67,MATCH(TRIM(INDEX(Datos_Origen!$F$2:$F$2459,$Z626)),Parametros!$B$48:$B$67,0))</f>
        <v>Computacion</v>
      </c>
      <c r="L626" s="61" t="str">
        <f aca="false">$K626&amp;" "&amp;$C626</f>
        <v>Computacion 2024</v>
      </c>
      <c r="M626" s="61" t="str">
        <f aca="false">TRIM(INDEX(Datos_Origen!$G$2:$G$2459,$Z626))</f>
        <v>PC Gamer Ryzen</v>
      </c>
      <c r="N626" s="61" t="str">
        <f aca="false">$M626&amp;" "&amp;$C626</f>
        <v>PC Gamer Ryzen 2024</v>
      </c>
      <c r="O626" s="63" t="n">
        <f aca="false">IF(ISTEXT($AC626),VALUE($AC626),$AC626)</f>
        <v>15</v>
      </c>
      <c r="P626" s="64" t="n">
        <f aca="false">INDEX(Datos_Origen!$I$2:$I$2459,$Z626)</f>
        <v>1617</v>
      </c>
      <c r="Q626" s="64" t="n">
        <f aca="false">INDEX(Datos_Origen!$J$2:$J$2459,$Z626)</f>
        <v>1122</v>
      </c>
      <c r="R626" s="65" t="n">
        <f aca="false">ROUND($O626*$P626,2)</f>
        <v>24255</v>
      </c>
      <c r="S626" s="65" t="n">
        <f aca="false">ROUND($O626*$Q626,2)</f>
        <v>16830</v>
      </c>
      <c r="T626" s="65" t="n">
        <f aca="false">ROUND($R626*SUMIFS(Parametros!$E$28:$E$43,Parametros!$B$28:$B$43,$J626,Parametros!$C$28:$C$43,$C626,Parametros!$D$28:$D$43,$D626),2)</f>
        <v>315.32</v>
      </c>
      <c r="U626" s="65" t="n">
        <f aca="false">$R626-$S626-$T626</f>
        <v>7109.68</v>
      </c>
      <c r="V626" s="66" t="n">
        <f aca="false">IFERROR($U626/$R626,0)</f>
        <v>0.293122242836529</v>
      </c>
      <c r="W626" s="67" t="str">
        <f aca="false">IF(AND($V626&gt;=Parametros!$C$8,$R626&gt;=Parametros!$C$12),"Alta rentabilidad",IF(OR($V626&lt;Parametros!$C$11,$R626&lt;Parametros!$C$13),"Revisar","Estandar"))</f>
        <v>Estandar</v>
      </c>
      <c r="X626" s="67" t="str">
        <f aca="false">IF(AND($J626="E-commerce",IFERROR($T626/$R626,0)&gt;Parametros!$C$14),"Alerta","OK")</f>
        <v>OK</v>
      </c>
      <c r="Y626" s="61" t="str">
        <f aca="false">IF($R626&gt;=Parametros!$C$12,"Alto",IF($R626&lt;Parametros!$C$13,"Bajo","Medio"))</f>
        <v>Alto</v>
      </c>
      <c r="Z626" s="61" t="n">
        <v>1651</v>
      </c>
      <c r="AA626" s="61" t="str">
        <f aca="false">IF(MATCH($A626,Datos_Origen!$A$2:$A$2459,0)=$Z626,"OK","REVISAR")</f>
        <v>OK</v>
      </c>
      <c r="AB626" s="61" t="str">
        <f aca="false">INDEX(Datos_Origen!$B$2:$B$2459,$Z626)</f>
        <v>02/07/2024</v>
      </c>
      <c r="AC626" s="61" t="n">
        <f aca="false">INDEX(Datos_Origen!$H$2:$H$2459,$Z626)</f>
        <v>15</v>
      </c>
      <c r="AD626" s="61" t="str">
        <f aca="false">INDEX(Datos_Origen!$D$2:$D$2459,$Z626)&amp;""</f>
        <v>Cordoba</v>
      </c>
    </row>
    <row r="627" customFormat="false" ht="15" hidden="false" customHeight="false" outlineLevel="0" collapsed="false">
      <c r="A627" s="61" t="n">
        <f aca="false">INDEX(Datos_Origen!$A$2:$A$2459,$Z627)</f>
        <v>626</v>
      </c>
      <c r="B627" s="62" t="n">
        <f aca="false">IF(ISNUMBER($AB627),$AB627,IF(MID($AB627,5,1)="-",DATE(VALUE(LEFT($AB627,4)),VALUE(MID($AB627,6,2)),VALUE(RIGHT($AB627,2))),DATE(VALUE(RIGHT($AB627,4)),VALUE(MID($AB627,4,2)),VALUE(LEFT($AB627,2)))))</f>
        <v>45482</v>
      </c>
      <c r="C627" s="61" t="n">
        <f aca="false">YEAR($B627)</f>
        <v>2024</v>
      </c>
      <c r="D627" s="61" t="str">
        <f aca="false">"Q"&amp;ROUNDUP(MONTH($B627)/3,0)</f>
        <v>Q3</v>
      </c>
      <c r="E627" s="61" t="n">
        <f aca="false">MONTH($B627)</f>
        <v>7</v>
      </c>
      <c r="F627" s="61" t="str">
        <f aca="false">INDEX(Parametros!$I$5:$I$16,$E627)</f>
        <v>Jul</v>
      </c>
      <c r="G627" s="61" t="str">
        <f aca="false">TEXT($C627,"0000")&amp;"-"&amp;TEXT($E627,"00")</f>
        <v>2024-07</v>
      </c>
      <c r="H627" s="61" t="str">
        <f aca="false">INDEX(Parametros!$C$71:$C$91,MATCH(TRIM(INDEX(Datos_Origen!$C$2:$C$2459,$Z627)),Parametros!$B$71:$B$91,0))</f>
        <v>Centro</v>
      </c>
      <c r="I627" s="61" t="str">
        <f aca="false">IF(TRIM($AD627)="",INDEX(Parametros!$I$20:$I$24,MATCH($H627,Parametros!$H$20:$H$24,0)),TRIM($AD627))</f>
        <v>Cordoba</v>
      </c>
      <c r="J627" s="61" t="str">
        <f aca="false">INDEX(Parametros!$C$95:$C$106,MATCH(TRIM(INDEX(Datos_Origen!$E$2:$E$2459,$Z627)),Parametros!$B$95:$B$106,0))</f>
        <v>E-commerce</v>
      </c>
      <c r="K627" s="61" t="str">
        <f aca="false">INDEX(Parametros!$C$48:$C$67,MATCH(TRIM(INDEX(Datos_Origen!$F$2:$F$2459,$Z627)),Parametros!$B$48:$B$67,0))</f>
        <v>Computacion</v>
      </c>
      <c r="L627" s="61" t="str">
        <f aca="false">$K627&amp;" "&amp;$C627</f>
        <v>Computacion 2024</v>
      </c>
      <c r="M627" s="61" t="str">
        <f aca="false">TRIM(INDEX(Datos_Origen!$G$2:$G$2459,$Z627))</f>
        <v>PC Gamer Ryzen</v>
      </c>
      <c r="N627" s="61" t="str">
        <f aca="false">$M627&amp;" "&amp;$C627</f>
        <v>PC Gamer Ryzen 2024</v>
      </c>
      <c r="O627" s="63" t="n">
        <f aca="false">IF(ISTEXT($AC627),VALUE($AC627),$AC627)</f>
        <v>6</v>
      </c>
      <c r="P627" s="64" t="n">
        <f aca="false">INDEX(Datos_Origen!$I$2:$I$2459,$Z627)</f>
        <v>1617</v>
      </c>
      <c r="Q627" s="64" t="n">
        <f aca="false">INDEX(Datos_Origen!$J$2:$J$2459,$Z627)</f>
        <v>1122</v>
      </c>
      <c r="R627" s="65" t="n">
        <f aca="false">ROUND($O627*$P627,2)</f>
        <v>9702</v>
      </c>
      <c r="S627" s="65" t="n">
        <f aca="false">ROUND($O627*$Q627,2)</f>
        <v>6732</v>
      </c>
      <c r="T627" s="65" t="n">
        <f aca="false">ROUND($R627*SUMIFS(Parametros!$E$28:$E$43,Parametros!$B$28:$B$43,$J627,Parametros!$C$28:$C$43,$C627,Parametros!$D$28:$D$43,$D627),2)</f>
        <v>446.29</v>
      </c>
      <c r="U627" s="65" t="n">
        <f aca="false">$R627-$S627-$T627</f>
        <v>2523.71</v>
      </c>
      <c r="V627" s="66" t="n">
        <f aca="false">IFERROR($U627/$R627,0)</f>
        <v>0.260122655122655</v>
      </c>
      <c r="W627" s="67" t="str">
        <f aca="false">IF(AND($V627&gt;=Parametros!$C$8,$R627&gt;=Parametros!$C$12),"Alta rentabilidad",IF(OR($V627&lt;Parametros!$C$11,$R627&lt;Parametros!$C$13),"Revisar","Estandar"))</f>
        <v>Revisar</v>
      </c>
      <c r="X627" s="67" t="str">
        <f aca="false">IF(AND($J627="E-commerce",IFERROR($T627/$R627,0)&gt;Parametros!$C$14),"Alerta","OK")</f>
        <v>OK</v>
      </c>
      <c r="Y627" s="61" t="str">
        <f aca="false">IF($R627&gt;=Parametros!$C$12,"Alto",IF($R627&lt;Parametros!$C$13,"Bajo","Medio"))</f>
        <v>Alto</v>
      </c>
      <c r="Z627" s="61" t="n">
        <v>96</v>
      </c>
      <c r="AA627" s="61" t="str">
        <f aca="false">IF(MATCH($A627,Datos_Origen!$A$2:$A$2459,0)=$Z627,"OK","REVISAR")</f>
        <v>OK</v>
      </c>
      <c r="AB627" s="62" t="n">
        <f aca="false">INDEX(Datos_Origen!$B$2:$B$2459,$Z627)</f>
        <v>45482</v>
      </c>
      <c r="AC627" s="61" t="n">
        <f aca="false">INDEX(Datos_Origen!$H$2:$H$2459,$Z627)</f>
        <v>6</v>
      </c>
      <c r="AD627" s="61" t="str">
        <f aca="false">INDEX(Datos_Origen!$D$2:$D$2459,$Z627)&amp;""</f>
        <v>Cordoba</v>
      </c>
    </row>
    <row r="628" customFormat="false" ht="15" hidden="false" customHeight="false" outlineLevel="0" collapsed="false">
      <c r="A628" s="61" t="n">
        <f aca="false">INDEX(Datos_Origen!$A$2:$A$2459,$Z628)</f>
        <v>627</v>
      </c>
      <c r="B628" s="62" t="n">
        <f aca="false">IF(ISNUMBER($AB628),$AB628,IF(MID($AB628,5,1)="-",DATE(VALUE(LEFT($AB628,4)),VALUE(MID($AB628,6,2)),VALUE(RIGHT($AB628,2))),DATE(VALUE(RIGHT($AB628,4)),VALUE(MID($AB628,4,2)),VALUE(LEFT($AB628,2)))))</f>
        <v>45489</v>
      </c>
      <c r="C628" s="61" t="n">
        <f aca="false">YEAR($B628)</f>
        <v>2024</v>
      </c>
      <c r="D628" s="61" t="str">
        <f aca="false">"Q"&amp;ROUNDUP(MONTH($B628)/3,0)</f>
        <v>Q3</v>
      </c>
      <c r="E628" s="61" t="n">
        <f aca="false">MONTH($B628)</f>
        <v>7</v>
      </c>
      <c r="F628" s="61" t="str">
        <f aca="false">INDEX(Parametros!$I$5:$I$16,$E628)</f>
        <v>Jul</v>
      </c>
      <c r="G628" s="61" t="str">
        <f aca="false">TEXT($C628,"0000")&amp;"-"&amp;TEXT($E628,"00")</f>
        <v>2024-07</v>
      </c>
      <c r="H628" s="61" t="str">
        <f aca="false">INDEX(Parametros!$C$71:$C$91,MATCH(TRIM(INDEX(Datos_Origen!$C$2:$C$2459,$Z628)),Parametros!$B$71:$B$91,0))</f>
        <v>Centro</v>
      </c>
      <c r="I628" s="61" t="str">
        <f aca="false">IF(TRIM($AD628)="",INDEX(Parametros!$I$20:$I$24,MATCH($H628,Parametros!$H$20:$H$24,0)),TRIM($AD628))</f>
        <v>Cordoba</v>
      </c>
      <c r="J628" s="61" t="str">
        <f aca="false">INDEX(Parametros!$C$95:$C$106,MATCH(TRIM(INDEX(Datos_Origen!$E$2:$E$2459,$Z628)),Parametros!$B$95:$B$106,0))</f>
        <v>Tienda fisica</v>
      </c>
      <c r="K628" s="61" t="str">
        <f aca="false">INDEX(Parametros!$C$48:$C$67,MATCH(TRIM(INDEX(Datos_Origen!$F$2:$F$2459,$Z628)),Parametros!$B$48:$B$67,0))</f>
        <v>Accesorios</v>
      </c>
      <c r="L628" s="61" t="str">
        <f aca="false">$K628&amp;" "&amp;$C628</f>
        <v>Accesorios 2024</v>
      </c>
      <c r="M628" s="61" t="str">
        <f aca="false">TRIM(INDEX(Datos_Origen!$G$2:$G$2459,$Z628))</f>
        <v>Mouse Inalambrico</v>
      </c>
      <c r="N628" s="61" t="str">
        <f aca="false">$M628&amp;" "&amp;$C628</f>
        <v>Mouse Inalambrico 2024</v>
      </c>
      <c r="O628" s="63" t="n">
        <f aca="false">IF(ISTEXT($AC628),VALUE($AC628),$AC628)</f>
        <v>59</v>
      </c>
      <c r="P628" s="64" t="n">
        <f aca="false">INDEX(Datos_Origen!$I$2:$I$2459,$Z628)</f>
        <v>27.44</v>
      </c>
      <c r="Q628" s="64" t="n">
        <f aca="false">INDEX(Datos_Origen!$J$2:$J$2459,$Z628)</f>
        <v>13.44</v>
      </c>
      <c r="R628" s="65" t="n">
        <f aca="false">ROUND($O628*$P628,2)</f>
        <v>1618.96</v>
      </c>
      <c r="S628" s="65" t="n">
        <f aca="false">ROUND($O628*$Q628,2)</f>
        <v>792.96</v>
      </c>
      <c r="T628" s="65" t="n">
        <f aca="false">ROUND($R628*SUMIFS(Parametros!$E$28:$E$43,Parametros!$B$28:$B$43,$J628,Parametros!$C$28:$C$43,$C628,Parametros!$D$28:$D$43,$D628),2)</f>
        <v>21.05</v>
      </c>
      <c r="U628" s="65" t="n">
        <f aca="false">$R628-$S628-$T628</f>
        <v>804.95</v>
      </c>
      <c r="V628" s="66" t="n">
        <f aca="false">IFERROR($U628/$R628,0)</f>
        <v>0.497201907397342</v>
      </c>
      <c r="W628" s="67" t="str">
        <f aca="false">IF(AND($V628&gt;=Parametros!$C$8,$R628&gt;=Parametros!$C$12),"Alta rentabilidad",IF(OR($V628&lt;Parametros!$C$11,$R628&lt;Parametros!$C$13),"Revisar","Estandar"))</f>
        <v>Estandar</v>
      </c>
      <c r="X628" s="67" t="str">
        <f aca="false">IF(AND($J628="E-commerce",IFERROR($T628/$R628,0)&gt;Parametros!$C$14),"Alerta","OK")</f>
        <v>OK</v>
      </c>
      <c r="Y628" s="61" t="str">
        <f aca="false">IF($R628&gt;=Parametros!$C$12,"Alto",IF($R628&lt;Parametros!$C$13,"Bajo","Medio"))</f>
        <v>Medio</v>
      </c>
      <c r="Z628" s="61" t="n">
        <v>2440</v>
      </c>
      <c r="AA628" s="61" t="str">
        <f aca="false">IF(MATCH($A628,Datos_Origen!$A$2:$A$2459,0)=$Z628,"OK","REVISAR")</f>
        <v>OK</v>
      </c>
      <c r="AB628" s="62" t="n">
        <f aca="false">INDEX(Datos_Origen!$B$2:$B$2459,$Z628)</f>
        <v>45489</v>
      </c>
      <c r="AC628" s="61" t="n">
        <f aca="false">INDEX(Datos_Origen!$H$2:$H$2459,$Z628)</f>
        <v>59</v>
      </c>
      <c r="AD628" s="61" t="str">
        <f aca="false">INDEX(Datos_Origen!$D$2:$D$2459,$Z628)&amp;""</f>
        <v>Cordoba</v>
      </c>
    </row>
    <row r="629" customFormat="false" ht="15" hidden="false" customHeight="false" outlineLevel="0" collapsed="false">
      <c r="A629" s="61" t="n">
        <f aca="false">INDEX(Datos_Origen!$A$2:$A$2459,$Z629)</f>
        <v>628</v>
      </c>
      <c r="B629" s="62" t="n">
        <f aca="false">IF(ISNUMBER($AB629),$AB629,IF(MID($AB629,5,1)="-",DATE(VALUE(LEFT($AB629,4)),VALUE(MID($AB629,6,2)),VALUE(RIGHT($AB629,2))),DATE(VALUE(RIGHT($AB629,4)),VALUE(MID($AB629,4,2)),VALUE(LEFT($AB629,2)))))</f>
        <v>45496</v>
      </c>
      <c r="C629" s="61" t="n">
        <f aca="false">YEAR($B629)</f>
        <v>2024</v>
      </c>
      <c r="D629" s="61" t="str">
        <f aca="false">"Q"&amp;ROUNDUP(MONTH($B629)/3,0)</f>
        <v>Q3</v>
      </c>
      <c r="E629" s="61" t="n">
        <f aca="false">MONTH($B629)</f>
        <v>7</v>
      </c>
      <c r="F629" s="61" t="str">
        <f aca="false">INDEX(Parametros!$I$5:$I$16,$E629)</f>
        <v>Jul</v>
      </c>
      <c r="G629" s="61" t="str">
        <f aca="false">TEXT($C629,"0000")&amp;"-"&amp;TEXT($E629,"00")</f>
        <v>2024-07</v>
      </c>
      <c r="H629" s="61" t="str">
        <f aca="false">INDEX(Parametros!$C$71:$C$91,MATCH(TRIM(INDEX(Datos_Origen!$C$2:$C$2459,$Z629)),Parametros!$B$71:$B$91,0))</f>
        <v>Centro</v>
      </c>
      <c r="I629" s="61" t="str">
        <f aca="false">IF(TRIM($AD629)="",INDEX(Parametros!$I$20:$I$24,MATCH($H629,Parametros!$H$20:$H$24,0)),TRIM($AD629))</f>
        <v>Cordoba</v>
      </c>
      <c r="J629" s="61" t="str">
        <f aca="false">INDEX(Parametros!$C$95:$C$106,MATCH(TRIM(INDEX(Datos_Origen!$E$2:$E$2459,$Z629)),Parametros!$B$95:$B$106,0))</f>
        <v>E-commerce</v>
      </c>
      <c r="K629" s="61" t="str">
        <f aca="false">INDEX(Parametros!$C$48:$C$67,MATCH(TRIM(INDEX(Datos_Origen!$F$2:$F$2459,$Z629)),Parametros!$B$48:$B$67,0))</f>
        <v>Accesorios</v>
      </c>
      <c r="L629" s="61" t="str">
        <f aca="false">$K629&amp;" "&amp;$C629</f>
        <v>Accesorios 2024</v>
      </c>
      <c r="M629" s="61" t="str">
        <f aca="false">TRIM(INDEX(Datos_Origen!$G$2:$G$2459,$Z629))</f>
        <v>Mouse Inalambrico</v>
      </c>
      <c r="N629" s="61" t="str">
        <f aca="false">$M629&amp;" "&amp;$C629</f>
        <v>Mouse Inalambrico 2024</v>
      </c>
      <c r="O629" s="63" t="n">
        <f aca="false">IF(ISTEXT($AC629),VALUE($AC629),$AC629)</f>
        <v>23</v>
      </c>
      <c r="P629" s="64" t="n">
        <f aca="false">INDEX(Datos_Origen!$I$2:$I$2459,$Z629)</f>
        <v>27.44</v>
      </c>
      <c r="Q629" s="64" t="n">
        <f aca="false">INDEX(Datos_Origen!$J$2:$J$2459,$Z629)</f>
        <v>13.44</v>
      </c>
      <c r="R629" s="65" t="n">
        <f aca="false">ROUND($O629*$P629,2)</f>
        <v>631.12</v>
      </c>
      <c r="S629" s="65" t="n">
        <f aca="false">ROUND($O629*$Q629,2)</f>
        <v>309.12</v>
      </c>
      <c r="T629" s="65" t="n">
        <f aca="false">ROUND($R629*SUMIFS(Parametros!$E$28:$E$43,Parametros!$B$28:$B$43,$J629,Parametros!$C$28:$C$43,$C629,Parametros!$D$28:$D$43,$D629),2)</f>
        <v>29.03</v>
      </c>
      <c r="U629" s="65" t="n">
        <f aca="false">$R629-$S629-$T629</f>
        <v>292.97</v>
      </c>
      <c r="V629" s="66" t="n">
        <f aca="false">IFERROR($U629/$R629,0)</f>
        <v>0.464206490049436</v>
      </c>
      <c r="W629" s="67" t="str">
        <f aca="false">IF(AND($V629&gt;=Parametros!$C$8,$R629&gt;=Parametros!$C$12),"Alta rentabilidad",IF(OR($V629&lt;Parametros!$C$11,$R629&lt;Parametros!$C$13),"Revisar","Estandar"))</f>
        <v>Estandar</v>
      </c>
      <c r="X629" s="67" t="str">
        <f aca="false">IF(AND($J629="E-commerce",IFERROR($T629/$R629,0)&gt;Parametros!$C$14),"Alerta","OK")</f>
        <v>OK</v>
      </c>
      <c r="Y629" s="61" t="str">
        <f aca="false">IF($R629&gt;=Parametros!$C$12,"Alto",IF($R629&lt;Parametros!$C$13,"Bajo","Medio"))</f>
        <v>Medio</v>
      </c>
      <c r="Z629" s="61" t="n">
        <v>295</v>
      </c>
      <c r="AA629" s="61" t="str">
        <f aca="false">IF(MATCH($A629,Datos_Origen!$A$2:$A$2459,0)=$Z629,"OK","REVISAR")</f>
        <v>OK</v>
      </c>
      <c r="AB629" s="61" t="str">
        <f aca="false">INDEX(Datos_Origen!$B$2:$B$2459,$Z629)</f>
        <v>23/07/2024</v>
      </c>
      <c r="AC629" s="61" t="str">
        <f aca="false">INDEX(Datos_Origen!$H$2:$H$2459,$Z629)</f>
        <v>23</v>
      </c>
      <c r="AD629" s="61" t="str">
        <f aca="false">INDEX(Datos_Origen!$D$2:$D$2459,$Z629)&amp;""</f>
        <v>Cordoba</v>
      </c>
    </row>
    <row r="630" customFormat="false" ht="15" hidden="false" customHeight="false" outlineLevel="0" collapsed="false">
      <c r="A630" s="61" t="n">
        <f aca="false">INDEX(Datos_Origen!$A$2:$A$2459,$Z630)</f>
        <v>629</v>
      </c>
      <c r="B630" s="62" t="n">
        <f aca="false">IF(ISNUMBER($AB630),$AB630,IF(MID($AB630,5,1)="-",DATE(VALUE(LEFT($AB630,4)),VALUE(MID($AB630,6,2)),VALUE(RIGHT($AB630,2))),DATE(VALUE(RIGHT($AB630,4)),VALUE(MID($AB630,4,2)),VALUE(LEFT($AB630,2)))))</f>
        <v>45476</v>
      </c>
      <c r="C630" s="61" t="n">
        <f aca="false">YEAR($B630)</f>
        <v>2024</v>
      </c>
      <c r="D630" s="61" t="str">
        <f aca="false">"Q"&amp;ROUNDUP(MONTH($B630)/3,0)</f>
        <v>Q3</v>
      </c>
      <c r="E630" s="61" t="n">
        <f aca="false">MONTH($B630)</f>
        <v>7</v>
      </c>
      <c r="F630" s="61" t="str">
        <f aca="false">INDEX(Parametros!$I$5:$I$16,$E630)</f>
        <v>Jul</v>
      </c>
      <c r="G630" s="61" t="str">
        <f aca="false">TEXT($C630,"0000")&amp;"-"&amp;TEXT($E630,"00")</f>
        <v>2024-07</v>
      </c>
      <c r="H630" s="61" t="str">
        <f aca="false">INDEX(Parametros!$C$71:$C$91,MATCH(TRIM(INDEX(Datos_Origen!$C$2:$C$2459,$Z630)),Parametros!$B$71:$B$91,0))</f>
        <v>Centro</v>
      </c>
      <c r="I630" s="61" t="str">
        <f aca="false">IF(TRIM($AD630)="",INDEX(Parametros!$I$20:$I$24,MATCH($H630,Parametros!$H$20:$H$24,0)),TRIM($AD630))</f>
        <v>Cordoba</v>
      </c>
      <c r="J630" s="61" t="str">
        <f aca="false">INDEX(Parametros!$C$95:$C$106,MATCH(TRIM(INDEX(Datos_Origen!$E$2:$E$2459,$Z630)),Parametros!$B$95:$B$106,0))</f>
        <v>Tienda fisica</v>
      </c>
      <c r="K630" s="61" t="str">
        <f aca="false">INDEX(Parametros!$C$48:$C$67,MATCH(TRIM(INDEX(Datos_Origen!$F$2:$F$2459,$Z630)),Parametros!$B$48:$B$67,0))</f>
        <v>Accesorios</v>
      </c>
      <c r="L630" s="61" t="str">
        <f aca="false">$K630&amp;" "&amp;$C630</f>
        <v>Accesorios 2024</v>
      </c>
      <c r="M630" s="61" t="str">
        <f aca="false">TRIM(INDEX(Datos_Origen!$G$2:$G$2459,$Z630))</f>
        <v>Teclado Mecanico</v>
      </c>
      <c r="N630" s="61" t="str">
        <f aca="false">$M630&amp;" "&amp;$C630</f>
        <v>Teclado Mecanico 2024</v>
      </c>
      <c r="O630" s="63" t="n">
        <f aca="false">IF(ISTEXT($AC630),VALUE($AC630),$AC630)</f>
        <v>66</v>
      </c>
      <c r="P630" s="64" t="n">
        <f aca="false">INDEX(Datos_Origen!$I$2:$I$2459,$Z630)</f>
        <v>93.1</v>
      </c>
      <c r="Q630" s="64" t="n">
        <f aca="false">INDEX(Datos_Origen!$J$2:$J$2459,$Z630)</f>
        <v>47.98</v>
      </c>
      <c r="R630" s="65" t="n">
        <f aca="false">ROUND($O630*$P630,2)</f>
        <v>6144.6</v>
      </c>
      <c r="S630" s="65" t="n">
        <f aca="false">ROUND($O630*$Q630,2)</f>
        <v>3166.68</v>
      </c>
      <c r="T630" s="65" t="n">
        <f aca="false">ROUND($R630*SUMIFS(Parametros!$E$28:$E$43,Parametros!$B$28:$B$43,$J630,Parametros!$C$28:$C$43,$C630,Parametros!$D$28:$D$43,$D630),2)</f>
        <v>79.88</v>
      </c>
      <c r="U630" s="65" t="n">
        <f aca="false">$R630-$S630-$T630</f>
        <v>2898.04</v>
      </c>
      <c r="V630" s="66" t="n">
        <f aca="false">IFERROR($U630/$R630,0)</f>
        <v>0.471640139309312</v>
      </c>
      <c r="W630" s="67" t="str">
        <f aca="false">IF(AND($V630&gt;=Parametros!$C$8,$R630&gt;=Parametros!$C$12),"Alta rentabilidad",IF(OR($V630&lt;Parametros!$C$11,$R630&lt;Parametros!$C$13),"Revisar","Estandar"))</f>
        <v>Alta rentabilidad</v>
      </c>
      <c r="X630" s="67" t="str">
        <f aca="false">IF(AND($J630="E-commerce",IFERROR($T630/$R630,0)&gt;Parametros!$C$14),"Alerta","OK")</f>
        <v>OK</v>
      </c>
      <c r="Y630" s="61" t="str">
        <f aca="false">IF($R630&gt;=Parametros!$C$12,"Alto",IF($R630&lt;Parametros!$C$13,"Bajo","Medio"))</f>
        <v>Alto</v>
      </c>
      <c r="Z630" s="61" t="n">
        <v>1579</v>
      </c>
      <c r="AA630" s="61" t="str">
        <f aca="false">IF(MATCH($A630,Datos_Origen!$A$2:$A$2459,0)=$Z630,"OK","REVISAR")</f>
        <v>OK</v>
      </c>
      <c r="AB630" s="61" t="str">
        <f aca="false">INDEX(Datos_Origen!$B$2:$B$2459,$Z630)</f>
        <v>03/07/2024</v>
      </c>
      <c r="AC630" s="61" t="n">
        <f aca="false">INDEX(Datos_Origen!$H$2:$H$2459,$Z630)</f>
        <v>66</v>
      </c>
      <c r="AD630" s="61" t="str">
        <f aca="false">INDEX(Datos_Origen!$D$2:$D$2459,$Z630)&amp;""</f>
        <v>Cordoba</v>
      </c>
    </row>
    <row r="631" customFormat="false" ht="15" hidden="false" customHeight="false" outlineLevel="0" collapsed="false">
      <c r="A631" s="61" t="n">
        <f aca="false">INDEX(Datos_Origen!$A$2:$A$2459,$Z631)</f>
        <v>630</v>
      </c>
      <c r="B631" s="62" t="n">
        <f aca="false">IF(ISNUMBER($AB631),$AB631,IF(MID($AB631,5,1)="-",DATE(VALUE(LEFT($AB631,4)),VALUE(MID($AB631,6,2)),VALUE(RIGHT($AB631,2))),DATE(VALUE(RIGHT($AB631,4)),VALUE(MID($AB631,4,2)),VALUE(LEFT($AB631,2)))))</f>
        <v>45483</v>
      </c>
      <c r="C631" s="61" t="n">
        <f aca="false">YEAR($B631)</f>
        <v>2024</v>
      </c>
      <c r="D631" s="61" t="str">
        <f aca="false">"Q"&amp;ROUNDUP(MONTH($B631)/3,0)</f>
        <v>Q3</v>
      </c>
      <c r="E631" s="61" t="n">
        <f aca="false">MONTH($B631)</f>
        <v>7</v>
      </c>
      <c r="F631" s="61" t="str">
        <f aca="false">INDEX(Parametros!$I$5:$I$16,$E631)</f>
        <v>Jul</v>
      </c>
      <c r="G631" s="61" t="str">
        <f aca="false">TEXT($C631,"0000")&amp;"-"&amp;TEXT($E631,"00")</f>
        <v>2024-07</v>
      </c>
      <c r="H631" s="61" t="str">
        <f aca="false">INDEX(Parametros!$C$71:$C$91,MATCH(TRIM(INDEX(Datos_Origen!$C$2:$C$2459,$Z631)),Parametros!$B$71:$B$91,0))</f>
        <v>Centro</v>
      </c>
      <c r="I631" s="61" t="str">
        <f aca="false">IF(TRIM($AD631)="",INDEX(Parametros!$I$20:$I$24,MATCH($H631,Parametros!$H$20:$H$24,0)),TRIM($AD631))</f>
        <v>Cordoba</v>
      </c>
      <c r="J631" s="61" t="str">
        <f aca="false">INDEX(Parametros!$C$95:$C$106,MATCH(TRIM(INDEX(Datos_Origen!$E$2:$E$2459,$Z631)),Parametros!$B$95:$B$106,0))</f>
        <v>E-commerce</v>
      </c>
      <c r="K631" s="61" t="str">
        <f aca="false">INDEX(Parametros!$C$48:$C$67,MATCH(TRIM(INDEX(Datos_Origen!$F$2:$F$2459,$Z631)),Parametros!$B$48:$B$67,0))</f>
        <v>Accesorios</v>
      </c>
      <c r="L631" s="61" t="str">
        <f aca="false">$K631&amp;" "&amp;$C631</f>
        <v>Accesorios 2024</v>
      </c>
      <c r="M631" s="61" t="str">
        <f aca="false">TRIM(INDEX(Datos_Origen!$G$2:$G$2459,$Z631))</f>
        <v>Teclado Mecanico</v>
      </c>
      <c r="N631" s="61" t="str">
        <f aca="false">$M631&amp;" "&amp;$C631</f>
        <v>Teclado Mecanico 2024</v>
      </c>
      <c r="O631" s="63" t="n">
        <f aca="false">IF(ISTEXT($AC631),VALUE($AC631),$AC631)</f>
        <v>28</v>
      </c>
      <c r="P631" s="64" t="n">
        <f aca="false">INDEX(Datos_Origen!$I$2:$I$2459,$Z631)</f>
        <v>93.1</v>
      </c>
      <c r="Q631" s="64" t="n">
        <f aca="false">INDEX(Datos_Origen!$J$2:$J$2459,$Z631)</f>
        <v>47.98</v>
      </c>
      <c r="R631" s="65" t="n">
        <f aca="false">ROUND($O631*$P631,2)</f>
        <v>2606.8</v>
      </c>
      <c r="S631" s="65" t="n">
        <f aca="false">ROUND($O631*$Q631,2)</f>
        <v>1343.44</v>
      </c>
      <c r="T631" s="65" t="n">
        <f aca="false">ROUND($R631*SUMIFS(Parametros!$E$28:$E$43,Parametros!$B$28:$B$43,$J631,Parametros!$C$28:$C$43,$C631,Parametros!$D$28:$D$43,$D631),2)</f>
        <v>119.91</v>
      </c>
      <c r="U631" s="65" t="n">
        <f aca="false">$R631-$S631-$T631</f>
        <v>1143.45</v>
      </c>
      <c r="V631" s="66" t="n">
        <f aca="false">IFERROR($U631/$R631,0)</f>
        <v>0.438641245972073</v>
      </c>
      <c r="W631" s="67" t="str">
        <f aca="false">IF(AND($V631&gt;=Parametros!$C$8,$R631&gt;=Parametros!$C$12),"Alta rentabilidad",IF(OR($V631&lt;Parametros!$C$11,$R631&lt;Parametros!$C$13),"Revisar","Estandar"))</f>
        <v>Estandar</v>
      </c>
      <c r="X631" s="67" t="str">
        <f aca="false">IF(AND($J631="E-commerce",IFERROR($T631/$R631,0)&gt;Parametros!$C$14),"Alerta","OK")</f>
        <v>OK</v>
      </c>
      <c r="Y631" s="61" t="str">
        <f aca="false">IF($R631&gt;=Parametros!$C$12,"Alto",IF($R631&lt;Parametros!$C$13,"Bajo","Medio"))</f>
        <v>Medio</v>
      </c>
      <c r="Z631" s="61" t="n">
        <v>2093</v>
      </c>
      <c r="AA631" s="61" t="str">
        <f aca="false">IF(MATCH($A631,Datos_Origen!$A$2:$A$2459,0)=$Z631,"OK","REVISAR")</f>
        <v>OK</v>
      </c>
      <c r="AB631" s="62" t="n">
        <f aca="false">INDEX(Datos_Origen!$B$2:$B$2459,$Z631)</f>
        <v>45483</v>
      </c>
      <c r="AC631" s="61" t="n">
        <f aca="false">INDEX(Datos_Origen!$H$2:$H$2459,$Z631)</f>
        <v>28</v>
      </c>
      <c r="AD631" s="61" t="str">
        <f aca="false">INDEX(Datos_Origen!$D$2:$D$2459,$Z631)&amp;""</f>
        <v>Cordoba</v>
      </c>
    </row>
    <row r="632" customFormat="false" ht="15" hidden="false" customHeight="false" outlineLevel="0" collapsed="false">
      <c r="A632" s="61" t="n">
        <f aca="false">INDEX(Datos_Origen!$A$2:$A$2459,$Z632)</f>
        <v>631</v>
      </c>
      <c r="B632" s="62" t="n">
        <f aca="false">IF(ISNUMBER($AB632),$AB632,IF(MID($AB632,5,1)="-",DATE(VALUE(LEFT($AB632,4)),VALUE(MID($AB632,6,2)),VALUE(RIGHT($AB632,2))),DATE(VALUE(RIGHT($AB632,4)),VALUE(MID($AB632,4,2)),VALUE(LEFT($AB632,2)))))</f>
        <v>45490</v>
      </c>
      <c r="C632" s="61" t="n">
        <f aca="false">YEAR($B632)</f>
        <v>2024</v>
      </c>
      <c r="D632" s="61" t="str">
        <f aca="false">"Q"&amp;ROUNDUP(MONTH($B632)/3,0)</f>
        <v>Q3</v>
      </c>
      <c r="E632" s="61" t="n">
        <f aca="false">MONTH($B632)</f>
        <v>7</v>
      </c>
      <c r="F632" s="61" t="str">
        <f aca="false">INDEX(Parametros!$I$5:$I$16,$E632)</f>
        <v>Jul</v>
      </c>
      <c r="G632" s="61" t="str">
        <f aca="false">TEXT($C632,"0000")&amp;"-"&amp;TEXT($E632,"00")</f>
        <v>2024-07</v>
      </c>
      <c r="H632" s="61" t="str">
        <f aca="false">INDEX(Parametros!$C$71:$C$91,MATCH(TRIM(INDEX(Datos_Origen!$C$2:$C$2459,$Z632)),Parametros!$B$71:$B$91,0))</f>
        <v>Centro</v>
      </c>
      <c r="I632" s="61" t="str">
        <f aca="false">IF(TRIM($AD632)="",INDEX(Parametros!$I$20:$I$24,MATCH($H632,Parametros!$H$20:$H$24,0)),TRIM($AD632))</f>
        <v>Cordoba</v>
      </c>
      <c r="J632" s="61" t="str">
        <f aca="false">INDEX(Parametros!$C$95:$C$106,MATCH(TRIM(INDEX(Datos_Origen!$E$2:$E$2459,$Z632)),Parametros!$B$95:$B$106,0))</f>
        <v>Tienda fisica</v>
      </c>
      <c r="K632" s="61" t="str">
        <f aca="false">INDEX(Parametros!$C$48:$C$67,MATCH(TRIM(INDEX(Datos_Origen!$F$2:$F$2459,$Z632)),Parametros!$B$48:$B$67,0))</f>
        <v>Accesorios</v>
      </c>
      <c r="L632" s="61" t="str">
        <f aca="false">$K632&amp;" "&amp;$C632</f>
        <v>Accesorios 2024</v>
      </c>
      <c r="M632" s="61" t="str">
        <f aca="false">TRIM(INDEX(Datos_Origen!$G$2:$G$2459,$Z632))</f>
        <v>Webcam Full HD</v>
      </c>
      <c r="N632" s="61" t="str">
        <f aca="false">$M632&amp;" "&amp;$C632</f>
        <v>Webcam Full HD 2024</v>
      </c>
      <c r="O632" s="63" t="n">
        <f aca="false">IF(ISTEXT($AC632),VALUE($AC632),$AC632)</f>
        <v>54</v>
      </c>
      <c r="P632" s="64" t="n">
        <f aca="false">INDEX(Datos_Origen!$I$2:$I$2459,$Z632)</f>
        <v>63.7</v>
      </c>
      <c r="Q632" s="64" t="n">
        <f aca="false">INDEX(Datos_Origen!$J$2:$J$2459,$Z632)</f>
        <v>35.43</v>
      </c>
      <c r="R632" s="65" t="n">
        <f aca="false">ROUND($O632*$P632,2)</f>
        <v>3439.8</v>
      </c>
      <c r="S632" s="65" t="n">
        <f aca="false">ROUND($O632*$Q632,2)</f>
        <v>1913.22</v>
      </c>
      <c r="T632" s="65" t="n">
        <f aca="false">ROUND($R632*SUMIFS(Parametros!$E$28:$E$43,Parametros!$B$28:$B$43,$J632,Parametros!$C$28:$C$43,$C632,Parametros!$D$28:$D$43,$D632),2)</f>
        <v>44.72</v>
      </c>
      <c r="U632" s="65" t="n">
        <f aca="false">$R632-$S632-$T632</f>
        <v>1481.86</v>
      </c>
      <c r="V632" s="66" t="n">
        <f aca="false">IFERROR($U632/$R632,0)</f>
        <v>0.430798302226874</v>
      </c>
      <c r="W632" s="67" t="str">
        <f aca="false">IF(AND($V632&gt;=Parametros!$C$8,$R632&gt;=Parametros!$C$12),"Alta rentabilidad",IF(OR($V632&lt;Parametros!$C$11,$R632&lt;Parametros!$C$13),"Revisar","Estandar"))</f>
        <v>Alta rentabilidad</v>
      </c>
      <c r="X632" s="67" t="str">
        <f aca="false">IF(AND($J632="E-commerce",IFERROR($T632/$R632,0)&gt;Parametros!$C$14),"Alerta","OK")</f>
        <v>OK</v>
      </c>
      <c r="Y632" s="61" t="str">
        <f aca="false">IF($R632&gt;=Parametros!$C$12,"Alto",IF($R632&lt;Parametros!$C$13,"Bajo","Medio"))</f>
        <v>Alto</v>
      </c>
      <c r="Z632" s="61" t="n">
        <v>2040</v>
      </c>
      <c r="AA632" s="61" t="str">
        <f aca="false">IF(MATCH($A632,Datos_Origen!$A$2:$A$2459,0)=$Z632,"OK","REVISAR")</f>
        <v>OK</v>
      </c>
      <c r="AB632" s="62" t="n">
        <f aca="false">INDEX(Datos_Origen!$B$2:$B$2459,$Z632)</f>
        <v>45490</v>
      </c>
      <c r="AC632" s="61" t="str">
        <f aca="false">INDEX(Datos_Origen!$H$2:$H$2459,$Z632)</f>
        <v>54</v>
      </c>
      <c r="AD632" s="61" t="str">
        <f aca="false">INDEX(Datos_Origen!$D$2:$D$2459,$Z632)&amp;""</f>
        <v>Cordoba</v>
      </c>
    </row>
    <row r="633" customFormat="false" ht="15" hidden="false" customHeight="false" outlineLevel="0" collapsed="false">
      <c r="A633" s="61" t="n">
        <f aca="false">INDEX(Datos_Origen!$A$2:$A$2459,$Z633)</f>
        <v>632</v>
      </c>
      <c r="B633" s="62" t="n">
        <f aca="false">IF(ISNUMBER($AB633),$AB633,IF(MID($AB633,5,1)="-",DATE(VALUE(LEFT($AB633,4)),VALUE(MID($AB633,6,2)),VALUE(RIGHT($AB633,2))),DATE(VALUE(RIGHT($AB633,4)),VALUE(MID($AB633,4,2)),VALUE(LEFT($AB633,2)))))</f>
        <v>45497</v>
      </c>
      <c r="C633" s="61" t="n">
        <f aca="false">YEAR($B633)</f>
        <v>2024</v>
      </c>
      <c r="D633" s="61" t="str">
        <f aca="false">"Q"&amp;ROUNDUP(MONTH($B633)/3,0)</f>
        <v>Q3</v>
      </c>
      <c r="E633" s="61" t="n">
        <f aca="false">MONTH($B633)</f>
        <v>7</v>
      </c>
      <c r="F633" s="61" t="str">
        <f aca="false">INDEX(Parametros!$I$5:$I$16,$E633)</f>
        <v>Jul</v>
      </c>
      <c r="G633" s="61" t="str">
        <f aca="false">TEXT($C633,"0000")&amp;"-"&amp;TEXT($E633,"00")</f>
        <v>2024-07</v>
      </c>
      <c r="H633" s="61" t="str">
        <f aca="false">INDEX(Parametros!$C$71:$C$91,MATCH(TRIM(INDEX(Datos_Origen!$C$2:$C$2459,$Z633)),Parametros!$B$71:$B$91,0))</f>
        <v>Centro</v>
      </c>
      <c r="I633" s="61" t="str">
        <f aca="false">IF(TRIM($AD633)="",INDEX(Parametros!$I$20:$I$24,MATCH($H633,Parametros!$H$20:$H$24,0)),TRIM($AD633))</f>
        <v>Cordoba</v>
      </c>
      <c r="J633" s="61" t="str">
        <f aca="false">INDEX(Parametros!$C$95:$C$106,MATCH(TRIM(INDEX(Datos_Origen!$E$2:$E$2459,$Z633)),Parametros!$B$95:$B$106,0))</f>
        <v>E-commerce</v>
      </c>
      <c r="K633" s="61" t="str">
        <f aca="false">INDEX(Parametros!$C$48:$C$67,MATCH(TRIM(INDEX(Datos_Origen!$F$2:$F$2459,$Z633)),Parametros!$B$48:$B$67,0))</f>
        <v>Accesorios</v>
      </c>
      <c r="L633" s="61" t="str">
        <f aca="false">$K633&amp;" "&amp;$C633</f>
        <v>Accesorios 2024</v>
      </c>
      <c r="M633" s="61" t="str">
        <f aca="false">TRIM(INDEX(Datos_Origen!$G$2:$G$2459,$Z633))</f>
        <v>Webcam Full HD</v>
      </c>
      <c r="N633" s="61" t="str">
        <f aca="false">$M633&amp;" "&amp;$C633</f>
        <v>Webcam Full HD 2024</v>
      </c>
      <c r="O633" s="63" t="n">
        <f aca="false">IF(ISTEXT($AC633),VALUE($AC633),$AC633)</f>
        <v>25</v>
      </c>
      <c r="P633" s="64" t="n">
        <f aca="false">INDEX(Datos_Origen!$I$2:$I$2459,$Z633)</f>
        <v>63.7</v>
      </c>
      <c r="Q633" s="64" t="n">
        <f aca="false">INDEX(Datos_Origen!$J$2:$J$2459,$Z633)</f>
        <v>35.43</v>
      </c>
      <c r="R633" s="65" t="n">
        <f aca="false">ROUND($O633*$P633,2)</f>
        <v>1592.5</v>
      </c>
      <c r="S633" s="65" t="n">
        <f aca="false">ROUND($O633*$Q633,2)</f>
        <v>885.75</v>
      </c>
      <c r="T633" s="65" t="n">
        <f aca="false">ROUND($R633*SUMIFS(Parametros!$E$28:$E$43,Parametros!$B$28:$B$43,$J633,Parametros!$C$28:$C$43,$C633,Parametros!$D$28:$D$43,$D633),2)</f>
        <v>73.26</v>
      </c>
      <c r="U633" s="65" t="n">
        <f aca="false">$R633-$S633-$T633</f>
        <v>633.49</v>
      </c>
      <c r="V633" s="66" t="n">
        <f aca="false">IFERROR($U633/$R633,0)</f>
        <v>0.397795918367347</v>
      </c>
      <c r="W633" s="67" t="str">
        <f aca="false">IF(AND($V633&gt;=Parametros!$C$8,$R633&gt;=Parametros!$C$12),"Alta rentabilidad",IF(OR($V633&lt;Parametros!$C$11,$R633&lt;Parametros!$C$13),"Revisar","Estandar"))</f>
        <v>Estandar</v>
      </c>
      <c r="X633" s="67" t="str">
        <f aca="false">IF(AND($J633="E-commerce",IFERROR($T633/$R633,0)&gt;Parametros!$C$14),"Alerta","OK")</f>
        <v>OK</v>
      </c>
      <c r="Y633" s="61" t="str">
        <f aca="false">IF($R633&gt;=Parametros!$C$12,"Alto",IF($R633&lt;Parametros!$C$13,"Bajo","Medio"))</f>
        <v>Medio</v>
      </c>
      <c r="Z633" s="61" t="n">
        <v>1273</v>
      </c>
      <c r="AA633" s="61" t="str">
        <f aca="false">IF(MATCH($A633,Datos_Origen!$A$2:$A$2459,0)=$Z633,"OK","REVISAR")</f>
        <v>OK</v>
      </c>
      <c r="AB633" s="61" t="str">
        <f aca="false">INDEX(Datos_Origen!$B$2:$B$2459,$Z633)</f>
        <v>24/07/2024</v>
      </c>
      <c r="AC633" s="61" t="n">
        <f aca="false">INDEX(Datos_Origen!$H$2:$H$2459,$Z633)</f>
        <v>25</v>
      </c>
      <c r="AD633" s="61" t="str">
        <f aca="false">INDEX(Datos_Origen!$D$2:$D$2459,$Z633)&amp;""</f>
        <v>Cordoba</v>
      </c>
    </row>
    <row r="634" customFormat="false" ht="15" hidden="false" customHeight="false" outlineLevel="0" collapsed="false">
      <c r="A634" s="61" t="n">
        <f aca="false">INDEX(Datos_Origen!$A$2:$A$2459,$Z634)</f>
        <v>633</v>
      </c>
      <c r="B634" s="62" t="n">
        <f aca="false">IF(ISNUMBER($AB634),$AB634,IF(MID($AB634,5,1)="-",DATE(VALUE(LEFT($AB634,4)),VALUE(MID($AB634,6,2)),VALUE(RIGHT($AB634,2))),DATE(VALUE(RIGHT($AB634,4)),VALUE(MID($AB634,4,2)),VALUE(LEFT($AB634,2)))))</f>
        <v>45477</v>
      </c>
      <c r="C634" s="61" t="n">
        <f aca="false">YEAR($B634)</f>
        <v>2024</v>
      </c>
      <c r="D634" s="61" t="str">
        <f aca="false">"Q"&amp;ROUNDUP(MONTH($B634)/3,0)</f>
        <v>Q3</v>
      </c>
      <c r="E634" s="61" t="n">
        <f aca="false">MONTH($B634)</f>
        <v>7</v>
      </c>
      <c r="F634" s="61" t="str">
        <f aca="false">INDEX(Parametros!$I$5:$I$16,$E634)</f>
        <v>Jul</v>
      </c>
      <c r="G634" s="61" t="str">
        <f aca="false">TEXT($C634,"0000")&amp;"-"&amp;TEXT($E634,"00")</f>
        <v>2024-07</v>
      </c>
      <c r="H634" s="61" t="str">
        <f aca="false">INDEX(Parametros!$C$71:$C$91,MATCH(TRIM(INDEX(Datos_Origen!$C$2:$C$2459,$Z634)),Parametros!$B$71:$B$91,0))</f>
        <v>Centro</v>
      </c>
      <c r="I634" s="61" t="str">
        <f aca="false">IF(TRIM($AD634)="",INDEX(Parametros!$I$20:$I$24,MATCH($H634,Parametros!$H$20:$H$24,0)),TRIM($AD634))</f>
        <v>Cordoba</v>
      </c>
      <c r="J634" s="61" t="str">
        <f aca="false">INDEX(Parametros!$C$95:$C$106,MATCH(TRIM(INDEX(Datos_Origen!$E$2:$E$2459,$Z634)),Parametros!$B$95:$B$106,0))</f>
        <v>Tienda fisica</v>
      </c>
      <c r="K634" s="61" t="str">
        <f aca="false">INDEX(Parametros!$C$48:$C$67,MATCH(TRIM(INDEX(Datos_Origen!$F$2:$F$2459,$Z634)),Parametros!$B$48:$B$67,0))</f>
        <v>Audio</v>
      </c>
      <c r="L634" s="61" t="str">
        <f aca="false">$K634&amp;" "&amp;$C634</f>
        <v>Audio 2024</v>
      </c>
      <c r="M634" s="61" t="str">
        <f aca="false">TRIM(INDEX(Datos_Origen!$G$2:$G$2459,$Z634))</f>
        <v>Auriculares BT Pro</v>
      </c>
      <c r="N634" s="61" t="str">
        <f aca="false">$M634&amp;" "&amp;$C634</f>
        <v>Auriculares BT Pro 2024</v>
      </c>
      <c r="O634" s="63" t="n">
        <f aca="false">IF(ISTEXT($AC634),VALUE($AC634),$AC634)</f>
        <v>24</v>
      </c>
      <c r="P634" s="64" t="n">
        <f aca="false">INDEX(Datos_Origen!$I$2:$I$2459,$Z634)</f>
        <v>117.6</v>
      </c>
      <c r="Q634" s="64" t="n">
        <f aca="false">INDEX(Datos_Origen!$J$2:$J$2459,$Z634)</f>
        <v>63.6</v>
      </c>
      <c r="R634" s="65" t="n">
        <f aca="false">ROUND($O634*$P634,2)</f>
        <v>2822.4</v>
      </c>
      <c r="S634" s="65" t="n">
        <f aca="false">ROUND($O634*$Q634,2)</f>
        <v>1526.4</v>
      </c>
      <c r="T634" s="65" t="n">
        <f aca="false">ROUND($R634*SUMIFS(Parametros!$E$28:$E$43,Parametros!$B$28:$B$43,$J634,Parametros!$C$28:$C$43,$C634,Parametros!$D$28:$D$43,$D634),2)</f>
        <v>36.69</v>
      </c>
      <c r="U634" s="65" t="n">
        <f aca="false">$R634-$S634-$T634</f>
        <v>1259.31</v>
      </c>
      <c r="V634" s="66" t="n">
        <f aca="false">IFERROR($U634/$R634,0)</f>
        <v>0.446184098639456</v>
      </c>
      <c r="W634" s="67" t="str">
        <f aca="false">IF(AND($V634&gt;=Parametros!$C$8,$R634&gt;=Parametros!$C$12),"Alta rentabilidad",IF(OR($V634&lt;Parametros!$C$11,$R634&lt;Parametros!$C$13),"Revisar","Estandar"))</f>
        <v>Estandar</v>
      </c>
      <c r="X634" s="67" t="str">
        <f aca="false">IF(AND($J634="E-commerce",IFERROR($T634/$R634,0)&gt;Parametros!$C$14),"Alerta","OK")</f>
        <v>OK</v>
      </c>
      <c r="Y634" s="61" t="str">
        <f aca="false">IF($R634&gt;=Parametros!$C$12,"Alto",IF($R634&lt;Parametros!$C$13,"Bajo","Medio"))</f>
        <v>Medio</v>
      </c>
      <c r="Z634" s="61" t="n">
        <v>2171</v>
      </c>
      <c r="AA634" s="61" t="str">
        <f aca="false">IF(MATCH($A634,Datos_Origen!$A$2:$A$2459,0)=$Z634,"OK","REVISAR")</f>
        <v>OK</v>
      </c>
      <c r="AB634" s="62" t="n">
        <f aca="false">INDEX(Datos_Origen!$B$2:$B$2459,$Z634)</f>
        <v>45477</v>
      </c>
      <c r="AC634" s="61" t="n">
        <f aca="false">INDEX(Datos_Origen!$H$2:$H$2459,$Z634)</f>
        <v>24</v>
      </c>
      <c r="AD634" s="61" t="str">
        <f aca="false">INDEX(Datos_Origen!$D$2:$D$2459,$Z634)&amp;""</f>
        <v>Cordoba</v>
      </c>
    </row>
    <row r="635" customFormat="false" ht="15" hidden="false" customHeight="false" outlineLevel="0" collapsed="false">
      <c r="A635" s="61" t="n">
        <f aca="false">INDEX(Datos_Origen!$A$2:$A$2459,$Z635)</f>
        <v>634</v>
      </c>
      <c r="B635" s="62" t="n">
        <f aca="false">IF(ISNUMBER($AB635),$AB635,IF(MID($AB635,5,1)="-",DATE(VALUE(LEFT($AB635,4)),VALUE(MID($AB635,6,2)),VALUE(RIGHT($AB635,2))),DATE(VALUE(RIGHT($AB635,4)),VALUE(MID($AB635,4,2)),VALUE(LEFT($AB635,2)))))</f>
        <v>45484</v>
      </c>
      <c r="C635" s="61" t="n">
        <f aca="false">YEAR($B635)</f>
        <v>2024</v>
      </c>
      <c r="D635" s="61" t="str">
        <f aca="false">"Q"&amp;ROUNDUP(MONTH($B635)/3,0)</f>
        <v>Q3</v>
      </c>
      <c r="E635" s="61" t="n">
        <f aca="false">MONTH($B635)</f>
        <v>7</v>
      </c>
      <c r="F635" s="61" t="str">
        <f aca="false">INDEX(Parametros!$I$5:$I$16,$E635)</f>
        <v>Jul</v>
      </c>
      <c r="G635" s="61" t="str">
        <f aca="false">TEXT($C635,"0000")&amp;"-"&amp;TEXT($E635,"00")</f>
        <v>2024-07</v>
      </c>
      <c r="H635" s="61" t="str">
        <f aca="false">INDEX(Parametros!$C$71:$C$91,MATCH(TRIM(INDEX(Datos_Origen!$C$2:$C$2459,$Z635)),Parametros!$B$71:$B$91,0))</f>
        <v>Centro</v>
      </c>
      <c r="I635" s="61" t="str">
        <f aca="false">IF(TRIM($AD635)="",INDEX(Parametros!$I$20:$I$24,MATCH($H635,Parametros!$H$20:$H$24,0)),TRIM($AD635))</f>
        <v>Cordoba</v>
      </c>
      <c r="J635" s="61" t="str">
        <f aca="false">INDEX(Parametros!$C$95:$C$106,MATCH(TRIM(INDEX(Datos_Origen!$E$2:$E$2459,$Z635)),Parametros!$B$95:$B$106,0))</f>
        <v>E-commerce</v>
      </c>
      <c r="K635" s="61" t="str">
        <f aca="false">INDEX(Parametros!$C$48:$C$67,MATCH(TRIM(INDEX(Datos_Origen!$F$2:$F$2459,$Z635)),Parametros!$B$48:$B$67,0))</f>
        <v>Audio</v>
      </c>
      <c r="L635" s="61" t="str">
        <f aca="false">$K635&amp;" "&amp;$C635</f>
        <v>Audio 2024</v>
      </c>
      <c r="M635" s="61" t="str">
        <f aca="false">TRIM(INDEX(Datos_Origen!$G$2:$G$2459,$Z635))</f>
        <v>Auriculares BT Pro</v>
      </c>
      <c r="N635" s="61" t="str">
        <f aca="false">$M635&amp;" "&amp;$C635</f>
        <v>Auriculares BT Pro 2024</v>
      </c>
      <c r="O635" s="63" t="n">
        <f aca="false">IF(ISTEXT($AC635),VALUE($AC635),$AC635)</f>
        <v>12</v>
      </c>
      <c r="P635" s="64" t="n">
        <f aca="false">INDEX(Datos_Origen!$I$2:$I$2459,$Z635)</f>
        <v>117.6</v>
      </c>
      <c r="Q635" s="64" t="n">
        <f aca="false">INDEX(Datos_Origen!$J$2:$J$2459,$Z635)</f>
        <v>63.6</v>
      </c>
      <c r="R635" s="65" t="n">
        <f aca="false">ROUND($O635*$P635,2)</f>
        <v>1411.2</v>
      </c>
      <c r="S635" s="65" t="n">
        <f aca="false">ROUND($O635*$Q635,2)</f>
        <v>763.2</v>
      </c>
      <c r="T635" s="65" t="n">
        <f aca="false">ROUND($R635*SUMIFS(Parametros!$E$28:$E$43,Parametros!$B$28:$B$43,$J635,Parametros!$C$28:$C$43,$C635,Parametros!$D$28:$D$43,$D635),2)</f>
        <v>64.92</v>
      </c>
      <c r="U635" s="65" t="n">
        <f aca="false">$R635-$S635-$T635</f>
        <v>583.08</v>
      </c>
      <c r="V635" s="66" t="n">
        <f aca="false">IFERROR($U635/$R635,0)</f>
        <v>0.413180272108844</v>
      </c>
      <c r="W635" s="67" t="str">
        <f aca="false">IF(AND($V635&gt;=Parametros!$C$8,$R635&gt;=Parametros!$C$12),"Alta rentabilidad",IF(OR($V635&lt;Parametros!$C$11,$R635&lt;Parametros!$C$13),"Revisar","Estandar"))</f>
        <v>Estandar</v>
      </c>
      <c r="X635" s="67" t="str">
        <f aca="false">IF(AND($J635="E-commerce",IFERROR($T635/$R635,0)&gt;Parametros!$C$14),"Alerta","OK")</f>
        <v>OK</v>
      </c>
      <c r="Y635" s="61" t="str">
        <f aca="false">IF($R635&gt;=Parametros!$C$12,"Alto",IF($R635&lt;Parametros!$C$13,"Bajo","Medio"))</f>
        <v>Medio</v>
      </c>
      <c r="Z635" s="61" t="n">
        <v>2153</v>
      </c>
      <c r="AA635" s="61" t="str">
        <f aca="false">IF(MATCH($A635,Datos_Origen!$A$2:$A$2459,0)=$Z635,"OK","REVISAR")</f>
        <v>OK</v>
      </c>
      <c r="AB635" s="62" t="n">
        <f aca="false">INDEX(Datos_Origen!$B$2:$B$2459,$Z635)</f>
        <v>45484</v>
      </c>
      <c r="AC635" s="61" t="n">
        <f aca="false">INDEX(Datos_Origen!$H$2:$H$2459,$Z635)</f>
        <v>12</v>
      </c>
      <c r="AD635" s="61" t="str">
        <f aca="false">INDEX(Datos_Origen!$D$2:$D$2459,$Z635)&amp;""</f>
        <v>Cordoba</v>
      </c>
    </row>
    <row r="636" customFormat="false" ht="15" hidden="false" customHeight="false" outlineLevel="0" collapsed="false">
      <c r="A636" s="61" t="n">
        <f aca="false">INDEX(Datos_Origen!$A$2:$A$2459,$Z636)</f>
        <v>635</v>
      </c>
      <c r="B636" s="62" t="n">
        <f aca="false">IF(ISNUMBER($AB636),$AB636,IF(MID($AB636,5,1)="-",DATE(VALUE(LEFT($AB636,4)),VALUE(MID($AB636,6,2)),VALUE(RIGHT($AB636,2))),DATE(VALUE(RIGHT($AB636,4)),VALUE(MID($AB636,4,2)),VALUE(LEFT($AB636,2)))))</f>
        <v>45491</v>
      </c>
      <c r="C636" s="61" t="n">
        <f aca="false">YEAR($B636)</f>
        <v>2024</v>
      </c>
      <c r="D636" s="61" t="str">
        <f aca="false">"Q"&amp;ROUNDUP(MONTH($B636)/3,0)</f>
        <v>Q3</v>
      </c>
      <c r="E636" s="61" t="n">
        <f aca="false">MONTH($B636)</f>
        <v>7</v>
      </c>
      <c r="F636" s="61" t="str">
        <f aca="false">INDEX(Parametros!$I$5:$I$16,$E636)</f>
        <v>Jul</v>
      </c>
      <c r="G636" s="61" t="str">
        <f aca="false">TEXT($C636,"0000")&amp;"-"&amp;TEXT($E636,"00")</f>
        <v>2024-07</v>
      </c>
      <c r="H636" s="61" t="str">
        <f aca="false">INDEX(Parametros!$C$71:$C$91,MATCH(TRIM(INDEX(Datos_Origen!$C$2:$C$2459,$Z636)),Parametros!$B$71:$B$91,0))</f>
        <v>Centro</v>
      </c>
      <c r="I636" s="61" t="str">
        <f aca="false">IF(TRIM($AD636)="",INDEX(Parametros!$I$20:$I$24,MATCH($H636,Parametros!$H$20:$H$24,0)),TRIM($AD636))</f>
        <v>Cordoba</v>
      </c>
      <c r="J636" s="61" t="str">
        <f aca="false">INDEX(Parametros!$C$95:$C$106,MATCH(TRIM(INDEX(Datos_Origen!$E$2:$E$2459,$Z636)),Parametros!$B$95:$B$106,0))</f>
        <v>Tienda fisica</v>
      </c>
      <c r="K636" s="61" t="str">
        <f aca="false">INDEX(Parametros!$C$48:$C$67,MATCH(TRIM(INDEX(Datos_Origen!$F$2:$F$2459,$Z636)),Parametros!$B$48:$B$67,0))</f>
        <v>Audio</v>
      </c>
      <c r="L636" s="61" t="str">
        <f aca="false">$K636&amp;" "&amp;$C636</f>
        <v>Audio 2024</v>
      </c>
      <c r="M636" s="61" t="str">
        <f aca="false">TRIM(INDEX(Datos_Origen!$G$2:$G$2459,$Z636))</f>
        <v>Parlante Bluetooth</v>
      </c>
      <c r="N636" s="61" t="str">
        <f aca="false">$M636&amp;" "&amp;$C636</f>
        <v>Parlante Bluetooth 2024</v>
      </c>
      <c r="O636" s="63" t="n">
        <f aca="false">IF(ISTEXT($AC636),VALUE($AC636),$AC636)</f>
        <v>25</v>
      </c>
      <c r="P636" s="64" t="n">
        <f aca="false">INDEX(Datos_Origen!$I$2:$I$2459,$Z636)</f>
        <v>83.3</v>
      </c>
      <c r="Q636" s="64" t="n">
        <f aca="false">INDEX(Datos_Origen!$J$2:$J$2459,$Z636)</f>
        <v>48.03</v>
      </c>
      <c r="R636" s="65" t="n">
        <f aca="false">ROUND($O636*$P636,2)</f>
        <v>2082.5</v>
      </c>
      <c r="S636" s="65" t="n">
        <f aca="false">ROUND($O636*$Q636,2)</f>
        <v>1200.75</v>
      </c>
      <c r="T636" s="65" t="n">
        <f aca="false">ROUND($R636*SUMIFS(Parametros!$E$28:$E$43,Parametros!$B$28:$B$43,$J636,Parametros!$C$28:$C$43,$C636,Parametros!$D$28:$D$43,$D636),2)</f>
        <v>27.07</v>
      </c>
      <c r="U636" s="65" t="n">
        <f aca="false">$R636-$S636-$T636</f>
        <v>854.68</v>
      </c>
      <c r="V636" s="66" t="n">
        <f aca="false">IFERROR($U636/$R636,0)</f>
        <v>0.41041056422569</v>
      </c>
      <c r="W636" s="67" t="str">
        <f aca="false">IF(AND($V636&gt;=Parametros!$C$8,$R636&gt;=Parametros!$C$12),"Alta rentabilidad",IF(OR($V636&lt;Parametros!$C$11,$R636&lt;Parametros!$C$13),"Revisar","Estandar"))</f>
        <v>Estandar</v>
      </c>
      <c r="X636" s="67" t="str">
        <f aca="false">IF(AND($J636="E-commerce",IFERROR($T636/$R636,0)&gt;Parametros!$C$14),"Alerta","OK")</f>
        <v>OK</v>
      </c>
      <c r="Y636" s="61" t="str">
        <f aca="false">IF($R636&gt;=Parametros!$C$12,"Alto",IF($R636&lt;Parametros!$C$13,"Bajo","Medio"))</f>
        <v>Medio</v>
      </c>
      <c r="Z636" s="61" t="n">
        <v>49</v>
      </c>
      <c r="AA636" s="61" t="str">
        <f aca="false">IF(MATCH($A636,Datos_Origen!$A$2:$A$2459,0)=$Z636,"OK","REVISAR")</f>
        <v>OK</v>
      </c>
      <c r="AB636" s="62" t="n">
        <f aca="false">INDEX(Datos_Origen!$B$2:$B$2459,$Z636)</f>
        <v>45491</v>
      </c>
      <c r="AC636" s="61" t="n">
        <f aca="false">INDEX(Datos_Origen!$H$2:$H$2459,$Z636)</f>
        <v>25</v>
      </c>
      <c r="AD636" s="61" t="str">
        <f aca="false">INDEX(Datos_Origen!$D$2:$D$2459,$Z636)&amp;""</f>
        <v/>
      </c>
    </row>
    <row r="637" customFormat="false" ht="15" hidden="false" customHeight="false" outlineLevel="0" collapsed="false">
      <c r="A637" s="61" t="n">
        <f aca="false">INDEX(Datos_Origen!$A$2:$A$2459,$Z637)</f>
        <v>636</v>
      </c>
      <c r="B637" s="62" t="n">
        <f aca="false">IF(ISNUMBER($AB637),$AB637,IF(MID($AB637,5,1)="-",DATE(VALUE(LEFT($AB637,4)),VALUE(MID($AB637,6,2)),VALUE(RIGHT($AB637,2))),DATE(VALUE(RIGHT($AB637,4)),VALUE(MID($AB637,4,2)),VALUE(LEFT($AB637,2)))))</f>
        <v>45498</v>
      </c>
      <c r="C637" s="61" t="n">
        <f aca="false">YEAR($B637)</f>
        <v>2024</v>
      </c>
      <c r="D637" s="61" t="str">
        <f aca="false">"Q"&amp;ROUNDUP(MONTH($B637)/3,0)</f>
        <v>Q3</v>
      </c>
      <c r="E637" s="61" t="n">
        <f aca="false">MONTH($B637)</f>
        <v>7</v>
      </c>
      <c r="F637" s="61" t="str">
        <f aca="false">INDEX(Parametros!$I$5:$I$16,$E637)</f>
        <v>Jul</v>
      </c>
      <c r="G637" s="61" t="str">
        <f aca="false">TEXT($C637,"0000")&amp;"-"&amp;TEXT($E637,"00")</f>
        <v>2024-07</v>
      </c>
      <c r="H637" s="61" t="str">
        <f aca="false">INDEX(Parametros!$C$71:$C$91,MATCH(TRIM(INDEX(Datos_Origen!$C$2:$C$2459,$Z637)),Parametros!$B$71:$B$91,0))</f>
        <v>Centro</v>
      </c>
      <c r="I637" s="61" t="str">
        <f aca="false">IF(TRIM($AD637)="",INDEX(Parametros!$I$20:$I$24,MATCH($H637,Parametros!$H$20:$H$24,0)),TRIM($AD637))</f>
        <v>Cordoba</v>
      </c>
      <c r="J637" s="61" t="str">
        <f aca="false">INDEX(Parametros!$C$95:$C$106,MATCH(TRIM(INDEX(Datos_Origen!$E$2:$E$2459,$Z637)),Parametros!$B$95:$B$106,0))</f>
        <v>E-commerce</v>
      </c>
      <c r="K637" s="61" t="str">
        <f aca="false">INDEX(Parametros!$C$48:$C$67,MATCH(TRIM(INDEX(Datos_Origen!$F$2:$F$2459,$Z637)),Parametros!$B$48:$B$67,0))</f>
        <v>Audio</v>
      </c>
      <c r="L637" s="61" t="str">
        <f aca="false">$K637&amp;" "&amp;$C637</f>
        <v>Audio 2024</v>
      </c>
      <c r="M637" s="61" t="str">
        <f aca="false">TRIM(INDEX(Datos_Origen!$G$2:$G$2459,$Z637))</f>
        <v>Parlante Bluetooth</v>
      </c>
      <c r="N637" s="61" t="str">
        <f aca="false">$M637&amp;" "&amp;$C637</f>
        <v>Parlante Bluetooth 2024</v>
      </c>
      <c r="O637" s="63" t="n">
        <f aca="false">IF(ISTEXT($AC637),VALUE($AC637),$AC637)</f>
        <v>11</v>
      </c>
      <c r="P637" s="64" t="n">
        <f aca="false">INDEX(Datos_Origen!$I$2:$I$2459,$Z637)</f>
        <v>83.3</v>
      </c>
      <c r="Q637" s="64" t="n">
        <f aca="false">INDEX(Datos_Origen!$J$2:$J$2459,$Z637)</f>
        <v>48.03</v>
      </c>
      <c r="R637" s="65" t="n">
        <f aca="false">ROUND($O637*$P637,2)</f>
        <v>916.3</v>
      </c>
      <c r="S637" s="65" t="n">
        <f aca="false">ROUND($O637*$Q637,2)</f>
        <v>528.33</v>
      </c>
      <c r="T637" s="65" t="n">
        <f aca="false">ROUND($R637*SUMIFS(Parametros!$E$28:$E$43,Parametros!$B$28:$B$43,$J637,Parametros!$C$28:$C$43,$C637,Parametros!$D$28:$D$43,$D637),2)</f>
        <v>42.15</v>
      </c>
      <c r="U637" s="65" t="n">
        <f aca="false">$R637-$S637-$T637</f>
        <v>345.82</v>
      </c>
      <c r="V637" s="66" t="n">
        <f aca="false">IFERROR($U637/$R637,0)</f>
        <v>0.377409145476372</v>
      </c>
      <c r="W637" s="67" t="str">
        <f aca="false">IF(AND($V637&gt;=Parametros!$C$8,$R637&gt;=Parametros!$C$12),"Alta rentabilidad",IF(OR($V637&lt;Parametros!$C$11,$R637&lt;Parametros!$C$13),"Revisar","Estandar"))</f>
        <v>Estandar</v>
      </c>
      <c r="X637" s="67" t="str">
        <f aca="false">IF(AND($J637="E-commerce",IFERROR($T637/$R637,0)&gt;Parametros!$C$14),"Alerta","OK")</f>
        <v>OK</v>
      </c>
      <c r="Y637" s="61" t="str">
        <f aca="false">IF($R637&gt;=Parametros!$C$12,"Alto",IF($R637&lt;Parametros!$C$13,"Bajo","Medio"))</f>
        <v>Medio</v>
      </c>
      <c r="Z637" s="61" t="n">
        <v>1012</v>
      </c>
      <c r="AA637" s="61" t="str">
        <f aca="false">IF(MATCH($A637,Datos_Origen!$A$2:$A$2459,0)=$Z637,"OK","REVISAR")</f>
        <v>OK</v>
      </c>
      <c r="AB637" s="61" t="str">
        <f aca="false">INDEX(Datos_Origen!$B$2:$B$2459,$Z637)</f>
        <v>25/07/2024</v>
      </c>
      <c r="AC637" s="61" t="n">
        <f aca="false">INDEX(Datos_Origen!$H$2:$H$2459,$Z637)</f>
        <v>11</v>
      </c>
      <c r="AD637" s="61" t="str">
        <f aca="false">INDEX(Datos_Origen!$D$2:$D$2459,$Z637)&amp;""</f>
        <v>Cordoba</v>
      </c>
    </row>
    <row r="638" customFormat="false" ht="15" hidden="false" customHeight="false" outlineLevel="0" collapsed="false">
      <c r="A638" s="61" t="n">
        <f aca="false">INDEX(Datos_Origen!$A$2:$A$2459,$Z638)</f>
        <v>637</v>
      </c>
      <c r="B638" s="62" t="n">
        <f aca="false">IF(ISNUMBER($AB638),$AB638,IF(MID($AB638,5,1)="-",DATE(VALUE(LEFT($AB638,4)),VALUE(MID($AB638,6,2)),VALUE(RIGHT($AB638,2))),DATE(VALUE(RIGHT($AB638,4)),VALUE(MID($AB638,4,2)),VALUE(LEFT($AB638,2)))))</f>
        <v>45478</v>
      </c>
      <c r="C638" s="61" t="n">
        <f aca="false">YEAR($B638)</f>
        <v>2024</v>
      </c>
      <c r="D638" s="61" t="str">
        <f aca="false">"Q"&amp;ROUNDUP(MONTH($B638)/3,0)</f>
        <v>Q3</v>
      </c>
      <c r="E638" s="61" t="n">
        <f aca="false">MONTH($B638)</f>
        <v>7</v>
      </c>
      <c r="F638" s="61" t="str">
        <f aca="false">INDEX(Parametros!$I$5:$I$16,$E638)</f>
        <v>Jul</v>
      </c>
      <c r="G638" s="61" t="str">
        <f aca="false">TEXT($C638,"0000")&amp;"-"&amp;TEXT($E638,"00")</f>
        <v>2024-07</v>
      </c>
      <c r="H638" s="61" t="str">
        <f aca="false">INDEX(Parametros!$C$71:$C$91,MATCH(TRIM(INDEX(Datos_Origen!$C$2:$C$2459,$Z638)),Parametros!$B$71:$B$91,0))</f>
        <v>Centro</v>
      </c>
      <c r="I638" s="61" t="str">
        <f aca="false">IF(TRIM($AD638)="",INDEX(Parametros!$I$20:$I$24,MATCH($H638,Parametros!$H$20:$H$24,0)),TRIM($AD638))</f>
        <v>Cordoba</v>
      </c>
      <c r="J638" s="61" t="str">
        <f aca="false">INDEX(Parametros!$C$95:$C$106,MATCH(TRIM(INDEX(Datos_Origen!$E$2:$E$2459,$Z638)),Parametros!$B$95:$B$106,0))</f>
        <v>Tienda fisica</v>
      </c>
      <c r="K638" s="61" t="str">
        <f aca="false">INDEX(Parametros!$C$48:$C$67,MATCH(TRIM(INDEX(Datos_Origen!$F$2:$F$2459,$Z638)),Parametros!$B$48:$B$67,0))</f>
        <v>Almacenamiento</v>
      </c>
      <c r="L638" s="61" t="str">
        <f aca="false">$K638&amp;" "&amp;$C638</f>
        <v>Almacenamiento 2024</v>
      </c>
      <c r="M638" s="61" t="str">
        <f aca="false">TRIM(INDEX(Datos_Origen!$G$2:$G$2459,$Z638))</f>
        <v>SSD Externo 1TB</v>
      </c>
      <c r="N638" s="61" t="str">
        <f aca="false">$M638&amp;" "&amp;$C638</f>
        <v>SSD Externo 1TB 2024</v>
      </c>
      <c r="O638" s="63" t="n">
        <f aca="false">IF(ISTEXT($AC638),VALUE($AC638),$AC638)</f>
        <v>35</v>
      </c>
      <c r="P638" s="64" t="n">
        <f aca="false">INDEX(Datos_Origen!$I$2:$I$2459,$Z638)</f>
        <v>127.4</v>
      </c>
      <c r="Q638" s="64" t="n">
        <f aca="false">INDEX(Datos_Origen!$J$2:$J$2459,$Z638)</f>
        <v>76.05</v>
      </c>
      <c r="R638" s="65" t="n">
        <f aca="false">ROUND($O638*$P638,2)</f>
        <v>4459</v>
      </c>
      <c r="S638" s="65" t="n">
        <f aca="false">ROUND($O638*$Q638,2)</f>
        <v>2661.75</v>
      </c>
      <c r="T638" s="65" t="n">
        <f aca="false">ROUND($R638*SUMIFS(Parametros!$E$28:$E$43,Parametros!$B$28:$B$43,$J638,Parametros!$C$28:$C$43,$C638,Parametros!$D$28:$D$43,$D638),2)</f>
        <v>57.97</v>
      </c>
      <c r="U638" s="65" t="n">
        <f aca="false">$R638-$S638-$T638</f>
        <v>1739.28</v>
      </c>
      <c r="V638" s="66" t="n">
        <f aca="false">IFERROR($U638/$R638,0)</f>
        <v>0.390060551693205</v>
      </c>
      <c r="W638" s="67" t="str">
        <f aca="false">IF(AND($V638&gt;=Parametros!$C$8,$R638&gt;=Parametros!$C$12),"Alta rentabilidad",IF(OR($V638&lt;Parametros!$C$11,$R638&lt;Parametros!$C$13),"Revisar","Estandar"))</f>
        <v>Alta rentabilidad</v>
      </c>
      <c r="X638" s="67" t="str">
        <f aca="false">IF(AND($J638="E-commerce",IFERROR($T638/$R638,0)&gt;Parametros!$C$14),"Alerta","OK")</f>
        <v>OK</v>
      </c>
      <c r="Y638" s="61" t="str">
        <f aca="false">IF($R638&gt;=Parametros!$C$12,"Alto",IF($R638&lt;Parametros!$C$13,"Bajo","Medio"))</f>
        <v>Alto</v>
      </c>
      <c r="Z638" s="61" t="n">
        <v>1653</v>
      </c>
      <c r="AA638" s="61" t="str">
        <f aca="false">IF(MATCH($A638,Datos_Origen!$A$2:$A$2459,0)=$Z638,"OK","REVISAR")</f>
        <v>OK</v>
      </c>
      <c r="AB638" s="62" t="n">
        <f aca="false">INDEX(Datos_Origen!$B$2:$B$2459,$Z638)</f>
        <v>45478</v>
      </c>
      <c r="AC638" s="61" t="n">
        <f aca="false">INDEX(Datos_Origen!$H$2:$H$2459,$Z638)</f>
        <v>35</v>
      </c>
      <c r="AD638" s="61" t="str">
        <f aca="false">INDEX(Datos_Origen!$D$2:$D$2459,$Z638)&amp;""</f>
        <v>Cordoba</v>
      </c>
    </row>
    <row r="639" customFormat="false" ht="15" hidden="false" customHeight="false" outlineLevel="0" collapsed="false">
      <c r="A639" s="61" t="n">
        <f aca="false">INDEX(Datos_Origen!$A$2:$A$2459,$Z639)</f>
        <v>638</v>
      </c>
      <c r="B639" s="62" t="n">
        <f aca="false">IF(ISNUMBER($AB639),$AB639,IF(MID($AB639,5,1)="-",DATE(VALUE(LEFT($AB639,4)),VALUE(MID($AB639,6,2)),VALUE(RIGHT($AB639,2))),DATE(VALUE(RIGHT($AB639,4)),VALUE(MID($AB639,4,2)),VALUE(LEFT($AB639,2)))))</f>
        <v>45485</v>
      </c>
      <c r="C639" s="61" t="n">
        <f aca="false">YEAR($B639)</f>
        <v>2024</v>
      </c>
      <c r="D639" s="61" t="str">
        <f aca="false">"Q"&amp;ROUNDUP(MONTH($B639)/3,0)</f>
        <v>Q3</v>
      </c>
      <c r="E639" s="61" t="n">
        <f aca="false">MONTH($B639)</f>
        <v>7</v>
      </c>
      <c r="F639" s="61" t="str">
        <f aca="false">INDEX(Parametros!$I$5:$I$16,$E639)</f>
        <v>Jul</v>
      </c>
      <c r="G639" s="61" t="str">
        <f aca="false">TEXT($C639,"0000")&amp;"-"&amp;TEXT($E639,"00")</f>
        <v>2024-07</v>
      </c>
      <c r="H639" s="61" t="str">
        <f aca="false">INDEX(Parametros!$C$71:$C$91,MATCH(TRIM(INDEX(Datos_Origen!$C$2:$C$2459,$Z639)),Parametros!$B$71:$B$91,0))</f>
        <v>Centro</v>
      </c>
      <c r="I639" s="61" t="str">
        <f aca="false">IF(TRIM($AD639)="",INDEX(Parametros!$I$20:$I$24,MATCH($H639,Parametros!$H$20:$H$24,0)),TRIM($AD639))</f>
        <v>Cordoba</v>
      </c>
      <c r="J639" s="61" t="str">
        <f aca="false">INDEX(Parametros!$C$95:$C$106,MATCH(TRIM(INDEX(Datos_Origen!$E$2:$E$2459,$Z639)),Parametros!$B$95:$B$106,0))</f>
        <v>E-commerce</v>
      </c>
      <c r="K639" s="61" t="str">
        <f aca="false">INDEX(Parametros!$C$48:$C$67,MATCH(TRIM(INDEX(Datos_Origen!$F$2:$F$2459,$Z639)),Parametros!$B$48:$B$67,0))</f>
        <v>Almacenamiento</v>
      </c>
      <c r="L639" s="61" t="str">
        <f aca="false">$K639&amp;" "&amp;$C639</f>
        <v>Almacenamiento 2024</v>
      </c>
      <c r="M639" s="61" t="str">
        <f aca="false">TRIM(INDEX(Datos_Origen!$G$2:$G$2459,$Z639))</f>
        <v>SSD Externo 1TB</v>
      </c>
      <c r="N639" s="61" t="str">
        <f aca="false">$M639&amp;" "&amp;$C639</f>
        <v>SSD Externo 1TB 2024</v>
      </c>
      <c r="O639" s="63" t="n">
        <f aca="false">IF(ISTEXT($AC639),VALUE($AC639),$AC639)</f>
        <v>12</v>
      </c>
      <c r="P639" s="64" t="n">
        <f aca="false">INDEX(Datos_Origen!$I$2:$I$2459,$Z639)</f>
        <v>127.4</v>
      </c>
      <c r="Q639" s="64" t="n">
        <f aca="false">INDEX(Datos_Origen!$J$2:$J$2459,$Z639)</f>
        <v>76.05</v>
      </c>
      <c r="R639" s="65" t="n">
        <f aca="false">ROUND($O639*$P639,2)</f>
        <v>1528.8</v>
      </c>
      <c r="S639" s="65" t="n">
        <f aca="false">ROUND($O639*$Q639,2)</f>
        <v>912.6</v>
      </c>
      <c r="T639" s="65" t="n">
        <f aca="false">ROUND($R639*SUMIFS(Parametros!$E$28:$E$43,Parametros!$B$28:$B$43,$J639,Parametros!$C$28:$C$43,$C639,Parametros!$D$28:$D$43,$D639),2)</f>
        <v>70.32</v>
      </c>
      <c r="U639" s="65" t="n">
        <f aca="false">$R639-$S639-$T639</f>
        <v>545.88</v>
      </c>
      <c r="V639" s="66" t="n">
        <f aca="false">IFERROR($U639/$R639,0)</f>
        <v>0.357064364207221</v>
      </c>
      <c r="W639" s="67" t="str">
        <f aca="false">IF(AND($V639&gt;=Parametros!$C$8,$R639&gt;=Parametros!$C$12),"Alta rentabilidad",IF(OR($V639&lt;Parametros!$C$11,$R639&lt;Parametros!$C$13),"Revisar","Estandar"))</f>
        <v>Estandar</v>
      </c>
      <c r="X639" s="67" t="str">
        <f aca="false">IF(AND($J639="E-commerce",IFERROR($T639/$R639,0)&gt;Parametros!$C$14),"Alerta","OK")</f>
        <v>OK</v>
      </c>
      <c r="Y639" s="61" t="str">
        <f aca="false">IF($R639&gt;=Parametros!$C$12,"Alto",IF($R639&lt;Parametros!$C$13,"Bajo","Medio"))</f>
        <v>Medio</v>
      </c>
      <c r="Z639" s="61" t="n">
        <v>2437</v>
      </c>
      <c r="AA639" s="61" t="str">
        <f aca="false">IF(MATCH($A639,Datos_Origen!$A$2:$A$2459,0)=$Z639,"OK","REVISAR")</f>
        <v>OK</v>
      </c>
      <c r="AB639" s="61" t="str">
        <f aca="false">INDEX(Datos_Origen!$B$2:$B$2459,$Z639)</f>
        <v>12/07/2024</v>
      </c>
      <c r="AC639" s="61" t="n">
        <f aca="false">INDEX(Datos_Origen!$H$2:$H$2459,$Z639)</f>
        <v>12</v>
      </c>
      <c r="AD639" s="61" t="str">
        <f aca="false">INDEX(Datos_Origen!$D$2:$D$2459,$Z639)&amp;""</f>
        <v/>
      </c>
    </row>
    <row r="640" customFormat="false" ht="15" hidden="false" customHeight="false" outlineLevel="0" collapsed="false">
      <c r="A640" s="61" t="n">
        <f aca="false">INDEX(Datos_Origen!$A$2:$A$2459,$Z640)</f>
        <v>639</v>
      </c>
      <c r="B640" s="62" t="n">
        <f aca="false">IF(ISNUMBER($AB640),$AB640,IF(MID($AB640,5,1)="-",DATE(VALUE(LEFT($AB640,4)),VALUE(MID($AB640,6,2)),VALUE(RIGHT($AB640,2))),DATE(VALUE(RIGHT($AB640,4)),VALUE(MID($AB640,4,2)),VALUE(LEFT($AB640,2)))))</f>
        <v>45492</v>
      </c>
      <c r="C640" s="61" t="n">
        <f aca="false">YEAR($B640)</f>
        <v>2024</v>
      </c>
      <c r="D640" s="61" t="str">
        <f aca="false">"Q"&amp;ROUNDUP(MONTH($B640)/3,0)</f>
        <v>Q3</v>
      </c>
      <c r="E640" s="61" t="n">
        <f aca="false">MONTH($B640)</f>
        <v>7</v>
      </c>
      <c r="F640" s="61" t="str">
        <f aca="false">INDEX(Parametros!$I$5:$I$16,$E640)</f>
        <v>Jul</v>
      </c>
      <c r="G640" s="61" t="str">
        <f aca="false">TEXT($C640,"0000")&amp;"-"&amp;TEXT($E640,"00")</f>
        <v>2024-07</v>
      </c>
      <c r="H640" s="61" t="str">
        <f aca="false">INDEX(Parametros!$C$71:$C$91,MATCH(TRIM(INDEX(Datos_Origen!$C$2:$C$2459,$Z640)),Parametros!$B$71:$B$91,0))</f>
        <v>Centro</v>
      </c>
      <c r="I640" s="61" t="str">
        <f aca="false">IF(TRIM($AD640)="",INDEX(Parametros!$I$20:$I$24,MATCH($H640,Parametros!$H$20:$H$24,0)),TRIM($AD640))</f>
        <v>Cordoba</v>
      </c>
      <c r="J640" s="61" t="str">
        <f aca="false">INDEX(Parametros!$C$95:$C$106,MATCH(TRIM(INDEX(Datos_Origen!$E$2:$E$2459,$Z640)),Parametros!$B$95:$B$106,0))</f>
        <v>Tienda fisica</v>
      </c>
      <c r="K640" s="61" t="str">
        <f aca="false">INDEX(Parametros!$C$48:$C$67,MATCH(TRIM(INDEX(Datos_Origen!$F$2:$F$2459,$Z640)),Parametros!$B$48:$B$67,0))</f>
        <v>Almacenamiento</v>
      </c>
      <c r="L640" s="61" t="str">
        <f aca="false">$K640&amp;" "&amp;$C640</f>
        <v>Almacenamiento 2024</v>
      </c>
      <c r="M640" s="61" t="str">
        <f aca="false">TRIM(INDEX(Datos_Origen!$G$2:$G$2459,$Z640))</f>
        <v>Pendrive 256GB</v>
      </c>
      <c r="N640" s="61" t="str">
        <f aca="false">$M640&amp;" "&amp;$C640</f>
        <v>Pendrive 256GB 2024</v>
      </c>
      <c r="O640" s="63" t="n">
        <f aca="false">IF(ISTEXT($AC640),VALUE($AC640),$AC640)</f>
        <v>30</v>
      </c>
      <c r="P640" s="64" t="n">
        <f aca="false">INDEX(Datos_Origen!$I$2:$I$2459,$Z640)</f>
        <v>34.3</v>
      </c>
      <c r="Q640" s="64" t="n">
        <f aca="false">INDEX(Datos_Origen!$J$2:$J$2459,$Z640)</f>
        <v>17.85</v>
      </c>
      <c r="R640" s="65" t="n">
        <f aca="false">ROUND($O640*$P640,2)</f>
        <v>1029</v>
      </c>
      <c r="S640" s="65" t="n">
        <f aca="false">ROUND($O640*$Q640,2)</f>
        <v>535.5</v>
      </c>
      <c r="T640" s="65" t="n">
        <f aca="false">ROUND($R640*SUMIFS(Parametros!$E$28:$E$43,Parametros!$B$28:$B$43,$J640,Parametros!$C$28:$C$43,$C640,Parametros!$D$28:$D$43,$D640),2)</f>
        <v>13.38</v>
      </c>
      <c r="U640" s="65" t="n">
        <f aca="false">$R640-$S640-$T640</f>
        <v>480.12</v>
      </c>
      <c r="V640" s="66" t="n">
        <f aca="false">IFERROR($U640/$R640,0)</f>
        <v>0.466588921282799</v>
      </c>
      <c r="W640" s="67" t="str">
        <f aca="false">IF(AND($V640&gt;=Parametros!$C$8,$R640&gt;=Parametros!$C$12),"Alta rentabilidad",IF(OR($V640&lt;Parametros!$C$11,$R640&lt;Parametros!$C$13),"Revisar","Estandar"))</f>
        <v>Estandar</v>
      </c>
      <c r="X640" s="67" t="str">
        <f aca="false">IF(AND($J640="E-commerce",IFERROR($T640/$R640,0)&gt;Parametros!$C$14),"Alerta","OK")</f>
        <v>OK</v>
      </c>
      <c r="Y640" s="61" t="str">
        <f aca="false">IF($R640&gt;=Parametros!$C$12,"Alto",IF($R640&lt;Parametros!$C$13,"Bajo","Medio"))</f>
        <v>Medio</v>
      </c>
      <c r="Z640" s="61" t="n">
        <v>2</v>
      </c>
      <c r="AA640" s="61" t="str">
        <f aca="false">IF(MATCH($A640,Datos_Origen!$A$2:$A$2459,0)=$Z640,"OK","REVISAR")</f>
        <v>OK</v>
      </c>
      <c r="AB640" s="62" t="n">
        <f aca="false">INDEX(Datos_Origen!$B$2:$B$2459,$Z640)</f>
        <v>45492</v>
      </c>
      <c r="AC640" s="61" t="n">
        <f aca="false">INDEX(Datos_Origen!$H$2:$H$2459,$Z640)</f>
        <v>30</v>
      </c>
      <c r="AD640" s="61" t="str">
        <f aca="false">INDEX(Datos_Origen!$D$2:$D$2459,$Z640)&amp;""</f>
        <v>Cordoba</v>
      </c>
    </row>
    <row r="641" customFormat="false" ht="15" hidden="false" customHeight="false" outlineLevel="0" collapsed="false">
      <c r="A641" s="61" t="n">
        <f aca="false">INDEX(Datos_Origen!$A$2:$A$2459,$Z641)</f>
        <v>640</v>
      </c>
      <c r="B641" s="62" t="n">
        <f aca="false">IF(ISNUMBER($AB641),$AB641,IF(MID($AB641,5,1)="-",DATE(VALUE(LEFT($AB641,4)),VALUE(MID($AB641,6,2)),VALUE(RIGHT($AB641,2))),DATE(VALUE(RIGHT($AB641,4)),VALUE(MID($AB641,4,2)),VALUE(LEFT($AB641,2)))))</f>
        <v>45499</v>
      </c>
      <c r="C641" s="61" t="n">
        <f aca="false">YEAR($B641)</f>
        <v>2024</v>
      </c>
      <c r="D641" s="61" t="str">
        <f aca="false">"Q"&amp;ROUNDUP(MONTH($B641)/3,0)</f>
        <v>Q3</v>
      </c>
      <c r="E641" s="61" t="n">
        <f aca="false">MONTH($B641)</f>
        <v>7</v>
      </c>
      <c r="F641" s="61" t="str">
        <f aca="false">INDEX(Parametros!$I$5:$I$16,$E641)</f>
        <v>Jul</v>
      </c>
      <c r="G641" s="61" t="str">
        <f aca="false">TEXT($C641,"0000")&amp;"-"&amp;TEXT($E641,"00")</f>
        <v>2024-07</v>
      </c>
      <c r="H641" s="61" t="str">
        <f aca="false">INDEX(Parametros!$C$71:$C$91,MATCH(TRIM(INDEX(Datos_Origen!$C$2:$C$2459,$Z641)),Parametros!$B$71:$B$91,0))</f>
        <v>Centro</v>
      </c>
      <c r="I641" s="61" t="str">
        <f aca="false">IF(TRIM($AD641)="",INDEX(Parametros!$I$20:$I$24,MATCH($H641,Parametros!$H$20:$H$24,0)),TRIM($AD641))</f>
        <v>Cordoba</v>
      </c>
      <c r="J641" s="61" t="str">
        <f aca="false">INDEX(Parametros!$C$95:$C$106,MATCH(TRIM(INDEX(Datos_Origen!$E$2:$E$2459,$Z641)),Parametros!$B$95:$B$106,0))</f>
        <v>E-commerce</v>
      </c>
      <c r="K641" s="61" t="str">
        <f aca="false">INDEX(Parametros!$C$48:$C$67,MATCH(TRIM(INDEX(Datos_Origen!$F$2:$F$2459,$Z641)),Parametros!$B$48:$B$67,0))</f>
        <v>Almacenamiento</v>
      </c>
      <c r="L641" s="61" t="str">
        <f aca="false">$K641&amp;" "&amp;$C641</f>
        <v>Almacenamiento 2024</v>
      </c>
      <c r="M641" s="61" t="str">
        <f aca="false">TRIM(INDEX(Datos_Origen!$G$2:$G$2459,$Z641))</f>
        <v>Pendrive 256GB</v>
      </c>
      <c r="N641" s="61" t="str">
        <f aca="false">$M641&amp;" "&amp;$C641</f>
        <v>Pendrive 256GB 2024</v>
      </c>
      <c r="O641" s="63" t="n">
        <f aca="false">IF(ISTEXT($AC641),VALUE($AC641),$AC641)</f>
        <v>16</v>
      </c>
      <c r="P641" s="64" t="n">
        <f aca="false">INDEX(Datos_Origen!$I$2:$I$2459,$Z641)</f>
        <v>34.3</v>
      </c>
      <c r="Q641" s="64" t="n">
        <f aca="false">INDEX(Datos_Origen!$J$2:$J$2459,$Z641)</f>
        <v>17.85</v>
      </c>
      <c r="R641" s="65" t="n">
        <f aca="false">ROUND($O641*$P641,2)</f>
        <v>548.8</v>
      </c>
      <c r="S641" s="65" t="n">
        <f aca="false">ROUND($O641*$Q641,2)</f>
        <v>285.6</v>
      </c>
      <c r="T641" s="65" t="n">
        <f aca="false">ROUND($R641*SUMIFS(Parametros!$E$28:$E$43,Parametros!$B$28:$B$43,$J641,Parametros!$C$28:$C$43,$C641,Parametros!$D$28:$D$43,$D641),2)</f>
        <v>25.24</v>
      </c>
      <c r="U641" s="65" t="n">
        <f aca="false">$R641-$S641-$T641</f>
        <v>237.96</v>
      </c>
      <c r="V641" s="66" t="n">
        <f aca="false">IFERROR($U641/$R641,0)</f>
        <v>0.433600583090379</v>
      </c>
      <c r="W641" s="67" t="str">
        <f aca="false">IF(AND($V641&gt;=Parametros!$C$8,$R641&gt;=Parametros!$C$12),"Alta rentabilidad",IF(OR($V641&lt;Parametros!$C$11,$R641&lt;Parametros!$C$13),"Revisar","Estandar"))</f>
        <v>Estandar</v>
      </c>
      <c r="X641" s="67" t="str">
        <f aca="false">IF(AND($J641="E-commerce",IFERROR($T641/$R641,0)&gt;Parametros!$C$14),"Alerta","OK")</f>
        <v>OK</v>
      </c>
      <c r="Y641" s="61" t="str">
        <f aca="false">IF($R641&gt;=Parametros!$C$12,"Alto",IF($R641&lt;Parametros!$C$13,"Bajo","Medio"))</f>
        <v>Medio</v>
      </c>
      <c r="Z641" s="61" t="n">
        <v>1816</v>
      </c>
      <c r="AA641" s="61" t="str">
        <f aca="false">IF(MATCH($A641,Datos_Origen!$A$2:$A$2459,0)=$Z641,"OK","REVISAR")</f>
        <v>OK</v>
      </c>
      <c r="AB641" s="62" t="n">
        <f aca="false">INDEX(Datos_Origen!$B$2:$B$2459,$Z641)</f>
        <v>45499</v>
      </c>
      <c r="AC641" s="61" t="n">
        <f aca="false">INDEX(Datos_Origen!$H$2:$H$2459,$Z641)</f>
        <v>16</v>
      </c>
      <c r="AD641" s="61" t="str">
        <f aca="false">INDEX(Datos_Origen!$D$2:$D$2459,$Z641)&amp;""</f>
        <v>Cordoba</v>
      </c>
    </row>
    <row r="642" customFormat="false" ht="15" hidden="false" customHeight="false" outlineLevel="0" collapsed="false">
      <c r="A642" s="61" t="n">
        <f aca="false">INDEX(Datos_Origen!$A$2:$A$2459,$Z642)</f>
        <v>641</v>
      </c>
      <c r="B642" s="62" t="n">
        <f aca="false">IF(ISNUMBER($AB642),$AB642,IF(MID($AB642,5,1)="-",DATE(VALUE(LEFT($AB642,4)),VALUE(MID($AB642,6,2)),VALUE(RIGHT($AB642,2))),DATE(VALUE(RIGHT($AB642,4)),VALUE(MID($AB642,4,2)),VALUE(LEFT($AB642,2)))))</f>
        <v>45479</v>
      </c>
      <c r="C642" s="61" t="n">
        <f aca="false">YEAR($B642)</f>
        <v>2024</v>
      </c>
      <c r="D642" s="61" t="str">
        <f aca="false">"Q"&amp;ROUNDUP(MONTH($B642)/3,0)</f>
        <v>Q3</v>
      </c>
      <c r="E642" s="61" t="n">
        <f aca="false">MONTH($B642)</f>
        <v>7</v>
      </c>
      <c r="F642" s="61" t="str">
        <f aca="false">INDEX(Parametros!$I$5:$I$16,$E642)</f>
        <v>Jul</v>
      </c>
      <c r="G642" s="61" t="str">
        <f aca="false">TEXT($C642,"0000")&amp;"-"&amp;TEXT($E642,"00")</f>
        <v>2024-07</v>
      </c>
      <c r="H642" s="61" t="str">
        <f aca="false">INDEX(Parametros!$C$71:$C$91,MATCH(TRIM(INDEX(Datos_Origen!$C$2:$C$2459,$Z642)),Parametros!$B$71:$B$91,0))</f>
        <v>Litoral</v>
      </c>
      <c r="I642" s="61" t="str">
        <f aca="false">IF(TRIM($AD642)="",INDEX(Parametros!$I$20:$I$24,MATCH($H642,Parametros!$H$20:$H$24,0)),TRIM($AD642))</f>
        <v>Rosario</v>
      </c>
      <c r="J642" s="61" t="str">
        <f aca="false">INDEX(Parametros!$C$95:$C$106,MATCH(TRIM(INDEX(Datos_Origen!$E$2:$E$2459,$Z642)),Parametros!$B$95:$B$106,0))</f>
        <v>Tienda fisica</v>
      </c>
      <c r="K642" s="61" t="str">
        <f aca="false">INDEX(Parametros!$C$48:$C$67,MATCH(TRIM(INDEX(Datos_Origen!$F$2:$F$2459,$Z642)),Parametros!$B$48:$B$67,0))</f>
        <v>Computacion</v>
      </c>
      <c r="L642" s="61" t="str">
        <f aca="false">$K642&amp;" "&amp;$C642</f>
        <v>Computacion 2024</v>
      </c>
      <c r="M642" s="61" t="str">
        <f aca="false">TRIM(INDEX(Datos_Origen!$G$2:$G$2459,$Z642))</f>
        <v>Laptop Pro 15</v>
      </c>
      <c r="N642" s="61" t="str">
        <f aca="false">$M642&amp;" "&amp;$C642</f>
        <v>Laptop Pro 15 2024</v>
      </c>
      <c r="O642" s="63" t="n">
        <f aca="false">IF(ISTEXT($AC642),VALUE($AC642),$AC642)</f>
        <v>10</v>
      </c>
      <c r="P642" s="64" t="n">
        <f aca="false">INDEX(Datos_Origen!$I$2:$I$2459,$Z642)</f>
        <v>1176</v>
      </c>
      <c r="Q642" s="64" t="n">
        <f aca="false">INDEX(Datos_Origen!$J$2:$J$2459,$Z642)</f>
        <v>744</v>
      </c>
      <c r="R642" s="65" t="n">
        <f aca="false">ROUND($O642*$P642,2)</f>
        <v>11760</v>
      </c>
      <c r="S642" s="65" t="n">
        <f aca="false">ROUND($O642*$Q642,2)</f>
        <v>7440</v>
      </c>
      <c r="T642" s="65" t="n">
        <f aca="false">ROUND($R642*SUMIFS(Parametros!$E$28:$E$43,Parametros!$B$28:$B$43,$J642,Parametros!$C$28:$C$43,$C642,Parametros!$D$28:$D$43,$D642),2)</f>
        <v>152.88</v>
      </c>
      <c r="U642" s="65" t="n">
        <f aca="false">$R642-$S642-$T642</f>
        <v>4167.12</v>
      </c>
      <c r="V642" s="66" t="n">
        <f aca="false">IFERROR($U642/$R642,0)</f>
        <v>0.35434693877551</v>
      </c>
      <c r="W642" s="67" t="str">
        <f aca="false">IF(AND($V642&gt;=Parametros!$C$8,$R642&gt;=Parametros!$C$12),"Alta rentabilidad",IF(OR($V642&lt;Parametros!$C$11,$R642&lt;Parametros!$C$13),"Revisar","Estandar"))</f>
        <v>Alta rentabilidad</v>
      </c>
      <c r="X642" s="67" t="str">
        <f aca="false">IF(AND($J642="E-commerce",IFERROR($T642/$R642,0)&gt;Parametros!$C$14),"Alerta","OK")</f>
        <v>OK</v>
      </c>
      <c r="Y642" s="61" t="str">
        <f aca="false">IF($R642&gt;=Parametros!$C$12,"Alto",IF($R642&lt;Parametros!$C$13,"Bajo","Medio"))</f>
        <v>Alto</v>
      </c>
      <c r="Z642" s="61" t="n">
        <v>21</v>
      </c>
      <c r="AA642" s="61" t="str">
        <f aca="false">IF(MATCH($A642,Datos_Origen!$A$2:$A$2459,0)=$Z642,"OK","REVISAR")</f>
        <v>OK</v>
      </c>
      <c r="AB642" s="62" t="n">
        <f aca="false">INDEX(Datos_Origen!$B$2:$B$2459,$Z642)</f>
        <v>45479</v>
      </c>
      <c r="AC642" s="61" t="n">
        <f aca="false">INDEX(Datos_Origen!$H$2:$H$2459,$Z642)</f>
        <v>10</v>
      </c>
      <c r="AD642" s="61" t="str">
        <f aca="false">INDEX(Datos_Origen!$D$2:$D$2459,$Z642)&amp;""</f>
        <v>Rosario</v>
      </c>
    </row>
    <row r="643" customFormat="false" ht="15" hidden="false" customHeight="false" outlineLevel="0" collapsed="false">
      <c r="A643" s="61" t="n">
        <f aca="false">INDEX(Datos_Origen!$A$2:$A$2459,$Z643)</f>
        <v>642</v>
      </c>
      <c r="B643" s="62" t="n">
        <f aca="false">IF(ISNUMBER($AB643),$AB643,IF(MID($AB643,5,1)="-",DATE(VALUE(LEFT($AB643,4)),VALUE(MID($AB643,6,2)),VALUE(RIGHT($AB643,2))),DATE(VALUE(RIGHT($AB643,4)),VALUE(MID($AB643,4,2)),VALUE(LEFT($AB643,2)))))</f>
        <v>45486</v>
      </c>
      <c r="C643" s="61" t="n">
        <f aca="false">YEAR($B643)</f>
        <v>2024</v>
      </c>
      <c r="D643" s="61" t="str">
        <f aca="false">"Q"&amp;ROUNDUP(MONTH($B643)/3,0)</f>
        <v>Q3</v>
      </c>
      <c r="E643" s="61" t="n">
        <f aca="false">MONTH($B643)</f>
        <v>7</v>
      </c>
      <c r="F643" s="61" t="str">
        <f aca="false">INDEX(Parametros!$I$5:$I$16,$E643)</f>
        <v>Jul</v>
      </c>
      <c r="G643" s="61" t="str">
        <f aca="false">TEXT($C643,"0000")&amp;"-"&amp;TEXT($E643,"00")</f>
        <v>2024-07</v>
      </c>
      <c r="H643" s="61" t="str">
        <f aca="false">INDEX(Parametros!$C$71:$C$91,MATCH(TRIM(INDEX(Datos_Origen!$C$2:$C$2459,$Z643)),Parametros!$B$71:$B$91,0))</f>
        <v>Litoral</v>
      </c>
      <c r="I643" s="61" t="str">
        <f aca="false">IF(TRIM($AD643)="",INDEX(Parametros!$I$20:$I$24,MATCH($H643,Parametros!$H$20:$H$24,0)),TRIM($AD643))</f>
        <v>Rosario</v>
      </c>
      <c r="J643" s="61" t="str">
        <f aca="false">INDEX(Parametros!$C$95:$C$106,MATCH(TRIM(INDEX(Datos_Origen!$E$2:$E$2459,$Z643)),Parametros!$B$95:$B$106,0))</f>
        <v>E-commerce</v>
      </c>
      <c r="K643" s="61" t="str">
        <f aca="false">INDEX(Parametros!$C$48:$C$67,MATCH(TRIM(INDEX(Datos_Origen!$F$2:$F$2459,$Z643)),Parametros!$B$48:$B$67,0))</f>
        <v>Computacion</v>
      </c>
      <c r="L643" s="61" t="str">
        <f aca="false">$K643&amp;" "&amp;$C643</f>
        <v>Computacion 2024</v>
      </c>
      <c r="M643" s="61" t="str">
        <f aca="false">TRIM(INDEX(Datos_Origen!$G$2:$G$2459,$Z643))</f>
        <v>Laptop Pro 15</v>
      </c>
      <c r="N643" s="61" t="str">
        <f aca="false">$M643&amp;" "&amp;$C643</f>
        <v>Laptop Pro 15 2024</v>
      </c>
      <c r="O643" s="63" t="n">
        <f aca="false">IF(ISTEXT($AC643),VALUE($AC643),$AC643)</f>
        <v>4</v>
      </c>
      <c r="P643" s="64" t="n">
        <f aca="false">INDEX(Datos_Origen!$I$2:$I$2459,$Z643)</f>
        <v>1176</v>
      </c>
      <c r="Q643" s="64" t="n">
        <f aca="false">INDEX(Datos_Origen!$J$2:$J$2459,$Z643)</f>
        <v>744</v>
      </c>
      <c r="R643" s="65" t="n">
        <f aca="false">ROUND($O643*$P643,2)</f>
        <v>4704</v>
      </c>
      <c r="S643" s="65" t="n">
        <f aca="false">ROUND($O643*$Q643,2)</f>
        <v>2976</v>
      </c>
      <c r="T643" s="65" t="n">
        <f aca="false">ROUND($R643*SUMIFS(Parametros!$E$28:$E$43,Parametros!$B$28:$B$43,$J643,Parametros!$C$28:$C$43,$C643,Parametros!$D$28:$D$43,$D643),2)</f>
        <v>216.38</v>
      </c>
      <c r="U643" s="65" t="n">
        <f aca="false">$R643-$S643-$T643</f>
        <v>1511.62</v>
      </c>
      <c r="V643" s="66" t="n">
        <f aca="false">IFERROR($U643/$R643,0)</f>
        <v>0.321347789115646</v>
      </c>
      <c r="W643" s="67" t="str">
        <f aca="false">IF(AND($V643&gt;=Parametros!$C$8,$R643&gt;=Parametros!$C$12),"Alta rentabilidad",IF(OR($V643&lt;Parametros!$C$11,$R643&lt;Parametros!$C$13),"Revisar","Estandar"))</f>
        <v>Estandar</v>
      </c>
      <c r="X643" s="67" t="str">
        <f aca="false">IF(AND($J643="E-commerce",IFERROR($T643/$R643,0)&gt;Parametros!$C$14),"Alerta","OK")</f>
        <v>OK</v>
      </c>
      <c r="Y643" s="61" t="str">
        <f aca="false">IF($R643&gt;=Parametros!$C$12,"Alto",IF($R643&lt;Parametros!$C$13,"Bajo","Medio"))</f>
        <v>Alto</v>
      </c>
      <c r="Z643" s="61" t="n">
        <v>1860</v>
      </c>
      <c r="AA643" s="61" t="str">
        <f aca="false">IF(MATCH($A643,Datos_Origen!$A$2:$A$2459,0)=$Z643,"OK","REVISAR")</f>
        <v>OK</v>
      </c>
      <c r="AB643" s="62" t="n">
        <f aca="false">INDEX(Datos_Origen!$B$2:$B$2459,$Z643)</f>
        <v>45486</v>
      </c>
      <c r="AC643" s="61" t="n">
        <f aca="false">INDEX(Datos_Origen!$H$2:$H$2459,$Z643)</f>
        <v>4</v>
      </c>
      <c r="AD643" s="61" t="str">
        <f aca="false">INDEX(Datos_Origen!$D$2:$D$2459,$Z643)&amp;""</f>
        <v>Rosario</v>
      </c>
    </row>
    <row r="644" customFormat="false" ht="15" hidden="false" customHeight="false" outlineLevel="0" collapsed="false">
      <c r="A644" s="61" t="n">
        <f aca="false">INDEX(Datos_Origen!$A$2:$A$2459,$Z644)</f>
        <v>643</v>
      </c>
      <c r="B644" s="62" t="n">
        <f aca="false">IF(ISNUMBER($AB644),$AB644,IF(MID($AB644,5,1)="-",DATE(VALUE(LEFT($AB644,4)),VALUE(MID($AB644,6,2)),VALUE(RIGHT($AB644,2))),DATE(VALUE(RIGHT($AB644,4)),VALUE(MID($AB644,4,2)),VALUE(LEFT($AB644,2)))))</f>
        <v>45493</v>
      </c>
      <c r="C644" s="61" t="n">
        <f aca="false">YEAR($B644)</f>
        <v>2024</v>
      </c>
      <c r="D644" s="61" t="str">
        <f aca="false">"Q"&amp;ROUNDUP(MONTH($B644)/3,0)</f>
        <v>Q3</v>
      </c>
      <c r="E644" s="61" t="n">
        <f aca="false">MONTH($B644)</f>
        <v>7</v>
      </c>
      <c r="F644" s="61" t="str">
        <f aca="false">INDEX(Parametros!$I$5:$I$16,$E644)</f>
        <v>Jul</v>
      </c>
      <c r="G644" s="61" t="str">
        <f aca="false">TEXT($C644,"0000")&amp;"-"&amp;TEXT($E644,"00")</f>
        <v>2024-07</v>
      </c>
      <c r="H644" s="61" t="str">
        <f aca="false">INDEX(Parametros!$C$71:$C$91,MATCH(TRIM(INDEX(Datos_Origen!$C$2:$C$2459,$Z644)),Parametros!$B$71:$B$91,0))</f>
        <v>Litoral</v>
      </c>
      <c r="I644" s="61" t="str">
        <f aca="false">IF(TRIM($AD644)="",INDEX(Parametros!$I$20:$I$24,MATCH($H644,Parametros!$H$20:$H$24,0)),TRIM($AD644))</f>
        <v>Rosario</v>
      </c>
      <c r="J644" s="61" t="str">
        <f aca="false">INDEX(Parametros!$C$95:$C$106,MATCH(TRIM(INDEX(Datos_Origen!$E$2:$E$2459,$Z644)),Parametros!$B$95:$B$106,0))</f>
        <v>Tienda fisica</v>
      </c>
      <c r="K644" s="61" t="str">
        <f aca="false">INDEX(Parametros!$C$48:$C$67,MATCH(TRIM(INDEX(Datos_Origen!$F$2:$F$2459,$Z644)),Parametros!$B$48:$B$67,0))</f>
        <v>Computacion</v>
      </c>
      <c r="L644" s="61" t="str">
        <f aca="false">$K644&amp;" "&amp;$C644</f>
        <v>Computacion 2024</v>
      </c>
      <c r="M644" s="61" t="str">
        <f aca="false">TRIM(INDEX(Datos_Origen!$G$2:$G$2459,$Z644))</f>
        <v>Monitor 4K 27</v>
      </c>
      <c r="N644" s="61" t="str">
        <f aca="false">$M644&amp;" "&amp;$C644</f>
        <v>Monitor 4K 27 2024</v>
      </c>
      <c r="O644" s="63" t="n">
        <f aca="false">IF(ISTEXT($AC644),VALUE($AC644),$AC644)</f>
        <v>9</v>
      </c>
      <c r="P644" s="64" t="n">
        <f aca="false">INDEX(Datos_Origen!$I$2:$I$2459,$Z644)</f>
        <v>441</v>
      </c>
      <c r="Q644" s="64" t="n">
        <f aca="false">INDEX(Datos_Origen!$J$2:$J$2459,$Z644)</f>
        <v>272.25</v>
      </c>
      <c r="R644" s="65" t="n">
        <f aca="false">ROUND($O644*$P644,2)</f>
        <v>3969</v>
      </c>
      <c r="S644" s="65" t="n">
        <f aca="false">ROUND($O644*$Q644,2)</f>
        <v>2450.25</v>
      </c>
      <c r="T644" s="65" t="n">
        <f aca="false">ROUND($R644*SUMIFS(Parametros!$E$28:$E$43,Parametros!$B$28:$B$43,$J644,Parametros!$C$28:$C$43,$C644,Parametros!$D$28:$D$43,$D644),2)</f>
        <v>51.6</v>
      </c>
      <c r="U644" s="65" t="n">
        <f aca="false">$R644-$S644-$T644</f>
        <v>1467.15</v>
      </c>
      <c r="V644" s="66" t="n">
        <f aca="false">IFERROR($U644/$R644,0)</f>
        <v>0.369652305366591</v>
      </c>
      <c r="W644" s="67" t="str">
        <f aca="false">IF(AND($V644&gt;=Parametros!$C$8,$R644&gt;=Parametros!$C$12),"Alta rentabilidad",IF(OR($V644&lt;Parametros!$C$11,$R644&lt;Parametros!$C$13),"Revisar","Estandar"))</f>
        <v>Alta rentabilidad</v>
      </c>
      <c r="X644" s="67" t="str">
        <f aca="false">IF(AND($J644="E-commerce",IFERROR($T644/$R644,0)&gt;Parametros!$C$14),"Alerta","OK")</f>
        <v>OK</v>
      </c>
      <c r="Y644" s="61" t="str">
        <f aca="false">IF($R644&gt;=Parametros!$C$12,"Alto",IF($R644&lt;Parametros!$C$13,"Bajo","Medio"))</f>
        <v>Alto</v>
      </c>
      <c r="Z644" s="61" t="n">
        <v>375</v>
      </c>
      <c r="AA644" s="61" t="str">
        <f aca="false">IF(MATCH($A644,Datos_Origen!$A$2:$A$2459,0)=$Z644,"OK","REVISAR")</f>
        <v>OK</v>
      </c>
      <c r="AB644" s="62" t="n">
        <f aca="false">INDEX(Datos_Origen!$B$2:$B$2459,$Z644)</f>
        <v>45493</v>
      </c>
      <c r="AC644" s="61" t="n">
        <f aca="false">INDEX(Datos_Origen!$H$2:$H$2459,$Z644)</f>
        <v>9</v>
      </c>
      <c r="AD644" s="61" t="str">
        <f aca="false">INDEX(Datos_Origen!$D$2:$D$2459,$Z644)&amp;""</f>
        <v>Rosario</v>
      </c>
    </row>
    <row r="645" customFormat="false" ht="15" hidden="false" customHeight="false" outlineLevel="0" collapsed="false">
      <c r="A645" s="61" t="n">
        <f aca="false">INDEX(Datos_Origen!$A$2:$A$2459,$Z645)</f>
        <v>644</v>
      </c>
      <c r="B645" s="62" t="n">
        <f aca="false">IF(ISNUMBER($AB645),$AB645,IF(MID($AB645,5,1)="-",DATE(VALUE(LEFT($AB645,4)),VALUE(MID($AB645,6,2)),VALUE(RIGHT($AB645,2))),DATE(VALUE(RIGHT($AB645,4)),VALUE(MID($AB645,4,2)),VALUE(LEFT($AB645,2)))))</f>
        <v>45500</v>
      </c>
      <c r="C645" s="61" t="n">
        <f aca="false">YEAR($B645)</f>
        <v>2024</v>
      </c>
      <c r="D645" s="61" t="str">
        <f aca="false">"Q"&amp;ROUNDUP(MONTH($B645)/3,0)</f>
        <v>Q3</v>
      </c>
      <c r="E645" s="61" t="n">
        <f aca="false">MONTH($B645)</f>
        <v>7</v>
      </c>
      <c r="F645" s="61" t="str">
        <f aca="false">INDEX(Parametros!$I$5:$I$16,$E645)</f>
        <v>Jul</v>
      </c>
      <c r="G645" s="61" t="str">
        <f aca="false">TEXT($C645,"0000")&amp;"-"&amp;TEXT($E645,"00")</f>
        <v>2024-07</v>
      </c>
      <c r="H645" s="61" t="str">
        <f aca="false">INDEX(Parametros!$C$71:$C$91,MATCH(TRIM(INDEX(Datos_Origen!$C$2:$C$2459,$Z645)),Parametros!$B$71:$B$91,0))</f>
        <v>Litoral</v>
      </c>
      <c r="I645" s="61" t="str">
        <f aca="false">IF(TRIM($AD645)="",INDEX(Parametros!$I$20:$I$24,MATCH($H645,Parametros!$H$20:$H$24,0)),TRIM($AD645))</f>
        <v>Rosario</v>
      </c>
      <c r="J645" s="61" t="str">
        <f aca="false">INDEX(Parametros!$C$95:$C$106,MATCH(TRIM(INDEX(Datos_Origen!$E$2:$E$2459,$Z645)),Parametros!$B$95:$B$106,0))</f>
        <v>E-commerce</v>
      </c>
      <c r="K645" s="61" t="str">
        <f aca="false">INDEX(Parametros!$C$48:$C$67,MATCH(TRIM(INDEX(Datos_Origen!$F$2:$F$2459,$Z645)),Parametros!$B$48:$B$67,0))</f>
        <v>Computacion</v>
      </c>
      <c r="L645" s="61" t="str">
        <f aca="false">$K645&amp;" "&amp;$C645</f>
        <v>Computacion 2024</v>
      </c>
      <c r="M645" s="61" t="str">
        <f aca="false">TRIM(INDEX(Datos_Origen!$G$2:$G$2459,$Z645))</f>
        <v>Monitor 4K 27</v>
      </c>
      <c r="N645" s="61" t="str">
        <f aca="false">$M645&amp;" "&amp;$C645</f>
        <v>Monitor 4K 27 2024</v>
      </c>
      <c r="O645" s="63" t="n">
        <f aca="false">IF(ISTEXT($AC645),VALUE($AC645),$AC645)</f>
        <v>3</v>
      </c>
      <c r="P645" s="64" t="n">
        <f aca="false">INDEX(Datos_Origen!$I$2:$I$2459,$Z645)</f>
        <v>441</v>
      </c>
      <c r="Q645" s="64" t="n">
        <f aca="false">INDEX(Datos_Origen!$J$2:$J$2459,$Z645)</f>
        <v>272.25</v>
      </c>
      <c r="R645" s="65" t="n">
        <f aca="false">ROUND($O645*$P645,2)</f>
        <v>1323</v>
      </c>
      <c r="S645" s="65" t="n">
        <f aca="false">ROUND($O645*$Q645,2)</f>
        <v>816.75</v>
      </c>
      <c r="T645" s="65" t="n">
        <f aca="false">ROUND($R645*SUMIFS(Parametros!$E$28:$E$43,Parametros!$B$28:$B$43,$J645,Parametros!$C$28:$C$43,$C645,Parametros!$D$28:$D$43,$D645),2)</f>
        <v>60.86</v>
      </c>
      <c r="U645" s="65" t="n">
        <f aca="false">$R645-$S645-$T645</f>
        <v>445.39</v>
      </c>
      <c r="V645" s="66" t="n">
        <f aca="false">IFERROR($U645/$R645,0)</f>
        <v>0.336651549508692</v>
      </c>
      <c r="W645" s="67" t="str">
        <f aca="false">IF(AND($V645&gt;=Parametros!$C$8,$R645&gt;=Parametros!$C$12),"Alta rentabilidad",IF(OR($V645&lt;Parametros!$C$11,$R645&lt;Parametros!$C$13),"Revisar","Estandar"))</f>
        <v>Estandar</v>
      </c>
      <c r="X645" s="67" t="str">
        <f aca="false">IF(AND($J645="E-commerce",IFERROR($T645/$R645,0)&gt;Parametros!$C$14),"Alerta","OK")</f>
        <v>OK</v>
      </c>
      <c r="Y645" s="61" t="str">
        <f aca="false">IF($R645&gt;=Parametros!$C$12,"Alto",IF($R645&lt;Parametros!$C$13,"Bajo","Medio"))</f>
        <v>Medio</v>
      </c>
      <c r="Z645" s="61" t="n">
        <v>1077</v>
      </c>
      <c r="AA645" s="61" t="str">
        <f aca="false">IF(MATCH($A645,Datos_Origen!$A$2:$A$2459,0)=$Z645,"OK","REVISAR")</f>
        <v>OK</v>
      </c>
      <c r="AB645" s="62" t="n">
        <f aca="false">INDEX(Datos_Origen!$B$2:$B$2459,$Z645)</f>
        <v>45500</v>
      </c>
      <c r="AC645" s="61" t="n">
        <f aca="false">INDEX(Datos_Origen!$H$2:$H$2459,$Z645)</f>
        <v>3</v>
      </c>
      <c r="AD645" s="61" t="str">
        <f aca="false">INDEX(Datos_Origen!$D$2:$D$2459,$Z645)&amp;""</f>
        <v>Rosario</v>
      </c>
    </row>
    <row r="646" customFormat="false" ht="15" hidden="false" customHeight="false" outlineLevel="0" collapsed="false">
      <c r="A646" s="61" t="n">
        <f aca="false">INDEX(Datos_Origen!$A$2:$A$2459,$Z646)</f>
        <v>645</v>
      </c>
      <c r="B646" s="62" t="n">
        <f aca="false">IF(ISNUMBER($AB646),$AB646,IF(MID($AB646,5,1)="-",DATE(VALUE(LEFT($AB646,4)),VALUE(MID($AB646,6,2)),VALUE(RIGHT($AB646,2))),DATE(VALUE(RIGHT($AB646,4)),VALUE(MID($AB646,4,2)),VALUE(LEFT($AB646,2)))))</f>
        <v>45480</v>
      </c>
      <c r="C646" s="61" t="n">
        <f aca="false">YEAR($B646)</f>
        <v>2024</v>
      </c>
      <c r="D646" s="61" t="str">
        <f aca="false">"Q"&amp;ROUNDUP(MONTH($B646)/3,0)</f>
        <v>Q3</v>
      </c>
      <c r="E646" s="61" t="n">
        <f aca="false">MONTH($B646)</f>
        <v>7</v>
      </c>
      <c r="F646" s="61" t="str">
        <f aca="false">INDEX(Parametros!$I$5:$I$16,$E646)</f>
        <v>Jul</v>
      </c>
      <c r="G646" s="61" t="str">
        <f aca="false">TEXT($C646,"0000")&amp;"-"&amp;TEXT($E646,"00")</f>
        <v>2024-07</v>
      </c>
      <c r="H646" s="61" t="str">
        <f aca="false">INDEX(Parametros!$C$71:$C$91,MATCH(TRIM(INDEX(Datos_Origen!$C$2:$C$2459,$Z646)),Parametros!$B$71:$B$91,0))</f>
        <v>Litoral</v>
      </c>
      <c r="I646" s="61" t="str">
        <f aca="false">IF(TRIM($AD646)="",INDEX(Parametros!$I$20:$I$24,MATCH($H646,Parametros!$H$20:$H$24,0)),TRIM($AD646))</f>
        <v>Rosario</v>
      </c>
      <c r="J646" s="61" t="str">
        <f aca="false">INDEX(Parametros!$C$95:$C$106,MATCH(TRIM(INDEX(Datos_Origen!$E$2:$E$2459,$Z646)),Parametros!$B$95:$B$106,0))</f>
        <v>Tienda fisica</v>
      </c>
      <c r="K646" s="61" t="str">
        <f aca="false">INDEX(Parametros!$C$48:$C$67,MATCH(TRIM(INDEX(Datos_Origen!$F$2:$F$2459,$Z646)),Parametros!$B$48:$B$67,0))</f>
        <v>Computacion</v>
      </c>
      <c r="L646" s="61" t="str">
        <f aca="false">$K646&amp;" "&amp;$C646</f>
        <v>Computacion 2024</v>
      </c>
      <c r="M646" s="61" t="str">
        <f aca="false">TRIM(INDEX(Datos_Origen!$G$2:$G$2459,$Z646))</f>
        <v>PC Gamer Ryzen</v>
      </c>
      <c r="N646" s="61" t="str">
        <f aca="false">$M646&amp;" "&amp;$C646</f>
        <v>PC Gamer Ryzen 2024</v>
      </c>
      <c r="O646" s="63" t="n">
        <f aca="false">IF(ISTEXT($AC646),VALUE($AC646),$AC646)</f>
        <v>9</v>
      </c>
      <c r="P646" s="64" t="n">
        <f aca="false">INDEX(Datos_Origen!$I$2:$I$2459,$Z646)</f>
        <v>1617</v>
      </c>
      <c r="Q646" s="64" t="n">
        <f aca="false">INDEX(Datos_Origen!$J$2:$J$2459,$Z646)</f>
        <v>1122</v>
      </c>
      <c r="R646" s="65" t="n">
        <f aca="false">ROUND($O646*$P646,2)</f>
        <v>14553</v>
      </c>
      <c r="S646" s="65" t="n">
        <f aca="false">ROUND($O646*$Q646,2)</f>
        <v>10098</v>
      </c>
      <c r="T646" s="65" t="n">
        <f aca="false">ROUND($R646*SUMIFS(Parametros!$E$28:$E$43,Parametros!$B$28:$B$43,$J646,Parametros!$C$28:$C$43,$C646,Parametros!$D$28:$D$43,$D646),2)</f>
        <v>189.19</v>
      </c>
      <c r="U646" s="65" t="n">
        <f aca="false">$R646-$S646-$T646</f>
        <v>4265.81</v>
      </c>
      <c r="V646" s="66" t="n">
        <f aca="false">IFERROR($U646/$R646,0)</f>
        <v>0.293122380265237</v>
      </c>
      <c r="W646" s="67" t="str">
        <f aca="false">IF(AND($V646&gt;=Parametros!$C$8,$R646&gt;=Parametros!$C$12),"Alta rentabilidad",IF(OR($V646&lt;Parametros!$C$11,$R646&lt;Parametros!$C$13),"Revisar","Estandar"))</f>
        <v>Estandar</v>
      </c>
      <c r="X646" s="67" t="str">
        <f aca="false">IF(AND($J646="E-commerce",IFERROR($T646/$R646,0)&gt;Parametros!$C$14),"Alerta","OK")</f>
        <v>OK</v>
      </c>
      <c r="Y646" s="61" t="str">
        <f aca="false">IF($R646&gt;=Parametros!$C$12,"Alto",IF($R646&lt;Parametros!$C$13,"Bajo","Medio"))</f>
        <v>Alto</v>
      </c>
      <c r="Z646" s="61" t="n">
        <v>2436</v>
      </c>
      <c r="AA646" s="61" t="str">
        <f aca="false">IF(MATCH($A646,Datos_Origen!$A$2:$A$2459,0)=$Z646,"OK","REVISAR")</f>
        <v>OK</v>
      </c>
      <c r="AB646" s="61" t="str">
        <f aca="false">INDEX(Datos_Origen!$B$2:$B$2459,$Z646)</f>
        <v>07/07/2024</v>
      </c>
      <c r="AC646" s="61" t="n">
        <f aca="false">INDEX(Datos_Origen!$H$2:$H$2459,$Z646)</f>
        <v>9</v>
      </c>
      <c r="AD646" s="61" t="str">
        <f aca="false">INDEX(Datos_Origen!$D$2:$D$2459,$Z646)&amp;""</f>
        <v>Rosario</v>
      </c>
    </row>
    <row r="647" customFormat="false" ht="15" hidden="false" customHeight="false" outlineLevel="0" collapsed="false">
      <c r="A647" s="61" t="n">
        <f aca="false">INDEX(Datos_Origen!$A$2:$A$2459,$Z647)</f>
        <v>646</v>
      </c>
      <c r="B647" s="62" t="n">
        <f aca="false">IF(ISNUMBER($AB647),$AB647,IF(MID($AB647,5,1)="-",DATE(VALUE(LEFT($AB647,4)),VALUE(MID($AB647,6,2)),VALUE(RIGHT($AB647,2))),DATE(VALUE(RIGHT($AB647,4)),VALUE(MID($AB647,4,2)),VALUE(LEFT($AB647,2)))))</f>
        <v>45487</v>
      </c>
      <c r="C647" s="61" t="n">
        <f aca="false">YEAR($B647)</f>
        <v>2024</v>
      </c>
      <c r="D647" s="61" t="str">
        <f aca="false">"Q"&amp;ROUNDUP(MONTH($B647)/3,0)</f>
        <v>Q3</v>
      </c>
      <c r="E647" s="61" t="n">
        <f aca="false">MONTH($B647)</f>
        <v>7</v>
      </c>
      <c r="F647" s="61" t="str">
        <f aca="false">INDEX(Parametros!$I$5:$I$16,$E647)</f>
        <v>Jul</v>
      </c>
      <c r="G647" s="61" t="str">
        <f aca="false">TEXT($C647,"0000")&amp;"-"&amp;TEXT($E647,"00")</f>
        <v>2024-07</v>
      </c>
      <c r="H647" s="61" t="str">
        <f aca="false">INDEX(Parametros!$C$71:$C$91,MATCH(TRIM(INDEX(Datos_Origen!$C$2:$C$2459,$Z647)),Parametros!$B$71:$B$91,0))</f>
        <v>Litoral</v>
      </c>
      <c r="I647" s="61" t="str">
        <f aca="false">IF(TRIM($AD647)="",INDEX(Parametros!$I$20:$I$24,MATCH($H647,Parametros!$H$20:$H$24,0)),TRIM($AD647))</f>
        <v>Rosario</v>
      </c>
      <c r="J647" s="61" t="str">
        <f aca="false">INDEX(Parametros!$C$95:$C$106,MATCH(TRIM(INDEX(Datos_Origen!$E$2:$E$2459,$Z647)),Parametros!$B$95:$B$106,0))</f>
        <v>E-commerce</v>
      </c>
      <c r="K647" s="61" t="str">
        <f aca="false">INDEX(Parametros!$C$48:$C$67,MATCH(TRIM(INDEX(Datos_Origen!$F$2:$F$2459,$Z647)),Parametros!$B$48:$B$67,0))</f>
        <v>Computacion</v>
      </c>
      <c r="L647" s="61" t="str">
        <f aca="false">$K647&amp;" "&amp;$C647</f>
        <v>Computacion 2024</v>
      </c>
      <c r="M647" s="61" t="str">
        <f aca="false">TRIM(INDEX(Datos_Origen!$G$2:$G$2459,$Z647))</f>
        <v>PC Gamer Ryzen</v>
      </c>
      <c r="N647" s="61" t="str">
        <f aca="false">$M647&amp;" "&amp;$C647</f>
        <v>PC Gamer Ryzen 2024</v>
      </c>
      <c r="O647" s="63" t="n">
        <f aca="false">IF(ISTEXT($AC647),VALUE($AC647),$AC647)</f>
        <v>4</v>
      </c>
      <c r="P647" s="64" t="n">
        <f aca="false">INDEX(Datos_Origen!$I$2:$I$2459,$Z647)</f>
        <v>1617</v>
      </c>
      <c r="Q647" s="64" t="n">
        <f aca="false">INDEX(Datos_Origen!$J$2:$J$2459,$Z647)</f>
        <v>1122</v>
      </c>
      <c r="R647" s="65" t="n">
        <f aca="false">ROUND($O647*$P647,2)</f>
        <v>6468</v>
      </c>
      <c r="S647" s="65" t="n">
        <f aca="false">ROUND($O647*$Q647,2)</f>
        <v>4488</v>
      </c>
      <c r="T647" s="65" t="n">
        <f aca="false">ROUND($R647*SUMIFS(Parametros!$E$28:$E$43,Parametros!$B$28:$B$43,$J647,Parametros!$C$28:$C$43,$C647,Parametros!$D$28:$D$43,$D647),2)</f>
        <v>297.53</v>
      </c>
      <c r="U647" s="65" t="n">
        <f aca="false">$R647-$S647-$T647</f>
        <v>1682.47</v>
      </c>
      <c r="V647" s="66" t="n">
        <f aca="false">IFERROR($U647/$R647,0)</f>
        <v>0.260122139764997</v>
      </c>
      <c r="W647" s="67" t="str">
        <f aca="false">IF(AND($V647&gt;=Parametros!$C$8,$R647&gt;=Parametros!$C$12),"Alta rentabilidad",IF(OR($V647&lt;Parametros!$C$11,$R647&lt;Parametros!$C$13),"Revisar","Estandar"))</f>
        <v>Revisar</v>
      </c>
      <c r="X647" s="67" t="str">
        <f aca="false">IF(AND($J647="E-commerce",IFERROR($T647/$R647,0)&gt;Parametros!$C$14),"Alerta","OK")</f>
        <v>OK</v>
      </c>
      <c r="Y647" s="61" t="str">
        <f aca="false">IF($R647&gt;=Parametros!$C$12,"Alto",IF($R647&lt;Parametros!$C$13,"Bajo","Medio"))</f>
        <v>Alto</v>
      </c>
      <c r="Z647" s="61" t="n">
        <v>1026</v>
      </c>
      <c r="AA647" s="61" t="str">
        <f aca="false">IF(MATCH($A647,Datos_Origen!$A$2:$A$2459,0)=$Z647,"OK","REVISAR")</f>
        <v>OK</v>
      </c>
      <c r="AB647" s="61" t="str">
        <f aca="false">INDEX(Datos_Origen!$B$2:$B$2459,$Z647)</f>
        <v>2024-07-14</v>
      </c>
      <c r="AC647" s="61" t="n">
        <f aca="false">INDEX(Datos_Origen!$H$2:$H$2459,$Z647)</f>
        <v>4</v>
      </c>
      <c r="AD647" s="61" t="str">
        <f aca="false">INDEX(Datos_Origen!$D$2:$D$2459,$Z647)&amp;""</f>
        <v>Rosario</v>
      </c>
    </row>
    <row r="648" customFormat="false" ht="15" hidden="false" customHeight="false" outlineLevel="0" collapsed="false">
      <c r="A648" s="61" t="n">
        <f aca="false">INDEX(Datos_Origen!$A$2:$A$2459,$Z648)</f>
        <v>647</v>
      </c>
      <c r="B648" s="62" t="n">
        <f aca="false">IF(ISNUMBER($AB648),$AB648,IF(MID($AB648,5,1)="-",DATE(VALUE(LEFT($AB648,4)),VALUE(MID($AB648,6,2)),VALUE(RIGHT($AB648,2))),DATE(VALUE(RIGHT($AB648,4)),VALUE(MID($AB648,4,2)),VALUE(LEFT($AB648,2)))))</f>
        <v>45494</v>
      </c>
      <c r="C648" s="61" t="n">
        <f aca="false">YEAR($B648)</f>
        <v>2024</v>
      </c>
      <c r="D648" s="61" t="str">
        <f aca="false">"Q"&amp;ROUNDUP(MONTH($B648)/3,0)</f>
        <v>Q3</v>
      </c>
      <c r="E648" s="61" t="n">
        <f aca="false">MONTH($B648)</f>
        <v>7</v>
      </c>
      <c r="F648" s="61" t="str">
        <f aca="false">INDEX(Parametros!$I$5:$I$16,$E648)</f>
        <v>Jul</v>
      </c>
      <c r="G648" s="61" t="str">
        <f aca="false">TEXT($C648,"0000")&amp;"-"&amp;TEXT($E648,"00")</f>
        <v>2024-07</v>
      </c>
      <c r="H648" s="61" t="str">
        <f aca="false">INDEX(Parametros!$C$71:$C$91,MATCH(TRIM(INDEX(Datos_Origen!$C$2:$C$2459,$Z648)),Parametros!$B$71:$B$91,0))</f>
        <v>Litoral</v>
      </c>
      <c r="I648" s="61" t="str">
        <f aca="false">IF(TRIM($AD648)="",INDEX(Parametros!$I$20:$I$24,MATCH($H648,Parametros!$H$20:$H$24,0)),TRIM($AD648))</f>
        <v>Rosario</v>
      </c>
      <c r="J648" s="61" t="str">
        <f aca="false">INDEX(Parametros!$C$95:$C$106,MATCH(TRIM(INDEX(Datos_Origen!$E$2:$E$2459,$Z648)),Parametros!$B$95:$B$106,0))</f>
        <v>Tienda fisica</v>
      </c>
      <c r="K648" s="61" t="str">
        <f aca="false">INDEX(Parametros!$C$48:$C$67,MATCH(TRIM(INDEX(Datos_Origen!$F$2:$F$2459,$Z648)),Parametros!$B$48:$B$67,0))</f>
        <v>Accesorios</v>
      </c>
      <c r="L648" s="61" t="str">
        <f aca="false">$K648&amp;" "&amp;$C648</f>
        <v>Accesorios 2024</v>
      </c>
      <c r="M648" s="61" t="str">
        <f aca="false">TRIM(INDEX(Datos_Origen!$G$2:$G$2459,$Z648))</f>
        <v>Mouse Inalambrico</v>
      </c>
      <c r="N648" s="61" t="str">
        <f aca="false">$M648&amp;" "&amp;$C648</f>
        <v>Mouse Inalambrico 2024</v>
      </c>
      <c r="O648" s="63" t="n">
        <f aca="false">IF(ISTEXT($AC648),VALUE($AC648),$AC648)</f>
        <v>53</v>
      </c>
      <c r="P648" s="64" t="n">
        <f aca="false">INDEX(Datos_Origen!$I$2:$I$2459,$Z648)</f>
        <v>27.44</v>
      </c>
      <c r="Q648" s="64" t="n">
        <f aca="false">INDEX(Datos_Origen!$J$2:$J$2459,$Z648)</f>
        <v>13.44</v>
      </c>
      <c r="R648" s="65" t="n">
        <f aca="false">ROUND($O648*$P648,2)</f>
        <v>1454.32</v>
      </c>
      <c r="S648" s="65" t="n">
        <f aca="false">ROUND($O648*$Q648,2)</f>
        <v>712.32</v>
      </c>
      <c r="T648" s="65" t="n">
        <f aca="false">ROUND($R648*SUMIFS(Parametros!$E$28:$E$43,Parametros!$B$28:$B$43,$J648,Parametros!$C$28:$C$43,$C648,Parametros!$D$28:$D$43,$D648),2)</f>
        <v>18.91</v>
      </c>
      <c r="U648" s="65" t="n">
        <f aca="false">$R648-$S648-$T648</f>
        <v>723.09</v>
      </c>
      <c r="V648" s="66" t="n">
        <f aca="false">IFERROR($U648/$R648,0)</f>
        <v>0.49720144122339</v>
      </c>
      <c r="W648" s="67" t="str">
        <f aca="false">IF(AND($V648&gt;=Parametros!$C$8,$R648&gt;=Parametros!$C$12),"Alta rentabilidad",IF(OR($V648&lt;Parametros!$C$11,$R648&lt;Parametros!$C$13),"Revisar","Estandar"))</f>
        <v>Estandar</v>
      </c>
      <c r="X648" s="67" t="str">
        <f aca="false">IF(AND($J648="E-commerce",IFERROR($T648/$R648,0)&gt;Parametros!$C$14),"Alerta","OK")</f>
        <v>OK</v>
      </c>
      <c r="Y648" s="61" t="str">
        <f aca="false">IF($R648&gt;=Parametros!$C$12,"Alto",IF($R648&lt;Parametros!$C$13,"Bajo","Medio"))</f>
        <v>Medio</v>
      </c>
      <c r="Z648" s="61" t="n">
        <v>255</v>
      </c>
      <c r="AA648" s="61" t="str">
        <f aca="false">IF(MATCH($A648,Datos_Origen!$A$2:$A$2459,0)=$Z648,"OK","REVISAR")</f>
        <v>OK</v>
      </c>
      <c r="AB648" s="61" t="str">
        <f aca="false">INDEX(Datos_Origen!$B$2:$B$2459,$Z648)</f>
        <v>2024-07-21</v>
      </c>
      <c r="AC648" s="61" t="n">
        <f aca="false">INDEX(Datos_Origen!$H$2:$H$2459,$Z648)</f>
        <v>53</v>
      </c>
      <c r="AD648" s="61" t="str">
        <f aca="false">INDEX(Datos_Origen!$D$2:$D$2459,$Z648)&amp;""</f>
        <v>Rosario</v>
      </c>
    </row>
    <row r="649" customFormat="false" ht="15" hidden="false" customHeight="false" outlineLevel="0" collapsed="false">
      <c r="A649" s="61" t="n">
        <f aca="false">INDEX(Datos_Origen!$A$2:$A$2459,$Z649)</f>
        <v>648</v>
      </c>
      <c r="B649" s="62" t="n">
        <f aca="false">IF(ISNUMBER($AB649),$AB649,IF(MID($AB649,5,1)="-",DATE(VALUE(LEFT($AB649,4)),VALUE(MID($AB649,6,2)),VALUE(RIGHT($AB649,2))),DATE(VALUE(RIGHT($AB649,4)),VALUE(MID($AB649,4,2)),VALUE(LEFT($AB649,2)))))</f>
        <v>45474</v>
      </c>
      <c r="C649" s="61" t="n">
        <f aca="false">YEAR($B649)</f>
        <v>2024</v>
      </c>
      <c r="D649" s="61" t="str">
        <f aca="false">"Q"&amp;ROUNDUP(MONTH($B649)/3,0)</f>
        <v>Q3</v>
      </c>
      <c r="E649" s="61" t="n">
        <f aca="false">MONTH($B649)</f>
        <v>7</v>
      </c>
      <c r="F649" s="61" t="str">
        <f aca="false">INDEX(Parametros!$I$5:$I$16,$E649)</f>
        <v>Jul</v>
      </c>
      <c r="G649" s="61" t="str">
        <f aca="false">TEXT($C649,"0000")&amp;"-"&amp;TEXT($E649,"00")</f>
        <v>2024-07</v>
      </c>
      <c r="H649" s="61" t="str">
        <f aca="false">INDEX(Parametros!$C$71:$C$91,MATCH(TRIM(INDEX(Datos_Origen!$C$2:$C$2459,$Z649)),Parametros!$B$71:$B$91,0))</f>
        <v>Litoral</v>
      </c>
      <c r="I649" s="61" t="str">
        <f aca="false">IF(TRIM($AD649)="",INDEX(Parametros!$I$20:$I$24,MATCH($H649,Parametros!$H$20:$H$24,0)),TRIM($AD649))</f>
        <v>Rosario</v>
      </c>
      <c r="J649" s="61" t="str">
        <f aca="false">INDEX(Parametros!$C$95:$C$106,MATCH(TRIM(INDEX(Datos_Origen!$E$2:$E$2459,$Z649)),Parametros!$B$95:$B$106,0))</f>
        <v>E-commerce</v>
      </c>
      <c r="K649" s="61" t="str">
        <f aca="false">INDEX(Parametros!$C$48:$C$67,MATCH(TRIM(INDEX(Datos_Origen!$F$2:$F$2459,$Z649)),Parametros!$B$48:$B$67,0))</f>
        <v>Accesorios</v>
      </c>
      <c r="L649" s="61" t="str">
        <f aca="false">$K649&amp;" "&amp;$C649</f>
        <v>Accesorios 2024</v>
      </c>
      <c r="M649" s="61" t="str">
        <f aca="false">TRIM(INDEX(Datos_Origen!$G$2:$G$2459,$Z649))</f>
        <v>Mouse Inalambrico</v>
      </c>
      <c r="N649" s="61" t="str">
        <f aca="false">$M649&amp;" "&amp;$C649</f>
        <v>Mouse Inalambrico 2024</v>
      </c>
      <c r="O649" s="63" t="n">
        <f aca="false">IF(ISTEXT($AC649),VALUE($AC649),$AC649)</f>
        <v>19</v>
      </c>
      <c r="P649" s="64" t="n">
        <f aca="false">INDEX(Datos_Origen!$I$2:$I$2459,$Z649)</f>
        <v>27.44</v>
      </c>
      <c r="Q649" s="64" t="n">
        <f aca="false">INDEX(Datos_Origen!$J$2:$J$2459,$Z649)</f>
        <v>13.44</v>
      </c>
      <c r="R649" s="65" t="n">
        <f aca="false">ROUND($O649*$P649,2)</f>
        <v>521.36</v>
      </c>
      <c r="S649" s="65" t="n">
        <f aca="false">ROUND($O649*$Q649,2)</f>
        <v>255.36</v>
      </c>
      <c r="T649" s="65" t="n">
        <f aca="false">ROUND($R649*SUMIFS(Parametros!$E$28:$E$43,Parametros!$B$28:$B$43,$J649,Parametros!$C$28:$C$43,$C649,Parametros!$D$28:$D$43,$D649),2)</f>
        <v>23.98</v>
      </c>
      <c r="U649" s="65" t="n">
        <f aca="false">$R649-$S649-$T649</f>
        <v>242.02</v>
      </c>
      <c r="V649" s="66" t="n">
        <f aca="false">IFERROR($U649/$R649,0)</f>
        <v>0.464208991867424</v>
      </c>
      <c r="W649" s="67" t="str">
        <f aca="false">IF(AND($V649&gt;=Parametros!$C$8,$R649&gt;=Parametros!$C$12),"Alta rentabilidad",IF(OR($V649&lt;Parametros!$C$11,$R649&lt;Parametros!$C$13),"Revisar","Estandar"))</f>
        <v>Estandar</v>
      </c>
      <c r="X649" s="67" t="str">
        <f aca="false">IF(AND($J649="E-commerce",IFERROR($T649/$R649,0)&gt;Parametros!$C$14),"Alerta","OK")</f>
        <v>OK</v>
      </c>
      <c r="Y649" s="61" t="str">
        <f aca="false">IF($R649&gt;=Parametros!$C$12,"Alto",IF($R649&lt;Parametros!$C$13,"Bajo","Medio"))</f>
        <v>Medio</v>
      </c>
      <c r="Z649" s="61" t="n">
        <v>1198</v>
      </c>
      <c r="AA649" s="61" t="str">
        <f aca="false">IF(MATCH($A649,Datos_Origen!$A$2:$A$2459,0)=$Z649,"OK","REVISAR")</f>
        <v>OK</v>
      </c>
      <c r="AB649" s="61" t="str">
        <f aca="false">INDEX(Datos_Origen!$B$2:$B$2459,$Z649)</f>
        <v>2024-07-01</v>
      </c>
      <c r="AC649" s="61" t="n">
        <f aca="false">INDEX(Datos_Origen!$H$2:$H$2459,$Z649)</f>
        <v>19</v>
      </c>
      <c r="AD649" s="61" t="str">
        <f aca="false">INDEX(Datos_Origen!$D$2:$D$2459,$Z649)&amp;""</f>
        <v>Rosario</v>
      </c>
    </row>
    <row r="650" customFormat="false" ht="15" hidden="false" customHeight="false" outlineLevel="0" collapsed="false">
      <c r="A650" s="61" t="n">
        <f aca="false">INDEX(Datos_Origen!$A$2:$A$2459,$Z650)</f>
        <v>649</v>
      </c>
      <c r="B650" s="62" t="n">
        <f aca="false">IF(ISNUMBER($AB650),$AB650,IF(MID($AB650,5,1)="-",DATE(VALUE(LEFT($AB650,4)),VALUE(MID($AB650,6,2)),VALUE(RIGHT($AB650,2))),DATE(VALUE(RIGHT($AB650,4)),VALUE(MID($AB650,4,2)),VALUE(LEFT($AB650,2)))))</f>
        <v>45481</v>
      </c>
      <c r="C650" s="61" t="n">
        <f aca="false">YEAR($B650)</f>
        <v>2024</v>
      </c>
      <c r="D650" s="61" t="str">
        <f aca="false">"Q"&amp;ROUNDUP(MONTH($B650)/3,0)</f>
        <v>Q3</v>
      </c>
      <c r="E650" s="61" t="n">
        <f aca="false">MONTH($B650)</f>
        <v>7</v>
      </c>
      <c r="F650" s="61" t="str">
        <f aca="false">INDEX(Parametros!$I$5:$I$16,$E650)</f>
        <v>Jul</v>
      </c>
      <c r="G650" s="61" t="str">
        <f aca="false">TEXT($C650,"0000")&amp;"-"&amp;TEXT($E650,"00")</f>
        <v>2024-07</v>
      </c>
      <c r="H650" s="61" t="str">
        <f aca="false">INDEX(Parametros!$C$71:$C$91,MATCH(TRIM(INDEX(Datos_Origen!$C$2:$C$2459,$Z650)),Parametros!$B$71:$B$91,0))</f>
        <v>Litoral</v>
      </c>
      <c r="I650" s="61" t="str">
        <f aca="false">IF(TRIM($AD650)="",INDEX(Parametros!$I$20:$I$24,MATCH($H650,Parametros!$H$20:$H$24,0)),TRIM($AD650))</f>
        <v>Rosario</v>
      </c>
      <c r="J650" s="61" t="str">
        <f aca="false">INDEX(Parametros!$C$95:$C$106,MATCH(TRIM(INDEX(Datos_Origen!$E$2:$E$2459,$Z650)),Parametros!$B$95:$B$106,0))</f>
        <v>Tienda fisica</v>
      </c>
      <c r="K650" s="61" t="str">
        <f aca="false">INDEX(Parametros!$C$48:$C$67,MATCH(TRIM(INDEX(Datos_Origen!$F$2:$F$2459,$Z650)),Parametros!$B$48:$B$67,0))</f>
        <v>Accesorios</v>
      </c>
      <c r="L650" s="61" t="str">
        <f aca="false">$K650&amp;" "&amp;$C650</f>
        <v>Accesorios 2024</v>
      </c>
      <c r="M650" s="61" t="str">
        <f aca="false">TRIM(INDEX(Datos_Origen!$G$2:$G$2459,$Z650))</f>
        <v>Teclado Mecanico</v>
      </c>
      <c r="N650" s="61" t="str">
        <f aca="false">$M650&amp;" "&amp;$C650</f>
        <v>Teclado Mecanico 2024</v>
      </c>
      <c r="O650" s="63" t="n">
        <f aca="false">IF(ISTEXT($AC650),VALUE($AC650),$AC650)</f>
        <v>44</v>
      </c>
      <c r="P650" s="64" t="n">
        <f aca="false">INDEX(Datos_Origen!$I$2:$I$2459,$Z650)</f>
        <v>93.1</v>
      </c>
      <c r="Q650" s="64" t="n">
        <f aca="false">INDEX(Datos_Origen!$J$2:$J$2459,$Z650)</f>
        <v>47.98</v>
      </c>
      <c r="R650" s="65" t="n">
        <f aca="false">ROUND($O650*$P650,2)</f>
        <v>4096.4</v>
      </c>
      <c r="S650" s="65" t="n">
        <f aca="false">ROUND($O650*$Q650,2)</f>
        <v>2111.12</v>
      </c>
      <c r="T650" s="65" t="n">
        <f aca="false">ROUND($R650*SUMIFS(Parametros!$E$28:$E$43,Parametros!$B$28:$B$43,$J650,Parametros!$C$28:$C$43,$C650,Parametros!$D$28:$D$43,$D650),2)</f>
        <v>53.25</v>
      </c>
      <c r="U650" s="65" t="n">
        <f aca="false">$R650-$S650-$T650</f>
        <v>1932.03</v>
      </c>
      <c r="V650" s="66" t="n">
        <f aca="false">IFERROR($U650/$R650,0)</f>
        <v>0.47164095303193</v>
      </c>
      <c r="W650" s="67" t="str">
        <f aca="false">IF(AND($V650&gt;=Parametros!$C$8,$R650&gt;=Parametros!$C$12),"Alta rentabilidad",IF(OR($V650&lt;Parametros!$C$11,$R650&lt;Parametros!$C$13),"Revisar","Estandar"))</f>
        <v>Alta rentabilidad</v>
      </c>
      <c r="X650" s="67" t="str">
        <f aca="false">IF(AND($J650="E-commerce",IFERROR($T650/$R650,0)&gt;Parametros!$C$14),"Alerta","OK")</f>
        <v>OK</v>
      </c>
      <c r="Y650" s="61" t="str">
        <f aca="false">IF($R650&gt;=Parametros!$C$12,"Alto",IF($R650&lt;Parametros!$C$13,"Bajo","Medio"))</f>
        <v>Alto</v>
      </c>
      <c r="Z650" s="61" t="n">
        <v>1575</v>
      </c>
      <c r="AA650" s="61" t="str">
        <f aca="false">IF(MATCH($A650,Datos_Origen!$A$2:$A$2459,0)=$Z650,"OK","REVISAR")</f>
        <v>OK</v>
      </c>
      <c r="AB650" s="61" t="str">
        <f aca="false">INDEX(Datos_Origen!$B$2:$B$2459,$Z650)</f>
        <v>08/07/2024</v>
      </c>
      <c r="AC650" s="61" t="n">
        <f aca="false">INDEX(Datos_Origen!$H$2:$H$2459,$Z650)</f>
        <v>44</v>
      </c>
      <c r="AD650" s="61" t="str">
        <f aca="false">INDEX(Datos_Origen!$D$2:$D$2459,$Z650)&amp;""</f>
        <v>Rosario</v>
      </c>
    </row>
    <row r="651" customFormat="false" ht="15" hidden="false" customHeight="false" outlineLevel="0" collapsed="false">
      <c r="A651" s="61" t="n">
        <f aca="false">INDEX(Datos_Origen!$A$2:$A$2459,$Z651)</f>
        <v>650</v>
      </c>
      <c r="B651" s="62" t="n">
        <f aca="false">IF(ISNUMBER($AB651),$AB651,IF(MID($AB651,5,1)="-",DATE(VALUE(LEFT($AB651,4)),VALUE(MID($AB651,6,2)),VALUE(RIGHT($AB651,2))),DATE(VALUE(RIGHT($AB651,4)),VALUE(MID($AB651,4,2)),VALUE(LEFT($AB651,2)))))</f>
        <v>45488</v>
      </c>
      <c r="C651" s="61" t="n">
        <f aca="false">YEAR($B651)</f>
        <v>2024</v>
      </c>
      <c r="D651" s="61" t="str">
        <f aca="false">"Q"&amp;ROUNDUP(MONTH($B651)/3,0)</f>
        <v>Q3</v>
      </c>
      <c r="E651" s="61" t="n">
        <f aca="false">MONTH($B651)</f>
        <v>7</v>
      </c>
      <c r="F651" s="61" t="str">
        <f aca="false">INDEX(Parametros!$I$5:$I$16,$E651)</f>
        <v>Jul</v>
      </c>
      <c r="G651" s="61" t="str">
        <f aca="false">TEXT($C651,"0000")&amp;"-"&amp;TEXT($E651,"00")</f>
        <v>2024-07</v>
      </c>
      <c r="H651" s="61" t="str">
        <f aca="false">INDEX(Parametros!$C$71:$C$91,MATCH(TRIM(INDEX(Datos_Origen!$C$2:$C$2459,$Z651)),Parametros!$B$71:$B$91,0))</f>
        <v>Litoral</v>
      </c>
      <c r="I651" s="61" t="str">
        <f aca="false">IF(TRIM($AD651)="",INDEX(Parametros!$I$20:$I$24,MATCH($H651,Parametros!$H$20:$H$24,0)),TRIM($AD651))</f>
        <v>Rosario</v>
      </c>
      <c r="J651" s="61" t="str">
        <f aca="false">INDEX(Parametros!$C$95:$C$106,MATCH(TRIM(INDEX(Datos_Origen!$E$2:$E$2459,$Z651)),Parametros!$B$95:$B$106,0))</f>
        <v>E-commerce</v>
      </c>
      <c r="K651" s="61" t="str">
        <f aca="false">INDEX(Parametros!$C$48:$C$67,MATCH(TRIM(INDEX(Datos_Origen!$F$2:$F$2459,$Z651)),Parametros!$B$48:$B$67,0))</f>
        <v>Accesorios</v>
      </c>
      <c r="L651" s="61" t="str">
        <f aca="false">$K651&amp;" "&amp;$C651</f>
        <v>Accesorios 2024</v>
      </c>
      <c r="M651" s="61" t="str">
        <f aca="false">TRIM(INDEX(Datos_Origen!$G$2:$G$2459,$Z651))</f>
        <v>Teclado Mecanico</v>
      </c>
      <c r="N651" s="61" t="str">
        <f aca="false">$M651&amp;" "&amp;$C651</f>
        <v>Teclado Mecanico 2024</v>
      </c>
      <c r="O651" s="63" t="n">
        <f aca="false">IF(ISTEXT($AC651),VALUE($AC651),$AC651)</f>
        <v>18</v>
      </c>
      <c r="P651" s="64" t="n">
        <f aca="false">INDEX(Datos_Origen!$I$2:$I$2459,$Z651)</f>
        <v>93.1</v>
      </c>
      <c r="Q651" s="64" t="n">
        <f aca="false">INDEX(Datos_Origen!$J$2:$J$2459,$Z651)</f>
        <v>47.98</v>
      </c>
      <c r="R651" s="65" t="n">
        <f aca="false">ROUND($O651*$P651,2)</f>
        <v>1675.8</v>
      </c>
      <c r="S651" s="65" t="n">
        <f aca="false">ROUND($O651*$Q651,2)</f>
        <v>863.64</v>
      </c>
      <c r="T651" s="65" t="n">
        <f aca="false">ROUND($R651*SUMIFS(Parametros!$E$28:$E$43,Parametros!$B$28:$B$43,$J651,Parametros!$C$28:$C$43,$C651,Parametros!$D$28:$D$43,$D651),2)</f>
        <v>77.09</v>
      </c>
      <c r="U651" s="65" t="n">
        <f aca="false">$R651-$S651-$T651</f>
        <v>735.07</v>
      </c>
      <c r="V651" s="66" t="n">
        <f aca="false">IFERROR($U651/$R651,0)</f>
        <v>0.438638262322473</v>
      </c>
      <c r="W651" s="67" t="str">
        <f aca="false">IF(AND($V651&gt;=Parametros!$C$8,$R651&gt;=Parametros!$C$12),"Alta rentabilidad",IF(OR($V651&lt;Parametros!$C$11,$R651&lt;Parametros!$C$13),"Revisar","Estandar"))</f>
        <v>Estandar</v>
      </c>
      <c r="X651" s="67" t="str">
        <f aca="false">IF(AND($J651="E-commerce",IFERROR($T651/$R651,0)&gt;Parametros!$C$14),"Alerta","OK")</f>
        <v>OK</v>
      </c>
      <c r="Y651" s="61" t="str">
        <f aca="false">IF($R651&gt;=Parametros!$C$12,"Alto",IF($R651&lt;Parametros!$C$13,"Bajo","Medio"))</f>
        <v>Medio</v>
      </c>
      <c r="Z651" s="61" t="n">
        <v>1998</v>
      </c>
      <c r="AA651" s="61" t="str">
        <f aca="false">IF(MATCH($A651,Datos_Origen!$A$2:$A$2459,0)=$Z651,"OK","REVISAR")</f>
        <v>OK</v>
      </c>
      <c r="AB651" s="62" t="n">
        <f aca="false">INDEX(Datos_Origen!$B$2:$B$2459,$Z651)</f>
        <v>45488</v>
      </c>
      <c r="AC651" s="61" t="n">
        <f aca="false">INDEX(Datos_Origen!$H$2:$H$2459,$Z651)</f>
        <v>18</v>
      </c>
      <c r="AD651" s="61" t="str">
        <f aca="false">INDEX(Datos_Origen!$D$2:$D$2459,$Z651)&amp;""</f>
        <v>Rosario</v>
      </c>
    </row>
    <row r="652" customFormat="false" ht="15" hidden="false" customHeight="false" outlineLevel="0" collapsed="false">
      <c r="A652" s="61" t="n">
        <f aca="false">INDEX(Datos_Origen!$A$2:$A$2459,$Z652)</f>
        <v>651</v>
      </c>
      <c r="B652" s="62" t="n">
        <f aca="false">IF(ISNUMBER($AB652),$AB652,IF(MID($AB652,5,1)="-",DATE(VALUE(LEFT($AB652,4)),VALUE(MID($AB652,6,2)),VALUE(RIGHT($AB652,2))),DATE(VALUE(RIGHT($AB652,4)),VALUE(MID($AB652,4,2)),VALUE(LEFT($AB652,2)))))</f>
        <v>45495</v>
      </c>
      <c r="C652" s="61" t="n">
        <f aca="false">YEAR($B652)</f>
        <v>2024</v>
      </c>
      <c r="D652" s="61" t="str">
        <f aca="false">"Q"&amp;ROUNDUP(MONTH($B652)/3,0)</f>
        <v>Q3</v>
      </c>
      <c r="E652" s="61" t="n">
        <f aca="false">MONTH($B652)</f>
        <v>7</v>
      </c>
      <c r="F652" s="61" t="str">
        <f aca="false">INDEX(Parametros!$I$5:$I$16,$E652)</f>
        <v>Jul</v>
      </c>
      <c r="G652" s="61" t="str">
        <f aca="false">TEXT($C652,"0000")&amp;"-"&amp;TEXT($E652,"00")</f>
        <v>2024-07</v>
      </c>
      <c r="H652" s="61" t="str">
        <f aca="false">INDEX(Parametros!$C$71:$C$91,MATCH(TRIM(INDEX(Datos_Origen!$C$2:$C$2459,$Z652)),Parametros!$B$71:$B$91,0))</f>
        <v>Litoral</v>
      </c>
      <c r="I652" s="61" t="str">
        <f aca="false">IF(TRIM($AD652)="",INDEX(Parametros!$I$20:$I$24,MATCH($H652,Parametros!$H$20:$H$24,0)),TRIM($AD652))</f>
        <v>Rosario</v>
      </c>
      <c r="J652" s="61" t="str">
        <f aca="false">INDEX(Parametros!$C$95:$C$106,MATCH(TRIM(INDEX(Datos_Origen!$E$2:$E$2459,$Z652)),Parametros!$B$95:$B$106,0))</f>
        <v>Tienda fisica</v>
      </c>
      <c r="K652" s="61" t="str">
        <f aca="false">INDEX(Parametros!$C$48:$C$67,MATCH(TRIM(INDEX(Datos_Origen!$F$2:$F$2459,$Z652)),Parametros!$B$48:$B$67,0))</f>
        <v>Accesorios</v>
      </c>
      <c r="L652" s="61" t="str">
        <f aca="false">$K652&amp;" "&amp;$C652</f>
        <v>Accesorios 2024</v>
      </c>
      <c r="M652" s="61" t="str">
        <f aca="false">TRIM(INDEX(Datos_Origen!$G$2:$G$2459,$Z652))</f>
        <v>Webcam Full HD</v>
      </c>
      <c r="N652" s="61" t="str">
        <f aca="false">$M652&amp;" "&amp;$C652</f>
        <v>Webcam Full HD 2024</v>
      </c>
      <c r="O652" s="63" t="n">
        <f aca="false">IF(ISTEXT($AC652),VALUE($AC652),$AC652)</f>
        <v>54</v>
      </c>
      <c r="P652" s="64" t="n">
        <f aca="false">INDEX(Datos_Origen!$I$2:$I$2459,$Z652)</f>
        <v>63.7</v>
      </c>
      <c r="Q652" s="64" t="n">
        <f aca="false">INDEX(Datos_Origen!$J$2:$J$2459,$Z652)</f>
        <v>35.43</v>
      </c>
      <c r="R652" s="65" t="n">
        <f aca="false">ROUND($O652*$P652,2)</f>
        <v>3439.8</v>
      </c>
      <c r="S652" s="65" t="n">
        <f aca="false">ROUND($O652*$Q652,2)</f>
        <v>1913.22</v>
      </c>
      <c r="T652" s="65" t="n">
        <f aca="false">ROUND($R652*SUMIFS(Parametros!$E$28:$E$43,Parametros!$B$28:$B$43,$J652,Parametros!$C$28:$C$43,$C652,Parametros!$D$28:$D$43,$D652),2)</f>
        <v>44.72</v>
      </c>
      <c r="U652" s="65" t="n">
        <f aca="false">$R652-$S652-$T652</f>
        <v>1481.86</v>
      </c>
      <c r="V652" s="66" t="n">
        <f aca="false">IFERROR($U652/$R652,0)</f>
        <v>0.430798302226874</v>
      </c>
      <c r="W652" s="67" t="str">
        <f aca="false">IF(AND($V652&gt;=Parametros!$C$8,$R652&gt;=Parametros!$C$12),"Alta rentabilidad",IF(OR($V652&lt;Parametros!$C$11,$R652&lt;Parametros!$C$13),"Revisar","Estandar"))</f>
        <v>Alta rentabilidad</v>
      </c>
      <c r="X652" s="67" t="str">
        <f aca="false">IF(AND($J652="E-commerce",IFERROR($T652/$R652,0)&gt;Parametros!$C$14),"Alerta","OK")</f>
        <v>OK</v>
      </c>
      <c r="Y652" s="61" t="str">
        <f aca="false">IF($R652&gt;=Parametros!$C$12,"Alto",IF($R652&lt;Parametros!$C$13,"Bajo","Medio"))</f>
        <v>Alto</v>
      </c>
      <c r="Z652" s="61" t="n">
        <v>1877</v>
      </c>
      <c r="AA652" s="61" t="str">
        <f aca="false">IF(MATCH($A652,Datos_Origen!$A$2:$A$2459,0)=$Z652,"OK","REVISAR")</f>
        <v>OK</v>
      </c>
      <c r="AB652" s="62" t="n">
        <f aca="false">INDEX(Datos_Origen!$B$2:$B$2459,$Z652)</f>
        <v>45495</v>
      </c>
      <c r="AC652" s="61" t="str">
        <f aca="false">INDEX(Datos_Origen!$H$2:$H$2459,$Z652)</f>
        <v>54</v>
      </c>
      <c r="AD652" s="61" t="str">
        <f aca="false">INDEX(Datos_Origen!$D$2:$D$2459,$Z652)&amp;""</f>
        <v>Rosario</v>
      </c>
    </row>
    <row r="653" customFormat="false" ht="15" hidden="false" customHeight="false" outlineLevel="0" collapsed="false">
      <c r="A653" s="61" t="n">
        <f aca="false">INDEX(Datos_Origen!$A$2:$A$2459,$Z653)</f>
        <v>652</v>
      </c>
      <c r="B653" s="62" t="n">
        <f aca="false">IF(ISNUMBER($AB653),$AB653,IF(MID($AB653,5,1)="-",DATE(VALUE(LEFT($AB653,4)),VALUE(MID($AB653,6,2)),VALUE(RIGHT($AB653,2))),DATE(VALUE(RIGHT($AB653,4)),VALUE(MID($AB653,4,2)),VALUE(LEFT($AB653,2)))))</f>
        <v>45475</v>
      </c>
      <c r="C653" s="61" t="n">
        <f aca="false">YEAR($B653)</f>
        <v>2024</v>
      </c>
      <c r="D653" s="61" t="str">
        <f aca="false">"Q"&amp;ROUNDUP(MONTH($B653)/3,0)</f>
        <v>Q3</v>
      </c>
      <c r="E653" s="61" t="n">
        <f aca="false">MONTH($B653)</f>
        <v>7</v>
      </c>
      <c r="F653" s="61" t="str">
        <f aca="false">INDEX(Parametros!$I$5:$I$16,$E653)</f>
        <v>Jul</v>
      </c>
      <c r="G653" s="61" t="str">
        <f aca="false">TEXT($C653,"0000")&amp;"-"&amp;TEXT($E653,"00")</f>
        <v>2024-07</v>
      </c>
      <c r="H653" s="61" t="str">
        <f aca="false">INDEX(Parametros!$C$71:$C$91,MATCH(TRIM(INDEX(Datos_Origen!$C$2:$C$2459,$Z653)),Parametros!$B$71:$B$91,0))</f>
        <v>Litoral</v>
      </c>
      <c r="I653" s="61" t="str">
        <f aca="false">IF(TRIM($AD653)="",INDEX(Parametros!$I$20:$I$24,MATCH($H653,Parametros!$H$20:$H$24,0)),TRIM($AD653))</f>
        <v>Rosario</v>
      </c>
      <c r="J653" s="61" t="str">
        <f aca="false">INDEX(Parametros!$C$95:$C$106,MATCH(TRIM(INDEX(Datos_Origen!$E$2:$E$2459,$Z653)),Parametros!$B$95:$B$106,0))</f>
        <v>E-commerce</v>
      </c>
      <c r="K653" s="61" t="str">
        <f aca="false">INDEX(Parametros!$C$48:$C$67,MATCH(TRIM(INDEX(Datos_Origen!$F$2:$F$2459,$Z653)),Parametros!$B$48:$B$67,0))</f>
        <v>Accesorios</v>
      </c>
      <c r="L653" s="61" t="str">
        <f aca="false">$K653&amp;" "&amp;$C653</f>
        <v>Accesorios 2024</v>
      </c>
      <c r="M653" s="61" t="str">
        <f aca="false">TRIM(INDEX(Datos_Origen!$G$2:$G$2459,$Z653))</f>
        <v>Webcam Full HD</v>
      </c>
      <c r="N653" s="61" t="str">
        <f aca="false">$M653&amp;" "&amp;$C653</f>
        <v>Webcam Full HD 2024</v>
      </c>
      <c r="O653" s="63" t="n">
        <f aca="false">IF(ISTEXT($AC653),VALUE($AC653),$AC653)</f>
        <v>20</v>
      </c>
      <c r="P653" s="64" t="n">
        <f aca="false">INDEX(Datos_Origen!$I$2:$I$2459,$Z653)</f>
        <v>63.7</v>
      </c>
      <c r="Q653" s="64" t="n">
        <f aca="false">INDEX(Datos_Origen!$J$2:$J$2459,$Z653)</f>
        <v>35.43</v>
      </c>
      <c r="R653" s="65" t="n">
        <f aca="false">ROUND($O653*$P653,2)</f>
        <v>1274</v>
      </c>
      <c r="S653" s="65" t="n">
        <f aca="false">ROUND($O653*$Q653,2)</f>
        <v>708.6</v>
      </c>
      <c r="T653" s="65" t="n">
        <f aca="false">ROUND($R653*SUMIFS(Parametros!$E$28:$E$43,Parametros!$B$28:$B$43,$J653,Parametros!$C$28:$C$43,$C653,Parametros!$D$28:$D$43,$D653),2)</f>
        <v>58.6</v>
      </c>
      <c r="U653" s="65" t="n">
        <f aca="false">$R653-$S653-$T653</f>
        <v>506.8</v>
      </c>
      <c r="V653" s="66" t="n">
        <f aca="false">IFERROR($U653/$R653,0)</f>
        <v>0.397802197802198</v>
      </c>
      <c r="W653" s="67" t="str">
        <f aca="false">IF(AND($V653&gt;=Parametros!$C$8,$R653&gt;=Parametros!$C$12),"Alta rentabilidad",IF(OR($V653&lt;Parametros!$C$11,$R653&lt;Parametros!$C$13),"Revisar","Estandar"))</f>
        <v>Estandar</v>
      </c>
      <c r="X653" s="67" t="str">
        <f aca="false">IF(AND($J653="E-commerce",IFERROR($T653/$R653,0)&gt;Parametros!$C$14),"Alerta","OK")</f>
        <v>OK</v>
      </c>
      <c r="Y653" s="61" t="str">
        <f aca="false">IF($R653&gt;=Parametros!$C$12,"Alto",IF($R653&lt;Parametros!$C$13,"Bajo","Medio"))</f>
        <v>Medio</v>
      </c>
      <c r="Z653" s="61" t="n">
        <v>2367</v>
      </c>
      <c r="AA653" s="61" t="str">
        <f aca="false">IF(MATCH($A653,Datos_Origen!$A$2:$A$2459,0)=$Z653,"OK","REVISAR")</f>
        <v>OK</v>
      </c>
      <c r="AB653" s="62" t="n">
        <f aca="false">INDEX(Datos_Origen!$B$2:$B$2459,$Z653)</f>
        <v>45475</v>
      </c>
      <c r="AC653" s="61" t="str">
        <f aca="false">INDEX(Datos_Origen!$H$2:$H$2459,$Z653)</f>
        <v>20</v>
      </c>
      <c r="AD653" s="61" t="str">
        <f aca="false">INDEX(Datos_Origen!$D$2:$D$2459,$Z653)&amp;""</f>
        <v>Rosario</v>
      </c>
    </row>
    <row r="654" customFormat="false" ht="15" hidden="false" customHeight="false" outlineLevel="0" collapsed="false">
      <c r="A654" s="61" t="n">
        <f aca="false">INDEX(Datos_Origen!$A$2:$A$2459,$Z654)</f>
        <v>653</v>
      </c>
      <c r="B654" s="62" t="n">
        <f aca="false">IF(ISNUMBER($AB654),$AB654,IF(MID($AB654,5,1)="-",DATE(VALUE(LEFT($AB654,4)),VALUE(MID($AB654,6,2)),VALUE(RIGHT($AB654,2))),DATE(VALUE(RIGHT($AB654,4)),VALUE(MID($AB654,4,2)),VALUE(LEFT($AB654,2)))))</f>
        <v>45482</v>
      </c>
      <c r="C654" s="61" t="n">
        <f aca="false">YEAR($B654)</f>
        <v>2024</v>
      </c>
      <c r="D654" s="61" t="str">
        <f aca="false">"Q"&amp;ROUNDUP(MONTH($B654)/3,0)</f>
        <v>Q3</v>
      </c>
      <c r="E654" s="61" t="n">
        <f aca="false">MONTH($B654)</f>
        <v>7</v>
      </c>
      <c r="F654" s="61" t="str">
        <f aca="false">INDEX(Parametros!$I$5:$I$16,$E654)</f>
        <v>Jul</v>
      </c>
      <c r="G654" s="61" t="str">
        <f aca="false">TEXT($C654,"0000")&amp;"-"&amp;TEXT($E654,"00")</f>
        <v>2024-07</v>
      </c>
      <c r="H654" s="61" t="str">
        <f aca="false">INDEX(Parametros!$C$71:$C$91,MATCH(TRIM(INDEX(Datos_Origen!$C$2:$C$2459,$Z654)),Parametros!$B$71:$B$91,0))</f>
        <v>Litoral</v>
      </c>
      <c r="I654" s="61" t="str">
        <f aca="false">IF(TRIM($AD654)="",INDEX(Parametros!$I$20:$I$24,MATCH($H654,Parametros!$H$20:$H$24,0)),TRIM($AD654))</f>
        <v>Rosario</v>
      </c>
      <c r="J654" s="61" t="str">
        <f aca="false">INDEX(Parametros!$C$95:$C$106,MATCH(TRIM(INDEX(Datos_Origen!$E$2:$E$2459,$Z654)),Parametros!$B$95:$B$106,0))</f>
        <v>Tienda fisica</v>
      </c>
      <c r="K654" s="61" t="str">
        <f aca="false">INDEX(Parametros!$C$48:$C$67,MATCH(TRIM(INDEX(Datos_Origen!$F$2:$F$2459,$Z654)),Parametros!$B$48:$B$67,0))</f>
        <v>Audio</v>
      </c>
      <c r="L654" s="61" t="str">
        <f aca="false">$K654&amp;" "&amp;$C654</f>
        <v>Audio 2024</v>
      </c>
      <c r="M654" s="61" t="str">
        <f aca="false">TRIM(INDEX(Datos_Origen!$G$2:$G$2459,$Z654))</f>
        <v>Auriculares BT Pro</v>
      </c>
      <c r="N654" s="61" t="str">
        <f aca="false">$M654&amp;" "&amp;$C654</f>
        <v>Auriculares BT Pro 2024</v>
      </c>
      <c r="O654" s="63" t="n">
        <f aca="false">IF(ISTEXT($AC654),VALUE($AC654),$AC654)</f>
        <v>17</v>
      </c>
      <c r="P654" s="64" t="n">
        <f aca="false">INDEX(Datos_Origen!$I$2:$I$2459,$Z654)</f>
        <v>117.6</v>
      </c>
      <c r="Q654" s="64" t="n">
        <f aca="false">INDEX(Datos_Origen!$J$2:$J$2459,$Z654)</f>
        <v>63.6</v>
      </c>
      <c r="R654" s="65" t="n">
        <f aca="false">ROUND($O654*$P654,2)</f>
        <v>1999.2</v>
      </c>
      <c r="S654" s="65" t="n">
        <f aca="false">ROUND($O654*$Q654,2)</f>
        <v>1081.2</v>
      </c>
      <c r="T654" s="65" t="n">
        <f aca="false">ROUND($R654*SUMIFS(Parametros!$E$28:$E$43,Parametros!$B$28:$B$43,$J654,Parametros!$C$28:$C$43,$C654,Parametros!$D$28:$D$43,$D654),2)</f>
        <v>25.99</v>
      </c>
      <c r="U654" s="65" t="n">
        <f aca="false">$R654-$S654-$T654</f>
        <v>892.01</v>
      </c>
      <c r="V654" s="66" t="n">
        <f aca="false">IFERROR($U654/$R654,0)</f>
        <v>0.446183473389356</v>
      </c>
      <c r="W654" s="67" t="str">
        <f aca="false">IF(AND($V654&gt;=Parametros!$C$8,$R654&gt;=Parametros!$C$12),"Alta rentabilidad",IF(OR($V654&lt;Parametros!$C$11,$R654&lt;Parametros!$C$13),"Revisar","Estandar"))</f>
        <v>Estandar</v>
      </c>
      <c r="X654" s="67" t="str">
        <f aca="false">IF(AND($J654="E-commerce",IFERROR($T654/$R654,0)&gt;Parametros!$C$14),"Alerta","OK")</f>
        <v>OK</v>
      </c>
      <c r="Y654" s="61" t="str">
        <f aca="false">IF($R654&gt;=Parametros!$C$12,"Alto",IF($R654&lt;Parametros!$C$13,"Bajo","Medio"))</f>
        <v>Medio</v>
      </c>
      <c r="Z654" s="61" t="n">
        <v>124</v>
      </c>
      <c r="AA654" s="61" t="str">
        <f aca="false">IF(MATCH($A654,Datos_Origen!$A$2:$A$2459,0)=$Z654,"OK","REVISAR")</f>
        <v>OK</v>
      </c>
      <c r="AB654" s="62" t="n">
        <f aca="false">INDEX(Datos_Origen!$B$2:$B$2459,$Z654)</f>
        <v>45482</v>
      </c>
      <c r="AC654" s="61" t="n">
        <f aca="false">INDEX(Datos_Origen!$H$2:$H$2459,$Z654)</f>
        <v>17</v>
      </c>
      <c r="AD654" s="61" t="str">
        <f aca="false">INDEX(Datos_Origen!$D$2:$D$2459,$Z654)&amp;""</f>
        <v>Rosario</v>
      </c>
    </row>
    <row r="655" customFormat="false" ht="15" hidden="false" customHeight="false" outlineLevel="0" collapsed="false">
      <c r="A655" s="61" t="n">
        <f aca="false">INDEX(Datos_Origen!$A$2:$A$2459,$Z655)</f>
        <v>654</v>
      </c>
      <c r="B655" s="62" t="n">
        <f aca="false">IF(ISNUMBER($AB655),$AB655,IF(MID($AB655,5,1)="-",DATE(VALUE(LEFT($AB655,4)),VALUE(MID($AB655,6,2)),VALUE(RIGHT($AB655,2))),DATE(VALUE(RIGHT($AB655,4)),VALUE(MID($AB655,4,2)),VALUE(LEFT($AB655,2)))))</f>
        <v>45489</v>
      </c>
      <c r="C655" s="61" t="n">
        <f aca="false">YEAR($B655)</f>
        <v>2024</v>
      </c>
      <c r="D655" s="61" t="str">
        <f aca="false">"Q"&amp;ROUNDUP(MONTH($B655)/3,0)</f>
        <v>Q3</v>
      </c>
      <c r="E655" s="61" t="n">
        <f aca="false">MONTH($B655)</f>
        <v>7</v>
      </c>
      <c r="F655" s="61" t="str">
        <f aca="false">INDEX(Parametros!$I$5:$I$16,$E655)</f>
        <v>Jul</v>
      </c>
      <c r="G655" s="61" t="str">
        <f aca="false">TEXT($C655,"0000")&amp;"-"&amp;TEXT($E655,"00")</f>
        <v>2024-07</v>
      </c>
      <c r="H655" s="61" t="str">
        <f aca="false">INDEX(Parametros!$C$71:$C$91,MATCH(TRIM(INDEX(Datos_Origen!$C$2:$C$2459,$Z655)),Parametros!$B$71:$B$91,0))</f>
        <v>Litoral</v>
      </c>
      <c r="I655" s="61" t="str">
        <f aca="false">IF(TRIM($AD655)="",INDEX(Parametros!$I$20:$I$24,MATCH($H655,Parametros!$H$20:$H$24,0)),TRIM($AD655))</f>
        <v>Rosario</v>
      </c>
      <c r="J655" s="61" t="str">
        <f aca="false">INDEX(Parametros!$C$95:$C$106,MATCH(TRIM(INDEX(Datos_Origen!$E$2:$E$2459,$Z655)),Parametros!$B$95:$B$106,0))</f>
        <v>E-commerce</v>
      </c>
      <c r="K655" s="61" t="str">
        <f aca="false">INDEX(Parametros!$C$48:$C$67,MATCH(TRIM(INDEX(Datos_Origen!$F$2:$F$2459,$Z655)),Parametros!$B$48:$B$67,0))</f>
        <v>Audio</v>
      </c>
      <c r="L655" s="61" t="str">
        <f aca="false">$K655&amp;" "&amp;$C655</f>
        <v>Audio 2024</v>
      </c>
      <c r="M655" s="61" t="str">
        <f aca="false">TRIM(INDEX(Datos_Origen!$G$2:$G$2459,$Z655))</f>
        <v>Auriculares BT Pro</v>
      </c>
      <c r="N655" s="61" t="str">
        <f aca="false">$M655&amp;" "&amp;$C655</f>
        <v>Auriculares BT Pro 2024</v>
      </c>
      <c r="O655" s="63" t="n">
        <f aca="false">IF(ISTEXT($AC655),VALUE($AC655),$AC655)</f>
        <v>8</v>
      </c>
      <c r="P655" s="64" t="n">
        <f aca="false">INDEX(Datos_Origen!$I$2:$I$2459,$Z655)</f>
        <v>117.6</v>
      </c>
      <c r="Q655" s="64" t="n">
        <f aca="false">INDEX(Datos_Origen!$J$2:$J$2459,$Z655)</f>
        <v>63.6</v>
      </c>
      <c r="R655" s="65" t="n">
        <f aca="false">ROUND($O655*$P655,2)</f>
        <v>940.8</v>
      </c>
      <c r="S655" s="65" t="n">
        <f aca="false">ROUND($O655*$Q655,2)</f>
        <v>508.8</v>
      </c>
      <c r="T655" s="65" t="n">
        <f aca="false">ROUND($R655*SUMIFS(Parametros!$E$28:$E$43,Parametros!$B$28:$B$43,$J655,Parametros!$C$28:$C$43,$C655,Parametros!$D$28:$D$43,$D655),2)</f>
        <v>43.28</v>
      </c>
      <c r="U655" s="65" t="n">
        <f aca="false">$R655-$S655-$T655</f>
        <v>388.72</v>
      </c>
      <c r="V655" s="66" t="n">
        <f aca="false">IFERROR($U655/$R655,0)</f>
        <v>0.413180272108843</v>
      </c>
      <c r="W655" s="67" t="str">
        <f aca="false">IF(AND($V655&gt;=Parametros!$C$8,$R655&gt;=Parametros!$C$12),"Alta rentabilidad",IF(OR($V655&lt;Parametros!$C$11,$R655&lt;Parametros!$C$13),"Revisar","Estandar"))</f>
        <v>Estandar</v>
      </c>
      <c r="X655" s="67" t="str">
        <f aca="false">IF(AND($J655="E-commerce",IFERROR($T655/$R655,0)&gt;Parametros!$C$14),"Alerta","OK")</f>
        <v>OK</v>
      </c>
      <c r="Y655" s="61" t="str">
        <f aca="false">IF($R655&gt;=Parametros!$C$12,"Alto",IF($R655&lt;Parametros!$C$13,"Bajo","Medio"))</f>
        <v>Medio</v>
      </c>
      <c r="Z655" s="61" t="n">
        <v>2413</v>
      </c>
      <c r="AA655" s="61" t="str">
        <f aca="false">IF(MATCH($A655,Datos_Origen!$A$2:$A$2459,0)=$Z655,"OK","REVISAR")</f>
        <v>OK</v>
      </c>
      <c r="AB655" s="62" t="n">
        <f aca="false">INDEX(Datos_Origen!$B$2:$B$2459,$Z655)</f>
        <v>45489</v>
      </c>
      <c r="AC655" s="61" t="n">
        <f aca="false">INDEX(Datos_Origen!$H$2:$H$2459,$Z655)</f>
        <v>8</v>
      </c>
      <c r="AD655" s="61" t="str">
        <f aca="false">INDEX(Datos_Origen!$D$2:$D$2459,$Z655)&amp;""</f>
        <v>Rosario</v>
      </c>
    </row>
    <row r="656" customFormat="false" ht="15" hidden="false" customHeight="false" outlineLevel="0" collapsed="false">
      <c r="A656" s="61" t="n">
        <f aca="false">INDEX(Datos_Origen!$A$2:$A$2459,$Z656)</f>
        <v>655</v>
      </c>
      <c r="B656" s="62" t="n">
        <f aca="false">IF(ISNUMBER($AB656),$AB656,IF(MID($AB656,5,1)="-",DATE(VALUE(LEFT($AB656,4)),VALUE(MID($AB656,6,2)),VALUE(RIGHT($AB656,2))),DATE(VALUE(RIGHT($AB656,4)),VALUE(MID($AB656,4,2)),VALUE(LEFT($AB656,2)))))</f>
        <v>45496</v>
      </c>
      <c r="C656" s="61" t="n">
        <f aca="false">YEAR($B656)</f>
        <v>2024</v>
      </c>
      <c r="D656" s="61" t="str">
        <f aca="false">"Q"&amp;ROUNDUP(MONTH($B656)/3,0)</f>
        <v>Q3</v>
      </c>
      <c r="E656" s="61" t="n">
        <f aca="false">MONTH($B656)</f>
        <v>7</v>
      </c>
      <c r="F656" s="61" t="str">
        <f aca="false">INDEX(Parametros!$I$5:$I$16,$E656)</f>
        <v>Jul</v>
      </c>
      <c r="G656" s="61" t="str">
        <f aca="false">TEXT($C656,"0000")&amp;"-"&amp;TEXT($E656,"00")</f>
        <v>2024-07</v>
      </c>
      <c r="H656" s="61" t="str">
        <f aca="false">INDEX(Parametros!$C$71:$C$91,MATCH(TRIM(INDEX(Datos_Origen!$C$2:$C$2459,$Z656)),Parametros!$B$71:$B$91,0))</f>
        <v>Litoral</v>
      </c>
      <c r="I656" s="61" t="str">
        <f aca="false">IF(TRIM($AD656)="",INDEX(Parametros!$I$20:$I$24,MATCH($H656,Parametros!$H$20:$H$24,0)),TRIM($AD656))</f>
        <v>Rosario</v>
      </c>
      <c r="J656" s="61" t="str">
        <f aca="false">INDEX(Parametros!$C$95:$C$106,MATCH(TRIM(INDEX(Datos_Origen!$E$2:$E$2459,$Z656)),Parametros!$B$95:$B$106,0))</f>
        <v>Tienda fisica</v>
      </c>
      <c r="K656" s="61" t="str">
        <f aca="false">INDEX(Parametros!$C$48:$C$67,MATCH(TRIM(INDEX(Datos_Origen!$F$2:$F$2459,$Z656)),Parametros!$B$48:$B$67,0))</f>
        <v>Audio</v>
      </c>
      <c r="L656" s="61" t="str">
        <f aca="false">$K656&amp;" "&amp;$C656</f>
        <v>Audio 2024</v>
      </c>
      <c r="M656" s="61" t="str">
        <f aca="false">TRIM(INDEX(Datos_Origen!$G$2:$G$2459,$Z656))</f>
        <v>Parlante Bluetooth</v>
      </c>
      <c r="N656" s="61" t="str">
        <f aca="false">$M656&amp;" "&amp;$C656</f>
        <v>Parlante Bluetooth 2024</v>
      </c>
      <c r="O656" s="63" t="n">
        <f aca="false">IF(ISTEXT($AC656),VALUE($AC656),$AC656)</f>
        <v>22</v>
      </c>
      <c r="P656" s="64" t="n">
        <f aca="false">INDEX(Datos_Origen!$I$2:$I$2459,$Z656)</f>
        <v>83.3</v>
      </c>
      <c r="Q656" s="64" t="n">
        <f aca="false">INDEX(Datos_Origen!$J$2:$J$2459,$Z656)</f>
        <v>48.03</v>
      </c>
      <c r="R656" s="65" t="n">
        <f aca="false">ROUND($O656*$P656,2)</f>
        <v>1832.6</v>
      </c>
      <c r="S656" s="65" t="n">
        <f aca="false">ROUND($O656*$Q656,2)</f>
        <v>1056.66</v>
      </c>
      <c r="T656" s="65" t="n">
        <f aca="false">ROUND($R656*SUMIFS(Parametros!$E$28:$E$43,Parametros!$B$28:$B$43,$J656,Parametros!$C$28:$C$43,$C656,Parametros!$D$28:$D$43,$D656),2)</f>
        <v>23.82</v>
      </c>
      <c r="U656" s="65" t="n">
        <f aca="false">$R656-$S656-$T656</f>
        <v>752.12</v>
      </c>
      <c r="V656" s="66" t="n">
        <f aca="false">IFERROR($U656/$R656,0)</f>
        <v>0.410411437302194</v>
      </c>
      <c r="W656" s="67" t="str">
        <f aca="false">IF(AND($V656&gt;=Parametros!$C$8,$R656&gt;=Parametros!$C$12),"Alta rentabilidad",IF(OR($V656&lt;Parametros!$C$11,$R656&lt;Parametros!$C$13),"Revisar","Estandar"))</f>
        <v>Estandar</v>
      </c>
      <c r="X656" s="67" t="str">
        <f aca="false">IF(AND($J656="E-commerce",IFERROR($T656/$R656,0)&gt;Parametros!$C$14),"Alerta","OK")</f>
        <v>OK</v>
      </c>
      <c r="Y656" s="61" t="str">
        <f aca="false">IF($R656&gt;=Parametros!$C$12,"Alto",IF($R656&lt;Parametros!$C$13,"Bajo","Medio"))</f>
        <v>Medio</v>
      </c>
      <c r="Z656" s="61" t="n">
        <v>659</v>
      </c>
      <c r="AA656" s="61" t="str">
        <f aca="false">IF(MATCH($A656,Datos_Origen!$A$2:$A$2459,0)=$Z656,"OK","REVISAR")</f>
        <v>OK</v>
      </c>
      <c r="AB656" s="62" t="n">
        <f aca="false">INDEX(Datos_Origen!$B$2:$B$2459,$Z656)</f>
        <v>45496</v>
      </c>
      <c r="AC656" s="61" t="n">
        <f aca="false">INDEX(Datos_Origen!$H$2:$H$2459,$Z656)</f>
        <v>22</v>
      </c>
      <c r="AD656" s="61" t="str">
        <f aca="false">INDEX(Datos_Origen!$D$2:$D$2459,$Z656)&amp;""</f>
        <v>Rosario</v>
      </c>
    </row>
    <row r="657" customFormat="false" ht="15" hidden="false" customHeight="false" outlineLevel="0" collapsed="false">
      <c r="A657" s="61" t="n">
        <f aca="false">INDEX(Datos_Origen!$A$2:$A$2459,$Z657)</f>
        <v>656</v>
      </c>
      <c r="B657" s="62" t="n">
        <f aca="false">IF(ISNUMBER($AB657),$AB657,IF(MID($AB657,5,1)="-",DATE(VALUE(LEFT($AB657,4)),VALUE(MID($AB657,6,2)),VALUE(RIGHT($AB657,2))),DATE(VALUE(RIGHT($AB657,4)),VALUE(MID($AB657,4,2)),VALUE(LEFT($AB657,2)))))</f>
        <v>45476</v>
      </c>
      <c r="C657" s="61" t="n">
        <f aca="false">YEAR($B657)</f>
        <v>2024</v>
      </c>
      <c r="D657" s="61" t="str">
        <f aca="false">"Q"&amp;ROUNDUP(MONTH($B657)/3,0)</f>
        <v>Q3</v>
      </c>
      <c r="E657" s="61" t="n">
        <f aca="false">MONTH($B657)</f>
        <v>7</v>
      </c>
      <c r="F657" s="61" t="str">
        <f aca="false">INDEX(Parametros!$I$5:$I$16,$E657)</f>
        <v>Jul</v>
      </c>
      <c r="G657" s="61" t="str">
        <f aca="false">TEXT($C657,"0000")&amp;"-"&amp;TEXT($E657,"00")</f>
        <v>2024-07</v>
      </c>
      <c r="H657" s="61" t="str">
        <f aca="false">INDEX(Parametros!$C$71:$C$91,MATCH(TRIM(INDEX(Datos_Origen!$C$2:$C$2459,$Z657)),Parametros!$B$71:$B$91,0))</f>
        <v>Litoral</v>
      </c>
      <c r="I657" s="61" t="str">
        <f aca="false">IF(TRIM($AD657)="",INDEX(Parametros!$I$20:$I$24,MATCH($H657,Parametros!$H$20:$H$24,0)),TRIM($AD657))</f>
        <v>Rosario</v>
      </c>
      <c r="J657" s="61" t="str">
        <f aca="false">INDEX(Parametros!$C$95:$C$106,MATCH(TRIM(INDEX(Datos_Origen!$E$2:$E$2459,$Z657)),Parametros!$B$95:$B$106,0))</f>
        <v>E-commerce</v>
      </c>
      <c r="K657" s="61" t="str">
        <f aca="false">INDEX(Parametros!$C$48:$C$67,MATCH(TRIM(INDEX(Datos_Origen!$F$2:$F$2459,$Z657)),Parametros!$B$48:$B$67,0))</f>
        <v>Audio</v>
      </c>
      <c r="L657" s="61" t="str">
        <f aca="false">$K657&amp;" "&amp;$C657</f>
        <v>Audio 2024</v>
      </c>
      <c r="M657" s="61" t="str">
        <f aca="false">TRIM(INDEX(Datos_Origen!$G$2:$G$2459,$Z657))</f>
        <v>Parlante Bluetooth</v>
      </c>
      <c r="N657" s="61" t="str">
        <f aca="false">$M657&amp;" "&amp;$C657</f>
        <v>Parlante Bluetooth 2024</v>
      </c>
      <c r="O657" s="63" t="n">
        <f aca="false">IF(ISTEXT($AC657),VALUE($AC657),$AC657)</f>
        <v>8</v>
      </c>
      <c r="P657" s="64" t="n">
        <f aca="false">INDEX(Datos_Origen!$I$2:$I$2459,$Z657)</f>
        <v>83.3</v>
      </c>
      <c r="Q657" s="64" t="n">
        <f aca="false">INDEX(Datos_Origen!$J$2:$J$2459,$Z657)</f>
        <v>48.03</v>
      </c>
      <c r="R657" s="65" t="n">
        <f aca="false">ROUND($O657*$P657,2)</f>
        <v>666.4</v>
      </c>
      <c r="S657" s="65" t="n">
        <f aca="false">ROUND($O657*$Q657,2)</f>
        <v>384.24</v>
      </c>
      <c r="T657" s="65" t="n">
        <f aca="false">ROUND($R657*SUMIFS(Parametros!$E$28:$E$43,Parametros!$B$28:$B$43,$J657,Parametros!$C$28:$C$43,$C657,Parametros!$D$28:$D$43,$D657),2)</f>
        <v>30.65</v>
      </c>
      <c r="U657" s="65" t="n">
        <f aca="false">$R657-$S657-$T657</f>
        <v>251.51</v>
      </c>
      <c r="V657" s="66" t="n">
        <f aca="false">IFERROR($U657/$R657,0)</f>
        <v>0.377415966386555</v>
      </c>
      <c r="W657" s="67" t="str">
        <f aca="false">IF(AND($V657&gt;=Parametros!$C$8,$R657&gt;=Parametros!$C$12),"Alta rentabilidad",IF(OR($V657&lt;Parametros!$C$11,$R657&lt;Parametros!$C$13),"Revisar","Estandar"))</f>
        <v>Estandar</v>
      </c>
      <c r="X657" s="67" t="str">
        <f aca="false">IF(AND($J657="E-commerce",IFERROR($T657/$R657,0)&gt;Parametros!$C$14),"Alerta","OK")</f>
        <v>OK</v>
      </c>
      <c r="Y657" s="61" t="str">
        <f aca="false">IF($R657&gt;=Parametros!$C$12,"Alto",IF($R657&lt;Parametros!$C$13,"Bajo","Medio"))</f>
        <v>Medio</v>
      </c>
      <c r="Z657" s="61" t="n">
        <v>1282</v>
      </c>
      <c r="AA657" s="61" t="str">
        <f aca="false">IF(MATCH($A657,Datos_Origen!$A$2:$A$2459,0)=$Z657,"OK","REVISAR")</f>
        <v>OK</v>
      </c>
      <c r="AB657" s="62" t="n">
        <f aca="false">INDEX(Datos_Origen!$B$2:$B$2459,$Z657)</f>
        <v>45476</v>
      </c>
      <c r="AC657" s="61" t="n">
        <f aca="false">INDEX(Datos_Origen!$H$2:$H$2459,$Z657)</f>
        <v>8</v>
      </c>
      <c r="AD657" s="61" t="str">
        <f aca="false">INDEX(Datos_Origen!$D$2:$D$2459,$Z657)&amp;""</f>
        <v>Rosario</v>
      </c>
    </row>
    <row r="658" customFormat="false" ht="15" hidden="false" customHeight="false" outlineLevel="0" collapsed="false">
      <c r="A658" s="61" t="n">
        <f aca="false">INDEX(Datos_Origen!$A$2:$A$2459,$Z658)</f>
        <v>657</v>
      </c>
      <c r="B658" s="62" t="n">
        <f aca="false">IF(ISNUMBER($AB658),$AB658,IF(MID($AB658,5,1)="-",DATE(VALUE(LEFT($AB658,4)),VALUE(MID($AB658,6,2)),VALUE(RIGHT($AB658,2))),DATE(VALUE(RIGHT($AB658,4)),VALUE(MID($AB658,4,2)),VALUE(LEFT($AB658,2)))))</f>
        <v>45483</v>
      </c>
      <c r="C658" s="61" t="n">
        <f aca="false">YEAR($B658)</f>
        <v>2024</v>
      </c>
      <c r="D658" s="61" t="str">
        <f aca="false">"Q"&amp;ROUNDUP(MONTH($B658)/3,0)</f>
        <v>Q3</v>
      </c>
      <c r="E658" s="61" t="n">
        <f aca="false">MONTH($B658)</f>
        <v>7</v>
      </c>
      <c r="F658" s="61" t="str">
        <f aca="false">INDEX(Parametros!$I$5:$I$16,$E658)</f>
        <v>Jul</v>
      </c>
      <c r="G658" s="61" t="str">
        <f aca="false">TEXT($C658,"0000")&amp;"-"&amp;TEXT($E658,"00")</f>
        <v>2024-07</v>
      </c>
      <c r="H658" s="61" t="str">
        <f aca="false">INDEX(Parametros!$C$71:$C$91,MATCH(TRIM(INDEX(Datos_Origen!$C$2:$C$2459,$Z658)),Parametros!$B$71:$B$91,0))</f>
        <v>Litoral</v>
      </c>
      <c r="I658" s="61" t="str">
        <f aca="false">IF(TRIM($AD658)="",INDEX(Parametros!$I$20:$I$24,MATCH($H658,Parametros!$H$20:$H$24,0)),TRIM($AD658))</f>
        <v>Rosario</v>
      </c>
      <c r="J658" s="61" t="str">
        <f aca="false">INDEX(Parametros!$C$95:$C$106,MATCH(TRIM(INDEX(Datos_Origen!$E$2:$E$2459,$Z658)),Parametros!$B$95:$B$106,0))</f>
        <v>Tienda fisica</v>
      </c>
      <c r="K658" s="61" t="str">
        <f aca="false">INDEX(Parametros!$C$48:$C$67,MATCH(TRIM(INDEX(Datos_Origen!$F$2:$F$2459,$Z658)),Parametros!$B$48:$B$67,0))</f>
        <v>Almacenamiento</v>
      </c>
      <c r="L658" s="61" t="str">
        <f aca="false">$K658&amp;" "&amp;$C658</f>
        <v>Almacenamiento 2024</v>
      </c>
      <c r="M658" s="61" t="str">
        <f aca="false">TRIM(INDEX(Datos_Origen!$G$2:$G$2459,$Z658))</f>
        <v>SSD Externo 1TB</v>
      </c>
      <c r="N658" s="61" t="str">
        <f aca="false">$M658&amp;" "&amp;$C658</f>
        <v>SSD Externo 1TB 2024</v>
      </c>
      <c r="O658" s="63" t="n">
        <f aca="false">IF(ISTEXT($AC658),VALUE($AC658),$AC658)</f>
        <v>31</v>
      </c>
      <c r="P658" s="64" t="n">
        <f aca="false">INDEX(Datos_Origen!$I$2:$I$2459,$Z658)</f>
        <v>127.4</v>
      </c>
      <c r="Q658" s="64" t="n">
        <f aca="false">INDEX(Datos_Origen!$J$2:$J$2459,$Z658)</f>
        <v>76.05</v>
      </c>
      <c r="R658" s="65" t="n">
        <f aca="false">ROUND($O658*$P658,2)</f>
        <v>3949.4</v>
      </c>
      <c r="S658" s="65" t="n">
        <f aca="false">ROUND($O658*$Q658,2)</f>
        <v>2357.55</v>
      </c>
      <c r="T658" s="65" t="n">
        <f aca="false">ROUND($R658*SUMIFS(Parametros!$E$28:$E$43,Parametros!$B$28:$B$43,$J658,Parametros!$C$28:$C$43,$C658,Parametros!$D$28:$D$43,$D658),2)</f>
        <v>51.34</v>
      </c>
      <c r="U658" s="65" t="n">
        <f aca="false">$R658-$S658-$T658</f>
        <v>1540.51</v>
      </c>
      <c r="V658" s="66" t="n">
        <f aca="false">IFERROR($U658/$R658,0)</f>
        <v>0.390061781536436</v>
      </c>
      <c r="W658" s="67" t="str">
        <f aca="false">IF(AND($V658&gt;=Parametros!$C$8,$R658&gt;=Parametros!$C$12),"Alta rentabilidad",IF(OR($V658&lt;Parametros!$C$11,$R658&lt;Parametros!$C$13),"Revisar","Estandar"))</f>
        <v>Alta rentabilidad</v>
      </c>
      <c r="X658" s="67" t="str">
        <f aca="false">IF(AND($J658="E-commerce",IFERROR($T658/$R658,0)&gt;Parametros!$C$14),"Alerta","OK")</f>
        <v>OK</v>
      </c>
      <c r="Y658" s="61" t="str">
        <f aca="false">IF($R658&gt;=Parametros!$C$12,"Alto",IF($R658&lt;Parametros!$C$13,"Bajo","Medio"))</f>
        <v>Alto</v>
      </c>
      <c r="Z658" s="61" t="n">
        <v>104</v>
      </c>
      <c r="AA658" s="61" t="str">
        <f aca="false">IF(MATCH($A658,Datos_Origen!$A$2:$A$2459,0)=$Z658,"OK","REVISAR")</f>
        <v>OK</v>
      </c>
      <c r="AB658" s="61" t="str">
        <f aca="false">INDEX(Datos_Origen!$B$2:$B$2459,$Z658)</f>
        <v>2024-07-10</v>
      </c>
      <c r="AC658" s="61" t="str">
        <f aca="false">INDEX(Datos_Origen!$H$2:$H$2459,$Z658)</f>
        <v>31</v>
      </c>
      <c r="AD658" s="61" t="str">
        <f aca="false">INDEX(Datos_Origen!$D$2:$D$2459,$Z658)&amp;""</f>
        <v>Rosario</v>
      </c>
    </row>
    <row r="659" customFormat="false" ht="15" hidden="false" customHeight="false" outlineLevel="0" collapsed="false">
      <c r="A659" s="61" t="n">
        <f aca="false">INDEX(Datos_Origen!$A$2:$A$2459,$Z659)</f>
        <v>658</v>
      </c>
      <c r="B659" s="62" t="n">
        <f aca="false">IF(ISNUMBER($AB659),$AB659,IF(MID($AB659,5,1)="-",DATE(VALUE(LEFT($AB659,4)),VALUE(MID($AB659,6,2)),VALUE(RIGHT($AB659,2))),DATE(VALUE(RIGHT($AB659,4)),VALUE(MID($AB659,4,2)),VALUE(LEFT($AB659,2)))))</f>
        <v>45490</v>
      </c>
      <c r="C659" s="61" t="n">
        <f aca="false">YEAR($B659)</f>
        <v>2024</v>
      </c>
      <c r="D659" s="61" t="str">
        <f aca="false">"Q"&amp;ROUNDUP(MONTH($B659)/3,0)</f>
        <v>Q3</v>
      </c>
      <c r="E659" s="61" t="n">
        <f aca="false">MONTH($B659)</f>
        <v>7</v>
      </c>
      <c r="F659" s="61" t="str">
        <f aca="false">INDEX(Parametros!$I$5:$I$16,$E659)</f>
        <v>Jul</v>
      </c>
      <c r="G659" s="61" t="str">
        <f aca="false">TEXT($C659,"0000")&amp;"-"&amp;TEXT($E659,"00")</f>
        <v>2024-07</v>
      </c>
      <c r="H659" s="61" t="str">
        <f aca="false">INDEX(Parametros!$C$71:$C$91,MATCH(TRIM(INDEX(Datos_Origen!$C$2:$C$2459,$Z659)),Parametros!$B$71:$B$91,0))</f>
        <v>Litoral</v>
      </c>
      <c r="I659" s="61" t="str">
        <f aca="false">IF(TRIM($AD659)="",INDEX(Parametros!$I$20:$I$24,MATCH($H659,Parametros!$H$20:$H$24,0)),TRIM($AD659))</f>
        <v>Rosario</v>
      </c>
      <c r="J659" s="61" t="str">
        <f aca="false">INDEX(Parametros!$C$95:$C$106,MATCH(TRIM(INDEX(Datos_Origen!$E$2:$E$2459,$Z659)),Parametros!$B$95:$B$106,0))</f>
        <v>E-commerce</v>
      </c>
      <c r="K659" s="61" t="str">
        <f aca="false">INDEX(Parametros!$C$48:$C$67,MATCH(TRIM(INDEX(Datos_Origen!$F$2:$F$2459,$Z659)),Parametros!$B$48:$B$67,0))</f>
        <v>Almacenamiento</v>
      </c>
      <c r="L659" s="61" t="str">
        <f aca="false">$K659&amp;" "&amp;$C659</f>
        <v>Almacenamiento 2024</v>
      </c>
      <c r="M659" s="61" t="str">
        <f aca="false">TRIM(INDEX(Datos_Origen!$G$2:$G$2459,$Z659))</f>
        <v>SSD Externo 1TB</v>
      </c>
      <c r="N659" s="61" t="str">
        <f aca="false">$M659&amp;" "&amp;$C659</f>
        <v>SSD Externo 1TB 2024</v>
      </c>
      <c r="O659" s="63" t="n">
        <f aca="false">IF(ISTEXT($AC659),VALUE($AC659),$AC659)</f>
        <v>11</v>
      </c>
      <c r="P659" s="64" t="n">
        <f aca="false">INDEX(Datos_Origen!$I$2:$I$2459,$Z659)</f>
        <v>127.4</v>
      </c>
      <c r="Q659" s="64" t="n">
        <f aca="false">INDEX(Datos_Origen!$J$2:$J$2459,$Z659)</f>
        <v>76.05</v>
      </c>
      <c r="R659" s="65" t="n">
        <f aca="false">ROUND($O659*$P659,2)</f>
        <v>1401.4</v>
      </c>
      <c r="S659" s="65" t="n">
        <f aca="false">ROUND($O659*$Q659,2)</f>
        <v>836.55</v>
      </c>
      <c r="T659" s="65" t="n">
        <f aca="false">ROUND($R659*SUMIFS(Parametros!$E$28:$E$43,Parametros!$B$28:$B$43,$J659,Parametros!$C$28:$C$43,$C659,Parametros!$D$28:$D$43,$D659),2)</f>
        <v>64.46</v>
      </c>
      <c r="U659" s="65" t="n">
        <f aca="false">$R659-$S659-$T659</f>
        <v>500.39</v>
      </c>
      <c r="V659" s="66" t="n">
        <f aca="false">IFERROR($U659/$R659,0)</f>
        <v>0.357064364207221</v>
      </c>
      <c r="W659" s="67" t="str">
        <f aca="false">IF(AND($V659&gt;=Parametros!$C$8,$R659&gt;=Parametros!$C$12),"Alta rentabilidad",IF(OR($V659&lt;Parametros!$C$11,$R659&lt;Parametros!$C$13),"Revisar","Estandar"))</f>
        <v>Estandar</v>
      </c>
      <c r="X659" s="67" t="str">
        <f aca="false">IF(AND($J659="E-commerce",IFERROR($T659/$R659,0)&gt;Parametros!$C$14),"Alerta","OK")</f>
        <v>OK</v>
      </c>
      <c r="Y659" s="61" t="str">
        <f aca="false">IF($R659&gt;=Parametros!$C$12,"Alto",IF($R659&lt;Parametros!$C$13,"Bajo","Medio"))</f>
        <v>Medio</v>
      </c>
      <c r="Z659" s="61" t="n">
        <v>574</v>
      </c>
      <c r="AA659" s="61" t="str">
        <f aca="false">IF(MATCH($A659,Datos_Origen!$A$2:$A$2459,0)=$Z659,"OK","REVISAR")</f>
        <v>OK</v>
      </c>
      <c r="AB659" s="61" t="str">
        <f aca="false">INDEX(Datos_Origen!$B$2:$B$2459,$Z659)</f>
        <v>17/07/2024</v>
      </c>
      <c r="AC659" s="61" t="n">
        <f aca="false">INDEX(Datos_Origen!$H$2:$H$2459,$Z659)</f>
        <v>11</v>
      </c>
      <c r="AD659" s="61" t="str">
        <f aca="false">INDEX(Datos_Origen!$D$2:$D$2459,$Z659)&amp;""</f>
        <v>Rosario</v>
      </c>
    </row>
    <row r="660" customFormat="false" ht="15" hidden="false" customHeight="false" outlineLevel="0" collapsed="false">
      <c r="A660" s="61" t="n">
        <f aca="false">INDEX(Datos_Origen!$A$2:$A$2459,$Z660)</f>
        <v>659</v>
      </c>
      <c r="B660" s="62" t="n">
        <f aca="false">IF(ISNUMBER($AB660),$AB660,IF(MID($AB660,5,1)="-",DATE(VALUE(LEFT($AB660,4)),VALUE(MID($AB660,6,2)),VALUE(RIGHT($AB660,2))),DATE(VALUE(RIGHT($AB660,4)),VALUE(MID($AB660,4,2)),VALUE(LEFT($AB660,2)))))</f>
        <v>45497</v>
      </c>
      <c r="C660" s="61" t="n">
        <f aca="false">YEAR($B660)</f>
        <v>2024</v>
      </c>
      <c r="D660" s="61" t="str">
        <f aca="false">"Q"&amp;ROUNDUP(MONTH($B660)/3,0)</f>
        <v>Q3</v>
      </c>
      <c r="E660" s="61" t="n">
        <f aca="false">MONTH($B660)</f>
        <v>7</v>
      </c>
      <c r="F660" s="61" t="str">
        <f aca="false">INDEX(Parametros!$I$5:$I$16,$E660)</f>
        <v>Jul</v>
      </c>
      <c r="G660" s="61" t="str">
        <f aca="false">TEXT($C660,"0000")&amp;"-"&amp;TEXT($E660,"00")</f>
        <v>2024-07</v>
      </c>
      <c r="H660" s="61" t="str">
        <f aca="false">INDEX(Parametros!$C$71:$C$91,MATCH(TRIM(INDEX(Datos_Origen!$C$2:$C$2459,$Z660)),Parametros!$B$71:$B$91,0))</f>
        <v>Litoral</v>
      </c>
      <c r="I660" s="61" t="str">
        <f aca="false">IF(TRIM($AD660)="",INDEX(Parametros!$I$20:$I$24,MATCH($H660,Parametros!$H$20:$H$24,0)),TRIM($AD660))</f>
        <v>Rosario</v>
      </c>
      <c r="J660" s="61" t="str">
        <f aca="false">INDEX(Parametros!$C$95:$C$106,MATCH(TRIM(INDEX(Datos_Origen!$E$2:$E$2459,$Z660)),Parametros!$B$95:$B$106,0))</f>
        <v>Tienda fisica</v>
      </c>
      <c r="K660" s="61" t="str">
        <f aca="false">INDEX(Parametros!$C$48:$C$67,MATCH(TRIM(INDEX(Datos_Origen!$F$2:$F$2459,$Z660)),Parametros!$B$48:$B$67,0))</f>
        <v>Almacenamiento</v>
      </c>
      <c r="L660" s="61" t="str">
        <f aca="false">$K660&amp;" "&amp;$C660</f>
        <v>Almacenamiento 2024</v>
      </c>
      <c r="M660" s="61" t="str">
        <f aca="false">TRIM(INDEX(Datos_Origen!$G$2:$G$2459,$Z660))</f>
        <v>Pendrive 256GB</v>
      </c>
      <c r="N660" s="61" t="str">
        <f aca="false">$M660&amp;" "&amp;$C660</f>
        <v>Pendrive 256GB 2024</v>
      </c>
      <c r="O660" s="63" t="n">
        <f aca="false">IF(ISTEXT($AC660),VALUE($AC660),$AC660)</f>
        <v>27</v>
      </c>
      <c r="P660" s="64" t="n">
        <f aca="false">INDEX(Datos_Origen!$I$2:$I$2459,$Z660)</f>
        <v>34.3</v>
      </c>
      <c r="Q660" s="64" t="n">
        <f aca="false">INDEX(Datos_Origen!$J$2:$J$2459,$Z660)</f>
        <v>17.85</v>
      </c>
      <c r="R660" s="65" t="n">
        <f aca="false">ROUND($O660*$P660,2)</f>
        <v>926.1</v>
      </c>
      <c r="S660" s="65" t="n">
        <f aca="false">ROUND($O660*$Q660,2)</f>
        <v>481.95</v>
      </c>
      <c r="T660" s="65" t="n">
        <f aca="false">ROUND($R660*SUMIFS(Parametros!$E$28:$E$43,Parametros!$B$28:$B$43,$J660,Parametros!$C$28:$C$43,$C660,Parametros!$D$28:$D$43,$D660),2)</f>
        <v>12.04</v>
      </c>
      <c r="U660" s="65" t="n">
        <f aca="false">$R660-$S660-$T660</f>
        <v>432.11</v>
      </c>
      <c r="V660" s="66" t="n">
        <f aca="false">IFERROR($U660/$R660,0)</f>
        <v>0.466591080876795</v>
      </c>
      <c r="W660" s="67" t="str">
        <f aca="false">IF(AND($V660&gt;=Parametros!$C$8,$R660&gt;=Parametros!$C$12),"Alta rentabilidad",IF(OR($V660&lt;Parametros!$C$11,$R660&lt;Parametros!$C$13),"Revisar","Estandar"))</f>
        <v>Estandar</v>
      </c>
      <c r="X660" s="67" t="str">
        <f aca="false">IF(AND($J660="E-commerce",IFERROR($T660/$R660,0)&gt;Parametros!$C$14),"Alerta","OK")</f>
        <v>OK</v>
      </c>
      <c r="Y660" s="61" t="str">
        <f aca="false">IF($R660&gt;=Parametros!$C$12,"Alto",IF($R660&lt;Parametros!$C$13,"Bajo","Medio"))</f>
        <v>Medio</v>
      </c>
      <c r="Z660" s="61" t="n">
        <v>1447</v>
      </c>
      <c r="AA660" s="61" t="str">
        <f aca="false">IF(MATCH($A660,Datos_Origen!$A$2:$A$2459,0)=$Z660,"OK","REVISAR")</f>
        <v>OK</v>
      </c>
      <c r="AB660" s="62" t="n">
        <f aca="false">INDEX(Datos_Origen!$B$2:$B$2459,$Z660)</f>
        <v>45497</v>
      </c>
      <c r="AC660" s="61" t="n">
        <f aca="false">INDEX(Datos_Origen!$H$2:$H$2459,$Z660)</f>
        <v>27</v>
      </c>
      <c r="AD660" s="61" t="str">
        <f aca="false">INDEX(Datos_Origen!$D$2:$D$2459,$Z660)&amp;""</f>
        <v>Rosario</v>
      </c>
    </row>
    <row r="661" customFormat="false" ht="15" hidden="false" customHeight="false" outlineLevel="0" collapsed="false">
      <c r="A661" s="61" t="n">
        <f aca="false">INDEX(Datos_Origen!$A$2:$A$2459,$Z661)</f>
        <v>660</v>
      </c>
      <c r="B661" s="62" t="n">
        <f aca="false">IF(ISNUMBER($AB661),$AB661,IF(MID($AB661,5,1)="-",DATE(VALUE(LEFT($AB661,4)),VALUE(MID($AB661,6,2)),VALUE(RIGHT($AB661,2))),DATE(VALUE(RIGHT($AB661,4)),VALUE(MID($AB661,4,2)),VALUE(LEFT($AB661,2)))))</f>
        <v>45477</v>
      </c>
      <c r="C661" s="61" t="n">
        <f aca="false">YEAR($B661)</f>
        <v>2024</v>
      </c>
      <c r="D661" s="61" t="str">
        <f aca="false">"Q"&amp;ROUNDUP(MONTH($B661)/3,0)</f>
        <v>Q3</v>
      </c>
      <c r="E661" s="61" t="n">
        <f aca="false">MONTH($B661)</f>
        <v>7</v>
      </c>
      <c r="F661" s="61" t="str">
        <f aca="false">INDEX(Parametros!$I$5:$I$16,$E661)</f>
        <v>Jul</v>
      </c>
      <c r="G661" s="61" t="str">
        <f aca="false">TEXT($C661,"0000")&amp;"-"&amp;TEXT($E661,"00")</f>
        <v>2024-07</v>
      </c>
      <c r="H661" s="61" t="str">
        <f aca="false">INDEX(Parametros!$C$71:$C$91,MATCH(TRIM(INDEX(Datos_Origen!$C$2:$C$2459,$Z661)),Parametros!$B$71:$B$91,0))</f>
        <v>Litoral</v>
      </c>
      <c r="I661" s="61" t="str">
        <f aca="false">IF(TRIM($AD661)="",INDEX(Parametros!$I$20:$I$24,MATCH($H661,Parametros!$H$20:$H$24,0)),TRIM($AD661))</f>
        <v>Rosario</v>
      </c>
      <c r="J661" s="61" t="str">
        <f aca="false">INDEX(Parametros!$C$95:$C$106,MATCH(TRIM(INDEX(Datos_Origen!$E$2:$E$2459,$Z661)),Parametros!$B$95:$B$106,0))</f>
        <v>E-commerce</v>
      </c>
      <c r="K661" s="61" t="str">
        <f aca="false">INDEX(Parametros!$C$48:$C$67,MATCH(TRIM(INDEX(Datos_Origen!$F$2:$F$2459,$Z661)),Parametros!$B$48:$B$67,0))</f>
        <v>Almacenamiento</v>
      </c>
      <c r="L661" s="61" t="str">
        <f aca="false">$K661&amp;" "&amp;$C661</f>
        <v>Almacenamiento 2024</v>
      </c>
      <c r="M661" s="61" t="str">
        <f aca="false">TRIM(INDEX(Datos_Origen!$G$2:$G$2459,$Z661))</f>
        <v>Pendrive 256GB</v>
      </c>
      <c r="N661" s="61" t="str">
        <f aca="false">$M661&amp;" "&amp;$C661</f>
        <v>Pendrive 256GB 2024</v>
      </c>
      <c r="O661" s="63" t="n">
        <f aca="false">IF(ISTEXT($AC661),VALUE($AC661),$AC661)</f>
        <v>12</v>
      </c>
      <c r="P661" s="64" t="n">
        <f aca="false">INDEX(Datos_Origen!$I$2:$I$2459,$Z661)</f>
        <v>34.3</v>
      </c>
      <c r="Q661" s="64" t="n">
        <f aca="false">INDEX(Datos_Origen!$J$2:$J$2459,$Z661)</f>
        <v>17.85</v>
      </c>
      <c r="R661" s="65" t="n">
        <f aca="false">ROUND($O661*$P661,2)</f>
        <v>411.6</v>
      </c>
      <c r="S661" s="65" t="n">
        <f aca="false">ROUND($O661*$Q661,2)</f>
        <v>214.2</v>
      </c>
      <c r="T661" s="65" t="n">
        <f aca="false">ROUND($R661*SUMIFS(Parametros!$E$28:$E$43,Parametros!$B$28:$B$43,$J661,Parametros!$C$28:$C$43,$C661,Parametros!$D$28:$D$43,$D661),2)</f>
        <v>18.93</v>
      </c>
      <c r="U661" s="65" t="n">
        <f aca="false">$R661-$S661-$T661</f>
        <v>178.47</v>
      </c>
      <c r="V661" s="66" t="n">
        <f aca="false">IFERROR($U661/$R661,0)</f>
        <v>0.433600583090379</v>
      </c>
      <c r="W661" s="67" t="str">
        <f aca="false">IF(AND($V661&gt;=Parametros!$C$8,$R661&gt;=Parametros!$C$12),"Alta rentabilidad",IF(OR($V661&lt;Parametros!$C$11,$R661&lt;Parametros!$C$13),"Revisar","Estandar"))</f>
        <v>Estandar</v>
      </c>
      <c r="X661" s="67" t="str">
        <f aca="false">IF(AND($J661="E-commerce",IFERROR($T661/$R661,0)&gt;Parametros!$C$14),"Alerta","OK")</f>
        <v>OK</v>
      </c>
      <c r="Y661" s="61" t="str">
        <f aca="false">IF($R661&gt;=Parametros!$C$12,"Alto",IF($R661&lt;Parametros!$C$13,"Bajo","Medio"))</f>
        <v>Medio</v>
      </c>
      <c r="Z661" s="61" t="n">
        <v>689</v>
      </c>
      <c r="AA661" s="61" t="str">
        <f aca="false">IF(MATCH($A661,Datos_Origen!$A$2:$A$2459,0)=$Z661,"OK","REVISAR")</f>
        <v>OK</v>
      </c>
      <c r="AB661" s="62" t="n">
        <f aca="false">INDEX(Datos_Origen!$B$2:$B$2459,$Z661)</f>
        <v>45477</v>
      </c>
      <c r="AC661" s="61" t="n">
        <f aca="false">INDEX(Datos_Origen!$H$2:$H$2459,$Z661)</f>
        <v>12</v>
      </c>
      <c r="AD661" s="61" t="str">
        <f aca="false">INDEX(Datos_Origen!$D$2:$D$2459,$Z661)&amp;""</f>
        <v>Rosario</v>
      </c>
    </row>
    <row r="662" customFormat="false" ht="15" hidden="false" customHeight="false" outlineLevel="0" collapsed="false">
      <c r="A662" s="61" t="n">
        <f aca="false">INDEX(Datos_Origen!$A$2:$A$2459,$Z662)</f>
        <v>661</v>
      </c>
      <c r="B662" s="62" t="n">
        <f aca="false">IF(ISNUMBER($AB662),$AB662,IF(MID($AB662,5,1)="-",DATE(VALUE(LEFT($AB662,4)),VALUE(MID($AB662,6,2)),VALUE(RIGHT($AB662,2))),DATE(VALUE(RIGHT($AB662,4)),VALUE(MID($AB662,4,2)),VALUE(LEFT($AB662,2)))))</f>
        <v>45484</v>
      </c>
      <c r="C662" s="61" t="n">
        <f aca="false">YEAR($B662)</f>
        <v>2024</v>
      </c>
      <c r="D662" s="61" t="str">
        <f aca="false">"Q"&amp;ROUNDUP(MONTH($B662)/3,0)</f>
        <v>Q3</v>
      </c>
      <c r="E662" s="61" t="n">
        <f aca="false">MONTH($B662)</f>
        <v>7</v>
      </c>
      <c r="F662" s="61" t="str">
        <f aca="false">INDEX(Parametros!$I$5:$I$16,$E662)</f>
        <v>Jul</v>
      </c>
      <c r="G662" s="61" t="str">
        <f aca="false">TEXT($C662,"0000")&amp;"-"&amp;TEXT($E662,"00")</f>
        <v>2024-07</v>
      </c>
      <c r="H662" s="61" t="str">
        <f aca="false">INDEX(Parametros!$C$71:$C$91,MATCH(TRIM(INDEX(Datos_Origen!$C$2:$C$2459,$Z662)),Parametros!$B$71:$B$91,0))</f>
        <v>Cuyo</v>
      </c>
      <c r="I662" s="61" t="str">
        <f aca="false">IF(TRIM($AD662)="",INDEX(Parametros!$I$20:$I$24,MATCH($H662,Parametros!$H$20:$H$24,0)),TRIM($AD662))</f>
        <v>Mendoza</v>
      </c>
      <c r="J662" s="61" t="str">
        <f aca="false">INDEX(Parametros!$C$95:$C$106,MATCH(TRIM(INDEX(Datos_Origen!$E$2:$E$2459,$Z662)),Parametros!$B$95:$B$106,0))</f>
        <v>Tienda fisica</v>
      </c>
      <c r="K662" s="61" t="str">
        <f aca="false">INDEX(Parametros!$C$48:$C$67,MATCH(TRIM(INDEX(Datos_Origen!$F$2:$F$2459,$Z662)),Parametros!$B$48:$B$67,0))</f>
        <v>Computacion</v>
      </c>
      <c r="L662" s="61" t="str">
        <f aca="false">$K662&amp;" "&amp;$C662</f>
        <v>Computacion 2024</v>
      </c>
      <c r="M662" s="61" t="str">
        <f aca="false">TRIM(INDEX(Datos_Origen!$G$2:$G$2459,$Z662))</f>
        <v>Laptop Pro 15</v>
      </c>
      <c r="N662" s="61" t="str">
        <f aca="false">$M662&amp;" "&amp;$C662</f>
        <v>Laptop Pro 15 2024</v>
      </c>
      <c r="O662" s="63" t="n">
        <f aca="false">IF(ISTEXT($AC662),VALUE($AC662),$AC662)</f>
        <v>7</v>
      </c>
      <c r="P662" s="64" t="n">
        <f aca="false">INDEX(Datos_Origen!$I$2:$I$2459,$Z662)</f>
        <v>1176</v>
      </c>
      <c r="Q662" s="64" t="n">
        <f aca="false">INDEX(Datos_Origen!$J$2:$J$2459,$Z662)</f>
        <v>744</v>
      </c>
      <c r="R662" s="65" t="n">
        <f aca="false">ROUND($O662*$P662,2)</f>
        <v>8232</v>
      </c>
      <c r="S662" s="65" t="n">
        <f aca="false">ROUND($O662*$Q662,2)</f>
        <v>5208</v>
      </c>
      <c r="T662" s="65" t="n">
        <f aca="false">ROUND($R662*SUMIFS(Parametros!$E$28:$E$43,Parametros!$B$28:$B$43,$J662,Parametros!$C$28:$C$43,$C662,Parametros!$D$28:$D$43,$D662),2)</f>
        <v>107.02</v>
      </c>
      <c r="U662" s="65" t="n">
        <f aca="false">$R662-$S662-$T662</f>
        <v>2916.98</v>
      </c>
      <c r="V662" s="66" t="n">
        <f aca="false">IFERROR($U662/$R662,0)</f>
        <v>0.354346452866861</v>
      </c>
      <c r="W662" s="67" t="str">
        <f aca="false">IF(AND($V662&gt;=Parametros!$C$8,$R662&gt;=Parametros!$C$12),"Alta rentabilidad",IF(OR($V662&lt;Parametros!$C$11,$R662&lt;Parametros!$C$13),"Revisar","Estandar"))</f>
        <v>Alta rentabilidad</v>
      </c>
      <c r="X662" s="67" t="str">
        <f aca="false">IF(AND($J662="E-commerce",IFERROR($T662/$R662,0)&gt;Parametros!$C$14),"Alerta","OK")</f>
        <v>OK</v>
      </c>
      <c r="Y662" s="61" t="str">
        <f aca="false">IF($R662&gt;=Parametros!$C$12,"Alto",IF($R662&lt;Parametros!$C$13,"Bajo","Medio"))</f>
        <v>Alto</v>
      </c>
      <c r="Z662" s="61" t="n">
        <v>346</v>
      </c>
      <c r="AA662" s="61" t="str">
        <f aca="false">IF(MATCH($A662,Datos_Origen!$A$2:$A$2459,0)=$Z662,"OK","REVISAR")</f>
        <v>OK</v>
      </c>
      <c r="AB662" s="61" t="str">
        <f aca="false">INDEX(Datos_Origen!$B$2:$B$2459,$Z662)</f>
        <v>11/07/2024</v>
      </c>
      <c r="AC662" s="61" t="n">
        <f aca="false">INDEX(Datos_Origen!$H$2:$H$2459,$Z662)</f>
        <v>7</v>
      </c>
      <c r="AD662" s="61" t="str">
        <f aca="false">INDEX(Datos_Origen!$D$2:$D$2459,$Z662)&amp;""</f>
        <v>Mendoza</v>
      </c>
    </row>
    <row r="663" customFormat="false" ht="15" hidden="false" customHeight="false" outlineLevel="0" collapsed="false">
      <c r="A663" s="61" t="n">
        <f aca="false">INDEX(Datos_Origen!$A$2:$A$2459,$Z663)</f>
        <v>662</v>
      </c>
      <c r="B663" s="62" t="n">
        <f aca="false">IF(ISNUMBER($AB663),$AB663,IF(MID($AB663,5,1)="-",DATE(VALUE(LEFT($AB663,4)),VALUE(MID($AB663,6,2)),VALUE(RIGHT($AB663,2))),DATE(VALUE(RIGHT($AB663,4)),VALUE(MID($AB663,4,2)),VALUE(LEFT($AB663,2)))))</f>
        <v>45491</v>
      </c>
      <c r="C663" s="61" t="n">
        <f aca="false">YEAR($B663)</f>
        <v>2024</v>
      </c>
      <c r="D663" s="61" t="str">
        <f aca="false">"Q"&amp;ROUNDUP(MONTH($B663)/3,0)</f>
        <v>Q3</v>
      </c>
      <c r="E663" s="61" t="n">
        <f aca="false">MONTH($B663)</f>
        <v>7</v>
      </c>
      <c r="F663" s="61" t="str">
        <f aca="false">INDEX(Parametros!$I$5:$I$16,$E663)</f>
        <v>Jul</v>
      </c>
      <c r="G663" s="61" t="str">
        <f aca="false">TEXT($C663,"0000")&amp;"-"&amp;TEXT($E663,"00")</f>
        <v>2024-07</v>
      </c>
      <c r="H663" s="61" t="str">
        <f aca="false">INDEX(Parametros!$C$71:$C$91,MATCH(TRIM(INDEX(Datos_Origen!$C$2:$C$2459,$Z663)),Parametros!$B$71:$B$91,0))</f>
        <v>Cuyo</v>
      </c>
      <c r="I663" s="61" t="str">
        <f aca="false">IF(TRIM($AD663)="",INDEX(Parametros!$I$20:$I$24,MATCH($H663,Parametros!$H$20:$H$24,0)),TRIM($AD663))</f>
        <v>Mendoza</v>
      </c>
      <c r="J663" s="61" t="str">
        <f aca="false">INDEX(Parametros!$C$95:$C$106,MATCH(TRIM(INDEX(Datos_Origen!$E$2:$E$2459,$Z663)),Parametros!$B$95:$B$106,0))</f>
        <v>E-commerce</v>
      </c>
      <c r="K663" s="61" t="str">
        <f aca="false">INDEX(Parametros!$C$48:$C$67,MATCH(TRIM(INDEX(Datos_Origen!$F$2:$F$2459,$Z663)),Parametros!$B$48:$B$67,0))</f>
        <v>Computacion</v>
      </c>
      <c r="L663" s="61" t="str">
        <f aca="false">$K663&amp;" "&amp;$C663</f>
        <v>Computacion 2024</v>
      </c>
      <c r="M663" s="61" t="str">
        <f aca="false">TRIM(INDEX(Datos_Origen!$G$2:$G$2459,$Z663))</f>
        <v>Laptop Pro 15</v>
      </c>
      <c r="N663" s="61" t="str">
        <f aca="false">$M663&amp;" "&amp;$C663</f>
        <v>Laptop Pro 15 2024</v>
      </c>
      <c r="O663" s="63" t="n">
        <f aca="false">IF(ISTEXT($AC663),VALUE($AC663),$AC663)</f>
        <v>3</v>
      </c>
      <c r="P663" s="64" t="n">
        <f aca="false">INDEX(Datos_Origen!$I$2:$I$2459,$Z663)</f>
        <v>1176</v>
      </c>
      <c r="Q663" s="64" t="n">
        <f aca="false">INDEX(Datos_Origen!$J$2:$J$2459,$Z663)</f>
        <v>744</v>
      </c>
      <c r="R663" s="65" t="n">
        <f aca="false">ROUND($O663*$P663,2)</f>
        <v>3528</v>
      </c>
      <c r="S663" s="65" t="n">
        <f aca="false">ROUND($O663*$Q663,2)</f>
        <v>2232</v>
      </c>
      <c r="T663" s="65" t="n">
        <f aca="false">ROUND($R663*SUMIFS(Parametros!$E$28:$E$43,Parametros!$B$28:$B$43,$J663,Parametros!$C$28:$C$43,$C663,Parametros!$D$28:$D$43,$D663),2)</f>
        <v>162.29</v>
      </c>
      <c r="U663" s="65" t="n">
        <f aca="false">$R663-$S663-$T663</f>
        <v>1133.71</v>
      </c>
      <c r="V663" s="66" t="n">
        <f aca="false">IFERROR($U663/$R663,0)</f>
        <v>0.321346371882086</v>
      </c>
      <c r="W663" s="67" t="str">
        <f aca="false">IF(AND($V663&gt;=Parametros!$C$8,$R663&gt;=Parametros!$C$12),"Alta rentabilidad",IF(OR($V663&lt;Parametros!$C$11,$R663&lt;Parametros!$C$13),"Revisar","Estandar"))</f>
        <v>Estandar</v>
      </c>
      <c r="X663" s="67" t="str">
        <f aca="false">IF(AND($J663="E-commerce",IFERROR($T663/$R663,0)&gt;Parametros!$C$14),"Alerta","OK")</f>
        <v>OK</v>
      </c>
      <c r="Y663" s="61" t="str">
        <f aca="false">IF($R663&gt;=Parametros!$C$12,"Alto",IF($R663&lt;Parametros!$C$13,"Bajo","Medio"))</f>
        <v>Alto</v>
      </c>
      <c r="Z663" s="61" t="n">
        <v>1625</v>
      </c>
      <c r="AA663" s="61" t="str">
        <f aca="false">IF(MATCH($A663,Datos_Origen!$A$2:$A$2459,0)=$Z663,"OK","REVISAR")</f>
        <v>OK</v>
      </c>
      <c r="AB663" s="62" t="n">
        <f aca="false">INDEX(Datos_Origen!$B$2:$B$2459,$Z663)</f>
        <v>45491</v>
      </c>
      <c r="AC663" s="61" t="n">
        <f aca="false">INDEX(Datos_Origen!$H$2:$H$2459,$Z663)</f>
        <v>3</v>
      </c>
      <c r="AD663" s="61" t="str">
        <f aca="false">INDEX(Datos_Origen!$D$2:$D$2459,$Z663)&amp;""</f>
        <v>Mendoza</v>
      </c>
    </row>
    <row r="664" customFormat="false" ht="15" hidden="false" customHeight="false" outlineLevel="0" collapsed="false">
      <c r="A664" s="61" t="n">
        <f aca="false">INDEX(Datos_Origen!$A$2:$A$2459,$Z664)</f>
        <v>663</v>
      </c>
      <c r="B664" s="62" t="n">
        <f aca="false">IF(ISNUMBER($AB664),$AB664,IF(MID($AB664,5,1)="-",DATE(VALUE(LEFT($AB664,4)),VALUE(MID($AB664,6,2)),VALUE(RIGHT($AB664,2))),DATE(VALUE(RIGHT($AB664,4)),VALUE(MID($AB664,4,2)),VALUE(LEFT($AB664,2)))))</f>
        <v>45498</v>
      </c>
      <c r="C664" s="61" t="n">
        <f aca="false">YEAR($B664)</f>
        <v>2024</v>
      </c>
      <c r="D664" s="61" t="str">
        <f aca="false">"Q"&amp;ROUNDUP(MONTH($B664)/3,0)</f>
        <v>Q3</v>
      </c>
      <c r="E664" s="61" t="n">
        <f aca="false">MONTH($B664)</f>
        <v>7</v>
      </c>
      <c r="F664" s="61" t="str">
        <f aca="false">INDEX(Parametros!$I$5:$I$16,$E664)</f>
        <v>Jul</v>
      </c>
      <c r="G664" s="61" t="str">
        <f aca="false">TEXT($C664,"0000")&amp;"-"&amp;TEXT($E664,"00")</f>
        <v>2024-07</v>
      </c>
      <c r="H664" s="61" t="str">
        <f aca="false">INDEX(Parametros!$C$71:$C$91,MATCH(TRIM(INDEX(Datos_Origen!$C$2:$C$2459,$Z664)),Parametros!$B$71:$B$91,0))</f>
        <v>Cuyo</v>
      </c>
      <c r="I664" s="61" t="str">
        <f aca="false">IF(TRIM($AD664)="",INDEX(Parametros!$I$20:$I$24,MATCH($H664,Parametros!$H$20:$H$24,0)),TRIM($AD664))</f>
        <v>Mendoza</v>
      </c>
      <c r="J664" s="61" t="str">
        <f aca="false">INDEX(Parametros!$C$95:$C$106,MATCH(TRIM(INDEX(Datos_Origen!$E$2:$E$2459,$Z664)),Parametros!$B$95:$B$106,0))</f>
        <v>Tienda fisica</v>
      </c>
      <c r="K664" s="61" t="str">
        <f aca="false">INDEX(Parametros!$C$48:$C$67,MATCH(TRIM(INDEX(Datos_Origen!$F$2:$F$2459,$Z664)),Parametros!$B$48:$B$67,0))</f>
        <v>Computacion</v>
      </c>
      <c r="L664" s="61" t="str">
        <f aca="false">$K664&amp;" "&amp;$C664</f>
        <v>Computacion 2024</v>
      </c>
      <c r="M664" s="61" t="str">
        <f aca="false">TRIM(INDEX(Datos_Origen!$G$2:$G$2459,$Z664))</f>
        <v>Monitor 4K 27</v>
      </c>
      <c r="N664" s="61" t="str">
        <f aca="false">$M664&amp;" "&amp;$C664</f>
        <v>Monitor 4K 27 2024</v>
      </c>
      <c r="O664" s="63" t="n">
        <f aca="false">IF(ISTEXT($AC664),VALUE($AC664),$AC664)</f>
        <v>6</v>
      </c>
      <c r="P664" s="64" t="n">
        <f aca="false">INDEX(Datos_Origen!$I$2:$I$2459,$Z664)</f>
        <v>441</v>
      </c>
      <c r="Q664" s="64" t="n">
        <f aca="false">INDEX(Datos_Origen!$J$2:$J$2459,$Z664)</f>
        <v>272.25</v>
      </c>
      <c r="R664" s="65" t="n">
        <f aca="false">ROUND($O664*$P664,2)</f>
        <v>2646</v>
      </c>
      <c r="S664" s="65" t="n">
        <f aca="false">ROUND($O664*$Q664,2)</f>
        <v>1633.5</v>
      </c>
      <c r="T664" s="65" t="n">
        <f aca="false">ROUND($R664*SUMIFS(Parametros!$E$28:$E$43,Parametros!$B$28:$B$43,$J664,Parametros!$C$28:$C$43,$C664,Parametros!$D$28:$D$43,$D664),2)</f>
        <v>34.4</v>
      </c>
      <c r="U664" s="65" t="n">
        <f aca="false">$R664-$S664-$T664</f>
        <v>978.1</v>
      </c>
      <c r="V664" s="66" t="n">
        <f aca="false">IFERROR($U664/$R664,0)</f>
        <v>0.369652305366591</v>
      </c>
      <c r="W664" s="67" t="str">
        <f aca="false">IF(AND($V664&gt;=Parametros!$C$8,$R664&gt;=Parametros!$C$12),"Alta rentabilidad",IF(OR($V664&lt;Parametros!$C$11,$R664&lt;Parametros!$C$13),"Revisar","Estandar"))</f>
        <v>Estandar</v>
      </c>
      <c r="X664" s="67" t="str">
        <f aca="false">IF(AND($J664="E-commerce",IFERROR($T664/$R664,0)&gt;Parametros!$C$14),"Alerta","OK")</f>
        <v>OK</v>
      </c>
      <c r="Y664" s="61" t="str">
        <f aca="false">IF($R664&gt;=Parametros!$C$12,"Alto",IF($R664&lt;Parametros!$C$13,"Bajo","Medio"))</f>
        <v>Medio</v>
      </c>
      <c r="Z664" s="61" t="n">
        <v>182</v>
      </c>
      <c r="AA664" s="61" t="str">
        <f aca="false">IF(MATCH($A664,Datos_Origen!$A$2:$A$2459,0)=$Z664,"OK","REVISAR")</f>
        <v>OK</v>
      </c>
      <c r="AB664" s="62" t="n">
        <f aca="false">INDEX(Datos_Origen!$B$2:$B$2459,$Z664)</f>
        <v>45498</v>
      </c>
      <c r="AC664" s="61" t="n">
        <f aca="false">INDEX(Datos_Origen!$H$2:$H$2459,$Z664)</f>
        <v>6</v>
      </c>
      <c r="AD664" s="61" t="str">
        <f aca="false">INDEX(Datos_Origen!$D$2:$D$2459,$Z664)&amp;""</f>
        <v>Mendoza</v>
      </c>
    </row>
    <row r="665" customFormat="false" ht="15" hidden="false" customHeight="false" outlineLevel="0" collapsed="false">
      <c r="A665" s="61" t="n">
        <f aca="false">INDEX(Datos_Origen!$A$2:$A$2459,$Z665)</f>
        <v>664</v>
      </c>
      <c r="B665" s="62" t="n">
        <f aca="false">IF(ISNUMBER($AB665),$AB665,IF(MID($AB665,5,1)="-",DATE(VALUE(LEFT($AB665,4)),VALUE(MID($AB665,6,2)),VALUE(RIGHT($AB665,2))),DATE(VALUE(RIGHT($AB665,4)),VALUE(MID($AB665,4,2)),VALUE(LEFT($AB665,2)))))</f>
        <v>45478</v>
      </c>
      <c r="C665" s="61" t="n">
        <f aca="false">YEAR($B665)</f>
        <v>2024</v>
      </c>
      <c r="D665" s="61" t="str">
        <f aca="false">"Q"&amp;ROUNDUP(MONTH($B665)/3,0)</f>
        <v>Q3</v>
      </c>
      <c r="E665" s="61" t="n">
        <f aca="false">MONTH($B665)</f>
        <v>7</v>
      </c>
      <c r="F665" s="61" t="str">
        <f aca="false">INDEX(Parametros!$I$5:$I$16,$E665)</f>
        <v>Jul</v>
      </c>
      <c r="G665" s="61" t="str">
        <f aca="false">TEXT($C665,"0000")&amp;"-"&amp;TEXT($E665,"00")</f>
        <v>2024-07</v>
      </c>
      <c r="H665" s="61" t="str">
        <f aca="false">INDEX(Parametros!$C$71:$C$91,MATCH(TRIM(INDEX(Datos_Origen!$C$2:$C$2459,$Z665)),Parametros!$B$71:$B$91,0))</f>
        <v>Cuyo</v>
      </c>
      <c r="I665" s="61" t="str">
        <f aca="false">IF(TRIM($AD665)="",INDEX(Parametros!$I$20:$I$24,MATCH($H665,Parametros!$H$20:$H$24,0)),TRIM($AD665))</f>
        <v>Mendoza</v>
      </c>
      <c r="J665" s="61" t="str">
        <f aca="false">INDEX(Parametros!$C$95:$C$106,MATCH(TRIM(INDEX(Datos_Origen!$E$2:$E$2459,$Z665)),Parametros!$B$95:$B$106,0))</f>
        <v>E-commerce</v>
      </c>
      <c r="K665" s="61" t="str">
        <f aca="false">INDEX(Parametros!$C$48:$C$67,MATCH(TRIM(INDEX(Datos_Origen!$F$2:$F$2459,$Z665)),Parametros!$B$48:$B$67,0))</f>
        <v>Computacion</v>
      </c>
      <c r="L665" s="61" t="str">
        <f aca="false">$K665&amp;" "&amp;$C665</f>
        <v>Computacion 2024</v>
      </c>
      <c r="M665" s="61" t="str">
        <f aca="false">TRIM(INDEX(Datos_Origen!$G$2:$G$2459,$Z665))</f>
        <v>Monitor 4K 27</v>
      </c>
      <c r="N665" s="61" t="str">
        <f aca="false">$M665&amp;" "&amp;$C665</f>
        <v>Monitor 4K 27 2024</v>
      </c>
      <c r="O665" s="63" t="n">
        <f aca="false">IF(ISTEXT($AC665),VALUE($AC665),$AC665)</f>
        <v>3</v>
      </c>
      <c r="P665" s="64" t="n">
        <f aca="false">INDEX(Datos_Origen!$I$2:$I$2459,$Z665)</f>
        <v>441</v>
      </c>
      <c r="Q665" s="64" t="n">
        <f aca="false">INDEX(Datos_Origen!$J$2:$J$2459,$Z665)</f>
        <v>272.25</v>
      </c>
      <c r="R665" s="65" t="n">
        <f aca="false">ROUND($O665*$P665,2)</f>
        <v>1323</v>
      </c>
      <c r="S665" s="65" t="n">
        <f aca="false">ROUND($O665*$Q665,2)</f>
        <v>816.75</v>
      </c>
      <c r="T665" s="65" t="n">
        <f aca="false">ROUND($R665*SUMIFS(Parametros!$E$28:$E$43,Parametros!$B$28:$B$43,$J665,Parametros!$C$28:$C$43,$C665,Parametros!$D$28:$D$43,$D665),2)</f>
        <v>60.86</v>
      </c>
      <c r="U665" s="65" t="n">
        <f aca="false">$R665-$S665-$T665</f>
        <v>445.39</v>
      </c>
      <c r="V665" s="66" t="n">
        <f aca="false">IFERROR($U665/$R665,0)</f>
        <v>0.336651549508692</v>
      </c>
      <c r="W665" s="67" t="str">
        <f aca="false">IF(AND($V665&gt;=Parametros!$C$8,$R665&gt;=Parametros!$C$12),"Alta rentabilidad",IF(OR($V665&lt;Parametros!$C$11,$R665&lt;Parametros!$C$13),"Revisar","Estandar"))</f>
        <v>Estandar</v>
      </c>
      <c r="X665" s="67" t="str">
        <f aca="false">IF(AND($J665="E-commerce",IFERROR($T665/$R665,0)&gt;Parametros!$C$14),"Alerta","OK")</f>
        <v>OK</v>
      </c>
      <c r="Y665" s="61" t="str">
        <f aca="false">IF($R665&gt;=Parametros!$C$12,"Alto",IF($R665&lt;Parametros!$C$13,"Bajo","Medio"))</f>
        <v>Medio</v>
      </c>
      <c r="Z665" s="61" t="n">
        <v>128</v>
      </c>
      <c r="AA665" s="61" t="str">
        <f aca="false">IF(MATCH($A665,Datos_Origen!$A$2:$A$2459,0)=$Z665,"OK","REVISAR")</f>
        <v>OK</v>
      </c>
      <c r="AB665" s="62" t="n">
        <f aca="false">INDEX(Datos_Origen!$B$2:$B$2459,$Z665)</f>
        <v>45478</v>
      </c>
      <c r="AC665" s="61" t="n">
        <f aca="false">INDEX(Datos_Origen!$H$2:$H$2459,$Z665)</f>
        <v>3</v>
      </c>
      <c r="AD665" s="61" t="str">
        <f aca="false">INDEX(Datos_Origen!$D$2:$D$2459,$Z665)&amp;""</f>
        <v>Mendoza</v>
      </c>
    </row>
    <row r="666" customFormat="false" ht="15" hidden="false" customHeight="false" outlineLevel="0" collapsed="false">
      <c r="A666" s="61" t="n">
        <f aca="false">INDEX(Datos_Origen!$A$2:$A$2459,$Z666)</f>
        <v>665</v>
      </c>
      <c r="B666" s="62" t="n">
        <f aca="false">IF(ISNUMBER($AB666),$AB666,IF(MID($AB666,5,1)="-",DATE(VALUE(LEFT($AB666,4)),VALUE(MID($AB666,6,2)),VALUE(RIGHT($AB666,2))),DATE(VALUE(RIGHT($AB666,4)),VALUE(MID($AB666,4,2)),VALUE(LEFT($AB666,2)))))</f>
        <v>45485</v>
      </c>
      <c r="C666" s="61" t="n">
        <f aca="false">YEAR($B666)</f>
        <v>2024</v>
      </c>
      <c r="D666" s="61" t="str">
        <f aca="false">"Q"&amp;ROUNDUP(MONTH($B666)/3,0)</f>
        <v>Q3</v>
      </c>
      <c r="E666" s="61" t="n">
        <f aca="false">MONTH($B666)</f>
        <v>7</v>
      </c>
      <c r="F666" s="61" t="str">
        <f aca="false">INDEX(Parametros!$I$5:$I$16,$E666)</f>
        <v>Jul</v>
      </c>
      <c r="G666" s="61" t="str">
        <f aca="false">TEXT($C666,"0000")&amp;"-"&amp;TEXT($E666,"00")</f>
        <v>2024-07</v>
      </c>
      <c r="H666" s="61" t="str">
        <f aca="false">INDEX(Parametros!$C$71:$C$91,MATCH(TRIM(INDEX(Datos_Origen!$C$2:$C$2459,$Z666)),Parametros!$B$71:$B$91,0))</f>
        <v>Cuyo</v>
      </c>
      <c r="I666" s="61" t="str">
        <f aca="false">IF(TRIM($AD666)="",INDEX(Parametros!$I$20:$I$24,MATCH($H666,Parametros!$H$20:$H$24,0)),TRIM($AD666))</f>
        <v>Mendoza</v>
      </c>
      <c r="J666" s="61" t="str">
        <f aca="false">INDEX(Parametros!$C$95:$C$106,MATCH(TRIM(INDEX(Datos_Origen!$E$2:$E$2459,$Z666)),Parametros!$B$95:$B$106,0))</f>
        <v>Tienda fisica</v>
      </c>
      <c r="K666" s="61" t="str">
        <f aca="false">INDEX(Parametros!$C$48:$C$67,MATCH(TRIM(INDEX(Datos_Origen!$F$2:$F$2459,$Z666)),Parametros!$B$48:$B$67,0))</f>
        <v>Computacion</v>
      </c>
      <c r="L666" s="61" t="str">
        <f aca="false">$K666&amp;" "&amp;$C666</f>
        <v>Computacion 2024</v>
      </c>
      <c r="M666" s="61" t="str">
        <f aca="false">TRIM(INDEX(Datos_Origen!$G$2:$G$2459,$Z666))</f>
        <v>PC Gamer Ryzen</v>
      </c>
      <c r="N666" s="61" t="str">
        <f aca="false">$M666&amp;" "&amp;$C666</f>
        <v>PC Gamer Ryzen 2024</v>
      </c>
      <c r="O666" s="63" t="n">
        <f aca="false">IF(ISTEXT($AC666),VALUE($AC666),$AC666)</f>
        <v>7</v>
      </c>
      <c r="P666" s="64" t="n">
        <f aca="false">INDEX(Datos_Origen!$I$2:$I$2459,$Z666)</f>
        <v>1617</v>
      </c>
      <c r="Q666" s="64" t="n">
        <f aca="false">INDEX(Datos_Origen!$J$2:$J$2459,$Z666)</f>
        <v>1122</v>
      </c>
      <c r="R666" s="65" t="n">
        <f aca="false">ROUND($O666*$P666,2)</f>
        <v>11319</v>
      </c>
      <c r="S666" s="65" t="n">
        <f aca="false">ROUND($O666*$Q666,2)</f>
        <v>7854</v>
      </c>
      <c r="T666" s="65" t="n">
        <f aca="false">ROUND($R666*SUMIFS(Parametros!$E$28:$E$43,Parametros!$B$28:$B$43,$J666,Parametros!$C$28:$C$43,$C666,Parametros!$D$28:$D$43,$D666),2)</f>
        <v>147.15</v>
      </c>
      <c r="U666" s="65" t="n">
        <f aca="false">$R666-$S666-$T666</f>
        <v>3317.85</v>
      </c>
      <c r="V666" s="66" t="n">
        <f aca="false">IFERROR($U666/$R666,0)</f>
        <v>0.29312218393851</v>
      </c>
      <c r="W666" s="67" t="str">
        <f aca="false">IF(AND($V666&gt;=Parametros!$C$8,$R666&gt;=Parametros!$C$12),"Alta rentabilidad",IF(OR($V666&lt;Parametros!$C$11,$R666&lt;Parametros!$C$13),"Revisar","Estandar"))</f>
        <v>Estandar</v>
      </c>
      <c r="X666" s="67" t="str">
        <f aca="false">IF(AND($J666="E-commerce",IFERROR($T666/$R666,0)&gt;Parametros!$C$14),"Alerta","OK")</f>
        <v>OK</v>
      </c>
      <c r="Y666" s="61" t="str">
        <f aca="false">IF($R666&gt;=Parametros!$C$12,"Alto",IF($R666&lt;Parametros!$C$13,"Bajo","Medio"))</f>
        <v>Alto</v>
      </c>
      <c r="Z666" s="61" t="n">
        <v>941</v>
      </c>
      <c r="AA666" s="61" t="str">
        <f aca="false">IF(MATCH($A666,Datos_Origen!$A$2:$A$2459,0)=$Z666,"OK","REVISAR")</f>
        <v>OK</v>
      </c>
      <c r="AB666" s="61" t="str">
        <f aca="false">INDEX(Datos_Origen!$B$2:$B$2459,$Z666)</f>
        <v>12/07/2024</v>
      </c>
      <c r="AC666" s="61" t="n">
        <f aca="false">INDEX(Datos_Origen!$H$2:$H$2459,$Z666)</f>
        <v>7</v>
      </c>
      <c r="AD666" s="61" t="str">
        <f aca="false">INDEX(Datos_Origen!$D$2:$D$2459,$Z666)&amp;""</f>
        <v>Mendoza</v>
      </c>
    </row>
    <row r="667" customFormat="false" ht="15" hidden="false" customHeight="false" outlineLevel="0" collapsed="false">
      <c r="A667" s="61" t="n">
        <f aca="false">INDEX(Datos_Origen!$A$2:$A$2459,$Z667)</f>
        <v>666</v>
      </c>
      <c r="B667" s="62" t="n">
        <f aca="false">IF(ISNUMBER($AB667),$AB667,IF(MID($AB667,5,1)="-",DATE(VALUE(LEFT($AB667,4)),VALUE(MID($AB667,6,2)),VALUE(RIGHT($AB667,2))),DATE(VALUE(RIGHT($AB667,4)),VALUE(MID($AB667,4,2)),VALUE(LEFT($AB667,2)))))</f>
        <v>45492</v>
      </c>
      <c r="C667" s="61" t="n">
        <f aca="false">YEAR($B667)</f>
        <v>2024</v>
      </c>
      <c r="D667" s="61" t="str">
        <f aca="false">"Q"&amp;ROUNDUP(MONTH($B667)/3,0)</f>
        <v>Q3</v>
      </c>
      <c r="E667" s="61" t="n">
        <f aca="false">MONTH($B667)</f>
        <v>7</v>
      </c>
      <c r="F667" s="61" t="str">
        <f aca="false">INDEX(Parametros!$I$5:$I$16,$E667)</f>
        <v>Jul</v>
      </c>
      <c r="G667" s="61" t="str">
        <f aca="false">TEXT($C667,"0000")&amp;"-"&amp;TEXT($E667,"00")</f>
        <v>2024-07</v>
      </c>
      <c r="H667" s="61" t="str">
        <f aca="false">INDEX(Parametros!$C$71:$C$91,MATCH(TRIM(INDEX(Datos_Origen!$C$2:$C$2459,$Z667)),Parametros!$B$71:$B$91,0))</f>
        <v>Cuyo</v>
      </c>
      <c r="I667" s="61" t="str">
        <f aca="false">IF(TRIM($AD667)="",INDEX(Parametros!$I$20:$I$24,MATCH($H667,Parametros!$H$20:$H$24,0)),TRIM($AD667))</f>
        <v>Mendoza</v>
      </c>
      <c r="J667" s="61" t="str">
        <f aca="false">INDEX(Parametros!$C$95:$C$106,MATCH(TRIM(INDEX(Datos_Origen!$E$2:$E$2459,$Z667)),Parametros!$B$95:$B$106,0))</f>
        <v>E-commerce</v>
      </c>
      <c r="K667" s="61" t="str">
        <f aca="false">INDEX(Parametros!$C$48:$C$67,MATCH(TRIM(INDEX(Datos_Origen!$F$2:$F$2459,$Z667)),Parametros!$B$48:$B$67,0))</f>
        <v>Computacion</v>
      </c>
      <c r="L667" s="61" t="str">
        <f aca="false">$K667&amp;" "&amp;$C667</f>
        <v>Computacion 2024</v>
      </c>
      <c r="M667" s="61" t="str">
        <f aca="false">TRIM(INDEX(Datos_Origen!$G$2:$G$2459,$Z667))</f>
        <v>PC Gamer Ryzen</v>
      </c>
      <c r="N667" s="61" t="str">
        <f aca="false">$M667&amp;" "&amp;$C667</f>
        <v>PC Gamer Ryzen 2024</v>
      </c>
      <c r="O667" s="63" t="n">
        <f aca="false">IF(ISTEXT($AC667),VALUE($AC667),$AC667)</f>
        <v>3</v>
      </c>
      <c r="P667" s="64" t="n">
        <f aca="false">INDEX(Datos_Origen!$I$2:$I$2459,$Z667)</f>
        <v>1617</v>
      </c>
      <c r="Q667" s="64" t="n">
        <f aca="false">INDEX(Datos_Origen!$J$2:$J$2459,$Z667)</f>
        <v>1122</v>
      </c>
      <c r="R667" s="65" t="n">
        <f aca="false">ROUND($O667*$P667,2)</f>
        <v>4851</v>
      </c>
      <c r="S667" s="65" t="n">
        <f aca="false">ROUND($O667*$Q667,2)</f>
        <v>3366</v>
      </c>
      <c r="T667" s="65" t="n">
        <f aca="false">ROUND($R667*SUMIFS(Parametros!$E$28:$E$43,Parametros!$B$28:$B$43,$J667,Parametros!$C$28:$C$43,$C667,Parametros!$D$28:$D$43,$D667),2)</f>
        <v>223.15</v>
      </c>
      <c r="U667" s="65" t="n">
        <f aca="false">$R667-$S667-$T667</f>
        <v>1261.85</v>
      </c>
      <c r="V667" s="66" t="n">
        <f aca="false">IFERROR($U667/$R667,0)</f>
        <v>0.260121624407339</v>
      </c>
      <c r="W667" s="67" t="str">
        <f aca="false">IF(AND($V667&gt;=Parametros!$C$8,$R667&gt;=Parametros!$C$12),"Alta rentabilidad",IF(OR($V667&lt;Parametros!$C$11,$R667&lt;Parametros!$C$13),"Revisar","Estandar"))</f>
        <v>Revisar</v>
      </c>
      <c r="X667" s="67" t="str">
        <f aca="false">IF(AND($J667="E-commerce",IFERROR($T667/$R667,0)&gt;Parametros!$C$14),"Alerta","OK")</f>
        <v>OK</v>
      </c>
      <c r="Y667" s="61" t="str">
        <f aca="false">IF($R667&gt;=Parametros!$C$12,"Alto",IF($R667&lt;Parametros!$C$13,"Bajo","Medio"))</f>
        <v>Alto</v>
      </c>
      <c r="Z667" s="61" t="n">
        <v>691</v>
      </c>
      <c r="AA667" s="61" t="str">
        <f aca="false">IF(MATCH($A667,Datos_Origen!$A$2:$A$2459,0)=$Z667,"OK","REVISAR")</f>
        <v>OK</v>
      </c>
      <c r="AB667" s="61" t="str">
        <f aca="false">INDEX(Datos_Origen!$B$2:$B$2459,$Z667)</f>
        <v>2024-07-19</v>
      </c>
      <c r="AC667" s="61" t="n">
        <f aca="false">INDEX(Datos_Origen!$H$2:$H$2459,$Z667)</f>
        <v>3</v>
      </c>
      <c r="AD667" s="61" t="str">
        <f aca="false">INDEX(Datos_Origen!$D$2:$D$2459,$Z667)&amp;""</f>
        <v>Mendoza</v>
      </c>
    </row>
    <row r="668" customFormat="false" ht="15" hidden="false" customHeight="false" outlineLevel="0" collapsed="false">
      <c r="A668" s="61" t="n">
        <f aca="false">INDEX(Datos_Origen!$A$2:$A$2459,$Z668)</f>
        <v>667</v>
      </c>
      <c r="B668" s="62" t="n">
        <f aca="false">IF(ISNUMBER($AB668),$AB668,IF(MID($AB668,5,1)="-",DATE(VALUE(LEFT($AB668,4)),VALUE(MID($AB668,6,2)),VALUE(RIGHT($AB668,2))),DATE(VALUE(RIGHT($AB668,4)),VALUE(MID($AB668,4,2)),VALUE(LEFT($AB668,2)))))</f>
        <v>45499</v>
      </c>
      <c r="C668" s="61" t="n">
        <f aca="false">YEAR($B668)</f>
        <v>2024</v>
      </c>
      <c r="D668" s="61" t="str">
        <f aca="false">"Q"&amp;ROUNDUP(MONTH($B668)/3,0)</f>
        <v>Q3</v>
      </c>
      <c r="E668" s="61" t="n">
        <f aca="false">MONTH($B668)</f>
        <v>7</v>
      </c>
      <c r="F668" s="61" t="str">
        <f aca="false">INDEX(Parametros!$I$5:$I$16,$E668)</f>
        <v>Jul</v>
      </c>
      <c r="G668" s="61" t="str">
        <f aca="false">TEXT($C668,"0000")&amp;"-"&amp;TEXT($E668,"00")</f>
        <v>2024-07</v>
      </c>
      <c r="H668" s="61" t="str">
        <f aca="false">INDEX(Parametros!$C$71:$C$91,MATCH(TRIM(INDEX(Datos_Origen!$C$2:$C$2459,$Z668)),Parametros!$B$71:$B$91,0))</f>
        <v>Cuyo</v>
      </c>
      <c r="I668" s="61" t="str">
        <f aca="false">IF(TRIM($AD668)="",INDEX(Parametros!$I$20:$I$24,MATCH($H668,Parametros!$H$20:$H$24,0)),TRIM($AD668))</f>
        <v>Mendoza</v>
      </c>
      <c r="J668" s="61" t="str">
        <f aca="false">INDEX(Parametros!$C$95:$C$106,MATCH(TRIM(INDEX(Datos_Origen!$E$2:$E$2459,$Z668)),Parametros!$B$95:$B$106,0))</f>
        <v>Tienda fisica</v>
      </c>
      <c r="K668" s="61" t="str">
        <f aca="false">INDEX(Parametros!$C$48:$C$67,MATCH(TRIM(INDEX(Datos_Origen!$F$2:$F$2459,$Z668)),Parametros!$B$48:$B$67,0))</f>
        <v>Accesorios</v>
      </c>
      <c r="L668" s="61" t="str">
        <f aca="false">$K668&amp;" "&amp;$C668</f>
        <v>Accesorios 2024</v>
      </c>
      <c r="M668" s="61" t="str">
        <f aca="false">TRIM(INDEX(Datos_Origen!$G$2:$G$2459,$Z668))</f>
        <v>Mouse Inalambrico</v>
      </c>
      <c r="N668" s="61" t="str">
        <f aca="false">$M668&amp;" "&amp;$C668</f>
        <v>Mouse Inalambrico 2024</v>
      </c>
      <c r="O668" s="63" t="n">
        <f aca="false">IF(ISTEXT($AC668),VALUE($AC668),$AC668)</f>
        <v>33</v>
      </c>
      <c r="P668" s="64" t="n">
        <f aca="false">INDEX(Datos_Origen!$I$2:$I$2459,$Z668)</f>
        <v>27.44</v>
      </c>
      <c r="Q668" s="64" t="n">
        <f aca="false">INDEX(Datos_Origen!$J$2:$J$2459,$Z668)</f>
        <v>13.44</v>
      </c>
      <c r="R668" s="65" t="n">
        <f aca="false">ROUND($O668*$P668,2)</f>
        <v>905.52</v>
      </c>
      <c r="S668" s="65" t="n">
        <f aca="false">ROUND($O668*$Q668,2)</f>
        <v>443.52</v>
      </c>
      <c r="T668" s="65" t="n">
        <f aca="false">ROUND($R668*SUMIFS(Parametros!$E$28:$E$43,Parametros!$B$28:$B$43,$J668,Parametros!$C$28:$C$43,$C668,Parametros!$D$28:$D$43,$D668),2)</f>
        <v>11.77</v>
      </c>
      <c r="U668" s="65" t="n">
        <f aca="false">$R668-$S668-$T668</f>
        <v>450.23</v>
      </c>
      <c r="V668" s="66" t="n">
        <f aca="false">IFERROR($U668/$R668,0)</f>
        <v>0.49720602526725</v>
      </c>
      <c r="W668" s="67" t="str">
        <f aca="false">IF(AND($V668&gt;=Parametros!$C$8,$R668&gt;=Parametros!$C$12),"Alta rentabilidad",IF(OR($V668&lt;Parametros!$C$11,$R668&lt;Parametros!$C$13),"Revisar","Estandar"))</f>
        <v>Estandar</v>
      </c>
      <c r="X668" s="67" t="str">
        <f aca="false">IF(AND($J668="E-commerce",IFERROR($T668/$R668,0)&gt;Parametros!$C$14),"Alerta","OK")</f>
        <v>OK</v>
      </c>
      <c r="Y668" s="61" t="str">
        <f aca="false">IF($R668&gt;=Parametros!$C$12,"Alto",IF($R668&lt;Parametros!$C$13,"Bajo","Medio"))</f>
        <v>Medio</v>
      </c>
      <c r="Z668" s="61" t="n">
        <v>1179</v>
      </c>
      <c r="AA668" s="61" t="str">
        <f aca="false">IF(MATCH($A668,Datos_Origen!$A$2:$A$2459,0)=$Z668,"OK","REVISAR")</f>
        <v>OK</v>
      </c>
      <c r="AB668" s="61" t="str">
        <f aca="false">INDEX(Datos_Origen!$B$2:$B$2459,$Z668)</f>
        <v>26/07/2024</v>
      </c>
      <c r="AC668" s="61" t="str">
        <f aca="false">INDEX(Datos_Origen!$H$2:$H$2459,$Z668)</f>
        <v>33</v>
      </c>
      <c r="AD668" s="61" t="str">
        <f aca="false">INDEX(Datos_Origen!$D$2:$D$2459,$Z668)&amp;""</f>
        <v>Mendoza</v>
      </c>
    </row>
    <row r="669" customFormat="false" ht="15" hidden="false" customHeight="false" outlineLevel="0" collapsed="false">
      <c r="A669" s="61" t="n">
        <f aca="false">INDEX(Datos_Origen!$A$2:$A$2459,$Z669)</f>
        <v>668</v>
      </c>
      <c r="B669" s="62" t="n">
        <f aca="false">IF(ISNUMBER($AB669),$AB669,IF(MID($AB669,5,1)="-",DATE(VALUE(LEFT($AB669,4)),VALUE(MID($AB669,6,2)),VALUE(RIGHT($AB669,2))),DATE(VALUE(RIGHT($AB669,4)),VALUE(MID($AB669,4,2)),VALUE(LEFT($AB669,2)))))</f>
        <v>45479</v>
      </c>
      <c r="C669" s="61" t="n">
        <f aca="false">YEAR($B669)</f>
        <v>2024</v>
      </c>
      <c r="D669" s="61" t="str">
        <f aca="false">"Q"&amp;ROUNDUP(MONTH($B669)/3,0)</f>
        <v>Q3</v>
      </c>
      <c r="E669" s="61" t="n">
        <f aca="false">MONTH($B669)</f>
        <v>7</v>
      </c>
      <c r="F669" s="61" t="str">
        <f aca="false">INDEX(Parametros!$I$5:$I$16,$E669)</f>
        <v>Jul</v>
      </c>
      <c r="G669" s="61" t="str">
        <f aca="false">TEXT($C669,"0000")&amp;"-"&amp;TEXT($E669,"00")</f>
        <v>2024-07</v>
      </c>
      <c r="H669" s="61" t="str">
        <f aca="false">INDEX(Parametros!$C$71:$C$91,MATCH(TRIM(INDEX(Datos_Origen!$C$2:$C$2459,$Z669)),Parametros!$B$71:$B$91,0))</f>
        <v>Cuyo</v>
      </c>
      <c r="I669" s="61" t="str">
        <f aca="false">IF(TRIM($AD669)="",INDEX(Parametros!$I$20:$I$24,MATCH($H669,Parametros!$H$20:$H$24,0)),TRIM($AD669))</f>
        <v>Mendoza</v>
      </c>
      <c r="J669" s="61" t="str">
        <f aca="false">INDEX(Parametros!$C$95:$C$106,MATCH(TRIM(INDEX(Datos_Origen!$E$2:$E$2459,$Z669)),Parametros!$B$95:$B$106,0))</f>
        <v>E-commerce</v>
      </c>
      <c r="K669" s="61" t="str">
        <f aca="false">INDEX(Parametros!$C$48:$C$67,MATCH(TRIM(INDEX(Datos_Origen!$F$2:$F$2459,$Z669)),Parametros!$B$48:$B$67,0))</f>
        <v>Accesorios</v>
      </c>
      <c r="L669" s="61" t="str">
        <f aca="false">$K669&amp;" "&amp;$C669</f>
        <v>Accesorios 2024</v>
      </c>
      <c r="M669" s="61" t="str">
        <f aca="false">TRIM(INDEX(Datos_Origen!$G$2:$G$2459,$Z669))</f>
        <v>Mouse Inalambrico</v>
      </c>
      <c r="N669" s="61" t="str">
        <f aca="false">$M669&amp;" "&amp;$C669</f>
        <v>Mouse Inalambrico 2024</v>
      </c>
      <c r="O669" s="63" t="n">
        <f aca="false">IF(ISTEXT($AC669),VALUE($AC669),$AC669)</f>
        <v>13</v>
      </c>
      <c r="P669" s="64" t="n">
        <f aca="false">INDEX(Datos_Origen!$I$2:$I$2459,$Z669)</f>
        <v>27.44</v>
      </c>
      <c r="Q669" s="64" t="n">
        <f aca="false">INDEX(Datos_Origen!$J$2:$J$2459,$Z669)</f>
        <v>13.44</v>
      </c>
      <c r="R669" s="65" t="n">
        <f aca="false">ROUND($O669*$P669,2)</f>
        <v>356.72</v>
      </c>
      <c r="S669" s="65" t="n">
        <f aca="false">ROUND($O669*$Q669,2)</f>
        <v>174.72</v>
      </c>
      <c r="T669" s="65" t="n">
        <f aca="false">ROUND($R669*SUMIFS(Parametros!$E$28:$E$43,Parametros!$B$28:$B$43,$J669,Parametros!$C$28:$C$43,$C669,Parametros!$D$28:$D$43,$D669),2)</f>
        <v>16.41</v>
      </c>
      <c r="U669" s="65" t="n">
        <f aca="false">$R669-$S669-$T669</f>
        <v>165.59</v>
      </c>
      <c r="V669" s="66" t="n">
        <f aca="false">IFERROR($U669/$R669,0)</f>
        <v>0.464201614711819</v>
      </c>
      <c r="W669" s="67" t="str">
        <f aca="false">IF(AND($V669&gt;=Parametros!$C$8,$R669&gt;=Parametros!$C$12),"Alta rentabilidad",IF(OR($V669&lt;Parametros!$C$11,$R669&lt;Parametros!$C$13),"Revisar","Estandar"))</f>
        <v>Estandar</v>
      </c>
      <c r="X669" s="67" t="str">
        <f aca="false">IF(AND($J669="E-commerce",IFERROR($T669/$R669,0)&gt;Parametros!$C$14),"Alerta","OK")</f>
        <v>OK</v>
      </c>
      <c r="Y669" s="61" t="str">
        <f aca="false">IF($R669&gt;=Parametros!$C$12,"Alto",IF($R669&lt;Parametros!$C$13,"Bajo","Medio"))</f>
        <v>Medio</v>
      </c>
      <c r="Z669" s="61" t="n">
        <v>2060</v>
      </c>
      <c r="AA669" s="61" t="str">
        <f aca="false">IF(MATCH($A669,Datos_Origen!$A$2:$A$2459,0)=$Z669,"OK","REVISAR")</f>
        <v>OK</v>
      </c>
      <c r="AB669" s="62" t="n">
        <f aca="false">INDEX(Datos_Origen!$B$2:$B$2459,$Z669)</f>
        <v>45479</v>
      </c>
      <c r="AC669" s="61" t="n">
        <f aca="false">INDEX(Datos_Origen!$H$2:$H$2459,$Z669)</f>
        <v>13</v>
      </c>
      <c r="AD669" s="61" t="str">
        <f aca="false">INDEX(Datos_Origen!$D$2:$D$2459,$Z669)&amp;""</f>
        <v>Mendoza</v>
      </c>
    </row>
    <row r="670" customFormat="false" ht="15" hidden="false" customHeight="false" outlineLevel="0" collapsed="false">
      <c r="A670" s="61" t="n">
        <f aca="false">INDEX(Datos_Origen!$A$2:$A$2459,$Z670)</f>
        <v>669</v>
      </c>
      <c r="B670" s="62" t="n">
        <f aca="false">IF(ISNUMBER($AB670),$AB670,IF(MID($AB670,5,1)="-",DATE(VALUE(LEFT($AB670,4)),VALUE(MID($AB670,6,2)),VALUE(RIGHT($AB670,2))),DATE(VALUE(RIGHT($AB670,4)),VALUE(MID($AB670,4,2)),VALUE(LEFT($AB670,2)))))</f>
        <v>45486</v>
      </c>
      <c r="C670" s="61" t="n">
        <f aca="false">YEAR($B670)</f>
        <v>2024</v>
      </c>
      <c r="D670" s="61" t="str">
        <f aca="false">"Q"&amp;ROUNDUP(MONTH($B670)/3,0)</f>
        <v>Q3</v>
      </c>
      <c r="E670" s="61" t="n">
        <f aca="false">MONTH($B670)</f>
        <v>7</v>
      </c>
      <c r="F670" s="61" t="str">
        <f aca="false">INDEX(Parametros!$I$5:$I$16,$E670)</f>
        <v>Jul</v>
      </c>
      <c r="G670" s="61" t="str">
        <f aca="false">TEXT($C670,"0000")&amp;"-"&amp;TEXT($E670,"00")</f>
        <v>2024-07</v>
      </c>
      <c r="H670" s="61" t="str">
        <f aca="false">INDEX(Parametros!$C$71:$C$91,MATCH(TRIM(INDEX(Datos_Origen!$C$2:$C$2459,$Z670)),Parametros!$B$71:$B$91,0))</f>
        <v>Cuyo</v>
      </c>
      <c r="I670" s="61" t="str">
        <f aca="false">IF(TRIM($AD670)="",INDEX(Parametros!$I$20:$I$24,MATCH($H670,Parametros!$H$20:$H$24,0)),TRIM($AD670))</f>
        <v>Mendoza</v>
      </c>
      <c r="J670" s="61" t="str">
        <f aca="false">INDEX(Parametros!$C$95:$C$106,MATCH(TRIM(INDEX(Datos_Origen!$E$2:$E$2459,$Z670)),Parametros!$B$95:$B$106,0))</f>
        <v>Tienda fisica</v>
      </c>
      <c r="K670" s="61" t="str">
        <f aca="false">INDEX(Parametros!$C$48:$C$67,MATCH(TRIM(INDEX(Datos_Origen!$F$2:$F$2459,$Z670)),Parametros!$B$48:$B$67,0))</f>
        <v>Accesorios</v>
      </c>
      <c r="L670" s="61" t="str">
        <f aca="false">$K670&amp;" "&amp;$C670</f>
        <v>Accesorios 2024</v>
      </c>
      <c r="M670" s="61" t="str">
        <f aca="false">TRIM(INDEX(Datos_Origen!$G$2:$G$2459,$Z670))</f>
        <v>Teclado Mecanico</v>
      </c>
      <c r="N670" s="61" t="str">
        <f aca="false">$M670&amp;" "&amp;$C670</f>
        <v>Teclado Mecanico 2024</v>
      </c>
      <c r="O670" s="63" t="n">
        <f aca="false">IF(ISTEXT($AC670),VALUE($AC670),$AC670)</f>
        <v>39</v>
      </c>
      <c r="P670" s="64" t="n">
        <f aca="false">INDEX(Datos_Origen!$I$2:$I$2459,$Z670)</f>
        <v>93.1</v>
      </c>
      <c r="Q670" s="64" t="n">
        <f aca="false">INDEX(Datos_Origen!$J$2:$J$2459,$Z670)</f>
        <v>47.98</v>
      </c>
      <c r="R670" s="65" t="n">
        <f aca="false">ROUND($O670*$P670,2)</f>
        <v>3630.9</v>
      </c>
      <c r="S670" s="65" t="n">
        <f aca="false">ROUND($O670*$Q670,2)</f>
        <v>1871.22</v>
      </c>
      <c r="T670" s="65" t="n">
        <f aca="false">ROUND($R670*SUMIFS(Parametros!$E$28:$E$43,Parametros!$B$28:$B$43,$J670,Parametros!$C$28:$C$43,$C670,Parametros!$D$28:$D$43,$D670),2)</f>
        <v>47.2</v>
      </c>
      <c r="U670" s="65" t="n">
        <f aca="false">$R670-$S670-$T670</f>
        <v>1712.48</v>
      </c>
      <c r="V670" s="66" t="n">
        <f aca="false">IFERROR($U670/$R670,0)</f>
        <v>0.471640640061693</v>
      </c>
      <c r="W670" s="67" t="str">
        <f aca="false">IF(AND($V670&gt;=Parametros!$C$8,$R670&gt;=Parametros!$C$12),"Alta rentabilidad",IF(OR($V670&lt;Parametros!$C$11,$R670&lt;Parametros!$C$13),"Revisar","Estandar"))</f>
        <v>Alta rentabilidad</v>
      </c>
      <c r="X670" s="67" t="str">
        <f aca="false">IF(AND($J670="E-commerce",IFERROR($T670/$R670,0)&gt;Parametros!$C$14),"Alerta","OK")</f>
        <v>OK</v>
      </c>
      <c r="Y670" s="61" t="str">
        <f aca="false">IF($R670&gt;=Parametros!$C$12,"Alto",IF($R670&lt;Parametros!$C$13,"Bajo","Medio"))</f>
        <v>Alto</v>
      </c>
      <c r="Z670" s="61" t="n">
        <v>2407</v>
      </c>
      <c r="AA670" s="61" t="str">
        <f aca="false">IF(MATCH($A670,Datos_Origen!$A$2:$A$2459,0)=$Z670,"OK","REVISAR")</f>
        <v>OK</v>
      </c>
      <c r="AB670" s="61" t="str">
        <f aca="false">INDEX(Datos_Origen!$B$2:$B$2459,$Z670)</f>
        <v>13/07/2024</v>
      </c>
      <c r="AC670" s="61" t="str">
        <f aca="false">INDEX(Datos_Origen!$H$2:$H$2459,$Z670)</f>
        <v>39</v>
      </c>
      <c r="AD670" s="61" t="str">
        <f aca="false">INDEX(Datos_Origen!$D$2:$D$2459,$Z670)&amp;""</f>
        <v>Mendoza</v>
      </c>
    </row>
    <row r="671" customFormat="false" ht="15" hidden="false" customHeight="false" outlineLevel="0" collapsed="false">
      <c r="A671" s="61" t="n">
        <f aca="false">INDEX(Datos_Origen!$A$2:$A$2459,$Z671)</f>
        <v>670</v>
      </c>
      <c r="B671" s="62" t="n">
        <f aca="false">IF(ISNUMBER($AB671),$AB671,IF(MID($AB671,5,1)="-",DATE(VALUE(LEFT($AB671,4)),VALUE(MID($AB671,6,2)),VALUE(RIGHT($AB671,2))),DATE(VALUE(RIGHT($AB671,4)),VALUE(MID($AB671,4,2)),VALUE(LEFT($AB671,2)))))</f>
        <v>45493</v>
      </c>
      <c r="C671" s="61" t="n">
        <f aca="false">YEAR($B671)</f>
        <v>2024</v>
      </c>
      <c r="D671" s="61" t="str">
        <f aca="false">"Q"&amp;ROUNDUP(MONTH($B671)/3,0)</f>
        <v>Q3</v>
      </c>
      <c r="E671" s="61" t="n">
        <f aca="false">MONTH($B671)</f>
        <v>7</v>
      </c>
      <c r="F671" s="61" t="str">
        <f aca="false">INDEX(Parametros!$I$5:$I$16,$E671)</f>
        <v>Jul</v>
      </c>
      <c r="G671" s="61" t="str">
        <f aca="false">TEXT($C671,"0000")&amp;"-"&amp;TEXT($E671,"00")</f>
        <v>2024-07</v>
      </c>
      <c r="H671" s="61" t="str">
        <f aca="false">INDEX(Parametros!$C$71:$C$91,MATCH(TRIM(INDEX(Datos_Origen!$C$2:$C$2459,$Z671)),Parametros!$B$71:$B$91,0))</f>
        <v>Cuyo</v>
      </c>
      <c r="I671" s="61" t="str">
        <f aca="false">IF(TRIM($AD671)="",INDEX(Parametros!$I$20:$I$24,MATCH($H671,Parametros!$H$20:$H$24,0)),TRIM($AD671))</f>
        <v>Mendoza</v>
      </c>
      <c r="J671" s="61" t="str">
        <f aca="false">INDEX(Parametros!$C$95:$C$106,MATCH(TRIM(INDEX(Datos_Origen!$E$2:$E$2459,$Z671)),Parametros!$B$95:$B$106,0))</f>
        <v>E-commerce</v>
      </c>
      <c r="K671" s="61" t="str">
        <f aca="false">INDEX(Parametros!$C$48:$C$67,MATCH(TRIM(INDEX(Datos_Origen!$F$2:$F$2459,$Z671)),Parametros!$B$48:$B$67,0))</f>
        <v>Accesorios</v>
      </c>
      <c r="L671" s="61" t="str">
        <f aca="false">$K671&amp;" "&amp;$C671</f>
        <v>Accesorios 2024</v>
      </c>
      <c r="M671" s="61" t="str">
        <f aca="false">TRIM(INDEX(Datos_Origen!$G$2:$G$2459,$Z671))</f>
        <v>Teclado Mecanico</v>
      </c>
      <c r="N671" s="61" t="str">
        <f aca="false">$M671&amp;" "&amp;$C671</f>
        <v>Teclado Mecanico 2024</v>
      </c>
      <c r="O671" s="63" t="n">
        <f aca="false">IF(ISTEXT($AC671),VALUE($AC671),$AC671)</f>
        <v>11</v>
      </c>
      <c r="P671" s="64" t="n">
        <f aca="false">INDEX(Datos_Origen!$I$2:$I$2459,$Z671)</f>
        <v>93.1</v>
      </c>
      <c r="Q671" s="64" t="n">
        <f aca="false">INDEX(Datos_Origen!$J$2:$J$2459,$Z671)</f>
        <v>47.98</v>
      </c>
      <c r="R671" s="65" t="n">
        <f aca="false">ROUND($O671*$P671,2)</f>
        <v>1024.1</v>
      </c>
      <c r="S671" s="65" t="n">
        <f aca="false">ROUND($O671*$Q671,2)</f>
        <v>527.78</v>
      </c>
      <c r="T671" s="65" t="n">
        <f aca="false">ROUND($R671*SUMIFS(Parametros!$E$28:$E$43,Parametros!$B$28:$B$43,$J671,Parametros!$C$28:$C$43,$C671,Parametros!$D$28:$D$43,$D671),2)</f>
        <v>47.11</v>
      </c>
      <c r="U671" s="65" t="n">
        <f aca="false">$R671-$S671-$T671</f>
        <v>449.21</v>
      </c>
      <c r="V671" s="66" t="n">
        <f aca="false">IFERROR($U671/$R671,0)</f>
        <v>0.438638804804218</v>
      </c>
      <c r="W671" s="67" t="str">
        <f aca="false">IF(AND($V671&gt;=Parametros!$C$8,$R671&gt;=Parametros!$C$12),"Alta rentabilidad",IF(OR($V671&lt;Parametros!$C$11,$R671&lt;Parametros!$C$13),"Revisar","Estandar"))</f>
        <v>Estandar</v>
      </c>
      <c r="X671" s="67" t="str">
        <f aca="false">IF(AND($J671="E-commerce",IFERROR($T671/$R671,0)&gt;Parametros!$C$14),"Alerta","OK")</f>
        <v>OK</v>
      </c>
      <c r="Y671" s="61" t="str">
        <f aca="false">IF($R671&gt;=Parametros!$C$12,"Alto",IF($R671&lt;Parametros!$C$13,"Bajo","Medio"))</f>
        <v>Medio</v>
      </c>
      <c r="Z671" s="61" t="n">
        <v>2135</v>
      </c>
      <c r="AA671" s="61" t="str">
        <f aca="false">IF(MATCH($A671,Datos_Origen!$A$2:$A$2459,0)=$Z671,"OK","REVISAR")</f>
        <v>OK</v>
      </c>
      <c r="AB671" s="61" t="str">
        <f aca="false">INDEX(Datos_Origen!$B$2:$B$2459,$Z671)</f>
        <v>2024-07-20</v>
      </c>
      <c r="AC671" s="61" t="n">
        <f aca="false">INDEX(Datos_Origen!$H$2:$H$2459,$Z671)</f>
        <v>11</v>
      </c>
      <c r="AD671" s="61" t="str">
        <f aca="false">INDEX(Datos_Origen!$D$2:$D$2459,$Z671)&amp;""</f>
        <v>Mendoza</v>
      </c>
    </row>
    <row r="672" customFormat="false" ht="15" hidden="false" customHeight="false" outlineLevel="0" collapsed="false">
      <c r="A672" s="61" t="n">
        <f aca="false">INDEX(Datos_Origen!$A$2:$A$2459,$Z672)</f>
        <v>671</v>
      </c>
      <c r="B672" s="62" t="n">
        <f aca="false">IF(ISNUMBER($AB672),$AB672,IF(MID($AB672,5,1)="-",DATE(VALUE(LEFT($AB672,4)),VALUE(MID($AB672,6,2)),VALUE(RIGHT($AB672,2))),DATE(VALUE(RIGHT($AB672,4)),VALUE(MID($AB672,4,2)),VALUE(LEFT($AB672,2)))))</f>
        <v>45500</v>
      </c>
      <c r="C672" s="61" t="n">
        <f aca="false">YEAR($B672)</f>
        <v>2024</v>
      </c>
      <c r="D672" s="61" t="str">
        <f aca="false">"Q"&amp;ROUNDUP(MONTH($B672)/3,0)</f>
        <v>Q3</v>
      </c>
      <c r="E672" s="61" t="n">
        <f aca="false">MONTH($B672)</f>
        <v>7</v>
      </c>
      <c r="F672" s="61" t="str">
        <f aca="false">INDEX(Parametros!$I$5:$I$16,$E672)</f>
        <v>Jul</v>
      </c>
      <c r="G672" s="61" t="str">
        <f aca="false">TEXT($C672,"0000")&amp;"-"&amp;TEXT($E672,"00")</f>
        <v>2024-07</v>
      </c>
      <c r="H672" s="61" t="str">
        <f aca="false">INDEX(Parametros!$C$71:$C$91,MATCH(TRIM(INDEX(Datos_Origen!$C$2:$C$2459,$Z672)),Parametros!$B$71:$B$91,0))</f>
        <v>Cuyo</v>
      </c>
      <c r="I672" s="61" t="str">
        <f aca="false">IF(TRIM($AD672)="",INDEX(Parametros!$I$20:$I$24,MATCH($H672,Parametros!$H$20:$H$24,0)),TRIM($AD672))</f>
        <v>Mendoza</v>
      </c>
      <c r="J672" s="61" t="str">
        <f aca="false">INDEX(Parametros!$C$95:$C$106,MATCH(TRIM(INDEX(Datos_Origen!$E$2:$E$2459,$Z672)),Parametros!$B$95:$B$106,0))</f>
        <v>Tienda fisica</v>
      </c>
      <c r="K672" s="61" t="str">
        <f aca="false">INDEX(Parametros!$C$48:$C$67,MATCH(TRIM(INDEX(Datos_Origen!$F$2:$F$2459,$Z672)),Parametros!$B$48:$B$67,0))</f>
        <v>Accesorios</v>
      </c>
      <c r="L672" s="61" t="str">
        <f aca="false">$K672&amp;" "&amp;$C672</f>
        <v>Accesorios 2024</v>
      </c>
      <c r="M672" s="61" t="str">
        <f aca="false">TRIM(INDEX(Datos_Origen!$G$2:$G$2459,$Z672))</f>
        <v>Webcam Full HD</v>
      </c>
      <c r="N672" s="61" t="str">
        <f aca="false">$M672&amp;" "&amp;$C672</f>
        <v>Webcam Full HD 2024</v>
      </c>
      <c r="O672" s="63" t="n">
        <f aca="false">IF(ISTEXT($AC672),VALUE($AC672),$AC672)</f>
        <v>36</v>
      </c>
      <c r="P672" s="64" t="n">
        <f aca="false">INDEX(Datos_Origen!$I$2:$I$2459,$Z672)</f>
        <v>63.7</v>
      </c>
      <c r="Q672" s="64" t="n">
        <f aca="false">INDEX(Datos_Origen!$J$2:$J$2459,$Z672)</f>
        <v>35.43</v>
      </c>
      <c r="R672" s="65" t="n">
        <f aca="false">ROUND($O672*$P672,2)</f>
        <v>2293.2</v>
      </c>
      <c r="S672" s="65" t="n">
        <f aca="false">ROUND($O672*$Q672,2)</f>
        <v>1275.48</v>
      </c>
      <c r="T672" s="65" t="n">
        <f aca="false">ROUND($R672*SUMIFS(Parametros!$E$28:$E$43,Parametros!$B$28:$B$43,$J672,Parametros!$C$28:$C$43,$C672,Parametros!$D$28:$D$43,$D672),2)</f>
        <v>29.81</v>
      </c>
      <c r="U672" s="65" t="n">
        <f aca="false">$R672-$S672-$T672</f>
        <v>987.91</v>
      </c>
      <c r="V672" s="66" t="n">
        <f aca="false">IFERROR($U672/$R672,0)</f>
        <v>0.430799755799756</v>
      </c>
      <c r="W672" s="67" t="str">
        <f aca="false">IF(AND($V672&gt;=Parametros!$C$8,$R672&gt;=Parametros!$C$12),"Alta rentabilidad",IF(OR($V672&lt;Parametros!$C$11,$R672&lt;Parametros!$C$13),"Revisar","Estandar"))</f>
        <v>Estandar</v>
      </c>
      <c r="X672" s="67" t="str">
        <f aca="false">IF(AND($J672="E-commerce",IFERROR($T672/$R672,0)&gt;Parametros!$C$14),"Alerta","OK")</f>
        <v>OK</v>
      </c>
      <c r="Y672" s="61" t="str">
        <f aca="false">IF($R672&gt;=Parametros!$C$12,"Alto",IF($R672&lt;Parametros!$C$13,"Bajo","Medio"))</f>
        <v>Medio</v>
      </c>
      <c r="Z672" s="61" t="n">
        <v>2195</v>
      </c>
      <c r="AA672" s="61" t="str">
        <f aca="false">IF(MATCH($A672,Datos_Origen!$A$2:$A$2459,0)=$Z672,"OK","REVISAR")</f>
        <v>OK</v>
      </c>
      <c r="AB672" s="62" t="n">
        <f aca="false">INDEX(Datos_Origen!$B$2:$B$2459,$Z672)</f>
        <v>45500</v>
      </c>
      <c r="AC672" s="61" t="str">
        <f aca="false">INDEX(Datos_Origen!$H$2:$H$2459,$Z672)</f>
        <v>36</v>
      </c>
      <c r="AD672" s="61" t="str">
        <f aca="false">INDEX(Datos_Origen!$D$2:$D$2459,$Z672)&amp;""</f>
        <v>Mendoza</v>
      </c>
    </row>
    <row r="673" customFormat="false" ht="15" hidden="false" customHeight="false" outlineLevel="0" collapsed="false">
      <c r="A673" s="61" t="n">
        <f aca="false">INDEX(Datos_Origen!$A$2:$A$2459,$Z673)</f>
        <v>672</v>
      </c>
      <c r="B673" s="62" t="n">
        <f aca="false">IF(ISNUMBER($AB673),$AB673,IF(MID($AB673,5,1)="-",DATE(VALUE(LEFT($AB673,4)),VALUE(MID($AB673,6,2)),VALUE(RIGHT($AB673,2))),DATE(VALUE(RIGHT($AB673,4)),VALUE(MID($AB673,4,2)),VALUE(LEFT($AB673,2)))))</f>
        <v>45480</v>
      </c>
      <c r="C673" s="61" t="n">
        <f aca="false">YEAR($B673)</f>
        <v>2024</v>
      </c>
      <c r="D673" s="61" t="str">
        <f aca="false">"Q"&amp;ROUNDUP(MONTH($B673)/3,0)</f>
        <v>Q3</v>
      </c>
      <c r="E673" s="61" t="n">
        <f aca="false">MONTH($B673)</f>
        <v>7</v>
      </c>
      <c r="F673" s="61" t="str">
        <f aca="false">INDEX(Parametros!$I$5:$I$16,$E673)</f>
        <v>Jul</v>
      </c>
      <c r="G673" s="61" t="str">
        <f aca="false">TEXT($C673,"0000")&amp;"-"&amp;TEXT($E673,"00")</f>
        <v>2024-07</v>
      </c>
      <c r="H673" s="61" t="str">
        <f aca="false">INDEX(Parametros!$C$71:$C$91,MATCH(TRIM(INDEX(Datos_Origen!$C$2:$C$2459,$Z673)),Parametros!$B$71:$B$91,0))</f>
        <v>Cuyo</v>
      </c>
      <c r="I673" s="61" t="str">
        <f aca="false">IF(TRIM($AD673)="",INDEX(Parametros!$I$20:$I$24,MATCH($H673,Parametros!$H$20:$H$24,0)),TRIM($AD673))</f>
        <v>Mendoza</v>
      </c>
      <c r="J673" s="61" t="str">
        <f aca="false">INDEX(Parametros!$C$95:$C$106,MATCH(TRIM(INDEX(Datos_Origen!$E$2:$E$2459,$Z673)),Parametros!$B$95:$B$106,0))</f>
        <v>E-commerce</v>
      </c>
      <c r="K673" s="61" t="str">
        <f aca="false">INDEX(Parametros!$C$48:$C$67,MATCH(TRIM(INDEX(Datos_Origen!$F$2:$F$2459,$Z673)),Parametros!$B$48:$B$67,0))</f>
        <v>Accesorios</v>
      </c>
      <c r="L673" s="61" t="str">
        <f aca="false">$K673&amp;" "&amp;$C673</f>
        <v>Accesorios 2024</v>
      </c>
      <c r="M673" s="61" t="str">
        <f aca="false">TRIM(INDEX(Datos_Origen!$G$2:$G$2459,$Z673))</f>
        <v>Webcam Full HD</v>
      </c>
      <c r="N673" s="61" t="str">
        <f aca="false">$M673&amp;" "&amp;$C673</f>
        <v>Webcam Full HD 2024</v>
      </c>
      <c r="O673" s="63" t="n">
        <f aca="false">IF(ISTEXT($AC673),VALUE($AC673),$AC673)</f>
        <v>12</v>
      </c>
      <c r="P673" s="64" t="n">
        <f aca="false">INDEX(Datos_Origen!$I$2:$I$2459,$Z673)</f>
        <v>63.7</v>
      </c>
      <c r="Q673" s="64" t="n">
        <f aca="false">INDEX(Datos_Origen!$J$2:$J$2459,$Z673)</f>
        <v>35.43</v>
      </c>
      <c r="R673" s="65" t="n">
        <f aca="false">ROUND($O673*$P673,2)</f>
        <v>764.4</v>
      </c>
      <c r="S673" s="65" t="n">
        <f aca="false">ROUND($O673*$Q673,2)</f>
        <v>425.16</v>
      </c>
      <c r="T673" s="65" t="n">
        <f aca="false">ROUND($R673*SUMIFS(Parametros!$E$28:$E$43,Parametros!$B$28:$B$43,$J673,Parametros!$C$28:$C$43,$C673,Parametros!$D$28:$D$43,$D673),2)</f>
        <v>35.16</v>
      </c>
      <c r="U673" s="65" t="n">
        <f aca="false">$R673-$S673-$T673</f>
        <v>304.08</v>
      </c>
      <c r="V673" s="66" t="n">
        <f aca="false">IFERROR($U673/$R673,0)</f>
        <v>0.397802197802198</v>
      </c>
      <c r="W673" s="67" t="str">
        <f aca="false">IF(AND($V673&gt;=Parametros!$C$8,$R673&gt;=Parametros!$C$12),"Alta rentabilidad",IF(OR($V673&lt;Parametros!$C$11,$R673&lt;Parametros!$C$13),"Revisar","Estandar"))</f>
        <v>Estandar</v>
      </c>
      <c r="X673" s="67" t="str">
        <f aca="false">IF(AND($J673="E-commerce",IFERROR($T673/$R673,0)&gt;Parametros!$C$14),"Alerta","OK")</f>
        <v>OK</v>
      </c>
      <c r="Y673" s="61" t="str">
        <f aca="false">IF($R673&gt;=Parametros!$C$12,"Alto",IF($R673&lt;Parametros!$C$13,"Bajo","Medio"))</f>
        <v>Medio</v>
      </c>
      <c r="Z673" s="61" t="n">
        <v>2013</v>
      </c>
      <c r="AA673" s="61" t="str">
        <f aca="false">IF(MATCH($A673,Datos_Origen!$A$2:$A$2459,0)=$Z673,"OK","REVISAR")</f>
        <v>OK</v>
      </c>
      <c r="AB673" s="62" t="n">
        <f aca="false">INDEX(Datos_Origen!$B$2:$B$2459,$Z673)</f>
        <v>45480</v>
      </c>
      <c r="AC673" s="61" t="n">
        <f aca="false">INDEX(Datos_Origen!$H$2:$H$2459,$Z673)</f>
        <v>12</v>
      </c>
      <c r="AD673" s="61" t="str">
        <f aca="false">INDEX(Datos_Origen!$D$2:$D$2459,$Z673)&amp;""</f>
        <v>Mendoza</v>
      </c>
    </row>
    <row r="674" customFormat="false" ht="15" hidden="false" customHeight="false" outlineLevel="0" collapsed="false">
      <c r="A674" s="61" t="n">
        <f aca="false">INDEX(Datos_Origen!$A$2:$A$2459,$Z674)</f>
        <v>673</v>
      </c>
      <c r="B674" s="62" t="n">
        <f aca="false">IF(ISNUMBER($AB674),$AB674,IF(MID($AB674,5,1)="-",DATE(VALUE(LEFT($AB674,4)),VALUE(MID($AB674,6,2)),VALUE(RIGHT($AB674,2))),DATE(VALUE(RIGHT($AB674,4)),VALUE(MID($AB674,4,2)),VALUE(LEFT($AB674,2)))))</f>
        <v>45487</v>
      </c>
      <c r="C674" s="61" t="n">
        <f aca="false">YEAR($B674)</f>
        <v>2024</v>
      </c>
      <c r="D674" s="61" t="str">
        <f aca="false">"Q"&amp;ROUNDUP(MONTH($B674)/3,0)</f>
        <v>Q3</v>
      </c>
      <c r="E674" s="61" t="n">
        <f aca="false">MONTH($B674)</f>
        <v>7</v>
      </c>
      <c r="F674" s="61" t="str">
        <f aca="false">INDEX(Parametros!$I$5:$I$16,$E674)</f>
        <v>Jul</v>
      </c>
      <c r="G674" s="61" t="str">
        <f aca="false">TEXT($C674,"0000")&amp;"-"&amp;TEXT($E674,"00")</f>
        <v>2024-07</v>
      </c>
      <c r="H674" s="61" t="str">
        <f aca="false">INDEX(Parametros!$C$71:$C$91,MATCH(TRIM(INDEX(Datos_Origen!$C$2:$C$2459,$Z674)),Parametros!$B$71:$B$91,0))</f>
        <v>Cuyo</v>
      </c>
      <c r="I674" s="61" t="str">
        <f aca="false">IF(TRIM($AD674)="",INDEX(Parametros!$I$20:$I$24,MATCH($H674,Parametros!$H$20:$H$24,0)),TRIM($AD674))</f>
        <v>Mendoza</v>
      </c>
      <c r="J674" s="61" t="str">
        <f aca="false">INDEX(Parametros!$C$95:$C$106,MATCH(TRIM(INDEX(Datos_Origen!$E$2:$E$2459,$Z674)),Parametros!$B$95:$B$106,0))</f>
        <v>Tienda fisica</v>
      </c>
      <c r="K674" s="61" t="str">
        <f aca="false">INDEX(Parametros!$C$48:$C$67,MATCH(TRIM(INDEX(Datos_Origen!$F$2:$F$2459,$Z674)),Parametros!$B$48:$B$67,0))</f>
        <v>Audio</v>
      </c>
      <c r="L674" s="61" t="str">
        <f aca="false">$K674&amp;" "&amp;$C674</f>
        <v>Audio 2024</v>
      </c>
      <c r="M674" s="61" t="str">
        <f aca="false">TRIM(INDEX(Datos_Origen!$G$2:$G$2459,$Z674))</f>
        <v>Auriculares BT Pro</v>
      </c>
      <c r="N674" s="61" t="str">
        <f aca="false">$M674&amp;" "&amp;$C674</f>
        <v>Auriculares BT Pro 2024</v>
      </c>
      <c r="O674" s="63" t="n">
        <f aca="false">IF(ISTEXT($AC674),VALUE($AC674),$AC674)</f>
        <v>14</v>
      </c>
      <c r="P674" s="64" t="n">
        <f aca="false">INDEX(Datos_Origen!$I$2:$I$2459,$Z674)</f>
        <v>117.6</v>
      </c>
      <c r="Q674" s="64" t="n">
        <f aca="false">INDEX(Datos_Origen!$J$2:$J$2459,$Z674)</f>
        <v>63.6</v>
      </c>
      <c r="R674" s="65" t="n">
        <f aca="false">ROUND($O674*$P674,2)</f>
        <v>1646.4</v>
      </c>
      <c r="S674" s="65" t="n">
        <f aca="false">ROUND($O674*$Q674,2)</f>
        <v>890.4</v>
      </c>
      <c r="T674" s="65" t="n">
        <f aca="false">ROUND($R674*SUMIFS(Parametros!$E$28:$E$43,Parametros!$B$28:$B$43,$J674,Parametros!$C$28:$C$43,$C674,Parametros!$D$28:$D$43,$D674),2)</f>
        <v>21.4</v>
      </c>
      <c r="U674" s="65" t="n">
        <f aca="false">$R674-$S674-$T674</f>
        <v>734.6</v>
      </c>
      <c r="V674" s="66" t="n">
        <f aca="false">IFERROR($U674/$R674,0)</f>
        <v>0.446185617103985</v>
      </c>
      <c r="W674" s="67" t="str">
        <f aca="false">IF(AND($V674&gt;=Parametros!$C$8,$R674&gt;=Parametros!$C$12),"Alta rentabilidad",IF(OR($V674&lt;Parametros!$C$11,$R674&lt;Parametros!$C$13),"Revisar","Estandar"))</f>
        <v>Estandar</v>
      </c>
      <c r="X674" s="67" t="str">
        <f aca="false">IF(AND($J674="E-commerce",IFERROR($T674/$R674,0)&gt;Parametros!$C$14),"Alerta","OK")</f>
        <v>OK</v>
      </c>
      <c r="Y674" s="61" t="str">
        <f aca="false">IF($R674&gt;=Parametros!$C$12,"Alto",IF($R674&lt;Parametros!$C$13,"Bajo","Medio"))</f>
        <v>Medio</v>
      </c>
      <c r="Z674" s="61" t="n">
        <v>989</v>
      </c>
      <c r="AA674" s="61" t="str">
        <f aca="false">IF(MATCH($A674,Datos_Origen!$A$2:$A$2459,0)=$Z674,"OK","REVISAR")</f>
        <v>OK</v>
      </c>
      <c r="AB674" s="61" t="str">
        <f aca="false">INDEX(Datos_Origen!$B$2:$B$2459,$Z674)</f>
        <v>14/07/2024</v>
      </c>
      <c r="AC674" s="61" t="n">
        <f aca="false">INDEX(Datos_Origen!$H$2:$H$2459,$Z674)</f>
        <v>14</v>
      </c>
      <c r="AD674" s="61" t="str">
        <f aca="false">INDEX(Datos_Origen!$D$2:$D$2459,$Z674)&amp;""</f>
        <v>Mendoza</v>
      </c>
    </row>
    <row r="675" customFormat="false" ht="15" hidden="false" customHeight="false" outlineLevel="0" collapsed="false">
      <c r="A675" s="61" t="n">
        <f aca="false">INDEX(Datos_Origen!$A$2:$A$2459,$Z675)</f>
        <v>674</v>
      </c>
      <c r="B675" s="62" t="n">
        <f aca="false">IF(ISNUMBER($AB675),$AB675,IF(MID($AB675,5,1)="-",DATE(VALUE(LEFT($AB675,4)),VALUE(MID($AB675,6,2)),VALUE(RIGHT($AB675,2))),DATE(VALUE(RIGHT($AB675,4)),VALUE(MID($AB675,4,2)),VALUE(LEFT($AB675,2)))))</f>
        <v>45494</v>
      </c>
      <c r="C675" s="61" t="n">
        <f aca="false">YEAR($B675)</f>
        <v>2024</v>
      </c>
      <c r="D675" s="61" t="str">
        <f aca="false">"Q"&amp;ROUNDUP(MONTH($B675)/3,0)</f>
        <v>Q3</v>
      </c>
      <c r="E675" s="61" t="n">
        <f aca="false">MONTH($B675)</f>
        <v>7</v>
      </c>
      <c r="F675" s="61" t="str">
        <f aca="false">INDEX(Parametros!$I$5:$I$16,$E675)</f>
        <v>Jul</v>
      </c>
      <c r="G675" s="61" t="str">
        <f aca="false">TEXT($C675,"0000")&amp;"-"&amp;TEXT($E675,"00")</f>
        <v>2024-07</v>
      </c>
      <c r="H675" s="61" t="str">
        <f aca="false">INDEX(Parametros!$C$71:$C$91,MATCH(TRIM(INDEX(Datos_Origen!$C$2:$C$2459,$Z675)),Parametros!$B$71:$B$91,0))</f>
        <v>Cuyo</v>
      </c>
      <c r="I675" s="61" t="str">
        <f aca="false">IF(TRIM($AD675)="",INDEX(Parametros!$I$20:$I$24,MATCH($H675,Parametros!$H$20:$H$24,0)),TRIM($AD675))</f>
        <v>Mendoza</v>
      </c>
      <c r="J675" s="61" t="str">
        <f aca="false">INDEX(Parametros!$C$95:$C$106,MATCH(TRIM(INDEX(Datos_Origen!$E$2:$E$2459,$Z675)),Parametros!$B$95:$B$106,0))</f>
        <v>E-commerce</v>
      </c>
      <c r="K675" s="61" t="str">
        <f aca="false">INDEX(Parametros!$C$48:$C$67,MATCH(TRIM(INDEX(Datos_Origen!$F$2:$F$2459,$Z675)),Parametros!$B$48:$B$67,0))</f>
        <v>Audio</v>
      </c>
      <c r="L675" s="61" t="str">
        <f aca="false">$K675&amp;" "&amp;$C675</f>
        <v>Audio 2024</v>
      </c>
      <c r="M675" s="61" t="str">
        <f aca="false">TRIM(INDEX(Datos_Origen!$G$2:$G$2459,$Z675))</f>
        <v>Auriculares BT Pro</v>
      </c>
      <c r="N675" s="61" t="str">
        <f aca="false">$M675&amp;" "&amp;$C675</f>
        <v>Auriculares BT Pro 2024</v>
      </c>
      <c r="O675" s="63" t="n">
        <f aca="false">IF(ISTEXT($AC675),VALUE($AC675),$AC675)</f>
        <v>6</v>
      </c>
      <c r="P675" s="64" t="n">
        <f aca="false">INDEX(Datos_Origen!$I$2:$I$2459,$Z675)</f>
        <v>117.6</v>
      </c>
      <c r="Q675" s="64" t="n">
        <f aca="false">INDEX(Datos_Origen!$J$2:$J$2459,$Z675)</f>
        <v>63.6</v>
      </c>
      <c r="R675" s="65" t="n">
        <f aca="false">ROUND($O675*$P675,2)</f>
        <v>705.6</v>
      </c>
      <c r="S675" s="65" t="n">
        <f aca="false">ROUND($O675*$Q675,2)</f>
        <v>381.6</v>
      </c>
      <c r="T675" s="65" t="n">
        <f aca="false">ROUND($R675*SUMIFS(Parametros!$E$28:$E$43,Parametros!$B$28:$B$43,$J675,Parametros!$C$28:$C$43,$C675,Parametros!$D$28:$D$43,$D675),2)</f>
        <v>32.46</v>
      </c>
      <c r="U675" s="65" t="n">
        <f aca="false">$R675-$S675-$T675</f>
        <v>291.54</v>
      </c>
      <c r="V675" s="66" t="n">
        <f aca="false">IFERROR($U675/$R675,0)</f>
        <v>0.413180272108844</v>
      </c>
      <c r="W675" s="67" t="str">
        <f aca="false">IF(AND($V675&gt;=Parametros!$C$8,$R675&gt;=Parametros!$C$12),"Alta rentabilidad",IF(OR($V675&lt;Parametros!$C$11,$R675&lt;Parametros!$C$13),"Revisar","Estandar"))</f>
        <v>Estandar</v>
      </c>
      <c r="X675" s="67" t="str">
        <f aca="false">IF(AND($J675="E-commerce",IFERROR($T675/$R675,0)&gt;Parametros!$C$14),"Alerta","OK")</f>
        <v>OK</v>
      </c>
      <c r="Y675" s="61" t="str">
        <f aca="false">IF($R675&gt;=Parametros!$C$12,"Alto",IF($R675&lt;Parametros!$C$13,"Bajo","Medio"))</f>
        <v>Medio</v>
      </c>
      <c r="Z675" s="61" t="n">
        <v>2261</v>
      </c>
      <c r="AA675" s="61" t="str">
        <f aca="false">IF(MATCH($A675,Datos_Origen!$A$2:$A$2459,0)=$Z675,"OK","REVISAR")</f>
        <v>OK</v>
      </c>
      <c r="AB675" s="62" t="n">
        <f aca="false">INDEX(Datos_Origen!$B$2:$B$2459,$Z675)</f>
        <v>45494</v>
      </c>
      <c r="AC675" s="61" t="n">
        <f aca="false">INDEX(Datos_Origen!$H$2:$H$2459,$Z675)</f>
        <v>6</v>
      </c>
      <c r="AD675" s="61" t="str">
        <f aca="false">INDEX(Datos_Origen!$D$2:$D$2459,$Z675)&amp;""</f>
        <v>Mendoza</v>
      </c>
    </row>
    <row r="676" customFormat="false" ht="15" hidden="false" customHeight="false" outlineLevel="0" collapsed="false">
      <c r="A676" s="61" t="n">
        <f aca="false">INDEX(Datos_Origen!$A$2:$A$2459,$Z676)</f>
        <v>675</v>
      </c>
      <c r="B676" s="62" t="n">
        <f aca="false">IF(ISNUMBER($AB676),$AB676,IF(MID($AB676,5,1)="-",DATE(VALUE(LEFT($AB676,4)),VALUE(MID($AB676,6,2)),VALUE(RIGHT($AB676,2))),DATE(VALUE(RIGHT($AB676,4)),VALUE(MID($AB676,4,2)),VALUE(LEFT($AB676,2)))))</f>
        <v>45474</v>
      </c>
      <c r="C676" s="61" t="n">
        <f aca="false">YEAR($B676)</f>
        <v>2024</v>
      </c>
      <c r="D676" s="61" t="str">
        <f aca="false">"Q"&amp;ROUNDUP(MONTH($B676)/3,0)</f>
        <v>Q3</v>
      </c>
      <c r="E676" s="61" t="n">
        <f aca="false">MONTH($B676)</f>
        <v>7</v>
      </c>
      <c r="F676" s="61" t="str">
        <f aca="false">INDEX(Parametros!$I$5:$I$16,$E676)</f>
        <v>Jul</v>
      </c>
      <c r="G676" s="61" t="str">
        <f aca="false">TEXT($C676,"0000")&amp;"-"&amp;TEXT($E676,"00")</f>
        <v>2024-07</v>
      </c>
      <c r="H676" s="61" t="str">
        <f aca="false">INDEX(Parametros!$C$71:$C$91,MATCH(TRIM(INDEX(Datos_Origen!$C$2:$C$2459,$Z676)),Parametros!$B$71:$B$91,0))</f>
        <v>Cuyo</v>
      </c>
      <c r="I676" s="61" t="str">
        <f aca="false">IF(TRIM($AD676)="",INDEX(Parametros!$I$20:$I$24,MATCH($H676,Parametros!$H$20:$H$24,0)),TRIM($AD676))</f>
        <v>Mendoza</v>
      </c>
      <c r="J676" s="61" t="str">
        <f aca="false">INDEX(Parametros!$C$95:$C$106,MATCH(TRIM(INDEX(Datos_Origen!$E$2:$E$2459,$Z676)),Parametros!$B$95:$B$106,0))</f>
        <v>Tienda fisica</v>
      </c>
      <c r="K676" s="61" t="str">
        <f aca="false">INDEX(Parametros!$C$48:$C$67,MATCH(TRIM(INDEX(Datos_Origen!$F$2:$F$2459,$Z676)),Parametros!$B$48:$B$67,0))</f>
        <v>Audio</v>
      </c>
      <c r="L676" s="61" t="str">
        <f aca="false">$K676&amp;" "&amp;$C676</f>
        <v>Audio 2024</v>
      </c>
      <c r="M676" s="61" t="str">
        <f aca="false">TRIM(INDEX(Datos_Origen!$G$2:$G$2459,$Z676))</f>
        <v>Parlante Bluetooth</v>
      </c>
      <c r="N676" s="61" t="str">
        <f aca="false">$M676&amp;" "&amp;$C676</f>
        <v>Parlante Bluetooth 2024</v>
      </c>
      <c r="O676" s="63" t="n">
        <f aca="false">IF(ISTEXT($AC676),VALUE($AC676),$AC676)</f>
        <v>15</v>
      </c>
      <c r="P676" s="64" t="n">
        <f aca="false">INDEX(Datos_Origen!$I$2:$I$2459,$Z676)</f>
        <v>83.3</v>
      </c>
      <c r="Q676" s="64" t="n">
        <f aca="false">INDEX(Datos_Origen!$J$2:$J$2459,$Z676)</f>
        <v>48.03</v>
      </c>
      <c r="R676" s="65" t="n">
        <f aca="false">ROUND($O676*$P676,2)</f>
        <v>1249.5</v>
      </c>
      <c r="S676" s="65" t="n">
        <f aca="false">ROUND($O676*$Q676,2)</f>
        <v>720.45</v>
      </c>
      <c r="T676" s="65" t="n">
        <f aca="false">ROUND($R676*SUMIFS(Parametros!$E$28:$E$43,Parametros!$B$28:$B$43,$J676,Parametros!$C$28:$C$43,$C676,Parametros!$D$28:$D$43,$D676),2)</f>
        <v>16.24</v>
      </c>
      <c r="U676" s="65" t="n">
        <f aca="false">$R676-$S676-$T676</f>
        <v>512.81</v>
      </c>
      <c r="V676" s="66" t="n">
        <f aca="false">IFERROR($U676/$R676,0)</f>
        <v>0.410412164865946</v>
      </c>
      <c r="W676" s="67" t="str">
        <f aca="false">IF(AND($V676&gt;=Parametros!$C$8,$R676&gt;=Parametros!$C$12),"Alta rentabilidad",IF(OR($V676&lt;Parametros!$C$11,$R676&lt;Parametros!$C$13),"Revisar","Estandar"))</f>
        <v>Estandar</v>
      </c>
      <c r="X676" s="67" t="str">
        <f aca="false">IF(AND($J676="E-commerce",IFERROR($T676/$R676,0)&gt;Parametros!$C$14),"Alerta","OK")</f>
        <v>OK</v>
      </c>
      <c r="Y676" s="61" t="str">
        <f aca="false">IF($R676&gt;=Parametros!$C$12,"Alto",IF($R676&lt;Parametros!$C$13,"Bajo","Medio"))</f>
        <v>Medio</v>
      </c>
      <c r="Z676" s="61" t="n">
        <v>1552</v>
      </c>
      <c r="AA676" s="61" t="str">
        <f aca="false">IF(MATCH($A676,Datos_Origen!$A$2:$A$2459,0)=$Z676,"OK","REVISAR")</f>
        <v>OK</v>
      </c>
      <c r="AB676" s="62" t="n">
        <f aca="false">INDEX(Datos_Origen!$B$2:$B$2459,$Z676)</f>
        <v>45474</v>
      </c>
      <c r="AC676" s="61" t="n">
        <f aca="false">INDEX(Datos_Origen!$H$2:$H$2459,$Z676)</f>
        <v>15</v>
      </c>
      <c r="AD676" s="61" t="str">
        <f aca="false">INDEX(Datos_Origen!$D$2:$D$2459,$Z676)&amp;""</f>
        <v>Mendoza</v>
      </c>
    </row>
    <row r="677" customFormat="false" ht="15" hidden="false" customHeight="false" outlineLevel="0" collapsed="false">
      <c r="A677" s="61" t="n">
        <f aca="false">INDEX(Datos_Origen!$A$2:$A$2459,$Z677)</f>
        <v>676</v>
      </c>
      <c r="B677" s="62" t="n">
        <f aca="false">IF(ISNUMBER($AB677),$AB677,IF(MID($AB677,5,1)="-",DATE(VALUE(LEFT($AB677,4)),VALUE(MID($AB677,6,2)),VALUE(RIGHT($AB677,2))),DATE(VALUE(RIGHT($AB677,4)),VALUE(MID($AB677,4,2)),VALUE(LEFT($AB677,2)))))</f>
        <v>45481</v>
      </c>
      <c r="C677" s="61" t="n">
        <f aca="false">YEAR($B677)</f>
        <v>2024</v>
      </c>
      <c r="D677" s="61" t="str">
        <f aca="false">"Q"&amp;ROUNDUP(MONTH($B677)/3,0)</f>
        <v>Q3</v>
      </c>
      <c r="E677" s="61" t="n">
        <f aca="false">MONTH($B677)</f>
        <v>7</v>
      </c>
      <c r="F677" s="61" t="str">
        <f aca="false">INDEX(Parametros!$I$5:$I$16,$E677)</f>
        <v>Jul</v>
      </c>
      <c r="G677" s="61" t="str">
        <f aca="false">TEXT($C677,"0000")&amp;"-"&amp;TEXT($E677,"00")</f>
        <v>2024-07</v>
      </c>
      <c r="H677" s="61" t="str">
        <f aca="false">INDEX(Parametros!$C$71:$C$91,MATCH(TRIM(INDEX(Datos_Origen!$C$2:$C$2459,$Z677)),Parametros!$B$71:$B$91,0))</f>
        <v>Cuyo</v>
      </c>
      <c r="I677" s="61" t="str">
        <f aca="false">IF(TRIM($AD677)="",INDEX(Parametros!$I$20:$I$24,MATCH($H677,Parametros!$H$20:$H$24,0)),TRIM($AD677))</f>
        <v>Mendoza</v>
      </c>
      <c r="J677" s="61" t="str">
        <f aca="false">INDEX(Parametros!$C$95:$C$106,MATCH(TRIM(INDEX(Datos_Origen!$E$2:$E$2459,$Z677)),Parametros!$B$95:$B$106,0))</f>
        <v>E-commerce</v>
      </c>
      <c r="K677" s="61" t="str">
        <f aca="false">INDEX(Parametros!$C$48:$C$67,MATCH(TRIM(INDEX(Datos_Origen!$F$2:$F$2459,$Z677)),Parametros!$B$48:$B$67,0))</f>
        <v>Audio</v>
      </c>
      <c r="L677" s="61" t="str">
        <f aca="false">$K677&amp;" "&amp;$C677</f>
        <v>Audio 2024</v>
      </c>
      <c r="M677" s="61" t="str">
        <f aca="false">TRIM(INDEX(Datos_Origen!$G$2:$G$2459,$Z677))</f>
        <v>Parlante Bluetooth</v>
      </c>
      <c r="N677" s="61" t="str">
        <f aca="false">$M677&amp;" "&amp;$C677</f>
        <v>Parlante Bluetooth 2024</v>
      </c>
      <c r="O677" s="63" t="n">
        <f aca="false">IF(ISTEXT($AC677),VALUE($AC677),$AC677)</f>
        <v>5</v>
      </c>
      <c r="P677" s="64" t="n">
        <f aca="false">INDEX(Datos_Origen!$I$2:$I$2459,$Z677)</f>
        <v>83.3</v>
      </c>
      <c r="Q677" s="64" t="n">
        <f aca="false">INDEX(Datos_Origen!$J$2:$J$2459,$Z677)</f>
        <v>48.03</v>
      </c>
      <c r="R677" s="65" t="n">
        <f aca="false">ROUND($O677*$P677,2)</f>
        <v>416.5</v>
      </c>
      <c r="S677" s="65" t="n">
        <f aca="false">ROUND($O677*$Q677,2)</f>
        <v>240.15</v>
      </c>
      <c r="T677" s="65" t="n">
        <f aca="false">ROUND($R677*SUMIFS(Parametros!$E$28:$E$43,Parametros!$B$28:$B$43,$J677,Parametros!$C$28:$C$43,$C677,Parametros!$D$28:$D$43,$D677),2)</f>
        <v>19.16</v>
      </c>
      <c r="U677" s="65" t="n">
        <f aca="false">$R677-$S677-$T677</f>
        <v>157.19</v>
      </c>
      <c r="V677" s="66" t="n">
        <f aca="false">IFERROR($U677/$R677,0)</f>
        <v>0.377406962785114</v>
      </c>
      <c r="W677" s="67" t="str">
        <f aca="false">IF(AND($V677&gt;=Parametros!$C$8,$R677&gt;=Parametros!$C$12),"Alta rentabilidad",IF(OR($V677&lt;Parametros!$C$11,$R677&lt;Parametros!$C$13),"Revisar","Estandar"))</f>
        <v>Estandar</v>
      </c>
      <c r="X677" s="67" t="str">
        <f aca="false">IF(AND($J677="E-commerce",IFERROR($T677/$R677,0)&gt;Parametros!$C$14),"Alerta","OK")</f>
        <v>OK</v>
      </c>
      <c r="Y677" s="61" t="str">
        <f aca="false">IF($R677&gt;=Parametros!$C$12,"Alto",IF($R677&lt;Parametros!$C$13,"Bajo","Medio"))</f>
        <v>Medio</v>
      </c>
      <c r="Z677" s="61" t="n">
        <v>655</v>
      </c>
      <c r="AA677" s="61" t="str">
        <f aca="false">IF(MATCH($A677,Datos_Origen!$A$2:$A$2459,0)=$Z677,"OK","REVISAR")</f>
        <v>OK</v>
      </c>
      <c r="AB677" s="62" t="n">
        <f aca="false">INDEX(Datos_Origen!$B$2:$B$2459,$Z677)</f>
        <v>45481</v>
      </c>
      <c r="AC677" s="61" t="n">
        <f aca="false">INDEX(Datos_Origen!$H$2:$H$2459,$Z677)</f>
        <v>5</v>
      </c>
      <c r="AD677" s="61" t="str">
        <f aca="false">INDEX(Datos_Origen!$D$2:$D$2459,$Z677)&amp;""</f>
        <v>Mendoza</v>
      </c>
    </row>
    <row r="678" customFormat="false" ht="15" hidden="false" customHeight="false" outlineLevel="0" collapsed="false">
      <c r="A678" s="61" t="n">
        <f aca="false">INDEX(Datos_Origen!$A$2:$A$2459,$Z678)</f>
        <v>677</v>
      </c>
      <c r="B678" s="62" t="n">
        <f aca="false">IF(ISNUMBER($AB678),$AB678,IF(MID($AB678,5,1)="-",DATE(VALUE(LEFT($AB678,4)),VALUE(MID($AB678,6,2)),VALUE(RIGHT($AB678,2))),DATE(VALUE(RIGHT($AB678,4)),VALUE(MID($AB678,4,2)),VALUE(LEFT($AB678,2)))))</f>
        <v>45488</v>
      </c>
      <c r="C678" s="61" t="n">
        <f aca="false">YEAR($B678)</f>
        <v>2024</v>
      </c>
      <c r="D678" s="61" t="str">
        <f aca="false">"Q"&amp;ROUNDUP(MONTH($B678)/3,0)</f>
        <v>Q3</v>
      </c>
      <c r="E678" s="61" t="n">
        <f aca="false">MONTH($B678)</f>
        <v>7</v>
      </c>
      <c r="F678" s="61" t="str">
        <f aca="false">INDEX(Parametros!$I$5:$I$16,$E678)</f>
        <v>Jul</v>
      </c>
      <c r="G678" s="61" t="str">
        <f aca="false">TEXT($C678,"0000")&amp;"-"&amp;TEXT($E678,"00")</f>
        <v>2024-07</v>
      </c>
      <c r="H678" s="61" t="str">
        <f aca="false">INDEX(Parametros!$C$71:$C$91,MATCH(TRIM(INDEX(Datos_Origen!$C$2:$C$2459,$Z678)),Parametros!$B$71:$B$91,0))</f>
        <v>Cuyo</v>
      </c>
      <c r="I678" s="61" t="str">
        <f aca="false">IF(TRIM($AD678)="",INDEX(Parametros!$I$20:$I$24,MATCH($H678,Parametros!$H$20:$H$24,0)),TRIM($AD678))</f>
        <v>Mendoza</v>
      </c>
      <c r="J678" s="61" t="str">
        <f aca="false">INDEX(Parametros!$C$95:$C$106,MATCH(TRIM(INDEX(Datos_Origen!$E$2:$E$2459,$Z678)),Parametros!$B$95:$B$106,0))</f>
        <v>Tienda fisica</v>
      </c>
      <c r="K678" s="61" t="str">
        <f aca="false">INDEX(Parametros!$C$48:$C$67,MATCH(TRIM(INDEX(Datos_Origen!$F$2:$F$2459,$Z678)),Parametros!$B$48:$B$67,0))</f>
        <v>Almacenamiento</v>
      </c>
      <c r="L678" s="61" t="str">
        <f aca="false">$K678&amp;" "&amp;$C678</f>
        <v>Almacenamiento 2024</v>
      </c>
      <c r="M678" s="61" t="str">
        <f aca="false">TRIM(INDEX(Datos_Origen!$G$2:$G$2459,$Z678))</f>
        <v>SSD Externo 1TB</v>
      </c>
      <c r="N678" s="61" t="str">
        <f aca="false">$M678&amp;" "&amp;$C678</f>
        <v>SSD Externo 1TB 2024</v>
      </c>
      <c r="O678" s="63" t="n">
        <f aca="false">IF(ISTEXT($AC678),VALUE($AC678),$AC678)</f>
        <v>18</v>
      </c>
      <c r="P678" s="64" t="n">
        <f aca="false">INDEX(Datos_Origen!$I$2:$I$2459,$Z678)</f>
        <v>127.4</v>
      </c>
      <c r="Q678" s="64" t="n">
        <f aca="false">INDEX(Datos_Origen!$J$2:$J$2459,$Z678)</f>
        <v>76.05</v>
      </c>
      <c r="R678" s="65" t="n">
        <f aca="false">ROUND($O678*$P678,2)</f>
        <v>2293.2</v>
      </c>
      <c r="S678" s="65" t="n">
        <f aca="false">ROUND($O678*$Q678,2)</f>
        <v>1368.9</v>
      </c>
      <c r="T678" s="65" t="n">
        <f aca="false">ROUND($R678*SUMIFS(Parametros!$E$28:$E$43,Parametros!$B$28:$B$43,$J678,Parametros!$C$28:$C$43,$C678,Parametros!$D$28:$D$43,$D678),2)</f>
        <v>29.81</v>
      </c>
      <c r="U678" s="65" t="n">
        <f aca="false">$R678-$S678-$T678</f>
        <v>894.49</v>
      </c>
      <c r="V678" s="66" t="n">
        <f aca="false">IFERROR($U678/$R678,0)</f>
        <v>0.390061922204779</v>
      </c>
      <c r="W678" s="67" t="str">
        <f aca="false">IF(AND($V678&gt;=Parametros!$C$8,$R678&gt;=Parametros!$C$12),"Alta rentabilidad",IF(OR($V678&lt;Parametros!$C$11,$R678&lt;Parametros!$C$13),"Revisar","Estandar"))</f>
        <v>Estandar</v>
      </c>
      <c r="X678" s="67" t="str">
        <f aca="false">IF(AND($J678="E-commerce",IFERROR($T678/$R678,0)&gt;Parametros!$C$14),"Alerta","OK")</f>
        <v>OK</v>
      </c>
      <c r="Y678" s="61" t="str">
        <f aca="false">IF($R678&gt;=Parametros!$C$12,"Alto",IF($R678&lt;Parametros!$C$13,"Bajo","Medio"))</f>
        <v>Medio</v>
      </c>
      <c r="Z678" s="61" t="n">
        <v>1134</v>
      </c>
      <c r="AA678" s="61" t="str">
        <f aca="false">IF(MATCH($A678,Datos_Origen!$A$2:$A$2459,0)=$Z678,"OK","REVISAR")</f>
        <v>OK</v>
      </c>
      <c r="AB678" s="62" t="n">
        <f aca="false">INDEX(Datos_Origen!$B$2:$B$2459,$Z678)</f>
        <v>45488</v>
      </c>
      <c r="AC678" s="61" t="n">
        <f aca="false">INDEX(Datos_Origen!$H$2:$H$2459,$Z678)</f>
        <v>18</v>
      </c>
      <c r="AD678" s="61" t="str">
        <f aca="false">INDEX(Datos_Origen!$D$2:$D$2459,$Z678)&amp;""</f>
        <v>Mendoza</v>
      </c>
    </row>
    <row r="679" customFormat="false" ht="15" hidden="false" customHeight="false" outlineLevel="0" collapsed="false">
      <c r="A679" s="61" t="n">
        <f aca="false">INDEX(Datos_Origen!$A$2:$A$2459,$Z679)</f>
        <v>678</v>
      </c>
      <c r="B679" s="62" t="n">
        <f aca="false">IF(ISNUMBER($AB679),$AB679,IF(MID($AB679,5,1)="-",DATE(VALUE(LEFT($AB679,4)),VALUE(MID($AB679,6,2)),VALUE(RIGHT($AB679,2))),DATE(VALUE(RIGHT($AB679,4)),VALUE(MID($AB679,4,2)),VALUE(LEFT($AB679,2)))))</f>
        <v>45495</v>
      </c>
      <c r="C679" s="61" t="n">
        <f aca="false">YEAR($B679)</f>
        <v>2024</v>
      </c>
      <c r="D679" s="61" t="str">
        <f aca="false">"Q"&amp;ROUNDUP(MONTH($B679)/3,0)</f>
        <v>Q3</v>
      </c>
      <c r="E679" s="61" t="n">
        <f aca="false">MONTH($B679)</f>
        <v>7</v>
      </c>
      <c r="F679" s="61" t="str">
        <f aca="false">INDEX(Parametros!$I$5:$I$16,$E679)</f>
        <v>Jul</v>
      </c>
      <c r="G679" s="61" t="str">
        <f aca="false">TEXT($C679,"0000")&amp;"-"&amp;TEXT($E679,"00")</f>
        <v>2024-07</v>
      </c>
      <c r="H679" s="61" t="str">
        <f aca="false">INDEX(Parametros!$C$71:$C$91,MATCH(TRIM(INDEX(Datos_Origen!$C$2:$C$2459,$Z679)),Parametros!$B$71:$B$91,0))</f>
        <v>Cuyo</v>
      </c>
      <c r="I679" s="61" t="str">
        <f aca="false">IF(TRIM($AD679)="",INDEX(Parametros!$I$20:$I$24,MATCH($H679,Parametros!$H$20:$H$24,0)),TRIM($AD679))</f>
        <v>Mendoza</v>
      </c>
      <c r="J679" s="61" t="str">
        <f aca="false">INDEX(Parametros!$C$95:$C$106,MATCH(TRIM(INDEX(Datos_Origen!$E$2:$E$2459,$Z679)),Parametros!$B$95:$B$106,0))</f>
        <v>E-commerce</v>
      </c>
      <c r="K679" s="61" t="str">
        <f aca="false">INDEX(Parametros!$C$48:$C$67,MATCH(TRIM(INDEX(Datos_Origen!$F$2:$F$2459,$Z679)),Parametros!$B$48:$B$67,0))</f>
        <v>Almacenamiento</v>
      </c>
      <c r="L679" s="61" t="str">
        <f aca="false">$K679&amp;" "&amp;$C679</f>
        <v>Almacenamiento 2024</v>
      </c>
      <c r="M679" s="61" t="str">
        <f aca="false">TRIM(INDEX(Datos_Origen!$G$2:$G$2459,$Z679))</f>
        <v>SSD Externo 1TB</v>
      </c>
      <c r="N679" s="61" t="str">
        <f aca="false">$M679&amp;" "&amp;$C679</f>
        <v>SSD Externo 1TB 2024</v>
      </c>
      <c r="O679" s="63" t="n">
        <f aca="false">IF(ISTEXT($AC679),VALUE($AC679),$AC679)</f>
        <v>9</v>
      </c>
      <c r="P679" s="64" t="n">
        <f aca="false">INDEX(Datos_Origen!$I$2:$I$2459,$Z679)</f>
        <v>127.4</v>
      </c>
      <c r="Q679" s="64" t="n">
        <f aca="false">INDEX(Datos_Origen!$J$2:$J$2459,$Z679)</f>
        <v>76.05</v>
      </c>
      <c r="R679" s="65" t="n">
        <f aca="false">ROUND($O679*$P679,2)</f>
        <v>1146.6</v>
      </c>
      <c r="S679" s="65" t="n">
        <f aca="false">ROUND($O679*$Q679,2)</f>
        <v>684.45</v>
      </c>
      <c r="T679" s="65" t="n">
        <f aca="false">ROUND($R679*SUMIFS(Parametros!$E$28:$E$43,Parametros!$B$28:$B$43,$J679,Parametros!$C$28:$C$43,$C679,Parametros!$D$28:$D$43,$D679),2)</f>
        <v>52.74</v>
      </c>
      <c r="U679" s="65" t="n">
        <f aca="false">$R679-$S679-$T679</f>
        <v>409.41</v>
      </c>
      <c r="V679" s="66" t="n">
        <f aca="false">IFERROR($U679/$R679,0)</f>
        <v>0.357064364207221</v>
      </c>
      <c r="W679" s="67" t="str">
        <f aca="false">IF(AND($V679&gt;=Parametros!$C$8,$R679&gt;=Parametros!$C$12),"Alta rentabilidad",IF(OR($V679&lt;Parametros!$C$11,$R679&lt;Parametros!$C$13),"Revisar","Estandar"))</f>
        <v>Estandar</v>
      </c>
      <c r="X679" s="67" t="str">
        <f aca="false">IF(AND($J679="E-commerce",IFERROR($T679/$R679,0)&gt;Parametros!$C$14),"Alerta","OK")</f>
        <v>OK</v>
      </c>
      <c r="Y679" s="61" t="str">
        <f aca="false">IF($R679&gt;=Parametros!$C$12,"Alto",IF($R679&lt;Parametros!$C$13,"Bajo","Medio"))</f>
        <v>Medio</v>
      </c>
      <c r="Z679" s="61" t="n">
        <v>1990</v>
      </c>
      <c r="AA679" s="61" t="str">
        <f aca="false">IF(MATCH($A679,Datos_Origen!$A$2:$A$2459,0)=$Z679,"OK","REVISAR")</f>
        <v>OK</v>
      </c>
      <c r="AB679" s="62" t="n">
        <f aca="false">INDEX(Datos_Origen!$B$2:$B$2459,$Z679)</f>
        <v>45495</v>
      </c>
      <c r="AC679" s="61" t="n">
        <f aca="false">INDEX(Datos_Origen!$H$2:$H$2459,$Z679)</f>
        <v>9</v>
      </c>
      <c r="AD679" s="61" t="str">
        <f aca="false">INDEX(Datos_Origen!$D$2:$D$2459,$Z679)&amp;""</f>
        <v>Mendoza</v>
      </c>
    </row>
    <row r="680" customFormat="false" ht="15" hidden="false" customHeight="false" outlineLevel="0" collapsed="false">
      <c r="A680" s="61" t="n">
        <f aca="false">INDEX(Datos_Origen!$A$2:$A$2459,$Z680)</f>
        <v>679</v>
      </c>
      <c r="B680" s="62" t="n">
        <f aca="false">IF(ISNUMBER($AB680),$AB680,IF(MID($AB680,5,1)="-",DATE(VALUE(LEFT($AB680,4)),VALUE(MID($AB680,6,2)),VALUE(RIGHT($AB680,2))),DATE(VALUE(RIGHT($AB680,4)),VALUE(MID($AB680,4,2)),VALUE(LEFT($AB680,2)))))</f>
        <v>45475</v>
      </c>
      <c r="C680" s="61" t="n">
        <f aca="false">YEAR($B680)</f>
        <v>2024</v>
      </c>
      <c r="D680" s="61" t="str">
        <f aca="false">"Q"&amp;ROUNDUP(MONTH($B680)/3,0)</f>
        <v>Q3</v>
      </c>
      <c r="E680" s="61" t="n">
        <f aca="false">MONTH($B680)</f>
        <v>7</v>
      </c>
      <c r="F680" s="61" t="str">
        <f aca="false">INDEX(Parametros!$I$5:$I$16,$E680)</f>
        <v>Jul</v>
      </c>
      <c r="G680" s="61" t="str">
        <f aca="false">TEXT($C680,"0000")&amp;"-"&amp;TEXT($E680,"00")</f>
        <v>2024-07</v>
      </c>
      <c r="H680" s="61" t="str">
        <f aca="false">INDEX(Parametros!$C$71:$C$91,MATCH(TRIM(INDEX(Datos_Origen!$C$2:$C$2459,$Z680)),Parametros!$B$71:$B$91,0))</f>
        <v>Cuyo</v>
      </c>
      <c r="I680" s="61" t="str">
        <f aca="false">IF(TRIM($AD680)="",INDEX(Parametros!$I$20:$I$24,MATCH($H680,Parametros!$H$20:$H$24,0)),TRIM($AD680))</f>
        <v>Mendoza</v>
      </c>
      <c r="J680" s="61" t="str">
        <f aca="false">INDEX(Parametros!$C$95:$C$106,MATCH(TRIM(INDEX(Datos_Origen!$E$2:$E$2459,$Z680)),Parametros!$B$95:$B$106,0))</f>
        <v>Tienda fisica</v>
      </c>
      <c r="K680" s="61" t="str">
        <f aca="false">INDEX(Parametros!$C$48:$C$67,MATCH(TRIM(INDEX(Datos_Origen!$F$2:$F$2459,$Z680)),Parametros!$B$48:$B$67,0))</f>
        <v>Almacenamiento</v>
      </c>
      <c r="L680" s="61" t="str">
        <f aca="false">$K680&amp;" "&amp;$C680</f>
        <v>Almacenamiento 2024</v>
      </c>
      <c r="M680" s="61" t="str">
        <f aca="false">TRIM(INDEX(Datos_Origen!$G$2:$G$2459,$Z680))</f>
        <v>Pendrive 256GB</v>
      </c>
      <c r="N680" s="61" t="str">
        <f aca="false">$M680&amp;" "&amp;$C680</f>
        <v>Pendrive 256GB 2024</v>
      </c>
      <c r="O680" s="63" t="n">
        <f aca="false">IF(ISTEXT($AC680),VALUE($AC680),$AC680)</f>
        <v>20</v>
      </c>
      <c r="P680" s="64" t="n">
        <f aca="false">INDEX(Datos_Origen!$I$2:$I$2459,$Z680)</f>
        <v>34.3</v>
      </c>
      <c r="Q680" s="64" t="n">
        <f aca="false">INDEX(Datos_Origen!$J$2:$J$2459,$Z680)</f>
        <v>17.85</v>
      </c>
      <c r="R680" s="65" t="n">
        <f aca="false">ROUND($O680*$P680,2)</f>
        <v>686</v>
      </c>
      <c r="S680" s="65" t="n">
        <f aca="false">ROUND($O680*$Q680,2)</f>
        <v>357</v>
      </c>
      <c r="T680" s="65" t="n">
        <f aca="false">ROUND($R680*SUMIFS(Parametros!$E$28:$E$43,Parametros!$B$28:$B$43,$J680,Parametros!$C$28:$C$43,$C680,Parametros!$D$28:$D$43,$D680),2)</f>
        <v>8.92</v>
      </c>
      <c r="U680" s="65" t="n">
        <f aca="false">$R680-$S680-$T680</f>
        <v>320.08</v>
      </c>
      <c r="V680" s="66" t="n">
        <f aca="false">IFERROR($U680/$R680,0)</f>
        <v>0.466588921282799</v>
      </c>
      <c r="W680" s="67" t="str">
        <f aca="false">IF(AND($V680&gt;=Parametros!$C$8,$R680&gt;=Parametros!$C$12),"Alta rentabilidad",IF(OR($V680&lt;Parametros!$C$11,$R680&lt;Parametros!$C$13),"Revisar","Estandar"))</f>
        <v>Estandar</v>
      </c>
      <c r="X680" s="67" t="str">
        <f aca="false">IF(AND($J680="E-commerce",IFERROR($T680/$R680,0)&gt;Parametros!$C$14),"Alerta","OK")</f>
        <v>OK</v>
      </c>
      <c r="Y680" s="61" t="str">
        <f aca="false">IF($R680&gt;=Parametros!$C$12,"Alto",IF($R680&lt;Parametros!$C$13,"Bajo","Medio"))</f>
        <v>Medio</v>
      </c>
      <c r="Z680" s="61" t="n">
        <v>1460</v>
      </c>
      <c r="AA680" s="61" t="str">
        <f aca="false">IF(MATCH($A680,Datos_Origen!$A$2:$A$2459,0)=$Z680,"OK","REVISAR")</f>
        <v>OK</v>
      </c>
      <c r="AB680" s="62" t="n">
        <f aca="false">INDEX(Datos_Origen!$B$2:$B$2459,$Z680)</f>
        <v>45475</v>
      </c>
      <c r="AC680" s="61" t="str">
        <f aca="false">INDEX(Datos_Origen!$H$2:$H$2459,$Z680)</f>
        <v>20</v>
      </c>
      <c r="AD680" s="61" t="str">
        <f aca="false">INDEX(Datos_Origen!$D$2:$D$2459,$Z680)&amp;""</f>
        <v>Mendoza</v>
      </c>
    </row>
    <row r="681" customFormat="false" ht="15" hidden="false" customHeight="false" outlineLevel="0" collapsed="false">
      <c r="A681" s="61" t="n">
        <f aca="false">INDEX(Datos_Origen!$A$2:$A$2459,$Z681)</f>
        <v>680</v>
      </c>
      <c r="B681" s="62" t="n">
        <f aca="false">IF(ISNUMBER($AB681),$AB681,IF(MID($AB681,5,1)="-",DATE(VALUE(LEFT($AB681,4)),VALUE(MID($AB681,6,2)),VALUE(RIGHT($AB681,2))),DATE(VALUE(RIGHT($AB681,4)),VALUE(MID($AB681,4,2)),VALUE(LEFT($AB681,2)))))</f>
        <v>45482</v>
      </c>
      <c r="C681" s="61" t="n">
        <f aca="false">YEAR($B681)</f>
        <v>2024</v>
      </c>
      <c r="D681" s="61" t="str">
        <f aca="false">"Q"&amp;ROUNDUP(MONTH($B681)/3,0)</f>
        <v>Q3</v>
      </c>
      <c r="E681" s="61" t="n">
        <f aca="false">MONTH($B681)</f>
        <v>7</v>
      </c>
      <c r="F681" s="61" t="str">
        <f aca="false">INDEX(Parametros!$I$5:$I$16,$E681)</f>
        <v>Jul</v>
      </c>
      <c r="G681" s="61" t="str">
        <f aca="false">TEXT($C681,"0000")&amp;"-"&amp;TEXT($E681,"00")</f>
        <v>2024-07</v>
      </c>
      <c r="H681" s="61" t="str">
        <f aca="false">INDEX(Parametros!$C$71:$C$91,MATCH(TRIM(INDEX(Datos_Origen!$C$2:$C$2459,$Z681)),Parametros!$B$71:$B$91,0))</f>
        <v>Cuyo</v>
      </c>
      <c r="I681" s="61" t="str">
        <f aca="false">IF(TRIM($AD681)="",INDEX(Parametros!$I$20:$I$24,MATCH($H681,Parametros!$H$20:$H$24,0)),TRIM($AD681))</f>
        <v>Mendoza</v>
      </c>
      <c r="J681" s="61" t="str">
        <f aca="false">INDEX(Parametros!$C$95:$C$106,MATCH(TRIM(INDEX(Datos_Origen!$E$2:$E$2459,$Z681)),Parametros!$B$95:$B$106,0))</f>
        <v>E-commerce</v>
      </c>
      <c r="K681" s="61" t="str">
        <f aca="false">INDEX(Parametros!$C$48:$C$67,MATCH(TRIM(INDEX(Datos_Origen!$F$2:$F$2459,$Z681)),Parametros!$B$48:$B$67,0))</f>
        <v>Almacenamiento</v>
      </c>
      <c r="L681" s="61" t="str">
        <f aca="false">$K681&amp;" "&amp;$C681</f>
        <v>Almacenamiento 2024</v>
      </c>
      <c r="M681" s="61" t="str">
        <f aca="false">TRIM(INDEX(Datos_Origen!$G$2:$G$2459,$Z681))</f>
        <v>Pendrive 256GB</v>
      </c>
      <c r="N681" s="61" t="str">
        <f aca="false">$M681&amp;" "&amp;$C681</f>
        <v>Pendrive 256GB 2024</v>
      </c>
      <c r="O681" s="63" t="n">
        <f aca="false">IF(ISTEXT($AC681),VALUE($AC681),$AC681)</f>
        <v>8</v>
      </c>
      <c r="P681" s="64" t="n">
        <f aca="false">INDEX(Datos_Origen!$I$2:$I$2459,$Z681)</f>
        <v>34.3</v>
      </c>
      <c r="Q681" s="64" t="n">
        <f aca="false">INDEX(Datos_Origen!$J$2:$J$2459,$Z681)</f>
        <v>17.85</v>
      </c>
      <c r="R681" s="65" t="n">
        <f aca="false">ROUND($O681*$P681,2)</f>
        <v>274.4</v>
      </c>
      <c r="S681" s="65" t="n">
        <f aca="false">ROUND($O681*$Q681,2)</f>
        <v>142.8</v>
      </c>
      <c r="T681" s="65" t="n">
        <f aca="false">ROUND($R681*SUMIFS(Parametros!$E$28:$E$43,Parametros!$B$28:$B$43,$J681,Parametros!$C$28:$C$43,$C681,Parametros!$D$28:$D$43,$D681),2)</f>
        <v>12.62</v>
      </c>
      <c r="U681" s="65" t="n">
        <f aca="false">$R681-$S681-$T681</f>
        <v>118.98</v>
      </c>
      <c r="V681" s="66" t="n">
        <f aca="false">IFERROR($U681/$R681,0)</f>
        <v>0.433600583090379</v>
      </c>
      <c r="W681" s="67" t="str">
        <f aca="false">IF(AND($V681&gt;=Parametros!$C$8,$R681&gt;=Parametros!$C$12),"Alta rentabilidad",IF(OR($V681&lt;Parametros!$C$11,$R681&lt;Parametros!$C$13),"Revisar","Estandar"))</f>
        <v>Revisar</v>
      </c>
      <c r="X681" s="67" t="str">
        <f aca="false">IF(AND($J681="E-commerce",IFERROR($T681/$R681,0)&gt;Parametros!$C$14),"Alerta","OK")</f>
        <v>OK</v>
      </c>
      <c r="Y681" s="61" t="str">
        <f aca="false">IF($R681&gt;=Parametros!$C$12,"Alto",IF($R681&lt;Parametros!$C$13,"Bajo","Medio"))</f>
        <v>Bajo</v>
      </c>
      <c r="Z681" s="61" t="n">
        <v>869</v>
      </c>
      <c r="AA681" s="61" t="str">
        <f aca="false">IF(MATCH($A681,Datos_Origen!$A$2:$A$2459,0)=$Z681,"OK","REVISAR")</f>
        <v>OK</v>
      </c>
      <c r="AB681" s="62" t="n">
        <f aca="false">INDEX(Datos_Origen!$B$2:$B$2459,$Z681)</f>
        <v>45482</v>
      </c>
      <c r="AC681" s="61" t="n">
        <f aca="false">INDEX(Datos_Origen!$H$2:$H$2459,$Z681)</f>
        <v>8</v>
      </c>
      <c r="AD681" s="61" t="str">
        <f aca="false">INDEX(Datos_Origen!$D$2:$D$2459,$Z681)&amp;""</f>
        <v>Mendoza</v>
      </c>
    </row>
    <row r="682" customFormat="false" ht="15" hidden="false" customHeight="false" outlineLevel="0" collapsed="false">
      <c r="A682" s="61" t="n">
        <f aca="false">INDEX(Datos_Origen!$A$2:$A$2459,$Z682)</f>
        <v>681</v>
      </c>
      <c r="B682" s="62" t="n">
        <f aca="false">IF(ISNUMBER($AB682),$AB682,IF(MID($AB682,5,1)="-",DATE(VALUE(LEFT($AB682,4)),VALUE(MID($AB682,6,2)),VALUE(RIGHT($AB682,2))),DATE(VALUE(RIGHT($AB682,4)),VALUE(MID($AB682,4,2)),VALUE(LEFT($AB682,2)))))</f>
        <v>45489</v>
      </c>
      <c r="C682" s="61" t="n">
        <f aca="false">YEAR($B682)</f>
        <v>2024</v>
      </c>
      <c r="D682" s="61" t="str">
        <f aca="false">"Q"&amp;ROUNDUP(MONTH($B682)/3,0)</f>
        <v>Q3</v>
      </c>
      <c r="E682" s="61" t="n">
        <f aca="false">MONTH($B682)</f>
        <v>7</v>
      </c>
      <c r="F682" s="61" t="str">
        <f aca="false">INDEX(Parametros!$I$5:$I$16,$E682)</f>
        <v>Jul</v>
      </c>
      <c r="G682" s="61" t="str">
        <f aca="false">TEXT($C682,"0000")&amp;"-"&amp;TEXT($E682,"00")</f>
        <v>2024-07</v>
      </c>
      <c r="H682" s="61" t="str">
        <f aca="false">INDEX(Parametros!$C$71:$C$91,MATCH(TRIM(INDEX(Datos_Origen!$C$2:$C$2459,$Z682)),Parametros!$B$71:$B$91,0))</f>
        <v>NOA</v>
      </c>
      <c r="I682" s="61" t="str">
        <f aca="false">IF(TRIM($AD682)="",INDEX(Parametros!$I$20:$I$24,MATCH($H682,Parametros!$H$20:$H$24,0)),TRIM($AD682))</f>
        <v>Tucuman</v>
      </c>
      <c r="J682" s="61" t="str">
        <f aca="false">INDEX(Parametros!$C$95:$C$106,MATCH(TRIM(INDEX(Datos_Origen!$E$2:$E$2459,$Z682)),Parametros!$B$95:$B$106,0))</f>
        <v>Tienda fisica</v>
      </c>
      <c r="K682" s="61" t="str">
        <f aca="false">INDEX(Parametros!$C$48:$C$67,MATCH(TRIM(INDEX(Datos_Origen!$F$2:$F$2459,$Z682)),Parametros!$B$48:$B$67,0))</f>
        <v>Computacion</v>
      </c>
      <c r="L682" s="61" t="str">
        <f aca="false">$K682&amp;" "&amp;$C682</f>
        <v>Computacion 2024</v>
      </c>
      <c r="M682" s="61" t="str">
        <f aca="false">TRIM(INDEX(Datos_Origen!$G$2:$G$2459,$Z682))</f>
        <v>Laptop Pro 15</v>
      </c>
      <c r="N682" s="61" t="str">
        <f aca="false">$M682&amp;" "&amp;$C682</f>
        <v>Laptop Pro 15 2024</v>
      </c>
      <c r="O682" s="63" t="n">
        <f aca="false">IF(ISTEXT($AC682),VALUE($AC682),$AC682)</f>
        <v>8</v>
      </c>
      <c r="P682" s="64" t="n">
        <f aca="false">INDEX(Datos_Origen!$I$2:$I$2459,$Z682)</f>
        <v>1176</v>
      </c>
      <c r="Q682" s="64" t="n">
        <f aca="false">INDEX(Datos_Origen!$J$2:$J$2459,$Z682)</f>
        <v>744</v>
      </c>
      <c r="R682" s="65" t="n">
        <f aca="false">ROUND($O682*$P682,2)</f>
        <v>9408</v>
      </c>
      <c r="S682" s="65" t="n">
        <f aca="false">ROUND($O682*$Q682,2)</f>
        <v>5952</v>
      </c>
      <c r="T682" s="65" t="n">
        <f aca="false">ROUND($R682*SUMIFS(Parametros!$E$28:$E$43,Parametros!$B$28:$B$43,$J682,Parametros!$C$28:$C$43,$C682,Parametros!$D$28:$D$43,$D682),2)</f>
        <v>122.3</v>
      </c>
      <c r="U682" s="65" t="n">
        <f aca="false">$R682-$S682-$T682</f>
        <v>3333.7</v>
      </c>
      <c r="V682" s="66" t="n">
        <f aca="false">IFERROR($U682/$R682,0)</f>
        <v>0.354347363945578</v>
      </c>
      <c r="W682" s="67" t="str">
        <f aca="false">IF(AND($V682&gt;=Parametros!$C$8,$R682&gt;=Parametros!$C$12),"Alta rentabilidad",IF(OR($V682&lt;Parametros!$C$11,$R682&lt;Parametros!$C$13),"Revisar","Estandar"))</f>
        <v>Alta rentabilidad</v>
      </c>
      <c r="X682" s="67" t="str">
        <f aca="false">IF(AND($J682="E-commerce",IFERROR($T682/$R682,0)&gt;Parametros!$C$14),"Alerta","OK")</f>
        <v>OK</v>
      </c>
      <c r="Y682" s="61" t="str">
        <f aca="false">IF($R682&gt;=Parametros!$C$12,"Alto",IF($R682&lt;Parametros!$C$13,"Bajo","Medio"))</f>
        <v>Alto</v>
      </c>
      <c r="Z682" s="61" t="n">
        <v>1180</v>
      </c>
      <c r="AA682" s="61" t="str">
        <f aca="false">IF(MATCH($A682,Datos_Origen!$A$2:$A$2459,0)=$Z682,"OK","REVISAR")</f>
        <v>OK</v>
      </c>
      <c r="AB682" s="61" t="str">
        <f aca="false">INDEX(Datos_Origen!$B$2:$B$2459,$Z682)</f>
        <v>2024-07-16</v>
      </c>
      <c r="AC682" s="61" t="n">
        <f aca="false">INDEX(Datos_Origen!$H$2:$H$2459,$Z682)</f>
        <v>8</v>
      </c>
      <c r="AD682" s="61" t="str">
        <f aca="false">INDEX(Datos_Origen!$D$2:$D$2459,$Z682)&amp;""</f>
        <v>Tucuman</v>
      </c>
    </row>
    <row r="683" customFormat="false" ht="15" hidden="false" customHeight="false" outlineLevel="0" collapsed="false">
      <c r="A683" s="61" t="n">
        <f aca="false">INDEX(Datos_Origen!$A$2:$A$2459,$Z683)</f>
        <v>682</v>
      </c>
      <c r="B683" s="62" t="n">
        <f aca="false">IF(ISNUMBER($AB683),$AB683,IF(MID($AB683,5,1)="-",DATE(VALUE(LEFT($AB683,4)),VALUE(MID($AB683,6,2)),VALUE(RIGHT($AB683,2))),DATE(VALUE(RIGHT($AB683,4)),VALUE(MID($AB683,4,2)),VALUE(LEFT($AB683,2)))))</f>
        <v>45496</v>
      </c>
      <c r="C683" s="61" t="n">
        <f aca="false">YEAR($B683)</f>
        <v>2024</v>
      </c>
      <c r="D683" s="61" t="str">
        <f aca="false">"Q"&amp;ROUNDUP(MONTH($B683)/3,0)</f>
        <v>Q3</v>
      </c>
      <c r="E683" s="61" t="n">
        <f aca="false">MONTH($B683)</f>
        <v>7</v>
      </c>
      <c r="F683" s="61" t="str">
        <f aca="false">INDEX(Parametros!$I$5:$I$16,$E683)</f>
        <v>Jul</v>
      </c>
      <c r="G683" s="61" t="str">
        <f aca="false">TEXT($C683,"0000")&amp;"-"&amp;TEXT($E683,"00")</f>
        <v>2024-07</v>
      </c>
      <c r="H683" s="61" t="str">
        <f aca="false">INDEX(Parametros!$C$71:$C$91,MATCH(TRIM(INDEX(Datos_Origen!$C$2:$C$2459,$Z683)),Parametros!$B$71:$B$91,0))</f>
        <v>NOA</v>
      </c>
      <c r="I683" s="61" t="str">
        <f aca="false">IF(TRIM($AD683)="",INDEX(Parametros!$I$20:$I$24,MATCH($H683,Parametros!$H$20:$H$24,0)),TRIM($AD683))</f>
        <v>Tucuman</v>
      </c>
      <c r="J683" s="61" t="str">
        <f aca="false">INDEX(Parametros!$C$95:$C$106,MATCH(TRIM(INDEX(Datos_Origen!$E$2:$E$2459,$Z683)),Parametros!$B$95:$B$106,0))</f>
        <v>E-commerce</v>
      </c>
      <c r="K683" s="61" t="str">
        <f aca="false">INDEX(Parametros!$C$48:$C$67,MATCH(TRIM(INDEX(Datos_Origen!$F$2:$F$2459,$Z683)),Parametros!$B$48:$B$67,0))</f>
        <v>Computacion</v>
      </c>
      <c r="L683" s="61" t="str">
        <f aca="false">$K683&amp;" "&amp;$C683</f>
        <v>Computacion 2024</v>
      </c>
      <c r="M683" s="61" t="str">
        <f aca="false">TRIM(INDEX(Datos_Origen!$G$2:$G$2459,$Z683))</f>
        <v>Laptop Pro 15</v>
      </c>
      <c r="N683" s="61" t="str">
        <f aca="false">$M683&amp;" "&amp;$C683</f>
        <v>Laptop Pro 15 2024</v>
      </c>
      <c r="O683" s="63" t="n">
        <f aca="false">IF(ISTEXT($AC683),VALUE($AC683),$AC683)</f>
        <v>3</v>
      </c>
      <c r="P683" s="64" t="n">
        <f aca="false">INDEX(Datos_Origen!$I$2:$I$2459,$Z683)</f>
        <v>1176</v>
      </c>
      <c r="Q683" s="64" t="n">
        <f aca="false">INDEX(Datos_Origen!$J$2:$J$2459,$Z683)</f>
        <v>744</v>
      </c>
      <c r="R683" s="65" t="n">
        <f aca="false">ROUND($O683*$P683,2)</f>
        <v>3528</v>
      </c>
      <c r="S683" s="65" t="n">
        <f aca="false">ROUND($O683*$Q683,2)</f>
        <v>2232</v>
      </c>
      <c r="T683" s="65" t="n">
        <f aca="false">ROUND($R683*SUMIFS(Parametros!$E$28:$E$43,Parametros!$B$28:$B$43,$J683,Parametros!$C$28:$C$43,$C683,Parametros!$D$28:$D$43,$D683),2)</f>
        <v>162.29</v>
      </c>
      <c r="U683" s="65" t="n">
        <f aca="false">$R683-$S683-$T683</f>
        <v>1133.71</v>
      </c>
      <c r="V683" s="66" t="n">
        <f aca="false">IFERROR($U683/$R683,0)</f>
        <v>0.321346371882086</v>
      </c>
      <c r="W683" s="67" t="str">
        <f aca="false">IF(AND($V683&gt;=Parametros!$C$8,$R683&gt;=Parametros!$C$12),"Alta rentabilidad",IF(OR($V683&lt;Parametros!$C$11,$R683&lt;Parametros!$C$13),"Revisar","Estandar"))</f>
        <v>Estandar</v>
      </c>
      <c r="X683" s="67" t="str">
        <f aca="false">IF(AND($J683="E-commerce",IFERROR($T683/$R683,0)&gt;Parametros!$C$14),"Alerta","OK")</f>
        <v>OK</v>
      </c>
      <c r="Y683" s="61" t="str">
        <f aca="false">IF($R683&gt;=Parametros!$C$12,"Alto",IF($R683&lt;Parametros!$C$13,"Bajo","Medio"))</f>
        <v>Alto</v>
      </c>
      <c r="Z683" s="61" t="n">
        <v>1753</v>
      </c>
      <c r="AA683" s="61" t="str">
        <f aca="false">IF(MATCH($A683,Datos_Origen!$A$2:$A$2459,0)=$Z683,"OK","REVISAR")</f>
        <v>OK</v>
      </c>
      <c r="AB683" s="62" t="n">
        <f aca="false">INDEX(Datos_Origen!$B$2:$B$2459,$Z683)</f>
        <v>45496</v>
      </c>
      <c r="AC683" s="61" t="n">
        <f aca="false">INDEX(Datos_Origen!$H$2:$H$2459,$Z683)</f>
        <v>3</v>
      </c>
      <c r="AD683" s="61" t="str">
        <f aca="false">INDEX(Datos_Origen!$D$2:$D$2459,$Z683)&amp;""</f>
        <v>Tucuman</v>
      </c>
    </row>
    <row r="684" customFormat="false" ht="15" hidden="false" customHeight="false" outlineLevel="0" collapsed="false">
      <c r="A684" s="61" t="n">
        <f aca="false">INDEX(Datos_Origen!$A$2:$A$2459,$Z684)</f>
        <v>683</v>
      </c>
      <c r="B684" s="62" t="n">
        <f aca="false">IF(ISNUMBER($AB684),$AB684,IF(MID($AB684,5,1)="-",DATE(VALUE(LEFT($AB684,4)),VALUE(MID($AB684,6,2)),VALUE(RIGHT($AB684,2))),DATE(VALUE(RIGHT($AB684,4)),VALUE(MID($AB684,4,2)),VALUE(LEFT($AB684,2)))))</f>
        <v>45476</v>
      </c>
      <c r="C684" s="61" t="n">
        <f aca="false">YEAR($B684)</f>
        <v>2024</v>
      </c>
      <c r="D684" s="61" t="str">
        <f aca="false">"Q"&amp;ROUNDUP(MONTH($B684)/3,0)</f>
        <v>Q3</v>
      </c>
      <c r="E684" s="61" t="n">
        <f aca="false">MONTH($B684)</f>
        <v>7</v>
      </c>
      <c r="F684" s="61" t="str">
        <f aca="false">INDEX(Parametros!$I$5:$I$16,$E684)</f>
        <v>Jul</v>
      </c>
      <c r="G684" s="61" t="str">
        <f aca="false">TEXT($C684,"0000")&amp;"-"&amp;TEXT($E684,"00")</f>
        <v>2024-07</v>
      </c>
      <c r="H684" s="61" t="str">
        <f aca="false">INDEX(Parametros!$C$71:$C$91,MATCH(TRIM(INDEX(Datos_Origen!$C$2:$C$2459,$Z684)),Parametros!$B$71:$B$91,0))</f>
        <v>NOA</v>
      </c>
      <c r="I684" s="61" t="str">
        <f aca="false">IF(TRIM($AD684)="",INDEX(Parametros!$I$20:$I$24,MATCH($H684,Parametros!$H$20:$H$24,0)),TRIM($AD684))</f>
        <v>Tucuman</v>
      </c>
      <c r="J684" s="61" t="str">
        <f aca="false">INDEX(Parametros!$C$95:$C$106,MATCH(TRIM(INDEX(Datos_Origen!$E$2:$E$2459,$Z684)),Parametros!$B$95:$B$106,0))</f>
        <v>Tienda fisica</v>
      </c>
      <c r="K684" s="61" t="str">
        <f aca="false">INDEX(Parametros!$C$48:$C$67,MATCH(TRIM(INDEX(Datos_Origen!$F$2:$F$2459,$Z684)),Parametros!$B$48:$B$67,0))</f>
        <v>Computacion</v>
      </c>
      <c r="L684" s="61" t="str">
        <f aca="false">$K684&amp;" "&amp;$C684</f>
        <v>Computacion 2024</v>
      </c>
      <c r="M684" s="61" t="str">
        <f aca="false">TRIM(INDEX(Datos_Origen!$G$2:$G$2459,$Z684))</f>
        <v>Monitor 4K 27</v>
      </c>
      <c r="N684" s="61" t="str">
        <f aca="false">$M684&amp;" "&amp;$C684</f>
        <v>Monitor 4K 27 2024</v>
      </c>
      <c r="O684" s="63" t="n">
        <f aca="false">IF(ISTEXT($AC684),VALUE($AC684),$AC684)</f>
        <v>8</v>
      </c>
      <c r="P684" s="64" t="n">
        <f aca="false">INDEX(Datos_Origen!$I$2:$I$2459,$Z684)</f>
        <v>441</v>
      </c>
      <c r="Q684" s="64" t="n">
        <f aca="false">INDEX(Datos_Origen!$J$2:$J$2459,$Z684)</f>
        <v>272.25</v>
      </c>
      <c r="R684" s="65" t="n">
        <f aca="false">ROUND($O684*$P684,2)</f>
        <v>3528</v>
      </c>
      <c r="S684" s="65" t="n">
        <f aca="false">ROUND($O684*$Q684,2)</f>
        <v>2178</v>
      </c>
      <c r="T684" s="65" t="n">
        <f aca="false">ROUND($R684*SUMIFS(Parametros!$E$28:$E$43,Parametros!$B$28:$B$43,$J684,Parametros!$C$28:$C$43,$C684,Parametros!$D$28:$D$43,$D684),2)</f>
        <v>45.86</v>
      </c>
      <c r="U684" s="65" t="n">
        <f aca="false">$R684-$S684-$T684</f>
        <v>1304.14</v>
      </c>
      <c r="V684" s="66" t="n">
        <f aca="false">IFERROR($U684/$R684,0)</f>
        <v>0.369654195011338</v>
      </c>
      <c r="W684" s="67" t="str">
        <f aca="false">IF(AND($V684&gt;=Parametros!$C$8,$R684&gt;=Parametros!$C$12),"Alta rentabilidad",IF(OR($V684&lt;Parametros!$C$11,$R684&lt;Parametros!$C$13),"Revisar","Estandar"))</f>
        <v>Alta rentabilidad</v>
      </c>
      <c r="X684" s="67" t="str">
        <f aca="false">IF(AND($J684="E-commerce",IFERROR($T684/$R684,0)&gt;Parametros!$C$14),"Alerta","OK")</f>
        <v>OK</v>
      </c>
      <c r="Y684" s="61" t="str">
        <f aca="false">IF($R684&gt;=Parametros!$C$12,"Alto",IF($R684&lt;Parametros!$C$13,"Bajo","Medio"))</f>
        <v>Alto</v>
      </c>
      <c r="Z684" s="61" t="n">
        <v>260</v>
      </c>
      <c r="AA684" s="61" t="str">
        <f aca="false">IF(MATCH($A684,Datos_Origen!$A$2:$A$2459,0)=$Z684,"OK","REVISAR")</f>
        <v>OK</v>
      </c>
      <c r="AB684" s="62" t="n">
        <f aca="false">INDEX(Datos_Origen!$B$2:$B$2459,$Z684)</f>
        <v>45476</v>
      </c>
      <c r="AC684" s="61" t="n">
        <f aca="false">INDEX(Datos_Origen!$H$2:$H$2459,$Z684)</f>
        <v>8</v>
      </c>
      <c r="AD684" s="61" t="str">
        <f aca="false">INDEX(Datos_Origen!$D$2:$D$2459,$Z684)&amp;""</f>
        <v>Tucuman</v>
      </c>
    </row>
    <row r="685" customFormat="false" ht="15" hidden="false" customHeight="false" outlineLevel="0" collapsed="false">
      <c r="A685" s="61" t="n">
        <f aca="false">INDEX(Datos_Origen!$A$2:$A$2459,$Z685)</f>
        <v>684</v>
      </c>
      <c r="B685" s="62" t="n">
        <f aca="false">IF(ISNUMBER($AB685),$AB685,IF(MID($AB685,5,1)="-",DATE(VALUE(LEFT($AB685,4)),VALUE(MID($AB685,6,2)),VALUE(RIGHT($AB685,2))),DATE(VALUE(RIGHT($AB685,4)),VALUE(MID($AB685,4,2)),VALUE(LEFT($AB685,2)))))</f>
        <v>45483</v>
      </c>
      <c r="C685" s="61" t="n">
        <f aca="false">YEAR($B685)</f>
        <v>2024</v>
      </c>
      <c r="D685" s="61" t="str">
        <f aca="false">"Q"&amp;ROUNDUP(MONTH($B685)/3,0)</f>
        <v>Q3</v>
      </c>
      <c r="E685" s="61" t="n">
        <f aca="false">MONTH($B685)</f>
        <v>7</v>
      </c>
      <c r="F685" s="61" t="str">
        <f aca="false">INDEX(Parametros!$I$5:$I$16,$E685)</f>
        <v>Jul</v>
      </c>
      <c r="G685" s="61" t="str">
        <f aca="false">TEXT($C685,"0000")&amp;"-"&amp;TEXT($E685,"00")</f>
        <v>2024-07</v>
      </c>
      <c r="H685" s="61" t="str">
        <f aca="false">INDEX(Parametros!$C$71:$C$91,MATCH(TRIM(INDEX(Datos_Origen!$C$2:$C$2459,$Z685)),Parametros!$B$71:$B$91,0))</f>
        <v>NOA</v>
      </c>
      <c r="I685" s="61" t="str">
        <f aca="false">IF(TRIM($AD685)="",INDEX(Parametros!$I$20:$I$24,MATCH($H685,Parametros!$H$20:$H$24,0)),TRIM($AD685))</f>
        <v>Tucuman</v>
      </c>
      <c r="J685" s="61" t="str">
        <f aca="false">INDEX(Parametros!$C$95:$C$106,MATCH(TRIM(INDEX(Datos_Origen!$E$2:$E$2459,$Z685)),Parametros!$B$95:$B$106,0))</f>
        <v>E-commerce</v>
      </c>
      <c r="K685" s="61" t="str">
        <f aca="false">INDEX(Parametros!$C$48:$C$67,MATCH(TRIM(INDEX(Datos_Origen!$F$2:$F$2459,$Z685)),Parametros!$B$48:$B$67,0))</f>
        <v>Computacion</v>
      </c>
      <c r="L685" s="61" t="str">
        <f aca="false">$K685&amp;" "&amp;$C685</f>
        <v>Computacion 2024</v>
      </c>
      <c r="M685" s="61" t="str">
        <f aca="false">TRIM(INDEX(Datos_Origen!$G$2:$G$2459,$Z685))</f>
        <v>Monitor 4K 27</v>
      </c>
      <c r="N685" s="61" t="str">
        <f aca="false">$M685&amp;" "&amp;$C685</f>
        <v>Monitor 4K 27 2024</v>
      </c>
      <c r="O685" s="63" t="n">
        <f aca="false">IF(ISTEXT($AC685),VALUE($AC685),$AC685)</f>
        <v>3</v>
      </c>
      <c r="P685" s="64" t="n">
        <f aca="false">INDEX(Datos_Origen!$I$2:$I$2459,$Z685)</f>
        <v>441</v>
      </c>
      <c r="Q685" s="64" t="n">
        <f aca="false">INDEX(Datos_Origen!$J$2:$J$2459,$Z685)</f>
        <v>272.25</v>
      </c>
      <c r="R685" s="65" t="n">
        <f aca="false">ROUND($O685*$P685,2)</f>
        <v>1323</v>
      </c>
      <c r="S685" s="65" t="n">
        <f aca="false">ROUND($O685*$Q685,2)</f>
        <v>816.75</v>
      </c>
      <c r="T685" s="65" t="n">
        <f aca="false">ROUND($R685*SUMIFS(Parametros!$E$28:$E$43,Parametros!$B$28:$B$43,$J685,Parametros!$C$28:$C$43,$C685,Parametros!$D$28:$D$43,$D685),2)</f>
        <v>60.86</v>
      </c>
      <c r="U685" s="65" t="n">
        <f aca="false">$R685-$S685-$T685</f>
        <v>445.39</v>
      </c>
      <c r="V685" s="66" t="n">
        <f aca="false">IFERROR($U685/$R685,0)</f>
        <v>0.336651549508692</v>
      </c>
      <c r="W685" s="67" t="str">
        <f aca="false">IF(AND($V685&gt;=Parametros!$C$8,$R685&gt;=Parametros!$C$12),"Alta rentabilidad",IF(OR($V685&lt;Parametros!$C$11,$R685&lt;Parametros!$C$13),"Revisar","Estandar"))</f>
        <v>Estandar</v>
      </c>
      <c r="X685" s="67" t="str">
        <f aca="false">IF(AND($J685="E-commerce",IFERROR($T685/$R685,0)&gt;Parametros!$C$14),"Alerta","OK")</f>
        <v>OK</v>
      </c>
      <c r="Y685" s="61" t="str">
        <f aca="false">IF($R685&gt;=Parametros!$C$12,"Alto",IF($R685&lt;Parametros!$C$13,"Bajo","Medio"))</f>
        <v>Medio</v>
      </c>
      <c r="Z685" s="61" t="n">
        <v>1152</v>
      </c>
      <c r="AA685" s="61" t="str">
        <f aca="false">IF(MATCH($A685,Datos_Origen!$A$2:$A$2459,0)=$Z685,"OK","REVISAR")</f>
        <v>OK</v>
      </c>
      <c r="AB685" s="61" t="str">
        <f aca="false">INDEX(Datos_Origen!$B$2:$B$2459,$Z685)</f>
        <v>2024-07-10</v>
      </c>
      <c r="AC685" s="61" t="n">
        <f aca="false">INDEX(Datos_Origen!$H$2:$H$2459,$Z685)</f>
        <v>3</v>
      </c>
      <c r="AD685" s="61" t="str">
        <f aca="false">INDEX(Datos_Origen!$D$2:$D$2459,$Z685)&amp;""</f>
        <v>Tucuman</v>
      </c>
    </row>
    <row r="686" customFormat="false" ht="15" hidden="false" customHeight="false" outlineLevel="0" collapsed="false">
      <c r="A686" s="61" t="n">
        <f aca="false">INDEX(Datos_Origen!$A$2:$A$2459,$Z686)</f>
        <v>685</v>
      </c>
      <c r="B686" s="62" t="n">
        <f aca="false">IF(ISNUMBER($AB686),$AB686,IF(MID($AB686,5,1)="-",DATE(VALUE(LEFT($AB686,4)),VALUE(MID($AB686,6,2)),VALUE(RIGHT($AB686,2))),DATE(VALUE(RIGHT($AB686,4)),VALUE(MID($AB686,4,2)),VALUE(LEFT($AB686,2)))))</f>
        <v>45490</v>
      </c>
      <c r="C686" s="61" t="n">
        <f aca="false">YEAR($B686)</f>
        <v>2024</v>
      </c>
      <c r="D686" s="61" t="str">
        <f aca="false">"Q"&amp;ROUNDUP(MONTH($B686)/3,0)</f>
        <v>Q3</v>
      </c>
      <c r="E686" s="61" t="n">
        <f aca="false">MONTH($B686)</f>
        <v>7</v>
      </c>
      <c r="F686" s="61" t="str">
        <f aca="false">INDEX(Parametros!$I$5:$I$16,$E686)</f>
        <v>Jul</v>
      </c>
      <c r="G686" s="61" t="str">
        <f aca="false">TEXT($C686,"0000")&amp;"-"&amp;TEXT($E686,"00")</f>
        <v>2024-07</v>
      </c>
      <c r="H686" s="61" t="str">
        <f aca="false">INDEX(Parametros!$C$71:$C$91,MATCH(TRIM(INDEX(Datos_Origen!$C$2:$C$2459,$Z686)),Parametros!$B$71:$B$91,0))</f>
        <v>NOA</v>
      </c>
      <c r="I686" s="61" t="str">
        <f aca="false">IF(TRIM($AD686)="",INDEX(Parametros!$I$20:$I$24,MATCH($H686,Parametros!$H$20:$H$24,0)),TRIM($AD686))</f>
        <v>Tucuman</v>
      </c>
      <c r="J686" s="61" t="str">
        <f aca="false">INDEX(Parametros!$C$95:$C$106,MATCH(TRIM(INDEX(Datos_Origen!$E$2:$E$2459,$Z686)),Parametros!$B$95:$B$106,0))</f>
        <v>Tienda fisica</v>
      </c>
      <c r="K686" s="61" t="str">
        <f aca="false">INDEX(Parametros!$C$48:$C$67,MATCH(TRIM(INDEX(Datos_Origen!$F$2:$F$2459,$Z686)),Parametros!$B$48:$B$67,0))</f>
        <v>Computacion</v>
      </c>
      <c r="L686" s="61" t="str">
        <f aca="false">$K686&amp;" "&amp;$C686</f>
        <v>Computacion 2024</v>
      </c>
      <c r="M686" s="61" t="str">
        <f aca="false">TRIM(INDEX(Datos_Origen!$G$2:$G$2459,$Z686))</f>
        <v>PC Gamer Ryzen</v>
      </c>
      <c r="N686" s="61" t="str">
        <f aca="false">$M686&amp;" "&amp;$C686</f>
        <v>PC Gamer Ryzen 2024</v>
      </c>
      <c r="O686" s="63" t="n">
        <f aca="false">IF(ISTEXT($AC686),VALUE($AC686),$AC686)</f>
        <v>7</v>
      </c>
      <c r="P686" s="64" t="n">
        <f aca="false">INDEX(Datos_Origen!$I$2:$I$2459,$Z686)</f>
        <v>1617</v>
      </c>
      <c r="Q686" s="64" t="n">
        <f aca="false">INDEX(Datos_Origen!$J$2:$J$2459,$Z686)</f>
        <v>1122</v>
      </c>
      <c r="R686" s="65" t="n">
        <f aca="false">ROUND($O686*$P686,2)</f>
        <v>11319</v>
      </c>
      <c r="S686" s="65" t="n">
        <f aca="false">ROUND($O686*$Q686,2)</f>
        <v>7854</v>
      </c>
      <c r="T686" s="65" t="n">
        <f aca="false">ROUND($R686*SUMIFS(Parametros!$E$28:$E$43,Parametros!$B$28:$B$43,$J686,Parametros!$C$28:$C$43,$C686,Parametros!$D$28:$D$43,$D686),2)</f>
        <v>147.15</v>
      </c>
      <c r="U686" s="65" t="n">
        <f aca="false">$R686-$S686-$T686</f>
        <v>3317.85</v>
      </c>
      <c r="V686" s="66" t="n">
        <f aca="false">IFERROR($U686/$R686,0)</f>
        <v>0.29312218393851</v>
      </c>
      <c r="W686" s="67" t="str">
        <f aca="false">IF(AND($V686&gt;=Parametros!$C$8,$R686&gt;=Parametros!$C$12),"Alta rentabilidad",IF(OR($V686&lt;Parametros!$C$11,$R686&lt;Parametros!$C$13),"Revisar","Estandar"))</f>
        <v>Estandar</v>
      </c>
      <c r="X686" s="67" t="str">
        <f aca="false">IF(AND($J686="E-commerce",IFERROR($T686/$R686,0)&gt;Parametros!$C$14),"Alerta","OK")</f>
        <v>OK</v>
      </c>
      <c r="Y686" s="61" t="str">
        <f aca="false">IF($R686&gt;=Parametros!$C$12,"Alto",IF($R686&lt;Parametros!$C$13,"Bajo","Medio"))</f>
        <v>Alto</v>
      </c>
      <c r="Z686" s="61" t="n">
        <v>268</v>
      </c>
      <c r="AA686" s="61" t="str">
        <f aca="false">IF(MATCH($A686,Datos_Origen!$A$2:$A$2459,0)=$Z686,"OK","REVISAR")</f>
        <v>OK</v>
      </c>
      <c r="AB686" s="62" t="n">
        <f aca="false">INDEX(Datos_Origen!$B$2:$B$2459,$Z686)</f>
        <v>45490</v>
      </c>
      <c r="AC686" s="61" t="n">
        <f aca="false">INDEX(Datos_Origen!$H$2:$H$2459,$Z686)</f>
        <v>7</v>
      </c>
      <c r="AD686" s="61" t="str">
        <f aca="false">INDEX(Datos_Origen!$D$2:$D$2459,$Z686)&amp;""</f>
        <v>Tucuman</v>
      </c>
    </row>
    <row r="687" customFormat="false" ht="15" hidden="false" customHeight="false" outlineLevel="0" collapsed="false">
      <c r="A687" s="61" t="n">
        <f aca="false">INDEX(Datos_Origen!$A$2:$A$2459,$Z687)</f>
        <v>686</v>
      </c>
      <c r="B687" s="62" t="n">
        <f aca="false">IF(ISNUMBER($AB687),$AB687,IF(MID($AB687,5,1)="-",DATE(VALUE(LEFT($AB687,4)),VALUE(MID($AB687,6,2)),VALUE(RIGHT($AB687,2))),DATE(VALUE(RIGHT($AB687,4)),VALUE(MID($AB687,4,2)),VALUE(LEFT($AB687,2)))))</f>
        <v>45497</v>
      </c>
      <c r="C687" s="61" t="n">
        <f aca="false">YEAR($B687)</f>
        <v>2024</v>
      </c>
      <c r="D687" s="61" t="str">
        <f aca="false">"Q"&amp;ROUNDUP(MONTH($B687)/3,0)</f>
        <v>Q3</v>
      </c>
      <c r="E687" s="61" t="n">
        <f aca="false">MONTH($B687)</f>
        <v>7</v>
      </c>
      <c r="F687" s="61" t="str">
        <f aca="false">INDEX(Parametros!$I$5:$I$16,$E687)</f>
        <v>Jul</v>
      </c>
      <c r="G687" s="61" t="str">
        <f aca="false">TEXT($C687,"0000")&amp;"-"&amp;TEXT($E687,"00")</f>
        <v>2024-07</v>
      </c>
      <c r="H687" s="61" t="str">
        <f aca="false">INDEX(Parametros!$C$71:$C$91,MATCH(TRIM(INDEX(Datos_Origen!$C$2:$C$2459,$Z687)),Parametros!$B$71:$B$91,0))</f>
        <v>NOA</v>
      </c>
      <c r="I687" s="61" t="str">
        <f aca="false">IF(TRIM($AD687)="",INDEX(Parametros!$I$20:$I$24,MATCH($H687,Parametros!$H$20:$H$24,0)),TRIM($AD687))</f>
        <v>Tucuman</v>
      </c>
      <c r="J687" s="61" t="str">
        <f aca="false">INDEX(Parametros!$C$95:$C$106,MATCH(TRIM(INDEX(Datos_Origen!$E$2:$E$2459,$Z687)),Parametros!$B$95:$B$106,0))</f>
        <v>E-commerce</v>
      </c>
      <c r="K687" s="61" t="str">
        <f aca="false">INDEX(Parametros!$C$48:$C$67,MATCH(TRIM(INDEX(Datos_Origen!$F$2:$F$2459,$Z687)),Parametros!$B$48:$B$67,0))</f>
        <v>Computacion</v>
      </c>
      <c r="L687" s="61" t="str">
        <f aca="false">$K687&amp;" "&amp;$C687</f>
        <v>Computacion 2024</v>
      </c>
      <c r="M687" s="61" t="str">
        <f aca="false">TRIM(INDEX(Datos_Origen!$G$2:$G$2459,$Z687))</f>
        <v>PC Gamer Ryzen</v>
      </c>
      <c r="N687" s="61" t="str">
        <f aca="false">$M687&amp;" "&amp;$C687</f>
        <v>PC Gamer Ryzen 2024</v>
      </c>
      <c r="O687" s="63" t="n">
        <f aca="false">IF(ISTEXT($AC687),VALUE($AC687),$AC687)</f>
        <v>3</v>
      </c>
      <c r="P687" s="64" t="n">
        <f aca="false">INDEX(Datos_Origen!$I$2:$I$2459,$Z687)</f>
        <v>1617</v>
      </c>
      <c r="Q687" s="64" t="n">
        <f aca="false">INDEX(Datos_Origen!$J$2:$J$2459,$Z687)</f>
        <v>1122</v>
      </c>
      <c r="R687" s="65" t="n">
        <f aca="false">ROUND($O687*$P687,2)</f>
        <v>4851</v>
      </c>
      <c r="S687" s="65" t="n">
        <f aca="false">ROUND($O687*$Q687,2)</f>
        <v>3366</v>
      </c>
      <c r="T687" s="65" t="n">
        <f aca="false">ROUND($R687*SUMIFS(Parametros!$E$28:$E$43,Parametros!$B$28:$B$43,$J687,Parametros!$C$28:$C$43,$C687,Parametros!$D$28:$D$43,$D687),2)</f>
        <v>223.15</v>
      </c>
      <c r="U687" s="65" t="n">
        <f aca="false">$R687-$S687-$T687</f>
        <v>1261.85</v>
      </c>
      <c r="V687" s="66" t="n">
        <f aca="false">IFERROR($U687/$R687,0)</f>
        <v>0.260121624407339</v>
      </c>
      <c r="W687" s="67" t="str">
        <f aca="false">IF(AND($V687&gt;=Parametros!$C$8,$R687&gt;=Parametros!$C$12),"Alta rentabilidad",IF(OR($V687&lt;Parametros!$C$11,$R687&lt;Parametros!$C$13),"Revisar","Estandar"))</f>
        <v>Revisar</v>
      </c>
      <c r="X687" s="67" t="str">
        <f aca="false">IF(AND($J687="E-commerce",IFERROR($T687/$R687,0)&gt;Parametros!$C$14),"Alerta","OK")</f>
        <v>OK</v>
      </c>
      <c r="Y687" s="61" t="str">
        <f aca="false">IF($R687&gt;=Parametros!$C$12,"Alto",IF($R687&lt;Parametros!$C$13,"Bajo","Medio"))</f>
        <v>Alto</v>
      </c>
      <c r="Z687" s="61" t="n">
        <v>1265</v>
      </c>
      <c r="AA687" s="61" t="str">
        <f aca="false">IF(MATCH($A687,Datos_Origen!$A$2:$A$2459,0)=$Z687,"OK","REVISAR")</f>
        <v>OK</v>
      </c>
      <c r="AB687" s="61" t="str">
        <f aca="false">INDEX(Datos_Origen!$B$2:$B$2459,$Z687)</f>
        <v>24/07/2024</v>
      </c>
      <c r="AC687" s="61" t="str">
        <f aca="false">INDEX(Datos_Origen!$H$2:$H$2459,$Z687)</f>
        <v>3</v>
      </c>
      <c r="AD687" s="61" t="str">
        <f aca="false">INDEX(Datos_Origen!$D$2:$D$2459,$Z687)&amp;""</f>
        <v>Tucuman</v>
      </c>
    </row>
    <row r="688" customFormat="false" ht="15" hidden="false" customHeight="false" outlineLevel="0" collapsed="false">
      <c r="A688" s="61" t="n">
        <f aca="false">INDEX(Datos_Origen!$A$2:$A$2459,$Z688)</f>
        <v>687</v>
      </c>
      <c r="B688" s="62" t="n">
        <f aca="false">IF(ISNUMBER($AB688),$AB688,IF(MID($AB688,5,1)="-",DATE(VALUE(LEFT($AB688,4)),VALUE(MID($AB688,6,2)),VALUE(RIGHT($AB688,2))),DATE(VALUE(RIGHT($AB688,4)),VALUE(MID($AB688,4,2)),VALUE(LEFT($AB688,2)))))</f>
        <v>45477</v>
      </c>
      <c r="C688" s="61" t="n">
        <f aca="false">YEAR($B688)</f>
        <v>2024</v>
      </c>
      <c r="D688" s="61" t="str">
        <f aca="false">"Q"&amp;ROUNDUP(MONTH($B688)/3,0)</f>
        <v>Q3</v>
      </c>
      <c r="E688" s="61" t="n">
        <f aca="false">MONTH($B688)</f>
        <v>7</v>
      </c>
      <c r="F688" s="61" t="str">
        <f aca="false">INDEX(Parametros!$I$5:$I$16,$E688)</f>
        <v>Jul</v>
      </c>
      <c r="G688" s="61" t="str">
        <f aca="false">TEXT($C688,"0000")&amp;"-"&amp;TEXT($E688,"00")</f>
        <v>2024-07</v>
      </c>
      <c r="H688" s="61" t="str">
        <f aca="false">INDEX(Parametros!$C$71:$C$91,MATCH(TRIM(INDEX(Datos_Origen!$C$2:$C$2459,$Z688)),Parametros!$B$71:$B$91,0))</f>
        <v>NOA</v>
      </c>
      <c r="I688" s="61" t="str">
        <f aca="false">IF(TRIM($AD688)="",INDEX(Parametros!$I$20:$I$24,MATCH($H688,Parametros!$H$20:$H$24,0)),TRIM($AD688))</f>
        <v>Tucuman</v>
      </c>
      <c r="J688" s="61" t="str">
        <f aca="false">INDEX(Parametros!$C$95:$C$106,MATCH(TRIM(INDEX(Datos_Origen!$E$2:$E$2459,$Z688)),Parametros!$B$95:$B$106,0))</f>
        <v>Tienda fisica</v>
      </c>
      <c r="K688" s="61" t="str">
        <f aca="false">INDEX(Parametros!$C$48:$C$67,MATCH(TRIM(INDEX(Datos_Origen!$F$2:$F$2459,$Z688)),Parametros!$B$48:$B$67,0))</f>
        <v>Accesorios</v>
      </c>
      <c r="L688" s="61" t="str">
        <f aca="false">$K688&amp;" "&amp;$C688</f>
        <v>Accesorios 2024</v>
      </c>
      <c r="M688" s="61" t="str">
        <f aca="false">TRIM(INDEX(Datos_Origen!$G$2:$G$2459,$Z688))</f>
        <v>Mouse Inalambrico</v>
      </c>
      <c r="N688" s="61" t="str">
        <f aca="false">$M688&amp;" "&amp;$C688</f>
        <v>Mouse Inalambrico 2024</v>
      </c>
      <c r="O688" s="63" t="n">
        <f aca="false">IF(ISTEXT($AC688),VALUE($AC688),$AC688)</f>
        <v>33</v>
      </c>
      <c r="P688" s="64" t="n">
        <f aca="false">INDEX(Datos_Origen!$I$2:$I$2459,$Z688)</f>
        <v>27.44</v>
      </c>
      <c r="Q688" s="64" t="n">
        <f aca="false">INDEX(Datos_Origen!$J$2:$J$2459,$Z688)</f>
        <v>13.44</v>
      </c>
      <c r="R688" s="65" t="n">
        <f aca="false">ROUND($O688*$P688,2)</f>
        <v>905.52</v>
      </c>
      <c r="S688" s="65" t="n">
        <f aca="false">ROUND($O688*$Q688,2)</f>
        <v>443.52</v>
      </c>
      <c r="T688" s="65" t="n">
        <f aca="false">ROUND($R688*SUMIFS(Parametros!$E$28:$E$43,Parametros!$B$28:$B$43,$J688,Parametros!$C$28:$C$43,$C688,Parametros!$D$28:$D$43,$D688),2)</f>
        <v>11.77</v>
      </c>
      <c r="U688" s="65" t="n">
        <f aca="false">$R688-$S688-$T688</f>
        <v>450.23</v>
      </c>
      <c r="V688" s="66" t="n">
        <f aca="false">IFERROR($U688/$R688,0)</f>
        <v>0.49720602526725</v>
      </c>
      <c r="W688" s="67" t="str">
        <f aca="false">IF(AND($V688&gt;=Parametros!$C$8,$R688&gt;=Parametros!$C$12),"Alta rentabilidad",IF(OR($V688&lt;Parametros!$C$11,$R688&lt;Parametros!$C$13),"Revisar","Estandar"))</f>
        <v>Estandar</v>
      </c>
      <c r="X688" s="67" t="str">
        <f aca="false">IF(AND($J688="E-commerce",IFERROR($T688/$R688,0)&gt;Parametros!$C$14),"Alerta","OK")</f>
        <v>OK</v>
      </c>
      <c r="Y688" s="61" t="str">
        <f aca="false">IF($R688&gt;=Parametros!$C$12,"Alto",IF($R688&lt;Parametros!$C$13,"Bajo","Medio"))</f>
        <v>Medio</v>
      </c>
      <c r="Z688" s="61" t="n">
        <v>2089</v>
      </c>
      <c r="AA688" s="61" t="str">
        <f aca="false">IF(MATCH($A688,Datos_Origen!$A$2:$A$2459,0)=$Z688,"OK","REVISAR")</f>
        <v>OK</v>
      </c>
      <c r="AB688" s="62" t="n">
        <f aca="false">INDEX(Datos_Origen!$B$2:$B$2459,$Z688)</f>
        <v>45477</v>
      </c>
      <c r="AC688" s="61" t="n">
        <f aca="false">INDEX(Datos_Origen!$H$2:$H$2459,$Z688)</f>
        <v>33</v>
      </c>
      <c r="AD688" s="61" t="str">
        <f aca="false">INDEX(Datos_Origen!$D$2:$D$2459,$Z688)&amp;""</f>
        <v>Tucuman</v>
      </c>
    </row>
    <row r="689" customFormat="false" ht="15" hidden="false" customHeight="false" outlineLevel="0" collapsed="false">
      <c r="A689" s="61" t="n">
        <f aca="false">INDEX(Datos_Origen!$A$2:$A$2459,$Z689)</f>
        <v>688</v>
      </c>
      <c r="B689" s="62" t="n">
        <f aca="false">IF(ISNUMBER($AB689),$AB689,IF(MID($AB689,5,1)="-",DATE(VALUE(LEFT($AB689,4)),VALUE(MID($AB689,6,2)),VALUE(RIGHT($AB689,2))),DATE(VALUE(RIGHT($AB689,4)),VALUE(MID($AB689,4,2)),VALUE(LEFT($AB689,2)))))</f>
        <v>45484</v>
      </c>
      <c r="C689" s="61" t="n">
        <f aca="false">YEAR($B689)</f>
        <v>2024</v>
      </c>
      <c r="D689" s="61" t="str">
        <f aca="false">"Q"&amp;ROUNDUP(MONTH($B689)/3,0)</f>
        <v>Q3</v>
      </c>
      <c r="E689" s="61" t="n">
        <f aca="false">MONTH($B689)</f>
        <v>7</v>
      </c>
      <c r="F689" s="61" t="str">
        <f aca="false">INDEX(Parametros!$I$5:$I$16,$E689)</f>
        <v>Jul</v>
      </c>
      <c r="G689" s="61" t="str">
        <f aca="false">TEXT($C689,"0000")&amp;"-"&amp;TEXT($E689,"00")</f>
        <v>2024-07</v>
      </c>
      <c r="H689" s="61" t="str">
        <f aca="false">INDEX(Parametros!$C$71:$C$91,MATCH(TRIM(INDEX(Datos_Origen!$C$2:$C$2459,$Z689)),Parametros!$B$71:$B$91,0))</f>
        <v>NOA</v>
      </c>
      <c r="I689" s="61" t="str">
        <f aca="false">IF(TRIM($AD689)="",INDEX(Parametros!$I$20:$I$24,MATCH($H689,Parametros!$H$20:$H$24,0)),TRIM($AD689))</f>
        <v>Tucuman</v>
      </c>
      <c r="J689" s="61" t="str">
        <f aca="false">INDEX(Parametros!$C$95:$C$106,MATCH(TRIM(INDEX(Datos_Origen!$E$2:$E$2459,$Z689)),Parametros!$B$95:$B$106,0))</f>
        <v>E-commerce</v>
      </c>
      <c r="K689" s="61" t="str">
        <f aca="false">INDEX(Parametros!$C$48:$C$67,MATCH(TRIM(INDEX(Datos_Origen!$F$2:$F$2459,$Z689)),Parametros!$B$48:$B$67,0))</f>
        <v>Accesorios</v>
      </c>
      <c r="L689" s="61" t="str">
        <f aca="false">$K689&amp;" "&amp;$C689</f>
        <v>Accesorios 2024</v>
      </c>
      <c r="M689" s="61" t="str">
        <f aca="false">TRIM(INDEX(Datos_Origen!$G$2:$G$2459,$Z689))</f>
        <v>Mouse Inalambrico</v>
      </c>
      <c r="N689" s="61" t="str">
        <f aca="false">$M689&amp;" "&amp;$C689</f>
        <v>Mouse Inalambrico 2024</v>
      </c>
      <c r="O689" s="63" t="n">
        <f aca="false">IF(ISTEXT($AC689),VALUE($AC689),$AC689)</f>
        <v>13</v>
      </c>
      <c r="P689" s="64" t="n">
        <f aca="false">INDEX(Datos_Origen!$I$2:$I$2459,$Z689)</f>
        <v>27.44</v>
      </c>
      <c r="Q689" s="64" t="n">
        <f aca="false">INDEX(Datos_Origen!$J$2:$J$2459,$Z689)</f>
        <v>13.44</v>
      </c>
      <c r="R689" s="65" t="n">
        <f aca="false">ROUND($O689*$P689,2)</f>
        <v>356.72</v>
      </c>
      <c r="S689" s="65" t="n">
        <f aca="false">ROUND($O689*$Q689,2)</f>
        <v>174.72</v>
      </c>
      <c r="T689" s="65" t="n">
        <f aca="false">ROUND($R689*SUMIFS(Parametros!$E$28:$E$43,Parametros!$B$28:$B$43,$J689,Parametros!$C$28:$C$43,$C689,Parametros!$D$28:$D$43,$D689),2)</f>
        <v>16.41</v>
      </c>
      <c r="U689" s="65" t="n">
        <f aca="false">$R689-$S689-$T689</f>
        <v>165.59</v>
      </c>
      <c r="V689" s="66" t="n">
        <f aca="false">IFERROR($U689/$R689,0)</f>
        <v>0.464201614711819</v>
      </c>
      <c r="W689" s="67" t="str">
        <f aca="false">IF(AND($V689&gt;=Parametros!$C$8,$R689&gt;=Parametros!$C$12),"Alta rentabilidad",IF(OR($V689&lt;Parametros!$C$11,$R689&lt;Parametros!$C$13),"Revisar","Estandar"))</f>
        <v>Estandar</v>
      </c>
      <c r="X689" s="67" t="str">
        <f aca="false">IF(AND($J689="E-commerce",IFERROR($T689/$R689,0)&gt;Parametros!$C$14),"Alerta","OK")</f>
        <v>OK</v>
      </c>
      <c r="Y689" s="61" t="str">
        <f aca="false">IF($R689&gt;=Parametros!$C$12,"Alto",IF($R689&lt;Parametros!$C$13,"Bajo","Medio"))</f>
        <v>Medio</v>
      </c>
      <c r="Z689" s="61" t="n">
        <v>1372</v>
      </c>
      <c r="AA689" s="61" t="str">
        <f aca="false">IF(MATCH($A689,Datos_Origen!$A$2:$A$2459,0)=$Z689,"OK","REVISAR")</f>
        <v>OK</v>
      </c>
      <c r="AB689" s="62" t="n">
        <f aca="false">INDEX(Datos_Origen!$B$2:$B$2459,$Z689)</f>
        <v>45484</v>
      </c>
      <c r="AC689" s="61" t="n">
        <f aca="false">INDEX(Datos_Origen!$H$2:$H$2459,$Z689)</f>
        <v>13</v>
      </c>
      <c r="AD689" s="61" t="str">
        <f aca="false">INDEX(Datos_Origen!$D$2:$D$2459,$Z689)&amp;""</f>
        <v>Tucuman</v>
      </c>
    </row>
    <row r="690" customFormat="false" ht="15" hidden="false" customHeight="false" outlineLevel="0" collapsed="false">
      <c r="A690" s="61" t="n">
        <f aca="false">INDEX(Datos_Origen!$A$2:$A$2459,$Z690)</f>
        <v>689</v>
      </c>
      <c r="B690" s="62" t="n">
        <f aca="false">IF(ISNUMBER($AB690),$AB690,IF(MID($AB690,5,1)="-",DATE(VALUE(LEFT($AB690,4)),VALUE(MID($AB690,6,2)),VALUE(RIGHT($AB690,2))),DATE(VALUE(RIGHT($AB690,4)),VALUE(MID($AB690,4,2)),VALUE(LEFT($AB690,2)))))</f>
        <v>45491</v>
      </c>
      <c r="C690" s="61" t="n">
        <f aca="false">YEAR($B690)</f>
        <v>2024</v>
      </c>
      <c r="D690" s="61" t="str">
        <f aca="false">"Q"&amp;ROUNDUP(MONTH($B690)/3,0)</f>
        <v>Q3</v>
      </c>
      <c r="E690" s="61" t="n">
        <f aca="false">MONTH($B690)</f>
        <v>7</v>
      </c>
      <c r="F690" s="61" t="str">
        <f aca="false">INDEX(Parametros!$I$5:$I$16,$E690)</f>
        <v>Jul</v>
      </c>
      <c r="G690" s="61" t="str">
        <f aca="false">TEXT($C690,"0000")&amp;"-"&amp;TEXT($E690,"00")</f>
        <v>2024-07</v>
      </c>
      <c r="H690" s="61" t="str">
        <f aca="false">INDEX(Parametros!$C$71:$C$91,MATCH(TRIM(INDEX(Datos_Origen!$C$2:$C$2459,$Z690)),Parametros!$B$71:$B$91,0))</f>
        <v>NOA</v>
      </c>
      <c r="I690" s="61" t="str">
        <f aca="false">IF(TRIM($AD690)="",INDEX(Parametros!$I$20:$I$24,MATCH($H690,Parametros!$H$20:$H$24,0)),TRIM($AD690))</f>
        <v>Tucuman</v>
      </c>
      <c r="J690" s="61" t="str">
        <f aca="false">INDEX(Parametros!$C$95:$C$106,MATCH(TRIM(INDEX(Datos_Origen!$E$2:$E$2459,$Z690)),Parametros!$B$95:$B$106,0))</f>
        <v>Tienda fisica</v>
      </c>
      <c r="K690" s="61" t="str">
        <f aca="false">INDEX(Parametros!$C$48:$C$67,MATCH(TRIM(INDEX(Datos_Origen!$F$2:$F$2459,$Z690)),Parametros!$B$48:$B$67,0))</f>
        <v>Accesorios</v>
      </c>
      <c r="L690" s="61" t="str">
        <f aca="false">$K690&amp;" "&amp;$C690</f>
        <v>Accesorios 2024</v>
      </c>
      <c r="M690" s="61" t="str">
        <f aca="false">TRIM(INDEX(Datos_Origen!$G$2:$G$2459,$Z690))</f>
        <v>Teclado Mecanico</v>
      </c>
      <c r="N690" s="61" t="str">
        <f aca="false">$M690&amp;" "&amp;$C690</f>
        <v>Teclado Mecanico 2024</v>
      </c>
      <c r="O690" s="63" t="n">
        <f aca="false">IF(ISTEXT($AC690),VALUE($AC690),$AC690)</f>
        <v>40</v>
      </c>
      <c r="P690" s="64" t="n">
        <f aca="false">INDEX(Datos_Origen!$I$2:$I$2459,$Z690)</f>
        <v>93.1</v>
      </c>
      <c r="Q690" s="64" t="n">
        <f aca="false">INDEX(Datos_Origen!$J$2:$J$2459,$Z690)</f>
        <v>47.98</v>
      </c>
      <c r="R690" s="65" t="n">
        <f aca="false">ROUND($O690*$P690,2)</f>
        <v>3724</v>
      </c>
      <c r="S690" s="65" t="n">
        <f aca="false">ROUND($O690*$Q690,2)</f>
        <v>1919.2</v>
      </c>
      <c r="T690" s="65" t="n">
        <f aca="false">ROUND($R690*SUMIFS(Parametros!$E$28:$E$43,Parametros!$B$28:$B$43,$J690,Parametros!$C$28:$C$43,$C690,Parametros!$D$28:$D$43,$D690),2)</f>
        <v>48.41</v>
      </c>
      <c r="U690" s="65" t="n">
        <f aca="false">$R690-$S690-$T690</f>
        <v>1756.39</v>
      </c>
      <c r="V690" s="66" t="n">
        <f aca="false">IFERROR($U690/$R690,0)</f>
        <v>0.471640708915145</v>
      </c>
      <c r="W690" s="67" t="str">
        <f aca="false">IF(AND($V690&gt;=Parametros!$C$8,$R690&gt;=Parametros!$C$12),"Alta rentabilidad",IF(OR($V690&lt;Parametros!$C$11,$R690&lt;Parametros!$C$13),"Revisar","Estandar"))</f>
        <v>Alta rentabilidad</v>
      </c>
      <c r="X690" s="67" t="str">
        <f aca="false">IF(AND($J690="E-commerce",IFERROR($T690/$R690,0)&gt;Parametros!$C$14),"Alerta","OK")</f>
        <v>OK</v>
      </c>
      <c r="Y690" s="61" t="str">
        <f aca="false">IF($R690&gt;=Parametros!$C$12,"Alto",IF($R690&lt;Parametros!$C$13,"Bajo","Medio"))</f>
        <v>Alto</v>
      </c>
      <c r="Z690" s="61" t="n">
        <v>1232</v>
      </c>
      <c r="AA690" s="61" t="str">
        <f aca="false">IF(MATCH($A690,Datos_Origen!$A$2:$A$2459,0)=$Z690,"OK","REVISAR")</f>
        <v>OK</v>
      </c>
      <c r="AB690" s="61" t="str">
        <f aca="false">INDEX(Datos_Origen!$B$2:$B$2459,$Z690)</f>
        <v>18/07/2024</v>
      </c>
      <c r="AC690" s="61" t="n">
        <f aca="false">INDEX(Datos_Origen!$H$2:$H$2459,$Z690)</f>
        <v>40</v>
      </c>
      <c r="AD690" s="61" t="str">
        <f aca="false">INDEX(Datos_Origen!$D$2:$D$2459,$Z690)&amp;""</f>
        <v>Tucuman</v>
      </c>
    </row>
    <row r="691" customFormat="false" ht="15" hidden="false" customHeight="false" outlineLevel="0" collapsed="false">
      <c r="A691" s="61" t="n">
        <f aca="false">INDEX(Datos_Origen!$A$2:$A$2459,$Z691)</f>
        <v>690</v>
      </c>
      <c r="B691" s="62" t="n">
        <f aca="false">IF(ISNUMBER($AB691),$AB691,IF(MID($AB691,5,1)="-",DATE(VALUE(LEFT($AB691,4)),VALUE(MID($AB691,6,2)),VALUE(RIGHT($AB691,2))),DATE(VALUE(RIGHT($AB691,4)),VALUE(MID($AB691,4,2)),VALUE(LEFT($AB691,2)))))</f>
        <v>45498</v>
      </c>
      <c r="C691" s="61" t="n">
        <f aca="false">YEAR($B691)</f>
        <v>2024</v>
      </c>
      <c r="D691" s="61" t="str">
        <f aca="false">"Q"&amp;ROUNDUP(MONTH($B691)/3,0)</f>
        <v>Q3</v>
      </c>
      <c r="E691" s="61" t="n">
        <f aca="false">MONTH($B691)</f>
        <v>7</v>
      </c>
      <c r="F691" s="61" t="str">
        <f aca="false">INDEX(Parametros!$I$5:$I$16,$E691)</f>
        <v>Jul</v>
      </c>
      <c r="G691" s="61" t="str">
        <f aca="false">TEXT($C691,"0000")&amp;"-"&amp;TEXT($E691,"00")</f>
        <v>2024-07</v>
      </c>
      <c r="H691" s="61" t="str">
        <f aca="false">INDEX(Parametros!$C$71:$C$91,MATCH(TRIM(INDEX(Datos_Origen!$C$2:$C$2459,$Z691)),Parametros!$B$71:$B$91,0))</f>
        <v>NOA</v>
      </c>
      <c r="I691" s="61" t="str">
        <f aca="false">IF(TRIM($AD691)="",INDEX(Parametros!$I$20:$I$24,MATCH($H691,Parametros!$H$20:$H$24,0)),TRIM($AD691))</f>
        <v>Tucuman</v>
      </c>
      <c r="J691" s="61" t="str">
        <f aca="false">INDEX(Parametros!$C$95:$C$106,MATCH(TRIM(INDEX(Datos_Origen!$E$2:$E$2459,$Z691)),Parametros!$B$95:$B$106,0))</f>
        <v>E-commerce</v>
      </c>
      <c r="K691" s="61" t="str">
        <f aca="false">INDEX(Parametros!$C$48:$C$67,MATCH(TRIM(INDEX(Datos_Origen!$F$2:$F$2459,$Z691)),Parametros!$B$48:$B$67,0))</f>
        <v>Accesorios</v>
      </c>
      <c r="L691" s="61" t="str">
        <f aca="false">$K691&amp;" "&amp;$C691</f>
        <v>Accesorios 2024</v>
      </c>
      <c r="M691" s="61" t="str">
        <f aca="false">TRIM(INDEX(Datos_Origen!$G$2:$G$2459,$Z691))</f>
        <v>Teclado Mecanico</v>
      </c>
      <c r="N691" s="61" t="str">
        <f aca="false">$M691&amp;" "&amp;$C691</f>
        <v>Teclado Mecanico 2024</v>
      </c>
      <c r="O691" s="63" t="n">
        <f aca="false">IF(ISTEXT($AC691),VALUE($AC691),$AC691)</f>
        <v>13</v>
      </c>
      <c r="P691" s="64" t="n">
        <f aca="false">INDEX(Datos_Origen!$I$2:$I$2459,$Z691)</f>
        <v>93.1</v>
      </c>
      <c r="Q691" s="64" t="n">
        <f aca="false">INDEX(Datos_Origen!$J$2:$J$2459,$Z691)</f>
        <v>47.98</v>
      </c>
      <c r="R691" s="65" t="n">
        <f aca="false">ROUND($O691*$P691,2)</f>
        <v>1210.3</v>
      </c>
      <c r="S691" s="65" t="n">
        <f aca="false">ROUND($O691*$Q691,2)</f>
        <v>623.74</v>
      </c>
      <c r="T691" s="65" t="n">
        <f aca="false">ROUND($R691*SUMIFS(Parametros!$E$28:$E$43,Parametros!$B$28:$B$43,$J691,Parametros!$C$28:$C$43,$C691,Parametros!$D$28:$D$43,$D691),2)</f>
        <v>55.67</v>
      </c>
      <c r="U691" s="65" t="n">
        <f aca="false">$R691-$S691-$T691</f>
        <v>530.89</v>
      </c>
      <c r="V691" s="66" t="n">
        <f aca="false">IFERROR($U691/$R691,0)</f>
        <v>0.438643311575642</v>
      </c>
      <c r="W691" s="67" t="str">
        <f aca="false">IF(AND($V691&gt;=Parametros!$C$8,$R691&gt;=Parametros!$C$12),"Alta rentabilidad",IF(OR($V691&lt;Parametros!$C$11,$R691&lt;Parametros!$C$13),"Revisar","Estandar"))</f>
        <v>Estandar</v>
      </c>
      <c r="X691" s="67" t="str">
        <f aca="false">IF(AND($J691="E-commerce",IFERROR($T691/$R691,0)&gt;Parametros!$C$14),"Alerta","OK")</f>
        <v>OK</v>
      </c>
      <c r="Y691" s="61" t="str">
        <f aca="false">IF($R691&gt;=Parametros!$C$12,"Alto",IF($R691&lt;Parametros!$C$13,"Bajo","Medio"))</f>
        <v>Medio</v>
      </c>
      <c r="Z691" s="61" t="n">
        <v>732</v>
      </c>
      <c r="AA691" s="61" t="str">
        <f aca="false">IF(MATCH($A691,Datos_Origen!$A$2:$A$2459,0)=$Z691,"OK","REVISAR")</f>
        <v>OK</v>
      </c>
      <c r="AB691" s="62" t="n">
        <f aca="false">INDEX(Datos_Origen!$B$2:$B$2459,$Z691)</f>
        <v>45498</v>
      </c>
      <c r="AC691" s="61" t="n">
        <f aca="false">INDEX(Datos_Origen!$H$2:$H$2459,$Z691)</f>
        <v>13</v>
      </c>
      <c r="AD691" s="61" t="str">
        <f aca="false">INDEX(Datos_Origen!$D$2:$D$2459,$Z691)&amp;""</f>
        <v>Tucuman</v>
      </c>
    </row>
    <row r="692" customFormat="false" ht="15" hidden="false" customHeight="false" outlineLevel="0" collapsed="false">
      <c r="A692" s="61" t="n">
        <f aca="false">INDEX(Datos_Origen!$A$2:$A$2459,$Z692)</f>
        <v>691</v>
      </c>
      <c r="B692" s="62" t="n">
        <f aca="false">IF(ISNUMBER($AB692),$AB692,IF(MID($AB692,5,1)="-",DATE(VALUE(LEFT($AB692,4)),VALUE(MID($AB692,6,2)),VALUE(RIGHT($AB692,2))),DATE(VALUE(RIGHT($AB692,4)),VALUE(MID($AB692,4,2)),VALUE(LEFT($AB692,2)))))</f>
        <v>45478</v>
      </c>
      <c r="C692" s="61" t="n">
        <f aca="false">YEAR($B692)</f>
        <v>2024</v>
      </c>
      <c r="D692" s="61" t="str">
        <f aca="false">"Q"&amp;ROUNDUP(MONTH($B692)/3,0)</f>
        <v>Q3</v>
      </c>
      <c r="E692" s="61" t="n">
        <f aca="false">MONTH($B692)</f>
        <v>7</v>
      </c>
      <c r="F692" s="61" t="str">
        <f aca="false">INDEX(Parametros!$I$5:$I$16,$E692)</f>
        <v>Jul</v>
      </c>
      <c r="G692" s="61" t="str">
        <f aca="false">TEXT($C692,"0000")&amp;"-"&amp;TEXT($E692,"00")</f>
        <v>2024-07</v>
      </c>
      <c r="H692" s="61" t="str">
        <f aca="false">INDEX(Parametros!$C$71:$C$91,MATCH(TRIM(INDEX(Datos_Origen!$C$2:$C$2459,$Z692)),Parametros!$B$71:$B$91,0))</f>
        <v>NOA</v>
      </c>
      <c r="I692" s="61" t="str">
        <f aca="false">IF(TRIM($AD692)="",INDEX(Parametros!$I$20:$I$24,MATCH($H692,Parametros!$H$20:$H$24,0)),TRIM($AD692))</f>
        <v>Tucuman</v>
      </c>
      <c r="J692" s="61" t="str">
        <f aca="false">INDEX(Parametros!$C$95:$C$106,MATCH(TRIM(INDEX(Datos_Origen!$E$2:$E$2459,$Z692)),Parametros!$B$95:$B$106,0))</f>
        <v>Tienda fisica</v>
      </c>
      <c r="K692" s="61" t="str">
        <f aca="false">INDEX(Parametros!$C$48:$C$67,MATCH(TRIM(INDEX(Datos_Origen!$F$2:$F$2459,$Z692)),Parametros!$B$48:$B$67,0))</f>
        <v>Accesorios</v>
      </c>
      <c r="L692" s="61" t="str">
        <f aca="false">$K692&amp;" "&amp;$C692</f>
        <v>Accesorios 2024</v>
      </c>
      <c r="M692" s="61" t="str">
        <f aca="false">TRIM(INDEX(Datos_Origen!$G$2:$G$2459,$Z692))</f>
        <v>Webcam Full HD</v>
      </c>
      <c r="N692" s="61" t="str">
        <f aca="false">$M692&amp;" "&amp;$C692</f>
        <v>Webcam Full HD 2024</v>
      </c>
      <c r="O692" s="63" t="n">
        <f aca="false">IF(ISTEXT($AC692),VALUE($AC692),$AC692)</f>
        <v>34</v>
      </c>
      <c r="P692" s="64" t="n">
        <f aca="false">INDEX(Datos_Origen!$I$2:$I$2459,$Z692)</f>
        <v>63.7</v>
      </c>
      <c r="Q692" s="64" t="n">
        <f aca="false">INDEX(Datos_Origen!$J$2:$J$2459,$Z692)</f>
        <v>35.43</v>
      </c>
      <c r="R692" s="65" t="n">
        <f aca="false">ROUND($O692*$P692,2)</f>
        <v>2165.8</v>
      </c>
      <c r="S692" s="65" t="n">
        <f aca="false">ROUND($O692*$Q692,2)</f>
        <v>1204.62</v>
      </c>
      <c r="T692" s="65" t="n">
        <f aca="false">ROUND($R692*SUMIFS(Parametros!$E$28:$E$43,Parametros!$B$28:$B$43,$J692,Parametros!$C$28:$C$43,$C692,Parametros!$D$28:$D$43,$D692),2)</f>
        <v>28.16</v>
      </c>
      <c r="U692" s="65" t="n">
        <f aca="false">$R692-$S692-$T692</f>
        <v>933.02</v>
      </c>
      <c r="V692" s="66" t="n">
        <f aca="false">IFERROR($U692/$R692,0)</f>
        <v>0.430796934158279</v>
      </c>
      <c r="W692" s="67" t="str">
        <f aca="false">IF(AND($V692&gt;=Parametros!$C$8,$R692&gt;=Parametros!$C$12),"Alta rentabilidad",IF(OR($V692&lt;Parametros!$C$11,$R692&lt;Parametros!$C$13),"Revisar","Estandar"))</f>
        <v>Estandar</v>
      </c>
      <c r="X692" s="67" t="str">
        <f aca="false">IF(AND($J692="E-commerce",IFERROR($T692/$R692,0)&gt;Parametros!$C$14),"Alerta","OK")</f>
        <v>OK</v>
      </c>
      <c r="Y692" s="61" t="str">
        <f aca="false">IF($R692&gt;=Parametros!$C$12,"Alto",IF($R692&lt;Parametros!$C$13,"Bajo","Medio"))</f>
        <v>Medio</v>
      </c>
      <c r="Z692" s="61" t="n">
        <v>2427</v>
      </c>
      <c r="AA692" s="61" t="str">
        <f aca="false">IF(MATCH($A692,Datos_Origen!$A$2:$A$2459,0)=$Z692,"OK","REVISAR")</f>
        <v>OK</v>
      </c>
      <c r="AB692" s="62" t="n">
        <f aca="false">INDEX(Datos_Origen!$B$2:$B$2459,$Z692)</f>
        <v>45478</v>
      </c>
      <c r="AC692" s="61" t="n">
        <f aca="false">INDEX(Datos_Origen!$H$2:$H$2459,$Z692)</f>
        <v>34</v>
      </c>
      <c r="AD692" s="61" t="str">
        <f aca="false">INDEX(Datos_Origen!$D$2:$D$2459,$Z692)&amp;""</f>
        <v>Tucuman</v>
      </c>
    </row>
    <row r="693" customFormat="false" ht="15" hidden="false" customHeight="false" outlineLevel="0" collapsed="false">
      <c r="A693" s="61" t="n">
        <f aca="false">INDEX(Datos_Origen!$A$2:$A$2459,$Z693)</f>
        <v>692</v>
      </c>
      <c r="B693" s="62" t="n">
        <f aca="false">IF(ISNUMBER($AB693),$AB693,IF(MID($AB693,5,1)="-",DATE(VALUE(LEFT($AB693,4)),VALUE(MID($AB693,6,2)),VALUE(RIGHT($AB693,2))),DATE(VALUE(RIGHT($AB693,4)),VALUE(MID($AB693,4,2)),VALUE(LEFT($AB693,2)))))</f>
        <v>45485</v>
      </c>
      <c r="C693" s="61" t="n">
        <f aca="false">YEAR($B693)</f>
        <v>2024</v>
      </c>
      <c r="D693" s="61" t="str">
        <f aca="false">"Q"&amp;ROUNDUP(MONTH($B693)/3,0)</f>
        <v>Q3</v>
      </c>
      <c r="E693" s="61" t="n">
        <f aca="false">MONTH($B693)</f>
        <v>7</v>
      </c>
      <c r="F693" s="61" t="str">
        <f aca="false">INDEX(Parametros!$I$5:$I$16,$E693)</f>
        <v>Jul</v>
      </c>
      <c r="G693" s="61" t="str">
        <f aca="false">TEXT($C693,"0000")&amp;"-"&amp;TEXT($E693,"00")</f>
        <v>2024-07</v>
      </c>
      <c r="H693" s="61" t="str">
        <f aca="false">INDEX(Parametros!$C$71:$C$91,MATCH(TRIM(INDEX(Datos_Origen!$C$2:$C$2459,$Z693)),Parametros!$B$71:$B$91,0))</f>
        <v>NOA</v>
      </c>
      <c r="I693" s="61" t="str">
        <f aca="false">IF(TRIM($AD693)="",INDEX(Parametros!$I$20:$I$24,MATCH($H693,Parametros!$H$20:$H$24,0)),TRIM($AD693))</f>
        <v>Tucuman</v>
      </c>
      <c r="J693" s="61" t="str">
        <f aca="false">INDEX(Parametros!$C$95:$C$106,MATCH(TRIM(INDEX(Datos_Origen!$E$2:$E$2459,$Z693)),Parametros!$B$95:$B$106,0))</f>
        <v>E-commerce</v>
      </c>
      <c r="K693" s="61" t="str">
        <f aca="false">INDEX(Parametros!$C$48:$C$67,MATCH(TRIM(INDEX(Datos_Origen!$F$2:$F$2459,$Z693)),Parametros!$B$48:$B$67,0))</f>
        <v>Accesorios</v>
      </c>
      <c r="L693" s="61" t="str">
        <f aca="false">$K693&amp;" "&amp;$C693</f>
        <v>Accesorios 2024</v>
      </c>
      <c r="M693" s="61" t="str">
        <f aca="false">TRIM(INDEX(Datos_Origen!$G$2:$G$2459,$Z693))</f>
        <v>Webcam Full HD</v>
      </c>
      <c r="N693" s="61" t="str">
        <f aca="false">$M693&amp;" "&amp;$C693</f>
        <v>Webcam Full HD 2024</v>
      </c>
      <c r="O693" s="63" t="n">
        <f aca="false">IF(ISTEXT($AC693),VALUE($AC693),$AC693)</f>
        <v>13</v>
      </c>
      <c r="P693" s="64" t="n">
        <f aca="false">INDEX(Datos_Origen!$I$2:$I$2459,$Z693)</f>
        <v>63.7</v>
      </c>
      <c r="Q693" s="64" t="n">
        <f aca="false">INDEX(Datos_Origen!$J$2:$J$2459,$Z693)</f>
        <v>35.43</v>
      </c>
      <c r="R693" s="65" t="n">
        <f aca="false">ROUND($O693*$P693,2)</f>
        <v>828.1</v>
      </c>
      <c r="S693" s="65" t="n">
        <f aca="false">ROUND($O693*$Q693,2)</f>
        <v>460.59</v>
      </c>
      <c r="T693" s="65" t="n">
        <f aca="false">ROUND($R693*SUMIFS(Parametros!$E$28:$E$43,Parametros!$B$28:$B$43,$J693,Parametros!$C$28:$C$43,$C693,Parametros!$D$28:$D$43,$D693),2)</f>
        <v>38.09</v>
      </c>
      <c r="U693" s="65" t="n">
        <f aca="false">$R693-$S693-$T693</f>
        <v>329.42</v>
      </c>
      <c r="V693" s="66" t="n">
        <f aca="false">IFERROR($U693/$R693,0)</f>
        <v>0.397802197802198</v>
      </c>
      <c r="W693" s="67" t="str">
        <f aca="false">IF(AND($V693&gt;=Parametros!$C$8,$R693&gt;=Parametros!$C$12),"Alta rentabilidad",IF(OR($V693&lt;Parametros!$C$11,$R693&lt;Parametros!$C$13),"Revisar","Estandar"))</f>
        <v>Estandar</v>
      </c>
      <c r="X693" s="67" t="str">
        <f aca="false">IF(AND($J693="E-commerce",IFERROR($T693/$R693,0)&gt;Parametros!$C$14),"Alerta","OK")</f>
        <v>OK</v>
      </c>
      <c r="Y693" s="61" t="str">
        <f aca="false">IF($R693&gt;=Parametros!$C$12,"Alto",IF($R693&lt;Parametros!$C$13,"Bajo","Medio"))</f>
        <v>Medio</v>
      </c>
      <c r="Z693" s="61" t="n">
        <v>109</v>
      </c>
      <c r="AA693" s="61" t="str">
        <f aca="false">IF(MATCH($A693,Datos_Origen!$A$2:$A$2459,0)=$Z693,"OK","REVISAR")</f>
        <v>OK</v>
      </c>
      <c r="AB693" s="61" t="str">
        <f aca="false">INDEX(Datos_Origen!$B$2:$B$2459,$Z693)</f>
        <v>12/07/2024</v>
      </c>
      <c r="AC693" s="61" t="n">
        <f aca="false">INDEX(Datos_Origen!$H$2:$H$2459,$Z693)</f>
        <v>13</v>
      </c>
      <c r="AD693" s="61" t="str">
        <f aca="false">INDEX(Datos_Origen!$D$2:$D$2459,$Z693)&amp;""</f>
        <v>Tucuman</v>
      </c>
    </row>
    <row r="694" customFormat="false" ht="15" hidden="false" customHeight="false" outlineLevel="0" collapsed="false">
      <c r="A694" s="61" t="n">
        <f aca="false">INDEX(Datos_Origen!$A$2:$A$2459,$Z694)</f>
        <v>693</v>
      </c>
      <c r="B694" s="62" t="n">
        <f aca="false">IF(ISNUMBER($AB694),$AB694,IF(MID($AB694,5,1)="-",DATE(VALUE(LEFT($AB694,4)),VALUE(MID($AB694,6,2)),VALUE(RIGHT($AB694,2))),DATE(VALUE(RIGHT($AB694,4)),VALUE(MID($AB694,4,2)),VALUE(LEFT($AB694,2)))))</f>
        <v>45492</v>
      </c>
      <c r="C694" s="61" t="n">
        <f aca="false">YEAR($B694)</f>
        <v>2024</v>
      </c>
      <c r="D694" s="61" t="str">
        <f aca="false">"Q"&amp;ROUNDUP(MONTH($B694)/3,0)</f>
        <v>Q3</v>
      </c>
      <c r="E694" s="61" t="n">
        <f aca="false">MONTH($B694)</f>
        <v>7</v>
      </c>
      <c r="F694" s="61" t="str">
        <f aca="false">INDEX(Parametros!$I$5:$I$16,$E694)</f>
        <v>Jul</v>
      </c>
      <c r="G694" s="61" t="str">
        <f aca="false">TEXT($C694,"0000")&amp;"-"&amp;TEXT($E694,"00")</f>
        <v>2024-07</v>
      </c>
      <c r="H694" s="61" t="str">
        <f aca="false">INDEX(Parametros!$C$71:$C$91,MATCH(TRIM(INDEX(Datos_Origen!$C$2:$C$2459,$Z694)),Parametros!$B$71:$B$91,0))</f>
        <v>NOA</v>
      </c>
      <c r="I694" s="61" t="str">
        <f aca="false">IF(TRIM($AD694)="",INDEX(Parametros!$I$20:$I$24,MATCH($H694,Parametros!$H$20:$H$24,0)),TRIM($AD694))</f>
        <v>Tucuman</v>
      </c>
      <c r="J694" s="61" t="str">
        <f aca="false">INDEX(Parametros!$C$95:$C$106,MATCH(TRIM(INDEX(Datos_Origen!$E$2:$E$2459,$Z694)),Parametros!$B$95:$B$106,0))</f>
        <v>Tienda fisica</v>
      </c>
      <c r="K694" s="61" t="str">
        <f aca="false">INDEX(Parametros!$C$48:$C$67,MATCH(TRIM(INDEX(Datos_Origen!$F$2:$F$2459,$Z694)),Parametros!$B$48:$B$67,0))</f>
        <v>Audio</v>
      </c>
      <c r="L694" s="61" t="str">
        <f aca="false">$K694&amp;" "&amp;$C694</f>
        <v>Audio 2024</v>
      </c>
      <c r="M694" s="61" t="str">
        <f aca="false">TRIM(INDEX(Datos_Origen!$G$2:$G$2459,$Z694))</f>
        <v>Auriculares BT Pro</v>
      </c>
      <c r="N694" s="61" t="str">
        <f aca="false">$M694&amp;" "&amp;$C694</f>
        <v>Auriculares BT Pro 2024</v>
      </c>
      <c r="O694" s="63" t="n">
        <f aca="false">IF(ISTEXT($AC694),VALUE($AC694),$AC694)</f>
        <v>18</v>
      </c>
      <c r="P694" s="64" t="n">
        <f aca="false">INDEX(Datos_Origen!$I$2:$I$2459,$Z694)</f>
        <v>117.6</v>
      </c>
      <c r="Q694" s="64" t="n">
        <f aca="false">INDEX(Datos_Origen!$J$2:$J$2459,$Z694)</f>
        <v>63.6</v>
      </c>
      <c r="R694" s="65" t="n">
        <f aca="false">ROUND($O694*$P694,2)</f>
        <v>2116.8</v>
      </c>
      <c r="S694" s="65" t="n">
        <f aca="false">ROUND($O694*$Q694,2)</f>
        <v>1144.8</v>
      </c>
      <c r="T694" s="65" t="n">
        <f aca="false">ROUND($R694*SUMIFS(Parametros!$E$28:$E$43,Parametros!$B$28:$B$43,$J694,Parametros!$C$28:$C$43,$C694,Parametros!$D$28:$D$43,$D694),2)</f>
        <v>27.52</v>
      </c>
      <c r="U694" s="65" t="n">
        <f aca="false">$R694-$S694-$T694</f>
        <v>944.48</v>
      </c>
      <c r="V694" s="66" t="n">
        <f aca="false">IFERROR($U694/$R694,0)</f>
        <v>0.446182917611489</v>
      </c>
      <c r="W694" s="67" t="str">
        <f aca="false">IF(AND($V694&gt;=Parametros!$C$8,$R694&gt;=Parametros!$C$12),"Alta rentabilidad",IF(OR($V694&lt;Parametros!$C$11,$R694&lt;Parametros!$C$13),"Revisar","Estandar"))</f>
        <v>Estandar</v>
      </c>
      <c r="X694" s="67" t="str">
        <f aca="false">IF(AND($J694="E-commerce",IFERROR($T694/$R694,0)&gt;Parametros!$C$14),"Alerta","OK")</f>
        <v>OK</v>
      </c>
      <c r="Y694" s="61" t="str">
        <f aca="false">IF($R694&gt;=Parametros!$C$12,"Alto",IF($R694&lt;Parametros!$C$13,"Bajo","Medio"))</f>
        <v>Medio</v>
      </c>
      <c r="Z694" s="61" t="n">
        <v>1492</v>
      </c>
      <c r="AA694" s="61" t="str">
        <f aca="false">IF(MATCH($A694,Datos_Origen!$A$2:$A$2459,0)=$Z694,"OK","REVISAR")</f>
        <v>OK</v>
      </c>
      <c r="AB694" s="62" t="n">
        <f aca="false">INDEX(Datos_Origen!$B$2:$B$2459,$Z694)</f>
        <v>45492</v>
      </c>
      <c r="AC694" s="61" t="n">
        <f aca="false">INDEX(Datos_Origen!$H$2:$H$2459,$Z694)</f>
        <v>18</v>
      </c>
      <c r="AD694" s="61" t="str">
        <f aca="false">INDEX(Datos_Origen!$D$2:$D$2459,$Z694)&amp;""</f>
        <v>Tucuman</v>
      </c>
    </row>
    <row r="695" customFormat="false" ht="15" hidden="false" customHeight="false" outlineLevel="0" collapsed="false">
      <c r="A695" s="61" t="n">
        <f aca="false">INDEX(Datos_Origen!$A$2:$A$2459,$Z695)</f>
        <v>694</v>
      </c>
      <c r="B695" s="62" t="n">
        <f aca="false">IF(ISNUMBER($AB695),$AB695,IF(MID($AB695,5,1)="-",DATE(VALUE(LEFT($AB695,4)),VALUE(MID($AB695,6,2)),VALUE(RIGHT($AB695,2))),DATE(VALUE(RIGHT($AB695,4)),VALUE(MID($AB695,4,2)),VALUE(LEFT($AB695,2)))))</f>
        <v>45499</v>
      </c>
      <c r="C695" s="61" t="n">
        <f aca="false">YEAR($B695)</f>
        <v>2024</v>
      </c>
      <c r="D695" s="61" t="str">
        <f aca="false">"Q"&amp;ROUNDUP(MONTH($B695)/3,0)</f>
        <v>Q3</v>
      </c>
      <c r="E695" s="61" t="n">
        <f aca="false">MONTH($B695)</f>
        <v>7</v>
      </c>
      <c r="F695" s="61" t="str">
        <f aca="false">INDEX(Parametros!$I$5:$I$16,$E695)</f>
        <v>Jul</v>
      </c>
      <c r="G695" s="61" t="str">
        <f aca="false">TEXT($C695,"0000")&amp;"-"&amp;TEXT($E695,"00")</f>
        <v>2024-07</v>
      </c>
      <c r="H695" s="61" t="str">
        <f aca="false">INDEX(Parametros!$C$71:$C$91,MATCH(TRIM(INDEX(Datos_Origen!$C$2:$C$2459,$Z695)),Parametros!$B$71:$B$91,0))</f>
        <v>NOA</v>
      </c>
      <c r="I695" s="61" t="str">
        <f aca="false">IF(TRIM($AD695)="",INDEX(Parametros!$I$20:$I$24,MATCH($H695,Parametros!$H$20:$H$24,0)),TRIM($AD695))</f>
        <v>Tucuman</v>
      </c>
      <c r="J695" s="61" t="str">
        <f aca="false">INDEX(Parametros!$C$95:$C$106,MATCH(TRIM(INDEX(Datos_Origen!$E$2:$E$2459,$Z695)),Parametros!$B$95:$B$106,0))</f>
        <v>E-commerce</v>
      </c>
      <c r="K695" s="61" t="str">
        <f aca="false">INDEX(Parametros!$C$48:$C$67,MATCH(TRIM(INDEX(Datos_Origen!$F$2:$F$2459,$Z695)),Parametros!$B$48:$B$67,0))</f>
        <v>Audio</v>
      </c>
      <c r="L695" s="61" t="str">
        <f aca="false">$K695&amp;" "&amp;$C695</f>
        <v>Audio 2024</v>
      </c>
      <c r="M695" s="61" t="str">
        <f aca="false">TRIM(INDEX(Datos_Origen!$G$2:$G$2459,$Z695))</f>
        <v>Auriculares BT Pro</v>
      </c>
      <c r="N695" s="61" t="str">
        <f aca="false">$M695&amp;" "&amp;$C695</f>
        <v>Auriculares BT Pro 2024</v>
      </c>
      <c r="O695" s="63" t="n">
        <f aca="false">IF(ISTEXT($AC695),VALUE($AC695),$AC695)</f>
        <v>5</v>
      </c>
      <c r="P695" s="64" t="n">
        <f aca="false">INDEX(Datos_Origen!$I$2:$I$2459,$Z695)</f>
        <v>117.6</v>
      </c>
      <c r="Q695" s="64" t="n">
        <f aca="false">INDEX(Datos_Origen!$J$2:$J$2459,$Z695)</f>
        <v>63.6</v>
      </c>
      <c r="R695" s="65" t="n">
        <f aca="false">ROUND($O695*$P695,2)</f>
        <v>588</v>
      </c>
      <c r="S695" s="65" t="n">
        <f aca="false">ROUND($O695*$Q695,2)</f>
        <v>318</v>
      </c>
      <c r="T695" s="65" t="n">
        <f aca="false">ROUND($R695*SUMIFS(Parametros!$E$28:$E$43,Parametros!$B$28:$B$43,$J695,Parametros!$C$28:$C$43,$C695,Parametros!$D$28:$D$43,$D695),2)</f>
        <v>27.05</v>
      </c>
      <c r="U695" s="65" t="n">
        <f aca="false">$R695-$S695-$T695</f>
        <v>242.95</v>
      </c>
      <c r="V695" s="66" t="n">
        <f aca="false">IFERROR($U695/$R695,0)</f>
        <v>0.413180272108844</v>
      </c>
      <c r="W695" s="67" t="str">
        <f aca="false">IF(AND($V695&gt;=Parametros!$C$8,$R695&gt;=Parametros!$C$12),"Alta rentabilidad",IF(OR($V695&lt;Parametros!$C$11,$R695&lt;Parametros!$C$13),"Revisar","Estandar"))</f>
        <v>Estandar</v>
      </c>
      <c r="X695" s="67" t="str">
        <f aca="false">IF(AND($J695="E-commerce",IFERROR($T695/$R695,0)&gt;Parametros!$C$14),"Alerta","OK")</f>
        <v>OK</v>
      </c>
      <c r="Y695" s="61" t="str">
        <f aca="false">IF($R695&gt;=Parametros!$C$12,"Alto",IF($R695&lt;Parametros!$C$13,"Bajo","Medio"))</f>
        <v>Medio</v>
      </c>
      <c r="Z695" s="61" t="n">
        <v>861</v>
      </c>
      <c r="AA695" s="61" t="str">
        <f aca="false">IF(MATCH($A695,Datos_Origen!$A$2:$A$2459,0)=$Z695,"OK","REVISAR")</f>
        <v>OK</v>
      </c>
      <c r="AB695" s="62" t="n">
        <f aca="false">INDEX(Datos_Origen!$B$2:$B$2459,$Z695)</f>
        <v>45499</v>
      </c>
      <c r="AC695" s="61" t="n">
        <f aca="false">INDEX(Datos_Origen!$H$2:$H$2459,$Z695)</f>
        <v>5</v>
      </c>
      <c r="AD695" s="61" t="str">
        <f aca="false">INDEX(Datos_Origen!$D$2:$D$2459,$Z695)&amp;""</f>
        <v>Tucuman</v>
      </c>
    </row>
    <row r="696" customFormat="false" ht="15" hidden="false" customHeight="false" outlineLevel="0" collapsed="false">
      <c r="A696" s="61" t="n">
        <f aca="false">INDEX(Datos_Origen!$A$2:$A$2459,$Z696)</f>
        <v>695</v>
      </c>
      <c r="B696" s="62" t="n">
        <f aca="false">IF(ISNUMBER($AB696),$AB696,IF(MID($AB696,5,1)="-",DATE(VALUE(LEFT($AB696,4)),VALUE(MID($AB696,6,2)),VALUE(RIGHT($AB696,2))),DATE(VALUE(RIGHT($AB696,4)),VALUE(MID($AB696,4,2)),VALUE(LEFT($AB696,2)))))</f>
        <v>45479</v>
      </c>
      <c r="C696" s="61" t="n">
        <f aca="false">YEAR($B696)</f>
        <v>2024</v>
      </c>
      <c r="D696" s="61" t="str">
        <f aca="false">"Q"&amp;ROUNDUP(MONTH($B696)/3,0)</f>
        <v>Q3</v>
      </c>
      <c r="E696" s="61" t="n">
        <f aca="false">MONTH($B696)</f>
        <v>7</v>
      </c>
      <c r="F696" s="61" t="str">
        <f aca="false">INDEX(Parametros!$I$5:$I$16,$E696)</f>
        <v>Jul</v>
      </c>
      <c r="G696" s="61" t="str">
        <f aca="false">TEXT($C696,"0000")&amp;"-"&amp;TEXT($E696,"00")</f>
        <v>2024-07</v>
      </c>
      <c r="H696" s="61" t="str">
        <f aca="false">INDEX(Parametros!$C$71:$C$91,MATCH(TRIM(INDEX(Datos_Origen!$C$2:$C$2459,$Z696)),Parametros!$B$71:$B$91,0))</f>
        <v>NOA</v>
      </c>
      <c r="I696" s="61" t="str">
        <f aca="false">IF(TRIM($AD696)="",INDEX(Parametros!$I$20:$I$24,MATCH($H696,Parametros!$H$20:$H$24,0)),TRIM($AD696))</f>
        <v>Tucuman</v>
      </c>
      <c r="J696" s="61" t="str">
        <f aca="false">INDEX(Parametros!$C$95:$C$106,MATCH(TRIM(INDEX(Datos_Origen!$E$2:$E$2459,$Z696)),Parametros!$B$95:$B$106,0))</f>
        <v>Tienda fisica</v>
      </c>
      <c r="K696" s="61" t="str">
        <f aca="false">INDEX(Parametros!$C$48:$C$67,MATCH(TRIM(INDEX(Datos_Origen!$F$2:$F$2459,$Z696)),Parametros!$B$48:$B$67,0))</f>
        <v>Audio</v>
      </c>
      <c r="L696" s="61" t="str">
        <f aca="false">$K696&amp;" "&amp;$C696</f>
        <v>Audio 2024</v>
      </c>
      <c r="M696" s="61" t="str">
        <f aca="false">TRIM(INDEX(Datos_Origen!$G$2:$G$2459,$Z696))</f>
        <v>Parlante Bluetooth</v>
      </c>
      <c r="N696" s="61" t="str">
        <f aca="false">$M696&amp;" "&amp;$C696</f>
        <v>Parlante Bluetooth 2024</v>
      </c>
      <c r="O696" s="63" t="n">
        <f aca="false">IF(ISTEXT($AC696),VALUE($AC696),$AC696)</f>
        <v>15</v>
      </c>
      <c r="P696" s="64" t="n">
        <f aca="false">INDEX(Datos_Origen!$I$2:$I$2459,$Z696)</f>
        <v>83.3</v>
      </c>
      <c r="Q696" s="64" t="n">
        <f aca="false">INDEX(Datos_Origen!$J$2:$J$2459,$Z696)</f>
        <v>48.03</v>
      </c>
      <c r="R696" s="65" t="n">
        <f aca="false">ROUND($O696*$P696,2)</f>
        <v>1249.5</v>
      </c>
      <c r="S696" s="65" t="n">
        <f aca="false">ROUND($O696*$Q696,2)</f>
        <v>720.45</v>
      </c>
      <c r="T696" s="65" t="n">
        <f aca="false">ROUND($R696*SUMIFS(Parametros!$E$28:$E$43,Parametros!$B$28:$B$43,$J696,Parametros!$C$28:$C$43,$C696,Parametros!$D$28:$D$43,$D696),2)</f>
        <v>16.24</v>
      </c>
      <c r="U696" s="65" t="n">
        <f aca="false">$R696-$S696-$T696</f>
        <v>512.81</v>
      </c>
      <c r="V696" s="66" t="n">
        <f aca="false">IFERROR($U696/$R696,0)</f>
        <v>0.410412164865946</v>
      </c>
      <c r="W696" s="67" t="str">
        <f aca="false">IF(AND($V696&gt;=Parametros!$C$8,$R696&gt;=Parametros!$C$12),"Alta rentabilidad",IF(OR($V696&lt;Parametros!$C$11,$R696&lt;Parametros!$C$13),"Revisar","Estandar"))</f>
        <v>Estandar</v>
      </c>
      <c r="X696" s="67" t="str">
        <f aca="false">IF(AND($J696="E-commerce",IFERROR($T696/$R696,0)&gt;Parametros!$C$14),"Alerta","OK")</f>
        <v>OK</v>
      </c>
      <c r="Y696" s="61" t="str">
        <f aca="false">IF($R696&gt;=Parametros!$C$12,"Alto",IF($R696&lt;Parametros!$C$13,"Bajo","Medio"))</f>
        <v>Medio</v>
      </c>
      <c r="Z696" s="61" t="n">
        <v>1037</v>
      </c>
      <c r="AA696" s="61" t="str">
        <f aca="false">IF(MATCH($A696,Datos_Origen!$A$2:$A$2459,0)=$Z696,"OK","REVISAR")</f>
        <v>OK</v>
      </c>
      <c r="AB696" s="62" t="n">
        <f aca="false">INDEX(Datos_Origen!$B$2:$B$2459,$Z696)</f>
        <v>45479</v>
      </c>
      <c r="AC696" s="61" t="n">
        <f aca="false">INDEX(Datos_Origen!$H$2:$H$2459,$Z696)</f>
        <v>15</v>
      </c>
      <c r="AD696" s="61" t="str">
        <f aca="false">INDEX(Datos_Origen!$D$2:$D$2459,$Z696)&amp;""</f>
        <v>Tucuman</v>
      </c>
    </row>
    <row r="697" customFormat="false" ht="15" hidden="false" customHeight="false" outlineLevel="0" collapsed="false">
      <c r="A697" s="61" t="n">
        <f aca="false">INDEX(Datos_Origen!$A$2:$A$2459,$Z697)</f>
        <v>696</v>
      </c>
      <c r="B697" s="62" t="n">
        <f aca="false">IF(ISNUMBER($AB697),$AB697,IF(MID($AB697,5,1)="-",DATE(VALUE(LEFT($AB697,4)),VALUE(MID($AB697,6,2)),VALUE(RIGHT($AB697,2))),DATE(VALUE(RIGHT($AB697,4)),VALUE(MID($AB697,4,2)),VALUE(LEFT($AB697,2)))))</f>
        <v>45486</v>
      </c>
      <c r="C697" s="61" t="n">
        <f aca="false">YEAR($B697)</f>
        <v>2024</v>
      </c>
      <c r="D697" s="61" t="str">
        <f aca="false">"Q"&amp;ROUNDUP(MONTH($B697)/3,0)</f>
        <v>Q3</v>
      </c>
      <c r="E697" s="61" t="n">
        <f aca="false">MONTH($B697)</f>
        <v>7</v>
      </c>
      <c r="F697" s="61" t="str">
        <f aca="false">INDEX(Parametros!$I$5:$I$16,$E697)</f>
        <v>Jul</v>
      </c>
      <c r="G697" s="61" t="str">
        <f aca="false">TEXT($C697,"0000")&amp;"-"&amp;TEXT($E697,"00")</f>
        <v>2024-07</v>
      </c>
      <c r="H697" s="61" t="str">
        <f aca="false">INDEX(Parametros!$C$71:$C$91,MATCH(TRIM(INDEX(Datos_Origen!$C$2:$C$2459,$Z697)),Parametros!$B$71:$B$91,0))</f>
        <v>NOA</v>
      </c>
      <c r="I697" s="61" t="str">
        <f aca="false">IF(TRIM($AD697)="",INDEX(Parametros!$I$20:$I$24,MATCH($H697,Parametros!$H$20:$H$24,0)),TRIM($AD697))</f>
        <v>Tucuman</v>
      </c>
      <c r="J697" s="61" t="str">
        <f aca="false">INDEX(Parametros!$C$95:$C$106,MATCH(TRIM(INDEX(Datos_Origen!$E$2:$E$2459,$Z697)),Parametros!$B$95:$B$106,0))</f>
        <v>E-commerce</v>
      </c>
      <c r="K697" s="61" t="str">
        <f aca="false">INDEX(Parametros!$C$48:$C$67,MATCH(TRIM(INDEX(Datos_Origen!$F$2:$F$2459,$Z697)),Parametros!$B$48:$B$67,0))</f>
        <v>Audio</v>
      </c>
      <c r="L697" s="61" t="str">
        <f aca="false">$K697&amp;" "&amp;$C697</f>
        <v>Audio 2024</v>
      </c>
      <c r="M697" s="61" t="str">
        <f aca="false">TRIM(INDEX(Datos_Origen!$G$2:$G$2459,$Z697))</f>
        <v>Parlante Bluetooth</v>
      </c>
      <c r="N697" s="61" t="str">
        <f aca="false">$M697&amp;" "&amp;$C697</f>
        <v>Parlante Bluetooth 2024</v>
      </c>
      <c r="O697" s="63" t="n">
        <f aca="false">IF(ISTEXT($AC697),VALUE($AC697),$AC697)</f>
        <v>6</v>
      </c>
      <c r="P697" s="64" t="n">
        <f aca="false">INDEX(Datos_Origen!$I$2:$I$2459,$Z697)</f>
        <v>83.3</v>
      </c>
      <c r="Q697" s="64" t="n">
        <f aca="false">INDEX(Datos_Origen!$J$2:$J$2459,$Z697)</f>
        <v>48.03</v>
      </c>
      <c r="R697" s="65" t="n">
        <f aca="false">ROUND($O697*$P697,2)</f>
        <v>499.8</v>
      </c>
      <c r="S697" s="65" t="n">
        <f aca="false">ROUND($O697*$Q697,2)</f>
        <v>288.18</v>
      </c>
      <c r="T697" s="65" t="n">
        <f aca="false">ROUND($R697*SUMIFS(Parametros!$E$28:$E$43,Parametros!$B$28:$B$43,$J697,Parametros!$C$28:$C$43,$C697,Parametros!$D$28:$D$43,$D697),2)</f>
        <v>22.99</v>
      </c>
      <c r="U697" s="65" t="n">
        <f aca="false">$R697-$S697-$T697</f>
        <v>188.63</v>
      </c>
      <c r="V697" s="66" t="n">
        <f aca="false">IFERROR($U697/$R697,0)</f>
        <v>0.377410964385754</v>
      </c>
      <c r="W697" s="67" t="str">
        <f aca="false">IF(AND($V697&gt;=Parametros!$C$8,$R697&gt;=Parametros!$C$12),"Alta rentabilidad",IF(OR($V697&lt;Parametros!$C$11,$R697&lt;Parametros!$C$13),"Revisar","Estandar"))</f>
        <v>Estandar</v>
      </c>
      <c r="X697" s="67" t="str">
        <f aca="false">IF(AND($J697="E-commerce",IFERROR($T697/$R697,0)&gt;Parametros!$C$14),"Alerta","OK")</f>
        <v>OK</v>
      </c>
      <c r="Y697" s="61" t="str">
        <f aca="false">IF($R697&gt;=Parametros!$C$12,"Alto",IF($R697&lt;Parametros!$C$13,"Bajo","Medio"))</f>
        <v>Medio</v>
      </c>
      <c r="Z697" s="61" t="n">
        <v>708</v>
      </c>
      <c r="AA697" s="61" t="str">
        <f aca="false">IF(MATCH($A697,Datos_Origen!$A$2:$A$2459,0)=$Z697,"OK","REVISAR")</f>
        <v>OK</v>
      </c>
      <c r="AB697" s="62" t="n">
        <f aca="false">INDEX(Datos_Origen!$B$2:$B$2459,$Z697)</f>
        <v>45486</v>
      </c>
      <c r="AC697" s="61" t="n">
        <f aca="false">INDEX(Datos_Origen!$H$2:$H$2459,$Z697)</f>
        <v>6</v>
      </c>
      <c r="AD697" s="61" t="str">
        <f aca="false">INDEX(Datos_Origen!$D$2:$D$2459,$Z697)&amp;""</f>
        <v>Tucuman</v>
      </c>
    </row>
    <row r="698" customFormat="false" ht="15" hidden="false" customHeight="false" outlineLevel="0" collapsed="false">
      <c r="A698" s="61" t="n">
        <f aca="false">INDEX(Datos_Origen!$A$2:$A$2459,$Z698)</f>
        <v>697</v>
      </c>
      <c r="B698" s="62" t="n">
        <f aca="false">IF(ISNUMBER($AB698),$AB698,IF(MID($AB698,5,1)="-",DATE(VALUE(LEFT($AB698,4)),VALUE(MID($AB698,6,2)),VALUE(RIGHT($AB698,2))),DATE(VALUE(RIGHT($AB698,4)),VALUE(MID($AB698,4,2)),VALUE(LEFT($AB698,2)))))</f>
        <v>45493</v>
      </c>
      <c r="C698" s="61" t="n">
        <f aca="false">YEAR($B698)</f>
        <v>2024</v>
      </c>
      <c r="D698" s="61" t="str">
        <f aca="false">"Q"&amp;ROUNDUP(MONTH($B698)/3,0)</f>
        <v>Q3</v>
      </c>
      <c r="E698" s="61" t="n">
        <f aca="false">MONTH($B698)</f>
        <v>7</v>
      </c>
      <c r="F698" s="61" t="str">
        <f aca="false">INDEX(Parametros!$I$5:$I$16,$E698)</f>
        <v>Jul</v>
      </c>
      <c r="G698" s="61" t="str">
        <f aca="false">TEXT($C698,"0000")&amp;"-"&amp;TEXT($E698,"00")</f>
        <v>2024-07</v>
      </c>
      <c r="H698" s="61" t="str">
        <f aca="false">INDEX(Parametros!$C$71:$C$91,MATCH(TRIM(INDEX(Datos_Origen!$C$2:$C$2459,$Z698)),Parametros!$B$71:$B$91,0))</f>
        <v>NOA</v>
      </c>
      <c r="I698" s="61" t="str">
        <f aca="false">IF(TRIM($AD698)="",INDEX(Parametros!$I$20:$I$24,MATCH($H698,Parametros!$H$20:$H$24,0)),TRIM($AD698))</f>
        <v>Tucuman</v>
      </c>
      <c r="J698" s="61" t="str">
        <f aca="false">INDEX(Parametros!$C$95:$C$106,MATCH(TRIM(INDEX(Datos_Origen!$E$2:$E$2459,$Z698)),Parametros!$B$95:$B$106,0))</f>
        <v>Tienda fisica</v>
      </c>
      <c r="K698" s="61" t="str">
        <f aca="false">INDEX(Parametros!$C$48:$C$67,MATCH(TRIM(INDEX(Datos_Origen!$F$2:$F$2459,$Z698)),Parametros!$B$48:$B$67,0))</f>
        <v>Almacenamiento</v>
      </c>
      <c r="L698" s="61" t="str">
        <f aca="false">$K698&amp;" "&amp;$C698</f>
        <v>Almacenamiento 2024</v>
      </c>
      <c r="M698" s="61" t="str">
        <f aca="false">TRIM(INDEX(Datos_Origen!$G$2:$G$2459,$Z698))</f>
        <v>SSD Externo 1TB</v>
      </c>
      <c r="N698" s="61" t="str">
        <f aca="false">$M698&amp;" "&amp;$C698</f>
        <v>SSD Externo 1TB 2024</v>
      </c>
      <c r="O698" s="63" t="n">
        <f aca="false">IF(ISTEXT($AC698),VALUE($AC698),$AC698)</f>
        <v>23</v>
      </c>
      <c r="P698" s="64" t="n">
        <f aca="false">INDEX(Datos_Origen!$I$2:$I$2459,$Z698)</f>
        <v>127.4</v>
      </c>
      <c r="Q698" s="64" t="n">
        <f aca="false">INDEX(Datos_Origen!$J$2:$J$2459,$Z698)</f>
        <v>76.05</v>
      </c>
      <c r="R698" s="65" t="n">
        <f aca="false">ROUND($O698*$P698,2)</f>
        <v>2930.2</v>
      </c>
      <c r="S698" s="65" t="n">
        <f aca="false">ROUND($O698*$Q698,2)</f>
        <v>1749.15</v>
      </c>
      <c r="T698" s="65" t="n">
        <f aca="false">ROUND($R698*SUMIFS(Parametros!$E$28:$E$43,Parametros!$B$28:$B$43,$J698,Parametros!$C$28:$C$43,$C698,Parametros!$D$28:$D$43,$D698),2)</f>
        <v>38.09</v>
      </c>
      <c r="U698" s="65" t="n">
        <f aca="false">$R698-$S698-$T698</f>
        <v>1142.96</v>
      </c>
      <c r="V698" s="66" t="n">
        <f aca="false">IFERROR($U698/$R698,0)</f>
        <v>0.390062111801242</v>
      </c>
      <c r="W698" s="67" t="str">
        <f aca="false">IF(AND($V698&gt;=Parametros!$C$8,$R698&gt;=Parametros!$C$12),"Alta rentabilidad",IF(OR($V698&lt;Parametros!$C$11,$R698&lt;Parametros!$C$13),"Revisar","Estandar"))</f>
        <v>Estandar</v>
      </c>
      <c r="X698" s="67" t="str">
        <f aca="false">IF(AND($J698="E-commerce",IFERROR($T698/$R698,0)&gt;Parametros!$C$14),"Alerta","OK")</f>
        <v>OK</v>
      </c>
      <c r="Y698" s="61" t="str">
        <f aca="false">IF($R698&gt;=Parametros!$C$12,"Alto",IF($R698&lt;Parametros!$C$13,"Bajo","Medio"))</f>
        <v>Medio</v>
      </c>
      <c r="Z698" s="61" t="n">
        <v>517</v>
      </c>
      <c r="AA698" s="61" t="str">
        <f aca="false">IF(MATCH($A698,Datos_Origen!$A$2:$A$2459,0)=$Z698,"OK","REVISAR")</f>
        <v>OK</v>
      </c>
      <c r="AB698" s="62" t="n">
        <f aca="false">INDEX(Datos_Origen!$B$2:$B$2459,$Z698)</f>
        <v>45493</v>
      </c>
      <c r="AC698" s="61" t="n">
        <f aca="false">INDEX(Datos_Origen!$H$2:$H$2459,$Z698)</f>
        <v>23</v>
      </c>
      <c r="AD698" s="61" t="str">
        <f aca="false">INDEX(Datos_Origen!$D$2:$D$2459,$Z698)&amp;""</f>
        <v>Tucuman</v>
      </c>
    </row>
    <row r="699" customFormat="false" ht="15" hidden="false" customHeight="false" outlineLevel="0" collapsed="false">
      <c r="A699" s="61" t="n">
        <f aca="false">INDEX(Datos_Origen!$A$2:$A$2459,$Z699)</f>
        <v>698</v>
      </c>
      <c r="B699" s="62" t="n">
        <f aca="false">IF(ISNUMBER($AB699),$AB699,IF(MID($AB699,5,1)="-",DATE(VALUE(LEFT($AB699,4)),VALUE(MID($AB699,6,2)),VALUE(RIGHT($AB699,2))),DATE(VALUE(RIGHT($AB699,4)),VALUE(MID($AB699,4,2)),VALUE(LEFT($AB699,2)))))</f>
        <v>45500</v>
      </c>
      <c r="C699" s="61" t="n">
        <f aca="false">YEAR($B699)</f>
        <v>2024</v>
      </c>
      <c r="D699" s="61" t="str">
        <f aca="false">"Q"&amp;ROUNDUP(MONTH($B699)/3,0)</f>
        <v>Q3</v>
      </c>
      <c r="E699" s="61" t="n">
        <f aca="false">MONTH($B699)</f>
        <v>7</v>
      </c>
      <c r="F699" s="61" t="str">
        <f aca="false">INDEX(Parametros!$I$5:$I$16,$E699)</f>
        <v>Jul</v>
      </c>
      <c r="G699" s="61" t="str">
        <f aca="false">TEXT($C699,"0000")&amp;"-"&amp;TEXT($E699,"00")</f>
        <v>2024-07</v>
      </c>
      <c r="H699" s="61" t="str">
        <f aca="false">INDEX(Parametros!$C$71:$C$91,MATCH(TRIM(INDEX(Datos_Origen!$C$2:$C$2459,$Z699)),Parametros!$B$71:$B$91,0))</f>
        <v>NOA</v>
      </c>
      <c r="I699" s="61" t="str">
        <f aca="false">IF(TRIM($AD699)="",INDEX(Parametros!$I$20:$I$24,MATCH($H699,Parametros!$H$20:$H$24,0)),TRIM($AD699))</f>
        <v>Tucuman</v>
      </c>
      <c r="J699" s="61" t="str">
        <f aca="false">INDEX(Parametros!$C$95:$C$106,MATCH(TRIM(INDEX(Datos_Origen!$E$2:$E$2459,$Z699)),Parametros!$B$95:$B$106,0))</f>
        <v>E-commerce</v>
      </c>
      <c r="K699" s="61" t="str">
        <f aca="false">INDEX(Parametros!$C$48:$C$67,MATCH(TRIM(INDEX(Datos_Origen!$F$2:$F$2459,$Z699)),Parametros!$B$48:$B$67,0))</f>
        <v>Almacenamiento</v>
      </c>
      <c r="L699" s="61" t="str">
        <f aca="false">$K699&amp;" "&amp;$C699</f>
        <v>Almacenamiento 2024</v>
      </c>
      <c r="M699" s="61" t="str">
        <f aca="false">TRIM(INDEX(Datos_Origen!$G$2:$G$2459,$Z699))</f>
        <v>SSD Externo 1TB</v>
      </c>
      <c r="N699" s="61" t="str">
        <f aca="false">$M699&amp;" "&amp;$C699</f>
        <v>SSD Externo 1TB 2024</v>
      </c>
      <c r="O699" s="63" t="n">
        <f aca="false">IF(ISTEXT($AC699),VALUE($AC699),$AC699)</f>
        <v>9</v>
      </c>
      <c r="P699" s="64" t="n">
        <f aca="false">INDEX(Datos_Origen!$I$2:$I$2459,$Z699)</f>
        <v>127.4</v>
      </c>
      <c r="Q699" s="64" t="n">
        <f aca="false">INDEX(Datos_Origen!$J$2:$J$2459,$Z699)</f>
        <v>76.05</v>
      </c>
      <c r="R699" s="65" t="n">
        <f aca="false">ROUND($O699*$P699,2)</f>
        <v>1146.6</v>
      </c>
      <c r="S699" s="65" t="n">
        <f aca="false">ROUND($O699*$Q699,2)</f>
        <v>684.45</v>
      </c>
      <c r="T699" s="65" t="n">
        <f aca="false">ROUND($R699*SUMIFS(Parametros!$E$28:$E$43,Parametros!$B$28:$B$43,$J699,Parametros!$C$28:$C$43,$C699,Parametros!$D$28:$D$43,$D699),2)</f>
        <v>52.74</v>
      </c>
      <c r="U699" s="65" t="n">
        <f aca="false">$R699-$S699-$T699</f>
        <v>409.41</v>
      </c>
      <c r="V699" s="66" t="n">
        <f aca="false">IFERROR($U699/$R699,0)</f>
        <v>0.357064364207221</v>
      </c>
      <c r="W699" s="67" t="str">
        <f aca="false">IF(AND($V699&gt;=Parametros!$C$8,$R699&gt;=Parametros!$C$12),"Alta rentabilidad",IF(OR($V699&lt;Parametros!$C$11,$R699&lt;Parametros!$C$13),"Revisar","Estandar"))</f>
        <v>Estandar</v>
      </c>
      <c r="X699" s="67" t="str">
        <f aca="false">IF(AND($J699="E-commerce",IFERROR($T699/$R699,0)&gt;Parametros!$C$14),"Alerta","OK")</f>
        <v>OK</v>
      </c>
      <c r="Y699" s="61" t="str">
        <f aca="false">IF($R699&gt;=Parametros!$C$12,"Alto",IF($R699&lt;Parametros!$C$13,"Bajo","Medio"))</f>
        <v>Medio</v>
      </c>
      <c r="Z699" s="61" t="n">
        <v>872</v>
      </c>
      <c r="AA699" s="61" t="str">
        <f aca="false">IF(MATCH($A699,Datos_Origen!$A$2:$A$2459,0)=$Z699,"OK","REVISAR")</f>
        <v>OK</v>
      </c>
      <c r="AB699" s="61" t="str">
        <f aca="false">INDEX(Datos_Origen!$B$2:$B$2459,$Z699)</f>
        <v>27/07/2024</v>
      </c>
      <c r="AC699" s="61" t="n">
        <f aca="false">INDEX(Datos_Origen!$H$2:$H$2459,$Z699)</f>
        <v>9</v>
      </c>
      <c r="AD699" s="61" t="str">
        <f aca="false">INDEX(Datos_Origen!$D$2:$D$2459,$Z699)&amp;""</f>
        <v>Tucuman</v>
      </c>
    </row>
    <row r="700" customFormat="false" ht="15" hidden="false" customHeight="false" outlineLevel="0" collapsed="false">
      <c r="A700" s="61" t="n">
        <f aca="false">INDEX(Datos_Origen!$A$2:$A$2459,$Z700)</f>
        <v>699</v>
      </c>
      <c r="B700" s="62" t="n">
        <f aca="false">IF(ISNUMBER($AB700),$AB700,IF(MID($AB700,5,1)="-",DATE(VALUE(LEFT($AB700,4)),VALUE(MID($AB700,6,2)),VALUE(RIGHT($AB700,2))),DATE(VALUE(RIGHT($AB700,4)),VALUE(MID($AB700,4,2)),VALUE(LEFT($AB700,2)))))</f>
        <v>45480</v>
      </c>
      <c r="C700" s="61" t="n">
        <f aca="false">YEAR($B700)</f>
        <v>2024</v>
      </c>
      <c r="D700" s="61" t="str">
        <f aca="false">"Q"&amp;ROUNDUP(MONTH($B700)/3,0)</f>
        <v>Q3</v>
      </c>
      <c r="E700" s="61" t="n">
        <f aca="false">MONTH($B700)</f>
        <v>7</v>
      </c>
      <c r="F700" s="61" t="str">
        <f aca="false">INDEX(Parametros!$I$5:$I$16,$E700)</f>
        <v>Jul</v>
      </c>
      <c r="G700" s="61" t="str">
        <f aca="false">TEXT($C700,"0000")&amp;"-"&amp;TEXT($E700,"00")</f>
        <v>2024-07</v>
      </c>
      <c r="H700" s="61" t="str">
        <f aca="false">INDEX(Parametros!$C$71:$C$91,MATCH(TRIM(INDEX(Datos_Origen!$C$2:$C$2459,$Z700)),Parametros!$B$71:$B$91,0))</f>
        <v>NOA</v>
      </c>
      <c r="I700" s="61" t="str">
        <f aca="false">IF(TRIM($AD700)="",INDEX(Parametros!$I$20:$I$24,MATCH($H700,Parametros!$H$20:$H$24,0)),TRIM($AD700))</f>
        <v>Tucuman</v>
      </c>
      <c r="J700" s="61" t="str">
        <f aca="false">INDEX(Parametros!$C$95:$C$106,MATCH(TRIM(INDEX(Datos_Origen!$E$2:$E$2459,$Z700)),Parametros!$B$95:$B$106,0))</f>
        <v>Tienda fisica</v>
      </c>
      <c r="K700" s="61" t="str">
        <f aca="false">INDEX(Parametros!$C$48:$C$67,MATCH(TRIM(INDEX(Datos_Origen!$F$2:$F$2459,$Z700)),Parametros!$B$48:$B$67,0))</f>
        <v>Almacenamiento</v>
      </c>
      <c r="L700" s="61" t="str">
        <f aca="false">$K700&amp;" "&amp;$C700</f>
        <v>Almacenamiento 2024</v>
      </c>
      <c r="M700" s="61" t="str">
        <f aca="false">TRIM(INDEX(Datos_Origen!$G$2:$G$2459,$Z700))</f>
        <v>Pendrive 256GB</v>
      </c>
      <c r="N700" s="61" t="str">
        <f aca="false">$M700&amp;" "&amp;$C700</f>
        <v>Pendrive 256GB 2024</v>
      </c>
      <c r="O700" s="63" t="n">
        <f aca="false">IF(ISTEXT($AC700),VALUE($AC700),$AC700)</f>
        <v>20</v>
      </c>
      <c r="P700" s="64" t="n">
        <f aca="false">INDEX(Datos_Origen!$I$2:$I$2459,$Z700)</f>
        <v>34.3</v>
      </c>
      <c r="Q700" s="64" t="n">
        <f aca="false">INDEX(Datos_Origen!$J$2:$J$2459,$Z700)</f>
        <v>17.85</v>
      </c>
      <c r="R700" s="65" t="n">
        <f aca="false">ROUND($O700*$P700,2)</f>
        <v>686</v>
      </c>
      <c r="S700" s="65" t="n">
        <f aca="false">ROUND($O700*$Q700,2)</f>
        <v>357</v>
      </c>
      <c r="T700" s="65" t="n">
        <f aca="false">ROUND($R700*SUMIFS(Parametros!$E$28:$E$43,Parametros!$B$28:$B$43,$J700,Parametros!$C$28:$C$43,$C700,Parametros!$D$28:$D$43,$D700),2)</f>
        <v>8.92</v>
      </c>
      <c r="U700" s="65" t="n">
        <f aca="false">$R700-$S700-$T700</f>
        <v>320.08</v>
      </c>
      <c r="V700" s="66" t="n">
        <f aca="false">IFERROR($U700/$R700,0)</f>
        <v>0.466588921282799</v>
      </c>
      <c r="W700" s="67" t="str">
        <f aca="false">IF(AND($V700&gt;=Parametros!$C$8,$R700&gt;=Parametros!$C$12),"Alta rentabilidad",IF(OR($V700&lt;Parametros!$C$11,$R700&lt;Parametros!$C$13),"Revisar","Estandar"))</f>
        <v>Estandar</v>
      </c>
      <c r="X700" s="67" t="str">
        <f aca="false">IF(AND($J700="E-commerce",IFERROR($T700/$R700,0)&gt;Parametros!$C$14),"Alerta","OK")</f>
        <v>OK</v>
      </c>
      <c r="Y700" s="61" t="str">
        <f aca="false">IF($R700&gt;=Parametros!$C$12,"Alto",IF($R700&lt;Parametros!$C$13,"Bajo","Medio"))</f>
        <v>Medio</v>
      </c>
      <c r="Z700" s="61" t="n">
        <v>1609</v>
      </c>
      <c r="AA700" s="61" t="str">
        <f aca="false">IF(MATCH($A700,Datos_Origen!$A$2:$A$2459,0)=$Z700,"OK","REVISAR")</f>
        <v>OK</v>
      </c>
      <c r="AB700" s="62" t="n">
        <f aca="false">INDEX(Datos_Origen!$B$2:$B$2459,$Z700)</f>
        <v>45480</v>
      </c>
      <c r="AC700" s="61" t="n">
        <f aca="false">INDEX(Datos_Origen!$H$2:$H$2459,$Z700)</f>
        <v>20</v>
      </c>
      <c r="AD700" s="61" t="str">
        <f aca="false">INDEX(Datos_Origen!$D$2:$D$2459,$Z700)&amp;""</f>
        <v>Tucuman</v>
      </c>
    </row>
    <row r="701" customFormat="false" ht="15" hidden="false" customHeight="false" outlineLevel="0" collapsed="false">
      <c r="A701" s="61" t="n">
        <f aca="false">INDEX(Datos_Origen!$A$2:$A$2459,$Z701)</f>
        <v>700</v>
      </c>
      <c r="B701" s="62" t="n">
        <f aca="false">IF(ISNUMBER($AB701),$AB701,IF(MID($AB701,5,1)="-",DATE(VALUE(LEFT($AB701,4)),VALUE(MID($AB701,6,2)),VALUE(RIGHT($AB701,2))),DATE(VALUE(RIGHT($AB701,4)),VALUE(MID($AB701,4,2)),VALUE(LEFT($AB701,2)))))</f>
        <v>45487</v>
      </c>
      <c r="C701" s="61" t="n">
        <f aca="false">YEAR($B701)</f>
        <v>2024</v>
      </c>
      <c r="D701" s="61" t="str">
        <f aca="false">"Q"&amp;ROUNDUP(MONTH($B701)/3,0)</f>
        <v>Q3</v>
      </c>
      <c r="E701" s="61" t="n">
        <f aca="false">MONTH($B701)</f>
        <v>7</v>
      </c>
      <c r="F701" s="61" t="str">
        <f aca="false">INDEX(Parametros!$I$5:$I$16,$E701)</f>
        <v>Jul</v>
      </c>
      <c r="G701" s="61" t="str">
        <f aca="false">TEXT($C701,"0000")&amp;"-"&amp;TEXT($E701,"00")</f>
        <v>2024-07</v>
      </c>
      <c r="H701" s="61" t="str">
        <f aca="false">INDEX(Parametros!$C$71:$C$91,MATCH(TRIM(INDEX(Datos_Origen!$C$2:$C$2459,$Z701)),Parametros!$B$71:$B$91,0))</f>
        <v>NOA</v>
      </c>
      <c r="I701" s="61" t="str">
        <f aca="false">IF(TRIM($AD701)="",INDEX(Parametros!$I$20:$I$24,MATCH($H701,Parametros!$H$20:$H$24,0)),TRIM($AD701))</f>
        <v>Tucuman</v>
      </c>
      <c r="J701" s="61" t="str">
        <f aca="false">INDEX(Parametros!$C$95:$C$106,MATCH(TRIM(INDEX(Datos_Origen!$E$2:$E$2459,$Z701)),Parametros!$B$95:$B$106,0))</f>
        <v>E-commerce</v>
      </c>
      <c r="K701" s="61" t="str">
        <f aca="false">INDEX(Parametros!$C$48:$C$67,MATCH(TRIM(INDEX(Datos_Origen!$F$2:$F$2459,$Z701)),Parametros!$B$48:$B$67,0))</f>
        <v>Almacenamiento</v>
      </c>
      <c r="L701" s="61" t="str">
        <f aca="false">$K701&amp;" "&amp;$C701</f>
        <v>Almacenamiento 2024</v>
      </c>
      <c r="M701" s="61" t="str">
        <f aca="false">TRIM(INDEX(Datos_Origen!$G$2:$G$2459,$Z701))</f>
        <v>Pendrive 256GB</v>
      </c>
      <c r="N701" s="61" t="str">
        <f aca="false">$M701&amp;" "&amp;$C701</f>
        <v>Pendrive 256GB 2024</v>
      </c>
      <c r="O701" s="63" t="n">
        <f aca="false">IF(ISTEXT($AC701),VALUE($AC701),$AC701)</f>
        <v>9</v>
      </c>
      <c r="P701" s="64" t="n">
        <f aca="false">INDEX(Datos_Origen!$I$2:$I$2459,$Z701)</f>
        <v>34.3</v>
      </c>
      <c r="Q701" s="64" t="n">
        <f aca="false">INDEX(Datos_Origen!$J$2:$J$2459,$Z701)</f>
        <v>17.85</v>
      </c>
      <c r="R701" s="65" t="n">
        <f aca="false">ROUND($O701*$P701,2)</f>
        <v>308.7</v>
      </c>
      <c r="S701" s="65" t="n">
        <f aca="false">ROUND($O701*$Q701,2)</f>
        <v>160.65</v>
      </c>
      <c r="T701" s="65" t="n">
        <f aca="false">ROUND($R701*SUMIFS(Parametros!$E$28:$E$43,Parametros!$B$28:$B$43,$J701,Parametros!$C$28:$C$43,$C701,Parametros!$D$28:$D$43,$D701),2)</f>
        <v>14.2</v>
      </c>
      <c r="U701" s="65" t="n">
        <f aca="false">$R701-$S701-$T701</f>
        <v>133.85</v>
      </c>
      <c r="V701" s="66" t="n">
        <f aca="false">IFERROR($U701/$R701,0)</f>
        <v>0.433592484612893</v>
      </c>
      <c r="W701" s="67" t="str">
        <f aca="false">IF(AND($V701&gt;=Parametros!$C$8,$R701&gt;=Parametros!$C$12),"Alta rentabilidad",IF(OR($V701&lt;Parametros!$C$11,$R701&lt;Parametros!$C$13),"Revisar","Estandar"))</f>
        <v>Estandar</v>
      </c>
      <c r="X701" s="67" t="str">
        <f aca="false">IF(AND($J701="E-commerce",IFERROR($T701/$R701,0)&gt;Parametros!$C$14),"Alerta","OK")</f>
        <v>OK</v>
      </c>
      <c r="Y701" s="61" t="str">
        <f aca="false">IF($R701&gt;=Parametros!$C$12,"Alto",IF($R701&lt;Parametros!$C$13,"Bajo","Medio"))</f>
        <v>Medio</v>
      </c>
      <c r="Z701" s="61" t="n">
        <v>248</v>
      </c>
      <c r="AA701" s="61" t="str">
        <f aca="false">IF(MATCH($A701,Datos_Origen!$A$2:$A$2459,0)=$Z701,"OK","REVISAR")</f>
        <v>OK</v>
      </c>
      <c r="AB701" s="62" t="n">
        <f aca="false">INDEX(Datos_Origen!$B$2:$B$2459,$Z701)</f>
        <v>45487</v>
      </c>
      <c r="AC701" s="61" t="n">
        <f aca="false">INDEX(Datos_Origen!$H$2:$H$2459,$Z701)</f>
        <v>9</v>
      </c>
      <c r="AD701" s="61" t="str">
        <f aca="false">INDEX(Datos_Origen!$D$2:$D$2459,$Z701)&amp;""</f>
        <v>Tucuman</v>
      </c>
    </row>
    <row r="702" customFormat="false" ht="15" hidden="false" customHeight="false" outlineLevel="0" collapsed="false">
      <c r="A702" s="61" t="n">
        <f aca="false">INDEX(Datos_Origen!$A$2:$A$2459,$Z702)</f>
        <v>701</v>
      </c>
      <c r="B702" s="62" t="n">
        <f aca="false">IF(ISNUMBER($AB702),$AB702,IF(MID($AB702,5,1)="-",DATE(VALUE(LEFT($AB702,4)),VALUE(MID($AB702,6,2)),VALUE(RIGHT($AB702,2))),DATE(VALUE(RIGHT($AB702,4)),VALUE(MID($AB702,4,2)),VALUE(LEFT($AB702,2)))))</f>
        <v>45525</v>
      </c>
      <c r="C702" s="61" t="n">
        <f aca="false">YEAR($B702)</f>
        <v>2024</v>
      </c>
      <c r="D702" s="61" t="str">
        <f aca="false">"Q"&amp;ROUNDUP(MONTH($B702)/3,0)</f>
        <v>Q3</v>
      </c>
      <c r="E702" s="61" t="n">
        <f aca="false">MONTH($B702)</f>
        <v>8</v>
      </c>
      <c r="F702" s="61" t="str">
        <f aca="false">INDEX(Parametros!$I$5:$I$16,$E702)</f>
        <v>Ago</v>
      </c>
      <c r="G702" s="61" t="str">
        <f aca="false">TEXT($C702,"0000")&amp;"-"&amp;TEXT($E702,"00")</f>
        <v>2024-08</v>
      </c>
      <c r="H702" s="61" t="str">
        <f aca="false">INDEX(Parametros!$C$71:$C$91,MATCH(TRIM(INDEX(Datos_Origen!$C$2:$C$2459,$Z702)),Parametros!$B$71:$B$91,0))</f>
        <v>AMBA</v>
      </c>
      <c r="I702" s="61" t="str">
        <f aca="false">IF(TRIM($AD702)="",INDEX(Parametros!$I$20:$I$24,MATCH($H702,Parametros!$H$20:$H$24,0)),TRIM($AD702))</f>
        <v>Buenos Aires</v>
      </c>
      <c r="J702" s="61" t="str">
        <f aca="false">INDEX(Parametros!$C$95:$C$106,MATCH(TRIM(INDEX(Datos_Origen!$E$2:$E$2459,$Z702)),Parametros!$B$95:$B$106,0))</f>
        <v>Tienda fisica</v>
      </c>
      <c r="K702" s="61" t="str">
        <f aca="false">INDEX(Parametros!$C$48:$C$67,MATCH(TRIM(INDEX(Datos_Origen!$F$2:$F$2459,$Z702)),Parametros!$B$48:$B$67,0))</f>
        <v>Computacion</v>
      </c>
      <c r="L702" s="61" t="str">
        <f aca="false">$K702&amp;" "&amp;$C702</f>
        <v>Computacion 2024</v>
      </c>
      <c r="M702" s="61" t="str">
        <f aca="false">TRIM(INDEX(Datos_Origen!$G$2:$G$2459,$Z702))</f>
        <v>Laptop Pro 15</v>
      </c>
      <c r="N702" s="61" t="str">
        <f aca="false">$M702&amp;" "&amp;$C702</f>
        <v>Laptop Pro 15 2024</v>
      </c>
      <c r="O702" s="63" t="n">
        <f aca="false">IF(ISTEXT($AC702),VALUE($AC702),$AC702)</f>
        <v>18</v>
      </c>
      <c r="P702" s="64" t="n">
        <f aca="false">INDEX(Datos_Origen!$I$2:$I$2459,$Z702)</f>
        <v>1176</v>
      </c>
      <c r="Q702" s="64" t="n">
        <f aca="false">INDEX(Datos_Origen!$J$2:$J$2459,$Z702)</f>
        <v>744</v>
      </c>
      <c r="R702" s="65" t="n">
        <f aca="false">ROUND($O702*$P702,2)</f>
        <v>21168</v>
      </c>
      <c r="S702" s="65" t="n">
        <f aca="false">ROUND($O702*$Q702,2)</f>
        <v>13392</v>
      </c>
      <c r="T702" s="65" t="n">
        <f aca="false">ROUND($R702*SUMIFS(Parametros!$E$28:$E$43,Parametros!$B$28:$B$43,$J702,Parametros!$C$28:$C$43,$C702,Parametros!$D$28:$D$43,$D702),2)</f>
        <v>275.18</v>
      </c>
      <c r="U702" s="65" t="n">
        <f aca="false">$R702-$S702-$T702</f>
        <v>7500.82</v>
      </c>
      <c r="V702" s="66" t="n">
        <f aca="false">IFERROR($U702/$R702,0)</f>
        <v>0.354347127739985</v>
      </c>
      <c r="W702" s="67" t="str">
        <f aca="false">IF(AND($V702&gt;=Parametros!$C$8,$R702&gt;=Parametros!$C$12),"Alta rentabilidad",IF(OR($V702&lt;Parametros!$C$11,$R702&lt;Parametros!$C$13),"Revisar","Estandar"))</f>
        <v>Alta rentabilidad</v>
      </c>
      <c r="X702" s="67" t="str">
        <f aca="false">IF(AND($J702="E-commerce",IFERROR($T702/$R702,0)&gt;Parametros!$C$14),"Alerta","OK")</f>
        <v>OK</v>
      </c>
      <c r="Y702" s="61" t="str">
        <f aca="false">IF($R702&gt;=Parametros!$C$12,"Alto",IF($R702&lt;Parametros!$C$13,"Bajo","Medio"))</f>
        <v>Alto</v>
      </c>
      <c r="Z702" s="61" t="n">
        <v>1704</v>
      </c>
      <c r="AA702" s="61" t="str">
        <f aca="false">IF(MATCH($A702,Datos_Origen!$A$2:$A$2459,0)=$Z702,"OK","REVISAR")</f>
        <v>OK</v>
      </c>
      <c r="AB702" s="62" t="n">
        <f aca="false">INDEX(Datos_Origen!$B$2:$B$2459,$Z702)</f>
        <v>45525</v>
      </c>
      <c r="AC702" s="61" t="n">
        <f aca="false">INDEX(Datos_Origen!$H$2:$H$2459,$Z702)</f>
        <v>18</v>
      </c>
      <c r="AD702" s="61" t="str">
        <f aca="false">INDEX(Datos_Origen!$D$2:$D$2459,$Z702)&amp;""</f>
        <v>Buenos Aires</v>
      </c>
    </row>
    <row r="703" customFormat="false" ht="15" hidden="false" customHeight="false" outlineLevel="0" collapsed="false">
      <c r="A703" s="61" t="n">
        <f aca="false">INDEX(Datos_Origen!$A$2:$A$2459,$Z703)</f>
        <v>702</v>
      </c>
      <c r="B703" s="62" t="n">
        <f aca="false">IF(ISNUMBER($AB703),$AB703,IF(MID($AB703,5,1)="-",DATE(VALUE(LEFT($AB703,4)),VALUE(MID($AB703,6,2)),VALUE(RIGHT($AB703,2))),DATE(VALUE(RIGHT($AB703,4)),VALUE(MID($AB703,4,2)),VALUE(LEFT($AB703,2)))))</f>
        <v>45505</v>
      </c>
      <c r="C703" s="61" t="n">
        <f aca="false">YEAR($B703)</f>
        <v>2024</v>
      </c>
      <c r="D703" s="61" t="str">
        <f aca="false">"Q"&amp;ROUNDUP(MONTH($B703)/3,0)</f>
        <v>Q3</v>
      </c>
      <c r="E703" s="61" t="n">
        <f aca="false">MONTH($B703)</f>
        <v>8</v>
      </c>
      <c r="F703" s="61" t="str">
        <f aca="false">INDEX(Parametros!$I$5:$I$16,$E703)</f>
        <v>Ago</v>
      </c>
      <c r="G703" s="61" t="str">
        <f aca="false">TEXT($C703,"0000")&amp;"-"&amp;TEXT($E703,"00")</f>
        <v>2024-08</v>
      </c>
      <c r="H703" s="61" t="str">
        <f aca="false">INDEX(Parametros!$C$71:$C$91,MATCH(TRIM(INDEX(Datos_Origen!$C$2:$C$2459,$Z703)),Parametros!$B$71:$B$91,0))</f>
        <v>AMBA</v>
      </c>
      <c r="I703" s="61" t="str">
        <f aca="false">IF(TRIM($AD703)="",INDEX(Parametros!$I$20:$I$24,MATCH($H703,Parametros!$H$20:$H$24,0)),TRIM($AD703))</f>
        <v>Buenos Aires</v>
      </c>
      <c r="J703" s="61" t="str">
        <f aca="false">INDEX(Parametros!$C$95:$C$106,MATCH(TRIM(INDEX(Datos_Origen!$E$2:$E$2459,$Z703)),Parametros!$B$95:$B$106,0))</f>
        <v>E-commerce</v>
      </c>
      <c r="K703" s="61" t="str">
        <f aca="false">INDEX(Parametros!$C$48:$C$67,MATCH(TRIM(INDEX(Datos_Origen!$F$2:$F$2459,$Z703)),Parametros!$B$48:$B$67,0))</f>
        <v>Computacion</v>
      </c>
      <c r="L703" s="61" t="str">
        <f aca="false">$K703&amp;" "&amp;$C703</f>
        <v>Computacion 2024</v>
      </c>
      <c r="M703" s="61" t="str">
        <f aca="false">TRIM(INDEX(Datos_Origen!$G$2:$G$2459,$Z703))</f>
        <v>Laptop Pro 15</v>
      </c>
      <c r="N703" s="61" t="str">
        <f aca="false">$M703&amp;" "&amp;$C703</f>
        <v>Laptop Pro 15 2024</v>
      </c>
      <c r="O703" s="63" t="n">
        <f aca="false">IF(ISTEXT($AC703),VALUE($AC703),$AC703)</f>
        <v>10</v>
      </c>
      <c r="P703" s="64" t="n">
        <f aca="false">INDEX(Datos_Origen!$I$2:$I$2459,$Z703)</f>
        <v>1176</v>
      </c>
      <c r="Q703" s="64" t="n">
        <f aca="false">INDEX(Datos_Origen!$J$2:$J$2459,$Z703)</f>
        <v>744</v>
      </c>
      <c r="R703" s="65" t="n">
        <f aca="false">ROUND($O703*$P703,2)</f>
        <v>11760</v>
      </c>
      <c r="S703" s="65" t="n">
        <f aca="false">ROUND($O703*$Q703,2)</f>
        <v>7440</v>
      </c>
      <c r="T703" s="65" t="n">
        <f aca="false">ROUND($R703*SUMIFS(Parametros!$E$28:$E$43,Parametros!$B$28:$B$43,$J703,Parametros!$C$28:$C$43,$C703,Parametros!$D$28:$D$43,$D703),2)</f>
        <v>540.96</v>
      </c>
      <c r="U703" s="65" t="n">
        <f aca="false">$R703-$S703-$T703</f>
        <v>3779.04</v>
      </c>
      <c r="V703" s="66" t="n">
        <f aca="false">IFERROR($U703/$R703,0)</f>
        <v>0.32134693877551</v>
      </c>
      <c r="W703" s="67" t="str">
        <f aca="false">IF(AND($V703&gt;=Parametros!$C$8,$R703&gt;=Parametros!$C$12),"Alta rentabilidad",IF(OR($V703&lt;Parametros!$C$11,$R703&lt;Parametros!$C$13),"Revisar","Estandar"))</f>
        <v>Estandar</v>
      </c>
      <c r="X703" s="67" t="str">
        <f aca="false">IF(AND($J703="E-commerce",IFERROR($T703/$R703,0)&gt;Parametros!$C$14),"Alerta","OK")</f>
        <v>OK</v>
      </c>
      <c r="Y703" s="61" t="str">
        <f aca="false">IF($R703&gt;=Parametros!$C$12,"Alto",IF($R703&lt;Parametros!$C$13,"Bajo","Medio"))</f>
        <v>Alto</v>
      </c>
      <c r="Z703" s="61" t="n">
        <v>1220</v>
      </c>
      <c r="AA703" s="61" t="str">
        <f aca="false">IF(MATCH($A703,Datos_Origen!$A$2:$A$2459,0)=$Z703,"OK","REVISAR")</f>
        <v>OK</v>
      </c>
      <c r="AB703" s="61" t="str">
        <f aca="false">INDEX(Datos_Origen!$B$2:$B$2459,$Z703)</f>
        <v>2024-08-01</v>
      </c>
      <c r="AC703" s="61" t="n">
        <f aca="false">INDEX(Datos_Origen!$H$2:$H$2459,$Z703)</f>
        <v>10</v>
      </c>
      <c r="AD703" s="61" t="str">
        <f aca="false">INDEX(Datos_Origen!$D$2:$D$2459,$Z703)&amp;""</f>
        <v>Buenos Aires</v>
      </c>
    </row>
    <row r="704" customFormat="false" ht="15" hidden="false" customHeight="false" outlineLevel="0" collapsed="false">
      <c r="A704" s="61" t="n">
        <f aca="false">INDEX(Datos_Origen!$A$2:$A$2459,$Z704)</f>
        <v>703</v>
      </c>
      <c r="B704" s="62" t="n">
        <f aca="false">IF(ISNUMBER($AB704),$AB704,IF(MID($AB704,5,1)="-",DATE(VALUE(LEFT($AB704,4)),VALUE(MID($AB704,6,2)),VALUE(RIGHT($AB704,2))),DATE(VALUE(RIGHT($AB704,4)),VALUE(MID($AB704,4,2)),VALUE(LEFT($AB704,2)))))</f>
        <v>45512</v>
      </c>
      <c r="C704" s="61" t="n">
        <f aca="false">YEAR($B704)</f>
        <v>2024</v>
      </c>
      <c r="D704" s="61" t="str">
        <f aca="false">"Q"&amp;ROUNDUP(MONTH($B704)/3,0)</f>
        <v>Q3</v>
      </c>
      <c r="E704" s="61" t="n">
        <f aca="false">MONTH($B704)</f>
        <v>8</v>
      </c>
      <c r="F704" s="61" t="str">
        <f aca="false">INDEX(Parametros!$I$5:$I$16,$E704)</f>
        <v>Ago</v>
      </c>
      <c r="G704" s="61" t="str">
        <f aca="false">TEXT($C704,"0000")&amp;"-"&amp;TEXT($E704,"00")</f>
        <v>2024-08</v>
      </c>
      <c r="H704" s="61" t="str">
        <f aca="false">INDEX(Parametros!$C$71:$C$91,MATCH(TRIM(INDEX(Datos_Origen!$C$2:$C$2459,$Z704)),Parametros!$B$71:$B$91,0))</f>
        <v>AMBA</v>
      </c>
      <c r="I704" s="61" t="str">
        <f aca="false">IF(TRIM($AD704)="",INDEX(Parametros!$I$20:$I$24,MATCH($H704,Parametros!$H$20:$H$24,0)),TRIM($AD704))</f>
        <v>Buenos Aires</v>
      </c>
      <c r="J704" s="61" t="str">
        <f aca="false">INDEX(Parametros!$C$95:$C$106,MATCH(TRIM(INDEX(Datos_Origen!$E$2:$E$2459,$Z704)),Parametros!$B$95:$B$106,0))</f>
        <v>Tienda fisica</v>
      </c>
      <c r="K704" s="61" t="str">
        <f aca="false">INDEX(Parametros!$C$48:$C$67,MATCH(TRIM(INDEX(Datos_Origen!$F$2:$F$2459,$Z704)),Parametros!$B$48:$B$67,0))</f>
        <v>Computacion</v>
      </c>
      <c r="L704" s="61" t="str">
        <f aca="false">$K704&amp;" "&amp;$C704</f>
        <v>Computacion 2024</v>
      </c>
      <c r="M704" s="61" t="str">
        <f aca="false">TRIM(INDEX(Datos_Origen!$G$2:$G$2459,$Z704))</f>
        <v>Monitor 4K 27</v>
      </c>
      <c r="N704" s="61" t="str">
        <f aca="false">$M704&amp;" "&amp;$C704</f>
        <v>Monitor 4K 27 2024</v>
      </c>
      <c r="O704" s="63" t="n">
        <f aca="false">IF(ISTEXT($AC704),VALUE($AC704),$AC704)</f>
        <v>18</v>
      </c>
      <c r="P704" s="64" t="n">
        <f aca="false">INDEX(Datos_Origen!$I$2:$I$2459,$Z704)</f>
        <v>441</v>
      </c>
      <c r="Q704" s="64" t="n">
        <f aca="false">INDEX(Datos_Origen!$J$2:$J$2459,$Z704)</f>
        <v>272.25</v>
      </c>
      <c r="R704" s="65" t="n">
        <f aca="false">ROUND($O704*$P704,2)</f>
        <v>7938</v>
      </c>
      <c r="S704" s="65" t="n">
        <f aca="false">ROUND($O704*$Q704,2)</f>
        <v>4900.5</v>
      </c>
      <c r="T704" s="65" t="n">
        <f aca="false">ROUND($R704*SUMIFS(Parametros!$E$28:$E$43,Parametros!$B$28:$B$43,$J704,Parametros!$C$28:$C$43,$C704,Parametros!$D$28:$D$43,$D704),2)</f>
        <v>103.19</v>
      </c>
      <c r="U704" s="65" t="n">
        <f aca="false">$R704-$S704-$T704</f>
        <v>2934.31</v>
      </c>
      <c r="V704" s="66" t="n">
        <f aca="false">IFERROR($U704/$R704,0)</f>
        <v>0.369653565129756</v>
      </c>
      <c r="W704" s="67" t="str">
        <f aca="false">IF(AND($V704&gt;=Parametros!$C$8,$R704&gt;=Parametros!$C$12),"Alta rentabilidad",IF(OR($V704&lt;Parametros!$C$11,$R704&lt;Parametros!$C$13),"Revisar","Estandar"))</f>
        <v>Alta rentabilidad</v>
      </c>
      <c r="X704" s="67" t="str">
        <f aca="false">IF(AND($J704="E-commerce",IFERROR($T704/$R704,0)&gt;Parametros!$C$14),"Alerta","OK")</f>
        <v>OK</v>
      </c>
      <c r="Y704" s="61" t="str">
        <f aca="false">IF($R704&gt;=Parametros!$C$12,"Alto",IF($R704&lt;Parametros!$C$13,"Bajo","Medio"))</f>
        <v>Alto</v>
      </c>
      <c r="Z704" s="61" t="n">
        <v>1764</v>
      </c>
      <c r="AA704" s="61" t="str">
        <f aca="false">IF(MATCH($A704,Datos_Origen!$A$2:$A$2459,0)=$Z704,"OK","REVISAR")</f>
        <v>OK</v>
      </c>
      <c r="AB704" s="62" t="n">
        <f aca="false">INDEX(Datos_Origen!$B$2:$B$2459,$Z704)</f>
        <v>45512</v>
      </c>
      <c r="AC704" s="61" t="n">
        <f aca="false">INDEX(Datos_Origen!$H$2:$H$2459,$Z704)</f>
        <v>18</v>
      </c>
      <c r="AD704" s="61" t="str">
        <f aca="false">INDEX(Datos_Origen!$D$2:$D$2459,$Z704)&amp;""</f>
        <v>Buenos Aires</v>
      </c>
    </row>
    <row r="705" customFormat="false" ht="15" hidden="false" customHeight="false" outlineLevel="0" collapsed="false">
      <c r="A705" s="61" t="n">
        <f aca="false">INDEX(Datos_Origen!$A$2:$A$2459,$Z705)</f>
        <v>704</v>
      </c>
      <c r="B705" s="62" t="n">
        <f aca="false">IF(ISNUMBER($AB705),$AB705,IF(MID($AB705,5,1)="-",DATE(VALUE(LEFT($AB705,4)),VALUE(MID($AB705,6,2)),VALUE(RIGHT($AB705,2))),DATE(VALUE(RIGHT($AB705,4)),VALUE(MID($AB705,4,2)),VALUE(LEFT($AB705,2)))))</f>
        <v>45519</v>
      </c>
      <c r="C705" s="61" t="n">
        <f aca="false">YEAR($B705)</f>
        <v>2024</v>
      </c>
      <c r="D705" s="61" t="str">
        <f aca="false">"Q"&amp;ROUNDUP(MONTH($B705)/3,0)</f>
        <v>Q3</v>
      </c>
      <c r="E705" s="61" t="n">
        <f aca="false">MONTH($B705)</f>
        <v>8</v>
      </c>
      <c r="F705" s="61" t="str">
        <f aca="false">INDEX(Parametros!$I$5:$I$16,$E705)</f>
        <v>Ago</v>
      </c>
      <c r="G705" s="61" t="str">
        <f aca="false">TEXT($C705,"0000")&amp;"-"&amp;TEXT($E705,"00")</f>
        <v>2024-08</v>
      </c>
      <c r="H705" s="61" t="str">
        <f aca="false">INDEX(Parametros!$C$71:$C$91,MATCH(TRIM(INDEX(Datos_Origen!$C$2:$C$2459,$Z705)),Parametros!$B$71:$B$91,0))</f>
        <v>AMBA</v>
      </c>
      <c r="I705" s="61" t="str">
        <f aca="false">IF(TRIM($AD705)="",INDEX(Parametros!$I$20:$I$24,MATCH($H705,Parametros!$H$20:$H$24,0)),TRIM($AD705))</f>
        <v>Buenos Aires</v>
      </c>
      <c r="J705" s="61" t="str">
        <f aca="false">INDEX(Parametros!$C$95:$C$106,MATCH(TRIM(INDEX(Datos_Origen!$E$2:$E$2459,$Z705)),Parametros!$B$95:$B$106,0))</f>
        <v>E-commerce</v>
      </c>
      <c r="K705" s="61" t="str">
        <f aca="false">INDEX(Parametros!$C$48:$C$67,MATCH(TRIM(INDEX(Datos_Origen!$F$2:$F$2459,$Z705)),Parametros!$B$48:$B$67,0))</f>
        <v>Computacion</v>
      </c>
      <c r="L705" s="61" t="str">
        <f aca="false">$K705&amp;" "&amp;$C705</f>
        <v>Computacion 2024</v>
      </c>
      <c r="M705" s="61" t="str">
        <f aca="false">TRIM(INDEX(Datos_Origen!$G$2:$G$2459,$Z705))</f>
        <v>Monitor 4K 27</v>
      </c>
      <c r="N705" s="61" t="str">
        <f aca="false">$M705&amp;" "&amp;$C705</f>
        <v>Monitor 4K 27 2024</v>
      </c>
      <c r="O705" s="63" t="n">
        <f aca="false">IF(ISTEXT($AC705),VALUE($AC705),$AC705)</f>
        <v>8</v>
      </c>
      <c r="P705" s="64" t="n">
        <f aca="false">INDEX(Datos_Origen!$I$2:$I$2459,$Z705)</f>
        <v>441</v>
      </c>
      <c r="Q705" s="64" t="n">
        <f aca="false">INDEX(Datos_Origen!$J$2:$J$2459,$Z705)</f>
        <v>272.25</v>
      </c>
      <c r="R705" s="65" t="n">
        <f aca="false">ROUND($O705*$P705,2)</f>
        <v>3528</v>
      </c>
      <c r="S705" s="65" t="n">
        <f aca="false">ROUND($O705*$Q705,2)</f>
        <v>2178</v>
      </c>
      <c r="T705" s="65" t="n">
        <f aca="false">ROUND($R705*SUMIFS(Parametros!$E$28:$E$43,Parametros!$B$28:$B$43,$J705,Parametros!$C$28:$C$43,$C705,Parametros!$D$28:$D$43,$D705),2)</f>
        <v>162.29</v>
      </c>
      <c r="U705" s="65" t="n">
        <f aca="false">$R705-$S705-$T705</f>
        <v>1187.71</v>
      </c>
      <c r="V705" s="66" t="n">
        <f aca="false">IFERROR($U705/$R705,0)</f>
        <v>0.336652494331066</v>
      </c>
      <c r="W705" s="67" t="str">
        <f aca="false">IF(AND($V705&gt;=Parametros!$C$8,$R705&gt;=Parametros!$C$12),"Alta rentabilidad",IF(OR($V705&lt;Parametros!$C$11,$R705&lt;Parametros!$C$13),"Revisar","Estandar"))</f>
        <v>Estandar</v>
      </c>
      <c r="X705" s="67" t="str">
        <f aca="false">IF(AND($J705="E-commerce",IFERROR($T705/$R705,0)&gt;Parametros!$C$14),"Alerta","OK")</f>
        <v>OK</v>
      </c>
      <c r="Y705" s="61" t="str">
        <f aca="false">IF($R705&gt;=Parametros!$C$12,"Alto",IF($R705&lt;Parametros!$C$13,"Bajo","Medio"))</f>
        <v>Alto</v>
      </c>
      <c r="Z705" s="61" t="n">
        <v>478</v>
      </c>
      <c r="AA705" s="61" t="str">
        <f aca="false">IF(MATCH($A705,Datos_Origen!$A$2:$A$2459,0)=$Z705,"OK","REVISAR")</f>
        <v>OK</v>
      </c>
      <c r="AB705" s="62" t="n">
        <f aca="false">INDEX(Datos_Origen!$B$2:$B$2459,$Z705)</f>
        <v>45519</v>
      </c>
      <c r="AC705" s="61" t="n">
        <f aca="false">INDEX(Datos_Origen!$H$2:$H$2459,$Z705)</f>
        <v>8</v>
      </c>
      <c r="AD705" s="61" t="str">
        <f aca="false">INDEX(Datos_Origen!$D$2:$D$2459,$Z705)&amp;""</f>
        <v>Buenos Aires</v>
      </c>
    </row>
    <row r="706" customFormat="false" ht="15" hidden="false" customHeight="false" outlineLevel="0" collapsed="false">
      <c r="A706" s="61" t="n">
        <f aca="false">INDEX(Datos_Origen!$A$2:$A$2459,$Z706)</f>
        <v>705</v>
      </c>
      <c r="B706" s="62" t="n">
        <f aca="false">IF(ISNUMBER($AB706),$AB706,IF(MID($AB706,5,1)="-",DATE(VALUE(LEFT($AB706,4)),VALUE(MID($AB706,6,2)),VALUE(RIGHT($AB706,2))),DATE(VALUE(RIGHT($AB706,4)),VALUE(MID($AB706,4,2)),VALUE(LEFT($AB706,2)))))</f>
        <v>45526</v>
      </c>
      <c r="C706" s="61" t="n">
        <f aca="false">YEAR($B706)</f>
        <v>2024</v>
      </c>
      <c r="D706" s="61" t="str">
        <f aca="false">"Q"&amp;ROUNDUP(MONTH($B706)/3,0)</f>
        <v>Q3</v>
      </c>
      <c r="E706" s="61" t="n">
        <f aca="false">MONTH($B706)</f>
        <v>8</v>
      </c>
      <c r="F706" s="61" t="str">
        <f aca="false">INDEX(Parametros!$I$5:$I$16,$E706)</f>
        <v>Ago</v>
      </c>
      <c r="G706" s="61" t="str">
        <f aca="false">TEXT($C706,"0000")&amp;"-"&amp;TEXT($E706,"00")</f>
        <v>2024-08</v>
      </c>
      <c r="H706" s="61" t="str">
        <f aca="false">INDEX(Parametros!$C$71:$C$91,MATCH(TRIM(INDEX(Datos_Origen!$C$2:$C$2459,$Z706)),Parametros!$B$71:$B$91,0))</f>
        <v>AMBA</v>
      </c>
      <c r="I706" s="61" t="str">
        <f aca="false">IF(TRIM($AD706)="",INDEX(Parametros!$I$20:$I$24,MATCH($H706,Parametros!$H$20:$H$24,0)),TRIM($AD706))</f>
        <v>Buenos Aires</v>
      </c>
      <c r="J706" s="61" t="str">
        <f aca="false">INDEX(Parametros!$C$95:$C$106,MATCH(TRIM(INDEX(Datos_Origen!$E$2:$E$2459,$Z706)),Parametros!$B$95:$B$106,0))</f>
        <v>Tienda fisica</v>
      </c>
      <c r="K706" s="61" t="str">
        <f aca="false">INDEX(Parametros!$C$48:$C$67,MATCH(TRIM(INDEX(Datos_Origen!$F$2:$F$2459,$Z706)),Parametros!$B$48:$B$67,0))</f>
        <v>Computacion</v>
      </c>
      <c r="L706" s="61" t="str">
        <f aca="false">$K706&amp;" "&amp;$C706</f>
        <v>Computacion 2024</v>
      </c>
      <c r="M706" s="61" t="str">
        <f aca="false">TRIM(INDEX(Datos_Origen!$G$2:$G$2459,$Z706))</f>
        <v>PC Gamer Ryzen</v>
      </c>
      <c r="N706" s="61" t="str">
        <f aca="false">$M706&amp;" "&amp;$C706</f>
        <v>PC Gamer Ryzen 2024</v>
      </c>
      <c r="O706" s="63" t="n">
        <f aca="false">IF(ISTEXT($AC706),VALUE($AC706),$AC706)</f>
        <v>17</v>
      </c>
      <c r="P706" s="64" t="n">
        <f aca="false">INDEX(Datos_Origen!$I$2:$I$2459,$Z706)</f>
        <v>1617</v>
      </c>
      <c r="Q706" s="64" t="n">
        <f aca="false">INDEX(Datos_Origen!$J$2:$J$2459,$Z706)</f>
        <v>1122</v>
      </c>
      <c r="R706" s="65" t="n">
        <f aca="false">ROUND($O706*$P706,2)</f>
        <v>27489</v>
      </c>
      <c r="S706" s="65" t="n">
        <f aca="false">ROUND($O706*$Q706,2)</f>
        <v>19074</v>
      </c>
      <c r="T706" s="65" t="n">
        <f aca="false">ROUND($R706*SUMIFS(Parametros!$E$28:$E$43,Parametros!$B$28:$B$43,$J706,Parametros!$C$28:$C$43,$C706,Parametros!$D$28:$D$43,$D706),2)</f>
        <v>357.36</v>
      </c>
      <c r="U706" s="65" t="n">
        <f aca="false">$R706-$S706-$T706</f>
        <v>8057.64</v>
      </c>
      <c r="V706" s="66" t="n">
        <f aca="false">IFERROR($U706/$R706,0)</f>
        <v>0.293122339845029</v>
      </c>
      <c r="W706" s="67" t="str">
        <f aca="false">IF(AND($V706&gt;=Parametros!$C$8,$R706&gt;=Parametros!$C$12),"Alta rentabilidad",IF(OR($V706&lt;Parametros!$C$11,$R706&lt;Parametros!$C$13),"Revisar","Estandar"))</f>
        <v>Estandar</v>
      </c>
      <c r="X706" s="67" t="str">
        <f aca="false">IF(AND($J706="E-commerce",IFERROR($T706/$R706,0)&gt;Parametros!$C$14),"Alerta","OK")</f>
        <v>OK</v>
      </c>
      <c r="Y706" s="61" t="str">
        <f aca="false">IF($R706&gt;=Parametros!$C$12,"Alto",IF($R706&lt;Parametros!$C$13,"Bajo","Medio"))</f>
        <v>Alto</v>
      </c>
      <c r="Z706" s="61" t="n">
        <v>1833</v>
      </c>
      <c r="AA706" s="61" t="str">
        <f aca="false">IF(MATCH($A706,Datos_Origen!$A$2:$A$2459,0)=$Z706,"OK","REVISAR")</f>
        <v>OK</v>
      </c>
      <c r="AB706" s="62" t="n">
        <f aca="false">INDEX(Datos_Origen!$B$2:$B$2459,$Z706)</f>
        <v>45526</v>
      </c>
      <c r="AC706" s="61" t="n">
        <f aca="false">INDEX(Datos_Origen!$H$2:$H$2459,$Z706)</f>
        <v>17</v>
      </c>
      <c r="AD706" s="61" t="str">
        <f aca="false">INDEX(Datos_Origen!$D$2:$D$2459,$Z706)&amp;""</f>
        <v>Buenos Aires</v>
      </c>
    </row>
    <row r="707" customFormat="false" ht="15" hidden="false" customHeight="false" outlineLevel="0" collapsed="false">
      <c r="A707" s="61" t="n">
        <f aca="false">INDEX(Datos_Origen!$A$2:$A$2459,$Z707)</f>
        <v>706</v>
      </c>
      <c r="B707" s="62" t="n">
        <f aca="false">IF(ISNUMBER($AB707),$AB707,IF(MID($AB707,5,1)="-",DATE(VALUE(LEFT($AB707,4)),VALUE(MID($AB707,6,2)),VALUE(RIGHT($AB707,2))),DATE(VALUE(RIGHT($AB707,4)),VALUE(MID($AB707,4,2)),VALUE(LEFT($AB707,2)))))</f>
        <v>45506</v>
      </c>
      <c r="C707" s="61" t="n">
        <f aca="false">YEAR($B707)</f>
        <v>2024</v>
      </c>
      <c r="D707" s="61" t="str">
        <f aca="false">"Q"&amp;ROUNDUP(MONTH($B707)/3,0)</f>
        <v>Q3</v>
      </c>
      <c r="E707" s="61" t="n">
        <f aca="false">MONTH($B707)</f>
        <v>8</v>
      </c>
      <c r="F707" s="61" t="str">
        <f aca="false">INDEX(Parametros!$I$5:$I$16,$E707)</f>
        <v>Ago</v>
      </c>
      <c r="G707" s="61" t="str">
        <f aca="false">TEXT($C707,"0000")&amp;"-"&amp;TEXT($E707,"00")</f>
        <v>2024-08</v>
      </c>
      <c r="H707" s="61" t="str">
        <f aca="false">INDEX(Parametros!$C$71:$C$91,MATCH(TRIM(INDEX(Datos_Origen!$C$2:$C$2459,$Z707)),Parametros!$B$71:$B$91,0))</f>
        <v>AMBA</v>
      </c>
      <c r="I707" s="61" t="str">
        <f aca="false">IF(TRIM($AD707)="",INDEX(Parametros!$I$20:$I$24,MATCH($H707,Parametros!$H$20:$H$24,0)),TRIM($AD707))</f>
        <v>Buenos Aires</v>
      </c>
      <c r="J707" s="61" t="str">
        <f aca="false">INDEX(Parametros!$C$95:$C$106,MATCH(TRIM(INDEX(Datos_Origen!$E$2:$E$2459,$Z707)),Parametros!$B$95:$B$106,0))</f>
        <v>E-commerce</v>
      </c>
      <c r="K707" s="61" t="str">
        <f aca="false">INDEX(Parametros!$C$48:$C$67,MATCH(TRIM(INDEX(Datos_Origen!$F$2:$F$2459,$Z707)),Parametros!$B$48:$B$67,0))</f>
        <v>Computacion</v>
      </c>
      <c r="L707" s="61" t="str">
        <f aca="false">$K707&amp;" "&amp;$C707</f>
        <v>Computacion 2024</v>
      </c>
      <c r="M707" s="61" t="str">
        <f aca="false">TRIM(INDEX(Datos_Origen!$G$2:$G$2459,$Z707))</f>
        <v>PC Gamer Ryzen</v>
      </c>
      <c r="N707" s="61" t="str">
        <f aca="false">$M707&amp;" "&amp;$C707</f>
        <v>PC Gamer Ryzen 2024</v>
      </c>
      <c r="O707" s="63" t="n">
        <f aca="false">IF(ISTEXT($AC707),VALUE($AC707),$AC707)</f>
        <v>7</v>
      </c>
      <c r="P707" s="64" t="n">
        <f aca="false">INDEX(Datos_Origen!$I$2:$I$2459,$Z707)</f>
        <v>1617</v>
      </c>
      <c r="Q707" s="64" t="n">
        <f aca="false">INDEX(Datos_Origen!$J$2:$J$2459,$Z707)</f>
        <v>1122</v>
      </c>
      <c r="R707" s="65" t="n">
        <f aca="false">ROUND($O707*$P707,2)</f>
        <v>11319</v>
      </c>
      <c r="S707" s="65" t="n">
        <f aca="false">ROUND($O707*$Q707,2)</f>
        <v>7854</v>
      </c>
      <c r="T707" s="65" t="n">
        <f aca="false">ROUND($R707*SUMIFS(Parametros!$E$28:$E$43,Parametros!$B$28:$B$43,$J707,Parametros!$C$28:$C$43,$C707,Parametros!$D$28:$D$43,$D707),2)</f>
        <v>520.67</v>
      </c>
      <c r="U707" s="65" t="n">
        <f aca="false">$R707-$S707-$T707</f>
        <v>2944.33</v>
      </c>
      <c r="V707" s="66" t="n">
        <f aca="false">IFERROR($U707/$R707,0)</f>
        <v>0.2601228023677</v>
      </c>
      <c r="W707" s="67" t="str">
        <f aca="false">IF(AND($V707&gt;=Parametros!$C$8,$R707&gt;=Parametros!$C$12),"Alta rentabilidad",IF(OR($V707&lt;Parametros!$C$11,$R707&lt;Parametros!$C$13),"Revisar","Estandar"))</f>
        <v>Revisar</v>
      </c>
      <c r="X707" s="67" t="str">
        <f aca="false">IF(AND($J707="E-commerce",IFERROR($T707/$R707,0)&gt;Parametros!$C$14),"Alerta","OK")</f>
        <v>OK</v>
      </c>
      <c r="Y707" s="61" t="str">
        <f aca="false">IF($R707&gt;=Parametros!$C$12,"Alto",IF($R707&lt;Parametros!$C$13,"Bajo","Medio"))</f>
        <v>Alto</v>
      </c>
      <c r="Z707" s="61" t="n">
        <v>334</v>
      </c>
      <c r="AA707" s="61" t="str">
        <f aca="false">IF(MATCH($A707,Datos_Origen!$A$2:$A$2459,0)=$Z707,"OK","REVISAR")</f>
        <v>OK</v>
      </c>
      <c r="AB707" s="62" t="n">
        <f aca="false">INDEX(Datos_Origen!$B$2:$B$2459,$Z707)</f>
        <v>45506</v>
      </c>
      <c r="AC707" s="61" t="n">
        <f aca="false">INDEX(Datos_Origen!$H$2:$H$2459,$Z707)</f>
        <v>7</v>
      </c>
      <c r="AD707" s="61" t="str">
        <f aca="false">INDEX(Datos_Origen!$D$2:$D$2459,$Z707)&amp;""</f>
        <v>Buenos Aires</v>
      </c>
    </row>
    <row r="708" customFormat="false" ht="15" hidden="false" customHeight="false" outlineLevel="0" collapsed="false">
      <c r="A708" s="61" t="n">
        <f aca="false">INDEX(Datos_Origen!$A$2:$A$2459,$Z708)</f>
        <v>707</v>
      </c>
      <c r="B708" s="62" t="n">
        <f aca="false">IF(ISNUMBER($AB708),$AB708,IF(MID($AB708,5,1)="-",DATE(VALUE(LEFT($AB708,4)),VALUE(MID($AB708,6,2)),VALUE(RIGHT($AB708,2))),DATE(VALUE(RIGHT($AB708,4)),VALUE(MID($AB708,4,2)),VALUE(LEFT($AB708,2)))))</f>
        <v>45513</v>
      </c>
      <c r="C708" s="61" t="n">
        <f aca="false">YEAR($B708)</f>
        <v>2024</v>
      </c>
      <c r="D708" s="61" t="str">
        <f aca="false">"Q"&amp;ROUNDUP(MONTH($B708)/3,0)</f>
        <v>Q3</v>
      </c>
      <c r="E708" s="61" t="n">
        <f aca="false">MONTH($B708)</f>
        <v>8</v>
      </c>
      <c r="F708" s="61" t="str">
        <f aca="false">INDEX(Parametros!$I$5:$I$16,$E708)</f>
        <v>Ago</v>
      </c>
      <c r="G708" s="61" t="str">
        <f aca="false">TEXT($C708,"0000")&amp;"-"&amp;TEXT($E708,"00")</f>
        <v>2024-08</v>
      </c>
      <c r="H708" s="61" t="str">
        <f aca="false">INDEX(Parametros!$C$71:$C$91,MATCH(TRIM(INDEX(Datos_Origen!$C$2:$C$2459,$Z708)),Parametros!$B$71:$B$91,0))</f>
        <v>AMBA</v>
      </c>
      <c r="I708" s="61" t="str">
        <f aca="false">IF(TRIM($AD708)="",INDEX(Parametros!$I$20:$I$24,MATCH($H708,Parametros!$H$20:$H$24,0)),TRIM($AD708))</f>
        <v>Buenos Aires</v>
      </c>
      <c r="J708" s="61" t="str">
        <f aca="false">INDEX(Parametros!$C$95:$C$106,MATCH(TRIM(INDEX(Datos_Origen!$E$2:$E$2459,$Z708)),Parametros!$B$95:$B$106,0))</f>
        <v>Tienda fisica</v>
      </c>
      <c r="K708" s="61" t="str">
        <f aca="false">INDEX(Parametros!$C$48:$C$67,MATCH(TRIM(INDEX(Datos_Origen!$F$2:$F$2459,$Z708)),Parametros!$B$48:$B$67,0))</f>
        <v>Accesorios</v>
      </c>
      <c r="L708" s="61" t="str">
        <f aca="false">$K708&amp;" "&amp;$C708</f>
        <v>Accesorios 2024</v>
      </c>
      <c r="M708" s="61" t="str">
        <f aca="false">TRIM(INDEX(Datos_Origen!$G$2:$G$2459,$Z708))</f>
        <v>Mouse Inalambrico</v>
      </c>
      <c r="N708" s="61" t="str">
        <f aca="false">$M708&amp;" "&amp;$C708</f>
        <v>Mouse Inalambrico 2024</v>
      </c>
      <c r="O708" s="63" t="n">
        <f aca="false">IF(ISTEXT($AC708),VALUE($AC708),$AC708)</f>
        <v>102</v>
      </c>
      <c r="P708" s="64" t="n">
        <f aca="false">INDEX(Datos_Origen!$I$2:$I$2459,$Z708)</f>
        <v>27.44</v>
      </c>
      <c r="Q708" s="64" t="n">
        <f aca="false">INDEX(Datos_Origen!$J$2:$J$2459,$Z708)</f>
        <v>13.44</v>
      </c>
      <c r="R708" s="65" t="n">
        <f aca="false">ROUND($O708*$P708,2)</f>
        <v>2798.88</v>
      </c>
      <c r="S708" s="65" t="n">
        <f aca="false">ROUND($O708*$Q708,2)</f>
        <v>1370.88</v>
      </c>
      <c r="T708" s="65" t="n">
        <f aca="false">ROUND($R708*SUMIFS(Parametros!$E$28:$E$43,Parametros!$B$28:$B$43,$J708,Parametros!$C$28:$C$43,$C708,Parametros!$D$28:$D$43,$D708),2)</f>
        <v>36.39</v>
      </c>
      <c r="U708" s="65" t="n">
        <f aca="false">$R708-$S708-$T708</f>
        <v>1391.61</v>
      </c>
      <c r="V708" s="66" t="n">
        <f aca="false">IFERROR($U708/$R708,0)</f>
        <v>0.497202452409535</v>
      </c>
      <c r="W708" s="67" t="str">
        <f aca="false">IF(AND($V708&gt;=Parametros!$C$8,$R708&gt;=Parametros!$C$12),"Alta rentabilidad",IF(OR($V708&lt;Parametros!$C$11,$R708&lt;Parametros!$C$13),"Revisar","Estandar"))</f>
        <v>Estandar</v>
      </c>
      <c r="X708" s="67" t="str">
        <f aca="false">IF(AND($J708="E-commerce",IFERROR($T708/$R708,0)&gt;Parametros!$C$14),"Alerta","OK")</f>
        <v>OK</v>
      </c>
      <c r="Y708" s="61" t="str">
        <f aca="false">IF($R708&gt;=Parametros!$C$12,"Alto",IF($R708&lt;Parametros!$C$13,"Bajo","Medio"))</f>
        <v>Medio</v>
      </c>
      <c r="Z708" s="61" t="n">
        <v>791</v>
      </c>
      <c r="AA708" s="61" t="str">
        <f aca="false">IF(MATCH($A708,Datos_Origen!$A$2:$A$2459,0)=$Z708,"OK","REVISAR")</f>
        <v>OK</v>
      </c>
      <c r="AB708" s="62" t="n">
        <f aca="false">INDEX(Datos_Origen!$B$2:$B$2459,$Z708)</f>
        <v>45513</v>
      </c>
      <c r="AC708" s="61" t="n">
        <f aca="false">INDEX(Datos_Origen!$H$2:$H$2459,$Z708)</f>
        <v>102</v>
      </c>
      <c r="AD708" s="61" t="str">
        <f aca="false">INDEX(Datos_Origen!$D$2:$D$2459,$Z708)&amp;""</f>
        <v>Buenos Aires</v>
      </c>
    </row>
    <row r="709" customFormat="false" ht="15" hidden="false" customHeight="false" outlineLevel="0" collapsed="false">
      <c r="A709" s="61" t="n">
        <f aca="false">INDEX(Datos_Origen!$A$2:$A$2459,$Z709)</f>
        <v>708</v>
      </c>
      <c r="B709" s="62" t="n">
        <f aca="false">IF(ISNUMBER($AB709),$AB709,IF(MID($AB709,5,1)="-",DATE(VALUE(LEFT($AB709,4)),VALUE(MID($AB709,6,2)),VALUE(RIGHT($AB709,2))),DATE(VALUE(RIGHT($AB709,4)),VALUE(MID($AB709,4,2)),VALUE(LEFT($AB709,2)))))</f>
        <v>45520</v>
      </c>
      <c r="C709" s="61" t="n">
        <f aca="false">YEAR($B709)</f>
        <v>2024</v>
      </c>
      <c r="D709" s="61" t="str">
        <f aca="false">"Q"&amp;ROUNDUP(MONTH($B709)/3,0)</f>
        <v>Q3</v>
      </c>
      <c r="E709" s="61" t="n">
        <f aca="false">MONTH($B709)</f>
        <v>8</v>
      </c>
      <c r="F709" s="61" t="str">
        <f aca="false">INDEX(Parametros!$I$5:$I$16,$E709)</f>
        <v>Ago</v>
      </c>
      <c r="G709" s="61" t="str">
        <f aca="false">TEXT($C709,"0000")&amp;"-"&amp;TEXT($E709,"00")</f>
        <v>2024-08</v>
      </c>
      <c r="H709" s="61" t="str">
        <f aca="false">INDEX(Parametros!$C$71:$C$91,MATCH(TRIM(INDEX(Datos_Origen!$C$2:$C$2459,$Z709)),Parametros!$B$71:$B$91,0))</f>
        <v>AMBA</v>
      </c>
      <c r="I709" s="61" t="str">
        <f aca="false">IF(TRIM($AD709)="",INDEX(Parametros!$I$20:$I$24,MATCH($H709,Parametros!$H$20:$H$24,0)),TRIM($AD709))</f>
        <v>Buenos Aires</v>
      </c>
      <c r="J709" s="61" t="str">
        <f aca="false">INDEX(Parametros!$C$95:$C$106,MATCH(TRIM(INDEX(Datos_Origen!$E$2:$E$2459,$Z709)),Parametros!$B$95:$B$106,0))</f>
        <v>E-commerce</v>
      </c>
      <c r="K709" s="61" t="str">
        <f aca="false">INDEX(Parametros!$C$48:$C$67,MATCH(TRIM(INDEX(Datos_Origen!$F$2:$F$2459,$Z709)),Parametros!$B$48:$B$67,0))</f>
        <v>Accesorios</v>
      </c>
      <c r="L709" s="61" t="str">
        <f aca="false">$K709&amp;" "&amp;$C709</f>
        <v>Accesorios 2024</v>
      </c>
      <c r="M709" s="61" t="str">
        <f aca="false">TRIM(INDEX(Datos_Origen!$G$2:$G$2459,$Z709))</f>
        <v>Mouse Inalambrico</v>
      </c>
      <c r="N709" s="61" t="str">
        <f aca="false">$M709&amp;" "&amp;$C709</f>
        <v>Mouse Inalambrico 2024</v>
      </c>
      <c r="O709" s="63" t="n">
        <f aca="false">IF(ISTEXT($AC709),VALUE($AC709),$AC709)</f>
        <v>38</v>
      </c>
      <c r="P709" s="64" t="n">
        <f aca="false">INDEX(Datos_Origen!$I$2:$I$2459,$Z709)</f>
        <v>27.44</v>
      </c>
      <c r="Q709" s="64" t="n">
        <f aca="false">INDEX(Datos_Origen!$J$2:$J$2459,$Z709)</f>
        <v>13.44</v>
      </c>
      <c r="R709" s="65" t="n">
        <f aca="false">ROUND($O709*$P709,2)</f>
        <v>1042.72</v>
      </c>
      <c r="S709" s="65" t="n">
        <f aca="false">ROUND($O709*$Q709,2)</f>
        <v>510.72</v>
      </c>
      <c r="T709" s="65" t="n">
        <f aca="false">ROUND($R709*SUMIFS(Parametros!$E$28:$E$43,Parametros!$B$28:$B$43,$J709,Parametros!$C$28:$C$43,$C709,Parametros!$D$28:$D$43,$D709),2)</f>
        <v>47.97</v>
      </c>
      <c r="U709" s="65" t="n">
        <f aca="false">$R709-$S709-$T709</f>
        <v>484.03</v>
      </c>
      <c r="V709" s="66" t="n">
        <f aca="false">IFERROR($U709/$R709,0)</f>
        <v>0.464199401565137</v>
      </c>
      <c r="W709" s="67" t="str">
        <f aca="false">IF(AND($V709&gt;=Parametros!$C$8,$R709&gt;=Parametros!$C$12),"Alta rentabilidad",IF(OR($V709&lt;Parametros!$C$11,$R709&lt;Parametros!$C$13),"Revisar","Estandar"))</f>
        <v>Estandar</v>
      </c>
      <c r="X709" s="67" t="str">
        <f aca="false">IF(AND($J709="E-commerce",IFERROR($T709/$R709,0)&gt;Parametros!$C$14),"Alerta","OK")</f>
        <v>OK</v>
      </c>
      <c r="Y709" s="61" t="str">
        <f aca="false">IF($R709&gt;=Parametros!$C$12,"Alto",IF($R709&lt;Parametros!$C$13,"Bajo","Medio"))</f>
        <v>Medio</v>
      </c>
      <c r="Z709" s="61" t="n">
        <v>1583</v>
      </c>
      <c r="AA709" s="61" t="str">
        <f aca="false">IF(MATCH($A709,Datos_Origen!$A$2:$A$2459,0)=$Z709,"OK","REVISAR")</f>
        <v>OK</v>
      </c>
      <c r="AB709" s="62" t="n">
        <f aca="false">INDEX(Datos_Origen!$B$2:$B$2459,$Z709)</f>
        <v>45520</v>
      </c>
      <c r="AC709" s="61" t="n">
        <f aca="false">INDEX(Datos_Origen!$H$2:$H$2459,$Z709)</f>
        <v>38</v>
      </c>
      <c r="AD709" s="61" t="str">
        <f aca="false">INDEX(Datos_Origen!$D$2:$D$2459,$Z709)&amp;""</f>
        <v>Buenos Aires</v>
      </c>
    </row>
    <row r="710" customFormat="false" ht="15" hidden="false" customHeight="false" outlineLevel="0" collapsed="false">
      <c r="A710" s="61" t="n">
        <f aca="false">INDEX(Datos_Origen!$A$2:$A$2459,$Z710)</f>
        <v>709</v>
      </c>
      <c r="B710" s="62" t="n">
        <f aca="false">IF(ISNUMBER($AB710),$AB710,IF(MID($AB710,5,1)="-",DATE(VALUE(LEFT($AB710,4)),VALUE(MID($AB710,6,2)),VALUE(RIGHT($AB710,2))),DATE(VALUE(RIGHT($AB710,4)),VALUE(MID($AB710,4,2)),VALUE(LEFT($AB710,2)))))</f>
        <v>45527</v>
      </c>
      <c r="C710" s="61" t="n">
        <f aca="false">YEAR($B710)</f>
        <v>2024</v>
      </c>
      <c r="D710" s="61" t="str">
        <f aca="false">"Q"&amp;ROUNDUP(MONTH($B710)/3,0)</f>
        <v>Q3</v>
      </c>
      <c r="E710" s="61" t="n">
        <f aca="false">MONTH($B710)</f>
        <v>8</v>
      </c>
      <c r="F710" s="61" t="str">
        <f aca="false">INDEX(Parametros!$I$5:$I$16,$E710)</f>
        <v>Ago</v>
      </c>
      <c r="G710" s="61" t="str">
        <f aca="false">TEXT($C710,"0000")&amp;"-"&amp;TEXT($E710,"00")</f>
        <v>2024-08</v>
      </c>
      <c r="H710" s="61" t="str">
        <f aca="false">INDEX(Parametros!$C$71:$C$91,MATCH(TRIM(INDEX(Datos_Origen!$C$2:$C$2459,$Z710)),Parametros!$B$71:$B$91,0))</f>
        <v>AMBA</v>
      </c>
      <c r="I710" s="61" t="str">
        <f aca="false">IF(TRIM($AD710)="",INDEX(Parametros!$I$20:$I$24,MATCH($H710,Parametros!$H$20:$H$24,0)),TRIM($AD710))</f>
        <v>Buenos Aires</v>
      </c>
      <c r="J710" s="61" t="str">
        <f aca="false">INDEX(Parametros!$C$95:$C$106,MATCH(TRIM(INDEX(Datos_Origen!$E$2:$E$2459,$Z710)),Parametros!$B$95:$B$106,0))</f>
        <v>Tienda fisica</v>
      </c>
      <c r="K710" s="61" t="str">
        <f aca="false">INDEX(Parametros!$C$48:$C$67,MATCH(TRIM(INDEX(Datos_Origen!$F$2:$F$2459,$Z710)),Parametros!$B$48:$B$67,0))</f>
        <v>Accesorios</v>
      </c>
      <c r="L710" s="61" t="str">
        <f aca="false">$K710&amp;" "&amp;$C710</f>
        <v>Accesorios 2024</v>
      </c>
      <c r="M710" s="61" t="str">
        <f aca="false">TRIM(INDEX(Datos_Origen!$G$2:$G$2459,$Z710))</f>
        <v>Teclado Mecanico</v>
      </c>
      <c r="N710" s="61" t="str">
        <f aca="false">$M710&amp;" "&amp;$C710</f>
        <v>Teclado Mecanico 2024</v>
      </c>
      <c r="O710" s="63" t="n">
        <f aca="false">IF(ISTEXT($AC710),VALUE($AC710),$AC710)</f>
        <v>113</v>
      </c>
      <c r="P710" s="64" t="n">
        <f aca="false">INDEX(Datos_Origen!$I$2:$I$2459,$Z710)</f>
        <v>93.1</v>
      </c>
      <c r="Q710" s="64" t="n">
        <f aca="false">INDEX(Datos_Origen!$J$2:$J$2459,$Z710)</f>
        <v>47.98</v>
      </c>
      <c r="R710" s="65" t="n">
        <f aca="false">ROUND($O710*$P710,2)</f>
        <v>10520.3</v>
      </c>
      <c r="S710" s="65" t="n">
        <f aca="false">ROUND($O710*$Q710,2)</f>
        <v>5421.74</v>
      </c>
      <c r="T710" s="65" t="n">
        <f aca="false">ROUND($R710*SUMIFS(Parametros!$E$28:$E$43,Parametros!$B$28:$B$43,$J710,Parametros!$C$28:$C$43,$C710,Parametros!$D$28:$D$43,$D710),2)</f>
        <v>136.76</v>
      </c>
      <c r="U710" s="65" t="n">
        <f aca="false">$R710-$S710-$T710</f>
        <v>4961.8</v>
      </c>
      <c r="V710" s="66" t="n">
        <f aca="false">IFERROR($U710/$R710,0)</f>
        <v>0.471640542570079</v>
      </c>
      <c r="W710" s="67" t="str">
        <f aca="false">IF(AND($V710&gt;=Parametros!$C$8,$R710&gt;=Parametros!$C$12),"Alta rentabilidad",IF(OR($V710&lt;Parametros!$C$11,$R710&lt;Parametros!$C$13),"Revisar","Estandar"))</f>
        <v>Alta rentabilidad</v>
      </c>
      <c r="X710" s="67" t="str">
        <f aca="false">IF(AND($J710="E-commerce",IFERROR($T710/$R710,0)&gt;Parametros!$C$14),"Alerta","OK")</f>
        <v>OK</v>
      </c>
      <c r="Y710" s="61" t="str">
        <f aca="false">IF($R710&gt;=Parametros!$C$12,"Alto",IF($R710&lt;Parametros!$C$13,"Bajo","Medio"))</f>
        <v>Alto</v>
      </c>
      <c r="Z710" s="61" t="n">
        <v>1145</v>
      </c>
      <c r="AA710" s="61" t="str">
        <f aca="false">IF(MATCH($A710,Datos_Origen!$A$2:$A$2459,0)=$Z710,"OK","REVISAR")</f>
        <v>OK</v>
      </c>
      <c r="AB710" s="62" t="n">
        <f aca="false">INDEX(Datos_Origen!$B$2:$B$2459,$Z710)</f>
        <v>45527</v>
      </c>
      <c r="AC710" s="61" t="n">
        <f aca="false">INDEX(Datos_Origen!$H$2:$H$2459,$Z710)</f>
        <v>113</v>
      </c>
      <c r="AD710" s="61" t="str">
        <f aca="false">INDEX(Datos_Origen!$D$2:$D$2459,$Z710)&amp;""</f>
        <v>Buenos Aires</v>
      </c>
    </row>
    <row r="711" customFormat="false" ht="15" hidden="false" customHeight="false" outlineLevel="0" collapsed="false">
      <c r="A711" s="61" t="n">
        <f aca="false">INDEX(Datos_Origen!$A$2:$A$2459,$Z711)</f>
        <v>710</v>
      </c>
      <c r="B711" s="62" t="n">
        <f aca="false">IF(ISNUMBER($AB711),$AB711,IF(MID($AB711,5,1)="-",DATE(VALUE(LEFT($AB711,4)),VALUE(MID($AB711,6,2)),VALUE(RIGHT($AB711,2))),DATE(VALUE(RIGHT($AB711,4)),VALUE(MID($AB711,4,2)),VALUE(LEFT($AB711,2)))))</f>
        <v>45507</v>
      </c>
      <c r="C711" s="61" t="n">
        <f aca="false">YEAR($B711)</f>
        <v>2024</v>
      </c>
      <c r="D711" s="61" t="str">
        <f aca="false">"Q"&amp;ROUNDUP(MONTH($B711)/3,0)</f>
        <v>Q3</v>
      </c>
      <c r="E711" s="61" t="n">
        <f aca="false">MONTH($B711)</f>
        <v>8</v>
      </c>
      <c r="F711" s="61" t="str">
        <f aca="false">INDEX(Parametros!$I$5:$I$16,$E711)</f>
        <v>Ago</v>
      </c>
      <c r="G711" s="61" t="str">
        <f aca="false">TEXT($C711,"0000")&amp;"-"&amp;TEXT($E711,"00")</f>
        <v>2024-08</v>
      </c>
      <c r="H711" s="61" t="str">
        <f aca="false">INDEX(Parametros!$C$71:$C$91,MATCH(TRIM(INDEX(Datos_Origen!$C$2:$C$2459,$Z711)),Parametros!$B$71:$B$91,0))</f>
        <v>AMBA</v>
      </c>
      <c r="I711" s="61" t="str">
        <f aca="false">IF(TRIM($AD711)="",INDEX(Parametros!$I$20:$I$24,MATCH($H711,Parametros!$H$20:$H$24,0)),TRIM($AD711))</f>
        <v>Buenos Aires</v>
      </c>
      <c r="J711" s="61" t="str">
        <f aca="false">INDEX(Parametros!$C$95:$C$106,MATCH(TRIM(INDEX(Datos_Origen!$E$2:$E$2459,$Z711)),Parametros!$B$95:$B$106,0))</f>
        <v>E-commerce</v>
      </c>
      <c r="K711" s="61" t="str">
        <f aca="false">INDEX(Parametros!$C$48:$C$67,MATCH(TRIM(INDEX(Datos_Origen!$F$2:$F$2459,$Z711)),Parametros!$B$48:$B$67,0))</f>
        <v>Accesorios</v>
      </c>
      <c r="L711" s="61" t="str">
        <f aca="false">$K711&amp;" "&amp;$C711</f>
        <v>Accesorios 2024</v>
      </c>
      <c r="M711" s="61" t="str">
        <f aca="false">TRIM(INDEX(Datos_Origen!$G$2:$G$2459,$Z711))</f>
        <v>Teclado Mecanico</v>
      </c>
      <c r="N711" s="61" t="str">
        <f aca="false">$M711&amp;" "&amp;$C711</f>
        <v>Teclado Mecanico 2024</v>
      </c>
      <c r="O711" s="63" t="n">
        <f aca="false">IF(ISTEXT($AC711),VALUE($AC711),$AC711)</f>
        <v>42</v>
      </c>
      <c r="P711" s="64" t="n">
        <f aca="false">INDEX(Datos_Origen!$I$2:$I$2459,$Z711)</f>
        <v>93.1</v>
      </c>
      <c r="Q711" s="64" t="n">
        <f aca="false">INDEX(Datos_Origen!$J$2:$J$2459,$Z711)</f>
        <v>47.98</v>
      </c>
      <c r="R711" s="65" t="n">
        <f aca="false">ROUND($O711*$P711,2)</f>
        <v>3910.2</v>
      </c>
      <c r="S711" s="65" t="n">
        <f aca="false">ROUND($O711*$Q711,2)</f>
        <v>2015.16</v>
      </c>
      <c r="T711" s="65" t="n">
        <f aca="false">ROUND($R711*SUMIFS(Parametros!$E$28:$E$43,Parametros!$B$28:$B$43,$J711,Parametros!$C$28:$C$43,$C711,Parametros!$D$28:$D$43,$D711),2)</f>
        <v>179.87</v>
      </c>
      <c r="U711" s="65" t="n">
        <f aca="false">$R711-$S711-$T711</f>
        <v>1715.17</v>
      </c>
      <c r="V711" s="66" t="n">
        <f aca="false">IFERROR($U711/$R711,0)</f>
        <v>0.438639967265101</v>
      </c>
      <c r="W711" s="67" t="str">
        <f aca="false">IF(AND($V711&gt;=Parametros!$C$8,$R711&gt;=Parametros!$C$12),"Alta rentabilidad",IF(OR($V711&lt;Parametros!$C$11,$R711&lt;Parametros!$C$13),"Revisar","Estandar"))</f>
        <v>Alta rentabilidad</v>
      </c>
      <c r="X711" s="67" t="str">
        <f aca="false">IF(AND($J711="E-commerce",IFERROR($T711/$R711,0)&gt;Parametros!$C$14),"Alerta","OK")</f>
        <v>OK</v>
      </c>
      <c r="Y711" s="61" t="str">
        <f aca="false">IF($R711&gt;=Parametros!$C$12,"Alto",IF($R711&lt;Parametros!$C$13,"Bajo","Medio"))</f>
        <v>Alto</v>
      </c>
      <c r="Z711" s="61" t="n">
        <v>464</v>
      </c>
      <c r="AA711" s="61" t="str">
        <f aca="false">IF(MATCH($A711,Datos_Origen!$A$2:$A$2459,0)=$Z711,"OK","REVISAR")</f>
        <v>OK</v>
      </c>
      <c r="AB711" s="61" t="str">
        <f aca="false">INDEX(Datos_Origen!$B$2:$B$2459,$Z711)</f>
        <v>2024-08-03</v>
      </c>
      <c r="AC711" s="61" t="n">
        <f aca="false">INDEX(Datos_Origen!$H$2:$H$2459,$Z711)</f>
        <v>42</v>
      </c>
      <c r="AD711" s="61" t="str">
        <f aca="false">INDEX(Datos_Origen!$D$2:$D$2459,$Z711)&amp;""</f>
        <v>Buenos Aires</v>
      </c>
    </row>
    <row r="712" customFormat="false" ht="15" hidden="false" customHeight="false" outlineLevel="0" collapsed="false">
      <c r="A712" s="61" t="n">
        <f aca="false">INDEX(Datos_Origen!$A$2:$A$2459,$Z712)</f>
        <v>711</v>
      </c>
      <c r="B712" s="62" t="n">
        <f aca="false">IF(ISNUMBER($AB712),$AB712,IF(MID($AB712,5,1)="-",DATE(VALUE(LEFT($AB712,4)),VALUE(MID($AB712,6,2)),VALUE(RIGHT($AB712,2))),DATE(VALUE(RIGHT($AB712,4)),VALUE(MID($AB712,4,2)),VALUE(LEFT($AB712,2)))))</f>
        <v>45514</v>
      </c>
      <c r="C712" s="61" t="n">
        <f aca="false">YEAR($B712)</f>
        <v>2024</v>
      </c>
      <c r="D712" s="61" t="str">
        <f aca="false">"Q"&amp;ROUNDUP(MONTH($B712)/3,0)</f>
        <v>Q3</v>
      </c>
      <c r="E712" s="61" t="n">
        <f aca="false">MONTH($B712)</f>
        <v>8</v>
      </c>
      <c r="F712" s="61" t="str">
        <f aca="false">INDEX(Parametros!$I$5:$I$16,$E712)</f>
        <v>Ago</v>
      </c>
      <c r="G712" s="61" t="str">
        <f aca="false">TEXT($C712,"0000")&amp;"-"&amp;TEXT($E712,"00")</f>
        <v>2024-08</v>
      </c>
      <c r="H712" s="61" t="str">
        <f aca="false">INDEX(Parametros!$C$71:$C$91,MATCH(TRIM(INDEX(Datos_Origen!$C$2:$C$2459,$Z712)),Parametros!$B$71:$B$91,0))</f>
        <v>AMBA</v>
      </c>
      <c r="I712" s="61" t="str">
        <f aca="false">IF(TRIM($AD712)="",INDEX(Parametros!$I$20:$I$24,MATCH($H712,Parametros!$H$20:$H$24,0)),TRIM($AD712))</f>
        <v>Buenos Aires</v>
      </c>
      <c r="J712" s="61" t="str">
        <f aca="false">INDEX(Parametros!$C$95:$C$106,MATCH(TRIM(INDEX(Datos_Origen!$E$2:$E$2459,$Z712)),Parametros!$B$95:$B$106,0))</f>
        <v>Tienda fisica</v>
      </c>
      <c r="K712" s="61" t="str">
        <f aca="false">INDEX(Parametros!$C$48:$C$67,MATCH(TRIM(INDEX(Datos_Origen!$F$2:$F$2459,$Z712)),Parametros!$B$48:$B$67,0))</f>
        <v>Accesorios</v>
      </c>
      <c r="L712" s="61" t="str">
        <f aca="false">$K712&amp;" "&amp;$C712</f>
        <v>Accesorios 2024</v>
      </c>
      <c r="M712" s="61" t="str">
        <f aca="false">TRIM(INDEX(Datos_Origen!$G$2:$G$2459,$Z712))</f>
        <v>Webcam Full HD</v>
      </c>
      <c r="N712" s="61" t="str">
        <f aca="false">$M712&amp;" "&amp;$C712</f>
        <v>Webcam Full HD 2024</v>
      </c>
      <c r="O712" s="63" t="n">
        <f aca="false">IF(ISTEXT($AC712),VALUE($AC712),$AC712)</f>
        <v>87</v>
      </c>
      <c r="P712" s="64" t="n">
        <f aca="false">INDEX(Datos_Origen!$I$2:$I$2459,$Z712)</f>
        <v>63.7</v>
      </c>
      <c r="Q712" s="64" t="n">
        <f aca="false">INDEX(Datos_Origen!$J$2:$J$2459,$Z712)</f>
        <v>35.43</v>
      </c>
      <c r="R712" s="65" t="n">
        <f aca="false">ROUND($O712*$P712,2)</f>
        <v>5541.9</v>
      </c>
      <c r="S712" s="65" t="n">
        <f aca="false">ROUND($O712*$Q712,2)</f>
        <v>3082.41</v>
      </c>
      <c r="T712" s="65" t="n">
        <f aca="false">ROUND($R712*SUMIFS(Parametros!$E$28:$E$43,Parametros!$B$28:$B$43,$J712,Parametros!$C$28:$C$43,$C712,Parametros!$D$28:$D$43,$D712),2)</f>
        <v>72.04</v>
      </c>
      <c r="U712" s="65" t="n">
        <f aca="false">$R712-$S712-$T712</f>
        <v>2387.45</v>
      </c>
      <c r="V712" s="66" t="n">
        <f aca="false">IFERROR($U712/$R712,0)</f>
        <v>0.430799906169364</v>
      </c>
      <c r="W712" s="67" t="str">
        <f aca="false">IF(AND($V712&gt;=Parametros!$C$8,$R712&gt;=Parametros!$C$12),"Alta rentabilidad",IF(OR($V712&lt;Parametros!$C$11,$R712&lt;Parametros!$C$13),"Revisar","Estandar"))</f>
        <v>Alta rentabilidad</v>
      </c>
      <c r="X712" s="67" t="str">
        <f aca="false">IF(AND($J712="E-commerce",IFERROR($T712/$R712,0)&gt;Parametros!$C$14),"Alerta","OK")</f>
        <v>OK</v>
      </c>
      <c r="Y712" s="61" t="str">
        <f aca="false">IF($R712&gt;=Parametros!$C$12,"Alto",IF($R712&lt;Parametros!$C$13,"Bajo","Medio"))</f>
        <v>Alto</v>
      </c>
      <c r="Z712" s="61" t="n">
        <v>765</v>
      </c>
      <c r="AA712" s="61" t="str">
        <f aca="false">IF(MATCH($A712,Datos_Origen!$A$2:$A$2459,0)=$Z712,"OK","REVISAR")</f>
        <v>OK</v>
      </c>
      <c r="AB712" s="62" t="n">
        <f aca="false">INDEX(Datos_Origen!$B$2:$B$2459,$Z712)</f>
        <v>45514</v>
      </c>
      <c r="AC712" s="61" t="n">
        <f aca="false">INDEX(Datos_Origen!$H$2:$H$2459,$Z712)</f>
        <v>87</v>
      </c>
      <c r="AD712" s="61" t="str">
        <f aca="false">INDEX(Datos_Origen!$D$2:$D$2459,$Z712)&amp;""</f>
        <v>Buenos Aires</v>
      </c>
    </row>
    <row r="713" customFormat="false" ht="15" hidden="false" customHeight="false" outlineLevel="0" collapsed="false">
      <c r="A713" s="61" t="n">
        <f aca="false">INDEX(Datos_Origen!$A$2:$A$2459,$Z713)</f>
        <v>712</v>
      </c>
      <c r="B713" s="62" t="n">
        <f aca="false">IF(ISNUMBER($AB713),$AB713,IF(MID($AB713,5,1)="-",DATE(VALUE(LEFT($AB713,4)),VALUE(MID($AB713,6,2)),VALUE(RIGHT($AB713,2))),DATE(VALUE(RIGHT($AB713,4)),VALUE(MID($AB713,4,2)),VALUE(LEFT($AB713,2)))))</f>
        <v>45521</v>
      </c>
      <c r="C713" s="61" t="n">
        <f aca="false">YEAR($B713)</f>
        <v>2024</v>
      </c>
      <c r="D713" s="61" t="str">
        <f aca="false">"Q"&amp;ROUNDUP(MONTH($B713)/3,0)</f>
        <v>Q3</v>
      </c>
      <c r="E713" s="61" t="n">
        <f aca="false">MONTH($B713)</f>
        <v>8</v>
      </c>
      <c r="F713" s="61" t="str">
        <f aca="false">INDEX(Parametros!$I$5:$I$16,$E713)</f>
        <v>Ago</v>
      </c>
      <c r="G713" s="61" t="str">
        <f aca="false">TEXT($C713,"0000")&amp;"-"&amp;TEXT($E713,"00")</f>
        <v>2024-08</v>
      </c>
      <c r="H713" s="61" t="str">
        <f aca="false">INDEX(Parametros!$C$71:$C$91,MATCH(TRIM(INDEX(Datos_Origen!$C$2:$C$2459,$Z713)),Parametros!$B$71:$B$91,0))</f>
        <v>AMBA</v>
      </c>
      <c r="I713" s="61" t="str">
        <f aca="false">IF(TRIM($AD713)="",INDEX(Parametros!$I$20:$I$24,MATCH($H713,Parametros!$H$20:$H$24,0)),TRIM($AD713))</f>
        <v>Buenos Aires</v>
      </c>
      <c r="J713" s="61" t="str">
        <f aca="false">INDEX(Parametros!$C$95:$C$106,MATCH(TRIM(INDEX(Datos_Origen!$E$2:$E$2459,$Z713)),Parametros!$B$95:$B$106,0))</f>
        <v>E-commerce</v>
      </c>
      <c r="K713" s="61" t="str">
        <f aca="false">INDEX(Parametros!$C$48:$C$67,MATCH(TRIM(INDEX(Datos_Origen!$F$2:$F$2459,$Z713)),Parametros!$B$48:$B$67,0))</f>
        <v>Accesorios</v>
      </c>
      <c r="L713" s="61" t="str">
        <f aca="false">$K713&amp;" "&amp;$C713</f>
        <v>Accesorios 2024</v>
      </c>
      <c r="M713" s="61" t="str">
        <f aca="false">TRIM(INDEX(Datos_Origen!$G$2:$G$2459,$Z713))</f>
        <v>Webcam Full HD</v>
      </c>
      <c r="N713" s="61" t="str">
        <f aca="false">$M713&amp;" "&amp;$C713</f>
        <v>Webcam Full HD 2024</v>
      </c>
      <c r="O713" s="63" t="n">
        <f aca="false">IF(ISTEXT($AC713),VALUE($AC713),$AC713)</f>
        <v>43</v>
      </c>
      <c r="P713" s="64" t="n">
        <f aca="false">INDEX(Datos_Origen!$I$2:$I$2459,$Z713)</f>
        <v>63.7</v>
      </c>
      <c r="Q713" s="64" t="n">
        <f aca="false">INDEX(Datos_Origen!$J$2:$J$2459,$Z713)</f>
        <v>35.43</v>
      </c>
      <c r="R713" s="65" t="n">
        <f aca="false">ROUND($O713*$P713,2)</f>
        <v>2739.1</v>
      </c>
      <c r="S713" s="65" t="n">
        <f aca="false">ROUND($O713*$Q713,2)</f>
        <v>1523.49</v>
      </c>
      <c r="T713" s="65" t="n">
        <f aca="false">ROUND($R713*SUMIFS(Parametros!$E$28:$E$43,Parametros!$B$28:$B$43,$J713,Parametros!$C$28:$C$43,$C713,Parametros!$D$28:$D$43,$D713),2)</f>
        <v>126</v>
      </c>
      <c r="U713" s="65" t="n">
        <f aca="false">$R713-$S713-$T713</f>
        <v>1089.61</v>
      </c>
      <c r="V713" s="66" t="n">
        <f aca="false">IFERROR($U713/$R713,0)</f>
        <v>0.397798546967982</v>
      </c>
      <c r="W713" s="67" t="str">
        <f aca="false">IF(AND($V713&gt;=Parametros!$C$8,$R713&gt;=Parametros!$C$12),"Alta rentabilidad",IF(OR($V713&lt;Parametros!$C$11,$R713&lt;Parametros!$C$13),"Revisar","Estandar"))</f>
        <v>Estandar</v>
      </c>
      <c r="X713" s="67" t="str">
        <f aca="false">IF(AND($J713="E-commerce",IFERROR($T713/$R713,0)&gt;Parametros!$C$14),"Alerta","OK")</f>
        <v>OK</v>
      </c>
      <c r="Y713" s="61" t="str">
        <f aca="false">IF($R713&gt;=Parametros!$C$12,"Alto",IF($R713&lt;Parametros!$C$13,"Bajo","Medio"))</f>
        <v>Medio</v>
      </c>
      <c r="Z713" s="61" t="n">
        <v>803</v>
      </c>
      <c r="AA713" s="61" t="str">
        <f aca="false">IF(MATCH($A713,Datos_Origen!$A$2:$A$2459,0)=$Z713,"OK","REVISAR")</f>
        <v>OK</v>
      </c>
      <c r="AB713" s="61" t="str">
        <f aca="false">INDEX(Datos_Origen!$B$2:$B$2459,$Z713)</f>
        <v>2024-08-17</v>
      </c>
      <c r="AC713" s="61" t="n">
        <f aca="false">INDEX(Datos_Origen!$H$2:$H$2459,$Z713)</f>
        <v>43</v>
      </c>
      <c r="AD713" s="61" t="str">
        <f aca="false">INDEX(Datos_Origen!$D$2:$D$2459,$Z713)&amp;""</f>
        <v>Buenos Aires</v>
      </c>
    </row>
    <row r="714" customFormat="false" ht="15" hidden="false" customHeight="false" outlineLevel="0" collapsed="false">
      <c r="A714" s="61" t="n">
        <f aca="false">INDEX(Datos_Origen!$A$2:$A$2459,$Z714)</f>
        <v>713</v>
      </c>
      <c r="B714" s="62" t="n">
        <f aca="false">IF(ISNUMBER($AB714),$AB714,IF(MID($AB714,5,1)="-",DATE(VALUE(LEFT($AB714,4)),VALUE(MID($AB714,6,2)),VALUE(RIGHT($AB714,2))),DATE(VALUE(RIGHT($AB714,4)),VALUE(MID($AB714,4,2)),VALUE(LEFT($AB714,2)))))</f>
        <v>45528</v>
      </c>
      <c r="C714" s="61" t="n">
        <f aca="false">YEAR($B714)</f>
        <v>2024</v>
      </c>
      <c r="D714" s="61" t="str">
        <f aca="false">"Q"&amp;ROUNDUP(MONTH($B714)/3,0)</f>
        <v>Q3</v>
      </c>
      <c r="E714" s="61" t="n">
        <f aca="false">MONTH($B714)</f>
        <v>8</v>
      </c>
      <c r="F714" s="61" t="str">
        <f aca="false">INDEX(Parametros!$I$5:$I$16,$E714)</f>
        <v>Ago</v>
      </c>
      <c r="G714" s="61" t="str">
        <f aca="false">TEXT($C714,"0000")&amp;"-"&amp;TEXT($E714,"00")</f>
        <v>2024-08</v>
      </c>
      <c r="H714" s="61" t="str">
        <f aca="false">INDEX(Parametros!$C$71:$C$91,MATCH(TRIM(INDEX(Datos_Origen!$C$2:$C$2459,$Z714)),Parametros!$B$71:$B$91,0))</f>
        <v>AMBA</v>
      </c>
      <c r="I714" s="61" t="str">
        <f aca="false">IF(TRIM($AD714)="",INDEX(Parametros!$I$20:$I$24,MATCH($H714,Parametros!$H$20:$H$24,0)),TRIM($AD714))</f>
        <v>Buenos Aires</v>
      </c>
      <c r="J714" s="61" t="str">
        <f aca="false">INDEX(Parametros!$C$95:$C$106,MATCH(TRIM(INDEX(Datos_Origen!$E$2:$E$2459,$Z714)),Parametros!$B$95:$B$106,0))</f>
        <v>Tienda fisica</v>
      </c>
      <c r="K714" s="61" t="str">
        <f aca="false">INDEX(Parametros!$C$48:$C$67,MATCH(TRIM(INDEX(Datos_Origen!$F$2:$F$2459,$Z714)),Parametros!$B$48:$B$67,0))</f>
        <v>Audio</v>
      </c>
      <c r="L714" s="61" t="str">
        <f aca="false">$K714&amp;" "&amp;$C714</f>
        <v>Audio 2024</v>
      </c>
      <c r="M714" s="61" t="str">
        <f aca="false">TRIM(INDEX(Datos_Origen!$G$2:$G$2459,$Z714))</f>
        <v>Auriculares BT Pro</v>
      </c>
      <c r="N714" s="61" t="str">
        <f aca="false">$M714&amp;" "&amp;$C714</f>
        <v>Auriculares BT Pro 2024</v>
      </c>
      <c r="O714" s="63" t="n">
        <f aca="false">IF(ISTEXT($AC714),VALUE($AC714),$AC714)</f>
        <v>37</v>
      </c>
      <c r="P714" s="64" t="n">
        <f aca="false">INDEX(Datos_Origen!$I$2:$I$2459,$Z714)</f>
        <v>117.6</v>
      </c>
      <c r="Q714" s="64" t="n">
        <f aca="false">INDEX(Datos_Origen!$J$2:$J$2459,$Z714)</f>
        <v>63.6</v>
      </c>
      <c r="R714" s="65" t="n">
        <f aca="false">ROUND($O714*$P714,2)</f>
        <v>4351.2</v>
      </c>
      <c r="S714" s="65" t="n">
        <f aca="false">ROUND($O714*$Q714,2)</f>
        <v>2353.2</v>
      </c>
      <c r="T714" s="65" t="n">
        <f aca="false">ROUND($R714*SUMIFS(Parametros!$E$28:$E$43,Parametros!$B$28:$B$43,$J714,Parametros!$C$28:$C$43,$C714,Parametros!$D$28:$D$43,$D714),2)</f>
        <v>56.57</v>
      </c>
      <c r="U714" s="65" t="n">
        <f aca="false">$R714-$S714-$T714</f>
        <v>1941.43</v>
      </c>
      <c r="V714" s="66" t="n">
        <f aca="false">IFERROR($U714/$R714,0)</f>
        <v>0.446182662254091</v>
      </c>
      <c r="W714" s="67" t="str">
        <f aca="false">IF(AND($V714&gt;=Parametros!$C$8,$R714&gt;=Parametros!$C$12),"Alta rentabilidad",IF(OR($V714&lt;Parametros!$C$11,$R714&lt;Parametros!$C$13),"Revisar","Estandar"))</f>
        <v>Alta rentabilidad</v>
      </c>
      <c r="X714" s="67" t="str">
        <f aca="false">IF(AND($J714="E-commerce",IFERROR($T714/$R714,0)&gt;Parametros!$C$14),"Alerta","OK")</f>
        <v>OK</v>
      </c>
      <c r="Y714" s="61" t="str">
        <f aca="false">IF($R714&gt;=Parametros!$C$12,"Alto",IF($R714&lt;Parametros!$C$13,"Bajo","Medio"))</f>
        <v>Alto</v>
      </c>
      <c r="Z714" s="61" t="n">
        <v>1817</v>
      </c>
      <c r="AA714" s="61" t="str">
        <f aca="false">IF(MATCH($A714,Datos_Origen!$A$2:$A$2459,0)=$Z714,"OK","REVISAR")</f>
        <v>OK</v>
      </c>
      <c r="AB714" s="62" t="n">
        <f aca="false">INDEX(Datos_Origen!$B$2:$B$2459,$Z714)</f>
        <v>45528</v>
      </c>
      <c r="AC714" s="61" t="n">
        <f aca="false">INDEX(Datos_Origen!$H$2:$H$2459,$Z714)</f>
        <v>37</v>
      </c>
      <c r="AD714" s="61" t="str">
        <f aca="false">INDEX(Datos_Origen!$D$2:$D$2459,$Z714)&amp;""</f>
        <v>Buenos Aires</v>
      </c>
    </row>
    <row r="715" customFormat="false" ht="15" hidden="false" customHeight="false" outlineLevel="0" collapsed="false">
      <c r="A715" s="61" t="n">
        <f aca="false">INDEX(Datos_Origen!$A$2:$A$2459,$Z715)</f>
        <v>714</v>
      </c>
      <c r="B715" s="62" t="n">
        <f aca="false">IF(ISNUMBER($AB715),$AB715,IF(MID($AB715,5,1)="-",DATE(VALUE(LEFT($AB715,4)),VALUE(MID($AB715,6,2)),VALUE(RIGHT($AB715,2))),DATE(VALUE(RIGHT($AB715,4)),VALUE(MID($AB715,4,2)),VALUE(LEFT($AB715,2)))))</f>
        <v>45508</v>
      </c>
      <c r="C715" s="61" t="n">
        <f aca="false">YEAR($B715)</f>
        <v>2024</v>
      </c>
      <c r="D715" s="61" t="str">
        <f aca="false">"Q"&amp;ROUNDUP(MONTH($B715)/3,0)</f>
        <v>Q3</v>
      </c>
      <c r="E715" s="61" t="n">
        <f aca="false">MONTH($B715)</f>
        <v>8</v>
      </c>
      <c r="F715" s="61" t="str">
        <f aca="false">INDEX(Parametros!$I$5:$I$16,$E715)</f>
        <v>Ago</v>
      </c>
      <c r="G715" s="61" t="str">
        <f aca="false">TEXT($C715,"0000")&amp;"-"&amp;TEXT($E715,"00")</f>
        <v>2024-08</v>
      </c>
      <c r="H715" s="61" t="str">
        <f aca="false">INDEX(Parametros!$C$71:$C$91,MATCH(TRIM(INDEX(Datos_Origen!$C$2:$C$2459,$Z715)),Parametros!$B$71:$B$91,0))</f>
        <v>AMBA</v>
      </c>
      <c r="I715" s="61" t="str">
        <f aca="false">IF(TRIM($AD715)="",INDEX(Parametros!$I$20:$I$24,MATCH($H715,Parametros!$H$20:$H$24,0)),TRIM($AD715))</f>
        <v>Buenos Aires</v>
      </c>
      <c r="J715" s="61" t="str">
        <f aca="false">INDEX(Parametros!$C$95:$C$106,MATCH(TRIM(INDEX(Datos_Origen!$E$2:$E$2459,$Z715)),Parametros!$B$95:$B$106,0))</f>
        <v>E-commerce</v>
      </c>
      <c r="K715" s="61" t="str">
        <f aca="false">INDEX(Parametros!$C$48:$C$67,MATCH(TRIM(INDEX(Datos_Origen!$F$2:$F$2459,$Z715)),Parametros!$B$48:$B$67,0))</f>
        <v>Audio</v>
      </c>
      <c r="L715" s="61" t="str">
        <f aca="false">$K715&amp;" "&amp;$C715</f>
        <v>Audio 2024</v>
      </c>
      <c r="M715" s="61" t="str">
        <f aca="false">TRIM(INDEX(Datos_Origen!$G$2:$G$2459,$Z715))</f>
        <v>Auriculares BT Pro</v>
      </c>
      <c r="N715" s="61" t="str">
        <f aca="false">$M715&amp;" "&amp;$C715</f>
        <v>Auriculares BT Pro 2024</v>
      </c>
      <c r="O715" s="63" t="n">
        <f aca="false">IF(ISTEXT($AC715),VALUE($AC715),$AC715)</f>
        <v>19</v>
      </c>
      <c r="P715" s="64" t="n">
        <f aca="false">INDEX(Datos_Origen!$I$2:$I$2459,$Z715)</f>
        <v>117.6</v>
      </c>
      <c r="Q715" s="64" t="n">
        <f aca="false">INDEX(Datos_Origen!$J$2:$J$2459,$Z715)</f>
        <v>63.6</v>
      </c>
      <c r="R715" s="65" t="n">
        <f aca="false">ROUND($O715*$P715,2)</f>
        <v>2234.4</v>
      </c>
      <c r="S715" s="65" t="n">
        <f aca="false">ROUND($O715*$Q715,2)</f>
        <v>1208.4</v>
      </c>
      <c r="T715" s="65" t="n">
        <f aca="false">ROUND($R715*SUMIFS(Parametros!$E$28:$E$43,Parametros!$B$28:$B$43,$J715,Parametros!$C$28:$C$43,$C715,Parametros!$D$28:$D$43,$D715),2)</f>
        <v>102.78</v>
      </c>
      <c r="U715" s="65" t="n">
        <f aca="false">$R715-$S715-$T715</f>
        <v>923.22</v>
      </c>
      <c r="V715" s="66" t="n">
        <f aca="false">IFERROR($U715/$R715,0)</f>
        <v>0.413184747583244</v>
      </c>
      <c r="W715" s="67" t="str">
        <f aca="false">IF(AND($V715&gt;=Parametros!$C$8,$R715&gt;=Parametros!$C$12),"Alta rentabilidad",IF(OR($V715&lt;Parametros!$C$11,$R715&lt;Parametros!$C$13),"Revisar","Estandar"))</f>
        <v>Estandar</v>
      </c>
      <c r="X715" s="67" t="str">
        <f aca="false">IF(AND($J715="E-commerce",IFERROR($T715/$R715,0)&gt;Parametros!$C$14),"Alerta","OK")</f>
        <v>OK</v>
      </c>
      <c r="Y715" s="61" t="str">
        <f aca="false">IF($R715&gt;=Parametros!$C$12,"Alto",IF($R715&lt;Parametros!$C$13,"Bajo","Medio"))</f>
        <v>Medio</v>
      </c>
      <c r="Z715" s="61" t="n">
        <v>70</v>
      </c>
      <c r="AA715" s="61" t="str">
        <f aca="false">IF(MATCH($A715,Datos_Origen!$A$2:$A$2459,0)=$Z715,"OK","REVISAR")</f>
        <v>OK</v>
      </c>
      <c r="AB715" s="61" t="str">
        <f aca="false">INDEX(Datos_Origen!$B$2:$B$2459,$Z715)</f>
        <v>04/08/2024</v>
      </c>
      <c r="AC715" s="61" t="n">
        <f aca="false">INDEX(Datos_Origen!$H$2:$H$2459,$Z715)</f>
        <v>19</v>
      </c>
      <c r="AD715" s="61" t="str">
        <f aca="false">INDEX(Datos_Origen!$D$2:$D$2459,$Z715)&amp;""</f>
        <v>Buenos Aires</v>
      </c>
    </row>
    <row r="716" customFormat="false" ht="15" hidden="false" customHeight="false" outlineLevel="0" collapsed="false">
      <c r="A716" s="61" t="n">
        <f aca="false">INDEX(Datos_Origen!$A$2:$A$2459,$Z716)</f>
        <v>715</v>
      </c>
      <c r="B716" s="62" t="n">
        <f aca="false">IF(ISNUMBER($AB716),$AB716,IF(MID($AB716,5,1)="-",DATE(VALUE(LEFT($AB716,4)),VALUE(MID($AB716,6,2)),VALUE(RIGHT($AB716,2))),DATE(VALUE(RIGHT($AB716,4)),VALUE(MID($AB716,4,2)),VALUE(LEFT($AB716,2)))))</f>
        <v>45515</v>
      </c>
      <c r="C716" s="61" t="n">
        <f aca="false">YEAR($B716)</f>
        <v>2024</v>
      </c>
      <c r="D716" s="61" t="str">
        <f aca="false">"Q"&amp;ROUNDUP(MONTH($B716)/3,0)</f>
        <v>Q3</v>
      </c>
      <c r="E716" s="61" t="n">
        <f aca="false">MONTH($B716)</f>
        <v>8</v>
      </c>
      <c r="F716" s="61" t="str">
        <f aca="false">INDEX(Parametros!$I$5:$I$16,$E716)</f>
        <v>Ago</v>
      </c>
      <c r="G716" s="61" t="str">
        <f aca="false">TEXT($C716,"0000")&amp;"-"&amp;TEXT($E716,"00")</f>
        <v>2024-08</v>
      </c>
      <c r="H716" s="61" t="str">
        <f aca="false">INDEX(Parametros!$C$71:$C$91,MATCH(TRIM(INDEX(Datos_Origen!$C$2:$C$2459,$Z716)),Parametros!$B$71:$B$91,0))</f>
        <v>AMBA</v>
      </c>
      <c r="I716" s="61" t="str">
        <f aca="false">IF(TRIM($AD716)="",INDEX(Parametros!$I$20:$I$24,MATCH($H716,Parametros!$H$20:$H$24,0)),TRIM($AD716))</f>
        <v>Buenos Aires</v>
      </c>
      <c r="J716" s="61" t="str">
        <f aca="false">INDEX(Parametros!$C$95:$C$106,MATCH(TRIM(INDEX(Datos_Origen!$E$2:$E$2459,$Z716)),Parametros!$B$95:$B$106,0))</f>
        <v>Tienda fisica</v>
      </c>
      <c r="K716" s="61" t="str">
        <f aca="false">INDEX(Parametros!$C$48:$C$67,MATCH(TRIM(INDEX(Datos_Origen!$F$2:$F$2459,$Z716)),Parametros!$B$48:$B$67,0))</f>
        <v>Audio</v>
      </c>
      <c r="L716" s="61" t="str">
        <f aca="false">$K716&amp;" "&amp;$C716</f>
        <v>Audio 2024</v>
      </c>
      <c r="M716" s="61" t="str">
        <f aca="false">TRIM(INDEX(Datos_Origen!$G$2:$G$2459,$Z716))</f>
        <v>Parlante Bluetooth</v>
      </c>
      <c r="N716" s="61" t="str">
        <f aca="false">$M716&amp;" "&amp;$C716</f>
        <v>Parlante Bluetooth 2024</v>
      </c>
      <c r="O716" s="63" t="n">
        <f aca="false">IF(ISTEXT($AC716),VALUE($AC716),$AC716)</f>
        <v>37</v>
      </c>
      <c r="P716" s="64" t="n">
        <f aca="false">INDEX(Datos_Origen!$I$2:$I$2459,$Z716)</f>
        <v>83.3</v>
      </c>
      <c r="Q716" s="64" t="n">
        <f aca="false">INDEX(Datos_Origen!$J$2:$J$2459,$Z716)</f>
        <v>48.03</v>
      </c>
      <c r="R716" s="65" t="n">
        <f aca="false">ROUND($O716*$P716,2)</f>
        <v>3082.1</v>
      </c>
      <c r="S716" s="65" t="n">
        <f aca="false">ROUND($O716*$Q716,2)</f>
        <v>1777.11</v>
      </c>
      <c r="T716" s="65" t="n">
        <f aca="false">ROUND($R716*SUMIFS(Parametros!$E$28:$E$43,Parametros!$B$28:$B$43,$J716,Parametros!$C$28:$C$43,$C716,Parametros!$D$28:$D$43,$D716),2)</f>
        <v>40.07</v>
      </c>
      <c r="U716" s="65" t="n">
        <f aca="false">$R716-$S716-$T716</f>
        <v>1264.92</v>
      </c>
      <c r="V716" s="66" t="n">
        <f aca="false">IFERROR($U716/$R716,0)</f>
        <v>0.410408487719412</v>
      </c>
      <c r="W716" s="67" t="str">
        <f aca="false">IF(AND($V716&gt;=Parametros!$C$8,$R716&gt;=Parametros!$C$12),"Alta rentabilidad",IF(OR($V716&lt;Parametros!$C$11,$R716&lt;Parametros!$C$13),"Revisar","Estandar"))</f>
        <v>Alta rentabilidad</v>
      </c>
      <c r="X716" s="67" t="str">
        <f aca="false">IF(AND($J716="E-commerce",IFERROR($T716/$R716,0)&gt;Parametros!$C$14),"Alerta","OK")</f>
        <v>OK</v>
      </c>
      <c r="Y716" s="61" t="str">
        <f aca="false">IF($R716&gt;=Parametros!$C$12,"Alto",IF($R716&lt;Parametros!$C$13,"Bajo","Medio"))</f>
        <v>Alto</v>
      </c>
      <c r="Z716" s="61" t="n">
        <v>757</v>
      </c>
      <c r="AA716" s="61" t="str">
        <f aca="false">IF(MATCH($A716,Datos_Origen!$A$2:$A$2459,0)=$Z716,"OK","REVISAR")</f>
        <v>OK</v>
      </c>
      <c r="AB716" s="61" t="str">
        <f aca="false">INDEX(Datos_Origen!$B$2:$B$2459,$Z716)</f>
        <v>11/08/2024</v>
      </c>
      <c r="AC716" s="61" t="n">
        <f aca="false">INDEX(Datos_Origen!$H$2:$H$2459,$Z716)</f>
        <v>37</v>
      </c>
      <c r="AD716" s="61" t="str">
        <f aca="false">INDEX(Datos_Origen!$D$2:$D$2459,$Z716)&amp;""</f>
        <v>Buenos Aires</v>
      </c>
    </row>
    <row r="717" customFormat="false" ht="15" hidden="false" customHeight="false" outlineLevel="0" collapsed="false">
      <c r="A717" s="61" t="n">
        <f aca="false">INDEX(Datos_Origen!$A$2:$A$2459,$Z717)</f>
        <v>716</v>
      </c>
      <c r="B717" s="62" t="n">
        <f aca="false">IF(ISNUMBER($AB717),$AB717,IF(MID($AB717,5,1)="-",DATE(VALUE(LEFT($AB717,4)),VALUE(MID($AB717,6,2)),VALUE(RIGHT($AB717,2))),DATE(VALUE(RIGHT($AB717,4)),VALUE(MID($AB717,4,2)),VALUE(LEFT($AB717,2)))))</f>
        <v>45522</v>
      </c>
      <c r="C717" s="61" t="n">
        <f aca="false">YEAR($B717)</f>
        <v>2024</v>
      </c>
      <c r="D717" s="61" t="str">
        <f aca="false">"Q"&amp;ROUNDUP(MONTH($B717)/3,0)</f>
        <v>Q3</v>
      </c>
      <c r="E717" s="61" t="n">
        <f aca="false">MONTH($B717)</f>
        <v>8</v>
      </c>
      <c r="F717" s="61" t="str">
        <f aca="false">INDEX(Parametros!$I$5:$I$16,$E717)</f>
        <v>Ago</v>
      </c>
      <c r="G717" s="61" t="str">
        <f aca="false">TEXT($C717,"0000")&amp;"-"&amp;TEXT($E717,"00")</f>
        <v>2024-08</v>
      </c>
      <c r="H717" s="61" t="str">
        <f aca="false">INDEX(Parametros!$C$71:$C$91,MATCH(TRIM(INDEX(Datos_Origen!$C$2:$C$2459,$Z717)),Parametros!$B$71:$B$91,0))</f>
        <v>AMBA</v>
      </c>
      <c r="I717" s="61" t="str">
        <f aca="false">IF(TRIM($AD717)="",INDEX(Parametros!$I$20:$I$24,MATCH($H717,Parametros!$H$20:$H$24,0)),TRIM($AD717))</f>
        <v>Buenos Aires</v>
      </c>
      <c r="J717" s="61" t="str">
        <f aca="false">INDEX(Parametros!$C$95:$C$106,MATCH(TRIM(INDEX(Datos_Origen!$E$2:$E$2459,$Z717)),Parametros!$B$95:$B$106,0))</f>
        <v>E-commerce</v>
      </c>
      <c r="K717" s="61" t="str">
        <f aca="false">INDEX(Parametros!$C$48:$C$67,MATCH(TRIM(INDEX(Datos_Origen!$F$2:$F$2459,$Z717)),Parametros!$B$48:$B$67,0))</f>
        <v>Audio</v>
      </c>
      <c r="L717" s="61" t="str">
        <f aca="false">$K717&amp;" "&amp;$C717</f>
        <v>Audio 2024</v>
      </c>
      <c r="M717" s="61" t="str">
        <f aca="false">TRIM(INDEX(Datos_Origen!$G$2:$G$2459,$Z717))</f>
        <v>Parlante Bluetooth</v>
      </c>
      <c r="N717" s="61" t="str">
        <f aca="false">$M717&amp;" "&amp;$C717</f>
        <v>Parlante Bluetooth 2024</v>
      </c>
      <c r="O717" s="63" t="n">
        <f aca="false">IF(ISTEXT($AC717),VALUE($AC717),$AC717)</f>
        <v>17</v>
      </c>
      <c r="P717" s="64" t="n">
        <f aca="false">INDEX(Datos_Origen!$I$2:$I$2459,$Z717)</f>
        <v>83.3</v>
      </c>
      <c r="Q717" s="64" t="n">
        <f aca="false">INDEX(Datos_Origen!$J$2:$J$2459,$Z717)</f>
        <v>48.03</v>
      </c>
      <c r="R717" s="65" t="n">
        <f aca="false">ROUND($O717*$P717,2)</f>
        <v>1416.1</v>
      </c>
      <c r="S717" s="65" t="n">
        <f aca="false">ROUND($O717*$Q717,2)</f>
        <v>816.51</v>
      </c>
      <c r="T717" s="65" t="n">
        <f aca="false">ROUND($R717*SUMIFS(Parametros!$E$28:$E$43,Parametros!$B$28:$B$43,$J717,Parametros!$C$28:$C$43,$C717,Parametros!$D$28:$D$43,$D717),2)</f>
        <v>65.14</v>
      </c>
      <c r="U717" s="65" t="n">
        <f aca="false">$R717-$S717-$T717</f>
        <v>534.45</v>
      </c>
      <c r="V717" s="66" t="n">
        <f aca="false">IFERROR($U717/$R717,0)</f>
        <v>0.37740978744439</v>
      </c>
      <c r="W717" s="67" t="str">
        <f aca="false">IF(AND($V717&gt;=Parametros!$C$8,$R717&gt;=Parametros!$C$12),"Alta rentabilidad",IF(OR($V717&lt;Parametros!$C$11,$R717&lt;Parametros!$C$13),"Revisar","Estandar"))</f>
        <v>Estandar</v>
      </c>
      <c r="X717" s="67" t="str">
        <f aca="false">IF(AND($J717="E-commerce",IFERROR($T717/$R717,0)&gt;Parametros!$C$14),"Alerta","OK")</f>
        <v>OK</v>
      </c>
      <c r="Y717" s="61" t="str">
        <f aca="false">IF($R717&gt;=Parametros!$C$12,"Alto",IF($R717&lt;Parametros!$C$13,"Bajo","Medio"))</f>
        <v>Medio</v>
      </c>
      <c r="Z717" s="61" t="n">
        <v>1570</v>
      </c>
      <c r="AA717" s="61" t="str">
        <f aca="false">IF(MATCH($A717,Datos_Origen!$A$2:$A$2459,0)=$Z717,"OK","REVISAR")</f>
        <v>OK</v>
      </c>
      <c r="AB717" s="62" t="n">
        <f aca="false">INDEX(Datos_Origen!$B$2:$B$2459,$Z717)</f>
        <v>45522</v>
      </c>
      <c r="AC717" s="61" t="n">
        <f aca="false">INDEX(Datos_Origen!$H$2:$H$2459,$Z717)</f>
        <v>17</v>
      </c>
      <c r="AD717" s="61" t="str">
        <f aca="false">INDEX(Datos_Origen!$D$2:$D$2459,$Z717)&amp;""</f>
        <v>Buenos Aires</v>
      </c>
    </row>
    <row r="718" customFormat="false" ht="15" hidden="false" customHeight="false" outlineLevel="0" collapsed="false">
      <c r="A718" s="61" t="n">
        <f aca="false">INDEX(Datos_Origen!$A$2:$A$2459,$Z718)</f>
        <v>717</v>
      </c>
      <c r="B718" s="62" t="n">
        <f aca="false">IF(ISNUMBER($AB718),$AB718,IF(MID($AB718,5,1)="-",DATE(VALUE(LEFT($AB718,4)),VALUE(MID($AB718,6,2)),VALUE(RIGHT($AB718,2))),DATE(VALUE(RIGHT($AB718,4)),VALUE(MID($AB718,4,2)),VALUE(LEFT($AB718,2)))))</f>
        <v>45529</v>
      </c>
      <c r="C718" s="61" t="n">
        <f aca="false">YEAR($B718)</f>
        <v>2024</v>
      </c>
      <c r="D718" s="61" t="str">
        <f aca="false">"Q"&amp;ROUNDUP(MONTH($B718)/3,0)</f>
        <v>Q3</v>
      </c>
      <c r="E718" s="61" t="n">
        <f aca="false">MONTH($B718)</f>
        <v>8</v>
      </c>
      <c r="F718" s="61" t="str">
        <f aca="false">INDEX(Parametros!$I$5:$I$16,$E718)</f>
        <v>Ago</v>
      </c>
      <c r="G718" s="61" t="str">
        <f aca="false">TEXT($C718,"0000")&amp;"-"&amp;TEXT($E718,"00")</f>
        <v>2024-08</v>
      </c>
      <c r="H718" s="61" t="str">
        <f aca="false">INDEX(Parametros!$C$71:$C$91,MATCH(TRIM(INDEX(Datos_Origen!$C$2:$C$2459,$Z718)),Parametros!$B$71:$B$91,0))</f>
        <v>AMBA</v>
      </c>
      <c r="I718" s="61" t="str">
        <f aca="false">IF(TRIM($AD718)="",INDEX(Parametros!$I$20:$I$24,MATCH($H718,Parametros!$H$20:$H$24,0)),TRIM($AD718))</f>
        <v>Buenos Aires</v>
      </c>
      <c r="J718" s="61" t="str">
        <f aca="false">INDEX(Parametros!$C$95:$C$106,MATCH(TRIM(INDEX(Datos_Origen!$E$2:$E$2459,$Z718)),Parametros!$B$95:$B$106,0))</f>
        <v>Tienda fisica</v>
      </c>
      <c r="K718" s="61" t="str">
        <f aca="false">INDEX(Parametros!$C$48:$C$67,MATCH(TRIM(INDEX(Datos_Origen!$F$2:$F$2459,$Z718)),Parametros!$B$48:$B$67,0))</f>
        <v>Almacenamiento</v>
      </c>
      <c r="L718" s="61" t="str">
        <f aca="false">$K718&amp;" "&amp;$C718</f>
        <v>Almacenamiento 2024</v>
      </c>
      <c r="M718" s="61" t="str">
        <f aca="false">TRIM(INDEX(Datos_Origen!$G$2:$G$2459,$Z718))</f>
        <v>SSD Externo 1TB</v>
      </c>
      <c r="N718" s="61" t="str">
        <f aca="false">$M718&amp;" "&amp;$C718</f>
        <v>SSD Externo 1TB 2024</v>
      </c>
      <c r="O718" s="63" t="n">
        <f aca="false">IF(ISTEXT($AC718),VALUE($AC718),$AC718)</f>
        <v>50</v>
      </c>
      <c r="P718" s="64" t="n">
        <f aca="false">INDEX(Datos_Origen!$I$2:$I$2459,$Z718)</f>
        <v>127.4</v>
      </c>
      <c r="Q718" s="64" t="n">
        <f aca="false">INDEX(Datos_Origen!$J$2:$J$2459,$Z718)</f>
        <v>76.05</v>
      </c>
      <c r="R718" s="65" t="n">
        <f aca="false">ROUND($O718*$P718,2)</f>
        <v>6370</v>
      </c>
      <c r="S718" s="65" t="n">
        <f aca="false">ROUND($O718*$Q718,2)</f>
        <v>3802.5</v>
      </c>
      <c r="T718" s="65" t="n">
        <f aca="false">ROUND($R718*SUMIFS(Parametros!$E$28:$E$43,Parametros!$B$28:$B$43,$J718,Parametros!$C$28:$C$43,$C718,Parametros!$D$28:$D$43,$D718),2)</f>
        <v>82.81</v>
      </c>
      <c r="U718" s="65" t="n">
        <f aca="false">$R718-$S718-$T718</f>
        <v>2484.69</v>
      </c>
      <c r="V718" s="66" t="n">
        <f aca="false">IFERROR($U718/$R718,0)</f>
        <v>0.390061224489796</v>
      </c>
      <c r="W718" s="67" t="str">
        <f aca="false">IF(AND($V718&gt;=Parametros!$C$8,$R718&gt;=Parametros!$C$12),"Alta rentabilidad",IF(OR($V718&lt;Parametros!$C$11,$R718&lt;Parametros!$C$13),"Revisar","Estandar"))</f>
        <v>Alta rentabilidad</v>
      </c>
      <c r="X718" s="67" t="str">
        <f aca="false">IF(AND($J718="E-commerce",IFERROR($T718/$R718,0)&gt;Parametros!$C$14),"Alerta","OK")</f>
        <v>OK</v>
      </c>
      <c r="Y718" s="61" t="str">
        <f aca="false">IF($R718&gt;=Parametros!$C$12,"Alto",IF($R718&lt;Parametros!$C$13,"Bajo","Medio"))</f>
        <v>Alto</v>
      </c>
      <c r="Z718" s="61" t="n">
        <v>278</v>
      </c>
      <c r="AA718" s="61" t="str">
        <f aca="false">IF(MATCH($A718,Datos_Origen!$A$2:$A$2459,0)=$Z718,"OK","REVISAR")</f>
        <v>OK</v>
      </c>
      <c r="AB718" s="62" t="n">
        <f aca="false">INDEX(Datos_Origen!$B$2:$B$2459,$Z718)</f>
        <v>45529</v>
      </c>
      <c r="AC718" s="61" t="n">
        <f aca="false">INDEX(Datos_Origen!$H$2:$H$2459,$Z718)</f>
        <v>50</v>
      </c>
      <c r="AD718" s="61" t="str">
        <f aca="false">INDEX(Datos_Origen!$D$2:$D$2459,$Z718)&amp;""</f>
        <v>Buenos Aires</v>
      </c>
    </row>
    <row r="719" customFormat="false" ht="15" hidden="false" customHeight="false" outlineLevel="0" collapsed="false">
      <c r="A719" s="61" t="n">
        <f aca="false">INDEX(Datos_Origen!$A$2:$A$2459,$Z719)</f>
        <v>718</v>
      </c>
      <c r="B719" s="62" t="n">
        <f aca="false">IF(ISNUMBER($AB719),$AB719,IF(MID($AB719,5,1)="-",DATE(VALUE(LEFT($AB719,4)),VALUE(MID($AB719,6,2)),VALUE(RIGHT($AB719,2))),DATE(VALUE(RIGHT($AB719,4)),VALUE(MID($AB719,4,2)),VALUE(LEFT($AB719,2)))))</f>
        <v>45509</v>
      </c>
      <c r="C719" s="61" t="n">
        <f aca="false">YEAR($B719)</f>
        <v>2024</v>
      </c>
      <c r="D719" s="61" t="str">
        <f aca="false">"Q"&amp;ROUNDUP(MONTH($B719)/3,0)</f>
        <v>Q3</v>
      </c>
      <c r="E719" s="61" t="n">
        <f aca="false">MONTH($B719)</f>
        <v>8</v>
      </c>
      <c r="F719" s="61" t="str">
        <f aca="false">INDEX(Parametros!$I$5:$I$16,$E719)</f>
        <v>Ago</v>
      </c>
      <c r="G719" s="61" t="str">
        <f aca="false">TEXT($C719,"0000")&amp;"-"&amp;TEXT($E719,"00")</f>
        <v>2024-08</v>
      </c>
      <c r="H719" s="61" t="str">
        <f aca="false">INDEX(Parametros!$C$71:$C$91,MATCH(TRIM(INDEX(Datos_Origen!$C$2:$C$2459,$Z719)),Parametros!$B$71:$B$91,0))</f>
        <v>AMBA</v>
      </c>
      <c r="I719" s="61" t="str">
        <f aca="false">IF(TRIM($AD719)="",INDEX(Parametros!$I$20:$I$24,MATCH($H719,Parametros!$H$20:$H$24,0)),TRIM($AD719))</f>
        <v>Buenos Aires</v>
      </c>
      <c r="J719" s="61" t="str">
        <f aca="false">INDEX(Parametros!$C$95:$C$106,MATCH(TRIM(INDEX(Datos_Origen!$E$2:$E$2459,$Z719)),Parametros!$B$95:$B$106,0))</f>
        <v>E-commerce</v>
      </c>
      <c r="K719" s="61" t="str">
        <f aca="false">INDEX(Parametros!$C$48:$C$67,MATCH(TRIM(INDEX(Datos_Origen!$F$2:$F$2459,$Z719)),Parametros!$B$48:$B$67,0))</f>
        <v>Almacenamiento</v>
      </c>
      <c r="L719" s="61" t="str">
        <f aca="false">$K719&amp;" "&amp;$C719</f>
        <v>Almacenamiento 2024</v>
      </c>
      <c r="M719" s="61" t="str">
        <f aca="false">TRIM(INDEX(Datos_Origen!$G$2:$G$2459,$Z719))</f>
        <v>SSD Externo 1TB</v>
      </c>
      <c r="N719" s="61" t="str">
        <f aca="false">$M719&amp;" "&amp;$C719</f>
        <v>SSD Externo 1TB 2024</v>
      </c>
      <c r="O719" s="63" t="n">
        <f aca="false">IF(ISTEXT($AC719),VALUE($AC719),$AC719)</f>
        <v>19</v>
      </c>
      <c r="P719" s="64" t="n">
        <f aca="false">INDEX(Datos_Origen!$I$2:$I$2459,$Z719)</f>
        <v>127.4</v>
      </c>
      <c r="Q719" s="64" t="n">
        <f aca="false">INDEX(Datos_Origen!$J$2:$J$2459,$Z719)</f>
        <v>76.05</v>
      </c>
      <c r="R719" s="65" t="n">
        <f aca="false">ROUND($O719*$P719,2)</f>
        <v>2420.6</v>
      </c>
      <c r="S719" s="65" t="n">
        <f aca="false">ROUND($O719*$Q719,2)</f>
        <v>1444.95</v>
      </c>
      <c r="T719" s="65" t="n">
        <f aca="false">ROUND($R719*SUMIFS(Parametros!$E$28:$E$43,Parametros!$B$28:$B$43,$J719,Parametros!$C$28:$C$43,$C719,Parametros!$D$28:$D$43,$D719),2)</f>
        <v>111.35</v>
      </c>
      <c r="U719" s="65" t="n">
        <f aca="false">$R719-$S719-$T719</f>
        <v>864.3</v>
      </c>
      <c r="V719" s="66" t="n">
        <f aca="false">IFERROR($U719/$R719,0)</f>
        <v>0.357060233000083</v>
      </c>
      <c r="W719" s="67" t="str">
        <f aca="false">IF(AND($V719&gt;=Parametros!$C$8,$R719&gt;=Parametros!$C$12),"Alta rentabilidad",IF(OR($V719&lt;Parametros!$C$11,$R719&lt;Parametros!$C$13),"Revisar","Estandar"))</f>
        <v>Estandar</v>
      </c>
      <c r="X719" s="67" t="str">
        <f aca="false">IF(AND($J719="E-commerce",IFERROR($T719/$R719,0)&gt;Parametros!$C$14),"Alerta","OK")</f>
        <v>OK</v>
      </c>
      <c r="Y719" s="61" t="str">
        <f aca="false">IF($R719&gt;=Parametros!$C$12,"Alto",IF($R719&lt;Parametros!$C$13,"Bajo","Medio"))</f>
        <v>Medio</v>
      </c>
      <c r="Z719" s="61" t="n">
        <v>844</v>
      </c>
      <c r="AA719" s="61" t="str">
        <f aca="false">IF(MATCH($A719,Datos_Origen!$A$2:$A$2459,0)=$Z719,"OK","REVISAR")</f>
        <v>OK</v>
      </c>
      <c r="AB719" s="62" t="n">
        <f aca="false">INDEX(Datos_Origen!$B$2:$B$2459,$Z719)</f>
        <v>45509</v>
      </c>
      <c r="AC719" s="61" t="str">
        <f aca="false">INDEX(Datos_Origen!$H$2:$H$2459,$Z719)</f>
        <v>19</v>
      </c>
      <c r="AD719" s="61" t="str">
        <f aca="false">INDEX(Datos_Origen!$D$2:$D$2459,$Z719)&amp;""</f>
        <v>Buenos Aires</v>
      </c>
    </row>
    <row r="720" customFormat="false" ht="15" hidden="false" customHeight="false" outlineLevel="0" collapsed="false">
      <c r="A720" s="61" t="n">
        <f aca="false">INDEX(Datos_Origen!$A$2:$A$2459,$Z720)</f>
        <v>719</v>
      </c>
      <c r="B720" s="62" t="n">
        <f aca="false">IF(ISNUMBER($AB720),$AB720,IF(MID($AB720,5,1)="-",DATE(VALUE(LEFT($AB720,4)),VALUE(MID($AB720,6,2)),VALUE(RIGHT($AB720,2))),DATE(VALUE(RIGHT($AB720,4)),VALUE(MID($AB720,4,2)),VALUE(LEFT($AB720,2)))))</f>
        <v>45516</v>
      </c>
      <c r="C720" s="61" t="n">
        <f aca="false">YEAR($B720)</f>
        <v>2024</v>
      </c>
      <c r="D720" s="61" t="str">
        <f aca="false">"Q"&amp;ROUNDUP(MONTH($B720)/3,0)</f>
        <v>Q3</v>
      </c>
      <c r="E720" s="61" t="n">
        <f aca="false">MONTH($B720)</f>
        <v>8</v>
      </c>
      <c r="F720" s="61" t="str">
        <f aca="false">INDEX(Parametros!$I$5:$I$16,$E720)</f>
        <v>Ago</v>
      </c>
      <c r="G720" s="61" t="str">
        <f aca="false">TEXT($C720,"0000")&amp;"-"&amp;TEXT($E720,"00")</f>
        <v>2024-08</v>
      </c>
      <c r="H720" s="61" t="str">
        <f aca="false">INDEX(Parametros!$C$71:$C$91,MATCH(TRIM(INDEX(Datos_Origen!$C$2:$C$2459,$Z720)),Parametros!$B$71:$B$91,0))</f>
        <v>AMBA</v>
      </c>
      <c r="I720" s="61" t="str">
        <f aca="false">IF(TRIM($AD720)="",INDEX(Parametros!$I$20:$I$24,MATCH($H720,Parametros!$H$20:$H$24,0)),TRIM($AD720))</f>
        <v>Buenos Aires</v>
      </c>
      <c r="J720" s="61" t="str">
        <f aca="false">INDEX(Parametros!$C$95:$C$106,MATCH(TRIM(INDEX(Datos_Origen!$E$2:$E$2459,$Z720)),Parametros!$B$95:$B$106,0))</f>
        <v>Tienda fisica</v>
      </c>
      <c r="K720" s="61" t="str">
        <f aca="false">INDEX(Parametros!$C$48:$C$67,MATCH(TRIM(INDEX(Datos_Origen!$F$2:$F$2459,$Z720)),Parametros!$B$48:$B$67,0))</f>
        <v>Almacenamiento</v>
      </c>
      <c r="L720" s="61" t="str">
        <f aca="false">$K720&amp;" "&amp;$C720</f>
        <v>Almacenamiento 2024</v>
      </c>
      <c r="M720" s="61" t="str">
        <f aca="false">TRIM(INDEX(Datos_Origen!$G$2:$G$2459,$Z720))</f>
        <v>Pendrive 256GB</v>
      </c>
      <c r="N720" s="61" t="str">
        <f aca="false">$M720&amp;" "&amp;$C720</f>
        <v>Pendrive 256GB 2024</v>
      </c>
      <c r="O720" s="63" t="n">
        <f aca="false">IF(ISTEXT($AC720),VALUE($AC720),$AC720)</f>
        <v>61</v>
      </c>
      <c r="P720" s="64" t="n">
        <f aca="false">INDEX(Datos_Origen!$I$2:$I$2459,$Z720)</f>
        <v>34.3</v>
      </c>
      <c r="Q720" s="64" t="n">
        <f aca="false">INDEX(Datos_Origen!$J$2:$J$2459,$Z720)</f>
        <v>17.85</v>
      </c>
      <c r="R720" s="65" t="n">
        <f aca="false">ROUND($O720*$P720,2)</f>
        <v>2092.3</v>
      </c>
      <c r="S720" s="65" t="n">
        <f aca="false">ROUND($O720*$Q720,2)</f>
        <v>1088.85</v>
      </c>
      <c r="T720" s="65" t="n">
        <f aca="false">ROUND($R720*SUMIFS(Parametros!$E$28:$E$43,Parametros!$B$28:$B$43,$J720,Parametros!$C$28:$C$43,$C720,Parametros!$D$28:$D$43,$D720),2)</f>
        <v>27.2</v>
      </c>
      <c r="U720" s="65" t="n">
        <f aca="false">$R720-$S720-$T720</f>
        <v>976.25</v>
      </c>
      <c r="V720" s="66" t="n">
        <f aca="false">IFERROR($U720/$R720,0)</f>
        <v>0.466591788940401</v>
      </c>
      <c r="W720" s="67" t="str">
        <f aca="false">IF(AND($V720&gt;=Parametros!$C$8,$R720&gt;=Parametros!$C$12),"Alta rentabilidad",IF(OR($V720&lt;Parametros!$C$11,$R720&lt;Parametros!$C$13),"Revisar","Estandar"))</f>
        <v>Estandar</v>
      </c>
      <c r="X720" s="67" t="str">
        <f aca="false">IF(AND($J720="E-commerce",IFERROR($T720/$R720,0)&gt;Parametros!$C$14),"Alerta","OK")</f>
        <v>OK</v>
      </c>
      <c r="Y720" s="61" t="str">
        <f aca="false">IF($R720&gt;=Parametros!$C$12,"Alto",IF($R720&lt;Parametros!$C$13,"Bajo","Medio"))</f>
        <v>Medio</v>
      </c>
      <c r="Z720" s="61" t="n">
        <v>2220</v>
      </c>
      <c r="AA720" s="61" t="str">
        <f aca="false">IF(MATCH($A720,Datos_Origen!$A$2:$A$2459,0)=$Z720,"OK","REVISAR")</f>
        <v>OK</v>
      </c>
      <c r="AB720" s="61" t="str">
        <f aca="false">INDEX(Datos_Origen!$B$2:$B$2459,$Z720)</f>
        <v>2024-08-12</v>
      </c>
      <c r="AC720" s="61" t="n">
        <f aca="false">INDEX(Datos_Origen!$H$2:$H$2459,$Z720)</f>
        <v>61</v>
      </c>
      <c r="AD720" s="61" t="str">
        <f aca="false">INDEX(Datos_Origen!$D$2:$D$2459,$Z720)&amp;""</f>
        <v>Buenos Aires</v>
      </c>
    </row>
    <row r="721" customFormat="false" ht="15" hidden="false" customHeight="false" outlineLevel="0" collapsed="false">
      <c r="A721" s="61" t="n">
        <f aca="false">INDEX(Datos_Origen!$A$2:$A$2459,$Z721)</f>
        <v>720</v>
      </c>
      <c r="B721" s="62" t="n">
        <f aca="false">IF(ISNUMBER($AB721),$AB721,IF(MID($AB721,5,1)="-",DATE(VALUE(LEFT($AB721,4)),VALUE(MID($AB721,6,2)),VALUE(RIGHT($AB721,2))),DATE(VALUE(RIGHT($AB721,4)),VALUE(MID($AB721,4,2)),VALUE(LEFT($AB721,2)))))</f>
        <v>45523</v>
      </c>
      <c r="C721" s="61" t="n">
        <f aca="false">YEAR($B721)</f>
        <v>2024</v>
      </c>
      <c r="D721" s="61" t="str">
        <f aca="false">"Q"&amp;ROUNDUP(MONTH($B721)/3,0)</f>
        <v>Q3</v>
      </c>
      <c r="E721" s="61" t="n">
        <f aca="false">MONTH($B721)</f>
        <v>8</v>
      </c>
      <c r="F721" s="61" t="str">
        <f aca="false">INDEX(Parametros!$I$5:$I$16,$E721)</f>
        <v>Ago</v>
      </c>
      <c r="G721" s="61" t="str">
        <f aca="false">TEXT($C721,"0000")&amp;"-"&amp;TEXT($E721,"00")</f>
        <v>2024-08</v>
      </c>
      <c r="H721" s="61" t="str">
        <f aca="false">INDEX(Parametros!$C$71:$C$91,MATCH(TRIM(INDEX(Datos_Origen!$C$2:$C$2459,$Z721)),Parametros!$B$71:$B$91,0))</f>
        <v>AMBA</v>
      </c>
      <c r="I721" s="61" t="str">
        <f aca="false">IF(TRIM($AD721)="",INDEX(Parametros!$I$20:$I$24,MATCH($H721,Parametros!$H$20:$H$24,0)),TRIM($AD721))</f>
        <v>Buenos Aires</v>
      </c>
      <c r="J721" s="61" t="str">
        <f aca="false">INDEX(Parametros!$C$95:$C$106,MATCH(TRIM(INDEX(Datos_Origen!$E$2:$E$2459,$Z721)),Parametros!$B$95:$B$106,0))</f>
        <v>E-commerce</v>
      </c>
      <c r="K721" s="61" t="str">
        <f aca="false">INDEX(Parametros!$C$48:$C$67,MATCH(TRIM(INDEX(Datos_Origen!$F$2:$F$2459,$Z721)),Parametros!$B$48:$B$67,0))</f>
        <v>Almacenamiento</v>
      </c>
      <c r="L721" s="61" t="str">
        <f aca="false">$K721&amp;" "&amp;$C721</f>
        <v>Almacenamiento 2024</v>
      </c>
      <c r="M721" s="61" t="str">
        <f aca="false">TRIM(INDEX(Datos_Origen!$G$2:$G$2459,$Z721))</f>
        <v>Pendrive 256GB</v>
      </c>
      <c r="N721" s="61" t="str">
        <f aca="false">$M721&amp;" "&amp;$C721</f>
        <v>Pendrive 256GB 2024</v>
      </c>
      <c r="O721" s="63" t="n">
        <f aca="false">IF(ISTEXT($AC721),VALUE($AC721),$AC721)</f>
        <v>25</v>
      </c>
      <c r="P721" s="64" t="n">
        <f aca="false">INDEX(Datos_Origen!$I$2:$I$2459,$Z721)</f>
        <v>34.3</v>
      </c>
      <c r="Q721" s="64" t="n">
        <f aca="false">INDEX(Datos_Origen!$J$2:$J$2459,$Z721)</f>
        <v>17.85</v>
      </c>
      <c r="R721" s="65" t="n">
        <f aca="false">ROUND($O721*$P721,2)</f>
        <v>857.5</v>
      </c>
      <c r="S721" s="65" t="n">
        <f aca="false">ROUND($O721*$Q721,2)</f>
        <v>446.25</v>
      </c>
      <c r="T721" s="65" t="n">
        <f aca="false">ROUND($R721*SUMIFS(Parametros!$E$28:$E$43,Parametros!$B$28:$B$43,$J721,Parametros!$C$28:$C$43,$C721,Parametros!$D$28:$D$43,$D721),2)</f>
        <v>39.45</v>
      </c>
      <c r="U721" s="65" t="n">
        <f aca="false">$R721-$S721-$T721</f>
        <v>371.8</v>
      </c>
      <c r="V721" s="66" t="n">
        <f aca="false">IFERROR($U721/$R721,0)</f>
        <v>0.433586005830904</v>
      </c>
      <c r="W721" s="67" t="str">
        <f aca="false">IF(AND($V721&gt;=Parametros!$C$8,$R721&gt;=Parametros!$C$12),"Alta rentabilidad",IF(OR($V721&lt;Parametros!$C$11,$R721&lt;Parametros!$C$13),"Revisar","Estandar"))</f>
        <v>Estandar</v>
      </c>
      <c r="X721" s="67" t="str">
        <f aca="false">IF(AND($J721="E-commerce",IFERROR($T721/$R721,0)&gt;Parametros!$C$14),"Alerta","OK")</f>
        <v>OK</v>
      </c>
      <c r="Y721" s="61" t="str">
        <f aca="false">IF($R721&gt;=Parametros!$C$12,"Alto",IF($R721&lt;Parametros!$C$13,"Bajo","Medio"))</f>
        <v>Medio</v>
      </c>
      <c r="Z721" s="61" t="n">
        <v>2245</v>
      </c>
      <c r="AA721" s="61" t="str">
        <f aca="false">IF(MATCH($A721,Datos_Origen!$A$2:$A$2459,0)=$Z721,"OK","REVISAR")</f>
        <v>OK</v>
      </c>
      <c r="AB721" s="61" t="str">
        <f aca="false">INDEX(Datos_Origen!$B$2:$B$2459,$Z721)</f>
        <v>19/08/2024</v>
      </c>
      <c r="AC721" s="61" t="n">
        <f aca="false">INDEX(Datos_Origen!$H$2:$H$2459,$Z721)</f>
        <v>25</v>
      </c>
      <c r="AD721" s="61" t="str">
        <f aca="false">INDEX(Datos_Origen!$D$2:$D$2459,$Z721)&amp;""</f>
        <v>Buenos Aires</v>
      </c>
    </row>
    <row r="722" customFormat="false" ht="15" hidden="false" customHeight="false" outlineLevel="0" collapsed="false">
      <c r="A722" s="61" t="n">
        <f aca="false">INDEX(Datos_Origen!$A$2:$A$2459,$Z722)</f>
        <v>721</v>
      </c>
      <c r="B722" s="62" t="n">
        <f aca="false">IF(ISNUMBER($AB722),$AB722,IF(MID($AB722,5,1)="-",DATE(VALUE(LEFT($AB722,4)),VALUE(MID($AB722,6,2)),VALUE(RIGHT($AB722,2))),DATE(VALUE(RIGHT($AB722,4)),VALUE(MID($AB722,4,2)),VALUE(LEFT($AB722,2)))))</f>
        <v>45530</v>
      </c>
      <c r="C722" s="61" t="n">
        <f aca="false">YEAR($B722)</f>
        <v>2024</v>
      </c>
      <c r="D722" s="61" t="str">
        <f aca="false">"Q"&amp;ROUNDUP(MONTH($B722)/3,0)</f>
        <v>Q3</v>
      </c>
      <c r="E722" s="61" t="n">
        <f aca="false">MONTH($B722)</f>
        <v>8</v>
      </c>
      <c r="F722" s="61" t="str">
        <f aca="false">INDEX(Parametros!$I$5:$I$16,$E722)</f>
        <v>Ago</v>
      </c>
      <c r="G722" s="61" t="str">
        <f aca="false">TEXT($C722,"0000")&amp;"-"&amp;TEXT($E722,"00")</f>
        <v>2024-08</v>
      </c>
      <c r="H722" s="61" t="str">
        <f aca="false">INDEX(Parametros!$C$71:$C$91,MATCH(TRIM(INDEX(Datos_Origen!$C$2:$C$2459,$Z722)),Parametros!$B$71:$B$91,0))</f>
        <v>Centro</v>
      </c>
      <c r="I722" s="61" t="str">
        <f aca="false">IF(TRIM($AD722)="",INDEX(Parametros!$I$20:$I$24,MATCH($H722,Parametros!$H$20:$H$24,0)),TRIM($AD722))</f>
        <v>Cordoba</v>
      </c>
      <c r="J722" s="61" t="str">
        <f aca="false">INDEX(Parametros!$C$95:$C$106,MATCH(TRIM(INDEX(Datos_Origen!$E$2:$E$2459,$Z722)),Parametros!$B$95:$B$106,0))</f>
        <v>Tienda fisica</v>
      </c>
      <c r="K722" s="61" t="str">
        <f aca="false">INDEX(Parametros!$C$48:$C$67,MATCH(TRIM(INDEX(Datos_Origen!$F$2:$F$2459,$Z722)),Parametros!$B$48:$B$67,0))</f>
        <v>Computacion</v>
      </c>
      <c r="L722" s="61" t="str">
        <f aca="false">$K722&amp;" "&amp;$C722</f>
        <v>Computacion 2024</v>
      </c>
      <c r="M722" s="61" t="str">
        <f aca="false">TRIM(INDEX(Datos_Origen!$G$2:$G$2459,$Z722))</f>
        <v>Laptop Pro 15</v>
      </c>
      <c r="N722" s="61" t="str">
        <f aca="false">$M722&amp;" "&amp;$C722</f>
        <v>Laptop Pro 15 2024</v>
      </c>
      <c r="O722" s="63" t="n">
        <f aca="false">IF(ISTEXT($AC722),VALUE($AC722),$AC722)</f>
        <v>11</v>
      </c>
      <c r="P722" s="64" t="n">
        <f aca="false">INDEX(Datos_Origen!$I$2:$I$2459,$Z722)</f>
        <v>1176</v>
      </c>
      <c r="Q722" s="64" t="n">
        <f aca="false">INDEX(Datos_Origen!$J$2:$J$2459,$Z722)</f>
        <v>744</v>
      </c>
      <c r="R722" s="65" t="n">
        <f aca="false">ROUND($O722*$P722,2)</f>
        <v>12936</v>
      </c>
      <c r="S722" s="65" t="n">
        <f aca="false">ROUND($O722*$Q722,2)</f>
        <v>8184</v>
      </c>
      <c r="T722" s="65" t="n">
        <f aca="false">ROUND($R722*SUMIFS(Parametros!$E$28:$E$43,Parametros!$B$28:$B$43,$J722,Parametros!$C$28:$C$43,$C722,Parametros!$D$28:$D$43,$D722),2)</f>
        <v>168.17</v>
      </c>
      <c r="U722" s="65" t="n">
        <f aca="false">$R722-$S722-$T722</f>
        <v>4583.83</v>
      </c>
      <c r="V722" s="66" t="n">
        <f aca="false">IFERROR($U722/$R722,0)</f>
        <v>0.354346784168213</v>
      </c>
      <c r="W722" s="67" t="str">
        <f aca="false">IF(AND($V722&gt;=Parametros!$C$8,$R722&gt;=Parametros!$C$12),"Alta rentabilidad",IF(OR($V722&lt;Parametros!$C$11,$R722&lt;Parametros!$C$13),"Revisar","Estandar"))</f>
        <v>Alta rentabilidad</v>
      </c>
      <c r="X722" s="67" t="str">
        <f aca="false">IF(AND($J722="E-commerce",IFERROR($T722/$R722,0)&gt;Parametros!$C$14),"Alerta","OK")</f>
        <v>OK</v>
      </c>
      <c r="Y722" s="61" t="str">
        <f aca="false">IF($R722&gt;=Parametros!$C$12,"Alto",IF($R722&lt;Parametros!$C$13,"Bajo","Medio"))</f>
        <v>Alto</v>
      </c>
      <c r="Z722" s="61" t="n">
        <v>2136</v>
      </c>
      <c r="AA722" s="61" t="str">
        <f aca="false">IF(MATCH($A722,Datos_Origen!$A$2:$A$2459,0)=$Z722,"OK","REVISAR")</f>
        <v>OK</v>
      </c>
      <c r="AB722" s="62" t="n">
        <f aca="false">INDEX(Datos_Origen!$B$2:$B$2459,$Z722)</f>
        <v>45530</v>
      </c>
      <c r="AC722" s="61" t="n">
        <f aca="false">INDEX(Datos_Origen!$H$2:$H$2459,$Z722)</f>
        <v>11</v>
      </c>
      <c r="AD722" s="61" t="str">
        <f aca="false">INDEX(Datos_Origen!$D$2:$D$2459,$Z722)&amp;""</f>
        <v>Cordoba</v>
      </c>
    </row>
    <row r="723" customFormat="false" ht="15" hidden="false" customHeight="false" outlineLevel="0" collapsed="false">
      <c r="A723" s="61" t="n">
        <f aca="false">INDEX(Datos_Origen!$A$2:$A$2459,$Z723)</f>
        <v>722</v>
      </c>
      <c r="B723" s="62" t="n">
        <f aca="false">IF(ISNUMBER($AB723),$AB723,IF(MID($AB723,5,1)="-",DATE(VALUE(LEFT($AB723,4)),VALUE(MID($AB723,6,2)),VALUE(RIGHT($AB723,2))),DATE(VALUE(RIGHT($AB723,4)),VALUE(MID($AB723,4,2)),VALUE(LEFT($AB723,2)))))</f>
        <v>45510</v>
      </c>
      <c r="C723" s="61" t="n">
        <f aca="false">YEAR($B723)</f>
        <v>2024</v>
      </c>
      <c r="D723" s="61" t="str">
        <f aca="false">"Q"&amp;ROUNDUP(MONTH($B723)/3,0)</f>
        <v>Q3</v>
      </c>
      <c r="E723" s="61" t="n">
        <f aca="false">MONTH($B723)</f>
        <v>8</v>
      </c>
      <c r="F723" s="61" t="str">
        <f aca="false">INDEX(Parametros!$I$5:$I$16,$E723)</f>
        <v>Ago</v>
      </c>
      <c r="G723" s="61" t="str">
        <f aca="false">TEXT($C723,"0000")&amp;"-"&amp;TEXT($E723,"00")</f>
        <v>2024-08</v>
      </c>
      <c r="H723" s="61" t="str">
        <f aca="false">INDEX(Parametros!$C$71:$C$91,MATCH(TRIM(INDEX(Datos_Origen!$C$2:$C$2459,$Z723)),Parametros!$B$71:$B$91,0))</f>
        <v>Centro</v>
      </c>
      <c r="I723" s="61" t="str">
        <f aca="false">IF(TRIM($AD723)="",INDEX(Parametros!$I$20:$I$24,MATCH($H723,Parametros!$H$20:$H$24,0)),TRIM($AD723))</f>
        <v>Cordoba</v>
      </c>
      <c r="J723" s="61" t="str">
        <f aca="false">INDEX(Parametros!$C$95:$C$106,MATCH(TRIM(INDEX(Datos_Origen!$E$2:$E$2459,$Z723)),Parametros!$B$95:$B$106,0))</f>
        <v>E-commerce</v>
      </c>
      <c r="K723" s="61" t="str">
        <f aca="false">INDEX(Parametros!$C$48:$C$67,MATCH(TRIM(INDEX(Datos_Origen!$F$2:$F$2459,$Z723)),Parametros!$B$48:$B$67,0))</f>
        <v>Computacion</v>
      </c>
      <c r="L723" s="61" t="str">
        <f aca="false">$K723&amp;" "&amp;$C723</f>
        <v>Computacion 2024</v>
      </c>
      <c r="M723" s="61" t="str">
        <f aca="false">TRIM(INDEX(Datos_Origen!$G$2:$G$2459,$Z723))</f>
        <v>Laptop Pro 15</v>
      </c>
      <c r="N723" s="61" t="str">
        <f aca="false">$M723&amp;" "&amp;$C723</f>
        <v>Laptop Pro 15 2024</v>
      </c>
      <c r="O723" s="63" t="n">
        <f aca="false">IF(ISTEXT($AC723),VALUE($AC723),$AC723)</f>
        <v>4</v>
      </c>
      <c r="P723" s="64" t="n">
        <f aca="false">INDEX(Datos_Origen!$I$2:$I$2459,$Z723)</f>
        <v>1176</v>
      </c>
      <c r="Q723" s="64" t="n">
        <f aca="false">INDEX(Datos_Origen!$J$2:$J$2459,$Z723)</f>
        <v>744</v>
      </c>
      <c r="R723" s="65" t="n">
        <f aca="false">ROUND($O723*$P723,2)</f>
        <v>4704</v>
      </c>
      <c r="S723" s="65" t="n">
        <f aca="false">ROUND($O723*$Q723,2)</f>
        <v>2976</v>
      </c>
      <c r="T723" s="65" t="n">
        <f aca="false">ROUND($R723*SUMIFS(Parametros!$E$28:$E$43,Parametros!$B$28:$B$43,$J723,Parametros!$C$28:$C$43,$C723,Parametros!$D$28:$D$43,$D723),2)</f>
        <v>216.38</v>
      </c>
      <c r="U723" s="65" t="n">
        <f aca="false">$R723-$S723-$T723</f>
        <v>1511.62</v>
      </c>
      <c r="V723" s="66" t="n">
        <f aca="false">IFERROR($U723/$R723,0)</f>
        <v>0.321347789115646</v>
      </c>
      <c r="W723" s="67" t="str">
        <f aca="false">IF(AND($V723&gt;=Parametros!$C$8,$R723&gt;=Parametros!$C$12),"Alta rentabilidad",IF(OR($V723&lt;Parametros!$C$11,$R723&lt;Parametros!$C$13),"Revisar","Estandar"))</f>
        <v>Estandar</v>
      </c>
      <c r="X723" s="67" t="str">
        <f aca="false">IF(AND($J723="E-commerce",IFERROR($T723/$R723,0)&gt;Parametros!$C$14),"Alerta","OK")</f>
        <v>OK</v>
      </c>
      <c r="Y723" s="61" t="str">
        <f aca="false">IF($R723&gt;=Parametros!$C$12,"Alto",IF($R723&lt;Parametros!$C$13,"Bajo","Medio"))</f>
        <v>Alto</v>
      </c>
      <c r="Z723" s="61" t="n">
        <v>743</v>
      </c>
      <c r="AA723" s="61" t="str">
        <f aca="false">IF(MATCH($A723,Datos_Origen!$A$2:$A$2459,0)=$Z723,"OK","REVISAR")</f>
        <v>OK</v>
      </c>
      <c r="AB723" s="62" t="n">
        <f aca="false">INDEX(Datos_Origen!$B$2:$B$2459,$Z723)</f>
        <v>45510</v>
      </c>
      <c r="AC723" s="61" t="n">
        <f aca="false">INDEX(Datos_Origen!$H$2:$H$2459,$Z723)</f>
        <v>4</v>
      </c>
      <c r="AD723" s="61" t="str">
        <f aca="false">INDEX(Datos_Origen!$D$2:$D$2459,$Z723)&amp;""</f>
        <v>Cordoba</v>
      </c>
    </row>
    <row r="724" customFormat="false" ht="15" hidden="false" customHeight="false" outlineLevel="0" collapsed="false">
      <c r="A724" s="61" t="n">
        <f aca="false">INDEX(Datos_Origen!$A$2:$A$2459,$Z724)</f>
        <v>723</v>
      </c>
      <c r="B724" s="62" t="n">
        <f aca="false">IF(ISNUMBER($AB724),$AB724,IF(MID($AB724,5,1)="-",DATE(VALUE(LEFT($AB724,4)),VALUE(MID($AB724,6,2)),VALUE(RIGHT($AB724,2))),DATE(VALUE(RIGHT($AB724,4)),VALUE(MID($AB724,4,2)),VALUE(LEFT($AB724,2)))))</f>
        <v>45517</v>
      </c>
      <c r="C724" s="61" t="n">
        <f aca="false">YEAR($B724)</f>
        <v>2024</v>
      </c>
      <c r="D724" s="61" t="str">
        <f aca="false">"Q"&amp;ROUNDUP(MONTH($B724)/3,0)</f>
        <v>Q3</v>
      </c>
      <c r="E724" s="61" t="n">
        <f aca="false">MONTH($B724)</f>
        <v>8</v>
      </c>
      <c r="F724" s="61" t="str">
        <f aca="false">INDEX(Parametros!$I$5:$I$16,$E724)</f>
        <v>Ago</v>
      </c>
      <c r="G724" s="61" t="str">
        <f aca="false">TEXT($C724,"0000")&amp;"-"&amp;TEXT($E724,"00")</f>
        <v>2024-08</v>
      </c>
      <c r="H724" s="61" t="str">
        <f aca="false">INDEX(Parametros!$C$71:$C$91,MATCH(TRIM(INDEX(Datos_Origen!$C$2:$C$2459,$Z724)),Parametros!$B$71:$B$91,0))</f>
        <v>Centro</v>
      </c>
      <c r="I724" s="61" t="str">
        <f aca="false">IF(TRIM($AD724)="",INDEX(Parametros!$I$20:$I$24,MATCH($H724,Parametros!$H$20:$H$24,0)),TRIM($AD724))</f>
        <v>Cordoba</v>
      </c>
      <c r="J724" s="61" t="str">
        <f aca="false">INDEX(Parametros!$C$95:$C$106,MATCH(TRIM(INDEX(Datos_Origen!$E$2:$E$2459,$Z724)),Parametros!$B$95:$B$106,0))</f>
        <v>Tienda fisica</v>
      </c>
      <c r="K724" s="61" t="str">
        <f aca="false">INDEX(Parametros!$C$48:$C$67,MATCH(TRIM(INDEX(Datos_Origen!$F$2:$F$2459,$Z724)),Parametros!$B$48:$B$67,0))</f>
        <v>Computacion</v>
      </c>
      <c r="L724" s="61" t="str">
        <f aca="false">$K724&amp;" "&amp;$C724</f>
        <v>Computacion 2024</v>
      </c>
      <c r="M724" s="61" t="str">
        <f aca="false">TRIM(INDEX(Datos_Origen!$G$2:$G$2459,$Z724))</f>
        <v>Monitor 4K 27</v>
      </c>
      <c r="N724" s="61" t="str">
        <f aca="false">$M724&amp;" "&amp;$C724</f>
        <v>Monitor 4K 27 2024</v>
      </c>
      <c r="O724" s="63" t="n">
        <f aca="false">IF(ISTEXT($AC724),VALUE($AC724),$AC724)</f>
        <v>13</v>
      </c>
      <c r="P724" s="64" t="n">
        <f aca="false">INDEX(Datos_Origen!$I$2:$I$2459,$Z724)</f>
        <v>441</v>
      </c>
      <c r="Q724" s="64" t="n">
        <f aca="false">INDEX(Datos_Origen!$J$2:$J$2459,$Z724)</f>
        <v>272.25</v>
      </c>
      <c r="R724" s="65" t="n">
        <f aca="false">ROUND($O724*$P724,2)</f>
        <v>5733</v>
      </c>
      <c r="S724" s="65" t="n">
        <f aca="false">ROUND($O724*$Q724,2)</f>
        <v>3539.25</v>
      </c>
      <c r="T724" s="65" t="n">
        <f aca="false">ROUND($R724*SUMIFS(Parametros!$E$28:$E$43,Parametros!$B$28:$B$43,$J724,Parametros!$C$28:$C$43,$C724,Parametros!$D$28:$D$43,$D724),2)</f>
        <v>74.53</v>
      </c>
      <c r="U724" s="65" t="n">
        <f aca="false">$R724-$S724-$T724</f>
        <v>2119.22</v>
      </c>
      <c r="V724" s="66" t="n">
        <f aca="false">IFERROR($U724/$R724,0)</f>
        <v>0.369652886795744</v>
      </c>
      <c r="W724" s="67" t="str">
        <f aca="false">IF(AND($V724&gt;=Parametros!$C$8,$R724&gt;=Parametros!$C$12),"Alta rentabilidad",IF(OR($V724&lt;Parametros!$C$11,$R724&lt;Parametros!$C$13),"Revisar","Estandar"))</f>
        <v>Alta rentabilidad</v>
      </c>
      <c r="X724" s="67" t="str">
        <f aca="false">IF(AND($J724="E-commerce",IFERROR($T724/$R724,0)&gt;Parametros!$C$14),"Alerta","OK")</f>
        <v>OK</v>
      </c>
      <c r="Y724" s="61" t="str">
        <f aca="false">IF($R724&gt;=Parametros!$C$12,"Alto",IF($R724&lt;Parametros!$C$13,"Bajo","Medio"))</f>
        <v>Alto</v>
      </c>
      <c r="Z724" s="61" t="n">
        <v>937</v>
      </c>
      <c r="AA724" s="61" t="str">
        <f aca="false">IF(MATCH($A724,Datos_Origen!$A$2:$A$2459,0)=$Z724,"OK","REVISAR")</f>
        <v>OK</v>
      </c>
      <c r="AB724" s="61" t="str">
        <f aca="false">INDEX(Datos_Origen!$B$2:$B$2459,$Z724)</f>
        <v>13/08/2024</v>
      </c>
      <c r="AC724" s="61" t="n">
        <f aca="false">INDEX(Datos_Origen!$H$2:$H$2459,$Z724)</f>
        <v>13</v>
      </c>
      <c r="AD724" s="61" t="str">
        <f aca="false">INDEX(Datos_Origen!$D$2:$D$2459,$Z724)&amp;""</f>
        <v>Cordoba</v>
      </c>
    </row>
    <row r="725" customFormat="false" ht="15" hidden="false" customHeight="false" outlineLevel="0" collapsed="false">
      <c r="A725" s="61" t="n">
        <f aca="false">INDEX(Datos_Origen!$A$2:$A$2459,$Z725)</f>
        <v>724</v>
      </c>
      <c r="B725" s="62" t="n">
        <f aca="false">IF(ISNUMBER($AB725),$AB725,IF(MID($AB725,5,1)="-",DATE(VALUE(LEFT($AB725,4)),VALUE(MID($AB725,6,2)),VALUE(RIGHT($AB725,2))),DATE(VALUE(RIGHT($AB725,4)),VALUE(MID($AB725,4,2)),VALUE(LEFT($AB725,2)))))</f>
        <v>45524</v>
      </c>
      <c r="C725" s="61" t="n">
        <f aca="false">YEAR($B725)</f>
        <v>2024</v>
      </c>
      <c r="D725" s="61" t="str">
        <f aca="false">"Q"&amp;ROUNDUP(MONTH($B725)/3,0)</f>
        <v>Q3</v>
      </c>
      <c r="E725" s="61" t="n">
        <f aca="false">MONTH($B725)</f>
        <v>8</v>
      </c>
      <c r="F725" s="61" t="str">
        <f aca="false">INDEX(Parametros!$I$5:$I$16,$E725)</f>
        <v>Ago</v>
      </c>
      <c r="G725" s="61" t="str">
        <f aca="false">TEXT($C725,"0000")&amp;"-"&amp;TEXT($E725,"00")</f>
        <v>2024-08</v>
      </c>
      <c r="H725" s="61" t="str">
        <f aca="false">INDEX(Parametros!$C$71:$C$91,MATCH(TRIM(INDEX(Datos_Origen!$C$2:$C$2459,$Z725)),Parametros!$B$71:$B$91,0))</f>
        <v>Centro</v>
      </c>
      <c r="I725" s="61" t="str">
        <f aca="false">IF(TRIM($AD725)="",INDEX(Parametros!$I$20:$I$24,MATCH($H725,Parametros!$H$20:$H$24,0)),TRIM($AD725))</f>
        <v>Cordoba</v>
      </c>
      <c r="J725" s="61" t="str">
        <f aca="false">INDEX(Parametros!$C$95:$C$106,MATCH(TRIM(INDEX(Datos_Origen!$E$2:$E$2459,$Z725)),Parametros!$B$95:$B$106,0))</f>
        <v>E-commerce</v>
      </c>
      <c r="K725" s="61" t="str">
        <f aca="false">INDEX(Parametros!$C$48:$C$67,MATCH(TRIM(INDEX(Datos_Origen!$F$2:$F$2459,$Z725)),Parametros!$B$48:$B$67,0))</f>
        <v>Computacion</v>
      </c>
      <c r="L725" s="61" t="str">
        <f aca="false">$K725&amp;" "&amp;$C725</f>
        <v>Computacion 2024</v>
      </c>
      <c r="M725" s="61" t="str">
        <f aca="false">TRIM(INDEX(Datos_Origen!$G$2:$G$2459,$Z725))</f>
        <v>Monitor 4K 27</v>
      </c>
      <c r="N725" s="61" t="str">
        <f aca="false">$M725&amp;" "&amp;$C725</f>
        <v>Monitor 4K 27 2024</v>
      </c>
      <c r="O725" s="63" t="n">
        <f aca="false">IF(ISTEXT($AC725),VALUE($AC725),$AC725)</f>
        <v>4</v>
      </c>
      <c r="P725" s="64" t="n">
        <f aca="false">INDEX(Datos_Origen!$I$2:$I$2459,$Z725)</f>
        <v>441</v>
      </c>
      <c r="Q725" s="64" t="n">
        <f aca="false">INDEX(Datos_Origen!$J$2:$J$2459,$Z725)</f>
        <v>272.25</v>
      </c>
      <c r="R725" s="65" t="n">
        <f aca="false">ROUND($O725*$P725,2)</f>
        <v>1764</v>
      </c>
      <c r="S725" s="65" t="n">
        <f aca="false">ROUND($O725*$Q725,2)</f>
        <v>1089</v>
      </c>
      <c r="T725" s="65" t="n">
        <f aca="false">ROUND($R725*SUMIFS(Parametros!$E$28:$E$43,Parametros!$B$28:$B$43,$J725,Parametros!$C$28:$C$43,$C725,Parametros!$D$28:$D$43,$D725),2)</f>
        <v>81.14</v>
      </c>
      <c r="U725" s="65" t="n">
        <f aca="false">$R725-$S725-$T725</f>
        <v>593.86</v>
      </c>
      <c r="V725" s="66" t="n">
        <f aca="false">IFERROR($U725/$R725,0)</f>
        <v>0.336655328798186</v>
      </c>
      <c r="W725" s="67" t="str">
        <f aca="false">IF(AND($V725&gt;=Parametros!$C$8,$R725&gt;=Parametros!$C$12),"Alta rentabilidad",IF(OR($V725&lt;Parametros!$C$11,$R725&lt;Parametros!$C$13),"Revisar","Estandar"))</f>
        <v>Estandar</v>
      </c>
      <c r="X725" s="67" t="str">
        <f aca="false">IF(AND($J725="E-commerce",IFERROR($T725/$R725,0)&gt;Parametros!$C$14),"Alerta","OK")</f>
        <v>OK</v>
      </c>
      <c r="Y725" s="61" t="str">
        <f aca="false">IF($R725&gt;=Parametros!$C$12,"Alto",IF($R725&lt;Parametros!$C$13,"Bajo","Medio"))</f>
        <v>Medio</v>
      </c>
      <c r="Z725" s="61" t="n">
        <v>996</v>
      </c>
      <c r="AA725" s="61" t="str">
        <f aca="false">IF(MATCH($A725,Datos_Origen!$A$2:$A$2459,0)=$Z725,"OK","REVISAR")</f>
        <v>OK</v>
      </c>
      <c r="AB725" s="61" t="str">
        <f aca="false">INDEX(Datos_Origen!$B$2:$B$2459,$Z725)</f>
        <v>20/08/2024</v>
      </c>
      <c r="AC725" s="61" t="n">
        <f aca="false">INDEX(Datos_Origen!$H$2:$H$2459,$Z725)</f>
        <v>4</v>
      </c>
      <c r="AD725" s="61" t="str">
        <f aca="false">INDEX(Datos_Origen!$D$2:$D$2459,$Z725)&amp;""</f>
        <v>Cordoba</v>
      </c>
    </row>
    <row r="726" customFormat="false" ht="15" hidden="false" customHeight="false" outlineLevel="0" collapsed="false">
      <c r="A726" s="61" t="n">
        <f aca="false">INDEX(Datos_Origen!$A$2:$A$2459,$Z726)</f>
        <v>725</v>
      </c>
      <c r="B726" s="62" t="n">
        <f aca="false">IF(ISNUMBER($AB726),$AB726,IF(MID($AB726,5,1)="-",DATE(VALUE(LEFT($AB726,4)),VALUE(MID($AB726,6,2)),VALUE(RIGHT($AB726,2))),DATE(VALUE(RIGHT($AB726,4)),VALUE(MID($AB726,4,2)),VALUE(LEFT($AB726,2)))))</f>
        <v>45531</v>
      </c>
      <c r="C726" s="61" t="n">
        <f aca="false">YEAR($B726)</f>
        <v>2024</v>
      </c>
      <c r="D726" s="61" t="str">
        <f aca="false">"Q"&amp;ROUNDUP(MONTH($B726)/3,0)</f>
        <v>Q3</v>
      </c>
      <c r="E726" s="61" t="n">
        <f aca="false">MONTH($B726)</f>
        <v>8</v>
      </c>
      <c r="F726" s="61" t="str">
        <f aca="false">INDEX(Parametros!$I$5:$I$16,$E726)</f>
        <v>Ago</v>
      </c>
      <c r="G726" s="61" t="str">
        <f aca="false">TEXT($C726,"0000")&amp;"-"&amp;TEXT($E726,"00")</f>
        <v>2024-08</v>
      </c>
      <c r="H726" s="61" t="str">
        <f aca="false">INDEX(Parametros!$C$71:$C$91,MATCH(TRIM(INDEX(Datos_Origen!$C$2:$C$2459,$Z726)),Parametros!$B$71:$B$91,0))</f>
        <v>Centro</v>
      </c>
      <c r="I726" s="61" t="str">
        <f aca="false">IF(TRIM($AD726)="",INDEX(Parametros!$I$20:$I$24,MATCH($H726,Parametros!$H$20:$H$24,0)),TRIM($AD726))</f>
        <v>Cordoba</v>
      </c>
      <c r="J726" s="61" t="str">
        <f aca="false">INDEX(Parametros!$C$95:$C$106,MATCH(TRIM(INDEX(Datos_Origen!$E$2:$E$2459,$Z726)),Parametros!$B$95:$B$106,0))</f>
        <v>Tienda fisica</v>
      </c>
      <c r="K726" s="61" t="str">
        <f aca="false">INDEX(Parametros!$C$48:$C$67,MATCH(TRIM(INDEX(Datos_Origen!$F$2:$F$2459,$Z726)),Parametros!$B$48:$B$67,0))</f>
        <v>Computacion</v>
      </c>
      <c r="L726" s="61" t="str">
        <f aca="false">$K726&amp;" "&amp;$C726</f>
        <v>Computacion 2024</v>
      </c>
      <c r="M726" s="61" t="str">
        <f aca="false">TRIM(INDEX(Datos_Origen!$G$2:$G$2459,$Z726))</f>
        <v>PC Gamer Ryzen</v>
      </c>
      <c r="N726" s="61" t="str">
        <f aca="false">$M726&amp;" "&amp;$C726</f>
        <v>PC Gamer Ryzen 2024</v>
      </c>
      <c r="O726" s="63" t="n">
        <f aca="false">IF(ISTEXT($AC726),VALUE($AC726),$AC726)</f>
        <v>13</v>
      </c>
      <c r="P726" s="64" t="n">
        <f aca="false">INDEX(Datos_Origen!$I$2:$I$2459,$Z726)</f>
        <v>1617</v>
      </c>
      <c r="Q726" s="64" t="n">
        <f aca="false">INDEX(Datos_Origen!$J$2:$J$2459,$Z726)</f>
        <v>1122</v>
      </c>
      <c r="R726" s="65" t="n">
        <f aca="false">ROUND($O726*$P726,2)</f>
        <v>21021</v>
      </c>
      <c r="S726" s="65" t="n">
        <f aca="false">ROUND($O726*$Q726,2)</f>
        <v>14586</v>
      </c>
      <c r="T726" s="65" t="n">
        <f aca="false">ROUND($R726*SUMIFS(Parametros!$E$28:$E$43,Parametros!$B$28:$B$43,$J726,Parametros!$C$28:$C$43,$C726,Parametros!$D$28:$D$43,$D726),2)</f>
        <v>273.27</v>
      </c>
      <c r="U726" s="65" t="n">
        <f aca="false">$R726-$S726-$T726</f>
        <v>6161.73</v>
      </c>
      <c r="V726" s="66" t="n">
        <f aca="false">IFERROR($U726/$R726,0)</f>
        <v>0.29312259169402</v>
      </c>
      <c r="W726" s="67" t="str">
        <f aca="false">IF(AND($V726&gt;=Parametros!$C$8,$R726&gt;=Parametros!$C$12),"Alta rentabilidad",IF(OR($V726&lt;Parametros!$C$11,$R726&lt;Parametros!$C$13),"Revisar","Estandar"))</f>
        <v>Estandar</v>
      </c>
      <c r="X726" s="67" t="str">
        <f aca="false">IF(AND($J726="E-commerce",IFERROR($T726/$R726,0)&gt;Parametros!$C$14),"Alerta","OK")</f>
        <v>OK</v>
      </c>
      <c r="Y726" s="61" t="str">
        <f aca="false">IF($R726&gt;=Parametros!$C$12,"Alto",IF($R726&lt;Parametros!$C$13,"Bajo","Medio"))</f>
        <v>Alto</v>
      </c>
      <c r="Z726" s="61" t="n">
        <v>2021</v>
      </c>
      <c r="AA726" s="61" t="str">
        <f aca="false">IF(MATCH($A726,Datos_Origen!$A$2:$A$2459,0)=$Z726,"OK","REVISAR")</f>
        <v>OK</v>
      </c>
      <c r="AB726" s="62" t="n">
        <f aca="false">INDEX(Datos_Origen!$B$2:$B$2459,$Z726)</f>
        <v>45531</v>
      </c>
      <c r="AC726" s="61" t="n">
        <f aca="false">INDEX(Datos_Origen!$H$2:$H$2459,$Z726)</f>
        <v>13</v>
      </c>
      <c r="AD726" s="61" t="str">
        <f aca="false">INDEX(Datos_Origen!$D$2:$D$2459,$Z726)&amp;""</f>
        <v>Cordoba</v>
      </c>
    </row>
    <row r="727" customFormat="false" ht="15" hidden="false" customHeight="false" outlineLevel="0" collapsed="false">
      <c r="A727" s="61" t="n">
        <f aca="false">INDEX(Datos_Origen!$A$2:$A$2459,$Z727)</f>
        <v>726</v>
      </c>
      <c r="B727" s="62" t="n">
        <f aca="false">IF(ISNUMBER($AB727),$AB727,IF(MID($AB727,5,1)="-",DATE(VALUE(LEFT($AB727,4)),VALUE(MID($AB727,6,2)),VALUE(RIGHT($AB727,2))),DATE(VALUE(RIGHT($AB727,4)),VALUE(MID($AB727,4,2)),VALUE(LEFT($AB727,2)))))</f>
        <v>45511</v>
      </c>
      <c r="C727" s="61" t="n">
        <f aca="false">YEAR($B727)</f>
        <v>2024</v>
      </c>
      <c r="D727" s="61" t="str">
        <f aca="false">"Q"&amp;ROUNDUP(MONTH($B727)/3,0)</f>
        <v>Q3</v>
      </c>
      <c r="E727" s="61" t="n">
        <f aca="false">MONTH($B727)</f>
        <v>8</v>
      </c>
      <c r="F727" s="61" t="str">
        <f aca="false">INDEX(Parametros!$I$5:$I$16,$E727)</f>
        <v>Ago</v>
      </c>
      <c r="G727" s="61" t="str">
        <f aca="false">TEXT($C727,"0000")&amp;"-"&amp;TEXT($E727,"00")</f>
        <v>2024-08</v>
      </c>
      <c r="H727" s="61" t="str">
        <f aca="false">INDEX(Parametros!$C$71:$C$91,MATCH(TRIM(INDEX(Datos_Origen!$C$2:$C$2459,$Z727)),Parametros!$B$71:$B$91,0))</f>
        <v>Centro</v>
      </c>
      <c r="I727" s="61" t="str">
        <f aca="false">IF(TRIM($AD727)="",INDEX(Parametros!$I$20:$I$24,MATCH($H727,Parametros!$H$20:$H$24,0)),TRIM($AD727))</f>
        <v>Cordoba</v>
      </c>
      <c r="J727" s="61" t="str">
        <f aca="false">INDEX(Parametros!$C$95:$C$106,MATCH(TRIM(INDEX(Datos_Origen!$E$2:$E$2459,$Z727)),Parametros!$B$95:$B$106,0))</f>
        <v>E-commerce</v>
      </c>
      <c r="K727" s="61" t="str">
        <f aca="false">INDEX(Parametros!$C$48:$C$67,MATCH(TRIM(INDEX(Datos_Origen!$F$2:$F$2459,$Z727)),Parametros!$B$48:$B$67,0))</f>
        <v>Computacion</v>
      </c>
      <c r="L727" s="61" t="str">
        <f aca="false">$K727&amp;" "&amp;$C727</f>
        <v>Computacion 2024</v>
      </c>
      <c r="M727" s="61" t="str">
        <f aca="false">TRIM(INDEX(Datos_Origen!$G$2:$G$2459,$Z727))</f>
        <v>PC Gamer Ryzen</v>
      </c>
      <c r="N727" s="61" t="str">
        <f aca="false">$M727&amp;" "&amp;$C727</f>
        <v>PC Gamer Ryzen 2024</v>
      </c>
      <c r="O727" s="63" t="n">
        <f aca="false">IF(ISTEXT($AC727),VALUE($AC727),$AC727)</f>
        <v>4</v>
      </c>
      <c r="P727" s="64" t="n">
        <f aca="false">INDEX(Datos_Origen!$I$2:$I$2459,$Z727)</f>
        <v>1617</v>
      </c>
      <c r="Q727" s="64" t="n">
        <f aca="false">INDEX(Datos_Origen!$J$2:$J$2459,$Z727)</f>
        <v>1122</v>
      </c>
      <c r="R727" s="65" t="n">
        <f aca="false">ROUND($O727*$P727,2)</f>
        <v>6468</v>
      </c>
      <c r="S727" s="65" t="n">
        <f aca="false">ROUND($O727*$Q727,2)</f>
        <v>4488</v>
      </c>
      <c r="T727" s="65" t="n">
        <f aca="false">ROUND($R727*SUMIFS(Parametros!$E$28:$E$43,Parametros!$B$28:$B$43,$J727,Parametros!$C$28:$C$43,$C727,Parametros!$D$28:$D$43,$D727),2)</f>
        <v>297.53</v>
      </c>
      <c r="U727" s="65" t="n">
        <f aca="false">$R727-$S727-$T727</f>
        <v>1682.47</v>
      </c>
      <c r="V727" s="66" t="n">
        <f aca="false">IFERROR($U727/$R727,0)</f>
        <v>0.260122139764997</v>
      </c>
      <c r="W727" s="67" t="str">
        <f aca="false">IF(AND($V727&gt;=Parametros!$C$8,$R727&gt;=Parametros!$C$12),"Alta rentabilidad",IF(OR($V727&lt;Parametros!$C$11,$R727&lt;Parametros!$C$13),"Revisar","Estandar"))</f>
        <v>Revisar</v>
      </c>
      <c r="X727" s="67" t="str">
        <f aca="false">IF(AND($J727="E-commerce",IFERROR($T727/$R727,0)&gt;Parametros!$C$14),"Alerta","OK")</f>
        <v>OK</v>
      </c>
      <c r="Y727" s="61" t="str">
        <f aca="false">IF($R727&gt;=Parametros!$C$12,"Alto",IF($R727&lt;Parametros!$C$13,"Bajo","Medio"))</f>
        <v>Alto</v>
      </c>
      <c r="Z727" s="61" t="n">
        <v>820</v>
      </c>
      <c r="AA727" s="61" t="str">
        <f aca="false">IF(MATCH($A727,Datos_Origen!$A$2:$A$2459,0)=$Z727,"OK","REVISAR")</f>
        <v>OK</v>
      </c>
      <c r="AB727" s="62" t="n">
        <f aca="false">INDEX(Datos_Origen!$B$2:$B$2459,$Z727)</f>
        <v>45511</v>
      </c>
      <c r="AC727" s="61" t="n">
        <f aca="false">INDEX(Datos_Origen!$H$2:$H$2459,$Z727)</f>
        <v>4</v>
      </c>
      <c r="AD727" s="61" t="str">
        <f aca="false">INDEX(Datos_Origen!$D$2:$D$2459,$Z727)&amp;""</f>
        <v>Cordoba</v>
      </c>
    </row>
    <row r="728" customFormat="false" ht="15" hidden="false" customHeight="false" outlineLevel="0" collapsed="false">
      <c r="A728" s="61" t="n">
        <f aca="false">INDEX(Datos_Origen!$A$2:$A$2459,$Z728)</f>
        <v>727</v>
      </c>
      <c r="B728" s="62" t="n">
        <f aca="false">IF(ISNUMBER($AB728),$AB728,IF(MID($AB728,5,1)="-",DATE(VALUE(LEFT($AB728,4)),VALUE(MID($AB728,6,2)),VALUE(RIGHT($AB728,2))),DATE(VALUE(RIGHT($AB728,4)),VALUE(MID($AB728,4,2)),VALUE(LEFT($AB728,2)))))</f>
        <v>45518</v>
      </c>
      <c r="C728" s="61" t="n">
        <f aca="false">YEAR($B728)</f>
        <v>2024</v>
      </c>
      <c r="D728" s="61" t="str">
        <f aca="false">"Q"&amp;ROUNDUP(MONTH($B728)/3,0)</f>
        <v>Q3</v>
      </c>
      <c r="E728" s="61" t="n">
        <f aca="false">MONTH($B728)</f>
        <v>8</v>
      </c>
      <c r="F728" s="61" t="str">
        <f aca="false">INDEX(Parametros!$I$5:$I$16,$E728)</f>
        <v>Ago</v>
      </c>
      <c r="G728" s="61" t="str">
        <f aca="false">TEXT($C728,"0000")&amp;"-"&amp;TEXT($E728,"00")</f>
        <v>2024-08</v>
      </c>
      <c r="H728" s="61" t="str">
        <f aca="false">INDEX(Parametros!$C$71:$C$91,MATCH(TRIM(INDEX(Datos_Origen!$C$2:$C$2459,$Z728)),Parametros!$B$71:$B$91,0))</f>
        <v>Centro</v>
      </c>
      <c r="I728" s="61" t="str">
        <f aca="false">IF(TRIM($AD728)="",INDEX(Parametros!$I$20:$I$24,MATCH($H728,Parametros!$H$20:$H$24,0)),TRIM($AD728))</f>
        <v>Cordoba</v>
      </c>
      <c r="J728" s="61" t="str">
        <f aca="false">INDEX(Parametros!$C$95:$C$106,MATCH(TRIM(INDEX(Datos_Origen!$E$2:$E$2459,$Z728)),Parametros!$B$95:$B$106,0))</f>
        <v>Tienda fisica</v>
      </c>
      <c r="K728" s="61" t="str">
        <f aca="false">INDEX(Parametros!$C$48:$C$67,MATCH(TRIM(INDEX(Datos_Origen!$F$2:$F$2459,$Z728)),Parametros!$B$48:$B$67,0))</f>
        <v>Accesorios</v>
      </c>
      <c r="L728" s="61" t="str">
        <f aca="false">$K728&amp;" "&amp;$C728</f>
        <v>Accesorios 2024</v>
      </c>
      <c r="M728" s="61" t="str">
        <f aca="false">TRIM(INDEX(Datos_Origen!$G$2:$G$2459,$Z728))</f>
        <v>Mouse Inalambrico</v>
      </c>
      <c r="N728" s="61" t="str">
        <f aca="false">$M728&amp;" "&amp;$C728</f>
        <v>Mouse Inalambrico 2024</v>
      </c>
      <c r="O728" s="63" t="n">
        <f aca="false">IF(ISTEXT($AC728),VALUE($AC728),$AC728)</f>
        <v>64</v>
      </c>
      <c r="P728" s="64" t="n">
        <f aca="false">INDEX(Datos_Origen!$I$2:$I$2459,$Z728)</f>
        <v>27.44</v>
      </c>
      <c r="Q728" s="64" t="n">
        <f aca="false">INDEX(Datos_Origen!$J$2:$J$2459,$Z728)</f>
        <v>13.44</v>
      </c>
      <c r="R728" s="65" t="n">
        <f aca="false">ROUND($O728*$P728,2)</f>
        <v>1756.16</v>
      </c>
      <c r="S728" s="65" t="n">
        <f aca="false">ROUND($O728*$Q728,2)</f>
        <v>860.16</v>
      </c>
      <c r="T728" s="65" t="n">
        <f aca="false">ROUND($R728*SUMIFS(Parametros!$E$28:$E$43,Parametros!$B$28:$B$43,$J728,Parametros!$C$28:$C$43,$C728,Parametros!$D$28:$D$43,$D728),2)</f>
        <v>22.83</v>
      </c>
      <c r="U728" s="65" t="n">
        <f aca="false">$R728-$S728-$T728</f>
        <v>873.17</v>
      </c>
      <c r="V728" s="66" t="n">
        <f aca="false">IFERROR($U728/$R728,0)</f>
        <v>0.497204127186589</v>
      </c>
      <c r="W728" s="67" t="str">
        <f aca="false">IF(AND($V728&gt;=Parametros!$C$8,$R728&gt;=Parametros!$C$12),"Alta rentabilidad",IF(OR($V728&lt;Parametros!$C$11,$R728&lt;Parametros!$C$13),"Revisar","Estandar"))</f>
        <v>Estandar</v>
      </c>
      <c r="X728" s="67" t="str">
        <f aca="false">IF(AND($J728="E-commerce",IFERROR($T728/$R728,0)&gt;Parametros!$C$14),"Alerta","OK")</f>
        <v>OK</v>
      </c>
      <c r="Y728" s="61" t="str">
        <f aca="false">IF($R728&gt;=Parametros!$C$12,"Alto",IF($R728&lt;Parametros!$C$13,"Bajo","Medio"))</f>
        <v>Medio</v>
      </c>
      <c r="Z728" s="61" t="n">
        <v>329</v>
      </c>
      <c r="AA728" s="61" t="str">
        <f aca="false">IF(MATCH($A728,Datos_Origen!$A$2:$A$2459,0)=$Z728,"OK","REVISAR")</f>
        <v>OK</v>
      </c>
      <c r="AB728" s="62" t="n">
        <f aca="false">INDEX(Datos_Origen!$B$2:$B$2459,$Z728)</f>
        <v>45518</v>
      </c>
      <c r="AC728" s="61" t="n">
        <f aca="false">INDEX(Datos_Origen!$H$2:$H$2459,$Z728)</f>
        <v>64</v>
      </c>
      <c r="AD728" s="61" t="str">
        <f aca="false">INDEX(Datos_Origen!$D$2:$D$2459,$Z728)&amp;""</f>
        <v>Cordoba</v>
      </c>
    </row>
    <row r="729" customFormat="false" ht="15" hidden="false" customHeight="false" outlineLevel="0" collapsed="false">
      <c r="A729" s="61" t="n">
        <f aca="false">INDEX(Datos_Origen!$A$2:$A$2459,$Z729)</f>
        <v>728</v>
      </c>
      <c r="B729" s="62" t="n">
        <f aca="false">IF(ISNUMBER($AB729),$AB729,IF(MID($AB729,5,1)="-",DATE(VALUE(LEFT($AB729,4)),VALUE(MID($AB729,6,2)),VALUE(RIGHT($AB729,2))),DATE(VALUE(RIGHT($AB729,4)),VALUE(MID($AB729,4,2)),VALUE(LEFT($AB729,2)))))</f>
        <v>45525</v>
      </c>
      <c r="C729" s="61" t="n">
        <f aca="false">YEAR($B729)</f>
        <v>2024</v>
      </c>
      <c r="D729" s="61" t="str">
        <f aca="false">"Q"&amp;ROUNDUP(MONTH($B729)/3,0)</f>
        <v>Q3</v>
      </c>
      <c r="E729" s="61" t="n">
        <f aca="false">MONTH($B729)</f>
        <v>8</v>
      </c>
      <c r="F729" s="61" t="str">
        <f aca="false">INDEX(Parametros!$I$5:$I$16,$E729)</f>
        <v>Ago</v>
      </c>
      <c r="G729" s="61" t="str">
        <f aca="false">TEXT($C729,"0000")&amp;"-"&amp;TEXT($E729,"00")</f>
        <v>2024-08</v>
      </c>
      <c r="H729" s="61" t="str">
        <f aca="false">INDEX(Parametros!$C$71:$C$91,MATCH(TRIM(INDEX(Datos_Origen!$C$2:$C$2459,$Z729)),Parametros!$B$71:$B$91,0))</f>
        <v>Centro</v>
      </c>
      <c r="I729" s="61" t="str">
        <f aca="false">IF(TRIM($AD729)="",INDEX(Parametros!$I$20:$I$24,MATCH($H729,Parametros!$H$20:$H$24,0)),TRIM($AD729))</f>
        <v>Cordoba</v>
      </c>
      <c r="J729" s="61" t="str">
        <f aca="false">INDEX(Parametros!$C$95:$C$106,MATCH(TRIM(INDEX(Datos_Origen!$E$2:$E$2459,$Z729)),Parametros!$B$95:$B$106,0))</f>
        <v>E-commerce</v>
      </c>
      <c r="K729" s="61" t="str">
        <f aca="false">INDEX(Parametros!$C$48:$C$67,MATCH(TRIM(INDEX(Datos_Origen!$F$2:$F$2459,$Z729)),Parametros!$B$48:$B$67,0))</f>
        <v>Accesorios</v>
      </c>
      <c r="L729" s="61" t="str">
        <f aca="false">$K729&amp;" "&amp;$C729</f>
        <v>Accesorios 2024</v>
      </c>
      <c r="M729" s="61" t="str">
        <f aca="false">TRIM(INDEX(Datos_Origen!$G$2:$G$2459,$Z729))</f>
        <v>Mouse Inalambrico</v>
      </c>
      <c r="N729" s="61" t="str">
        <f aca="false">$M729&amp;" "&amp;$C729</f>
        <v>Mouse Inalambrico 2024</v>
      </c>
      <c r="O729" s="63" t="n">
        <f aca="false">IF(ISTEXT($AC729),VALUE($AC729),$AC729)</f>
        <v>25</v>
      </c>
      <c r="P729" s="64" t="n">
        <f aca="false">INDEX(Datos_Origen!$I$2:$I$2459,$Z729)</f>
        <v>27.44</v>
      </c>
      <c r="Q729" s="64" t="n">
        <f aca="false">INDEX(Datos_Origen!$J$2:$J$2459,$Z729)</f>
        <v>13.44</v>
      </c>
      <c r="R729" s="65" t="n">
        <f aca="false">ROUND($O729*$P729,2)</f>
        <v>686</v>
      </c>
      <c r="S729" s="65" t="n">
        <f aca="false">ROUND($O729*$Q729,2)</f>
        <v>336</v>
      </c>
      <c r="T729" s="65" t="n">
        <f aca="false">ROUND($R729*SUMIFS(Parametros!$E$28:$E$43,Parametros!$B$28:$B$43,$J729,Parametros!$C$28:$C$43,$C729,Parametros!$D$28:$D$43,$D729),2)</f>
        <v>31.56</v>
      </c>
      <c r="U729" s="65" t="n">
        <f aca="false">$R729-$S729-$T729</f>
        <v>318.44</v>
      </c>
      <c r="V729" s="66" t="n">
        <f aca="false">IFERROR($U729/$R729,0)</f>
        <v>0.464198250728863</v>
      </c>
      <c r="W729" s="67" t="str">
        <f aca="false">IF(AND($V729&gt;=Parametros!$C$8,$R729&gt;=Parametros!$C$12),"Alta rentabilidad",IF(OR($V729&lt;Parametros!$C$11,$R729&lt;Parametros!$C$13),"Revisar","Estandar"))</f>
        <v>Estandar</v>
      </c>
      <c r="X729" s="67" t="str">
        <f aca="false">IF(AND($J729="E-commerce",IFERROR($T729/$R729,0)&gt;Parametros!$C$14),"Alerta","OK")</f>
        <v>OK</v>
      </c>
      <c r="Y729" s="61" t="str">
        <f aca="false">IF($R729&gt;=Parametros!$C$12,"Alto",IF($R729&lt;Parametros!$C$13,"Bajo","Medio"))</f>
        <v>Medio</v>
      </c>
      <c r="Z729" s="61" t="n">
        <v>711</v>
      </c>
      <c r="AA729" s="61" t="str">
        <f aca="false">IF(MATCH($A729,Datos_Origen!$A$2:$A$2459,0)=$Z729,"OK","REVISAR")</f>
        <v>OK</v>
      </c>
      <c r="AB729" s="62" t="n">
        <f aca="false">INDEX(Datos_Origen!$B$2:$B$2459,$Z729)</f>
        <v>45525</v>
      </c>
      <c r="AC729" s="61" t="n">
        <f aca="false">INDEX(Datos_Origen!$H$2:$H$2459,$Z729)</f>
        <v>25</v>
      </c>
      <c r="AD729" s="61" t="str">
        <f aca="false">INDEX(Datos_Origen!$D$2:$D$2459,$Z729)&amp;""</f>
        <v>Cordoba</v>
      </c>
    </row>
    <row r="730" customFormat="false" ht="15" hidden="false" customHeight="false" outlineLevel="0" collapsed="false">
      <c r="A730" s="61" t="n">
        <f aca="false">INDEX(Datos_Origen!$A$2:$A$2459,$Z730)</f>
        <v>729</v>
      </c>
      <c r="B730" s="62" t="n">
        <f aca="false">IF(ISNUMBER($AB730),$AB730,IF(MID($AB730,5,1)="-",DATE(VALUE(LEFT($AB730,4)),VALUE(MID($AB730,6,2)),VALUE(RIGHT($AB730,2))),DATE(VALUE(RIGHT($AB730,4)),VALUE(MID($AB730,4,2)),VALUE(LEFT($AB730,2)))))</f>
        <v>45505</v>
      </c>
      <c r="C730" s="61" t="n">
        <f aca="false">YEAR($B730)</f>
        <v>2024</v>
      </c>
      <c r="D730" s="61" t="str">
        <f aca="false">"Q"&amp;ROUNDUP(MONTH($B730)/3,0)</f>
        <v>Q3</v>
      </c>
      <c r="E730" s="61" t="n">
        <f aca="false">MONTH($B730)</f>
        <v>8</v>
      </c>
      <c r="F730" s="61" t="str">
        <f aca="false">INDEX(Parametros!$I$5:$I$16,$E730)</f>
        <v>Ago</v>
      </c>
      <c r="G730" s="61" t="str">
        <f aca="false">TEXT($C730,"0000")&amp;"-"&amp;TEXT($E730,"00")</f>
        <v>2024-08</v>
      </c>
      <c r="H730" s="61" t="str">
        <f aca="false">INDEX(Parametros!$C$71:$C$91,MATCH(TRIM(INDEX(Datos_Origen!$C$2:$C$2459,$Z730)),Parametros!$B$71:$B$91,0))</f>
        <v>Centro</v>
      </c>
      <c r="I730" s="61" t="str">
        <f aca="false">IF(TRIM($AD730)="",INDEX(Parametros!$I$20:$I$24,MATCH($H730,Parametros!$H$20:$H$24,0)),TRIM($AD730))</f>
        <v>Cordoba</v>
      </c>
      <c r="J730" s="61" t="str">
        <f aca="false">INDEX(Parametros!$C$95:$C$106,MATCH(TRIM(INDEX(Datos_Origen!$E$2:$E$2459,$Z730)),Parametros!$B$95:$B$106,0))</f>
        <v>Tienda fisica</v>
      </c>
      <c r="K730" s="61" t="str">
        <f aca="false">INDEX(Parametros!$C$48:$C$67,MATCH(TRIM(INDEX(Datos_Origen!$F$2:$F$2459,$Z730)),Parametros!$B$48:$B$67,0))</f>
        <v>Accesorios</v>
      </c>
      <c r="L730" s="61" t="str">
        <f aca="false">$K730&amp;" "&amp;$C730</f>
        <v>Accesorios 2024</v>
      </c>
      <c r="M730" s="61" t="str">
        <f aca="false">TRIM(INDEX(Datos_Origen!$G$2:$G$2459,$Z730))</f>
        <v>Teclado Mecanico</v>
      </c>
      <c r="N730" s="61" t="str">
        <f aca="false">$M730&amp;" "&amp;$C730</f>
        <v>Teclado Mecanico 2024</v>
      </c>
      <c r="O730" s="63" t="n">
        <f aca="false">IF(ISTEXT($AC730),VALUE($AC730),$AC730)</f>
        <v>65</v>
      </c>
      <c r="P730" s="64" t="n">
        <f aca="false">INDEX(Datos_Origen!$I$2:$I$2459,$Z730)</f>
        <v>93.1</v>
      </c>
      <c r="Q730" s="64" t="n">
        <f aca="false">INDEX(Datos_Origen!$J$2:$J$2459,$Z730)</f>
        <v>47.98</v>
      </c>
      <c r="R730" s="65" t="n">
        <f aca="false">ROUND($O730*$P730,2)</f>
        <v>6051.5</v>
      </c>
      <c r="S730" s="65" t="n">
        <f aca="false">ROUND($O730*$Q730,2)</f>
        <v>3118.7</v>
      </c>
      <c r="T730" s="65" t="n">
        <f aca="false">ROUND($R730*SUMIFS(Parametros!$E$28:$E$43,Parametros!$B$28:$B$43,$J730,Parametros!$C$28:$C$43,$C730,Parametros!$D$28:$D$43,$D730),2)</f>
        <v>78.67</v>
      </c>
      <c r="U730" s="65" t="n">
        <f aca="false">$R730-$S730-$T730</f>
        <v>2854.13</v>
      </c>
      <c r="V730" s="66" t="n">
        <f aca="false">IFERROR($U730/$R730,0)</f>
        <v>0.471640089234074</v>
      </c>
      <c r="W730" s="67" t="str">
        <f aca="false">IF(AND($V730&gt;=Parametros!$C$8,$R730&gt;=Parametros!$C$12),"Alta rentabilidad",IF(OR($V730&lt;Parametros!$C$11,$R730&lt;Parametros!$C$13),"Revisar","Estandar"))</f>
        <v>Alta rentabilidad</v>
      </c>
      <c r="X730" s="67" t="str">
        <f aca="false">IF(AND($J730="E-commerce",IFERROR($T730/$R730,0)&gt;Parametros!$C$14),"Alerta","OK")</f>
        <v>OK</v>
      </c>
      <c r="Y730" s="61" t="str">
        <f aca="false">IF($R730&gt;=Parametros!$C$12,"Alto",IF($R730&lt;Parametros!$C$13,"Bajo","Medio"))</f>
        <v>Alto</v>
      </c>
      <c r="Z730" s="61" t="n">
        <v>1160</v>
      </c>
      <c r="AA730" s="61" t="str">
        <f aca="false">IF(MATCH($A730,Datos_Origen!$A$2:$A$2459,0)=$Z730,"OK","REVISAR")</f>
        <v>OK</v>
      </c>
      <c r="AB730" s="62" t="n">
        <f aca="false">INDEX(Datos_Origen!$B$2:$B$2459,$Z730)</f>
        <v>45505</v>
      </c>
      <c r="AC730" s="61" t="n">
        <f aca="false">INDEX(Datos_Origen!$H$2:$H$2459,$Z730)</f>
        <v>65</v>
      </c>
      <c r="AD730" s="61" t="str">
        <f aca="false">INDEX(Datos_Origen!$D$2:$D$2459,$Z730)&amp;""</f>
        <v>Cordoba</v>
      </c>
    </row>
    <row r="731" customFormat="false" ht="15" hidden="false" customHeight="false" outlineLevel="0" collapsed="false">
      <c r="A731" s="61" t="n">
        <f aca="false">INDEX(Datos_Origen!$A$2:$A$2459,$Z731)</f>
        <v>730</v>
      </c>
      <c r="B731" s="62" t="n">
        <f aca="false">IF(ISNUMBER($AB731),$AB731,IF(MID($AB731,5,1)="-",DATE(VALUE(LEFT($AB731,4)),VALUE(MID($AB731,6,2)),VALUE(RIGHT($AB731,2))),DATE(VALUE(RIGHT($AB731,4)),VALUE(MID($AB731,4,2)),VALUE(LEFT($AB731,2)))))</f>
        <v>45512</v>
      </c>
      <c r="C731" s="61" t="n">
        <f aca="false">YEAR($B731)</f>
        <v>2024</v>
      </c>
      <c r="D731" s="61" t="str">
        <f aca="false">"Q"&amp;ROUNDUP(MONTH($B731)/3,0)</f>
        <v>Q3</v>
      </c>
      <c r="E731" s="61" t="n">
        <f aca="false">MONTH($B731)</f>
        <v>8</v>
      </c>
      <c r="F731" s="61" t="str">
        <f aca="false">INDEX(Parametros!$I$5:$I$16,$E731)</f>
        <v>Ago</v>
      </c>
      <c r="G731" s="61" t="str">
        <f aca="false">TEXT($C731,"0000")&amp;"-"&amp;TEXT($E731,"00")</f>
        <v>2024-08</v>
      </c>
      <c r="H731" s="61" t="str">
        <f aca="false">INDEX(Parametros!$C$71:$C$91,MATCH(TRIM(INDEX(Datos_Origen!$C$2:$C$2459,$Z731)),Parametros!$B$71:$B$91,0))</f>
        <v>Centro</v>
      </c>
      <c r="I731" s="61" t="str">
        <f aca="false">IF(TRIM($AD731)="",INDEX(Parametros!$I$20:$I$24,MATCH($H731,Parametros!$H$20:$H$24,0)),TRIM($AD731))</f>
        <v>Cordoba</v>
      </c>
      <c r="J731" s="61" t="str">
        <f aca="false">INDEX(Parametros!$C$95:$C$106,MATCH(TRIM(INDEX(Datos_Origen!$E$2:$E$2459,$Z731)),Parametros!$B$95:$B$106,0))</f>
        <v>E-commerce</v>
      </c>
      <c r="K731" s="61" t="str">
        <f aca="false">INDEX(Parametros!$C$48:$C$67,MATCH(TRIM(INDEX(Datos_Origen!$F$2:$F$2459,$Z731)),Parametros!$B$48:$B$67,0))</f>
        <v>Accesorios</v>
      </c>
      <c r="L731" s="61" t="str">
        <f aca="false">$K731&amp;" "&amp;$C731</f>
        <v>Accesorios 2024</v>
      </c>
      <c r="M731" s="61" t="str">
        <f aca="false">TRIM(INDEX(Datos_Origen!$G$2:$G$2459,$Z731))</f>
        <v>Teclado Mecanico</v>
      </c>
      <c r="N731" s="61" t="str">
        <f aca="false">$M731&amp;" "&amp;$C731</f>
        <v>Teclado Mecanico 2024</v>
      </c>
      <c r="O731" s="63" t="n">
        <f aca="false">IF(ISTEXT($AC731),VALUE($AC731),$AC731)</f>
        <v>25</v>
      </c>
      <c r="P731" s="64" t="n">
        <f aca="false">INDEX(Datos_Origen!$I$2:$I$2459,$Z731)</f>
        <v>93.1</v>
      </c>
      <c r="Q731" s="64" t="n">
        <f aca="false">INDEX(Datos_Origen!$J$2:$J$2459,$Z731)</f>
        <v>47.98</v>
      </c>
      <c r="R731" s="65" t="n">
        <f aca="false">ROUND($O731*$P731,2)</f>
        <v>2327.5</v>
      </c>
      <c r="S731" s="65" t="n">
        <f aca="false">ROUND($O731*$Q731,2)</f>
        <v>1199.5</v>
      </c>
      <c r="T731" s="65" t="n">
        <f aca="false">ROUND($R731*SUMIFS(Parametros!$E$28:$E$43,Parametros!$B$28:$B$43,$J731,Parametros!$C$28:$C$43,$C731,Parametros!$D$28:$D$43,$D731),2)</f>
        <v>107.07</v>
      </c>
      <c r="U731" s="65" t="n">
        <f aca="false">$R731-$S731-$T731</f>
        <v>1020.93</v>
      </c>
      <c r="V731" s="66" t="n">
        <f aca="false">IFERROR($U731/$R731,0)</f>
        <v>0.438638023630505</v>
      </c>
      <c r="W731" s="67" t="str">
        <f aca="false">IF(AND($V731&gt;=Parametros!$C$8,$R731&gt;=Parametros!$C$12),"Alta rentabilidad",IF(OR($V731&lt;Parametros!$C$11,$R731&lt;Parametros!$C$13),"Revisar","Estandar"))</f>
        <v>Estandar</v>
      </c>
      <c r="X731" s="67" t="str">
        <f aca="false">IF(AND($J731="E-commerce",IFERROR($T731/$R731,0)&gt;Parametros!$C$14),"Alerta","OK")</f>
        <v>OK</v>
      </c>
      <c r="Y731" s="61" t="str">
        <f aca="false">IF($R731&gt;=Parametros!$C$12,"Alto",IF($R731&lt;Parametros!$C$13,"Bajo","Medio"))</f>
        <v>Medio</v>
      </c>
      <c r="Z731" s="61" t="n">
        <v>1532</v>
      </c>
      <c r="AA731" s="61" t="str">
        <f aca="false">IF(MATCH($A731,Datos_Origen!$A$2:$A$2459,0)=$Z731,"OK","REVISAR")</f>
        <v>OK</v>
      </c>
      <c r="AB731" s="62" t="n">
        <f aca="false">INDEX(Datos_Origen!$B$2:$B$2459,$Z731)</f>
        <v>45512</v>
      </c>
      <c r="AC731" s="61" t="n">
        <f aca="false">INDEX(Datos_Origen!$H$2:$H$2459,$Z731)</f>
        <v>25</v>
      </c>
      <c r="AD731" s="61" t="str">
        <f aca="false">INDEX(Datos_Origen!$D$2:$D$2459,$Z731)&amp;""</f>
        <v>Cordoba</v>
      </c>
    </row>
    <row r="732" customFormat="false" ht="15" hidden="false" customHeight="false" outlineLevel="0" collapsed="false">
      <c r="A732" s="61" t="n">
        <f aca="false">INDEX(Datos_Origen!$A$2:$A$2459,$Z732)</f>
        <v>731</v>
      </c>
      <c r="B732" s="62" t="n">
        <f aca="false">IF(ISNUMBER($AB732),$AB732,IF(MID($AB732,5,1)="-",DATE(VALUE(LEFT($AB732,4)),VALUE(MID($AB732,6,2)),VALUE(RIGHT($AB732,2))),DATE(VALUE(RIGHT($AB732,4)),VALUE(MID($AB732,4,2)),VALUE(LEFT($AB732,2)))))</f>
        <v>45519</v>
      </c>
      <c r="C732" s="61" t="n">
        <f aca="false">YEAR($B732)</f>
        <v>2024</v>
      </c>
      <c r="D732" s="61" t="str">
        <f aca="false">"Q"&amp;ROUNDUP(MONTH($B732)/3,0)</f>
        <v>Q3</v>
      </c>
      <c r="E732" s="61" t="n">
        <f aca="false">MONTH($B732)</f>
        <v>8</v>
      </c>
      <c r="F732" s="61" t="str">
        <f aca="false">INDEX(Parametros!$I$5:$I$16,$E732)</f>
        <v>Ago</v>
      </c>
      <c r="G732" s="61" t="str">
        <f aca="false">TEXT($C732,"0000")&amp;"-"&amp;TEXT($E732,"00")</f>
        <v>2024-08</v>
      </c>
      <c r="H732" s="61" t="str">
        <f aca="false">INDEX(Parametros!$C$71:$C$91,MATCH(TRIM(INDEX(Datos_Origen!$C$2:$C$2459,$Z732)),Parametros!$B$71:$B$91,0))</f>
        <v>Centro</v>
      </c>
      <c r="I732" s="61" t="str">
        <f aca="false">IF(TRIM($AD732)="",INDEX(Parametros!$I$20:$I$24,MATCH($H732,Parametros!$H$20:$H$24,0)),TRIM($AD732))</f>
        <v>Cordoba</v>
      </c>
      <c r="J732" s="61" t="str">
        <f aca="false">INDEX(Parametros!$C$95:$C$106,MATCH(TRIM(INDEX(Datos_Origen!$E$2:$E$2459,$Z732)),Parametros!$B$95:$B$106,0))</f>
        <v>Tienda fisica</v>
      </c>
      <c r="K732" s="61" t="str">
        <f aca="false">INDEX(Parametros!$C$48:$C$67,MATCH(TRIM(INDEX(Datos_Origen!$F$2:$F$2459,$Z732)),Parametros!$B$48:$B$67,0))</f>
        <v>Accesorios</v>
      </c>
      <c r="L732" s="61" t="str">
        <f aca="false">$K732&amp;" "&amp;$C732</f>
        <v>Accesorios 2024</v>
      </c>
      <c r="M732" s="61" t="str">
        <f aca="false">TRIM(INDEX(Datos_Origen!$G$2:$G$2459,$Z732))</f>
        <v>Webcam Full HD</v>
      </c>
      <c r="N732" s="61" t="str">
        <f aca="false">$M732&amp;" "&amp;$C732</f>
        <v>Webcam Full HD 2024</v>
      </c>
      <c r="O732" s="63" t="n">
        <f aca="false">IF(ISTEXT($AC732),VALUE($AC732),$AC732)</f>
        <v>58</v>
      </c>
      <c r="P732" s="64" t="n">
        <f aca="false">INDEX(Datos_Origen!$I$2:$I$2459,$Z732)</f>
        <v>63.7</v>
      </c>
      <c r="Q732" s="64" t="n">
        <f aca="false">INDEX(Datos_Origen!$J$2:$J$2459,$Z732)</f>
        <v>35.43</v>
      </c>
      <c r="R732" s="65" t="n">
        <f aca="false">ROUND($O732*$P732,2)</f>
        <v>3694.6</v>
      </c>
      <c r="S732" s="65" t="n">
        <f aca="false">ROUND($O732*$Q732,2)</f>
        <v>2054.94</v>
      </c>
      <c r="T732" s="65" t="n">
        <f aca="false">ROUND($R732*SUMIFS(Parametros!$E$28:$E$43,Parametros!$B$28:$B$43,$J732,Parametros!$C$28:$C$43,$C732,Parametros!$D$28:$D$43,$D732),2)</f>
        <v>48.03</v>
      </c>
      <c r="U732" s="65" t="n">
        <f aca="false">$R732-$S732-$T732</f>
        <v>1591.63</v>
      </c>
      <c r="V732" s="66" t="n">
        <f aca="false">IFERROR($U732/$R732,0)</f>
        <v>0.430799003951713</v>
      </c>
      <c r="W732" s="67" t="str">
        <f aca="false">IF(AND($V732&gt;=Parametros!$C$8,$R732&gt;=Parametros!$C$12),"Alta rentabilidad",IF(OR($V732&lt;Parametros!$C$11,$R732&lt;Parametros!$C$13),"Revisar","Estandar"))</f>
        <v>Alta rentabilidad</v>
      </c>
      <c r="X732" s="67" t="str">
        <f aca="false">IF(AND($J732="E-commerce",IFERROR($T732/$R732,0)&gt;Parametros!$C$14),"Alerta","OK")</f>
        <v>OK</v>
      </c>
      <c r="Y732" s="61" t="str">
        <f aca="false">IF($R732&gt;=Parametros!$C$12,"Alto",IF($R732&lt;Parametros!$C$13,"Bajo","Medio"))</f>
        <v>Alto</v>
      </c>
      <c r="Z732" s="61" t="n">
        <v>408</v>
      </c>
      <c r="AA732" s="61" t="str">
        <f aca="false">IF(MATCH($A732,Datos_Origen!$A$2:$A$2459,0)=$Z732,"OK","REVISAR")</f>
        <v>OK</v>
      </c>
      <c r="AB732" s="62" t="n">
        <f aca="false">INDEX(Datos_Origen!$B$2:$B$2459,$Z732)</f>
        <v>45519</v>
      </c>
      <c r="AC732" s="61" t="n">
        <f aca="false">INDEX(Datos_Origen!$H$2:$H$2459,$Z732)</f>
        <v>58</v>
      </c>
      <c r="AD732" s="61" t="str">
        <f aca="false">INDEX(Datos_Origen!$D$2:$D$2459,$Z732)&amp;""</f>
        <v>Cordoba</v>
      </c>
    </row>
    <row r="733" customFormat="false" ht="15" hidden="false" customHeight="false" outlineLevel="0" collapsed="false">
      <c r="A733" s="61" t="n">
        <f aca="false">INDEX(Datos_Origen!$A$2:$A$2459,$Z733)</f>
        <v>732</v>
      </c>
      <c r="B733" s="62" t="n">
        <f aca="false">IF(ISNUMBER($AB733),$AB733,IF(MID($AB733,5,1)="-",DATE(VALUE(LEFT($AB733,4)),VALUE(MID($AB733,6,2)),VALUE(RIGHT($AB733,2))),DATE(VALUE(RIGHT($AB733,4)),VALUE(MID($AB733,4,2)),VALUE(LEFT($AB733,2)))))</f>
        <v>45526</v>
      </c>
      <c r="C733" s="61" t="n">
        <f aca="false">YEAR($B733)</f>
        <v>2024</v>
      </c>
      <c r="D733" s="61" t="str">
        <f aca="false">"Q"&amp;ROUNDUP(MONTH($B733)/3,0)</f>
        <v>Q3</v>
      </c>
      <c r="E733" s="61" t="n">
        <f aca="false">MONTH($B733)</f>
        <v>8</v>
      </c>
      <c r="F733" s="61" t="str">
        <f aca="false">INDEX(Parametros!$I$5:$I$16,$E733)</f>
        <v>Ago</v>
      </c>
      <c r="G733" s="61" t="str">
        <f aca="false">TEXT($C733,"0000")&amp;"-"&amp;TEXT($E733,"00")</f>
        <v>2024-08</v>
      </c>
      <c r="H733" s="61" t="str">
        <f aca="false">INDEX(Parametros!$C$71:$C$91,MATCH(TRIM(INDEX(Datos_Origen!$C$2:$C$2459,$Z733)),Parametros!$B$71:$B$91,0))</f>
        <v>Centro</v>
      </c>
      <c r="I733" s="61" t="str">
        <f aca="false">IF(TRIM($AD733)="",INDEX(Parametros!$I$20:$I$24,MATCH($H733,Parametros!$H$20:$H$24,0)),TRIM($AD733))</f>
        <v>Cordoba</v>
      </c>
      <c r="J733" s="61" t="str">
        <f aca="false">INDEX(Parametros!$C$95:$C$106,MATCH(TRIM(INDEX(Datos_Origen!$E$2:$E$2459,$Z733)),Parametros!$B$95:$B$106,0))</f>
        <v>E-commerce</v>
      </c>
      <c r="K733" s="61" t="str">
        <f aca="false">INDEX(Parametros!$C$48:$C$67,MATCH(TRIM(INDEX(Datos_Origen!$F$2:$F$2459,$Z733)),Parametros!$B$48:$B$67,0))</f>
        <v>Accesorios</v>
      </c>
      <c r="L733" s="61" t="str">
        <f aca="false">$K733&amp;" "&amp;$C733</f>
        <v>Accesorios 2024</v>
      </c>
      <c r="M733" s="61" t="str">
        <f aca="false">TRIM(INDEX(Datos_Origen!$G$2:$G$2459,$Z733))</f>
        <v>Webcam Full HD</v>
      </c>
      <c r="N733" s="61" t="str">
        <f aca="false">$M733&amp;" "&amp;$C733</f>
        <v>Webcam Full HD 2024</v>
      </c>
      <c r="O733" s="63" t="n">
        <f aca="false">IF(ISTEXT($AC733),VALUE($AC733),$AC733)</f>
        <v>19</v>
      </c>
      <c r="P733" s="64" t="n">
        <f aca="false">INDEX(Datos_Origen!$I$2:$I$2459,$Z733)</f>
        <v>63.7</v>
      </c>
      <c r="Q733" s="64" t="n">
        <f aca="false">INDEX(Datos_Origen!$J$2:$J$2459,$Z733)</f>
        <v>35.43</v>
      </c>
      <c r="R733" s="65" t="n">
        <f aca="false">ROUND($O733*$P733,2)</f>
        <v>1210.3</v>
      </c>
      <c r="S733" s="65" t="n">
        <f aca="false">ROUND($O733*$Q733,2)</f>
        <v>673.17</v>
      </c>
      <c r="T733" s="65" t="n">
        <f aca="false">ROUND($R733*SUMIFS(Parametros!$E$28:$E$43,Parametros!$B$28:$B$43,$J733,Parametros!$C$28:$C$43,$C733,Parametros!$D$28:$D$43,$D733),2)</f>
        <v>55.67</v>
      </c>
      <c r="U733" s="65" t="n">
        <f aca="false">$R733-$S733-$T733</f>
        <v>481.46</v>
      </c>
      <c r="V733" s="66" t="n">
        <f aca="false">IFERROR($U733/$R733,0)</f>
        <v>0.397802197802198</v>
      </c>
      <c r="W733" s="67" t="str">
        <f aca="false">IF(AND($V733&gt;=Parametros!$C$8,$R733&gt;=Parametros!$C$12),"Alta rentabilidad",IF(OR($V733&lt;Parametros!$C$11,$R733&lt;Parametros!$C$13),"Revisar","Estandar"))</f>
        <v>Estandar</v>
      </c>
      <c r="X733" s="67" t="str">
        <f aca="false">IF(AND($J733="E-commerce",IFERROR($T733/$R733,0)&gt;Parametros!$C$14),"Alerta","OK")</f>
        <v>OK</v>
      </c>
      <c r="Y733" s="61" t="str">
        <f aca="false">IF($R733&gt;=Parametros!$C$12,"Alto",IF($R733&lt;Parametros!$C$13,"Bajo","Medio"))</f>
        <v>Medio</v>
      </c>
      <c r="Z733" s="61" t="n">
        <v>1708</v>
      </c>
      <c r="AA733" s="61" t="str">
        <f aca="false">IF(MATCH($A733,Datos_Origen!$A$2:$A$2459,0)=$Z733,"OK","REVISAR")</f>
        <v>OK</v>
      </c>
      <c r="AB733" s="62" t="n">
        <f aca="false">INDEX(Datos_Origen!$B$2:$B$2459,$Z733)</f>
        <v>45526</v>
      </c>
      <c r="AC733" s="61" t="n">
        <f aca="false">INDEX(Datos_Origen!$H$2:$H$2459,$Z733)</f>
        <v>19</v>
      </c>
      <c r="AD733" s="61" t="str">
        <f aca="false">INDEX(Datos_Origen!$D$2:$D$2459,$Z733)&amp;""</f>
        <v>Cordoba</v>
      </c>
    </row>
    <row r="734" customFormat="false" ht="15" hidden="false" customHeight="false" outlineLevel="0" collapsed="false">
      <c r="A734" s="61" t="n">
        <f aca="false">INDEX(Datos_Origen!$A$2:$A$2459,$Z734)</f>
        <v>733</v>
      </c>
      <c r="B734" s="62" t="n">
        <f aca="false">IF(ISNUMBER($AB734),$AB734,IF(MID($AB734,5,1)="-",DATE(VALUE(LEFT($AB734,4)),VALUE(MID($AB734,6,2)),VALUE(RIGHT($AB734,2))),DATE(VALUE(RIGHT($AB734,4)),VALUE(MID($AB734,4,2)),VALUE(LEFT($AB734,2)))))</f>
        <v>45506</v>
      </c>
      <c r="C734" s="61" t="n">
        <f aca="false">YEAR($B734)</f>
        <v>2024</v>
      </c>
      <c r="D734" s="61" t="str">
        <f aca="false">"Q"&amp;ROUNDUP(MONTH($B734)/3,0)</f>
        <v>Q3</v>
      </c>
      <c r="E734" s="61" t="n">
        <f aca="false">MONTH($B734)</f>
        <v>8</v>
      </c>
      <c r="F734" s="61" t="str">
        <f aca="false">INDEX(Parametros!$I$5:$I$16,$E734)</f>
        <v>Ago</v>
      </c>
      <c r="G734" s="61" t="str">
        <f aca="false">TEXT($C734,"0000")&amp;"-"&amp;TEXT($E734,"00")</f>
        <v>2024-08</v>
      </c>
      <c r="H734" s="61" t="str">
        <f aca="false">INDEX(Parametros!$C$71:$C$91,MATCH(TRIM(INDEX(Datos_Origen!$C$2:$C$2459,$Z734)),Parametros!$B$71:$B$91,0))</f>
        <v>Centro</v>
      </c>
      <c r="I734" s="61" t="str">
        <f aca="false">IF(TRIM($AD734)="",INDEX(Parametros!$I$20:$I$24,MATCH($H734,Parametros!$H$20:$H$24,0)),TRIM($AD734))</f>
        <v>Cordoba</v>
      </c>
      <c r="J734" s="61" t="str">
        <f aca="false">INDEX(Parametros!$C$95:$C$106,MATCH(TRIM(INDEX(Datos_Origen!$E$2:$E$2459,$Z734)),Parametros!$B$95:$B$106,0))</f>
        <v>Tienda fisica</v>
      </c>
      <c r="K734" s="61" t="str">
        <f aca="false">INDEX(Parametros!$C$48:$C$67,MATCH(TRIM(INDEX(Datos_Origen!$F$2:$F$2459,$Z734)),Parametros!$B$48:$B$67,0))</f>
        <v>Audio</v>
      </c>
      <c r="L734" s="61" t="str">
        <f aca="false">$K734&amp;" "&amp;$C734</f>
        <v>Audio 2024</v>
      </c>
      <c r="M734" s="61" t="str">
        <f aca="false">TRIM(INDEX(Datos_Origen!$G$2:$G$2459,$Z734))</f>
        <v>Auriculares BT Pro</v>
      </c>
      <c r="N734" s="61" t="str">
        <f aca="false">$M734&amp;" "&amp;$C734</f>
        <v>Auriculares BT Pro 2024</v>
      </c>
      <c r="O734" s="63" t="n">
        <f aca="false">IF(ISTEXT($AC734),VALUE($AC734),$AC734)</f>
        <v>22</v>
      </c>
      <c r="P734" s="64" t="n">
        <f aca="false">INDEX(Datos_Origen!$I$2:$I$2459,$Z734)</f>
        <v>117.6</v>
      </c>
      <c r="Q734" s="64" t="n">
        <f aca="false">INDEX(Datos_Origen!$J$2:$J$2459,$Z734)</f>
        <v>63.6</v>
      </c>
      <c r="R734" s="65" t="n">
        <f aca="false">ROUND($O734*$P734,2)</f>
        <v>2587.2</v>
      </c>
      <c r="S734" s="65" t="n">
        <f aca="false">ROUND($O734*$Q734,2)</f>
        <v>1399.2</v>
      </c>
      <c r="T734" s="65" t="n">
        <f aca="false">ROUND($R734*SUMIFS(Parametros!$E$28:$E$43,Parametros!$B$28:$B$43,$J734,Parametros!$C$28:$C$43,$C734,Parametros!$D$28:$D$43,$D734),2)</f>
        <v>33.63</v>
      </c>
      <c r="U734" s="65" t="n">
        <f aca="false">$R734-$S734-$T734</f>
        <v>1154.37</v>
      </c>
      <c r="V734" s="66" t="n">
        <f aca="false">IFERROR($U734/$R734,0)</f>
        <v>0.446185064935065</v>
      </c>
      <c r="W734" s="67" t="str">
        <f aca="false">IF(AND($V734&gt;=Parametros!$C$8,$R734&gt;=Parametros!$C$12),"Alta rentabilidad",IF(OR($V734&lt;Parametros!$C$11,$R734&lt;Parametros!$C$13),"Revisar","Estandar"))</f>
        <v>Estandar</v>
      </c>
      <c r="X734" s="67" t="str">
        <f aca="false">IF(AND($J734="E-commerce",IFERROR($T734/$R734,0)&gt;Parametros!$C$14),"Alerta","OK")</f>
        <v>OK</v>
      </c>
      <c r="Y734" s="61" t="str">
        <f aca="false">IF($R734&gt;=Parametros!$C$12,"Alto",IF($R734&lt;Parametros!$C$13,"Bajo","Medio"))</f>
        <v>Medio</v>
      </c>
      <c r="Z734" s="61" t="n">
        <v>263</v>
      </c>
      <c r="AA734" s="61" t="str">
        <f aca="false">IF(MATCH($A734,Datos_Origen!$A$2:$A$2459,0)=$Z734,"OK","REVISAR")</f>
        <v>OK</v>
      </c>
      <c r="AB734" s="62" t="n">
        <f aca="false">INDEX(Datos_Origen!$B$2:$B$2459,$Z734)</f>
        <v>45506</v>
      </c>
      <c r="AC734" s="61" t="n">
        <f aca="false">INDEX(Datos_Origen!$H$2:$H$2459,$Z734)</f>
        <v>22</v>
      </c>
      <c r="AD734" s="61" t="str">
        <f aca="false">INDEX(Datos_Origen!$D$2:$D$2459,$Z734)&amp;""</f>
        <v>Cordoba</v>
      </c>
    </row>
    <row r="735" customFormat="false" ht="15" hidden="false" customHeight="false" outlineLevel="0" collapsed="false">
      <c r="A735" s="61" t="n">
        <f aca="false">INDEX(Datos_Origen!$A$2:$A$2459,$Z735)</f>
        <v>734</v>
      </c>
      <c r="B735" s="62" t="n">
        <f aca="false">IF(ISNUMBER($AB735),$AB735,IF(MID($AB735,5,1)="-",DATE(VALUE(LEFT($AB735,4)),VALUE(MID($AB735,6,2)),VALUE(RIGHT($AB735,2))),DATE(VALUE(RIGHT($AB735,4)),VALUE(MID($AB735,4,2)),VALUE(LEFT($AB735,2)))))</f>
        <v>45513</v>
      </c>
      <c r="C735" s="61" t="n">
        <f aca="false">YEAR($B735)</f>
        <v>2024</v>
      </c>
      <c r="D735" s="61" t="str">
        <f aca="false">"Q"&amp;ROUNDUP(MONTH($B735)/3,0)</f>
        <v>Q3</v>
      </c>
      <c r="E735" s="61" t="n">
        <f aca="false">MONTH($B735)</f>
        <v>8</v>
      </c>
      <c r="F735" s="61" t="str">
        <f aca="false">INDEX(Parametros!$I$5:$I$16,$E735)</f>
        <v>Ago</v>
      </c>
      <c r="G735" s="61" t="str">
        <f aca="false">TEXT($C735,"0000")&amp;"-"&amp;TEXT($E735,"00")</f>
        <v>2024-08</v>
      </c>
      <c r="H735" s="61" t="str">
        <f aca="false">INDEX(Parametros!$C$71:$C$91,MATCH(TRIM(INDEX(Datos_Origen!$C$2:$C$2459,$Z735)),Parametros!$B$71:$B$91,0))</f>
        <v>Centro</v>
      </c>
      <c r="I735" s="61" t="str">
        <f aca="false">IF(TRIM($AD735)="",INDEX(Parametros!$I$20:$I$24,MATCH($H735,Parametros!$H$20:$H$24,0)),TRIM($AD735))</f>
        <v>Cordoba</v>
      </c>
      <c r="J735" s="61" t="str">
        <f aca="false">INDEX(Parametros!$C$95:$C$106,MATCH(TRIM(INDEX(Datos_Origen!$E$2:$E$2459,$Z735)),Parametros!$B$95:$B$106,0))</f>
        <v>E-commerce</v>
      </c>
      <c r="K735" s="61" t="str">
        <f aca="false">INDEX(Parametros!$C$48:$C$67,MATCH(TRIM(INDEX(Datos_Origen!$F$2:$F$2459,$Z735)),Parametros!$B$48:$B$67,0))</f>
        <v>Audio</v>
      </c>
      <c r="L735" s="61" t="str">
        <f aca="false">$K735&amp;" "&amp;$C735</f>
        <v>Audio 2024</v>
      </c>
      <c r="M735" s="61" t="str">
        <f aca="false">TRIM(INDEX(Datos_Origen!$G$2:$G$2459,$Z735))</f>
        <v>Auriculares BT Pro</v>
      </c>
      <c r="N735" s="61" t="str">
        <f aca="false">$M735&amp;" "&amp;$C735</f>
        <v>Auriculares BT Pro 2024</v>
      </c>
      <c r="O735" s="63" t="n">
        <f aca="false">IF(ISTEXT($AC735),VALUE($AC735),$AC735)</f>
        <v>9</v>
      </c>
      <c r="P735" s="64" t="n">
        <f aca="false">INDEX(Datos_Origen!$I$2:$I$2459,$Z735)</f>
        <v>117.6</v>
      </c>
      <c r="Q735" s="64" t="n">
        <f aca="false">INDEX(Datos_Origen!$J$2:$J$2459,$Z735)</f>
        <v>63.6</v>
      </c>
      <c r="R735" s="65" t="n">
        <f aca="false">ROUND($O735*$P735,2)</f>
        <v>1058.4</v>
      </c>
      <c r="S735" s="65" t="n">
        <f aca="false">ROUND($O735*$Q735,2)</f>
        <v>572.4</v>
      </c>
      <c r="T735" s="65" t="n">
        <f aca="false">ROUND($R735*SUMIFS(Parametros!$E$28:$E$43,Parametros!$B$28:$B$43,$J735,Parametros!$C$28:$C$43,$C735,Parametros!$D$28:$D$43,$D735),2)</f>
        <v>48.69</v>
      </c>
      <c r="U735" s="65" t="n">
        <f aca="false">$R735-$S735-$T735</f>
        <v>437.31</v>
      </c>
      <c r="V735" s="66" t="n">
        <f aca="false">IFERROR($U735/$R735,0)</f>
        <v>0.413180272108844</v>
      </c>
      <c r="W735" s="67" t="str">
        <f aca="false">IF(AND($V735&gt;=Parametros!$C$8,$R735&gt;=Parametros!$C$12),"Alta rentabilidad",IF(OR($V735&lt;Parametros!$C$11,$R735&lt;Parametros!$C$13),"Revisar","Estandar"))</f>
        <v>Estandar</v>
      </c>
      <c r="X735" s="67" t="str">
        <f aca="false">IF(AND($J735="E-commerce",IFERROR($T735/$R735,0)&gt;Parametros!$C$14),"Alerta","OK")</f>
        <v>OK</v>
      </c>
      <c r="Y735" s="61" t="str">
        <f aca="false">IF($R735&gt;=Parametros!$C$12,"Alto",IF($R735&lt;Parametros!$C$13,"Bajo","Medio"))</f>
        <v>Medio</v>
      </c>
      <c r="Z735" s="61" t="n">
        <v>590</v>
      </c>
      <c r="AA735" s="61" t="str">
        <f aca="false">IF(MATCH($A735,Datos_Origen!$A$2:$A$2459,0)=$Z735,"OK","REVISAR")</f>
        <v>OK</v>
      </c>
      <c r="AB735" s="61" t="str">
        <f aca="false">INDEX(Datos_Origen!$B$2:$B$2459,$Z735)</f>
        <v>09/08/2024</v>
      </c>
      <c r="AC735" s="61" t="str">
        <f aca="false">INDEX(Datos_Origen!$H$2:$H$2459,$Z735)</f>
        <v>9</v>
      </c>
      <c r="AD735" s="61" t="str">
        <f aca="false">INDEX(Datos_Origen!$D$2:$D$2459,$Z735)&amp;""</f>
        <v>Cordoba</v>
      </c>
    </row>
    <row r="736" customFormat="false" ht="15" hidden="false" customHeight="false" outlineLevel="0" collapsed="false">
      <c r="A736" s="61" t="n">
        <f aca="false">INDEX(Datos_Origen!$A$2:$A$2459,$Z736)</f>
        <v>735</v>
      </c>
      <c r="B736" s="62" t="n">
        <f aca="false">IF(ISNUMBER($AB736),$AB736,IF(MID($AB736,5,1)="-",DATE(VALUE(LEFT($AB736,4)),VALUE(MID($AB736,6,2)),VALUE(RIGHT($AB736,2))),DATE(VALUE(RIGHT($AB736,4)),VALUE(MID($AB736,4,2)),VALUE(LEFT($AB736,2)))))</f>
        <v>45520</v>
      </c>
      <c r="C736" s="61" t="n">
        <f aca="false">YEAR($B736)</f>
        <v>2024</v>
      </c>
      <c r="D736" s="61" t="str">
        <f aca="false">"Q"&amp;ROUNDUP(MONTH($B736)/3,0)</f>
        <v>Q3</v>
      </c>
      <c r="E736" s="61" t="n">
        <f aca="false">MONTH($B736)</f>
        <v>8</v>
      </c>
      <c r="F736" s="61" t="str">
        <f aca="false">INDEX(Parametros!$I$5:$I$16,$E736)</f>
        <v>Ago</v>
      </c>
      <c r="G736" s="61" t="str">
        <f aca="false">TEXT($C736,"0000")&amp;"-"&amp;TEXT($E736,"00")</f>
        <v>2024-08</v>
      </c>
      <c r="H736" s="61" t="str">
        <f aca="false">INDEX(Parametros!$C$71:$C$91,MATCH(TRIM(INDEX(Datos_Origen!$C$2:$C$2459,$Z736)),Parametros!$B$71:$B$91,0))</f>
        <v>Centro</v>
      </c>
      <c r="I736" s="61" t="str">
        <f aca="false">IF(TRIM($AD736)="",INDEX(Parametros!$I$20:$I$24,MATCH($H736,Parametros!$H$20:$H$24,0)),TRIM($AD736))</f>
        <v>Cordoba</v>
      </c>
      <c r="J736" s="61" t="str">
        <f aca="false">INDEX(Parametros!$C$95:$C$106,MATCH(TRIM(INDEX(Datos_Origen!$E$2:$E$2459,$Z736)),Parametros!$B$95:$B$106,0))</f>
        <v>Tienda fisica</v>
      </c>
      <c r="K736" s="61" t="str">
        <f aca="false">INDEX(Parametros!$C$48:$C$67,MATCH(TRIM(INDEX(Datos_Origen!$F$2:$F$2459,$Z736)),Parametros!$B$48:$B$67,0))</f>
        <v>Audio</v>
      </c>
      <c r="L736" s="61" t="str">
        <f aca="false">$K736&amp;" "&amp;$C736</f>
        <v>Audio 2024</v>
      </c>
      <c r="M736" s="61" t="str">
        <f aca="false">TRIM(INDEX(Datos_Origen!$G$2:$G$2459,$Z736))</f>
        <v>Parlante Bluetooth</v>
      </c>
      <c r="N736" s="61" t="str">
        <f aca="false">$M736&amp;" "&amp;$C736</f>
        <v>Parlante Bluetooth 2024</v>
      </c>
      <c r="O736" s="63" t="n">
        <f aca="false">IF(ISTEXT($AC736),VALUE($AC736),$AC736)</f>
        <v>26</v>
      </c>
      <c r="P736" s="64" t="n">
        <f aca="false">INDEX(Datos_Origen!$I$2:$I$2459,$Z736)</f>
        <v>83.3</v>
      </c>
      <c r="Q736" s="64" t="n">
        <f aca="false">INDEX(Datos_Origen!$J$2:$J$2459,$Z736)</f>
        <v>48.03</v>
      </c>
      <c r="R736" s="65" t="n">
        <f aca="false">ROUND($O736*$P736,2)</f>
        <v>2165.8</v>
      </c>
      <c r="S736" s="65" t="n">
        <f aca="false">ROUND($O736*$Q736,2)</f>
        <v>1248.78</v>
      </c>
      <c r="T736" s="65" t="n">
        <f aca="false">ROUND($R736*SUMIFS(Parametros!$E$28:$E$43,Parametros!$B$28:$B$43,$J736,Parametros!$C$28:$C$43,$C736,Parametros!$D$28:$D$43,$D736),2)</f>
        <v>28.16</v>
      </c>
      <c r="U736" s="65" t="n">
        <f aca="false">$R736-$S736-$T736</f>
        <v>888.86</v>
      </c>
      <c r="V736" s="66" t="n">
        <f aca="false">IFERROR($U736/$R736,0)</f>
        <v>0.410407239819005</v>
      </c>
      <c r="W736" s="67" t="str">
        <f aca="false">IF(AND($V736&gt;=Parametros!$C$8,$R736&gt;=Parametros!$C$12),"Alta rentabilidad",IF(OR($V736&lt;Parametros!$C$11,$R736&lt;Parametros!$C$13),"Revisar","Estandar"))</f>
        <v>Estandar</v>
      </c>
      <c r="X736" s="67" t="str">
        <f aca="false">IF(AND($J736="E-commerce",IFERROR($T736/$R736,0)&gt;Parametros!$C$14),"Alerta","OK")</f>
        <v>OK</v>
      </c>
      <c r="Y736" s="61" t="str">
        <f aca="false">IF($R736&gt;=Parametros!$C$12,"Alto",IF($R736&lt;Parametros!$C$13,"Bajo","Medio"))</f>
        <v>Medio</v>
      </c>
      <c r="Z736" s="61" t="n">
        <v>138</v>
      </c>
      <c r="AA736" s="61" t="str">
        <f aca="false">IF(MATCH($A736,Datos_Origen!$A$2:$A$2459,0)=$Z736,"OK","REVISAR")</f>
        <v>OK</v>
      </c>
      <c r="AB736" s="61" t="str">
        <f aca="false">INDEX(Datos_Origen!$B$2:$B$2459,$Z736)</f>
        <v>16/08/2024</v>
      </c>
      <c r="AC736" s="61" t="n">
        <f aca="false">INDEX(Datos_Origen!$H$2:$H$2459,$Z736)</f>
        <v>26</v>
      </c>
      <c r="AD736" s="61" t="str">
        <f aca="false">INDEX(Datos_Origen!$D$2:$D$2459,$Z736)&amp;""</f>
        <v/>
      </c>
    </row>
    <row r="737" customFormat="false" ht="15" hidden="false" customHeight="false" outlineLevel="0" collapsed="false">
      <c r="A737" s="61" t="n">
        <f aca="false">INDEX(Datos_Origen!$A$2:$A$2459,$Z737)</f>
        <v>736</v>
      </c>
      <c r="B737" s="62" t="n">
        <f aca="false">IF(ISNUMBER($AB737),$AB737,IF(MID($AB737,5,1)="-",DATE(VALUE(LEFT($AB737,4)),VALUE(MID($AB737,6,2)),VALUE(RIGHT($AB737,2))),DATE(VALUE(RIGHT($AB737,4)),VALUE(MID($AB737,4,2)),VALUE(LEFT($AB737,2)))))</f>
        <v>45527</v>
      </c>
      <c r="C737" s="61" t="n">
        <f aca="false">YEAR($B737)</f>
        <v>2024</v>
      </c>
      <c r="D737" s="61" t="str">
        <f aca="false">"Q"&amp;ROUNDUP(MONTH($B737)/3,0)</f>
        <v>Q3</v>
      </c>
      <c r="E737" s="61" t="n">
        <f aca="false">MONTH($B737)</f>
        <v>8</v>
      </c>
      <c r="F737" s="61" t="str">
        <f aca="false">INDEX(Parametros!$I$5:$I$16,$E737)</f>
        <v>Ago</v>
      </c>
      <c r="G737" s="61" t="str">
        <f aca="false">TEXT($C737,"0000")&amp;"-"&amp;TEXT($E737,"00")</f>
        <v>2024-08</v>
      </c>
      <c r="H737" s="61" t="str">
        <f aca="false">INDEX(Parametros!$C$71:$C$91,MATCH(TRIM(INDEX(Datos_Origen!$C$2:$C$2459,$Z737)),Parametros!$B$71:$B$91,0))</f>
        <v>Centro</v>
      </c>
      <c r="I737" s="61" t="str">
        <f aca="false">IF(TRIM($AD737)="",INDEX(Parametros!$I$20:$I$24,MATCH($H737,Parametros!$H$20:$H$24,0)),TRIM($AD737))</f>
        <v>Cordoba</v>
      </c>
      <c r="J737" s="61" t="str">
        <f aca="false">INDEX(Parametros!$C$95:$C$106,MATCH(TRIM(INDEX(Datos_Origen!$E$2:$E$2459,$Z737)),Parametros!$B$95:$B$106,0))</f>
        <v>E-commerce</v>
      </c>
      <c r="K737" s="61" t="str">
        <f aca="false">INDEX(Parametros!$C$48:$C$67,MATCH(TRIM(INDEX(Datos_Origen!$F$2:$F$2459,$Z737)),Parametros!$B$48:$B$67,0))</f>
        <v>Audio</v>
      </c>
      <c r="L737" s="61" t="str">
        <f aca="false">$K737&amp;" "&amp;$C737</f>
        <v>Audio 2024</v>
      </c>
      <c r="M737" s="61" t="str">
        <f aca="false">TRIM(INDEX(Datos_Origen!$G$2:$G$2459,$Z737))</f>
        <v>Parlante Bluetooth</v>
      </c>
      <c r="N737" s="61" t="str">
        <f aca="false">$M737&amp;" "&amp;$C737</f>
        <v>Parlante Bluetooth 2024</v>
      </c>
      <c r="O737" s="63" t="n">
        <f aca="false">IF(ISTEXT($AC737),VALUE($AC737),$AC737)</f>
        <v>10</v>
      </c>
      <c r="P737" s="64" t="n">
        <f aca="false">INDEX(Datos_Origen!$I$2:$I$2459,$Z737)</f>
        <v>83.3</v>
      </c>
      <c r="Q737" s="64" t="n">
        <f aca="false">INDEX(Datos_Origen!$J$2:$J$2459,$Z737)</f>
        <v>48.03</v>
      </c>
      <c r="R737" s="65" t="n">
        <f aca="false">ROUND($O737*$P737,2)</f>
        <v>833</v>
      </c>
      <c r="S737" s="65" t="n">
        <f aca="false">ROUND($O737*$Q737,2)</f>
        <v>480.3</v>
      </c>
      <c r="T737" s="65" t="n">
        <f aca="false">ROUND($R737*SUMIFS(Parametros!$E$28:$E$43,Parametros!$B$28:$B$43,$J737,Parametros!$C$28:$C$43,$C737,Parametros!$D$28:$D$43,$D737),2)</f>
        <v>38.32</v>
      </c>
      <c r="U737" s="65" t="n">
        <f aca="false">$R737-$S737-$T737</f>
        <v>314.38</v>
      </c>
      <c r="V737" s="66" t="n">
        <f aca="false">IFERROR($U737/$R737,0)</f>
        <v>0.377406962785114</v>
      </c>
      <c r="W737" s="67" t="str">
        <f aca="false">IF(AND($V737&gt;=Parametros!$C$8,$R737&gt;=Parametros!$C$12),"Alta rentabilidad",IF(OR($V737&lt;Parametros!$C$11,$R737&lt;Parametros!$C$13),"Revisar","Estandar"))</f>
        <v>Estandar</v>
      </c>
      <c r="X737" s="67" t="str">
        <f aca="false">IF(AND($J737="E-commerce",IFERROR($T737/$R737,0)&gt;Parametros!$C$14),"Alerta","OK")</f>
        <v>OK</v>
      </c>
      <c r="Y737" s="61" t="str">
        <f aca="false">IF($R737&gt;=Parametros!$C$12,"Alto",IF($R737&lt;Parametros!$C$13,"Bajo","Medio"))</f>
        <v>Medio</v>
      </c>
      <c r="Z737" s="61" t="n">
        <v>1577</v>
      </c>
      <c r="AA737" s="61" t="str">
        <f aca="false">IF(MATCH($A737,Datos_Origen!$A$2:$A$2459,0)=$Z737,"OK","REVISAR")</f>
        <v>OK</v>
      </c>
      <c r="AB737" s="62" t="n">
        <f aca="false">INDEX(Datos_Origen!$B$2:$B$2459,$Z737)</f>
        <v>45527</v>
      </c>
      <c r="AC737" s="61" t="n">
        <f aca="false">INDEX(Datos_Origen!$H$2:$H$2459,$Z737)</f>
        <v>10</v>
      </c>
      <c r="AD737" s="61" t="str">
        <f aca="false">INDEX(Datos_Origen!$D$2:$D$2459,$Z737)&amp;""</f>
        <v>Cordoba</v>
      </c>
    </row>
    <row r="738" customFormat="false" ht="15" hidden="false" customHeight="false" outlineLevel="0" collapsed="false">
      <c r="A738" s="61" t="n">
        <f aca="false">INDEX(Datos_Origen!$A$2:$A$2459,$Z738)</f>
        <v>737</v>
      </c>
      <c r="B738" s="62" t="n">
        <f aca="false">IF(ISNUMBER($AB738),$AB738,IF(MID($AB738,5,1)="-",DATE(VALUE(LEFT($AB738,4)),VALUE(MID($AB738,6,2)),VALUE(RIGHT($AB738,2))),DATE(VALUE(RIGHT($AB738,4)),VALUE(MID($AB738,4,2)),VALUE(LEFT($AB738,2)))))</f>
        <v>45507</v>
      </c>
      <c r="C738" s="61" t="n">
        <f aca="false">YEAR($B738)</f>
        <v>2024</v>
      </c>
      <c r="D738" s="61" t="str">
        <f aca="false">"Q"&amp;ROUNDUP(MONTH($B738)/3,0)</f>
        <v>Q3</v>
      </c>
      <c r="E738" s="61" t="n">
        <f aca="false">MONTH($B738)</f>
        <v>8</v>
      </c>
      <c r="F738" s="61" t="str">
        <f aca="false">INDEX(Parametros!$I$5:$I$16,$E738)</f>
        <v>Ago</v>
      </c>
      <c r="G738" s="61" t="str">
        <f aca="false">TEXT($C738,"0000")&amp;"-"&amp;TEXT($E738,"00")</f>
        <v>2024-08</v>
      </c>
      <c r="H738" s="61" t="str">
        <f aca="false">INDEX(Parametros!$C$71:$C$91,MATCH(TRIM(INDEX(Datos_Origen!$C$2:$C$2459,$Z738)),Parametros!$B$71:$B$91,0))</f>
        <v>Centro</v>
      </c>
      <c r="I738" s="61" t="str">
        <f aca="false">IF(TRIM($AD738)="",INDEX(Parametros!$I$20:$I$24,MATCH($H738,Parametros!$H$20:$H$24,0)),TRIM($AD738))</f>
        <v>Cordoba</v>
      </c>
      <c r="J738" s="61" t="str">
        <f aca="false">INDEX(Parametros!$C$95:$C$106,MATCH(TRIM(INDEX(Datos_Origen!$E$2:$E$2459,$Z738)),Parametros!$B$95:$B$106,0))</f>
        <v>Tienda fisica</v>
      </c>
      <c r="K738" s="61" t="str">
        <f aca="false">INDEX(Parametros!$C$48:$C$67,MATCH(TRIM(INDEX(Datos_Origen!$F$2:$F$2459,$Z738)),Parametros!$B$48:$B$67,0))</f>
        <v>Almacenamiento</v>
      </c>
      <c r="L738" s="61" t="str">
        <f aca="false">$K738&amp;" "&amp;$C738</f>
        <v>Almacenamiento 2024</v>
      </c>
      <c r="M738" s="61" t="str">
        <f aca="false">TRIM(INDEX(Datos_Origen!$G$2:$G$2459,$Z738))</f>
        <v>SSD Externo 1TB</v>
      </c>
      <c r="N738" s="61" t="str">
        <f aca="false">$M738&amp;" "&amp;$C738</f>
        <v>SSD Externo 1TB 2024</v>
      </c>
      <c r="O738" s="63" t="n">
        <f aca="false">IF(ISTEXT($AC738),VALUE($AC738),$AC738)</f>
        <v>27</v>
      </c>
      <c r="P738" s="64" t="n">
        <f aca="false">INDEX(Datos_Origen!$I$2:$I$2459,$Z738)</f>
        <v>127.4</v>
      </c>
      <c r="Q738" s="64" t="n">
        <f aca="false">INDEX(Datos_Origen!$J$2:$J$2459,$Z738)</f>
        <v>76.05</v>
      </c>
      <c r="R738" s="65" t="n">
        <f aca="false">ROUND($O738*$P738,2)</f>
        <v>3439.8</v>
      </c>
      <c r="S738" s="65" t="n">
        <f aca="false">ROUND($O738*$Q738,2)</f>
        <v>2053.35</v>
      </c>
      <c r="T738" s="65" t="n">
        <f aca="false">ROUND($R738*SUMIFS(Parametros!$E$28:$E$43,Parametros!$B$28:$B$43,$J738,Parametros!$C$28:$C$43,$C738,Parametros!$D$28:$D$43,$D738),2)</f>
        <v>44.72</v>
      </c>
      <c r="U738" s="65" t="n">
        <f aca="false">$R738-$S738-$T738</f>
        <v>1341.73</v>
      </c>
      <c r="V738" s="66" t="n">
        <f aca="false">IFERROR($U738/$R738,0)</f>
        <v>0.390060468631897</v>
      </c>
      <c r="W738" s="67" t="str">
        <f aca="false">IF(AND($V738&gt;=Parametros!$C$8,$R738&gt;=Parametros!$C$12),"Alta rentabilidad",IF(OR($V738&lt;Parametros!$C$11,$R738&lt;Parametros!$C$13),"Revisar","Estandar"))</f>
        <v>Alta rentabilidad</v>
      </c>
      <c r="X738" s="67" t="str">
        <f aca="false">IF(AND($J738="E-commerce",IFERROR($T738/$R738,0)&gt;Parametros!$C$14),"Alerta","OK")</f>
        <v>OK</v>
      </c>
      <c r="Y738" s="61" t="str">
        <f aca="false">IF($R738&gt;=Parametros!$C$12,"Alto",IF($R738&lt;Parametros!$C$13,"Bajo","Medio"))</f>
        <v>Alto</v>
      </c>
      <c r="Z738" s="61" t="n">
        <v>2058</v>
      </c>
      <c r="AA738" s="61" t="str">
        <f aca="false">IF(MATCH($A738,Datos_Origen!$A$2:$A$2459,0)=$Z738,"OK","REVISAR")</f>
        <v>OK</v>
      </c>
      <c r="AB738" s="62" t="n">
        <f aca="false">INDEX(Datos_Origen!$B$2:$B$2459,$Z738)</f>
        <v>45507</v>
      </c>
      <c r="AC738" s="61" t="n">
        <f aca="false">INDEX(Datos_Origen!$H$2:$H$2459,$Z738)</f>
        <v>27</v>
      </c>
      <c r="AD738" s="61" t="str">
        <f aca="false">INDEX(Datos_Origen!$D$2:$D$2459,$Z738)&amp;""</f>
        <v>Cordoba</v>
      </c>
    </row>
    <row r="739" customFormat="false" ht="15" hidden="false" customHeight="false" outlineLevel="0" collapsed="false">
      <c r="A739" s="61" t="n">
        <f aca="false">INDEX(Datos_Origen!$A$2:$A$2459,$Z739)</f>
        <v>738</v>
      </c>
      <c r="B739" s="62" t="n">
        <f aca="false">IF(ISNUMBER($AB739),$AB739,IF(MID($AB739,5,1)="-",DATE(VALUE(LEFT($AB739,4)),VALUE(MID($AB739,6,2)),VALUE(RIGHT($AB739,2))),DATE(VALUE(RIGHT($AB739,4)),VALUE(MID($AB739,4,2)),VALUE(LEFT($AB739,2)))))</f>
        <v>45514</v>
      </c>
      <c r="C739" s="61" t="n">
        <f aca="false">YEAR($B739)</f>
        <v>2024</v>
      </c>
      <c r="D739" s="61" t="str">
        <f aca="false">"Q"&amp;ROUNDUP(MONTH($B739)/3,0)</f>
        <v>Q3</v>
      </c>
      <c r="E739" s="61" t="n">
        <f aca="false">MONTH($B739)</f>
        <v>8</v>
      </c>
      <c r="F739" s="61" t="str">
        <f aca="false">INDEX(Parametros!$I$5:$I$16,$E739)</f>
        <v>Ago</v>
      </c>
      <c r="G739" s="61" t="str">
        <f aca="false">TEXT($C739,"0000")&amp;"-"&amp;TEXT($E739,"00")</f>
        <v>2024-08</v>
      </c>
      <c r="H739" s="61" t="str">
        <f aca="false">INDEX(Parametros!$C$71:$C$91,MATCH(TRIM(INDEX(Datos_Origen!$C$2:$C$2459,$Z739)),Parametros!$B$71:$B$91,0))</f>
        <v>Centro</v>
      </c>
      <c r="I739" s="61" t="str">
        <f aca="false">IF(TRIM($AD739)="",INDEX(Parametros!$I$20:$I$24,MATCH($H739,Parametros!$H$20:$H$24,0)),TRIM($AD739))</f>
        <v>Cordoba</v>
      </c>
      <c r="J739" s="61" t="str">
        <f aca="false">INDEX(Parametros!$C$95:$C$106,MATCH(TRIM(INDEX(Datos_Origen!$E$2:$E$2459,$Z739)),Parametros!$B$95:$B$106,0))</f>
        <v>E-commerce</v>
      </c>
      <c r="K739" s="61" t="str">
        <f aca="false">INDEX(Parametros!$C$48:$C$67,MATCH(TRIM(INDEX(Datos_Origen!$F$2:$F$2459,$Z739)),Parametros!$B$48:$B$67,0))</f>
        <v>Almacenamiento</v>
      </c>
      <c r="L739" s="61" t="str">
        <f aca="false">$K739&amp;" "&amp;$C739</f>
        <v>Almacenamiento 2024</v>
      </c>
      <c r="M739" s="61" t="str">
        <f aca="false">TRIM(INDEX(Datos_Origen!$G$2:$G$2459,$Z739))</f>
        <v>SSD Externo 1TB</v>
      </c>
      <c r="N739" s="61" t="str">
        <f aca="false">$M739&amp;" "&amp;$C739</f>
        <v>SSD Externo 1TB 2024</v>
      </c>
      <c r="O739" s="63" t="n">
        <f aca="false">IF(ISTEXT($AC739),VALUE($AC739),$AC739)</f>
        <v>11</v>
      </c>
      <c r="P739" s="64" t="n">
        <f aca="false">INDEX(Datos_Origen!$I$2:$I$2459,$Z739)</f>
        <v>127.4</v>
      </c>
      <c r="Q739" s="64" t="n">
        <f aca="false">INDEX(Datos_Origen!$J$2:$J$2459,$Z739)</f>
        <v>76.05</v>
      </c>
      <c r="R739" s="65" t="n">
        <f aca="false">ROUND($O739*$P739,2)</f>
        <v>1401.4</v>
      </c>
      <c r="S739" s="65" t="n">
        <f aca="false">ROUND($O739*$Q739,2)</f>
        <v>836.55</v>
      </c>
      <c r="T739" s="65" t="n">
        <f aca="false">ROUND($R739*SUMIFS(Parametros!$E$28:$E$43,Parametros!$B$28:$B$43,$J739,Parametros!$C$28:$C$43,$C739,Parametros!$D$28:$D$43,$D739),2)</f>
        <v>64.46</v>
      </c>
      <c r="U739" s="65" t="n">
        <f aca="false">$R739-$S739-$T739</f>
        <v>500.39</v>
      </c>
      <c r="V739" s="66" t="n">
        <f aca="false">IFERROR($U739/$R739,0)</f>
        <v>0.357064364207221</v>
      </c>
      <c r="W739" s="67" t="str">
        <f aca="false">IF(AND($V739&gt;=Parametros!$C$8,$R739&gt;=Parametros!$C$12),"Alta rentabilidad",IF(OR($V739&lt;Parametros!$C$11,$R739&lt;Parametros!$C$13),"Revisar","Estandar"))</f>
        <v>Estandar</v>
      </c>
      <c r="X739" s="67" t="str">
        <f aca="false">IF(AND($J739="E-commerce",IFERROR($T739/$R739,0)&gt;Parametros!$C$14),"Alerta","OK")</f>
        <v>OK</v>
      </c>
      <c r="Y739" s="61" t="str">
        <f aca="false">IF($R739&gt;=Parametros!$C$12,"Alto",IF($R739&lt;Parametros!$C$13,"Bajo","Medio"))</f>
        <v>Medio</v>
      </c>
      <c r="Z739" s="61" t="n">
        <v>133</v>
      </c>
      <c r="AA739" s="61" t="str">
        <f aca="false">IF(MATCH($A739,Datos_Origen!$A$2:$A$2459,0)=$Z739,"OK","REVISAR")</f>
        <v>OK</v>
      </c>
      <c r="AB739" s="62" t="n">
        <f aca="false">INDEX(Datos_Origen!$B$2:$B$2459,$Z739)</f>
        <v>45514</v>
      </c>
      <c r="AC739" s="61" t="n">
        <f aca="false">INDEX(Datos_Origen!$H$2:$H$2459,$Z739)</f>
        <v>11</v>
      </c>
      <c r="AD739" s="61" t="str">
        <f aca="false">INDEX(Datos_Origen!$D$2:$D$2459,$Z739)&amp;""</f>
        <v>Cordoba</v>
      </c>
    </row>
    <row r="740" customFormat="false" ht="15" hidden="false" customHeight="false" outlineLevel="0" collapsed="false">
      <c r="A740" s="61" t="n">
        <f aca="false">INDEX(Datos_Origen!$A$2:$A$2459,$Z740)</f>
        <v>739</v>
      </c>
      <c r="B740" s="62" t="n">
        <f aca="false">IF(ISNUMBER($AB740),$AB740,IF(MID($AB740,5,1)="-",DATE(VALUE(LEFT($AB740,4)),VALUE(MID($AB740,6,2)),VALUE(RIGHT($AB740,2))),DATE(VALUE(RIGHT($AB740,4)),VALUE(MID($AB740,4,2)),VALUE(LEFT($AB740,2)))))</f>
        <v>45521</v>
      </c>
      <c r="C740" s="61" t="n">
        <f aca="false">YEAR($B740)</f>
        <v>2024</v>
      </c>
      <c r="D740" s="61" t="str">
        <f aca="false">"Q"&amp;ROUNDUP(MONTH($B740)/3,0)</f>
        <v>Q3</v>
      </c>
      <c r="E740" s="61" t="n">
        <f aca="false">MONTH($B740)</f>
        <v>8</v>
      </c>
      <c r="F740" s="61" t="str">
        <f aca="false">INDEX(Parametros!$I$5:$I$16,$E740)</f>
        <v>Ago</v>
      </c>
      <c r="G740" s="61" t="str">
        <f aca="false">TEXT($C740,"0000")&amp;"-"&amp;TEXT($E740,"00")</f>
        <v>2024-08</v>
      </c>
      <c r="H740" s="61" t="str">
        <f aca="false">INDEX(Parametros!$C$71:$C$91,MATCH(TRIM(INDEX(Datos_Origen!$C$2:$C$2459,$Z740)),Parametros!$B$71:$B$91,0))</f>
        <v>Centro</v>
      </c>
      <c r="I740" s="61" t="str">
        <f aca="false">IF(TRIM($AD740)="",INDEX(Parametros!$I$20:$I$24,MATCH($H740,Parametros!$H$20:$H$24,0)),TRIM($AD740))</f>
        <v>Cordoba</v>
      </c>
      <c r="J740" s="61" t="str">
        <f aca="false">INDEX(Parametros!$C$95:$C$106,MATCH(TRIM(INDEX(Datos_Origen!$E$2:$E$2459,$Z740)),Parametros!$B$95:$B$106,0))</f>
        <v>Tienda fisica</v>
      </c>
      <c r="K740" s="61" t="str">
        <f aca="false">INDEX(Parametros!$C$48:$C$67,MATCH(TRIM(INDEX(Datos_Origen!$F$2:$F$2459,$Z740)),Parametros!$B$48:$B$67,0))</f>
        <v>Almacenamiento</v>
      </c>
      <c r="L740" s="61" t="str">
        <f aca="false">$K740&amp;" "&amp;$C740</f>
        <v>Almacenamiento 2024</v>
      </c>
      <c r="M740" s="61" t="str">
        <f aca="false">TRIM(INDEX(Datos_Origen!$G$2:$G$2459,$Z740))</f>
        <v>Pendrive 256GB</v>
      </c>
      <c r="N740" s="61" t="str">
        <f aca="false">$M740&amp;" "&amp;$C740</f>
        <v>Pendrive 256GB 2024</v>
      </c>
      <c r="O740" s="63" t="n">
        <f aca="false">IF(ISTEXT($AC740),VALUE($AC740),$AC740)</f>
        <v>33</v>
      </c>
      <c r="P740" s="64" t="n">
        <f aca="false">INDEX(Datos_Origen!$I$2:$I$2459,$Z740)</f>
        <v>34.3</v>
      </c>
      <c r="Q740" s="64" t="n">
        <f aca="false">INDEX(Datos_Origen!$J$2:$J$2459,$Z740)</f>
        <v>17.85</v>
      </c>
      <c r="R740" s="65" t="n">
        <f aca="false">ROUND($O740*$P740,2)</f>
        <v>1131.9</v>
      </c>
      <c r="S740" s="65" t="n">
        <f aca="false">ROUND($O740*$Q740,2)</f>
        <v>589.05</v>
      </c>
      <c r="T740" s="65" t="n">
        <f aca="false">ROUND($R740*SUMIFS(Parametros!$E$28:$E$43,Parametros!$B$28:$B$43,$J740,Parametros!$C$28:$C$43,$C740,Parametros!$D$28:$D$43,$D740),2)</f>
        <v>14.71</v>
      </c>
      <c r="U740" s="65" t="n">
        <f aca="false">$R740-$S740-$T740</f>
        <v>528.14</v>
      </c>
      <c r="V740" s="66" t="n">
        <f aca="false">IFERROR($U740/$R740,0)</f>
        <v>0.466595989044969</v>
      </c>
      <c r="W740" s="67" t="str">
        <f aca="false">IF(AND($V740&gt;=Parametros!$C$8,$R740&gt;=Parametros!$C$12),"Alta rentabilidad",IF(OR($V740&lt;Parametros!$C$11,$R740&lt;Parametros!$C$13),"Revisar","Estandar"))</f>
        <v>Estandar</v>
      </c>
      <c r="X740" s="67" t="str">
        <f aca="false">IF(AND($J740="E-commerce",IFERROR($T740/$R740,0)&gt;Parametros!$C$14),"Alerta","OK")</f>
        <v>OK</v>
      </c>
      <c r="Y740" s="61" t="str">
        <f aca="false">IF($R740&gt;=Parametros!$C$12,"Alto",IF($R740&lt;Parametros!$C$13,"Bajo","Medio"))</f>
        <v>Medio</v>
      </c>
      <c r="Z740" s="61" t="n">
        <v>2023</v>
      </c>
      <c r="AA740" s="61" t="str">
        <f aca="false">IF(MATCH($A740,Datos_Origen!$A$2:$A$2459,0)=$Z740,"OK","REVISAR")</f>
        <v>OK</v>
      </c>
      <c r="AB740" s="62" t="n">
        <f aca="false">INDEX(Datos_Origen!$B$2:$B$2459,$Z740)</f>
        <v>45521</v>
      </c>
      <c r="AC740" s="61" t="n">
        <f aca="false">INDEX(Datos_Origen!$H$2:$H$2459,$Z740)</f>
        <v>33</v>
      </c>
      <c r="AD740" s="61" t="str">
        <f aca="false">INDEX(Datos_Origen!$D$2:$D$2459,$Z740)&amp;""</f>
        <v>Cordoba</v>
      </c>
    </row>
    <row r="741" customFormat="false" ht="15" hidden="false" customHeight="false" outlineLevel="0" collapsed="false">
      <c r="A741" s="61" t="n">
        <f aca="false">INDEX(Datos_Origen!$A$2:$A$2459,$Z741)</f>
        <v>740</v>
      </c>
      <c r="B741" s="62" t="n">
        <f aca="false">IF(ISNUMBER($AB741),$AB741,IF(MID($AB741,5,1)="-",DATE(VALUE(LEFT($AB741,4)),VALUE(MID($AB741,6,2)),VALUE(RIGHT($AB741,2))),DATE(VALUE(RIGHT($AB741,4)),VALUE(MID($AB741,4,2)),VALUE(LEFT($AB741,2)))))</f>
        <v>45528</v>
      </c>
      <c r="C741" s="61" t="n">
        <f aca="false">YEAR($B741)</f>
        <v>2024</v>
      </c>
      <c r="D741" s="61" t="str">
        <f aca="false">"Q"&amp;ROUNDUP(MONTH($B741)/3,0)</f>
        <v>Q3</v>
      </c>
      <c r="E741" s="61" t="n">
        <f aca="false">MONTH($B741)</f>
        <v>8</v>
      </c>
      <c r="F741" s="61" t="str">
        <f aca="false">INDEX(Parametros!$I$5:$I$16,$E741)</f>
        <v>Ago</v>
      </c>
      <c r="G741" s="61" t="str">
        <f aca="false">TEXT($C741,"0000")&amp;"-"&amp;TEXT($E741,"00")</f>
        <v>2024-08</v>
      </c>
      <c r="H741" s="61" t="str">
        <f aca="false">INDEX(Parametros!$C$71:$C$91,MATCH(TRIM(INDEX(Datos_Origen!$C$2:$C$2459,$Z741)),Parametros!$B$71:$B$91,0))</f>
        <v>Centro</v>
      </c>
      <c r="I741" s="61" t="str">
        <f aca="false">IF(TRIM($AD741)="",INDEX(Parametros!$I$20:$I$24,MATCH($H741,Parametros!$H$20:$H$24,0)),TRIM($AD741))</f>
        <v>Cordoba</v>
      </c>
      <c r="J741" s="61" t="str">
        <f aca="false">INDEX(Parametros!$C$95:$C$106,MATCH(TRIM(INDEX(Datos_Origen!$E$2:$E$2459,$Z741)),Parametros!$B$95:$B$106,0))</f>
        <v>E-commerce</v>
      </c>
      <c r="K741" s="61" t="str">
        <f aca="false">INDEX(Parametros!$C$48:$C$67,MATCH(TRIM(INDEX(Datos_Origen!$F$2:$F$2459,$Z741)),Parametros!$B$48:$B$67,0))</f>
        <v>Almacenamiento</v>
      </c>
      <c r="L741" s="61" t="str">
        <f aca="false">$K741&amp;" "&amp;$C741</f>
        <v>Almacenamiento 2024</v>
      </c>
      <c r="M741" s="61" t="str">
        <f aca="false">TRIM(INDEX(Datos_Origen!$G$2:$G$2459,$Z741))</f>
        <v>Pendrive 256GB</v>
      </c>
      <c r="N741" s="61" t="str">
        <f aca="false">$M741&amp;" "&amp;$C741</f>
        <v>Pendrive 256GB 2024</v>
      </c>
      <c r="O741" s="63" t="n">
        <f aca="false">IF(ISTEXT($AC741),VALUE($AC741),$AC741)</f>
        <v>12</v>
      </c>
      <c r="P741" s="64" t="n">
        <f aca="false">INDEX(Datos_Origen!$I$2:$I$2459,$Z741)</f>
        <v>34.3</v>
      </c>
      <c r="Q741" s="64" t="n">
        <f aca="false">INDEX(Datos_Origen!$J$2:$J$2459,$Z741)</f>
        <v>17.85</v>
      </c>
      <c r="R741" s="65" t="n">
        <f aca="false">ROUND($O741*$P741,2)</f>
        <v>411.6</v>
      </c>
      <c r="S741" s="65" t="n">
        <f aca="false">ROUND($O741*$Q741,2)</f>
        <v>214.2</v>
      </c>
      <c r="T741" s="65" t="n">
        <f aca="false">ROUND($R741*SUMIFS(Parametros!$E$28:$E$43,Parametros!$B$28:$B$43,$J741,Parametros!$C$28:$C$43,$C741,Parametros!$D$28:$D$43,$D741),2)</f>
        <v>18.93</v>
      </c>
      <c r="U741" s="65" t="n">
        <f aca="false">$R741-$S741-$T741</f>
        <v>178.47</v>
      </c>
      <c r="V741" s="66" t="n">
        <f aca="false">IFERROR($U741/$R741,0)</f>
        <v>0.433600583090379</v>
      </c>
      <c r="W741" s="67" t="str">
        <f aca="false">IF(AND($V741&gt;=Parametros!$C$8,$R741&gt;=Parametros!$C$12),"Alta rentabilidad",IF(OR($V741&lt;Parametros!$C$11,$R741&lt;Parametros!$C$13),"Revisar","Estandar"))</f>
        <v>Estandar</v>
      </c>
      <c r="X741" s="67" t="str">
        <f aca="false">IF(AND($J741="E-commerce",IFERROR($T741/$R741,0)&gt;Parametros!$C$14),"Alerta","OK")</f>
        <v>OK</v>
      </c>
      <c r="Y741" s="61" t="str">
        <f aca="false">IF($R741&gt;=Parametros!$C$12,"Alto",IF($R741&lt;Parametros!$C$13,"Bajo","Medio"))</f>
        <v>Medio</v>
      </c>
      <c r="Z741" s="61" t="n">
        <v>2232</v>
      </c>
      <c r="AA741" s="61" t="str">
        <f aca="false">IF(MATCH($A741,Datos_Origen!$A$2:$A$2459,0)=$Z741,"OK","REVISAR")</f>
        <v>OK</v>
      </c>
      <c r="AB741" s="61" t="str">
        <f aca="false">INDEX(Datos_Origen!$B$2:$B$2459,$Z741)</f>
        <v>2024-08-24</v>
      </c>
      <c r="AC741" s="61" t="n">
        <f aca="false">INDEX(Datos_Origen!$H$2:$H$2459,$Z741)</f>
        <v>12</v>
      </c>
      <c r="AD741" s="61" t="str">
        <f aca="false">INDEX(Datos_Origen!$D$2:$D$2459,$Z741)&amp;""</f>
        <v>Cordoba</v>
      </c>
    </row>
    <row r="742" customFormat="false" ht="15" hidden="false" customHeight="false" outlineLevel="0" collapsed="false">
      <c r="A742" s="61" t="n">
        <f aca="false">INDEX(Datos_Origen!$A$2:$A$2459,$Z742)</f>
        <v>741</v>
      </c>
      <c r="B742" s="62" t="n">
        <f aca="false">IF(ISNUMBER($AB742),$AB742,IF(MID($AB742,5,1)="-",DATE(VALUE(LEFT($AB742,4)),VALUE(MID($AB742,6,2)),VALUE(RIGHT($AB742,2))),DATE(VALUE(RIGHT($AB742,4)),VALUE(MID($AB742,4,2)),VALUE(LEFT($AB742,2)))))</f>
        <v>45508</v>
      </c>
      <c r="C742" s="61" t="n">
        <f aca="false">YEAR($B742)</f>
        <v>2024</v>
      </c>
      <c r="D742" s="61" t="str">
        <f aca="false">"Q"&amp;ROUNDUP(MONTH($B742)/3,0)</f>
        <v>Q3</v>
      </c>
      <c r="E742" s="61" t="n">
        <f aca="false">MONTH($B742)</f>
        <v>8</v>
      </c>
      <c r="F742" s="61" t="str">
        <f aca="false">INDEX(Parametros!$I$5:$I$16,$E742)</f>
        <v>Ago</v>
      </c>
      <c r="G742" s="61" t="str">
        <f aca="false">TEXT($C742,"0000")&amp;"-"&amp;TEXT($E742,"00")</f>
        <v>2024-08</v>
      </c>
      <c r="H742" s="61" t="str">
        <f aca="false">INDEX(Parametros!$C$71:$C$91,MATCH(TRIM(INDEX(Datos_Origen!$C$2:$C$2459,$Z742)),Parametros!$B$71:$B$91,0))</f>
        <v>Litoral</v>
      </c>
      <c r="I742" s="61" t="str">
        <f aca="false">IF(TRIM($AD742)="",INDEX(Parametros!$I$20:$I$24,MATCH($H742,Parametros!$H$20:$H$24,0)),TRIM($AD742))</f>
        <v>Rosario</v>
      </c>
      <c r="J742" s="61" t="str">
        <f aca="false">INDEX(Parametros!$C$95:$C$106,MATCH(TRIM(INDEX(Datos_Origen!$E$2:$E$2459,$Z742)),Parametros!$B$95:$B$106,0))</f>
        <v>Tienda fisica</v>
      </c>
      <c r="K742" s="61" t="str">
        <f aca="false">INDEX(Parametros!$C$48:$C$67,MATCH(TRIM(INDEX(Datos_Origen!$F$2:$F$2459,$Z742)),Parametros!$B$48:$B$67,0))</f>
        <v>Computacion</v>
      </c>
      <c r="L742" s="61" t="str">
        <f aca="false">$K742&amp;" "&amp;$C742</f>
        <v>Computacion 2024</v>
      </c>
      <c r="M742" s="61" t="str">
        <f aca="false">TRIM(INDEX(Datos_Origen!$G$2:$G$2459,$Z742))</f>
        <v>Laptop Pro 15</v>
      </c>
      <c r="N742" s="61" t="str">
        <f aca="false">$M742&amp;" "&amp;$C742</f>
        <v>Laptop Pro 15 2024</v>
      </c>
      <c r="O742" s="63" t="n">
        <f aca="false">IF(ISTEXT($AC742),VALUE($AC742),$AC742)</f>
        <v>9</v>
      </c>
      <c r="P742" s="64" t="n">
        <f aca="false">INDEX(Datos_Origen!$I$2:$I$2459,$Z742)</f>
        <v>1176</v>
      </c>
      <c r="Q742" s="64" t="n">
        <f aca="false">INDEX(Datos_Origen!$J$2:$J$2459,$Z742)</f>
        <v>744</v>
      </c>
      <c r="R742" s="65" t="n">
        <f aca="false">ROUND($O742*$P742,2)</f>
        <v>10584</v>
      </c>
      <c r="S742" s="65" t="n">
        <f aca="false">ROUND($O742*$Q742,2)</f>
        <v>6696</v>
      </c>
      <c r="T742" s="65" t="n">
        <f aca="false">ROUND($R742*SUMIFS(Parametros!$E$28:$E$43,Parametros!$B$28:$B$43,$J742,Parametros!$C$28:$C$43,$C742,Parametros!$D$28:$D$43,$D742),2)</f>
        <v>137.59</v>
      </c>
      <c r="U742" s="65" t="n">
        <f aca="false">$R742-$S742-$T742</f>
        <v>3750.41</v>
      </c>
      <c r="V742" s="66" t="n">
        <f aca="false">IFERROR($U742/$R742,0)</f>
        <v>0.354347127739985</v>
      </c>
      <c r="W742" s="67" t="str">
        <f aca="false">IF(AND($V742&gt;=Parametros!$C$8,$R742&gt;=Parametros!$C$12),"Alta rentabilidad",IF(OR($V742&lt;Parametros!$C$11,$R742&lt;Parametros!$C$13),"Revisar","Estandar"))</f>
        <v>Alta rentabilidad</v>
      </c>
      <c r="X742" s="67" t="str">
        <f aca="false">IF(AND($J742="E-commerce",IFERROR($T742/$R742,0)&gt;Parametros!$C$14),"Alerta","OK")</f>
        <v>OK</v>
      </c>
      <c r="Y742" s="61" t="str">
        <f aca="false">IF($R742&gt;=Parametros!$C$12,"Alto",IF($R742&lt;Parametros!$C$13,"Bajo","Medio"))</f>
        <v>Alto</v>
      </c>
      <c r="Z742" s="61" t="n">
        <v>1891</v>
      </c>
      <c r="AA742" s="61" t="str">
        <f aca="false">IF(MATCH($A742,Datos_Origen!$A$2:$A$2459,0)=$Z742,"OK","REVISAR")</f>
        <v>OK</v>
      </c>
      <c r="AB742" s="61" t="str">
        <f aca="false">INDEX(Datos_Origen!$B$2:$B$2459,$Z742)</f>
        <v>04/08/2024</v>
      </c>
      <c r="AC742" s="61" t="n">
        <f aca="false">INDEX(Datos_Origen!$H$2:$H$2459,$Z742)</f>
        <v>9</v>
      </c>
      <c r="AD742" s="61" t="str">
        <f aca="false">INDEX(Datos_Origen!$D$2:$D$2459,$Z742)&amp;""</f>
        <v>Rosario</v>
      </c>
    </row>
    <row r="743" customFormat="false" ht="15" hidden="false" customHeight="false" outlineLevel="0" collapsed="false">
      <c r="A743" s="61" t="n">
        <f aca="false">INDEX(Datos_Origen!$A$2:$A$2459,$Z743)</f>
        <v>742</v>
      </c>
      <c r="B743" s="62" t="n">
        <f aca="false">IF(ISNUMBER($AB743),$AB743,IF(MID($AB743,5,1)="-",DATE(VALUE(LEFT($AB743,4)),VALUE(MID($AB743,6,2)),VALUE(RIGHT($AB743,2))),DATE(VALUE(RIGHT($AB743,4)),VALUE(MID($AB743,4,2)),VALUE(LEFT($AB743,2)))))</f>
        <v>45515</v>
      </c>
      <c r="C743" s="61" t="n">
        <f aca="false">YEAR($B743)</f>
        <v>2024</v>
      </c>
      <c r="D743" s="61" t="str">
        <f aca="false">"Q"&amp;ROUNDUP(MONTH($B743)/3,0)</f>
        <v>Q3</v>
      </c>
      <c r="E743" s="61" t="n">
        <f aca="false">MONTH($B743)</f>
        <v>8</v>
      </c>
      <c r="F743" s="61" t="str">
        <f aca="false">INDEX(Parametros!$I$5:$I$16,$E743)</f>
        <v>Ago</v>
      </c>
      <c r="G743" s="61" t="str">
        <f aca="false">TEXT($C743,"0000")&amp;"-"&amp;TEXT($E743,"00")</f>
        <v>2024-08</v>
      </c>
      <c r="H743" s="61" t="str">
        <f aca="false">INDEX(Parametros!$C$71:$C$91,MATCH(TRIM(INDEX(Datos_Origen!$C$2:$C$2459,$Z743)),Parametros!$B$71:$B$91,0))</f>
        <v>Litoral</v>
      </c>
      <c r="I743" s="61" t="str">
        <f aca="false">IF(TRIM($AD743)="",INDEX(Parametros!$I$20:$I$24,MATCH($H743,Parametros!$H$20:$H$24,0)),TRIM($AD743))</f>
        <v>Rosario</v>
      </c>
      <c r="J743" s="61" t="str">
        <f aca="false">INDEX(Parametros!$C$95:$C$106,MATCH(TRIM(INDEX(Datos_Origen!$E$2:$E$2459,$Z743)),Parametros!$B$95:$B$106,0))</f>
        <v>E-commerce</v>
      </c>
      <c r="K743" s="61" t="str">
        <f aca="false">INDEX(Parametros!$C$48:$C$67,MATCH(TRIM(INDEX(Datos_Origen!$F$2:$F$2459,$Z743)),Parametros!$B$48:$B$67,0))</f>
        <v>Computacion</v>
      </c>
      <c r="L743" s="61" t="str">
        <f aca="false">$K743&amp;" "&amp;$C743</f>
        <v>Computacion 2024</v>
      </c>
      <c r="M743" s="61" t="str">
        <f aca="false">TRIM(INDEX(Datos_Origen!$G$2:$G$2459,$Z743))</f>
        <v>Laptop Pro 15</v>
      </c>
      <c r="N743" s="61" t="str">
        <f aca="false">$M743&amp;" "&amp;$C743</f>
        <v>Laptop Pro 15 2024</v>
      </c>
      <c r="O743" s="63" t="n">
        <f aca="false">IF(ISTEXT($AC743),VALUE($AC743),$AC743)</f>
        <v>4</v>
      </c>
      <c r="P743" s="64" t="n">
        <f aca="false">INDEX(Datos_Origen!$I$2:$I$2459,$Z743)</f>
        <v>1176</v>
      </c>
      <c r="Q743" s="64" t="n">
        <f aca="false">INDEX(Datos_Origen!$J$2:$J$2459,$Z743)</f>
        <v>744</v>
      </c>
      <c r="R743" s="65" t="n">
        <f aca="false">ROUND($O743*$P743,2)</f>
        <v>4704</v>
      </c>
      <c r="S743" s="65" t="n">
        <f aca="false">ROUND($O743*$Q743,2)</f>
        <v>2976</v>
      </c>
      <c r="T743" s="65" t="n">
        <f aca="false">ROUND($R743*SUMIFS(Parametros!$E$28:$E$43,Parametros!$B$28:$B$43,$J743,Parametros!$C$28:$C$43,$C743,Parametros!$D$28:$D$43,$D743),2)</f>
        <v>216.38</v>
      </c>
      <c r="U743" s="65" t="n">
        <f aca="false">$R743-$S743-$T743</f>
        <v>1511.62</v>
      </c>
      <c r="V743" s="66" t="n">
        <f aca="false">IFERROR($U743/$R743,0)</f>
        <v>0.321347789115646</v>
      </c>
      <c r="W743" s="67" t="str">
        <f aca="false">IF(AND($V743&gt;=Parametros!$C$8,$R743&gt;=Parametros!$C$12),"Alta rentabilidad",IF(OR($V743&lt;Parametros!$C$11,$R743&lt;Parametros!$C$13),"Revisar","Estandar"))</f>
        <v>Estandar</v>
      </c>
      <c r="X743" s="67" t="str">
        <f aca="false">IF(AND($J743="E-commerce",IFERROR($T743/$R743,0)&gt;Parametros!$C$14),"Alerta","OK")</f>
        <v>OK</v>
      </c>
      <c r="Y743" s="61" t="str">
        <f aca="false">IF($R743&gt;=Parametros!$C$12,"Alto",IF($R743&lt;Parametros!$C$13,"Bajo","Medio"))</f>
        <v>Alto</v>
      </c>
      <c r="Z743" s="61" t="n">
        <v>960</v>
      </c>
      <c r="AA743" s="61" t="str">
        <f aca="false">IF(MATCH($A743,Datos_Origen!$A$2:$A$2459,0)=$Z743,"OK","REVISAR")</f>
        <v>OK</v>
      </c>
      <c r="AB743" s="61" t="str">
        <f aca="false">INDEX(Datos_Origen!$B$2:$B$2459,$Z743)</f>
        <v>2024-08-11</v>
      </c>
      <c r="AC743" s="61" t="n">
        <f aca="false">INDEX(Datos_Origen!$H$2:$H$2459,$Z743)</f>
        <v>4</v>
      </c>
      <c r="AD743" s="61" t="str">
        <f aca="false">INDEX(Datos_Origen!$D$2:$D$2459,$Z743)&amp;""</f>
        <v>Rosario</v>
      </c>
    </row>
    <row r="744" customFormat="false" ht="15" hidden="false" customHeight="false" outlineLevel="0" collapsed="false">
      <c r="A744" s="61" t="n">
        <f aca="false">INDEX(Datos_Origen!$A$2:$A$2459,$Z744)</f>
        <v>743</v>
      </c>
      <c r="B744" s="62" t="n">
        <f aca="false">IF(ISNUMBER($AB744),$AB744,IF(MID($AB744,5,1)="-",DATE(VALUE(LEFT($AB744,4)),VALUE(MID($AB744,6,2)),VALUE(RIGHT($AB744,2))),DATE(VALUE(RIGHT($AB744,4)),VALUE(MID($AB744,4,2)),VALUE(LEFT($AB744,2)))))</f>
        <v>45522</v>
      </c>
      <c r="C744" s="61" t="n">
        <f aca="false">YEAR($B744)</f>
        <v>2024</v>
      </c>
      <c r="D744" s="61" t="str">
        <f aca="false">"Q"&amp;ROUNDUP(MONTH($B744)/3,0)</f>
        <v>Q3</v>
      </c>
      <c r="E744" s="61" t="n">
        <f aca="false">MONTH($B744)</f>
        <v>8</v>
      </c>
      <c r="F744" s="61" t="str">
        <f aca="false">INDEX(Parametros!$I$5:$I$16,$E744)</f>
        <v>Ago</v>
      </c>
      <c r="G744" s="61" t="str">
        <f aca="false">TEXT($C744,"0000")&amp;"-"&amp;TEXT($E744,"00")</f>
        <v>2024-08</v>
      </c>
      <c r="H744" s="61" t="str">
        <f aca="false">INDEX(Parametros!$C$71:$C$91,MATCH(TRIM(INDEX(Datos_Origen!$C$2:$C$2459,$Z744)),Parametros!$B$71:$B$91,0))</f>
        <v>Litoral</v>
      </c>
      <c r="I744" s="61" t="str">
        <f aca="false">IF(TRIM($AD744)="",INDEX(Parametros!$I$20:$I$24,MATCH($H744,Parametros!$H$20:$H$24,0)),TRIM($AD744))</f>
        <v>Rosario</v>
      </c>
      <c r="J744" s="61" t="str">
        <f aca="false">INDEX(Parametros!$C$95:$C$106,MATCH(TRIM(INDEX(Datos_Origen!$E$2:$E$2459,$Z744)),Parametros!$B$95:$B$106,0))</f>
        <v>Tienda fisica</v>
      </c>
      <c r="K744" s="61" t="str">
        <f aca="false">INDEX(Parametros!$C$48:$C$67,MATCH(TRIM(INDEX(Datos_Origen!$F$2:$F$2459,$Z744)),Parametros!$B$48:$B$67,0))</f>
        <v>Computacion</v>
      </c>
      <c r="L744" s="61" t="str">
        <f aca="false">$K744&amp;" "&amp;$C744</f>
        <v>Computacion 2024</v>
      </c>
      <c r="M744" s="61" t="str">
        <f aca="false">TRIM(INDEX(Datos_Origen!$G$2:$G$2459,$Z744))</f>
        <v>Monitor 4K 27</v>
      </c>
      <c r="N744" s="61" t="str">
        <f aca="false">$M744&amp;" "&amp;$C744</f>
        <v>Monitor 4K 27 2024</v>
      </c>
      <c r="O744" s="63" t="n">
        <f aca="false">IF(ISTEXT($AC744),VALUE($AC744),$AC744)</f>
        <v>8</v>
      </c>
      <c r="P744" s="64" t="n">
        <f aca="false">INDEX(Datos_Origen!$I$2:$I$2459,$Z744)</f>
        <v>441</v>
      </c>
      <c r="Q744" s="64" t="n">
        <f aca="false">INDEX(Datos_Origen!$J$2:$J$2459,$Z744)</f>
        <v>272.25</v>
      </c>
      <c r="R744" s="65" t="n">
        <f aca="false">ROUND($O744*$P744,2)</f>
        <v>3528</v>
      </c>
      <c r="S744" s="65" t="n">
        <f aca="false">ROUND($O744*$Q744,2)</f>
        <v>2178</v>
      </c>
      <c r="T744" s="65" t="n">
        <f aca="false">ROUND($R744*SUMIFS(Parametros!$E$28:$E$43,Parametros!$B$28:$B$43,$J744,Parametros!$C$28:$C$43,$C744,Parametros!$D$28:$D$43,$D744),2)</f>
        <v>45.86</v>
      </c>
      <c r="U744" s="65" t="n">
        <f aca="false">$R744-$S744-$T744</f>
        <v>1304.14</v>
      </c>
      <c r="V744" s="66" t="n">
        <f aca="false">IFERROR($U744/$R744,0)</f>
        <v>0.369654195011338</v>
      </c>
      <c r="W744" s="67" t="str">
        <f aca="false">IF(AND($V744&gt;=Parametros!$C$8,$R744&gt;=Parametros!$C$12),"Alta rentabilidad",IF(OR($V744&lt;Parametros!$C$11,$R744&lt;Parametros!$C$13),"Revisar","Estandar"))</f>
        <v>Alta rentabilidad</v>
      </c>
      <c r="X744" s="67" t="str">
        <f aca="false">IF(AND($J744="E-commerce",IFERROR($T744/$R744,0)&gt;Parametros!$C$14),"Alerta","OK")</f>
        <v>OK</v>
      </c>
      <c r="Y744" s="61" t="str">
        <f aca="false">IF($R744&gt;=Parametros!$C$12,"Alto",IF($R744&lt;Parametros!$C$13,"Bajo","Medio"))</f>
        <v>Alto</v>
      </c>
      <c r="Z744" s="61" t="n">
        <v>1112</v>
      </c>
      <c r="AA744" s="61" t="str">
        <f aca="false">IF(MATCH($A744,Datos_Origen!$A$2:$A$2459,0)=$Z744,"OK","REVISAR")</f>
        <v>OK</v>
      </c>
      <c r="AB744" s="62" t="n">
        <f aca="false">INDEX(Datos_Origen!$B$2:$B$2459,$Z744)</f>
        <v>45522</v>
      </c>
      <c r="AC744" s="61" t="n">
        <f aca="false">INDEX(Datos_Origen!$H$2:$H$2459,$Z744)</f>
        <v>8</v>
      </c>
      <c r="AD744" s="61" t="str">
        <f aca="false">INDEX(Datos_Origen!$D$2:$D$2459,$Z744)&amp;""</f>
        <v>Rosario</v>
      </c>
    </row>
    <row r="745" customFormat="false" ht="15" hidden="false" customHeight="false" outlineLevel="0" collapsed="false">
      <c r="A745" s="61" t="n">
        <f aca="false">INDEX(Datos_Origen!$A$2:$A$2459,$Z745)</f>
        <v>744</v>
      </c>
      <c r="B745" s="62" t="n">
        <f aca="false">IF(ISNUMBER($AB745),$AB745,IF(MID($AB745,5,1)="-",DATE(VALUE(LEFT($AB745,4)),VALUE(MID($AB745,6,2)),VALUE(RIGHT($AB745,2))),DATE(VALUE(RIGHT($AB745,4)),VALUE(MID($AB745,4,2)),VALUE(LEFT($AB745,2)))))</f>
        <v>45529</v>
      </c>
      <c r="C745" s="61" t="n">
        <f aca="false">YEAR($B745)</f>
        <v>2024</v>
      </c>
      <c r="D745" s="61" t="str">
        <f aca="false">"Q"&amp;ROUNDUP(MONTH($B745)/3,0)</f>
        <v>Q3</v>
      </c>
      <c r="E745" s="61" t="n">
        <f aca="false">MONTH($B745)</f>
        <v>8</v>
      </c>
      <c r="F745" s="61" t="str">
        <f aca="false">INDEX(Parametros!$I$5:$I$16,$E745)</f>
        <v>Ago</v>
      </c>
      <c r="G745" s="61" t="str">
        <f aca="false">TEXT($C745,"0000")&amp;"-"&amp;TEXT($E745,"00")</f>
        <v>2024-08</v>
      </c>
      <c r="H745" s="61" t="str">
        <f aca="false">INDEX(Parametros!$C$71:$C$91,MATCH(TRIM(INDEX(Datos_Origen!$C$2:$C$2459,$Z745)),Parametros!$B$71:$B$91,0))</f>
        <v>Litoral</v>
      </c>
      <c r="I745" s="61" t="str">
        <f aca="false">IF(TRIM($AD745)="",INDEX(Parametros!$I$20:$I$24,MATCH($H745,Parametros!$H$20:$H$24,0)),TRIM($AD745))</f>
        <v>Rosario</v>
      </c>
      <c r="J745" s="61" t="str">
        <f aca="false">INDEX(Parametros!$C$95:$C$106,MATCH(TRIM(INDEX(Datos_Origen!$E$2:$E$2459,$Z745)),Parametros!$B$95:$B$106,0))</f>
        <v>E-commerce</v>
      </c>
      <c r="K745" s="61" t="str">
        <f aca="false">INDEX(Parametros!$C$48:$C$67,MATCH(TRIM(INDEX(Datos_Origen!$F$2:$F$2459,$Z745)),Parametros!$B$48:$B$67,0))</f>
        <v>Computacion</v>
      </c>
      <c r="L745" s="61" t="str">
        <f aca="false">$K745&amp;" "&amp;$C745</f>
        <v>Computacion 2024</v>
      </c>
      <c r="M745" s="61" t="str">
        <f aca="false">TRIM(INDEX(Datos_Origen!$G$2:$G$2459,$Z745))</f>
        <v>Monitor 4K 27</v>
      </c>
      <c r="N745" s="61" t="str">
        <f aca="false">$M745&amp;" "&amp;$C745</f>
        <v>Monitor 4K 27 2024</v>
      </c>
      <c r="O745" s="63" t="n">
        <f aca="false">IF(ISTEXT($AC745),VALUE($AC745),$AC745)</f>
        <v>3</v>
      </c>
      <c r="P745" s="64" t="n">
        <f aca="false">INDEX(Datos_Origen!$I$2:$I$2459,$Z745)</f>
        <v>441</v>
      </c>
      <c r="Q745" s="64" t="n">
        <f aca="false">INDEX(Datos_Origen!$J$2:$J$2459,$Z745)</f>
        <v>272.25</v>
      </c>
      <c r="R745" s="65" t="n">
        <f aca="false">ROUND($O745*$P745,2)</f>
        <v>1323</v>
      </c>
      <c r="S745" s="65" t="n">
        <f aca="false">ROUND($O745*$Q745,2)</f>
        <v>816.75</v>
      </c>
      <c r="T745" s="65" t="n">
        <f aca="false">ROUND($R745*SUMIFS(Parametros!$E$28:$E$43,Parametros!$B$28:$B$43,$J745,Parametros!$C$28:$C$43,$C745,Parametros!$D$28:$D$43,$D745),2)</f>
        <v>60.86</v>
      </c>
      <c r="U745" s="65" t="n">
        <f aca="false">$R745-$S745-$T745</f>
        <v>445.39</v>
      </c>
      <c r="V745" s="66" t="n">
        <f aca="false">IFERROR($U745/$R745,0)</f>
        <v>0.336651549508692</v>
      </c>
      <c r="W745" s="67" t="str">
        <f aca="false">IF(AND($V745&gt;=Parametros!$C$8,$R745&gt;=Parametros!$C$12),"Alta rentabilidad",IF(OR($V745&lt;Parametros!$C$11,$R745&lt;Parametros!$C$13),"Revisar","Estandar"))</f>
        <v>Estandar</v>
      </c>
      <c r="X745" s="67" t="str">
        <f aca="false">IF(AND($J745="E-commerce",IFERROR($T745/$R745,0)&gt;Parametros!$C$14),"Alerta","OK")</f>
        <v>OK</v>
      </c>
      <c r="Y745" s="61" t="str">
        <f aca="false">IF($R745&gt;=Parametros!$C$12,"Alto",IF($R745&lt;Parametros!$C$13,"Bajo","Medio"))</f>
        <v>Medio</v>
      </c>
      <c r="Z745" s="61" t="n">
        <v>1715</v>
      </c>
      <c r="AA745" s="61" t="str">
        <f aca="false">IF(MATCH($A745,Datos_Origen!$A$2:$A$2459,0)=$Z745,"OK","REVISAR")</f>
        <v>OK</v>
      </c>
      <c r="AB745" s="62" t="n">
        <f aca="false">INDEX(Datos_Origen!$B$2:$B$2459,$Z745)</f>
        <v>45529</v>
      </c>
      <c r="AC745" s="61" t="n">
        <f aca="false">INDEX(Datos_Origen!$H$2:$H$2459,$Z745)</f>
        <v>3</v>
      </c>
      <c r="AD745" s="61" t="str">
        <f aca="false">INDEX(Datos_Origen!$D$2:$D$2459,$Z745)&amp;""</f>
        <v>Rosario</v>
      </c>
    </row>
    <row r="746" customFormat="false" ht="15" hidden="false" customHeight="false" outlineLevel="0" collapsed="false">
      <c r="A746" s="61" t="n">
        <f aca="false">INDEX(Datos_Origen!$A$2:$A$2459,$Z746)</f>
        <v>745</v>
      </c>
      <c r="B746" s="62" t="n">
        <f aca="false">IF(ISNUMBER($AB746),$AB746,IF(MID($AB746,5,1)="-",DATE(VALUE(LEFT($AB746,4)),VALUE(MID($AB746,6,2)),VALUE(RIGHT($AB746,2))),DATE(VALUE(RIGHT($AB746,4)),VALUE(MID($AB746,4,2)),VALUE(LEFT($AB746,2)))))</f>
        <v>45509</v>
      </c>
      <c r="C746" s="61" t="n">
        <f aca="false">YEAR($B746)</f>
        <v>2024</v>
      </c>
      <c r="D746" s="61" t="str">
        <f aca="false">"Q"&amp;ROUNDUP(MONTH($B746)/3,0)</f>
        <v>Q3</v>
      </c>
      <c r="E746" s="61" t="n">
        <f aca="false">MONTH($B746)</f>
        <v>8</v>
      </c>
      <c r="F746" s="61" t="str">
        <f aca="false">INDEX(Parametros!$I$5:$I$16,$E746)</f>
        <v>Ago</v>
      </c>
      <c r="G746" s="61" t="str">
        <f aca="false">TEXT($C746,"0000")&amp;"-"&amp;TEXT($E746,"00")</f>
        <v>2024-08</v>
      </c>
      <c r="H746" s="61" t="str">
        <f aca="false">INDEX(Parametros!$C$71:$C$91,MATCH(TRIM(INDEX(Datos_Origen!$C$2:$C$2459,$Z746)),Parametros!$B$71:$B$91,0))</f>
        <v>Litoral</v>
      </c>
      <c r="I746" s="61" t="str">
        <f aca="false">IF(TRIM($AD746)="",INDEX(Parametros!$I$20:$I$24,MATCH($H746,Parametros!$H$20:$H$24,0)),TRIM($AD746))</f>
        <v>Rosario</v>
      </c>
      <c r="J746" s="61" t="str">
        <f aca="false">INDEX(Parametros!$C$95:$C$106,MATCH(TRIM(INDEX(Datos_Origen!$E$2:$E$2459,$Z746)),Parametros!$B$95:$B$106,0))</f>
        <v>Tienda fisica</v>
      </c>
      <c r="K746" s="61" t="str">
        <f aca="false">INDEX(Parametros!$C$48:$C$67,MATCH(TRIM(INDEX(Datos_Origen!$F$2:$F$2459,$Z746)),Parametros!$B$48:$B$67,0))</f>
        <v>Computacion</v>
      </c>
      <c r="L746" s="61" t="str">
        <f aca="false">$K746&amp;" "&amp;$C746</f>
        <v>Computacion 2024</v>
      </c>
      <c r="M746" s="61" t="str">
        <f aca="false">TRIM(INDEX(Datos_Origen!$G$2:$G$2459,$Z746))</f>
        <v>PC Gamer Ryzen</v>
      </c>
      <c r="N746" s="61" t="str">
        <f aca="false">$M746&amp;" "&amp;$C746</f>
        <v>PC Gamer Ryzen 2024</v>
      </c>
      <c r="O746" s="63" t="n">
        <f aca="false">IF(ISTEXT($AC746),VALUE($AC746),$AC746)</f>
        <v>10</v>
      </c>
      <c r="P746" s="64" t="n">
        <f aca="false">INDEX(Datos_Origen!$I$2:$I$2459,$Z746)</f>
        <v>1617</v>
      </c>
      <c r="Q746" s="64" t="n">
        <f aca="false">INDEX(Datos_Origen!$J$2:$J$2459,$Z746)</f>
        <v>1122</v>
      </c>
      <c r="R746" s="65" t="n">
        <f aca="false">ROUND($O746*$P746,2)</f>
        <v>16170</v>
      </c>
      <c r="S746" s="65" t="n">
        <f aca="false">ROUND($O746*$Q746,2)</f>
        <v>11220</v>
      </c>
      <c r="T746" s="65" t="n">
        <f aca="false">ROUND($R746*SUMIFS(Parametros!$E$28:$E$43,Parametros!$B$28:$B$43,$J746,Parametros!$C$28:$C$43,$C746,Parametros!$D$28:$D$43,$D746),2)</f>
        <v>210.21</v>
      </c>
      <c r="U746" s="65" t="n">
        <f aca="false">$R746-$S746-$T746</f>
        <v>4739.79</v>
      </c>
      <c r="V746" s="66" t="n">
        <f aca="false">IFERROR($U746/$R746,0)</f>
        <v>0.293122448979592</v>
      </c>
      <c r="W746" s="67" t="str">
        <f aca="false">IF(AND($V746&gt;=Parametros!$C$8,$R746&gt;=Parametros!$C$12),"Alta rentabilidad",IF(OR($V746&lt;Parametros!$C$11,$R746&lt;Parametros!$C$13),"Revisar","Estandar"))</f>
        <v>Estandar</v>
      </c>
      <c r="X746" s="67" t="str">
        <f aca="false">IF(AND($J746="E-commerce",IFERROR($T746/$R746,0)&gt;Parametros!$C$14),"Alerta","OK")</f>
        <v>OK</v>
      </c>
      <c r="Y746" s="61" t="str">
        <f aca="false">IF($R746&gt;=Parametros!$C$12,"Alto",IF($R746&lt;Parametros!$C$13,"Bajo","Medio"))</f>
        <v>Alto</v>
      </c>
      <c r="Z746" s="61" t="n">
        <v>2412</v>
      </c>
      <c r="AA746" s="61" t="str">
        <f aca="false">IF(MATCH($A746,Datos_Origen!$A$2:$A$2459,0)=$Z746,"OK","REVISAR")</f>
        <v>OK</v>
      </c>
      <c r="AB746" s="62" t="n">
        <f aca="false">INDEX(Datos_Origen!$B$2:$B$2459,$Z746)</f>
        <v>45509</v>
      </c>
      <c r="AC746" s="61" t="n">
        <f aca="false">INDEX(Datos_Origen!$H$2:$H$2459,$Z746)</f>
        <v>10</v>
      </c>
      <c r="AD746" s="61" t="str">
        <f aca="false">INDEX(Datos_Origen!$D$2:$D$2459,$Z746)&amp;""</f>
        <v>Rosario</v>
      </c>
    </row>
    <row r="747" customFormat="false" ht="15" hidden="false" customHeight="false" outlineLevel="0" collapsed="false">
      <c r="A747" s="61" t="n">
        <f aca="false">INDEX(Datos_Origen!$A$2:$A$2459,$Z747)</f>
        <v>746</v>
      </c>
      <c r="B747" s="62" t="n">
        <f aca="false">IF(ISNUMBER($AB747),$AB747,IF(MID($AB747,5,1)="-",DATE(VALUE(LEFT($AB747,4)),VALUE(MID($AB747,6,2)),VALUE(RIGHT($AB747,2))),DATE(VALUE(RIGHT($AB747,4)),VALUE(MID($AB747,4,2)),VALUE(LEFT($AB747,2)))))</f>
        <v>45516</v>
      </c>
      <c r="C747" s="61" t="n">
        <f aca="false">YEAR($B747)</f>
        <v>2024</v>
      </c>
      <c r="D747" s="61" t="str">
        <f aca="false">"Q"&amp;ROUNDUP(MONTH($B747)/3,0)</f>
        <v>Q3</v>
      </c>
      <c r="E747" s="61" t="n">
        <f aca="false">MONTH($B747)</f>
        <v>8</v>
      </c>
      <c r="F747" s="61" t="str">
        <f aca="false">INDEX(Parametros!$I$5:$I$16,$E747)</f>
        <v>Ago</v>
      </c>
      <c r="G747" s="61" t="str">
        <f aca="false">TEXT($C747,"0000")&amp;"-"&amp;TEXT($E747,"00")</f>
        <v>2024-08</v>
      </c>
      <c r="H747" s="61" t="str">
        <f aca="false">INDEX(Parametros!$C$71:$C$91,MATCH(TRIM(INDEX(Datos_Origen!$C$2:$C$2459,$Z747)),Parametros!$B$71:$B$91,0))</f>
        <v>Litoral</v>
      </c>
      <c r="I747" s="61" t="str">
        <f aca="false">IF(TRIM($AD747)="",INDEX(Parametros!$I$20:$I$24,MATCH($H747,Parametros!$H$20:$H$24,0)),TRIM($AD747))</f>
        <v>Rosario</v>
      </c>
      <c r="J747" s="61" t="str">
        <f aca="false">INDEX(Parametros!$C$95:$C$106,MATCH(TRIM(INDEX(Datos_Origen!$E$2:$E$2459,$Z747)),Parametros!$B$95:$B$106,0))</f>
        <v>E-commerce</v>
      </c>
      <c r="K747" s="61" t="str">
        <f aca="false">INDEX(Parametros!$C$48:$C$67,MATCH(TRIM(INDEX(Datos_Origen!$F$2:$F$2459,$Z747)),Parametros!$B$48:$B$67,0))</f>
        <v>Computacion</v>
      </c>
      <c r="L747" s="61" t="str">
        <f aca="false">$K747&amp;" "&amp;$C747</f>
        <v>Computacion 2024</v>
      </c>
      <c r="M747" s="61" t="str">
        <f aca="false">TRIM(INDEX(Datos_Origen!$G$2:$G$2459,$Z747))</f>
        <v>PC Gamer Ryzen</v>
      </c>
      <c r="N747" s="61" t="str">
        <f aca="false">$M747&amp;" "&amp;$C747</f>
        <v>PC Gamer Ryzen 2024</v>
      </c>
      <c r="O747" s="63" t="n">
        <f aca="false">IF(ISTEXT($AC747),VALUE($AC747),$AC747)</f>
        <v>3</v>
      </c>
      <c r="P747" s="64" t="n">
        <f aca="false">INDEX(Datos_Origen!$I$2:$I$2459,$Z747)</f>
        <v>1617</v>
      </c>
      <c r="Q747" s="64" t="n">
        <f aca="false">INDEX(Datos_Origen!$J$2:$J$2459,$Z747)</f>
        <v>1122</v>
      </c>
      <c r="R747" s="65" t="n">
        <f aca="false">ROUND($O747*$P747,2)</f>
        <v>4851</v>
      </c>
      <c r="S747" s="65" t="n">
        <f aca="false">ROUND($O747*$Q747,2)</f>
        <v>3366</v>
      </c>
      <c r="T747" s="65" t="n">
        <f aca="false">ROUND($R747*SUMIFS(Parametros!$E$28:$E$43,Parametros!$B$28:$B$43,$J747,Parametros!$C$28:$C$43,$C747,Parametros!$D$28:$D$43,$D747),2)</f>
        <v>223.15</v>
      </c>
      <c r="U747" s="65" t="n">
        <f aca="false">$R747-$S747-$T747</f>
        <v>1261.85</v>
      </c>
      <c r="V747" s="66" t="n">
        <f aca="false">IFERROR($U747/$R747,0)</f>
        <v>0.260121624407339</v>
      </c>
      <c r="W747" s="67" t="str">
        <f aca="false">IF(AND($V747&gt;=Parametros!$C$8,$R747&gt;=Parametros!$C$12),"Alta rentabilidad",IF(OR($V747&lt;Parametros!$C$11,$R747&lt;Parametros!$C$13),"Revisar","Estandar"))</f>
        <v>Revisar</v>
      </c>
      <c r="X747" s="67" t="str">
        <f aca="false">IF(AND($J747="E-commerce",IFERROR($T747/$R747,0)&gt;Parametros!$C$14),"Alerta","OK")</f>
        <v>OK</v>
      </c>
      <c r="Y747" s="61" t="str">
        <f aca="false">IF($R747&gt;=Parametros!$C$12,"Alto",IF($R747&lt;Parametros!$C$13,"Bajo","Medio"))</f>
        <v>Alto</v>
      </c>
      <c r="Z747" s="61" t="n">
        <v>1097</v>
      </c>
      <c r="AA747" s="61" t="str">
        <f aca="false">IF(MATCH($A747,Datos_Origen!$A$2:$A$2459,0)=$Z747,"OK","REVISAR")</f>
        <v>OK</v>
      </c>
      <c r="AB747" s="62" t="n">
        <f aca="false">INDEX(Datos_Origen!$B$2:$B$2459,$Z747)</f>
        <v>45516</v>
      </c>
      <c r="AC747" s="61" t="n">
        <f aca="false">INDEX(Datos_Origen!$H$2:$H$2459,$Z747)</f>
        <v>3</v>
      </c>
      <c r="AD747" s="61" t="str">
        <f aca="false">INDEX(Datos_Origen!$D$2:$D$2459,$Z747)&amp;""</f>
        <v>Rosario</v>
      </c>
    </row>
    <row r="748" customFormat="false" ht="15" hidden="false" customHeight="false" outlineLevel="0" collapsed="false">
      <c r="A748" s="61" t="n">
        <f aca="false">INDEX(Datos_Origen!$A$2:$A$2459,$Z748)</f>
        <v>747</v>
      </c>
      <c r="B748" s="62" t="n">
        <f aca="false">IF(ISNUMBER($AB748),$AB748,IF(MID($AB748,5,1)="-",DATE(VALUE(LEFT($AB748,4)),VALUE(MID($AB748,6,2)),VALUE(RIGHT($AB748,2))),DATE(VALUE(RIGHT($AB748,4)),VALUE(MID($AB748,4,2)),VALUE(LEFT($AB748,2)))))</f>
        <v>45523</v>
      </c>
      <c r="C748" s="61" t="n">
        <f aca="false">YEAR($B748)</f>
        <v>2024</v>
      </c>
      <c r="D748" s="61" t="str">
        <f aca="false">"Q"&amp;ROUNDUP(MONTH($B748)/3,0)</f>
        <v>Q3</v>
      </c>
      <c r="E748" s="61" t="n">
        <f aca="false">MONTH($B748)</f>
        <v>8</v>
      </c>
      <c r="F748" s="61" t="str">
        <f aca="false">INDEX(Parametros!$I$5:$I$16,$E748)</f>
        <v>Ago</v>
      </c>
      <c r="G748" s="61" t="str">
        <f aca="false">TEXT($C748,"0000")&amp;"-"&amp;TEXT($E748,"00")</f>
        <v>2024-08</v>
      </c>
      <c r="H748" s="61" t="str">
        <f aca="false">INDEX(Parametros!$C$71:$C$91,MATCH(TRIM(INDEX(Datos_Origen!$C$2:$C$2459,$Z748)),Parametros!$B$71:$B$91,0))</f>
        <v>Litoral</v>
      </c>
      <c r="I748" s="61" t="str">
        <f aca="false">IF(TRIM($AD748)="",INDEX(Parametros!$I$20:$I$24,MATCH($H748,Parametros!$H$20:$H$24,0)),TRIM($AD748))</f>
        <v>Rosario</v>
      </c>
      <c r="J748" s="61" t="str">
        <f aca="false">INDEX(Parametros!$C$95:$C$106,MATCH(TRIM(INDEX(Datos_Origen!$E$2:$E$2459,$Z748)),Parametros!$B$95:$B$106,0))</f>
        <v>Tienda fisica</v>
      </c>
      <c r="K748" s="61" t="str">
        <f aca="false">INDEX(Parametros!$C$48:$C$67,MATCH(TRIM(INDEX(Datos_Origen!$F$2:$F$2459,$Z748)),Parametros!$B$48:$B$67,0))</f>
        <v>Accesorios</v>
      </c>
      <c r="L748" s="61" t="str">
        <f aca="false">$K748&amp;" "&amp;$C748</f>
        <v>Accesorios 2024</v>
      </c>
      <c r="M748" s="61" t="str">
        <f aca="false">TRIM(INDEX(Datos_Origen!$G$2:$G$2459,$Z748))</f>
        <v>Mouse Inalambrico</v>
      </c>
      <c r="N748" s="61" t="str">
        <f aca="false">$M748&amp;" "&amp;$C748</f>
        <v>Mouse Inalambrico 2024</v>
      </c>
      <c r="O748" s="63" t="n">
        <f aca="false">IF(ISTEXT($AC748),VALUE($AC748),$AC748)</f>
        <v>40</v>
      </c>
      <c r="P748" s="64" t="n">
        <f aca="false">INDEX(Datos_Origen!$I$2:$I$2459,$Z748)</f>
        <v>27.44</v>
      </c>
      <c r="Q748" s="64" t="n">
        <f aca="false">INDEX(Datos_Origen!$J$2:$J$2459,$Z748)</f>
        <v>13.44</v>
      </c>
      <c r="R748" s="65" t="n">
        <f aca="false">ROUND($O748*$P748,2)</f>
        <v>1097.6</v>
      </c>
      <c r="S748" s="65" t="n">
        <f aca="false">ROUND($O748*$Q748,2)</f>
        <v>537.6</v>
      </c>
      <c r="T748" s="65" t="n">
        <f aca="false">ROUND($R748*SUMIFS(Parametros!$E$28:$E$43,Parametros!$B$28:$B$43,$J748,Parametros!$C$28:$C$43,$C748,Parametros!$D$28:$D$43,$D748),2)</f>
        <v>14.27</v>
      </c>
      <c r="U748" s="65" t="n">
        <f aca="false">$R748-$S748-$T748</f>
        <v>545.73</v>
      </c>
      <c r="V748" s="66" t="n">
        <f aca="false">IFERROR($U748/$R748,0)</f>
        <v>0.497202988338192</v>
      </c>
      <c r="W748" s="67" t="str">
        <f aca="false">IF(AND($V748&gt;=Parametros!$C$8,$R748&gt;=Parametros!$C$12),"Alta rentabilidad",IF(OR($V748&lt;Parametros!$C$11,$R748&lt;Parametros!$C$13),"Revisar","Estandar"))</f>
        <v>Estandar</v>
      </c>
      <c r="X748" s="67" t="str">
        <f aca="false">IF(AND($J748="E-commerce",IFERROR($T748/$R748,0)&gt;Parametros!$C$14),"Alerta","OK")</f>
        <v>OK</v>
      </c>
      <c r="Y748" s="61" t="str">
        <f aca="false">IF($R748&gt;=Parametros!$C$12,"Alto",IF($R748&lt;Parametros!$C$13,"Bajo","Medio"))</f>
        <v>Medio</v>
      </c>
      <c r="Z748" s="61" t="n">
        <v>1551</v>
      </c>
      <c r="AA748" s="61" t="str">
        <f aca="false">IF(MATCH($A748,Datos_Origen!$A$2:$A$2459,0)=$Z748,"OK","REVISAR")</f>
        <v>OK</v>
      </c>
      <c r="AB748" s="62" t="n">
        <f aca="false">INDEX(Datos_Origen!$B$2:$B$2459,$Z748)</f>
        <v>45523</v>
      </c>
      <c r="AC748" s="61" t="str">
        <f aca="false">INDEX(Datos_Origen!$H$2:$H$2459,$Z748)</f>
        <v>40</v>
      </c>
      <c r="AD748" s="61" t="str">
        <f aca="false">INDEX(Datos_Origen!$D$2:$D$2459,$Z748)&amp;""</f>
        <v>Rosario</v>
      </c>
    </row>
    <row r="749" customFormat="false" ht="15" hidden="false" customHeight="false" outlineLevel="0" collapsed="false">
      <c r="A749" s="61" t="n">
        <f aca="false">INDEX(Datos_Origen!$A$2:$A$2459,$Z749)</f>
        <v>748</v>
      </c>
      <c r="B749" s="62" t="n">
        <f aca="false">IF(ISNUMBER($AB749),$AB749,IF(MID($AB749,5,1)="-",DATE(VALUE(LEFT($AB749,4)),VALUE(MID($AB749,6,2)),VALUE(RIGHT($AB749,2))),DATE(VALUE(RIGHT($AB749,4)),VALUE(MID($AB749,4,2)),VALUE(LEFT($AB749,2)))))</f>
        <v>45530</v>
      </c>
      <c r="C749" s="61" t="n">
        <f aca="false">YEAR($B749)</f>
        <v>2024</v>
      </c>
      <c r="D749" s="61" t="str">
        <f aca="false">"Q"&amp;ROUNDUP(MONTH($B749)/3,0)</f>
        <v>Q3</v>
      </c>
      <c r="E749" s="61" t="n">
        <f aca="false">MONTH($B749)</f>
        <v>8</v>
      </c>
      <c r="F749" s="61" t="str">
        <f aca="false">INDEX(Parametros!$I$5:$I$16,$E749)</f>
        <v>Ago</v>
      </c>
      <c r="G749" s="61" t="str">
        <f aca="false">TEXT($C749,"0000")&amp;"-"&amp;TEXT($E749,"00")</f>
        <v>2024-08</v>
      </c>
      <c r="H749" s="61" t="str">
        <f aca="false">INDEX(Parametros!$C$71:$C$91,MATCH(TRIM(INDEX(Datos_Origen!$C$2:$C$2459,$Z749)),Parametros!$B$71:$B$91,0))</f>
        <v>Litoral</v>
      </c>
      <c r="I749" s="61" t="str">
        <f aca="false">IF(TRIM($AD749)="",INDEX(Parametros!$I$20:$I$24,MATCH($H749,Parametros!$H$20:$H$24,0)),TRIM($AD749))</f>
        <v>Rosario</v>
      </c>
      <c r="J749" s="61" t="str">
        <f aca="false">INDEX(Parametros!$C$95:$C$106,MATCH(TRIM(INDEX(Datos_Origen!$E$2:$E$2459,$Z749)),Parametros!$B$95:$B$106,0))</f>
        <v>E-commerce</v>
      </c>
      <c r="K749" s="61" t="str">
        <f aca="false">INDEX(Parametros!$C$48:$C$67,MATCH(TRIM(INDEX(Datos_Origen!$F$2:$F$2459,$Z749)),Parametros!$B$48:$B$67,0))</f>
        <v>Accesorios</v>
      </c>
      <c r="L749" s="61" t="str">
        <f aca="false">$K749&amp;" "&amp;$C749</f>
        <v>Accesorios 2024</v>
      </c>
      <c r="M749" s="61" t="str">
        <f aca="false">TRIM(INDEX(Datos_Origen!$G$2:$G$2459,$Z749))</f>
        <v>Mouse Inalambrico</v>
      </c>
      <c r="N749" s="61" t="str">
        <f aca="false">$M749&amp;" "&amp;$C749</f>
        <v>Mouse Inalambrico 2024</v>
      </c>
      <c r="O749" s="63" t="n">
        <f aca="false">IF(ISTEXT($AC749),VALUE($AC749),$AC749)</f>
        <v>16</v>
      </c>
      <c r="P749" s="64" t="n">
        <f aca="false">INDEX(Datos_Origen!$I$2:$I$2459,$Z749)</f>
        <v>27.44</v>
      </c>
      <c r="Q749" s="64" t="n">
        <f aca="false">INDEX(Datos_Origen!$J$2:$J$2459,$Z749)</f>
        <v>13.44</v>
      </c>
      <c r="R749" s="65" t="n">
        <f aca="false">ROUND($O749*$P749,2)</f>
        <v>439.04</v>
      </c>
      <c r="S749" s="65" t="n">
        <f aca="false">ROUND($O749*$Q749,2)</f>
        <v>215.04</v>
      </c>
      <c r="T749" s="65" t="n">
        <f aca="false">ROUND($R749*SUMIFS(Parametros!$E$28:$E$43,Parametros!$B$28:$B$43,$J749,Parametros!$C$28:$C$43,$C749,Parametros!$D$28:$D$43,$D749),2)</f>
        <v>20.2</v>
      </c>
      <c r="U749" s="65" t="n">
        <f aca="false">$R749-$S749-$T749</f>
        <v>203.8</v>
      </c>
      <c r="V749" s="66" t="n">
        <f aca="false">IFERROR($U749/$R749,0)</f>
        <v>0.464194606413994</v>
      </c>
      <c r="W749" s="67" t="str">
        <f aca="false">IF(AND($V749&gt;=Parametros!$C$8,$R749&gt;=Parametros!$C$12),"Alta rentabilidad",IF(OR($V749&lt;Parametros!$C$11,$R749&lt;Parametros!$C$13),"Revisar","Estandar"))</f>
        <v>Estandar</v>
      </c>
      <c r="X749" s="67" t="str">
        <f aca="false">IF(AND($J749="E-commerce",IFERROR($T749/$R749,0)&gt;Parametros!$C$14),"Alerta","OK")</f>
        <v>OK</v>
      </c>
      <c r="Y749" s="61" t="str">
        <f aca="false">IF($R749&gt;=Parametros!$C$12,"Alto",IF($R749&lt;Parametros!$C$13,"Bajo","Medio"))</f>
        <v>Medio</v>
      </c>
      <c r="Z749" s="61" t="n">
        <v>2114</v>
      </c>
      <c r="AA749" s="61" t="str">
        <f aca="false">IF(MATCH($A749,Datos_Origen!$A$2:$A$2459,0)=$Z749,"OK","REVISAR")</f>
        <v>OK</v>
      </c>
      <c r="AB749" s="61" t="str">
        <f aca="false">INDEX(Datos_Origen!$B$2:$B$2459,$Z749)</f>
        <v>26/08/2024</v>
      </c>
      <c r="AC749" s="61" t="n">
        <f aca="false">INDEX(Datos_Origen!$H$2:$H$2459,$Z749)</f>
        <v>16</v>
      </c>
      <c r="AD749" s="61" t="str">
        <f aca="false">INDEX(Datos_Origen!$D$2:$D$2459,$Z749)&amp;""</f>
        <v>Rosario</v>
      </c>
    </row>
    <row r="750" customFormat="false" ht="15" hidden="false" customHeight="false" outlineLevel="0" collapsed="false">
      <c r="A750" s="61" t="n">
        <f aca="false">INDEX(Datos_Origen!$A$2:$A$2459,$Z750)</f>
        <v>749</v>
      </c>
      <c r="B750" s="62" t="n">
        <f aca="false">IF(ISNUMBER($AB750),$AB750,IF(MID($AB750,5,1)="-",DATE(VALUE(LEFT($AB750,4)),VALUE(MID($AB750,6,2)),VALUE(RIGHT($AB750,2))),DATE(VALUE(RIGHT($AB750,4)),VALUE(MID($AB750,4,2)),VALUE(LEFT($AB750,2)))))</f>
        <v>45510</v>
      </c>
      <c r="C750" s="61" t="n">
        <f aca="false">YEAR($B750)</f>
        <v>2024</v>
      </c>
      <c r="D750" s="61" t="str">
        <f aca="false">"Q"&amp;ROUNDUP(MONTH($B750)/3,0)</f>
        <v>Q3</v>
      </c>
      <c r="E750" s="61" t="n">
        <f aca="false">MONTH($B750)</f>
        <v>8</v>
      </c>
      <c r="F750" s="61" t="str">
        <f aca="false">INDEX(Parametros!$I$5:$I$16,$E750)</f>
        <v>Ago</v>
      </c>
      <c r="G750" s="61" t="str">
        <f aca="false">TEXT($C750,"0000")&amp;"-"&amp;TEXT($E750,"00")</f>
        <v>2024-08</v>
      </c>
      <c r="H750" s="61" t="str">
        <f aca="false">INDEX(Parametros!$C$71:$C$91,MATCH(TRIM(INDEX(Datos_Origen!$C$2:$C$2459,$Z750)),Parametros!$B$71:$B$91,0))</f>
        <v>Litoral</v>
      </c>
      <c r="I750" s="61" t="str">
        <f aca="false">IF(TRIM($AD750)="",INDEX(Parametros!$I$20:$I$24,MATCH($H750,Parametros!$H$20:$H$24,0)),TRIM($AD750))</f>
        <v>Rosario</v>
      </c>
      <c r="J750" s="61" t="str">
        <f aca="false">INDEX(Parametros!$C$95:$C$106,MATCH(TRIM(INDEX(Datos_Origen!$E$2:$E$2459,$Z750)),Parametros!$B$95:$B$106,0))</f>
        <v>Tienda fisica</v>
      </c>
      <c r="K750" s="61" t="str">
        <f aca="false">INDEX(Parametros!$C$48:$C$67,MATCH(TRIM(INDEX(Datos_Origen!$F$2:$F$2459,$Z750)),Parametros!$B$48:$B$67,0))</f>
        <v>Accesorios</v>
      </c>
      <c r="L750" s="61" t="str">
        <f aca="false">$K750&amp;" "&amp;$C750</f>
        <v>Accesorios 2024</v>
      </c>
      <c r="M750" s="61" t="str">
        <f aca="false">TRIM(INDEX(Datos_Origen!$G$2:$G$2459,$Z750))</f>
        <v>Teclado Mecanico</v>
      </c>
      <c r="N750" s="61" t="str">
        <f aca="false">$M750&amp;" "&amp;$C750</f>
        <v>Teclado Mecanico 2024</v>
      </c>
      <c r="O750" s="63" t="n">
        <f aca="false">IF(ISTEXT($AC750),VALUE($AC750),$AC750)</f>
        <v>33</v>
      </c>
      <c r="P750" s="64" t="n">
        <f aca="false">INDEX(Datos_Origen!$I$2:$I$2459,$Z750)</f>
        <v>93.1</v>
      </c>
      <c r="Q750" s="64" t="n">
        <f aca="false">INDEX(Datos_Origen!$J$2:$J$2459,$Z750)</f>
        <v>47.98</v>
      </c>
      <c r="R750" s="65" t="n">
        <f aca="false">ROUND($O750*$P750,2)</f>
        <v>3072.3</v>
      </c>
      <c r="S750" s="65" t="n">
        <f aca="false">ROUND($O750*$Q750,2)</f>
        <v>1583.34</v>
      </c>
      <c r="T750" s="65" t="n">
        <f aca="false">ROUND($R750*SUMIFS(Parametros!$E$28:$E$43,Parametros!$B$28:$B$43,$J750,Parametros!$C$28:$C$43,$C750,Parametros!$D$28:$D$43,$D750),2)</f>
        <v>39.94</v>
      </c>
      <c r="U750" s="65" t="n">
        <f aca="false">$R750-$S750-$T750</f>
        <v>1449.02</v>
      </c>
      <c r="V750" s="66" t="n">
        <f aca="false">IFERROR($U750/$R750,0)</f>
        <v>0.471640139309312</v>
      </c>
      <c r="W750" s="67" t="str">
        <f aca="false">IF(AND($V750&gt;=Parametros!$C$8,$R750&gt;=Parametros!$C$12),"Alta rentabilidad",IF(OR($V750&lt;Parametros!$C$11,$R750&lt;Parametros!$C$13),"Revisar","Estandar"))</f>
        <v>Alta rentabilidad</v>
      </c>
      <c r="X750" s="67" t="str">
        <f aca="false">IF(AND($J750="E-commerce",IFERROR($T750/$R750,0)&gt;Parametros!$C$14),"Alerta","OK")</f>
        <v>OK</v>
      </c>
      <c r="Y750" s="61" t="str">
        <f aca="false">IF($R750&gt;=Parametros!$C$12,"Alto",IF($R750&lt;Parametros!$C$13,"Bajo","Medio"))</f>
        <v>Alto</v>
      </c>
      <c r="Z750" s="61" t="n">
        <v>22</v>
      </c>
      <c r="AA750" s="61" t="str">
        <f aca="false">IF(MATCH($A750,Datos_Origen!$A$2:$A$2459,0)=$Z750,"OK","REVISAR")</f>
        <v>OK</v>
      </c>
      <c r="AB750" s="62" t="n">
        <f aca="false">INDEX(Datos_Origen!$B$2:$B$2459,$Z750)</f>
        <v>45510</v>
      </c>
      <c r="AC750" s="61" t="n">
        <f aca="false">INDEX(Datos_Origen!$H$2:$H$2459,$Z750)</f>
        <v>33</v>
      </c>
      <c r="AD750" s="61" t="str">
        <f aca="false">INDEX(Datos_Origen!$D$2:$D$2459,$Z750)&amp;""</f>
        <v>Rosario</v>
      </c>
    </row>
    <row r="751" customFormat="false" ht="15" hidden="false" customHeight="false" outlineLevel="0" collapsed="false">
      <c r="A751" s="61" t="n">
        <f aca="false">INDEX(Datos_Origen!$A$2:$A$2459,$Z751)</f>
        <v>750</v>
      </c>
      <c r="B751" s="62" t="n">
        <f aca="false">IF(ISNUMBER($AB751),$AB751,IF(MID($AB751,5,1)="-",DATE(VALUE(LEFT($AB751,4)),VALUE(MID($AB751,6,2)),VALUE(RIGHT($AB751,2))),DATE(VALUE(RIGHT($AB751,4)),VALUE(MID($AB751,4,2)),VALUE(LEFT($AB751,2)))))</f>
        <v>45517</v>
      </c>
      <c r="C751" s="61" t="n">
        <f aca="false">YEAR($B751)</f>
        <v>2024</v>
      </c>
      <c r="D751" s="61" t="str">
        <f aca="false">"Q"&amp;ROUNDUP(MONTH($B751)/3,0)</f>
        <v>Q3</v>
      </c>
      <c r="E751" s="61" t="n">
        <f aca="false">MONTH($B751)</f>
        <v>8</v>
      </c>
      <c r="F751" s="61" t="str">
        <f aca="false">INDEX(Parametros!$I$5:$I$16,$E751)</f>
        <v>Ago</v>
      </c>
      <c r="G751" s="61" t="str">
        <f aca="false">TEXT($C751,"0000")&amp;"-"&amp;TEXT($E751,"00")</f>
        <v>2024-08</v>
      </c>
      <c r="H751" s="61" t="str">
        <f aca="false">INDEX(Parametros!$C$71:$C$91,MATCH(TRIM(INDEX(Datos_Origen!$C$2:$C$2459,$Z751)),Parametros!$B$71:$B$91,0))</f>
        <v>Litoral</v>
      </c>
      <c r="I751" s="61" t="str">
        <f aca="false">IF(TRIM($AD751)="",INDEX(Parametros!$I$20:$I$24,MATCH($H751,Parametros!$H$20:$H$24,0)),TRIM($AD751))</f>
        <v>Rosario</v>
      </c>
      <c r="J751" s="61" t="str">
        <f aca="false">INDEX(Parametros!$C$95:$C$106,MATCH(TRIM(INDEX(Datos_Origen!$E$2:$E$2459,$Z751)),Parametros!$B$95:$B$106,0))</f>
        <v>E-commerce</v>
      </c>
      <c r="K751" s="61" t="str">
        <f aca="false">INDEX(Parametros!$C$48:$C$67,MATCH(TRIM(INDEX(Datos_Origen!$F$2:$F$2459,$Z751)),Parametros!$B$48:$B$67,0))</f>
        <v>Accesorios</v>
      </c>
      <c r="L751" s="61" t="str">
        <f aca="false">$K751&amp;" "&amp;$C751</f>
        <v>Accesorios 2024</v>
      </c>
      <c r="M751" s="61" t="str">
        <f aca="false">TRIM(INDEX(Datos_Origen!$G$2:$G$2459,$Z751))</f>
        <v>Teclado Mecanico</v>
      </c>
      <c r="N751" s="61" t="str">
        <f aca="false">$M751&amp;" "&amp;$C751</f>
        <v>Teclado Mecanico 2024</v>
      </c>
      <c r="O751" s="63" t="n">
        <f aca="false">IF(ISTEXT($AC751),VALUE($AC751),$AC751)</f>
        <v>17</v>
      </c>
      <c r="P751" s="64" t="n">
        <f aca="false">INDEX(Datos_Origen!$I$2:$I$2459,$Z751)</f>
        <v>93.1</v>
      </c>
      <c r="Q751" s="64" t="n">
        <f aca="false">INDEX(Datos_Origen!$J$2:$J$2459,$Z751)</f>
        <v>47.98</v>
      </c>
      <c r="R751" s="65" t="n">
        <f aca="false">ROUND($O751*$P751,2)</f>
        <v>1582.7</v>
      </c>
      <c r="S751" s="65" t="n">
        <f aca="false">ROUND($O751*$Q751,2)</f>
        <v>815.66</v>
      </c>
      <c r="T751" s="65" t="n">
        <f aca="false">ROUND($R751*SUMIFS(Parametros!$E$28:$E$43,Parametros!$B$28:$B$43,$J751,Parametros!$C$28:$C$43,$C751,Parametros!$D$28:$D$43,$D751),2)</f>
        <v>72.8</v>
      </c>
      <c r="U751" s="65" t="n">
        <f aca="false">$R751-$S751-$T751</f>
        <v>694.24</v>
      </c>
      <c r="V751" s="66" t="n">
        <f aca="false">IFERROR($U751/$R751,0)</f>
        <v>0.438642825551273</v>
      </c>
      <c r="W751" s="67" t="str">
        <f aca="false">IF(AND($V751&gt;=Parametros!$C$8,$R751&gt;=Parametros!$C$12),"Alta rentabilidad",IF(OR($V751&lt;Parametros!$C$11,$R751&lt;Parametros!$C$13),"Revisar","Estandar"))</f>
        <v>Estandar</v>
      </c>
      <c r="X751" s="67" t="str">
        <f aca="false">IF(AND($J751="E-commerce",IFERROR($T751/$R751,0)&gt;Parametros!$C$14),"Alerta","OK")</f>
        <v>OK</v>
      </c>
      <c r="Y751" s="61" t="str">
        <f aca="false">IF($R751&gt;=Parametros!$C$12,"Alto",IF($R751&lt;Parametros!$C$13,"Bajo","Medio"))</f>
        <v>Medio</v>
      </c>
      <c r="Z751" s="61" t="n">
        <v>1892</v>
      </c>
      <c r="AA751" s="61" t="str">
        <f aca="false">IF(MATCH($A751,Datos_Origen!$A$2:$A$2459,0)=$Z751,"OK","REVISAR")</f>
        <v>OK</v>
      </c>
      <c r="AB751" s="62" t="n">
        <f aca="false">INDEX(Datos_Origen!$B$2:$B$2459,$Z751)</f>
        <v>45517</v>
      </c>
      <c r="AC751" s="61" t="n">
        <f aca="false">INDEX(Datos_Origen!$H$2:$H$2459,$Z751)</f>
        <v>17</v>
      </c>
      <c r="AD751" s="61" t="str">
        <f aca="false">INDEX(Datos_Origen!$D$2:$D$2459,$Z751)&amp;""</f>
        <v>Rosario</v>
      </c>
    </row>
    <row r="752" customFormat="false" ht="15" hidden="false" customHeight="false" outlineLevel="0" collapsed="false">
      <c r="A752" s="61" t="n">
        <f aca="false">INDEX(Datos_Origen!$A$2:$A$2459,$Z752)</f>
        <v>751</v>
      </c>
      <c r="B752" s="62" t="n">
        <f aca="false">IF(ISNUMBER($AB752),$AB752,IF(MID($AB752,5,1)="-",DATE(VALUE(LEFT($AB752,4)),VALUE(MID($AB752,6,2)),VALUE(RIGHT($AB752,2))),DATE(VALUE(RIGHT($AB752,4)),VALUE(MID($AB752,4,2)),VALUE(LEFT($AB752,2)))))</f>
        <v>45524</v>
      </c>
      <c r="C752" s="61" t="n">
        <f aca="false">YEAR($B752)</f>
        <v>2024</v>
      </c>
      <c r="D752" s="61" t="str">
        <f aca="false">"Q"&amp;ROUNDUP(MONTH($B752)/3,0)</f>
        <v>Q3</v>
      </c>
      <c r="E752" s="61" t="n">
        <f aca="false">MONTH($B752)</f>
        <v>8</v>
      </c>
      <c r="F752" s="61" t="str">
        <f aca="false">INDEX(Parametros!$I$5:$I$16,$E752)</f>
        <v>Ago</v>
      </c>
      <c r="G752" s="61" t="str">
        <f aca="false">TEXT($C752,"0000")&amp;"-"&amp;TEXT($E752,"00")</f>
        <v>2024-08</v>
      </c>
      <c r="H752" s="61" t="str">
        <f aca="false">INDEX(Parametros!$C$71:$C$91,MATCH(TRIM(INDEX(Datos_Origen!$C$2:$C$2459,$Z752)),Parametros!$B$71:$B$91,0))</f>
        <v>Litoral</v>
      </c>
      <c r="I752" s="61" t="str">
        <f aca="false">IF(TRIM($AD752)="",INDEX(Parametros!$I$20:$I$24,MATCH($H752,Parametros!$H$20:$H$24,0)),TRIM($AD752))</f>
        <v>Rosario</v>
      </c>
      <c r="J752" s="61" t="str">
        <f aca="false">INDEX(Parametros!$C$95:$C$106,MATCH(TRIM(INDEX(Datos_Origen!$E$2:$E$2459,$Z752)),Parametros!$B$95:$B$106,0))</f>
        <v>Tienda fisica</v>
      </c>
      <c r="K752" s="61" t="str">
        <f aca="false">INDEX(Parametros!$C$48:$C$67,MATCH(TRIM(INDEX(Datos_Origen!$F$2:$F$2459,$Z752)),Parametros!$B$48:$B$67,0))</f>
        <v>Accesorios</v>
      </c>
      <c r="L752" s="61" t="str">
        <f aca="false">$K752&amp;" "&amp;$C752</f>
        <v>Accesorios 2024</v>
      </c>
      <c r="M752" s="61" t="str">
        <f aca="false">TRIM(INDEX(Datos_Origen!$G$2:$G$2459,$Z752))</f>
        <v>Webcam Full HD</v>
      </c>
      <c r="N752" s="61" t="str">
        <f aca="false">$M752&amp;" "&amp;$C752</f>
        <v>Webcam Full HD 2024</v>
      </c>
      <c r="O752" s="63" t="n">
        <f aca="false">IF(ISTEXT($AC752),VALUE($AC752),$AC752)</f>
        <v>46</v>
      </c>
      <c r="P752" s="64" t="n">
        <f aca="false">INDEX(Datos_Origen!$I$2:$I$2459,$Z752)</f>
        <v>63.7</v>
      </c>
      <c r="Q752" s="64" t="n">
        <f aca="false">INDEX(Datos_Origen!$J$2:$J$2459,$Z752)</f>
        <v>35.43</v>
      </c>
      <c r="R752" s="65" t="n">
        <f aca="false">ROUND($O752*$P752,2)</f>
        <v>2930.2</v>
      </c>
      <c r="S752" s="65" t="n">
        <f aca="false">ROUND($O752*$Q752,2)</f>
        <v>1629.78</v>
      </c>
      <c r="T752" s="65" t="n">
        <f aca="false">ROUND($R752*SUMIFS(Parametros!$E$28:$E$43,Parametros!$B$28:$B$43,$J752,Parametros!$C$28:$C$43,$C752,Parametros!$D$28:$D$43,$D752),2)</f>
        <v>38.09</v>
      </c>
      <c r="U752" s="65" t="n">
        <f aca="false">$R752-$S752-$T752</f>
        <v>1262.33</v>
      </c>
      <c r="V752" s="66" t="n">
        <f aca="false">IFERROR($U752/$R752,0)</f>
        <v>0.430799945396219</v>
      </c>
      <c r="W752" s="67" t="str">
        <f aca="false">IF(AND($V752&gt;=Parametros!$C$8,$R752&gt;=Parametros!$C$12),"Alta rentabilidad",IF(OR($V752&lt;Parametros!$C$11,$R752&lt;Parametros!$C$13),"Revisar","Estandar"))</f>
        <v>Estandar</v>
      </c>
      <c r="X752" s="67" t="str">
        <f aca="false">IF(AND($J752="E-commerce",IFERROR($T752/$R752,0)&gt;Parametros!$C$14),"Alerta","OK")</f>
        <v>OK</v>
      </c>
      <c r="Y752" s="61" t="str">
        <f aca="false">IF($R752&gt;=Parametros!$C$12,"Alto",IF($R752&lt;Parametros!$C$13,"Bajo","Medio"))</f>
        <v>Medio</v>
      </c>
      <c r="Z752" s="61" t="n">
        <v>1909</v>
      </c>
      <c r="AA752" s="61" t="str">
        <f aca="false">IF(MATCH($A752,Datos_Origen!$A$2:$A$2459,0)=$Z752,"OK","REVISAR")</f>
        <v>OK</v>
      </c>
      <c r="AB752" s="62" t="n">
        <f aca="false">INDEX(Datos_Origen!$B$2:$B$2459,$Z752)</f>
        <v>45524</v>
      </c>
      <c r="AC752" s="61" t="n">
        <f aca="false">INDEX(Datos_Origen!$H$2:$H$2459,$Z752)</f>
        <v>46</v>
      </c>
      <c r="AD752" s="61" t="str">
        <f aca="false">INDEX(Datos_Origen!$D$2:$D$2459,$Z752)&amp;""</f>
        <v>Rosario</v>
      </c>
    </row>
    <row r="753" customFormat="false" ht="15" hidden="false" customHeight="false" outlineLevel="0" collapsed="false">
      <c r="A753" s="61" t="n">
        <f aca="false">INDEX(Datos_Origen!$A$2:$A$2459,$Z753)</f>
        <v>752</v>
      </c>
      <c r="B753" s="62" t="n">
        <f aca="false">IF(ISNUMBER($AB753),$AB753,IF(MID($AB753,5,1)="-",DATE(VALUE(LEFT($AB753,4)),VALUE(MID($AB753,6,2)),VALUE(RIGHT($AB753,2))),DATE(VALUE(RIGHT($AB753,4)),VALUE(MID($AB753,4,2)),VALUE(LEFT($AB753,2)))))</f>
        <v>45531</v>
      </c>
      <c r="C753" s="61" t="n">
        <f aca="false">YEAR($B753)</f>
        <v>2024</v>
      </c>
      <c r="D753" s="61" t="str">
        <f aca="false">"Q"&amp;ROUNDUP(MONTH($B753)/3,0)</f>
        <v>Q3</v>
      </c>
      <c r="E753" s="61" t="n">
        <f aca="false">MONTH($B753)</f>
        <v>8</v>
      </c>
      <c r="F753" s="61" t="str">
        <f aca="false">INDEX(Parametros!$I$5:$I$16,$E753)</f>
        <v>Ago</v>
      </c>
      <c r="G753" s="61" t="str">
        <f aca="false">TEXT($C753,"0000")&amp;"-"&amp;TEXT($E753,"00")</f>
        <v>2024-08</v>
      </c>
      <c r="H753" s="61" t="str">
        <f aca="false">INDEX(Parametros!$C$71:$C$91,MATCH(TRIM(INDEX(Datos_Origen!$C$2:$C$2459,$Z753)),Parametros!$B$71:$B$91,0))</f>
        <v>Litoral</v>
      </c>
      <c r="I753" s="61" t="str">
        <f aca="false">IF(TRIM($AD753)="",INDEX(Parametros!$I$20:$I$24,MATCH($H753,Parametros!$H$20:$H$24,0)),TRIM($AD753))</f>
        <v>Rosario</v>
      </c>
      <c r="J753" s="61" t="str">
        <f aca="false">INDEX(Parametros!$C$95:$C$106,MATCH(TRIM(INDEX(Datos_Origen!$E$2:$E$2459,$Z753)),Parametros!$B$95:$B$106,0))</f>
        <v>E-commerce</v>
      </c>
      <c r="K753" s="61" t="str">
        <f aca="false">INDEX(Parametros!$C$48:$C$67,MATCH(TRIM(INDEX(Datos_Origen!$F$2:$F$2459,$Z753)),Parametros!$B$48:$B$67,0))</f>
        <v>Accesorios</v>
      </c>
      <c r="L753" s="61" t="str">
        <f aca="false">$K753&amp;" "&amp;$C753</f>
        <v>Accesorios 2024</v>
      </c>
      <c r="M753" s="61" t="str">
        <f aca="false">TRIM(INDEX(Datos_Origen!$G$2:$G$2459,$Z753))</f>
        <v>Webcam Full HD</v>
      </c>
      <c r="N753" s="61" t="str">
        <f aca="false">$M753&amp;" "&amp;$C753</f>
        <v>Webcam Full HD 2024</v>
      </c>
      <c r="O753" s="63" t="n">
        <f aca="false">IF(ISTEXT($AC753),VALUE($AC753),$AC753)</f>
        <v>16</v>
      </c>
      <c r="P753" s="64" t="n">
        <f aca="false">INDEX(Datos_Origen!$I$2:$I$2459,$Z753)</f>
        <v>63.7</v>
      </c>
      <c r="Q753" s="64" t="n">
        <f aca="false">INDEX(Datos_Origen!$J$2:$J$2459,$Z753)</f>
        <v>35.43</v>
      </c>
      <c r="R753" s="65" t="n">
        <f aca="false">ROUND($O753*$P753,2)</f>
        <v>1019.2</v>
      </c>
      <c r="S753" s="65" t="n">
        <f aca="false">ROUND($O753*$Q753,2)</f>
        <v>566.88</v>
      </c>
      <c r="T753" s="65" t="n">
        <f aca="false">ROUND($R753*SUMIFS(Parametros!$E$28:$E$43,Parametros!$B$28:$B$43,$J753,Parametros!$C$28:$C$43,$C753,Parametros!$D$28:$D$43,$D753),2)</f>
        <v>46.88</v>
      </c>
      <c r="U753" s="65" t="n">
        <f aca="false">$R753-$S753-$T753</f>
        <v>405.44</v>
      </c>
      <c r="V753" s="66" t="n">
        <f aca="false">IFERROR($U753/$R753,0)</f>
        <v>0.397802197802198</v>
      </c>
      <c r="W753" s="67" t="str">
        <f aca="false">IF(AND($V753&gt;=Parametros!$C$8,$R753&gt;=Parametros!$C$12),"Alta rentabilidad",IF(OR($V753&lt;Parametros!$C$11,$R753&lt;Parametros!$C$13),"Revisar","Estandar"))</f>
        <v>Estandar</v>
      </c>
      <c r="X753" s="67" t="str">
        <f aca="false">IF(AND($J753="E-commerce",IFERROR($T753/$R753,0)&gt;Parametros!$C$14),"Alerta","OK")</f>
        <v>OK</v>
      </c>
      <c r="Y753" s="61" t="str">
        <f aca="false">IF($R753&gt;=Parametros!$C$12,"Alto",IF($R753&lt;Parametros!$C$13,"Bajo","Medio"))</f>
        <v>Medio</v>
      </c>
      <c r="Z753" s="61" t="n">
        <v>97</v>
      </c>
      <c r="AA753" s="61" t="str">
        <f aca="false">IF(MATCH($A753,Datos_Origen!$A$2:$A$2459,0)=$Z753,"OK","REVISAR")</f>
        <v>OK</v>
      </c>
      <c r="AB753" s="62" t="n">
        <f aca="false">INDEX(Datos_Origen!$B$2:$B$2459,$Z753)</f>
        <v>45531</v>
      </c>
      <c r="AC753" s="61" t="str">
        <f aca="false">INDEX(Datos_Origen!$H$2:$H$2459,$Z753)</f>
        <v>16</v>
      </c>
      <c r="AD753" s="61" t="str">
        <f aca="false">INDEX(Datos_Origen!$D$2:$D$2459,$Z753)&amp;""</f>
        <v/>
      </c>
    </row>
    <row r="754" customFormat="false" ht="15" hidden="false" customHeight="false" outlineLevel="0" collapsed="false">
      <c r="A754" s="61" t="n">
        <f aca="false">INDEX(Datos_Origen!$A$2:$A$2459,$Z754)</f>
        <v>753</v>
      </c>
      <c r="B754" s="62" t="n">
        <f aca="false">IF(ISNUMBER($AB754),$AB754,IF(MID($AB754,5,1)="-",DATE(VALUE(LEFT($AB754,4)),VALUE(MID($AB754,6,2)),VALUE(RIGHT($AB754,2))),DATE(VALUE(RIGHT($AB754,4)),VALUE(MID($AB754,4,2)),VALUE(LEFT($AB754,2)))))</f>
        <v>45511</v>
      </c>
      <c r="C754" s="61" t="n">
        <f aca="false">YEAR($B754)</f>
        <v>2024</v>
      </c>
      <c r="D754" s="61" t="str">
        <f aca="false">"Q"&amp;ROUNDUP(MONTH($B754)/3,0)</f>
        <v>Q3</v>
      </c>
      <c r="E754" s="61" t="n">
        <f aca="false">MONTH($B754)</f>
        <v>8</v>
      </c>
      <c r="F754" s="61" t="str">
        <f aca="false">INDEX(Parametros!$I$5:$I$16,$E754)</f>
        <v>Ago</v>
      </c>
      <c r="G754" s="61" t="str">
        <f aca="false">TEXT($C754,"0000")&amp;"-"&amp;TEXT($E754,"00")</f>
        <v>2024-08</v>
      </c>
      <c r="H754" s="61" t="str">
        <f aca="false">INDEX(Parametros!$C$71:$C$91,MATCH(TRIM(INDEX(Datos_Origen!$C$2:$C$2459,$Z754)),Parametros!$B$71:$B$91,0))</f>
        <v>Litoral</v>
      </c>
      <c r="I754" s="61" t="str">
        <f aca="false">IF(TRIM($AD754)="",INDEX(Parametros!$I$20:$I$24,MATCH($H754,Parametros!$H$20:$H$24,0)),TRIM($AD754))</f>
        <v>Rosario</v>
      </c>
      <c r="J754" s="61" t="str">
        <f aca="false">INDEX(Parametros!$C$95:$C$106,MATCH(TRIM(INDEX(Datos_Origen!$E$2:$E$2459,$Z754)),Parametros!$B$95:$B$106,0))</f>
        <v>Tienda fisica</v>
      </c>
      <c r="K754" s="61" t="str">
        <f aca="false">INDEX(Parametros!$C$48:$C$67,MATCH(TRIM(INDEX(Datos_Origen!$F$2:$F$2459,$Z754)),Parametros!$B$48:$B$67,0))</f>
        <v>Audio</v>
      </c>
      <c r="L754" s="61" t="str">
        <f aca="false">$K754&amp;" "&amp;$C754</f>
        <v>Audio 2024</v>
      </c>
      <c r="M754" s="61" t="str">
        <f aca="false">TRIM(INDEX(Datos_Origen!$G$2:$G$2459,$Z754))</f>
        <v>Auriculares BT Pro</v>
      </c>
      <c r="N754" s="61" t="str">
        <f aca="false">$M754&amp;" "&amp;$C754</f>
        <v>Auriculares BT Pro 2024</v>
      </c>
      <c r="O754" s="63" t="n">
        <f aca="false">IF(ISTEXT($AC754),VALUE($AC754),$AC754)</f>
        <v>21</v>
      </c>
      <c r="P754" s="64" t="n">
        <f aca="false">INDEX(Datos_Origen!$I$2:$I$2459,$Z754)</f>
        <v>117.6</v>
      </c>
      <c r="Q754" s="64" t="n">
        <f aca="false">INDEX(Datos_Origen!$J$2:$J$2459,$Z754)</f>
        <v>63.6</v>
      </c>
      <c r="R754" s="65" t="n">
        <f aca="false">ROUND($O754*$P754,2)</f>
        <v>2469.6</v>
      </c>
      <c r="S754" s="65" t="n">
        <f aca="false">ROUND($O754*$Q754,2)</f>
        <v>1335.6</v>
      </c>
      <c r="T754" s="65" t="n">
        <f aca="false">ROUND($R754*SUMIFS(Parametros!$E$28:$E$43,Parametros!$B$28:$B$43,$J754,Parametros!$C$28:$C$43,$C754,Parametros!$D$28:$D$43,$D754),2)</f>
        <v>32.1</v>
      </c>
      <c r="U754" s="65" t="n">
        <f aca="false">$R754-$S754-$T754</f>
        <v>1101.9</v>
      </c>
      <c r="V754" s="66" t="n">
        <f aca="false">IFERROR($U754/$R754,0)</f>
        <v>0.446185617103985</v>
      </c>
      <c r="W754" s="67" t="str">
        <f aca="false">IF(AND($V754&gt;=Parametros!$C$8,$R754&gt;=Parametros!$C$12),"Alta rentabilidad",IF(OR($V754&lt;Parametros!$C$11,$R754&lt;Parametros!$C$13),"Revisar","Estandar"))</f>
        <v>Estandar</v>
      </c>
      <c r="X754" s="67" t="str">
        <f aca="false">IF(AND($J754="E-commerce",IFERROR($T754/$R754,0)&gt;Parametros!$C$14),"Alerta","OK")</f>
        <v>OK</v>
      </c>
      <c r="Y754" s="61" t="str">
        <f aca="false">IF($R754&gt;=Parametros!$C$12,"Alto",IF($R754&lt;Parametros!$C$13,"Bajo","Medio"))</f>
        <v>Medio</v>
      </c>
      <c r="Z754" s="61" t="n">
        <v>283</v>
      </c>
      <c r="AA754" s="61" t="str">
        <f aca="false">IF(MATCH($A754,Datos_Origen!$A$2:$A$2459,0)=$Z754,"OK","REVISAR")</f>
        <v>OK</v>
      </c>
      <c r="AB754" s="62" t="n">
        <f aca="false">INDEX(Datos_Origen!$B$2:$B$2459,$Z754)</f>
        <v>45511</v>
      </c>
      <c r="AC754" s="61" t="n">
        <f aca="false">INDEX(Datos_Origen!$H$2:$H$2459,$Z754)</f>
        <v>21</v>
      </c>
      <c r="AD754" s="61" t="str">
        <f aca="false">INDEX(Datos_Origen!$D$2:$D$2459,$Z754)&amp;""</f>
        <v>Rosario</v>
      </c>
    </row>
    <row r="755" customFormat="false" ht="15" hidden="false" customHeight="false" outlineLevel="0" collapsed="false">
      <c r="A755" s="61" t="n">
        <f aca="false">INDEX(Datos_Origen!$A$2:$A$2459,$Z755)</f>
        <v>754</v>
      </c>
      <c r="B755" s="62" t="n">
        <f aca="false">IF(ISNUMBER($AB755),$AB755,IF(MID($AB755,5,1)="-",DATE(VALUE(LEFT($AB755,4)),VALUE(MID($AB755,6,2)),VALUE(RIGHT($AB755,2))),DATE(VALUE(RIGHT($AB755,4)),VALUE(MID($AB755,4,2)),VALUE(LEFT($AB755,2)))))</f>
        <v>45518</v>
      </c>
      <c r="C755" s="61" t="n">
        <f aca="false">YEAR($B755)</f>
        <v>2024</v>
      </c>
      <c r="D755" s="61" t="str">
        <f aca="false">"Q"&amp;ROUNDUP(MONTH($B755)/3,0)</f>
        <v>Q3</v>
      </c>
      <c r="E755" s="61" t="n">
        <f aca="false">MONTH($B755)</f>
        <v>8</v>
      </c>
      <c r="F755" s="61" t="str">
        <f aca="false">INDEX(Parametros!$I$5:$I$16,$E755)</f>
        <v>Ago</v>
      </c>
      <c r="G755" s="61" t="str">
        <f aca="false">TEXT($C755,"0000")&amp;"-"&amp;TEXT($E755,"00")</f>
        <v>2024-08</v>
      </c>
      <c r="H755" s="61" t="str">
        <f aca="false">INDEX(Parametros!$C$71:$C$91,MATCH(TRIM(INDEX(Datos_Origen!$C$2:$C$2459,$Z755)),Parametros!$B$71:$B$91,0))</f>
        <v>Litoral</v>
      </c>
      <c r="I755" s="61" t="str">
        <f aca="false">IF(TRIM($AD755)="",INDEX(Parametros!$I$20:$I$24,MATCH($H755,Parametros!$H$20:$H$24,0)),TRIM($AD755))</f>
        <v>Rosario</v>
      </c>
      <c r="J755" s="61" t="str">
        <f aca="false">INDEX(Parametros!$C$95:$C$106,MATCH(TRIM(INDEX(Datos_Origen!$E$2:$E$2459,$Z755)),Parametros!$B$95:$B$106,0))</f>
        <v>E-commerce</v>
      </c>
      <c r="K755" s="61" t="str">
        <f aca="false">INDEX(Parametros!$C$48:$C$67,MATCH(TRIM(INDEX(Datos_Origen!$F$2:$F$2459,$Z755)),Parametros!$B$48:$B$67,0))</f>
        <v>Audio</v>
      </c>
      <c r="L755" s="61" t="str">
        <f aca="false">$K755&amp;" "&amp;$C755</f>
        <v>Audio 2024</v>
      </c>
      <c r="M755" s="61" t="str">
        <f aca="false">TRIM(INDEX(Datos_Origen!$G$2:$G$2459,$Z755))</f>
        <v>Auriculares BT Pro</v>
      </c>
      <c r="N755" s="61" t="str">
        <f aca="false">$M755&amp;" "&amp;$C755</f>
        <v>Auriculares BT Pro 2024</v>
      </c>
      <c r="O755" s="63" t="n">
        <f aca="false">IF(ISTEXT($AC755),VALUE($AC755),$AC755)</f>
        <v>7</v>
      </c>
      <c r="P755" s="64" t="n">
        <f aca="false">INDEX(Datos_Origen!$I$2:$I$2459,$Z755)</f>
        <v>117.6</v>
      </c>
      <c r="Q755" s="64" t="n">
        <f aca="false">INDEX(Datos_Origen!$J$2:$J$2459,$Z755)</f>
        <v>63.6</v>
      </c>
      <c r="R755" s="65" t="n">
        <f aca="false">ROUND($O755*$P755,2)</f>
        <v>823.2</v>
      </c>
      <c r="S755" s="65" t="n">
        <f aca="false">ROUND($O755*$Q755,2)</f>
        <v>445.2</v>
      </c>
      <c r="T755" s="65" t="n">
        <f aca="false">ROUND($R755*SUMIFS(Parametros!$E$28:$E$43,Parametros!$B$28:$B$43,$J755,Parametros!$C$28:$C$43,$C755,Parametros!$D$28:$D$43,$D755),2)</f>
        <v>37.87</v>
      </c>
      <c r="U755" s="65" t="n">
        <f aca="false">$R755-$S755-$T755</f>
        <v>340.13</v>
      </c>
      <c r="V755" s="66" t="n">
        <f aca="false">IFERROR($U755/$R755,0)</f>
        <v>0.413180272108844</v>
      </c>
      <c r="W755" s="67" t="str">
        <f aca="false">IF(AND($V755&gt;=Parametros!$C$8,$R755&gt;=Parametros!$C$12),"Alta rentabilidad",IF(OR($V755&lt;Parametros!$C$11,$R755&lt;Parametros!$C$13),"Revisar","Estandar"))</f>
        <v>Estandar</v>
      </c>
      <c r="X755" s="67" t="str">
        <f aca="false">IF(AND($J755="E-commerce",IFERROR($T755/$R755,0)&gt;Parametros!$C$14),"Alerta","OK")</f>
        <v>OK</v>
      </c>
      <c r="Y755" s="61" t="str">
        <f aca="false">IF($R755&gt;=Parametros!$C$12,"Alto",IF($R755&lt;Parametros!$C$13,"Bajo","Medio"))</f>
        <v>Medio</v>
      </c>
      <c r="Z755" s="61" t="n">
        <v>697</v>
      </c>
      <c r="AA755" s="61" t="str">
        <f aca="false">IF(MATCH($A755,Datos_Origen!$A$2:$A$2459,0)=$Z755,"OK","REVISAR")</f>
        <v>OK</v>
      </c>
      <c r="AB755" s="61" t="str">
        <f aca="false">INDEX(Datos_Origen!$B$2:$B$2459,$Z755)</f>
        <v>14/08/2024</v>
      </c>
      <c r="AC755" s="61" t="n">
        <f aca="false">INDEX(Datos_Origen!$H$2:$H$2459,$Z755)</f>
        <v>7</v>
      </c>
      <c r="AD755" s="61" t="str">
        <f aca="false">INDEX(Datos_Origen!$D$2:$D$2459,$Z755)&amp;""</f>
        <v>Rosario</v>
      </c>
    </row>
    <row r="756" customFormat="false" ht="15" hidden="false" customHeight="false" outlineLevel="0" collapsed="false">
      <c r="A756" s="61" t="n">
        <f aca="false">INDEX(Datos_Origen!$A$2:$A$2459,$Z756)</f>
        <v>755</v>
      </c>
      <c r="B756" s="62" t="n">
        <f aca="false">IF(ISNUMBER($AB756),$AB756,IF(MID($AB756,5,1)="-",DATE(VALUE(LEFT($AB756,4)),VALUE(MID($AB756,6,2)),VALUE(RIGHT($AB756,2))),DATE(VALUE(RIGHT($AB756,4)),VALUE(MID($AB756,4,2)),VALUE(LEFT($AB756,2)))))</f>
        <v>45525</v>
      </c>
      <c r="C756" s="61" t="n">
        <f aca="false">YEAR($B756)</f>
        <v>2024</v>
      </c>
      <c r="D756" s="61" t="str">
        <f aca="false">"Q"&amp;ROUNDUP(MONTH($B756)/3,0)</f>
        <v>Q3</v>
      </c>
      <c r="E756" s="61" t="n">
        <f aca="false">MONTH($B756)</f>
        <v>8</v>
      </c>
      <c r="F756" s="61" t="str">
        <f aca="false">INDEX(Parametros!$I$5:$I$16,$E756)</f>
        <v>Ago</v>
      </c>
      <c r="G756" s="61" t="str">
        <f aca="false">TEXT($C756,"0000")&amp;"-"&amp;TEXT($E756,"00")</f>
        <v>2024-08</v>
      </c>
      <c r="H756" s="61" t="str">
        <f aca="false">INDEX(Parametros!$C$71:$C$91,MATCH(TRIM(INDEX(Datos_Origen!$C$2:$C$2459,$Z756)),Parametros!$B$71:$B$91,0))</f>
        <v>Litoral</v>
      </c>
      <c r="I756" s="61" t="str">
        <f aca="false">IF(TRIM($AD756)="",INDEX(Parametros!$I$20:$I$24,MATCH($H756,Parametros!$H$20:$H$24,0)),TRIM($AD756))</f>
        <v>Rosario</v>
      </c>
      <c r="J756" s="61" t="str">
        <f aca="false">INDEX(Parametros!$C$95:$C$106,MATCH(TRIM(INDEX(Datos_Origen!$E$2:$E$2459,$Z756)),Parametros!$B$95:$B$106,0))</f>
        <v>Tienda fisica</v>
      </c>
      <c r="K756" s="61" t="str">
        <f aca="false">INDEX(Parametros!$C$48:$C$67,MATCH(TRIM(INDEX(Datos_Origen!$F$2:$F$2459,$Z756)),Parametros!$B$48:$B$67,0))</f>
        <v>Audio</v>
      </c>
      <c r="L756" s="61" t="str">
        <f aca="false">$K756&amp;" "&amp;$C756</f>
        <v>Audio 2024</v>
      </c>
      <c r="M756" s="61" t="str">
        <f aca="false">TRIM(INDEX(Datos_Origen!$G$2:$G$2459,$Z756))</f>
        <v>Parlante Bluetooth</v>
      </c>
      <c r="N756" s="61" t="str">
        <f aca="false">$M756&amp;" "&amp;$C756</f>
        <v>Parlante Bluetooth 2024</v>
      </c>
      <c r="O756" s="63" t="n">
        <f aca="false">IF(ISTEXT($AC756),VALUE($AC756),$AC756)</f>
        <v>18</v>
      </c>
      <c r="P756" s="64" t="n">
        <f aca="false">INDEX(Datos_Origen!$I$2:$I$2459,$Z756)</f>
        <v>83.3</v>
      </c>
      <c r="Q756" s="64" t="n">
        <f aca="false">INDEX(Datos_Origen!$J$2:$J$2459,$Z756)</f>
        <v>48.03</v>
      </c>
      <c r="R756" s="65" t="n">
        <f aca="false">ROUND($O756*$P756,2)</f>
        <v>1499.4</v>
      </c>
      <c r="S756" s="65" t="n">
        <f aca="false">ROUND($O756*$Q756,2)</f>
        <v>864.54</v>
      </c>
      <c r="T756" s="65" t="n">
        <f aca="false">ROUND($R756*SUMIFS(Parametros!$E$28:$E$43,Parametros!$B$28:$B$43,$J756,Parametros!$C$28:$C$43,$C756,Parametros!$D$28:$D$43,$D756),2)</f>
        <v>19.49</v>
      </c>
      <c r="U756" s="65" t="n">
        <f aca="false">$R756-$S756-$T756</f>
        <v>615.37</v>
      </c>
      <c r="V756" s="66" t="n">
        <f aca="false">IFERROR($U756/$R756,0)</f>
        <v>0.410410830999066</v>
      </c>
      <c r="W756" s="67" t="str">
        <f aca="false">IF(AND($V756&gt;=Parametros!$C$8,$R756&gt;=Parametros!$C$12),"Alta rentabilidad",IF(OR($V756&lt;Parametros!$C$11,$R756&lt;Parametros!$C$13),"Revisar","Estandar"))</f>
        <v>Estandar</v>
      </c>
      <c r="X756" s="67" t="str">
        <f aca="false">IF(AND($J756="E-commerce",IFERROR($T756/$R756,0)&gt;Parametros!$C$14),"Alerta","OK")</f>
        <v>OK</v>
      </c>
      <c r="Y756" s="61" t="str">
        <f aca="false">IF($R756&gt;=Parametros!$C$12,"Alto",IF($R756&lt;Parametros!$C$13,"Bajo","Medio"))</f>
        <v>Medio</v>
      </c>
      <c r="Z756" s="61" t="n">
        <v>1461</v>
      </c>
      <c r="AA756" s="61" t="str">
        <f aca="false">IF(MATCH($A756,Datos_Origen!$A$2:$A$2459,0)=$Z756,"OK","REVISAR")</f>
        <v>OK</v>
      </c>
      <c r="AB756" s="61" t="str">
        <f aca="false">INDEX(Datos_Origen!$B$2:$B$2459,$Z756)</f>
        <v>2024-08-21</v>
      </c>
      <c r="AC756" s="61" t="n">
        <f aca="false">INDEX(Datos_Origen!$H$2:$H$2459,$Z756)</f>
        <v>18</v>
      </c>
      <c r="AD756" s="61" t="str">
        <f aca="false">INDEX(Datos_Origen!$D$2:$D$2459,$Z756)&amp;""</f>
        <v>Rosario</v>
      </c>
    </row>
    <row r="757" customFormat="false" ht="15" hidden="false" customHeight="false" outlineLevel="0" collapsed="false">
      <c r="A757" s="61" t="n">
        <f aca="false">INDEX(Datos_Origen!$A$2:$A$2459,$Z757)</f>
        <v>756</v>
      </c>
      <c r="B757" s="62" t="n">
        <f aca="false">IF(ISNUMBER($AB757),$AB757,IF(MID($AB757,5,1)="-",DATE(VALUE(LEFT($AB757,4)),VALUE(MID($AB757,6,2)),VALUE(RIGHT($AB757,2))),DATE(VALUE(RIGHT($AB757,4)),VALUE(MID($AB757,4,2)),VALUE(LEFT($AB757,2)))))</f>
        <v>45505</v>
      </c>
      <c r="C757" s="61" t="n">
        <f aca="false">YEAR($B757)</f>
        <v>2024</v>
      </c>
      <c r="D757" s="61" t="str">
        <f aca="false">"Q"&amp;ROUNDUP(MONTH($B757)/3,0)</f>
        <v>Q3</v>
      </c>
      <c r="E757" s="61" t="n">
        <f aca="false">MONTH($B757)</f>
        <v>8</v>
      </c>
      <c r="F757" s="61" t="str">
        <f aca="false">INDEX(Parametros!$I$5:$I$16,$E757)</f>
        <v>Ago</v>
      </c>
      <c r="G757" s="61" t="str">
        <f aca="false">TEXT($C757,"0000")&amp;"-"&amp;TEXT($E757,"00")</f>
        <v>2024-08</v>
      </c>
      <c r="H757" s="61" t="str">
        <f aca="false">INDEX(Parametros!$C$71:$C$91,MATCH(TRIM(INDEX(Datos_Origen!$C$2:$C$2459,$Z757)),Parametros!$B$71:$B$91,0))</f>
        <v>Litoral</v>
      </c>
      <c r="I757" s="61" t="str">
        <f aca="false">IF(TRIM($AD757)="",INDEX(Parametros!$I$20:$I$24,MATCH($H757,Parametros!$H$20:$H$24,0)),TRIM($AD757))</f>
        <v>Rosario</v>
      </c>
      <c r="J757" s="61" t="str">
        <f aca="false">INDEX(Parametros!$C$95:$C$106,MATCH(TRIM(INDEX(Datos_Origen!$E$2:$E$2459,$Z757)),Parametros!$B$95:$B$106,0))</f>
        <v>E-commerce</v>
      </c>
      <c r="K757" s="61" t="str">
        <f aca="false">INDEX(Parametros!$C$48:$C$67,MATCH(TRIM(INDEX(Datos_Origen!$F$2:$F$2459,$Z757)),Parametros!$B$48:$B$67,0))</f>
        <v>Audio</v>
      </c>
      <c r="L757" s="61" t="str">
        <f aca="false">$K757&amp;" "&amp;$C757</f>
        <v>Audio 2024</v>
      </c>
      <c r="M757" s="61" t="str">
        <f aca="false">TRIM(INDEX(Datos_Origen!$G$2:$G$2459,$Z757))</f>
        <v>Parlante Bluetooth</v>
      </c>
      <c r="N757" s="61" t="str">
        <f aca="false">$M757&amp;" "&amp;$C757</f>
        <v>Parlante Bluetooth 2024</v>
      </c>
      <c r="O757" s="63" t="n">
        <f aca="false">IF(ISTEXT($AC757),VALUE($AC757),$AC757)</f>
        <v>7</v>
      </c>
      <c r="P757" s="64" t="n">
        <f aca="false">INDEX(Datos_Origen!$I$2:$I$2459,$Z757)</f>
        <v>83.3</v>
      </c>
      <c r="Q757" s="64" t="n">
        <f aca="false">INDEX(Datos_Origen!$J$2:$J$2459,$Z757)</f>
        <v>48.03</v>
      </c>
      <c r="R757" s="65" t="n">
        <f aca="false">ROUND($O757*$P757,2)</f>
        <v>583.1</v>
      </c>
      <c r="S757" s="65" t="n">
        <f aca="false">ROUND($O757*$Q757,2)</f>
        <v>336.21</v>
      </c>
      <c r="T757" s="65" t="n">
        <f aca="false">ROUND($R757*SUMIFS(Parametros!$E$28:$E$43,Parametros!$B$28:$B$43,$J757,Parametros!$C$28:$C$43,$C757,Parametros!$D$28:$D$43,$D757),2)</f>
        <v>26.82</v>
      </c>
      <c r="U757" s="65" t="n">
        <f aca="false">$R757-$S757-$T757</f>
        <v>220.07</v>
      </c>
      <c r="V757" s="66" t="n">
        <f aca="false">IFERROR($U757/$R757,0)</f>
        <v>0.377413822671926</v>
      </c>
      <c r="W757" s="67" t="str">
        <f aca="false">IF(AND($V757&gt;=Parametros!$C$8,$R757&gt;=Parametros!$C$12),"Alta rentabilidad",IF(OR($V757&lt;Parametros!$C$11,$R757&lt;Parametros!$C$13),"Revisar","Estandar"))</f>
        <v>Estandar</v>
      </c>
      <c r="X757" s="67" t="str">
        <f aca="false">IF(AND($J757="E-commerce",IFERROR($T757/$R757,0)&gt;Parametros!$C$14),"Alerta","OK")</f>
        <v>OK</v>
      </c>
      <c r="Y757" s="61" t="str">
        <f aca="false">IF($R757&gt;=Parametros!$C$12,"Alto",IF($R757&lt;Parametros!$C$13,"Bajo","Medio"))</f>
        <v>Medio</v>
      </c>
      <c r="Z757" s="61" t="n">
        <v>582</v>
      </c>
      <c r="AA757" s="61" t="str">
        <f aca="false">IF(MATCH($A757,Datos_Origen!$A$2:$A$2459,0)=$Z757,"OK","REVISAR")</f>
        <v>OK</v>
      </c>
      <c r="AB757" s="62" t="n">
        <f aca="false">INDEX(Datos_Origen!$B$2:$B$2459,$Z757)</f>
        <v>45505</v>
      </c>
      <c r="AC757" s="61" t="n">
        <f aca="false">INDEX(Datos_Origen!$H$2:$H$2459,$Z757)</f>
        <v>7</v>
      </c>
      <c r="AD757" s="61" t="str">
        <f aca="false">INDEX(Datos_Origen!$D$2:$D$2459,$Z757)&amp;""</f>
        <v>Rosario</v>
      </c>
    </row>
    <row r="758" customFormat="false" ht="15" hidden="false" customHeight="false" outlineLevel="0" collapsed="false">
      <c r="A758" s="61" t="n">
        <f aca="false">INDEX(Datos_Origen!$A$2:$A$2459,$Z758)</f>
        <v>757</v>
      </c>
      <c r="B758" s="62" t="n">
        <f aca="false">IF(ISNUMBER($AB758),$AB758,IF(MID($AB758,5,1)="-",DATE(VALUE(LEFT($AB758,4)),VALUE(MID($AB758,6,2)),VALUE(RIGHT($AB758,2))),DATE(VALUE(RIGHT($AB758,4)),VALUE(MID($AB758,4,2)),VALUE(LEFT($AB758,2)))))</f>
        <v>45512</v>
      </c>
      <c r="C758" s="61" t="n">
        <f aca="false">YEAR($B758)</f>
        <v>2024</v>
      </c>
      <c r="D758" s="61" t="str">
        <f aca="false">"Q"&amp;ROUNDUP(MONTH($B758)/3,0)</f>
        <v>Q3</v>
      </c>
      <c r="E758" s="61" t="n">
        <f aca="false">MONTH($B758)</f>
        <v>8</v>
      </c>
      <c r="F758" s="61" t="str">
        <f aca="false">INDEX(Parametros!$I$5:$I$16,$E758)</f>
        <v>Ago</v>
      </c>
      <c r="G758" s="61" t="str">
        <f aca="false">TEXT($C758,"0000")&amp;"-"&amp;TEXT($E758,"00")</f>
        <v>2024-08</v>
      </c>
      <c r="H758" s="61" t="str">
        <f aca="false">INDEX(Parametros!$C$71:$C$91,MATCH(TRIM(INDEX(Datos_Origen!$C$2:$C$2459,$Z758)),Parametros!$B$71:$B$91,0))</f>
        <v>Litoral</v>
      </c>
      <c r="I758" s="61" t="str">
        <f aca="false">IF(TRIM($AD758)="",INDEX(Parametros!$I$20:$I$24,MATCH($H758,Parametros!$H$20:$H$24,0)),TRIM($AD758))</f>
        <v>Rosario</v>
      </c>
      <c r="J758" s="61" t="str">
        <f aca="false">INDEX(Parametros!$C$95:$C$106,MATCH(TRIM(INDEX(Datos_Origen!$E$2:$E$2459,$Z758)),Parametros!$B$95:$B$106,0))</f>
        <v>Tienda fisica</v>
      </c>
      <c r="K758" s="61" t="str">
        <f aca="false">INDEX(Parametros!$C$48:$C$67,MATCH(TRIM(INDEX(Datos_Origen!$F$2:$F$2459,$Z758)),Parametros!$B$48:$B$67,0))</f>
        <v>Almacenamiento</v>
      </c>
      <c r="L758" s="61" t="str">
        <f aca="false">$K758&amp;" "&amp;$C758</f>
        <v>Almacenamiento 2024</v>
      </c>
      <c r="M758" s="61" t="str">
        <f aca="false">TRIM(INDEX(Datos_Origen!$G$2:$G$2459,$Z758))</f>
        <v>SSD Externo 1TB</v>
      </c>
      <c r="N758" s="61" t="str">
        <f aca="false">$M758&amp;" "&amp;$C758</f>
        <v>SSD Externo 1TB 2024</v>
      </c>
      <c r="O758" s="63" t="n">
        <f aca="false">IF(ISTEXT($AC758),VALUE($AC758),$AC758)</f>
        <v>25</v>
      </c>
      <c r="P758" s="64" t="n">
        <f aca="false">INDEX(Datos_Origen!$I$2:$I$2459,$Z758)</f>
        <v>127.4</v>
      </c>
      <c r="Q758" s="64" t="n">
        <f aca="false">INDEX(Datos_Origen!$J$2:$J$2459,$Z758)</f>
        <v>76.05</v>
      </c>
      <c r="R758" s="65" t="n">
        <f aca="false">ROUND($O758*$P758,2)</f>
        <v>3185</v>
      </c>
      <c r="S758" s="65" t="n">
        <f aca="false">ROUND($O758*$Q758,2)</f>
        <v>1901.25</v>
      </c>
      <c r="T758" s="65" t="n">
        <f aca="false">ROUND($R758*SUMIFS(Parametros!$E$28:$E$43,Parametros!$B$28:$B$43,$J758,Parametros!$C$28:$C$43,$C758,Parametros!$D$28:$D$43,$D758),2)</f>
        <v>41.41</v>
      </c>
      <c r="U758" s="65" t="n">
        <f aca="false">$R758-$S758-$T758</f>
        <v>1242.34</v>
      </c>
      <c r="V758" s="66" t="n">
        <f aca="false">IFERROR($U758/$R758,0)</f>
        <v>0.390059654631083</v>
      </c>
      <c r="W758" s="67" t="str">
        <f aca="false">IF(AND($V758&gt;=Parametros!$C$8,$R758&gt;=Parametros!$C$12),"Alta rentabilidad",IF(OR($V758&lt;Parametros!$C$11,$R758&lt;Parametros!$C$13),"Revisar","Estandar"))</f>
        <v>Alta rentabilidad</v>
      </c>
      <c r="X758" s="67" t="str">
        <f aca="false">IF(AND($J758="E-commerce",IFERROR($T758/$R758,0)&gt;Parametros!$C$14),"Alerta","OK")</f>
        <v>OK</v>
      </c>
      <c r="Y758" s="61" t="str">
        <f aca="false">IF($R758&gt;=Parametros!$C$12,"Alto",IF($R758&lt;Parametros!$C$13,"Bajo","Medio"))</f>
        <v>Alto</v>
      </c>
      <c r="Z758" s="61" t="n">
        <v>1795</v>
      </c>
      <c r="AA758" s="61" t="str">
        <f aca="false">IF(MATCH($A758,Datos_Origen!$A$2:$A$2459,0)=$Z758,"OK","REVISAR")</f>
        <v>OK</v>
      </c>
      <c r="AB758" s="62" t="n">
        <f aca="false">INDEX(Datos_Origen!$B$2:$B$2459,$Z758)</f>
        <v>45512</v>
      </c>
      <c r="AC758" s="61" t="n">
        <f aca="false">INDEX(Datos_Origen!$H$2:$H$2459,$Z758)</f>
        <v>25</v>
      </c>
      <c r="AD758" s="61" t="str">
        <f aca="false">INDEX(Datos_Origen!$D$2:$D$2459,$Z758)&amp;""</f>
        <v>Rosario</v>
      </c>
    </row>
    <row r="759" customFormat="false" ht="15" hidden="false" customHeight="false" outlineLevel="0" collapsed="false">
      <c r="A759" s="61" t="n">
        <f aca="false">INDEX(Datos_Origen!$A$2:$A$2459,$Z759)</f>
        <v>758</v>
      </c>
      <c r="B759" s="62" t="n">
        <f aca="false">IF(ISNUMBER($AB759),$AB759,IF(MID($AB759,5,1)="-",DATE(VALUE(LEFT($AB759,4)),VALUE(MID($AB759,6,2)),VALUE(RIGHT($AB759,2))),DATE(VALUE(RIGHT($AB759,4)),VALUE(MID($AB759,4,2)),VALUE(LEFT($AB759,2)))))</f>
        <v>45519</v>
      </c>
      <c r="C759" s="61" t="n">
        <f aca="false">YEAR($B759)</f>
        <v>2024</v>
      </c>
      <c r="D759" s="61" t="str">
        <f aca="false">"Q"&amp;ROUNDUP(MONTH($B759)/3,0)</f>
        <v>Q3</v>
      </c>
      <c r="E759" s="61" t="n">
        <f aca="false">MONTH($B759)</f>
        <v>8</v>
      </c>
      <c r="F759" s="61" t="str">
        <f aca="false">INDEX(Parametros!$I$5:$I$16,$E759)</f>
        <v>Ago</v>
      </c>
      <c r="G759" s="61" t="str">
        <f aca="false">TEXT($C759,"0000")&amp;"-"&amp;TEXT($E759,"00")</f>
        <v>2024-08</v>
      </c>
      <c r="H759" s="61" t="str">
        <f aca="false">INDEX(Parametros!$C$71:$C$91,MATCH(TRIM(INDEX(Datos_Origen!$C$2:$C$2459,$Z759)),Parametros!$B$71:$B$91,0))</f>
        <v>Litoral</v>
      </c>
      <c r="I759" s="61" t="str">
        <f aca="false">IF(TRIM($AD759)="",INDEX(Parametros!$I$20:$I$24,MATCH($H759,Parametros!$H$20:$H$24,0)),TRIM($AD759))</f>
        <v>Rosario</v>
      </c>
      <c r="J759" s="61" t="str">
        <f aca="false">INDEX(Parametros!$C$95:$C$106,MATCH(TRIM(INDEX(Datos_Origen!$E$2:$E$2459,$Z759)),Parametros!$B$95:$B$106,0))</f>
        <v>E-commerce</v>
      </c>
      <c r="K759" s="61" t="str">
        <f aca="false">INDEX(Parametros!$C$48:$C$67,MATCH(TRIM(INDEX(Datos_Origen!$F$2:$F$2459,$Z759)),Parametros!$B$48:$B$67,0))</f>
        <v>Almacenamiento</v>
      </c>
      <c r="L759" s="61" t="str">
        <f aca="false">$K759&amp;" "&amp;$C759</f>
        <v>Almacenamiento 2024</v>
      </c>
      <c r="M759" s="61" t="str">
        <f aca="false">TRIM(INDEX(Datos_Origen!$G$2:$G$2459,$Z759))</f>
        <v>SSD Externo 1TB</v>
      </c>
      <c r="N759" s="61" t="str">
        <f aca="false">$M759&amp;" "&amp;$C759</f>
        <v>SSD Externo 1TB 2024</v>
      </c>
      <c r="O759" s="63" t="n">
        <f aca="false">IF(ISTEXT($AC759),VALUE($AC759),$AC759)</f>
        <v>8</v>
      </c>
      <c r="P759" s="64" t="n">
        <f aca="false">INDEX(Datos_Origen!$I$2:$I$2459,$Z759)</f>
        <v>127.4</v>
      </c>
      <c r="Q759" s="64" t="n">
        <f aca="false">INDEX(Datos_Origen!$J$2:$J$2459,$Z759)</f>
        <v>76.05</v>
      </c>
      <c r="R759" s="65" t="n">
        <f aca="false">ROUND($O759*$P759,2)</f>
        <v>1019.2</v>
      </c>
      <c r="S759" s="65" t="n">
        <f aca="false">ROUND($O759*$Q759,2)</f>
        <v>608.4</v>
      </c>
      <c r="T759" s="65" t="n">
        <f aca="false">ROUND($R759*SUMIFS(Parametros!$E$28:$E$43,Parametros!$B$28:$B$43,$J759,Parametros!$C$28:$C$43,$C759,Parametros!$D$28:$D$43,$D759),2)</f>
        <v>46.88</v>
      </c>
      <c r="U759" s="65" t="n">
        <f aca="false">$R759-$S759-$T759</f>
        <v>363.92</v>
      </c>
      <c r="V759" s="66" t="n">
        <f aca="false">IFERROR($U759/$R759,0)</f>
        <v>0.357064364207221</v>
      </c>
      <c r="W759" s="67" t="str">
        <f aca="false">IF(AND($V759&gt;=Parametros!$C$8,$R759&gt;=Parametros!$C$12),"Alta rentabilidad",IF(OR($V759&lt;Parametros!$C$11,$R759&lt;Parametros!$C$13),"Revisar","Estandar"))</f>
        <v>Estandar</v>
      </c>
      <c r="X759" s="67" t="str">
        <f aca="false">IF(AND($J759="E-commerce",IFERROR($T759/$R759,0)&gt;Parametros!$C$14),"Alerta","OK")</f>
        <v>OK</v>
      </c>
      <c r="Y759" s="61" t="str">
        <f aca="false">IF($R759&gt;=Parametros!$C$12,"Alto",IF($R759&lt;Parametros!$C$13,"Bajo","Medio"))</f>
        <v>Medio</v>
      </c>
      <c r="Z759" s="61" t="n">
        <v>2191</v>
      </c>
      <c r="AA759" s="61" t="str">
        <f aca="false">IF(MATCH($A759,Datos_Origen!$A$2:$A$2459,0)=$Z759,"OK","REVISAR")</f>
        <v>OK</v>
      </c>
      <c r="AB759" s="62" t="n">
        <f aca="false">INDEX(Datos_Origen!$B$2:$B$2459,$Z759)</f>
        <v>45519</v>
      </c>
      <c r="AC759" s="61" t="n">
        <f aca="false">INDEX(Datos_Origen!$H$2:$H$2459,$Z759)</f>
        <v>8</v>
      </c>
      <c r="AD759" s="61" t="str">
        <f aca="false">INDEX(Datos_Origen!$D$2:$D$2459,$Z759)&amp;""</f>
        <v>Rosario</v>
      </c>
    </row>
    <row r="760" customFormat="false" ht="15" hidden="false" customHeight="false" outlineLevel="0" collapsed="false">
      <c r="A760" s="61" t="n">
        <f aca="false">INDEX(Datos_Origen!$A$2:$A$2459,$Z760)</f>
        <v>759</v>
      </c>
      <c r="B760" s="62" t="n">
        <f aca="false">IF(ISNUMBER($AB760),$AB760,IF(MID($AB760,5,1)="-",DATE(VALUE(LEFT($AB760,4)),VALUE(MID($AB760,6,2)),VALUE(RIGHT($AB760,2))),DATE(VALUE(RIGHT($AB760,4)),VALUE(MID($AB760,4,2)),VALUE(LEFT($AB760,2)))))</f>
        <v>45526</v>
      </c>
      <c r="C760" s="61" t="n">
        <f aca="false">YEAR($B760)</f>
        <v>2024</v>
      </c>
      <c r="D760" s="61" t="str">
        <f aca="false">"Q"&amp;ROUNDUP(MONTH($B760)/3,0)</f>
        <v>Q3</v>
      </c>
      <c r="E760" s="61" t="n">
        <f aca="false">MONTH($B760)</f>
        <v>8</v>
      </c>
      <c r="F760" s="61" t="str">
        <f aca="false">INDEX(Parametros!$I$5:$I$16,$E760)</f>
        <v>Ago</v>
      </c>
      <c r="G760" s="61" t="str">
        <f aca="false">TEXT($C760,"0000")&amp;"-"&amp;TEXT($E760,"00")</f>
        <v>2024-08</v>
      </c>
      <c r="H760" s="61" t="str">
        <f aca="false">INDEX(Parametros!$C$71:$C$91,MATCH(TRIM(INDEX(Datos_Origen!$C$2:$C$2459,$Z760)),Parametros!$B$71:$B$91,0))</f>
        <v>Litoral</v>
      </c>
      <c r="I760" s="61" t="str">
        <f aca="false">IF(TRIM($AD760)="",INDEX(Parametros!$I$20:$I$24,MATCH($H760,Parametros!$H$20:$H$24,0)),TRIM($AD760))</f>
        <v>Rosario</v>
      </c>
      <c r="J760" s="61" t="str">
        <f aca="false">INDEX(Parametros!$C$95:$C$106,MATCH(TRIM(INDEX(Datos_Origen!$E$2:$E$2459,$Z760)),Parametros!$B$95:$B$106,0))</f>
        <v>Tienda fisica</v>
      </c>
      <c r="K760" s="61" t="str">
        <f aca="false">INDEX(Parametros!$C$48:$C$67,MATCH(TRIM(INDEX(Datos_Origen!$F$2:$F$2459,$Z760)),Parametros!$B$48:$B$67,0))</f>
        <v>Almacenamiento</v>
      </c>
      <c r="L760" s="61" t="str">
        <f aca="false">$K760&amp;" "&amp;$C760</f>
        <v>Almacenamiento 2024</v>
      </c>
      <c r="M760" s="61" t="str">
        <f aca="false">TRIM(INDEX(Datos_Origen!$G$2:$G$2459,$Z760))</f>
        <v>Pendrive 256GB</v>
      </c>
      <c r="N760" s="61" t="str">
        <f aca="false">$M760&amp;" "&amp;$C760</f>
        <v>Pendrive 256GB 2024</v>
      </c>
      <c r="O760" s="63" t="n">
        <f aca="false">IF(ISTEXT($AC760),VALUE($AC760),$AC760)</f>
        <v>26</v>
      </c>
      <c r="P760" s="64" t="n">
        <f aca="false">INDEX(Datos_Origen!$I$2:$I$2459,$Z760)</f>
        <v>34.3</v>
      </c>
      <c r="Q760" s="64" t="n">
        <f aca="false">INDEX(Datos_Origen!$J$2:$J$2459,$Z760)</f>
        <v>17.85</v>
      </c>
      <c r="R760" s="65" t="n">
        <f aca="false">ROUND($O760*$P760,2)</f>
        <v>891.8</v>
      </c>
      <c r="S760" s="65" t="n">
        <f aca="false">ROUND($O760*$Q760,2)</f>
        <v>464.1</v>
      </c>
      <c r="T760" s="65" t="n">
        <f aca="false">ROUND($R760*SUMIFS(Parametros!$E$28:$E$43,Parametros!$B$28:$B$43,$J760,Parametros!$C$28:$C$43,$C760,Parametros!$D$28:$D$43,$D760),2)</f>
        <v>11.59</v>
      </c>
      <c r="U760" s="65" t="n">
        <f aca="false">$R760-$S760-$T760</f>
        <v>416.11</v>
      </c>
      <c r="V760" s="66" t="n">
        <f aca="false">IFERROR($U760/$R760,0)</f>
        <v>0.46659564924871</v>
      </c>
      <c r="W760" s="67" t="str">
        <f aca="false">IF(AND($V760&gt;=Parametros!$C$8,$R760&gt;=Parametros!$C$12),"Alta rentabilidad",IF(OR($V760&lt;Parametros!$C$11,$R760&lt;Parametros!$C$13),"Revisar","Estandar"))</f>
        <v>Estandar</v>
      </c>
      <c r="X760" s="67" t="str">
        <f aca="false">IF(AND($J760="E-commerce",IFERROR($T760/$R760,0)&gt;Parametros!$C$14),"Alerta","OK")</f>
        <v>OK</v>
      </c>
      <c r="Y760" s="61" t="str">
        <f aca="false">IF($R760&gt;=Parametros!$C$12,"Alto",IF($R760&lt;Parametros!$C$13,"Bajo","Medio"))</f>
        <v>Medio</v>
      </c>
      <c r="Z760" s="61" t="n">
        <v>818</v>
      </c>
      <c r="AA760" s="61" t="str">
        <f aca="false">IF(MATCH($A760,Datos_Origen!$A$2:$A$2459,0)=$Z760,"OK","REVISAR")</f>
        <v>OK</v>
      </c>
      <c r="AB760" s="62" t="n">
        <f aca="false">INDEX(Datos_Origen!$B$2:$B$2459,$Z760)</f>
        <v>45526</v>
      </c>
      <c r="AC760" s="61" t="n">
        <f aca="false">INDEX(Datos_Origen!$H$2:$H$2459,$Z760)</f>
        <v>26</v>
      </c>
      <c r="AD760" s="61" t="str">
        <f aca="false">INDEX(Datos_Origen!$D$2:$D$2459,$Z760)&amp;""</f>
        <v>Rosario</v>
      </c>
    </row>
    <row r="761" customFormat="false" ht="15" hidden="false" customHeight="false" outlineLevel="0" collapsed="false">
      <c r="A761" s="61" t="n">
        <f aca="false">INDEX(Datos_Origen!$A$2:$A$2459,$Z761)</f>
        <v>760</v>
      </c>
      <c r="B761" s="62" t="n">
        <f aca="false">IF(ISNUMBER($AB761),$AB761,IF(MID($AB761,5,1)="-",DATE(VALUE(LEFT($AB761,4)),VALUE(MID($AB761,6,2)),VALUE(RIGHT($AB761,2))),DATE(VALUE(RIGHT($AB761,4)),VALUE(MID($AB761,4,2)),VALUE(LEFT($AB761,2)))))</f>
        <v>45506</v>
      </c>
      <c r="C761" s="61" t="n">
        <f aca="false">YEAR($B761)</f>
        <v>2024</v>
      </c>
      <c r="D761" s="61" t="str">
        <f aca="false">"Q"&amp;ROUNDUP(MONTH($B761)/3,0)</f>
        <v>Q3</v>
      </c>
      <c r="E761" s="61" t="n">
        <f aca="false">MONTH($B761)</f>
        <v>8</v>
      </c>
      <c r="F761" s="61" t="str">
        <f aca="false">INDEX(Parametros!$I$5:$I$16,$E761)</f>
        <v>Ago</v>
      </c>
      <c r="G761" s="61" t="str">
        <f aca="false">TEXT($C761,"0000")&amp;"-"&amp;TEXT($E761,"00")</f>
        <v>2024-08</v>
      </c>
      <c r="H761" s="61" t="str">
        <f aca="false">INDEX(Parametros!$C$71:$C$91,MATCH(TRIM(INDEX(Datos_Origen!$C$2:$C$2459,$Z761)),Parametros!$B$71:$B$91,0))</f>
        <v>Litoral</v>
      </c>
      <c r="I761" s="61" t="str">
        <f aca="false">IF(TRIM($AD761)="",INDEX(Parametros!$I$20:$I$24,MATCH($H761,Parametros!$H$20:$H$24,0)),TRIM($AD761))</f>
        <v>Rosario</v>
      </c>
      <c r="J761" s="61" t="str">
        <f aca="false">INDEX(Parametros!$C$95:$C$106,MATCH(TRIM(INDEX(Datos_Origen!$E$2:$E$2459,$Z761)),Parametros!$B$95:$B$106,0))</f>
        <v>E-commerce</v>
      </c>
      <c r="K761" s="61" t="str">
        <f aca="false">INDEX(Parametros!$C$48:$C$67,MATCH(TRIM(INDEX(Datos_Origen!$F$2:$F$2459,$Z761)),Parametros!$B$48:$B$67,0))</f>
        <v>Almacenamiento</v>
      </c>
      <c r="L761" s="61" t="str">
        <f aca="false">$K761&amp;" "&amp;$C761</f>
        <v>Almacenamiento 2024</v>
      </c>
      <c r="M761" s="61" t="str">
        <f aca="false">TRIM(INDEX(Datos_Origen!$G$2:$G$2459,$Z761))</f>
        <v>Pendrive 256GB</v>
      </c>
      <c r="N761" s="61" t="str">
        <f aca="false">$M761&amp;" "&amp;$C761</f>
        <v>Pendrive 256GB 2024</v>
      </c>
      <c r="O761" s="63" t="n">
        <f aca="false">IF(ISTEXT($AC761),VALUE($AC761),$AC761)</f>
        <v>8</v>
      </c>
      <c r="P761" s="64" t="n">
        <f aca="false">INDEX(Datos_Origen!$I$2:$I$2459,$Z761)</f>
        <v>34.3</v>
      </c>
      <c r="Q761" s="64" t="n">
        <f aca="false">INDEX(Datos_Origen!$J$2:$J$2459,$Z761)</f>
        <v>17.85</v>
      </c>
      <c r="R761" s="65" t="n">
        <f aca="false">ROUND($O761*$P761,2)</f>
        <v>274.4</v>
      </c>
      <c r="S761" s="65" t="n">
        <f aca="false">ROUND($O761*$Q761,2)</f>
        <v>142.8</v>
      </c>
      <c r="T761" s="65" t="n">
        <f aca="false">ROUND($R761*SUMIFS(Parametros!$E$28:$E$43,Parametros!$B$28:$B$43,$J761,Parametros!$C$28:$C$43,$C761,Parametros!$D$28:$D$43,$D761),2)</f>
        <v>12.62</v>
      </c>
      <c r="U761" s="65" t="n">
        <f aca="false">$R761-$S761-$T761</f>
        <v>118.98</v>
      </c>
      <c r="V761" s="66" t="n">
        <f aca="false">IFERROR($U761/$R761,0)</f>
        <v>0.433600583090379</v>
      </c>
      <c r="W761" s="67" t="str">
        <f aca="false">IF(AND($V761&gt;=Parametros!$C$8,$R761&gt;=Parametros!$C$12),"Alta rentabilidad",IF(OR($V761&lt;Parametros!$C$11,$R761&lt;Parametros!$C$13),"Revisar","Estandar"))</f>
        <v>Revisar</v>
      </c>
      <c r="X761" s="67" t="str">
        <f aca="false">IF(AND($J761="E-commerce",IFERROR($T761/$R761,0)&gt;Parametros!$C$14),"Alerta","OK")</f>
        <v>OK</v>
      </c>
      <c r="Y761" s="61" t="str">
        <f aca="false">IF($R761&gt;=Parametros!$C$12,"Alto",IF($R761&lt;Parametros!$C$13,"Bajo","Medio"))</f>
        <v>Bajo</v>
      </c>
      <c r="Z761" s="61" t="n">
        <v>141</v>
      </c>
      <c r="AA761" s="61" t="str">
        <f aca="false">IF(MATCH($A761,Datos_Origen!$A$2:$A$2459,0)=$Z761,"OK","REVISAR")</f>
        <v>OK</v>
      </c>
      <c r="AB761" s="61" t="str">
        <f aca="false">INDEX(Datos_Origen!$B$2:$B$2459,$Z761)</f>
        <v>02/08/2024</v>
      </c>
      <c r="AC761" s="61" t="str">
        <f aca="false">INDEX(Datos_Origen!$H$2:$H$2459,$Z761)</f>
        <v>8</v>
      </c>
      <c r="AD761" s="61" t="str">
        <f aca="false">INDEX(Datos_Origen!$D$2:$D$2459,$Z761)&amp;""</f>
        <v/>
      </c>
    </row>
    <row r="762" customFormat="false" ht="15" hidden="false" customHeight="false" outlineLevel="0" collapsed="false">
      <c r="A762" s="61" t="n">
        <f aca="false">INDEX(Datos_Origen!$A$2:$A$2459,$Z762)</f>
        <v>761</v>
      </c>
      <c r="B762" s="62" t="n">
        <f aca="false">IF(ISNUMBER($AB762),$AB762,IF(MID($AB762,5,1)="-",DATE(VALUE(LEFT($AB762,4)),VALUE(MID($AB762,6,2)),VALUE(RIGHT($AB762,2))),DATE(VALUE(RIGHT($AB762,4)),VALUE(MID($AB762,4,2)),VALUE(LEFT($AB762,2)))))</f>
        <v>45513</v>
      </c>
      <c r="C762" s="61" t="n">
        <f aca="false">YEAR($B762)</f>
        <v>2024</v>
      </c>
      <c r="D762" s="61" t="str">
        <f aca="false">"Q"&amp;ROUNDUP(MONTH($B762)/3,0)</f>
        <v>Q3</v>
      </c>
      <c r="E762" s="61" t="n">
        <f aca="false">MONTH($B762)</f>
        <v>8</v>
      </c>
      <c r="F762" s="61" t="str">
        <f aca="false">INDEX(Parametros!$I$5:$I$16,$E762)</f>
        <v>Ago</v>
      </c>
      <c r="G762" s="61" t="str">
        <f aca="false">TEXT($C762,"0000")&amp;"-"&amp;TEXT($E762,"00")</f>
        <v>2024-08</v>
      </c>
      <c r="H762" s="61" t="str">
        <f aca="false">INDEX(Parametros!$C$71:$C$91,MATCH(TRIM(INDEX(Datos_Origen!$C$2:$C$2459,$Z762)),Parametros!$B$71:$B$91,0))</f>
        <v>Cuyo</v>
      </c>
      <c r="I762" s="61" t="str">
        <f aca="false">IF(TRIM($AD762)="",INDEX(Parametros!$I$20:$I$24,MATCH($H762,Parametros!$H$20:$H$24,0)),TRIM($AD762))</f>
        <v>Mendoza</v>
      </c>
      <c r="J762" s="61" t="str">
        <f aca="false">INDEX(Parametros!$C$95:$C$106,MATCH(TRIM(INDEX(Datos_Origen!$E$2:$E$2459,$Z762)),Parametros!$B$95:$B$106,0))</f>
        <v>Tienda fisica</v>
      </c>
      <c r="K762" s="61" t="str">
        <f aca="false">INDEX(Parametros!$C$48:$C$67,MATCH(TRIM(INDEX(Datos_Origen!$F$2:$F$2459,$Z762)),Parametros!$B$48:$B$67,0))</f>
        <v>Computacion</v>
      </c>
      <c r="L762" s="61" t="str">
        <f aca="false">$K762&amp;" "&amp;$C762</f>
        <v>Computacion 2024</v>
      </c>
      <c r="M762" s="61" t="str">
        <f aca="false">TRIM(INDEX(Datos_Origen!$G$2:$G$2459,$Z762))</f>
        <v>Laptop Pro 15</v>
      </c>
      <c r="N762" s="61" t="str">
        <f aca="false">$M762&amp;" "&amp;$C762</f>
        <v>Laptop Pro 15 2024</v>
      </c>
      <c r="O762" s="63" t="n">
        <f aca="false">IF(ISTEXT($AC762),VALUE($AC762),$AC762)</f>
        <v>7</v>
      </c>
      <c r="P762" s="64" t="n">
        <f aca="false">INDEX(Datos_Origen!$I$2:$I$2459,$Z762)</f>
        <v>1176</v>
      </c>
      <c r="Q762" s="64" t="n">
        <f aca="false">INDEX(Datos_Origen!$J$2:$J$2459,$Z762)</f>
        <v>744</v>
      </c>
      <c r="R762" s="65" t="n">
        <f aca="false">ROUND($O762*$P762,2)</f>
        <v>8232</v>
      </c>
      <c r="S762" s="65" t="n">
        <f aca="false">ROUND($O762*$Q762,2)</f>
        <v>5208</v>
      </c>
      <c r="T762" s="65" t="n">
        <f aca="false">ROUND($R762*SUMIFS(Parametros!$E$28:$E$43,Parametros!$B$28:$B$43,$J762,Parametros!$C$28:$C$43,$C762,Parametros!$D$28:$D$43,$D762),2)</f>
        <v>107.02</v>
      </c>
      <c r="U762" s="65" t="n">
        <f aca="false">$R762-$S762-$T762</f>
        <v>2916.98</v>
      </c>
      <c r="V762" s="66" t="n">
        <f aca="false">IFERROR($U762/$R762,0)</f>
        <v>0.354346452866861</v>
      </c>
      <c r="W762" s="67" t="str">
        <f aca="false">IF(AND($V762&gt;=Parametros!$C$8,$R762&gt;=Parametros!$C$12),"Alta rentabilidad",IF(OR($V762&lt;Parametros!$C$11,$R762&lt;Parametros!$C$13),"Revisar","Estandar"))</f>
        <v>Alta rentabilidad</v>
      </c>
      <c r="X762" s="67" t="str">
        <f aca="false">IF(AND($J762="E-commerce",IFERROR($T762/$R762,0)&gt;Parametros!$C$14),"Alerta","OK")</f>
        <v>OK</v>
      </c>
      <c r="Y762" s="61" t="str">
        <f aca="false">IF($R762&gt;=Parametros!$C$12,"Alto",IF($R762&lt;Parametros!$C$13,"Bajo","Medio"))</f>
        <v>Alto</v>
      </c>
      <c r="Z762" s="61" t="n">
        <v>703</v>
      </c>
      <c r="AA762" s="61" t="str">
        <f aca="false">IF(MATCH($A762,Datos_Origen!$A$2:$A$2459,0)=$Z762,"OK","REVISAR")</f>
        <v>OK</v>
      </c>
      <c r="AB762" s="62" t="n">
        <f aca="false">INDEX(Datos_Origen!$B$2:$B$2459,$Z762)</f>
        <v>45513</v>
      </c>
      <c r="AC762" s="61" t="n">
        <f aca="false">INDEX(Datos_Origen!$H$2:$H$2459,$Z762)</f>
        <v>7</v>
      </c>
      <c r="AD762" s="61" t="str">
        <f aca="false">INDEX(Datos_Origen!$D$2:$D$2459,$Z762)&amp;""</f>
        <v>Mendoza</v>
      </c>
    </row>
    <row r="763" customFormat="false" ht="15" hidden="false" customHeight="false" outlineLevel="0" collapsed="false">
      <c r="A763" s="61" t="n">
        <f aca="false">INDEX(Datos_Origen!$A$2:$A$2459,$Z763)</f>
        <v>762</v>
      </c>
      <c r="B763" s="62" t="n">
        <f aca="false">IF(ISNUMBER($AB763),$AB763,IF(MID($AB763,5,1)="-",DATE(VALUE(LEFT($AB763,4)),VALUE(MID($AB763,6,2)),VALUE(RIGHT($AB763,2))),DATE(VALUE(RIGHT($AB763,4)),VALUE(MID($AB763,4,2)),VALUE(LEFT($AB763,2)))))</f>
        <v>45520</v>
      </c>
      <c r="C763" s="61" t="n">
        <f aca="false">YEAR($B763)</f>
        <v>2024</v>
      </c>
      <c r="D763" s="61" t="str">
        <f aca="false">"Q"&amp;ROUNDUP(MONTH($B763)/3,0)</f>
        <v>Q3</v>
      </c>
      <c r="E763" s="61" t="n">
        <f aca="false">MONTH($B763)</f>
        <v>8</v>
      </c>
      <c r="F763" s="61" t="str">
        <f aca="false">INDEX(Parametros!$I$5:$I$16,$E763)</f>
        <v>Ago</v>
      </c>
      <c r="G763" s="61" t="str">
        <f aca="false">TEXT($C763,"0000")&amp;"-"&amp;TEXT($E763,"00")</f>
        <v>2024-08</v>
      </c>
      <c r="H763" s="61" t="str">
        <f aca="false">INDEX(Parametros!$C$71:$C$91,MATCH(TRIM(INDEX(Datos_Origen!$C$2:$C$2459,$Z763)),Parametros!$B$71:$B$91,0))</f>
        <v>Cuyo</v>
      </c>
      <c r="I763" s="61" t="str">
        <f aca="false">IF(TRIM($AD763)="",INDEX(Parametros!$I$20:$I$24,MATCH($H763,Parametros!$H$20:$H$24,0)),TRIM($AD763))</f>
        <v>Mendoza</v>
      </c>
      <c r="J763" s="61" t="str">
        <f aca="false">INDEX(Parametros!$C$95:$C$106,MATCH(TRIM(INDEX(Datos_Origen!$E$2:$E$2459,$Z763)),Parametros!$B$95:$B$106,0))</f>
        <v>E-commerce</v>
      </c>
      <c r="K763" s="61" t="str">
        <f aca="false">INDEX(Parametros!$C$48:$C$67,MATCH(TRIM(INDEX(Datos_Origen!$F$2:$F$2459,$Z763)),Parametros!$B$48:$B$67,0))</f>
        <v>Computacion</v>
      </c>
      <c r="L763" s="61" t="str">
        <f aca="false">$K763&amp;" "&amp;$C763</f>
        <v>Computacion 2024</v>
      </c>
      <c r="M763" s="61" t="str">
        <f aca="false">TRIM(INDEX(Datos_Origen!$G$2:$G$2459,$Z763))</f>
        <v>Laptop Pro 15</v>
      </c>
      <c r="N763" s="61" t="str">
        <f aca="false">$M763&amp;" "&amp;$C763</f>
        <v>Laptop Pro 15 2024</v>
      </c>
      <c r="O763" s="63" t="n">
        <f aca="false">IF(ISTEXT($AC763),VALUE($AC763),$AC763)</f>
        <v>3</v>
      </c>
      <c r="P763" s="64" t="n">
        <f aca="false">INDEX(Datos_Origen!$I$2:$I$2459,$Z763)</f>
        <v>1176</v>
      </c>
      <c r="Q763" s="64" t="n">
        <f aca="false">INDEX(Datos_Origen!$J$2:$J$2459,$Z763)</f>
        <v>744</v>
      </c>
      <c r="R763" s="65" t="n">
        <f aca="false">ROUND($O763*$P763,2)</f>
        <v>3528</v>
      </c>
      <c r="S763" s="65" t="n">
        <f aca="false">ROUND($O763*$Q763,2)</f>
        <v>2232</v>
      </c>
      <c r="T763" s="65" t="n">
        <f aca="false">ROUND($R763*SUMIFS(Parametros!$E$28:$E$43,Parametros!$B$28:$B$43,$J763,Parametros!$C$28:$C$43,$C763,Parametros!$D$28:$D$43,$D763),2)</f>
        <v>162.29</v>
      </c>
      <c r="U763" s="65" t="n">
        <f aca="false">$R763-$S763-$T763</f>
        <v>1133.71</v>
      </c>
      <c r="V763" s="66" t="n">
        <f aca="false">IFERROR($U763/$R763,0)</f>
        <v>0.321346371882086</v>
      </c>
      <c r="W763" s="67" t="str">
        <f aca="false">IF(AND($V763&gt;=Parametros!$C$8,$R763&gt;=Parametros!$C$12),"Alta rentabilidad",IF(OR($V763&lt;Parametros!$C$11,$R763&lt;Parametros!$C$13),"Revisar","Estandar"))</f>
        <v>Estandar</v>
      </c>
      <c r="X763" s="67" t="str">
        <f aca="false">IF(AND($J763="E-commerce",IFERROR($T763/$R763,0)&gt;Parametros!$C$14),"Alerta","OK")</f>
        <v>OK</v>
      </c>
      <c r="Y763" s="61" t="str">
        <f aca="false">IF($R763&gt;=Parametros!$C$12,"Alto",IF($R763&lt;Parametros!$C$13,"Bajo","Medio"))</f>
        <v>Alto</v>
      </c>
      <c r="Z763" s="61" t="n">
        <v>240</v>
      </c>
      <c r="AA763" s="61" t="str">
        <f aca="false">IF(MATCH($A763,Datos_Origen!$A$2:$A$2459,0)=$Z763,"OK","REVISAR")</f>
        <v>OK</v>
      </c>
      <c r="AB763" s="62" t="n">
        <f aca="false">INDEX(Datos_Origen!$B$2:$B$2459,$Z763)</f>
        <v>45520</v>
      </c>
      <c r="AC763" s="61" t="n">
        <f aca="false">INDEX(Datos_Origen!$H$2:$H$2459,$Z763)</f>
        <v>3</v>
      </c>
      <c r="AD763" s="61" t="str">
        <f aca="false">INDEX(Datos_Origen!$D$2:$D$2459,$Z763)&amp;""</f>
        <v>Mendoza</v>
      </c>
    </row>
    <row r="764" customFormat="false" ht="15" hidden="false" customHeight="false" outlineLevel="0" collapsed="false">
      <c r="A764" s="61" t="n">
        <f aca="false">INDEX(Datos_Origen!$A$2:$A$2459,$Z764)</f>
        <v>763</v>
      </c>
      <c r="B764" s="62" t="n">
        <f aca="false">IF(ISNUMBER($AB764),$AB764,IF(MID($AB764,5,1)="-",DATE(VALUE(LEFT($AB764,4)),VALUE(MID($AB764,6,2)),VALUE(RIGHT($AB764,2))),DATE(VALUE(RIGHT($AB764,4)),VALUE(MID($AB764,4,2)),VALUE(LEFT($AB764,2)))))</f>
        <v>45527</v>
      </c>
      <c r="C764" s="61" t="n">
        <f aca="false">YEAR($B764)</f>
        <v>2024</v>
      </c>
      <c r="D764" s="61" t="str">
        <f aca="false">"Q"&amp;ROUNDUP(MONTH($B764)/3,0)</f>
        <v>Q3</v>
      </c>
      <c r="E764" s="61" t="n">
        <f aca="false">MONTH($B764)</f>
        <v>8</v>
      </c>
      <c r="F764" s="61" t="str">
        <f aca="false">INDEX(Parametros!$I$5:$I$16,$E764)</f>
        <v>Ago</v>
      </c>
      <c r="G764" s="61" t="str">
        <f aca="false">TEXT($C764,"0000")&amp;"-"&amp;TEXT($E764,"00")</f>
        <v>2024-08</v>
      </c>
      <c r="H764" s="61" t="str">
        <f aca="false">INDEX(Parametros!$C$71:$C$91,MATCH(TRIM(INDEX(Datos_Origen!$C$2:$C$2459,$Z764)),Parametros!$B$71:$B$91,0))</f>
        <v>Cuyo</v>
      </c>
      <c r="I764" s="61" t="str">
        <f aca="false">IF(TRIM($AD764)="",INDEX(Parametros!$I$20:$I$24,MATCH($H764,Parametros!$H$20:$H$24,0)),TRIM($AD764))</f>
        <v>Mendoza</v>
      </c>
      <c r="J764" s="61" t="str">
        <f aca="false">INDEX(Parametros!$C$95:$C$106,MATCH(TRIM(INDEX(Datos_Origen!$E$2:$E$2459,$Z764)),Parametros!$B$95:$B$106,0))</f>
        <v>Tienda fisica</v>
      </c>
      <c r="K764" s="61" t="str">
        <f aca="false">INDEX(Parametros!$C$48:$C$67,MATCH(TRIM(INDEX(Datos_Origen!$F$2:$F$2459,$Z764)),Parametros!$B$48:$B$67,0))</f>
        <v>Computacion</v>
      </c>
      <c r="L764" s="61" t="str">
        <f aca="false">$K764&amp;" "&amp;$C764</f>
        <v>Computacion 2024</v>
      </c>
      <c r="M764" s="61" t="str">
        <f aca="false">TRIM(INDEX(Datos_Origen!$G$2:$G$2459,$Z764))</f>
        <v>Monitor 4K 27</v>
      </c>
      <c r="N764" s="61" t="str">
        <f aca="false">$M764&amp;" "&amp;$C764</f>
        <v>Monitor 4K 27 2024</v>
      </c>
      <c r="O764" s="63" t="n">
        <f aca="false">IF(ISTEXT($AC764),VALUE($AC764),$AC764)</f>
        <v>7</v>
      </c>
      <c r="P764" s="64" t="n">
        <f aca="false">INDEX(Datos_Origen!$I$2:$I$2459,$Z764)</f>
        <v>441</v>
      </c>
      <c r="Q764" s="64" t="n">
        <f aca="false">INDEX(Datos_Origen!$J$2:$J$2459,$Z764)</f>
        <v>272.25</v>
      </c>
      <c r="R764" s="65" t="n">
        <f aca="false">ROUND($O764*$P764,2)</f>
        <v>3087</v>
      </c>
      <c r="S764" s="65" t="n">
        <f aca="false">ROUND($O764*$Q764,2)</f>
        <v>1905.75</v>
      </c>
      <c r="T764" s="65" t="n">
        <f aca="false">ROUND($R764*SUMIFS(Parametros!$E$28:$E$43,Parametros!$B$28:$B$43,$J764,Parametros!$C$28:$C$43,$C764,Parametros!$D$28:$D$43,$D764),2)</f>
        <v>40.13</v>
      </c>
      <c r="U764" s="65" t="n">
        <f aca="false">$R764-$S764-$T764</f>
        <v>1141.12</v>
      </c>
      <c r="V764" s="66" t="n">
        <f aca="false">IFERROR($U764/$R764,0)</f>
        <v>0.369653385163589</v>
      </c>
      <c r="W764" s="67" t="str">
        <f aca="false">IF(AND($V764&gt;=Parametros!$C$8,$R764&gt;=Parametros!$C$12),"Alta rentabilidad",IF(OR($V764&lt;Parametros!$C$11,$R764&lt;Parametros!$C$13),"Revisar","Estandar"))</f>
        <v>Alta rentabilidad</v>
      </c>
      <c r="X764" s="67" t="str">
        <f aca="false">IF(AND($J764="E-commerce",IFERROR($T764/$R764,0)&gt;Parametros!$C$14),"Alerta","OK")</f>
        <v>OK</v>
      </c>
      <c r="Y764" s="61" t="str">
        <f aca="false">IF($R764&gt;=Parametros!$C$12,"Alto",IF($R764&lt;Parametros!$C$13,"Bajo","Medio"))</f>
        <v>Alto</v>
      </c>
      <c r="Z764" s="61" t="n">
        <v>877</v>
      </c>
      <c r="AA764" s="61" t="str">
        <f aca="false">IF(MATCH($A764,Datos_Origen!$A$2:$A$2459,0)=$Z764,"OK","REVISAR")</f>
        <v>OK</v>
      </c>
      <c r="AB764" s="61" t="str">
        <f aca="false">INDEX(Datos_Origen!$B$2:$B$2459,$Z764)</f>
        <v>23/08/2024</v>
      </c>
      <c r="AC764" s="61" t="str">
        <f aca="false">INDEX(Datos_Origen!$H$2:$H$2459,$Z764)</f>
        <v>7</v>
      </c>
      <c r="AD764" s="61" t="str">
        <f aca="false">INDEX(Datos_Origen!$D$2:$D$2459,$Z764)&amp;""</f>
        <v>Mendoza</v>
      </c>
    </row>
    <row r="765" customFormat="false" ht="15" hidden="false" customHeight="false" outlineLevel="0" collapsed="false">
      <c r="A765" s="61" t="n">
        <f aca="false">INDEX(Datos_Origen!$A$2:$A$2459,$Z765)</f>
        <v>764</v>
      </c>
      <c r="B765" s="62" t="n">
        <f aca="false">IF(ISNUMBER($AB765),$AB765,IF(MID($AB765,5,1)="-",DATE(VALUE(LEFT($AB765,4)),VALUE(MID($AB765,6,2)),VALUE(RIGHT($AB765,2))),DATE(VALUE(RIGHT($AB765,4)),VALUE(MID($AB765,4,2)),VALUE(LEFT($AB765,2)))))</f>
        <v>45507</v>
      </c>
      <c r="C765" s="61" t="n">
        <f aca="false">YEAR($B765)</f>
        <v>2024</v>
      </c>
      <c r="D765" s="61" t="str">
        <f aca="false">"Q"&amp;ROUNDUP(MONTH($B765)/3,0)</f>
        <v>Q3</v>
      </c>
      <c r="E765" s="61" t="n">
        <f aca="false">MONTH($B765)</f>
        <v>8</v>
      </c>
      <c r="F765" s="61" t="str">
        <f aca="false">INDEX(Parametros!$I$5:$I$16,$E765)</f>
        <v>Ago</v>
      </c>
      <c r="G765" s="61" t="str">
        <f aca="false">TEXT($C765,"0000")&amp;"-"&amp;TEXT($E765,"00")</f>
        <v>2024-08</v>
      </c>
      <c r="H765" s="61" t="str">
        <f aca="false">INDEX(Parametros!$C$71:$C$91,MATCH(TRIM(INDEX(Datos_Origen!$C$2:$C$2459,$Z765)),Parametros!$B$71:$B$91,0))</f>
        <v>Cuyo</v>
      </c>
      <c r="I765" s="61" t="str">
        <f aca="false">IF(TRIM($AD765)="",INDEX(Parametros!$I$20:$I$24,MATCH($H765,Parametros!$H$20:$H$24,0)),TRIM($AD765))</f>
        <v>Mendoza</v>
      </c>
      <c r="J765" s="61" t="str">
        <f aca="false">INDEX(Parametros!$C$95:$C$106,MATCH(TRIM(INDEX(Datos_Origen!$E$2:$E$2459,$Z765)),Parametros!$B$95:$B$106,0))</f>
        <v>E-commerce</v>
      </c>
      <c r="K765" s="61" t="str">
        <f aca="false">INDEX(Parametros!$C$48:$C$67,MATCH(TRIM(INDEX(Datos_Origen!$F$2:$F$2459,$Z765)),Parametros!$B$48:$B$67,0))</f>
        <v>Computacion</v>
      </c>
      <c r="L765" s="61" t="str">
        <f aca="false">$K765&amp;" "&amp;$C765</f>
        <v>Computacion 2024</v>
      </c>
      <c r="M765" s="61" t="str">
        <f aca="false">TRIM(INDEX(Datos_Origen!$G$2:$G$2459,$Z765))</f>
        <v>Monitor 4K 27</v>
      </c>
      <c r="N765" s="61" t="str">
        <f aca="false">$M765&amp;" "&amp;$C765</f>
        <v>Monitor 4K 27 2024</v>
      </c>
      <c r="O765" s="63" t="n">
        <f aca="false">IF(ISTEXT($AC765),VALUE($AC765),$AC765)</f>
        <v>3</v>
      </c>
      <c r="P765" s="64" t="n">
        <f aca="false">INDEX(Datos_Origen!$I$2:$I$2459,$Z765)</f>
        <v>441</v>
      </c>
      <c r="Q765" s="64" t="n">
        <f aca="false">INDEX(Datos_Origen!$J$2:$J$2459,$Z765)</f>
        <v>272.25</v>
      </c>
      <c r="R765" s="65" t="n">
        <f aca="false">ROUND($O765*$P765,2)</f>
        <v>1323</v>
      </c>
      <c r="S765" s="65" t="n">
        <f aca="false">ROUND($O765*$Q765,2)</f>
        <v>816.75</v>
      </c>
      <c r="T765" s="65" t="n">
        <f aca="false">ROUND($R765*SUMIFS(Parametros!$E$28:$E$43,Parametros!$B$28:$B$43,$J765,Parametros!$C$28:$C$43,$C765,Parametros!$D$28:$D$43,$D765),2)</f>
        <v>60.86</v>
      </c>
      <c r="U765" s="65" t="n">
        <f aca="false">$R765-$S765-$T765</f>
        <v>445.39</v>
      </c>
      <c r="V765" s="66" t="n">
        <f aca="false">IFERROR($U765/$R765,0)</f>
        <v>0.336651549508692</v>
      </c>
      <c r="W765" s="67" t="str">
        <f aca="false">IF(AND($V765&gt;=Parametros!$C$8,$R765&gt;=Parametros!$C$12),"Alta rentabilidad",IF(OR($V765&lt;Parametros!$C$11,$R765&lt;Parametros!$C$13),"Revisar","Estandar"))</f>
        <v>Estandar</v>
      </c>
      <c r="X765" s="67" t="str">
        <f aca="false">IF(AND($J765="E-commerce",IFERROR($T765/$R765,0)&gt;Parametros!$C$14),"Alerta","OK")</f>
        <v>OK</v>
      </c>
      <c r="Y765" s="61" t="str">
        <f aca="false">IF($R765&gt;=Parametros!$C$12,"Alto",IF($R765&lt;Parametros!$C$13,"Bajo","Medio"))</f>
        <v>Medio</v>
      </c>
      <c r="Z765" s="61" t="n">
        <v>1387</v>
      </c>
      <c r="AA765" s="61" t="str">
        <f aca="false">IF(MATCH($A765,Datos_Origen!$A$2:$A$2459,0)=$Z765,"OK","REVISAR")</f>
        <v>OK</v>
      </c>
      <c r="AB765" s="62" t="n">
        <f aca="false">INDEX(Datos_Origen!$B$2:$B$2459,$Z765)</f>
        <v>45507</v>
      </c>
      <c r="AC765" s="61" t="n">
        <f aca="false">INDEX(Datos_Origen!$H$2:$H$2459,$Z765)</f>
        <v>3</v>
      </c>
      <c r="AD765" s="61" t="str">
        <f aca="false">INDEX(Datos_Origen!$D$2:$D$2459,$Z765)&amp;""</f>
        <v>Mendoza</v>
      </c>
    </row>
    <row r="766" customFormat="false" ht="15" hidden="false" customHeight="false" outlineLevel="0" collapsed="false">
      <c r="A766" s="61" t="n">
        <f aca="false">INDEX(Datos_Origen!$A$2:$A$2459,$Z766)</f>
        <v>765</v>
      </c>
      <c r="B766" s="62" t="n">
        <f aca="false">IF(ISNUMBER($AB766),$AB766,IF(MID($AB766,5,1)="-",DATE(VALUE(LEFT($AB766,4)),VALUE(MID($AB766,6,2)),VALUE(RIGHT($AB766,2))),DATE(VALUE(RIGHT($AB766,4)),VALUE(MID($AB766,4,2)),VALUE(LEFT($AB766,2)))))</f>
        <v>45514</v>
      </c>
      <c r="C766" s="61" t="n">
        <f aca="false">YEAR($B766)</f>
        <v>2024</v>
      </c>
      <c r="D766" s="61" t="str">
        <f aca="false">"Q"&amp;ROUNDUP(MONTH($B766)/3,0)</f>
        <v>Q3</v>
      </c>
      <c r="E766" s="61" t="n">
        <f aca="false">MONTH($B766)</f>
        <v>8</v>
      </c>
      <c r="F766" s="61" t="str">
        <f aca="false">INDEX(Parametros!$I$5:$I$16,$E766)</f>
        <v>Ago</v>
      </c>
      <c r="G766" s="61" t="str">
        <f aca="false">TEXT($C766,"0000")&amp;"-"&amp;TEXT($E766,"00")</f>
        <v>2024-08</v>
      </c>
      <c r="H766" s="61" t="str">
        <f aca="false">INDEX(Parametros!$C$71:$C$91,MATCH(TRIM(INDEX(Datos_Origen!$C$2:$C$2459,$Z766)),Parametros!$B$71:$B$91,0))</f>
        <v>Cuyo</v>
      </c>
      <c r="I766" s="61" t="str">
        <f aca="false">IF(TRIM($AD766)="",INDEX(Parametros!$I$20:$I$24,MATCH($H766,Parametros!$H$20:$H$24,0)),TRIM($AD766))</f>
        <v>Mendoza</v>
      </c>
      <c r="J766" s="61" t="str">
        <f aca="false">INDEX(Parametros!$C$95:$C$106,MATCH(TRIM(INDEX(Datos_Origen!$E$2:$E$2459,$Z766)),Parametros!$B$95:$B$106,0))</f>
        <v>Tienda fisica</v>
      </c>
      <c r="K766" s="61" t="str">
        <f aca="false">INDEX(Parametros!$C$48:$C$67,MATCH(TRIM(INDEX(Datos_Origen!$F$2:$F$2459,$Z766)),Parametros!$B$48:$B$67,0))</f>
        <v>Computacion</v>
      </c>
      <c r="L766" s="61" t="str">
        <f aca="false">$K766&amp;" "&amp;$C766</f>
        <v>Computacion 2024</v>
      </c>
      <c r="M766" s="61" t="str">
        <f aca="false">TRIM(INDEX(Datos_Origen!$G$2:$G$2459,$Z766))</f>
        <v>PC Gamer Ryzen</v>
      </c>
      <c r="N766" s="61" t="str">
        <f aca="false">$M766&amp;" "&amp;$C766</f>
        <v>PC Gamer Ryzen 2024</v>
      </c>
      <c r="O766" s="63" t="n">
        <f aca="false">IF(ISTEXT($AC766),VALUE($AC766),$AC766)</f>
        <v>7</v>
      </c>
      <c r="P766" s="64" t="n">
        <f aca="false">INDEX(Datos_Origen!$I$2:$I$2459,$Z766)</f>
        <v>1617</v>
      </c>
      <c r="Q766" s="64" t="n">
        <f aca="false">INDEX(Datos_Origen!$J$2:$J$2459,$Z766)</f>
        <v>1122</v>
      </c>
      <c r="R766" s="65" t="n">
        <f aca="false">ROUND($O766*$P766,2)</f>
        <v>11319</v>
      </c>
      <c r="S766" s="65" t="n">
        <f aca="false">ROUND($O766*$Q766,2)</f>
        <v>7854</v>
      </c>
      <c r="T766" s="65" t="n">
        <f aca="false">ROUND($R766*SUMIFS(Parametros!$E$28:$E$43,Parametros!$B$28:$B$43,$J766,Parametros!$C$28:$C$43,$C766,Parametros!$D$28:$D$43,$D766),2)</f>
        <v>147.15</v>
      </c>
      <c r="U766" s="65" t="n">
        <f aca="false">$R766-$S766-$T766</f>
        <v>3317.85</v>
      </c>
      <c r="V766" s="66" t="n">
        <f aca="false">IFERROR($U766/$R766,0)</f>
        <v>0.29312218393851</v>
      </c>
      <c r="W766" s="67" t="str">
        <f aca="false">IF(AND($V766&gt;=Parametros!$C$8,$R766&gt;=Parametros!$C$12),"Alta rentabilidad",IF(OR($V766&lt;Parametros!$C$11,$R766&lt;Parametros!$C$13),"Revisar","Estandar"))</f>
        <v>Estandar</v>
      </c>
      <c r="X766" s="67" t="str">
        <f aca="false">IF(AND($J766="E-commerce",IFERROR($T766/$R766,0)&gt;Parametros!$C$14),"Alerta","OK")</f>
        <v>OK</v>
      </c>
      <c r="Y766" s="61" t="str">
        <f aca="false">IF($R766&gt;=Parametros!$C$12,"Alto",IF($R766&lt;Parametros!$C$13,"Bajo","Medio"))</f>
        <v>Alto</v>
      </c>
      <c r="Z766" s="61" t="n">
        <v>289</v>
      </c>
      <c r="AA766" s="61" t="str">
        <f aca="false">IF(MATCH($A766,Datos_Origen!$A$2:$A$2459,0)=$Z766,"OK","REVISAR")</f>
        <v>OK</v>
      </c>
      <c r="AB766" s="62" t="n">
        <f aca="false">INDEX(Datos_Origen!$B$2:$B$2459,$Z766)</f>
        <v>45514</v>
      </c>
      <c r="AC766" s="61" t="str">
        <f aca="false">INDEX(Datos_Origen!$H$2:$H$2459,$Z766)</f>
        <v>7</v>
      </c>
      <c r="AD766" s="61" t="str">
        <f aca="false">INDEX(Datos_Origen!$D$2:$D$2459,$Z766)&amp;""</f>
        <v/>
      </c>
    </row>
    <row r="767" customFormat="false" ht="15" hidden="false" customHeight="false" outlineLevel="0" collapsed="false">
      <c r="A767" s="61" t="n">
        <f aca="false">INDEX(Datos_Origen!$A$2:$A$2459,$Z767)</f>
        <v>766</v>
      </c>
      <c r="B767" s="62" t="n">
        <f aca="false">IF(ISNUMBER($AB767),$AB767,IF(MID($AB767,5,1)="-",DATE(VALUE(LEFT($AB767,4)),VALUE(MID($AB767,6,2)),VALUE(RIGHT($AB767,2))),DATE(VALUE(RIGHT($AB767,4)),VALUE(MID($AB767,4,2)),VALUE(LEFT($AB767,2)))))</f>
        <v>45521</v>
      </c>
      <c r="C767" s="61" t="n">
        <f aca="false">YEAR($B767)</f>
        <v>2024</v>
      </c>
      <c r="D767" s="61" t="str">
        <f aca="false">"Q"&amp;ROUNDUP(MONTH($B767)/3,0)</f>
        <v>Q3</v>
      </c>
      <c r="E767" s="61" t="n">
        <f aca="false">MONTH($B767)</f>
        <v>8</v>
      </c>
      <c r="F767" s="61" t="str">
        <f aca="false">INDEX(Parametros!$I$5:$I$16,$E767)</f>
        <v>Ago</v>
      </c>
      <c r="G767" s="61" t="str">
        <f aca="false">TEXT($C767,"0000")&amp;"-"&amp;TEXT($E767,"00")</f>
        <v>2024-08</v>
      </c>
      <c r="H767" s="61" t="str">
        <f aca="false">INDEX(Parametros!$C$71:$C$91,MATCH(TRIM(INDEX(Datos_Origen!$C$2:$C$2459,$Z767)),Parametros!$B$71:$B$91,0))</f>
        <v>Cuyo</v>
      </c>
      <c r="I767" s="61" t="str">
        <f aca="false">IF(TRIM($AD767)="",INDEX(Parametros!$I$20:$I$24,MATCH($H767,Parametros!$H$20:$H$24,0)),TRIM($AD767))</f>
        <v>Mendoza</v>
      </c>
      <c r="J767" s="61" t="str">
        <f aca="false">INDEX(Parametros!$C$95:$C$106,MATCH(TRIM(INDEX(Datos_Origen!$E$2:$E$2459,$Z767)),Parametros!$B$95:$B$106,0))</f>
        <v>E-commerce</v>
      </c>
      <c r="K767" s="61" t="str">
        <f aca="false">INDEX(Parametros!$C$48:$C$67,MATCH(TRIM(INDEX(Datos_Origen!$F$2:$F$2459,$Z767)),Parametros!$B$48:$B$67,0))</f>
        <v>Computacion</v>
      </c>
      <c r="L767" s="61" t="str">
        <f aca="false">$K767&amp;" "&amp;$C767</f>
        <v>Computacion 2024</v>
      </c>
      <c r="M767" s="61" t="str">
        <f aca="false">TRIM(INDEX(Datos_Origen!$G$2:$G$2459,$Z767))</f>
        <v>PC Gamer Ryzen</v>
      </c>
      <c r="N767" s="61" t="str">
        <f aca="false">$M767&amp;" "&amp;$C767</f>
        <v>PC Gamer Ryzen 2024</v>
      </c>
      <c r="O767" s="63" t="n">
        <f aca="false">IF(ISTEXT($AC767),VALUE($AC767),$AC767)</f>
        <v>2</v>
      </c>
      <c r="P767" s="64" t="n">
        <f aca="false">INDEX(Datos_Origen!$I$2:$I$2459,$Z767)</f>
        <v>1617</v>
      </c>
      <c r="Q767" s="64" t="n">
        <f aca="false">INDEX(Datos_Origen!$J$2:$J$2459,$Z767)</f>
        <v>1122</v>
      </c>
      <c r="R767" s="65" t="n">
        <f aca="false">ROUND($O767*$P767,2)</f>
        <v>3234</v>
      </c>
      <c r="S767" s="65" t="n">
        <f aca="false">ROUND($O767*$Q767,2)</f>
        <v>2244</v>
      </c>
      <c r="T767" s="65" t="n">
        <f aca="false">ROUND($R767*SUMIFS(Parametros!$E$28:$E$43,Parametros!$B$28:$B$43,$J767,Parametros!$C$28:$C$43,$C767,Parametros!$D$28:$D$43,$D767),2)</f>
        <v>148.76</v>
      </c>
      <c r="U767" s="65" t="n">
        <f aca="false">$R767-$S767-$T767</f>
        <v>841.24</v>
      </c>
      <c r="V767" s="66" t="n">
        <f aca="false">IFERROR($U767/$R767,0)</f>
        <v>0.260123685837972</v>
      </c>
      <c r="W767" s="67" t="str">
        <f aca="false">IF(AND($V767&gt;=Parametros!$C$8,$R767&gt;=Parametros!$C$12),"Alta rentabilidad",IF(OR($V767&lt;Parametros!$C$11,$R767&lt;Parametros!$C$13),"Revisar","Estandar"))</f>
        <v>Revisar</v>
      </c>
      <c r="X767" s="67" t="str">
        <f aca="false">IF(AND($J767="E-commerce",IFERROR($T767/$R767,0)&gt;Parametros!$C$14),"Alerta","OK")</f>
        <v>OK</v>
      </c>
      <c r="Y767" s="61" t="str">
        <f aca="false">IF($R767&gt;=Parametros!$C$12,"Alto",IF($R767&lt;Parametros!$C$13,"Bajo","Medio"))</f>
        <v>Alto</v>
      </c>
      <c r="Z767" s="61" t="n">
        <v>1983</v>
      </c>
      <c r="AA767" s="61" t="str">
        <f aca="false">IF(MATCH($A767,Datos_Origen!$A$2:$A$2459,0)=$Z767,"OK","REVISAR")</f>
        <v>OK</v>
      </c>
      <c r="AB767" s="61" t="str">
        <f aca="false">INDEX(Datos_Origen!$B$2:$B$2459,$Z767)</f>
        <v>17/08/2024</v>
      </c>
      <c r="AC767" s="61" t="n">
        <f aca="false">INDEX(Datos_Origen!$H$2:$H$2459,$Z767)</f>
        <v>2</v>
      </c>
      <c r="AD767" s="61" t="str">
        <f aca="false">INDEX(Datos_Origen!$D$2:$D$2459,$Z767)&amp;""</f>
        <v>Mendoza</v>
      </c>
    </row>
    <row r="768" customFormat="false" ht="15" hidden="false" customHeight="false" outlineLevel="0" collapsed="false">
      <c r="A768" s="61" t="n">
        <f aca="false">INDEX(Datos_Origen!$A$2:$A$2459,$Z768)</f>
        <v>767</v>
      </c>
      <c r="B768" s="62" t="n">
        <f aca="false">IF(ISNUMBER($AB768),$AB768,IF(MID($AB768,5,1)="-",DATE(VALUE(LEFT($AB768,4)),VALUE(MID($AB768,6,2)),VALUE(RIGHT($AB768,2))),DATE(VALUE(RIGHT($AB768,4)),VALUE(MID($AB768,4,2)),VALUE(LEFT($AB768,2)))))</f>
        <v>45528</v>
      </c>
      <c r="C768" s="61" t="n">
        <f aca="false">YEAR($B768)</f>
        <v>2024</v>
      </c>
      <c r="D768" s="61" t="str">
        <f aca="false">"Q"&amp;ROUNDUP(MONTH($B768)/3,0)</f>
        <v>Q3</v>
      </c>
      <c r="E768" s="61" t="n">
        <f aca="false">MONTH($B768)</f>
        <v>8</v>
      </c>
      <c r="F768" s="61" t="str">
        <f aca="false">INDEX(Parametros!$I$5:$I$16,$E768)</f>
        <v>Ago</v>
      </c>
      <c r="G768" s="61" t="str">
        <f aca="false">TEXT($C768,"0000")&amp;"-"&amp;TEXT($E768,"00")</f>
        <v>2024-08</v>
      </c>
      <c r="H768" s="61" t="str">
        <f aca="false">INDEX(Parametros!$C$71:$C$91,MATCH(TRIM(INDEX(Datos_Origen!$C$2:$C$2459,$Z768)),Parametros!$B$71:$B$91,0))</f>
        <v>Cuyo</v>
      </c>
      <c r="I768" s="61" t="str">
        <f aca="false">IF(TRIM($AD768)="",INDEX(Parametros!$I$20:$I$24,MATCH($H768,Parametros!$H$20:$H$24,0)),TRIM($AD768))</f>
        <v>Mendoza</v>
      </c>
      <c r="J768" s="61" t="str">
        <f aca="false">INDEX(Parametros!$C$95:$C$106,MATCH(TRIM(INDEX(Datos_Origen!$E$2:$E$2459,$Z768)),Parametros!$B$95:$B$106,0))</f>
        <v>Tienda fisica</v>
      </c>
      <c r="K768" s="61" t="str">
        <f aca="false">INDEX(Parametros!$C$48:$C$67,MATCH(TRIM(INDEX(Datos_Origen!$F$2:$F$2459,$Z768)),Parametros!$B$48:$B$67,0))</f>
        <v>Accesorios</v>
      </c>
      <c r="L768" s="61" t="str">
        <f aca="false">$K768&amp;" "&amp;$C768</f>
        <v>Accesorios 2024</v>
      </c>
      <c r="M768" s="61" t="str">
        <f aca="false">TRIM(INDEX(Datos_Origen!$G$2:$G$2459,$Z768))</f>
        <v>Mouse Inalambrico</v>
      </c>
      <c r="N768" s="61" t="str">
        <f aca="false">$M768&amp;" "&amp;$C768</f>
        <v>Mouse Inalambrico 2024</v>
      </c>
      <c r="O768" s="63" t="n">
        <f aca="false">IF(ISTEXT($AC768),VALUE($AC768),$AC768)</f>
        <v>26</v>
      </c>
      <c r="P768" s="64" t="n">
        <f aca="false">INDEX(Datos_Origen!$I$2:$I$2459,$Z768)</f>
        <v>27.44</v>
      </c>
      <c r="Q768" s="64" t="n">
        <f aca="false">INDEX(Datos_Origen!$J$2:$J$2459,$Z768)</f>
        <v>13.44</v>
      </c>
      <c r="R768" s="65" t="n">
        <f aca="false">ROUND($O768*$P768,2)</f>
        <v>713.44</v>
      </c>
      <c r="S768" s="65" t="n">
        <f aca="false">ROUND($O768*$Q768,2)</f>
        <v>349.44</v>
      </c>
      <c r="T768" s="65" t="n">
        <f aca="false">ROUND($R768*SUMIFS(Parametros!$E$28:$E$43,Parametros!$B$28:$B$43,$J768,Parametros!$C$28:$C$43,$C768,Parametros!$D$28:$D$43,$D768),2)</f>
        <v>9.27</v>
      </c>
      <c r="U768" s="65" t="n">
        <f aca="false">$R768-$S768-$T768</f>
        <v>354.73</v>
      </c>
      <c r="V768" s="66" t="n">
        <f aca="false">IFERROR($U768/$R768,0)</f>
        <v>0.4972106974658</v>
      </c>
      <c r="W768" s="67" t="str">
        <f aca="false">IF(AND($V768&gt;=Parametros!$C$8,$R768&gt;=Parametros!$C$12),"Alta rentabilidad",IF(OR($V768&lt;Parametros!$C$11,$R768&lt;Parametros!$C$13),"Revisar","Estandar"))</f>
        <v>Estandar</v>
      </c>
      <c r="X768" s="67" t="str">
        <f aca="false">IF(AND($J768="E-commerce",IFERROR($T768/$R768,0)&gt;Parametros!$C$14),"Alerta","OK")</f>
        <v>OK</v>
      </c>
      <c r="Y768" s="61" t="str">
        <f aca="false">IF($R768&gt;=Parametros!$C$12,"Alto",IF($R768&lt;Parametros!$C$13,"Bajo","Medio"))</f>
        <v>Medio</v>
      </c>
      <c r="Z768" s="61" t="n">
        <v>832</v>
      </c>
      <c r="AA768" s="61" t="str">
        <f aca="false">IF(MATCH($A768,Datos_Origen!$A$2:$A$2459,0)=$Z768,"OK","REVISAR")</f>
        <v>OK</v>
      </c>
      <c r="AB768" s="62" t="n">
        <f aca="false">INDEX(Datos_Origen!$B$2:$B$2459,$Z768)</f>
        <v>45528</v>
      </c>
      <c r="AC768" s="61" t="n">
        <f aca="false">INDEX(Datos_Origen!$H$2:$H$2459,$Z768)</f>
        <v>26</v>
      </c>
      <c r="AD768" s="61" t="str">
        <f aca="false">INDEX(Datos_Origen!$D$2:$D$2459,$Z768)&amp;""</f>
        <v>Mendoza</v>
      </c>
    </row>
    <row r="769" customFormat="false" ht="15" hidden="false" customHeight="false" outlineLevel="0" collapsed="false">
      <c r="A769" s="61" t="n">
        <f aca="false">INDEX(Datos_Origen!$A$2:$A$2459,$Z769)</f>
        <v>768</v>
      </c>
      <c r="B769" s="62" t="n">
        <f aca="false">IF(ISNUMBER($AB769),$AB769,IF(MID($AB769,5,1)="-",DATE(VALUE(LEFT($AB769,4)),VALUE(MID($AB769,6,2)),VALUE(RIGHT($AB769,2))),DATE(VALUE(RIGHT($AB769,4)),VALUE(MID($AB769,4,2)),VALUE(LEFT($AB769,2)))))</f>
        <v>45508</v>
      </c>
      <c r="C769" s="61" t="n">
        <f aca="false">YEAR($B769)</f>
        <v>2024</v>
      </c>
      <c r="D769" s="61" t="str">
        <f aca="false">"Q"&amp;ROUNDUP(MONTH($B769)/3,0)</f>
        <v>Q3</v>
      </c>
      <c r="E769" s="61" t="n">
        <f aca="false">MONTH($B769)</f>
        <v>8</v>
      </c>
      <c r="F769" s="61" t="str">
        <f aca="false">INDEX(Parametros!$I$5:$I$16,$E769)</f>
        <v>Ago</v>
      </c>
      <c r="G769" s="61" t="str">
        <f aca="false">TEXT($C769,"0000")&amp;"-"&amp;TEXT($E769,"00")</f>
        <v>2024-08</v>
      </c>
      <c r="H769" s="61" t="str">
        <f aca="false">INDEX(Parametros!$C$71:$C$91,MATCH(TRIM(INDEX(Datos_Origen!$C$2:$C$2459,$Z769)),Parametros!$B$71:$B$91,0))</f>
        <v>Cuyo</v>
      </c>
      <c r="I769" s="61" t="str">
        <f aca="false">IF(TRIM($AD769)="",INDEX(Parametros!$I$20:$I$24,MATCH($H769,Parametros!$H$20:$H$24,0)),TRIM($AD769))</f>
        <v>Mendoza</v>
      </c>
      <c r="J769" s="61" t="str">
        <f aca="false">INDEX(Parametros!$C$95:$C$106,MATCH(TRIM(INDEX(Datos_Origen!$E$2:$E$2459,$Z769)),Parametros!$B$95:$B$106,0))</f>
        <v>E-commerce</v>
      </c>
      <c r="K769" s="61" t="str">
        <f aca="false">INDEX(Parametros!$C$48:$C$67,MATCH(TRIM(INDEX(Datos_Origen!$F$2:$F$2459,$Z769)),Parametros!$B$48:$B$67,0))</f>
        <v>Accesorios</v>
      </c>
      <c r="L769" s="61" t="str">
        <f aca="false">$K769&amp;" "&amp;$C769</f>
        <v>Accesorios 2024</v>
      </c>
      <c r="M769" s="61" t="str">
        <f aca="false">TRIM(INDEX(Datos_Origen!$G$2:$G$2459,$Z769))</f>
        <v>Mouse Inalambrico</v>
      </c>
      <c r="N769" s="61" t="str">
        <f aca="false">$M769&amp;" "&amp;$C769</f>
        <v>Mouse Inalambrico 2024</v>
      </c>
      <c r="O769" s="63" t="n">
        <f aca="false">IF(ISTEXT($AC769),VALUE($AC769),$AC769)</f>
        <v>14</v>
      </c>
      <c r="P769" s="64" t="n">
        <f aca="false">INDEX(Datos_Origen!$I$2:$I$2459,$Z769)</f>
        <v>27.44</v>
      </c>
      <c r="Q769" s="64" t="n">
        <f aca="false">INDEX(Datos_Origen!$J$2:$J$2459,$Z769)</f>
        <v>13.44</v>
      </c>
      <c r="R769" s="65" t="n">
        <f aca="false">ROUND($O769*$P769,2)</f>
        <v>384.16</v>
      </c>
      <c r="S769" s="65" t="n">
        <f aca="false">ROUND($O769*$Q769,2)</f>
        <v>188.16</v>
      </c>
      <c r="T769" s="65" t="n">
        <f aca="false">ROUND($R769*SUMIFS(Parametros!$E$28:$E$43,Parametros!$B$28:$B$43,$J769,Parametros!$C$28:$C$43,$C769,Parametros!$D$28:$D$43,$D769),2)</f>
        <v>17.67</v>
      </c>
      <c r="U769" s="65" t="n">
        <f aca="false">$R769-$S769-$T769</f>
        <v>178.33</v>
      </c>
      <c r="V769" s="66" t="n">
        <f aca="false">IFERROR($U769/$R769,0)</f>
        <v>0.46420762182424</v>
      </c>
      <c r="W769" s="67" t="str">
        <f aca="false">IF(AND($V769&gt;=Parametros!$C$8,$R769&gt;=Parametros!$C$12),"Alta rentabilidad",IF(OR($V769&lt;Parametros!$C$11,$R769&lt;Parametros!$C$13),"Revisar","Estandar"))</f>
        <v>Estandar</v>
      </c>
      <c r="X769" s="67" t="str">
        <f aca="false">IF(AND($J769="E-commerce",IFERROR($T769/$R769,0)&gt;Parametros!$C$14),"Alerta","OK")</f>
        <v>OK</v>
      </c>
      <c r="Y769" s="61" t="str">
        <f aca="false">IF($R769&gt;=Parametros!$C$12,"Alto",IF($R769&lt;Parametros!$C$13,"Bajo","Medio"))</f>
        <v>Medio</v>
      </c>
      <c r="Z769" s="61" t="n">
        <v>815</v>
      </c>
      <c r="AA769" s="61" t="str">
        <f aca="false">IF(MATCH($A769,Datos_Origen!$A$2:$A$2459,0)=$Z769,"OK","REVISAR")</f>
        <v>OK</v>
      </c>
      <c r="AB769" s="62" t="n">
        <f aca="false">INDEX(Datos_Origen!$B$2:$B$2459,$Z769)</f>
        <v>45508</v>
      </c>
      <c r="AC769" s="61" t="n">
        <f aca="false">INDEX(Datos_Origen!$H$2:$H$2459,$Z769)</f>
        <v>14</v>
      </c>
      <c r="AD769" s="61" t="str">
        <f aca="false">INDEX(Datos_Origen!$D$2:$D$2459,$Z769)&amp;""</f>
        <v>Mendoza</v>
      </c>
    </row>
    <row r="770" customFormat="false" ht="15" hidden="false" customHeight="false" outlineLevel="0" collapsed="false">
      <c r="A770" s="61" t="n">
        <f aca="false">INDEX(Datos_Origen!$A$2:$A$2459,$Z770)</f>
        <v>769</v>
      </c>
      <c r="B770" s="62" t="n">
        <f aca="false">IF(ISNUMBER($AB770),$AB770,IF(MID($AB770,5,1)="-",DATE(VALUE(LEFT($AB770,4)),VALUE(MID($AB770,6,2)),VALUE(RIGHT($AB770,2))),DATE(VALUE(RIGHT($AB770,4)),VALUE(MID($AB770,4,2)),VALUE(LEFT($AB770,2)))))</f>
        <v>45515</v>
      </c>
      <c r="C770" s="61" t="n">
        <f aca="false">YEAR($B770)</f>
        <v>2024</v>
      </c>
      <c r="D770" s="61" t="str">
        <f aca="false">"Q"&amp;ROUNDUP(MONTH($B770)/3,0)</f>
        <v>Q3</v>
      </c>
      <c r="E770" s="61" t="n">
        <f aca="false">MONTH($B770)</f>
        <v>8</v>
      </c>
      <c r="F770" s="61" t="str">
        <f aca="false">INDEX(Parametros!$I$5:$I$16,$E770)</f>
        <v>Ago</v>
      </c>
      <c r="G770" s="61" t="str">
        <f aca="false">TEXT($C770,"0000")&amp;"-"&amp;TEXT($E770,"00")</f>
        <v>2024-08</v>
      </c>
      <c r="H770" s="61" t="str">
        <f aca="false">INDEX(Parametros!$C$71:$C$91,MATCH(TRIM(INDEX(Datos_Origen!$C$2:$C$2459,$Z770)),Parametros!$B$71:$B$91,0))</f>
        <v>Cuyo</v>
      </c>
      <c r="I770" s="61" t="str">
        <f aca="false">IF(TRIM($AD770)="",INDEX(Parametros!$I$20:$I$24,MATCH($H770,Parametros!$H$20:$H$24,0)),TRIM($AD770))</f>
        <v>Mendoza</v>
      </c>
      <c r="J770" s="61" t="str">
        <f aca="false">INDEX(Parametros!$C$95:$C$106,MATCH(TRIM(INDEX(Datos_Origen!$E$2:$E$2459,$Z770)),Parametros!$B$95:$B$106,0))</f>
        <v>Tienda fisica</v>
      </c>
      <c r="K770" s="61" t="str">
        <f aca="false">INDEX(Parametros!$C$48:$C$67,MATCH(TRIM(INDEX(Datos_Origen!$F$2:$F$2459,$Z770)),Parametros!$B$48:$B$67,0))</f>
        <v>Accesorios</v>
      </c>
      <c r="L770" s="61" t="str">
        <f aca="false">$K770&amp;" "&amp;$C770</f>
        <v>Accesorios 2024</v>
      </c>
      <c r="M770" s="61" t="str">
        <f aca="false">TRIM(INDEX(Datos_Origen!$G$2:$G$2459,$Z770))</f>
        <v>Teclado Mecanico</v>
      </c>
      <c r="N770" s="61" t="str">
        <f aca="false">$M770&amp;" "&amp;$C770</f>
        <v>Teclado Mecanico 2024</v>
      </c>
      <c r="O770" s="63" t="n">
        <f aca="false">IF(ISTEXT($AC770),VALUE($AC770),$AC770)</f>
        <v>26</v>
      </c>
      <c r="P770" s="64" t="n">
        <f aca="false">INDEX(Datos_Origen!$I$2:$I$2459,$Z770)</f>
        <v>93.1</v>
      </c>
      <c r="Q770" s="64" t="n">
        <f aca="false">INDEX(Datos_Origen!$J$2:$J$2459,$Z770)</f>
        <v>47.98</v>
      </c>
      <c r="R770" s="65" t="n">
        <f aca="false">ROUND($O770*$P770,2)</f>
        <v>2420.6</v>
      </c>
      <c r="S770" s="65" t="n">
        <f aca="false">ROUND($O770*$Q770,2)</f>
        <v>1247.48</v>
      </c>
      <c r="T770" s="65" t="n">
        <f aca="false">ROUND($R770*SUMIFS(Parametros!$E$28:$E$43,Parametros!$B$28:$B$43,$J770,Parametros!$C$28:$C$43,$C770,Parametros!$D$28:$D$43,$D770),2)</f>
        <v>31.47</v>
      </c>
      <c r="U770" s="65" t="n">
        <f aca="false">$R770-$S770-$T770</f>
        <v>1141.65</v>
      </c>
      <c r="V770" s="66" t="n">
        <f aca="false">IFERROR($U770/$R770,0)</f>
        <v>0.471639262992646</v>
      </c>
      <c r="W770" s="67" t="str">
        <f aca="false">IF(AND($V770&gt;=Parametros!$C$8,$R770&gt;=Parametros!$C$12),"Alta rentabilidad",IF(OR($V770&lt;Parametros!$C$11,$R770&lt;Parametros!$C$13),"Revisar","Estandar"))</f>
        <v>Estandar</v>
      </c>
      <c r="X770" s="67" t="str">
        <f aca="false">IF(AND($J770="E-commerce",IFERROR($T770/$R770,0)&gt;Parametros!$C$14),"Alerta","OK")</f>
        <v>OK</v>
      </c>
      <c r="Y770" s="61" t="str">
        <f aca="false">IF($R770&gt;=Parametros!$C$12,"Alto",IF($R770&lt;Parametros!$C$13,"Bajo","Medio"))</f>
        <v>Medio</v>
      </c>
      <c r="Z770" s="61" t="n">
        <v>527</v>
      </c>
      <c r="AA770" s="61" t="str">
        <f aca="false">IF(MATCH($A770,Datos_Origen!$A$2:$A$2459,0)=$Z770,"OK","REVISAR")</f>
        <v>OK</v>
      </c>
      <c r="AB770" s="62" t="n">
        <f aca="false">INDEX(Datos_Origen!$B$2:$B$2459,$Z770)</f>
        <v>45515</v>
      </c>
      <c r="AC770" s="61" t="n">
        <f aca="false">INDEX(Datos_Origen!$H$2:$H$2459,$Z770)</f>
        <v>26</v>
      </c>
      <c r="AD770" s="61" t="str">
        <f aca="false">INDEX(Datos_Origen!$D$2:$D$2459,$Z770)&amp;""</f>
        <v>Mendoza</v>
      </c>
    </row>
    <row r="771" customFormat="false" ht="15" hidden="false" customHeight="false" outlineLevel="0" collapsed="false">
      <c r="A771" s="61" t="n">
        <f aca="false">INDEX(Datos_Origen!$A$2:$A$2459,$Z771)</f>
        <v>770</v>
      </c>
      <c r="B771" s="62" t="n">
        <f aca="false">IF(ISNUMBER($AB771),$AB771,IF(MID($AB771,5,1)="-",DATE(VALUE(LEFT($AB771,4)),VALUE(MID($AB771,6,2)),VALUE(RIGHT($AB771,2))),DATE(VALUE(RIGHT($AB771,4)),VALUE(MID($AB771,4,2)),VALUE(LEFT($AB771,2)))))</f>
        <v>45522</v>
      </c>
      <c r="C771" s="61" t="n">
        <f aca="false">YEAR($B771)</f>
        <v>2024</v>
      </c>
      <c r="D771" s="61" t="str">
        <f aca="false">"Q"&amp;ROUNDUP(MONTH($B771)/3,0)</f>
        <v>Q3</v>
      </c>
      <c r="E771" s="61" t="n">
        <f aca="false">MONTH($B771)</f>
        <v>8</v>
      </c>
      <c r="F771" s="61" t="str">
        <f aca="false">INDEX(Parametros!$I$5:$I$16,$E771)</f>
        <v>Ago</v>
      </c>
      <c r="G771" s="61" t="str">
        <f aca="false">TEXT($C771,"0000")&amp;"-"&amp;TEXT($E771,"00")</f>
        <v>2024-08</v>
      </c>
      <c r="H771" s="61" t="str">
        <f aca="false">INDEX(Parametros!$C$71:$C$91,MATCH(TRIM(INDEX(Datos_Origen!$C$2:$C$2459,$Z771)),Parametros!$B$71:$B$91,0))</f>
        <v>Cuyo</v>
      </c>
      <c r="I771" s="61" t="str">
        <f aca="false">IF(TRIM($AD771)="",INDEX(Parametros!$I$20:$I$24,MATCH($H771,Parametros!$H$20:$H$24,0)),TRIM($AD771))</f>
        <v>Mendoza</v>
      </c>
      <c r="J771" s="61" t="str">
        <f aca="false">INDEX(Parametros!$C$95:$C$106,MATCH(TRIM(INDEX(Datos_Origen!$E$2:$E$2459,$Z771)),Parametros!$B$95:$B$106,0))</f>
        <v>E-commerce</v>
      </c>
      <c r="K771" s="61" t="str">
        <f aca="false">INDEX(Parametros!$C$48:$C$67,MATCH(TRIM(INDEX(Datos_Origen!$F$2:$F$2459,$Z771)),Parametros!$B$48:$B$67,0))</f>
        <v>Accesorios</v>
      </c>
      <c r="L771" s="61" t="str">
        <f aca="false">$K771&amp;" "&amp;$C771</f>
        <v>Accesorios 2024</v>
      </c>
      <c r="M771" s="61" t="str">
        <f aca="false">TRIM(INDEX(Datos_Origen!$G$2:$G$2459,$Z771))</f>
        <v>Teclado Mecanico</v>
      </c>
      <c r="N771" s="61" t="str">
        <f aca="false">$M771&amp;" "&amp;$C771</f>
        <v>Teclado Mecanico 2024</v>
      </c>
      <c r="O771" s="63" t="n">
        <f aca="false">IF(ISTEXT($AC771),VALUE($AC771),$AC771)</f>
        <v>12</v>
      </c>
      <c r="P771" s="64" t="n">
        <f aca="false">INDEX(Datos_Origen!$I$2:$I$2459,$Z771)</f>
        <v>93.1</v>
      </c>
      <c r="Q771" s="64" t="n">
        <f aca="false">INDEX(Datos_Origen!$J$2:$J$2459,$Z771)</f>
        <v>47.98</v>
      </c>
      <c r="R771" s="65" t="n">
        <f aca="false">ROUND($O771*$P771,2)</f>
        <v>1117.2</v>
      </c>
      <c r="S771" s="65" t="n">
        <f aca="false">ROUND($O771*$Q771,2)</f>
        <v>575.76</v>
      </c>
      <c r="T771" s="65" t="n">
        <f aca="false">ROUND($R771*SUMIFS(Parametros!$E$28:$E$43,Parametros!$B$28:$B$43,$J771,Parametros!$C$28:$C$43,$C771,Parametros!$D$28:$D$43,$D771),2)</f>
        <v>51.39</v>
      </c>
      <c r="U771" s="65" t="n">
        <f aca="false">$R771-$S771-$T771</f>
        <v>490.05</v>
      </c>
      <c r="V771" s="66" t="n">
        <f aca="false">IFERROR($U771/$R771,0)</f>
        <v>0.438641245972073</v>
      </c>
      <c r="W771" s="67" t="str">
        <f aca="false">IF(AND($V771&gt;=Parametros!$C$8,$R771&gt;=Parametros!$C$12),"Alta rentabilidad",IF(OR($V771&lt;Parametros!$C$11,$R771&lt;Parametros!$C$13),"Revisar","Estandar"))</f>
        <v>Estandar</v>
      </c>
      <c r="X771" s="67" t="str">
        <f aca="false">IF(AND($J771="E-commerce",IFERROR($T771/$R771,0)&gt;Parametros!$C$14),"Alerta","OK")</f>
        <v>OK</v>
      </c>
      <c r="Y771" s="61" t="str">
        <f aca="false">IF($R771&gt;=Parametros!$C$12,"Alto",IF($R771&lt;Parametros!$C$13,"Bajo","Medio"))</f>
        <v>Medio</v>
      </c>
      <c r="Z771" s="61" t="n">
        <v>1382</v>
      </c>
      <c r="AA771" s="61" t="str">
        <f aca="false">IF(MATCH($A771,Datos_Origen!$A$2:$A$2459,0)=$Z771,"OK","REVISAR")</f>
        <v>OK</v>
      </c>
      <c r="AB771" s="62" t="n">
        <f aca="false">INDEX(Datos_Origen!$B$2:$B$2459,$Z771)</f>
        <v>45522</v>
      </c>
      <c r="AC771" s="61" t="n">
        <f aca="false">INDEX(Datos_Origen!$H$2:$H$2459,$Z771)</f>
        <v>12</v>
      </c>
      <c r="AD771" s="61" t="str">
        <f aca="false">INDEX(Datos_Origen!$D$2:$D$2459,$Z771)&amp;""</f>
        <v>Mendoza</v>
      </c>
    </row>
    <row r="772" customFormat="false" ht="15" hidden="false" customHeight="false" outlineLevel="0" collapsed="false">
      <c r="A772" s="61" t="n">
        <f aca="false">INDEX(Datos_Origen!$A$2:$A$2459,$Z772)</f>
        <v>771</v>
      </c>
      <c r="B772" s="62" t="n">
        <f aca="false">IF(ISNUMBER($AB772),$AB772,IF(MID($AB772,5,1)="-",DATE(VALUE(LEFT($AB772,4)),VALUE(MID($AB772,6,2)),VALUE(RIGHT($AB772,2))),DATE(VALUE(RIGHT($AB772,4)),VALUE(MID($AB772,4,2)),VALUE(LEFT($AB772,2)))))</f>
        <v>45529</v>
      </c>
      <c r="C772" s="61" t="n">
        <f aca="false">YEAR($B772)</f>
        <v>2024</v>
      </c>
      <c r="D772" s="61" t="str">
        <f aca="false">"Q"&amp;ROUNDUP(MONTH($B772)/3,0)</f>
        <v>Q3</v>
      </c>
      <c r="E772" s="61" t="n">
        <f aca="false">MONTH($B772)</f>
        <v>8</v>
      </c>
      <c r="F772" s="61" t="str">
        <f aca="false">INDEX(Parametros!$I$5:$I$16,$E772)</f>
        <v>Ago</v>
      </c>
      <c r="G772" s="61" t="str">
        <f aca="false">TEXT($C772,"0000")&amp;"-"&amp;TEXT($E772,"00")</f>
        <v>2024-08</v>
      </c>
      <c r="H772" s="61" t="str">
        <f aca="false">INDEX(Parametros!$C$71:$C$91,MATCH(TRIM(INDEX(Datos_Origen!$C$2:$C$2459,$Z772)),Parametros!$B$71:$B$91,0))</f>
        <v>Cuyo</v>
      </c>
      <c r="I772" s="61" t="str">
        <f aca="false">IF(TRIM($AD772)="",INDEX(Parametros!$I$20:$I$24,MATCH($H772,Parametros!$H$20:$H$24,0)),TRIM($AD772))</f>
        <v>Mendoza</v>
      </c>
      <c r="J772" s="61" t="str">
        <f aca="false">INDEX(Parametros!$C$95:$C$106,MATCH(TRIM(INDEX(Datos_Origen!$E$2:$E$2459,$Z772)),Parametros!$B$95:$B$106,0))</f>
        <v>Tienda fisica</v>
      </c>
      <c r="K772" s="61" t="str">
        <f aca="false">INDEX(Parametros!$C$48:$C$67,MATCH(TRIM(INDEX(Datos_Origen!$F$2:$F$2459,$Z772)),Parametros!$B$48:$B$67,0))</f>
        <v>Accesorios</v>
      </c>
      <c r="L772" s="61" t="str">
        <f aca="false">$K772&amp;" "&amp;$C772</f>
        <v>Accesorios 2024</v>
      </c>
      <c r="M772" s="61" t="str">
        <f aca="false">TRIM(INDEX(Datos_Origen!$G$2:$G$2459,$Z772))</f>
        <v>Webcam Full HD</v>
      </c>
      <c r="N772" s="61" t="str">
        <f aca="false">$M772&amp;" "&amp;$C772</f>
        <v>Webcam Full HD 2024</v>
      </c>
      <c r="O772" s="63" t="n">
        <f aca="false">IF(ISTEXT($AC772),VALUE($AC772),$AC772)</f>
        <v>33</v>
      </c>
      <c r="P772" s="64" t="n">
        <f aca="false">INDEX(Datos_Origen!$I$2:$I$2459,$Z772)</f>
        <v>63.7</v>
      </c>
      <c r="Q772" s="64" t="n">
        <f aca="false">INDEX(Datos_Origen!$J$2:$J$2459,$Z772)</f>
        <v>35.43</v>
      </c>
      <c r="R772" s="65" t="n">
        <f aca="false">ROUND($O772*$P772,2)</f>
        <v>2102.1</v>
      </c>
      <c r="S772" s="65" t="n">
        <f aca="false">ROUND($O772*$Q772,2)</f>
        <v>1169.19</v>
      </c>
      <c r="T772" s="65" t="n">
        <f aca="false">ROUND($R772*SUMIFS(Parametros!$E$28:$E$43,Parametros!$B$28:$B$43,$J772,Parametros!$C$28:$C$43,$C772,Parametros!$D$28:$D$43,$D772),2)</f>
        <v>27.33</v>
      </c>
      <c r="U772" s="65" t="n">
        <f aca="false">$R772-$S772-$T772</f>
        <v>905.58</v>
      </c>
      <c r="V772" s="66" t="n">
        <f aca="false">IFERROR($U772/$R772,0)</f>
        <v>0.430797773654916</v>
      </c>
      <c r="W772" s="67" t="str">
        <f aca="false">IF(AND($V772&gt;=Parametros!$C$8,$R772&gt;=Parametros!$C$12),"Alta rentabilidad",IF(OR($V772&lt;Parametros!$C$11,$R772&lt;Parametros!$C$13),"Revisar","Estandar"))</f>
        <v>Estandar</v>
      </c>
      <c r="X772" s="67" t="str">
        <f aca="false">IF(AND($J772="E-commerce",IFERROR($T772/$R772,0)&gt;Parametros!$C$14),"Alerta","OK")</f>
        <v>OK</v>
      </c>
      <c r="Y772" s="61" t="str">
        <f aca="false">IF($R772&gt;=Parametros!$C$12,"Alto",IF($R772&lt;Parametros!$C$13,"Bajo","Medio"))</f>
        <v>Medio</v>
      </c>
      <c r="Z772" s="61" t="n">
        <v>422</v>
      </c>
      <c r="AA772" s="61" t="str">
        <f aca="false">IF(MATCH($A772,Datos_Origen!$A$2:$A$2459,0)=$Z772,"OK","REVISAR")</f>
        <v>OK</v>
      </c>
      <c r="AB772" s="61" t="str">
        <f aca="false">INDEX(Datos_Origen!$B$2:$B$2459,$Z772)</f>
        <v>25/08/2024</v>
      </c>
      <c r="AC772" s="61" t="n">
        <f aca="false">INDEX(Datos_Origen!$H$2:$H$2459,$Z772)</f>
        <v>33</v>
      </c>
      <c r="AD772" s="61" t="str">
        <f aca="false">INDEX(Datos_Origen!$D$2:$D$2459,$Z772)&amp;""</f>
        <v>Mendoza</v>
      </c>
    </row>
    <row r="773" customFormat="false" ht="15" hidden="false" customHeight="false" outlineLevel="0" collapsed="false">
      <c r="A773" s="61" t="n">
        <f aca="false">INDEX(Datos_Origen!$A$2:$A$2459,$Z773)</f>
        <v>772</v>
      </c>
      <c r="B773" s="62" t="n">
        <f aca="false">IF(ISNUMBER($AB773),$AB773,IF(MID($AB773,5,1)="-",DATE(VALUE(LEFT($AB773,4)),VALUE(MID($AB773,6,2)),VALUE(RIGHT($AB773,2))),DATE(VALUE(RIGHT($AB773,4)),VALUE(MID($AB773,4,2)),VALUE(LEFT($AB773,2)))))</f>
        <v>45509</v>
      </c>
      <c r="C773" s="61" t="n">
        <f aca="false">YEAR($B773)</f>
        <v>2024</v>
      </c>
      <c r="D773" s="61" t="str">
        <f aca="false">"Q"&amp;ROUNDUP(MONTH($B773)/3,0)</f>
        <v>Q3</v>
      </c>
      <c r="E773" s="61" t="n">
        <f aca="false">MONTH($B773)</f>
        <v>8</v>
      </c>
      <c r="F773" s="61" t="str">
        <f aca="false">INDEX(Parametros!$I$5:$I$16,$E773)</f>
        <v>Ago</v>
      </c>
      <c r="G773" s="61" t="str">
        <f aca="false">TEXT($C773,"0000")&amp;"-"&amp;TEXT($E773,"00")</f>
        <v>2024-08</v>
      </c>
      <c r="H773" s="61" t="str">
        <f aca="false">INDEX(Parametros!$C$71:$C$91,MATCH(TRIM(INDEX(Datos_Origen!$C$2:$C$2459,$Z773)),Parametros!$B$71:$B$91,0))</f>
        <v>Cuyo</v>
      </c>
      <c r="I773" s="61" t="str">
        <f aca="false">IF(TRIM($AD773)="",INDEX(Parametros!$I$20:$I$24,MATCH($H773,Parametros!$H$20:$H$24,0)),TRIM($AD773))</f>
        <v>Mendoza</v>
      </c>
      <c r="J773" s="61" t="str">
        <f aca="false">INDEX(Parametros!$C$95:$C$106,MATCH(TRIM(INDEX(Datos_Origen!$E$2:$E$2459,$Z773)),Parametros!$B$95:$B$106,0))</f>
        <v>E-commerce</v>
      </c>
      <c r="K773" s="61" t="str">
        <f aca="false">INDEX(Parametros!$C$48:$C$67,MATCH(TRIM(INDEX(Datos_Origen!$F$2:$F$2459,$Z773)),Parametros!$B$48:$B$67,0))</f>
        <v>Accesorios</v>
      </c>
      <c r="L773" s="61" t="str">
        <f aca="false">$K773&amp;" "&amp;$C773</f>
        <v>Accesorios 2024</v>
      </c>
      <c r="M773" s="61" t="str">
        <f aca="false">TRIM(INDEX(Datos_Origen!$G$2:$G$2459,$Z773))</f>
        <v>Webcam Full HD</v>
      </c>
      <c r="N773" s="61" t="str">
        <f aca="false">$M773&amp;" "&amp;$C773</f>
        <v>Webcam Full HD 2024</v>
      </c>
      <c r="O773" s="63" t="n">
        <f aca="false">IF(ISTEXT($AC773),VALUE($AC773),$AC773)</f>
        <v>11</v>
      </c>
      <c r="P773" s="64" t="n">
        <f aca="false">INDEX(Datos_Origen!$I$2:$I$2459,$Z773)</f>
        <v>63.7</v>
      </c>
      <c r="Q773" s="64" t="n">
        <f aca="false">INDEX(Datos_Origen!$J$2:$J$2459,$Z773)</f>
        <v>35.43</v>
      </c>
      <c r="R773" s="65" t="n">
        <f aca="false">ROUND($O773*$P773,2)</f>
        <v>700.7</v>
      </c>
      <c r="S773" s="65" t="n">
        <f aca="false">ROUND($O773*$Q773,2)</f>
        <v>389.73</v>
      </c>
      <c r="T773" s="65" t="n">
        <f aca="false">ROUND($R773*SUMIFS(Parametros!$E$28:$E$43,Parametros!$B$28:$B$43,$J773,Parametros!$C$28:$C$43,$C773,Parametros!$D$28:$D$43,$D773),2)</f>
        <v>32.23</v>
      </c>
      <c r="U773" s="65" t="n">
        <f aca="false">$R773-$S773-$T773</f>
        <v>278.74</v>
      </c>
      <c r="V773" s="66" t="n">
        <f aca="false">IFERROR($U773/$R773,0)</f>
        <v>0.397802197802198</v>
      </c>
      <c r="W773" s="67" t="str">
        <f aca="false">IF(AND($V773&gt;=Parametros!$C$8,$R773&gt;=Parametros!$C$12),"Alta rentabilidad",IF(OR($V773&lt;Parametros!$C$11,$R773&lt;Parametros!$C$13),"Revisar","Estandar"))</f>
        <v>Estandar</v>
      </c>
      <c r="X773" s="67" t="str">
        <f aca="false">IF(AND($J773="E-commerce",IFERROR($T773/$R773,0)&gt;Parametros!$C$14),"Alerta","OK")</f>
        <v>OK</v>
      </c>
      <c r="Y773" s="61" t="str">
        <f aca="false">IF($R773&gt;=Parametros!$C$12,"Alto",IF($R773&lt;Parametros!$C$13,"Bajo","Medio"))</f>
        <v>Medio</v>
      </c>
      <c r="Z773" s="61" t="n">
        <v>1443</v>
      </c>
      <c r="AA773" s="61" t="str">
        <f aca="false">IF(MATCH($A773,Datos_Origen!$A$2:$A$2459,0)=$Z773,"OK","REVISAR")</f>
        <v>OK</v>
      </c>
      <c r="AB773" s="62" t="n">
        <f aca="false">INDEX(Datos_Origen!$B$2:$B$2459,$Z773)</f>
        <v>45509</v>
      </c>
      <c r="AC773" s="61" t="n">
        <f aca="false">INDEX(Datos_Origen!$H$2:$H$2459,$Z773)</f>
        <v>11</v>
      </c>
      <c r="AD773" s="61" t="str">
        <f aca="false">INDEX(Datos_Origen!$D$2:$D$2459,$Z773)&amp;""</f>
        <v>Mendoza</v>
      </c>
    </row>
    <row r="774" customFormat="false" ht="15" hidden="false" customHeight="false" outlineLevel="0" collapsed="false">
      <c r="A774" s="61" t="n">
        <f aca="false">INDEX(Datos_Origen!$A$2:$A$2459,$Z774)</f>
        <v>773</v>
      </c>
      <c r="B774" s="62" t="n">
        <f aca="false">IF(ISNUMBER($AB774),$AB774,IF(MID($AB774,5,1)="-",DATE(VALUE(LEFT($AB774,4)),VALUE(MID($AB774,6,2)),VALUE(RIGHT($AB774,2))),DATE(VALUE(RIGHT($AB774,4)),VALUE(MID($AB774,4,2)),VALUE(LEFT($AB774,2)))))</f>
        <v>45516</v>
      </c>
      <c r="C774" s="61" t="n">
        <f aca="false">YEAR($B774)</f>
        <v>2024</v>
      </c>
      <c r="D774" s="61" t="str">
        <f aca="false">"Q"&amp;ROUNDUP(MONTH($B774)/3,0)</f>
        <v>Q3</v>
      </c>
      <c r="E774" s="61" t="n">
        <f aca="false">MONTH($B774)</f>
        <v>8</v>
      </c>
      <c r="F774" s="61" t="str">
        <f aca="false">INDEX(Parametros!$I$5:$I$16,$E774)</f>
        <v>Ago</v>
      </c>
      <c r="G774" s="61" t="str">
        <f aca="false">TEXT($C774,"0000")&amp;"-"&amp;TEXT($E774,"00")</f>
        <v>2024-08</v>
      </c>
      <c r="H774" s="61" t="str">
        <f aca="false">INDEX(Parametros!$C$71:$C$91,MATCH(TRIM(INDEX(Datos_Origen!$C$2:$C$2459,$Z774)),Parametros!$B$71:$B$91,0))</f>
        <v>Cuyo</v>
      </c>
      <c r="I774" s="61" t="str">
        <f aca="false">IF(TRIM($AD774)="",INDEX(Parametros!$I$20:$I$24,MATCH($H774,Parametros!$H$20:$H$24,0)),TRIM($AD774))</f>
        <v>Mendoza</v>
      </c>
      <c r="J774" s="61" t="str">
        <f aca="false">INDEX(Parametros!$C$95:$C$106,MATCH(TRIM(INDEX(Datos_Origen!$E$2:$E$2459,$Z774)),Parametros!$B$95:$B$106,0))</f>
        <v>Tienda fisica</v>
      </c>
      <c r="K774" s="61" t="str">
        <f aca="false">INDEX(Parametros!$C$48:$C$67,MATCH(TRIM(INDEX(Datos_Origen!$F$2:$F$2459,$Z774)),Parametros!$B$48:$B$67,0))</f>
        <v>Audio</v>
      </c>
      <c r="L774" s="61" t="str">
        <f aca="false">$K774&amp;" "&amp;$C774</f>
        <v>Audio 2024</v>
      </c>
      <c r="M774" s="61" t="str">
        <f aca="false">TRIM(INDEX(Datos_Origen!$G$2:$G$2459,$Z774))</f>
        <v>Auriculares BT Pro</v>
      </c>
      <c r="N774" s="61" t="str">
        <f aca="false">$M774&amp;" "&amp;$C774</f>
        <v>Auriculares BT Pro 2024</v>
      </c>
      <c r="O774" s="63" t="n">
        <f aca="false">IF(ISTEXT($AC774),VALUE($AC774),$AC774)</f>
        <v>12</v>
      </c>
      <c r="P774" s="64" t="n">
        <f aca="false">INDEX(Datos_Origen!$I$2:$I$2459,$Z774)</f>
        <v>117.6</v>
      </c>
      <c r="Q774" s="64" t="n">
        <f aca="false">INDEX(Datos_Origen!$J$2:$J$2459,$Z774)</f>
        <v>63.6</v>
      </c>
      <c r="R774" s="65" t="n">
        <f aca="false">ROUND($O774*$P774,2)</f>
        <v>1411.2</v>
      </c>
      <c r="S774" s="65" t="n">
        <f aca="false">ROUND($O774*$Q774,2)</f>
        <v>763.2</v>
      </c>
      <c r="T774" s="65" t="n">
        <f aca="false">ROUND($R774*SUMIFS(Parametros!$E$28:$E$43,Parametros!$B$28:$B$43,$J774,Parametros!$C$28:$C$43,$C774,Parametros!$D$28:$D$43,$D774),2)</f>
        <v>18.35</v>
      </c>
      <c r="U774" s="65" t="n">
        <f aca="false">$R774-$S774-$T774</f>
        <v>629.65</v>
      </c>
      <c r="V774" s="66" t="n">
        <f aca="false">IFERROR($U774/$R774,0)</f>
        <v>0.446180555555556</v>
      </c>
      <c r="W774" s="67" t="str">
        <f aca="false">IF(AND($V774&gt;=Parametros!$C$8,$R774&gt;=Parametros!$C$12),"Alta rentabilidad",IF(OR($V774&lt;Parametros!$C$11,$R774&lt;Parametros!$C$13),"Revisar","Estandar"))</f>
        <v>Estandar</v>
      </c>
      <c r="X774" s="67" t="str">
        <f aca="false">IF(AND($J774="E-commerce",IFERROR($T774/$R774,0)&gt;Parametros!$C$14),"Alerta","OK")</f>
        <v>OK</v>
      </c>
      <c r="Y774" s="61" t="str">
        <f aca="false">IF($R774&gt;=Parametros!$C$12,"Alto",IF($R774&lt;Parametros!$C$13,"Bajo","Medio"))</f>
        <v>Medio</v>
      </c>
      <c r="Z774" s="61" t="n">
        <v>400</v>
      </c>
      <c r="AA774" s="61" t="str">
        <f aca="false">IF(MATCH($A774,Datos_Origen!$A$2:$A$2459,0)=$Z774,"OK","REVISAR")</f>
        <v>OK</v>
      </c>
      <c r="AB774" s="61" t="str">
        <f aca="false">INDEX(Datos_Origen!$B$2:$B$2459,$Z774)</f>
        <v>2024-08-12</v>
      </c>
      <c r="AC774" s="61" t="n">
        <f aca="false">INDEX(Datos_Origen!$H$2:$H$2459,$Z774)</f>
        <v>12</v>
      </c>
      <c r="AD774" s="61" t="str">
        <f aca="false">INDEX(Datos_Origen!$D$2:$D$2459,$Z774)&amp;""</f>
        <v>Mendoza</v>
      </c>
    </row>
    <row r="775" customFormat="false" ht="15" hidden="false" customHeight="false" outlineLevel="0" collapsed="false">
      <c r="A775" s="61" t="n">
        <f aca="false">INDEX(Datos_Origen!$A$2:$A$2459,$Z775)</f>
        <v>774</v>
      </c>
      <c r="B775" s="62" t="n">
        <f aca="false">IF(ISNUMBER($AB775),$AB775,IF(MID($AB775,5,1)="-",DATE(VALUE(LEFT($AB775,4)),VALUE(MID($AB775,6,2)),VALUE(RIGHT($AB775,2))),DATE(VALUE(RIGHT($AB775,4)),VALUE(MID($AB775,4,2)),VALUE(LEFT($AB775,2)))))</f>
        <v>45523</v>
      </c>
      <c r="C775" s="61" t="n">
        <f aca="false">YEAR($B775)</f>
        <v>2024</v>
      </c>
      <c r="D775" s="61" t="str">
        <f aca="false">"Q"&amp;ROUNDUP(MONTH($B775)/3,0)</f>
        <v>Q3</v>
      </c>
      <c r="E775" s="61" t="n">
        <f aca="false">MONTH($B775)</f>
        <v>8</v>
      </c>
      <c r="F775" s="61" t="str">
        <f aca="false">INDEX(Parametros!$I$5:$I$16,$E775)</f>
        <v>Ago</v>
      </c>
      <c r="G775" s="61" t="str">
        <f aca="false">TEXT($C775,"0000")&amp;"-"&amp;TEXT($E775,"00")</f>
        <v>2024-08</v>
      </c>
      <c r="H775" s="61" t="str">
        <f aca="false">INDEX(Parametros!$C$71:$C$91,MATCH(TRIM(INDEX(Datos_Origen!$C$2:$C$2459,$Z775)),Parametros!$B$71:$B$91,0))</f>
        <v>Cuyo</v>
      </c>
      <c r="I775" s="61" t="str">
        <f aca="false">IF(TRIM($AD775)="",INDEX(Parametros!$I$20:$I$24,MATCH($H775,Parametros!$H$20:$H$24,0)),TRIM($AD775))</f>
        <v>Mendoza</v>
      </c>
      <c r="J775" s="61" t="str">
        <f aca="false">INDEX(Parametros!$C$95:$C$106,MATCH(TRIM(INDEX(Datos_Origen!$E$2:$E$2459,$Z775)),Parametros!$B$95:$B$106,0))</f>
        <v>E-commerce</v>
      </c>
      <c r="K775" s="61" t="str">
        <f aca="false">INDEX(Parametros!$C$48:$C$67,MATCH(TRIM(INDEX(Datos_Origen!$F$2:$F$2459,$Z775)),Parametros!$B$48:$B$67,0))</f>
        <v>Audio</v>
      </c>
      <c r="L775" s="61" t="str">
        <f aca="false">$K775&amp;" "&amp;$C775</f>
        <v>Audio 2024</v>
      </c>
      <c r="M775" s="61" t="str">
        <f aca="false">TRIM(INDEX(Datos_Origen!$G$2:$G$2459,$Z775))</f>
        <v>Auriculares BT Pro</v>
      </c>
      <c r="N775" s="61" t="str">
        <f aca="false">$M775&amp;" "&amp;$C775</f>
        <v>Auriculares BT Pro 2024</v>
      </c>
      <c r="O775" s="63" t="n">
        <f aca="false">IF(ISTEXT($AC775),VALUE($AC775),$AC775)</f>
        <v>6</v>
      </c>
      <c r="P775" s="64" t="n">
        <f aca="false">INDEX(Datos_Origen!$I$2:$I$2459,$Z775)</f>
        <v>117.6</v>
      </c>
      <c r="Q775" s="64" t="n">
        <f aca="false">INDEX(Datos_Origen!$J$2:$J$2459,$Z775)</f>
        <v>63.6</v>
      </c>
      <c r="R775" s="65" t="n">
        <f aca="false">ROUND($O775*$P775,2)</f>
        <v>705.6</v>
      </c>
      <c r="S775" s="65" t="n">
        <f aca="false">ROUND($O775*$Q775,2)</f>
        <v>381.6</v>
      </c>
      <c r="T775" s="65" t="n">
        <f aca="false">ROUND($R775*SUMIFS(Parametros!$E$28:$E$43,Parametros!$B$28:$B$43,$J775,Parametros!$C$28:$C$43,$C775,Parametros!$D$28:$D$43,$D775),2)</f>
        <v>32.46</v>
      </c>
      <c r="U775" s="65" t="n">
        <f aca="false">$R775-$S775-$T775</f>
        <v>291.54</v>
      </c>
      <c r="V775" s="66" t="n">
        <f aca="false">IFERROR($U775/$R775,0)</f>
        <v>0.413180272108844</v>
      </c>
      <c r="W775" s="67" t="str">
        <f aca="false">IF(AND($V775&gt;=Parametros!$C$8,$R775&gt;=Parametros!$C$12),"Alta rentabilidad",IF(OR($V775&lt;Parametros!$C$11,$R775&lt;Parametros!$C$13),"Revisar","Estandar"))</f>
        <v>Estandar</v>
      </c>
      <c r="X775" s="67" t="str">
        <f aca="false">IF(AND($J775="E-commerce",IFERROR($T775/$R775,0)&gt;Parametros!$C$14),"Alerta","OK")</f>
        <v>OK</v>
      </c>
      <c r="Y775" s="61" t="str">
        <f aca="false">IF($R775&gt;=Parametros!$C$12,"Alto",IF($R775&lt;Parametros!$C$13,"Bajo","Medio"))</f>
        <v>Medio</v>
      </c>
      <c r="Z775" s="61" t="n">
        <v>2379</v>
      </c>
      <c r="AA775" s="61" t="str">
        <f aca="false">IF(MATCH($A775,Datos_Origen!$A$2:$A$2459,0)=$Z775,"OK","REVISAR")</f>
        <v>OK</v>
      </c>
      <c r="AB775" s="62" t="n">
        <f aca="false">INDEX(Datos_Origen!$B$2:$B$2459,$Z775)</f>
        <v>45523</v>
      </c>
      <c r="AC775" s="61" t="n">
        <f aca="false">INDEX(Datos_Origen!$H$2:$H$2459,$Z775)</f>
        <v>6</v>
      </c>
      <c r="AD775" s="61" t="str">
        <f aca="false">INDEX(Datos_Origen!$D$2:$D$2459,$Z775)&amp;""</f>
        <v>Mendoza</v>
      </c>
    </row>
    <row r="776" customFormat="false" ht="15" hidden="false" customHeight="false" outlineLevel="0" collapsed="false">
      <c r="A776" s="61" t="n">
        <f aca="false">INDEX(Datos_Origen!$A$2:$A$2459,$Z776)</f>
        <v>775</v>
      </c>
      <c r="B776" s="62" t="n">
        <f aca="false">IF(ISNUMBER($AB776),$AB776,IF(MID($AB776,5,1)="-",DATE(VALUE(LEFT($AB776,4)),VALUE(MID($AB776,6,2)),VALUE(RIGHT($AB776,2))),DATE(VALUE(RIGHT($AB776,4)),VALUE(MID($AB776,4,2)),VALUE(LEFT($AB776,2)))))</f>
        <v>45530</v>
      </c>
      <c r="C776" s="61" t="n">
        <f aca="false">YEAR($B776)</f>
        <v>2024</v>
      </c>
      <c r="D776" s="61" t="str">
        <f aca="false">"Q"&amp;ROUNDUP(MONTH($B776)/3,0)</f>
        <v>Q3</v>
      </c>
      <c r="E776" s="61" t="n">
        <f aca="false">MONTH($B776)</f>
        <v>8</v>
      </c>
      <c r="F776" s="61" t="str">
        <f aca="false">INDEX(Parametros!$I$5:$I$16,$E776)</f>
        <v>Ago</v>
      </c>
      <c r="G776" s="61" t="str">
        <f aca="false">TEXT($C776,"0000")&amp;"-"&amp;TEXT($E776,"00")</f>
        <v>2024-08</v>
      </c>
      <c r="H776" s="61" t="str">
        <f aca="false">INDEX(Parametros!$C$71:$C$91,MATCH(TRIM(INDEX(Datos_Origen!$C$2:$C$2459,$Z776)),Parametros!$B$71:$B$91,0))</f>
        <v>Cuyo</v>
      </c>
      <c r="I776" s="61" t="str">
        <f aca="false">IF(TRIM($AD776)="",INDEX(Parametros!$I$20:$I$24,MATCH($H776,Parametros!$H$20:$H$24,0)),TRIM($AD776))</f>
        <v>Mendoza</v>
      </c>
      <c r="J776" s="61" t="str">
        <f aca="false">INDEX(Parametros!$C$95:$C$106,MATCH(TRIM(INDEX(Datos_Origen!$E$2:$E$2459,$Z776)),Parametros!$B$95:$B$106,0))</f>
        <v>Tienda fisica</v>
      </c>
      <c r="K776" s="61" t="str">
        <f aca="false">INDEX(Parametros!$C$48:$C$67,MATCH(TRIM(INDEX(Datos_Origen!$F$2:$F$2459,$Z776)),Parametros!$B$48:$B$67,0))</f>
        <v>Audio</v>
      </c>
      <c r="L776" s="61" t="str">
        <f aca="false">$K776&amp;" "&amp;$C776</f>
        <v>Audio 2024</v>
      </c>
      <c r="M776" s="61" t="str">
        <f aca="false">TRIM(INDEX(Datos_Origen!$G$2:$G$2459,$Z776))</f>
        <v>Parlante Bluetooth</v>
      </c>
      <c r="N776" s="61" t="str">
        <f aca="false">$M776&amp;" "&amp;$C776</f>
        <v>Parlante Bluetooth 2024</v>
      </c>
      <c r="O776" s="63" t="n">
        <f aca="false">IF(ISTEXT($AC776),VALUE($AC776),$AC776)</f>
        <v>12</v>
      </c>
      <c r="P776" s="64" t="n">
        <f aca="false">INDEX(Datos_Origen!$I$2:$I$2459,$Z776)</f>
        <v>83.3</v>
      </c>
      <c r="Q776" s="64" t="n">
        <f aca="false">INDEX(Datos_Origen!$J$2:$J$2459,$Z776)</f>
        <v>48.03</v>
      </c>
      <c r="R776" s="65" t="n">
        <f aca="false">ROUND($O776*$P776,2)</f>
        <v>999.6</v>
      </c>
      <c r="S776" s="65" t="n">
        <f aca="false">ROUND($O776*$Q776,2)</f>
        <v>576.36</v>
      </c>
      <c r="T776" s="65" t="n">
        <f aca="false">ROUND($R776*SUMIFS(Parametros!$E$28:$E$43,Parametros!$B$28:$B$43,$J776,Parametros!$C$28:$C$43,$C776,Parametros!$D$28:$D$43,$D776),2)</f>
        <v>12.99</v>
      </c>
      <c r="U776" s="65" t="n">
        <f aca="false">$R776-$S776-$T776</f>
        <v>410.25</v>
      </c>
      <c r="V776" s="66" t="n">
        <f aca="false">IFERROR($U776/$R776,0)</f>
        <v>0.410414165666267</v>
      </c>
      <c r="W776" s="67" t="str">
        <f aca="false">IF(AND($V776&gt;=Parametros!$C$8,$R776&gt;=Parametros!$C$12),"Alta rentabilidad",IF(OR($V776&lt;Parametros!$C$11,$R776&lt;Parametros!$C$13),"Revisar","Estandar"))</f>
        <v>Estandar</v>
      </c>
      <c r="X776" s="67" t="str">
        <f aca="false">IF(AND($J776="E-commerce",IFERROR($T776/$R776,0)&gt;Parametros!$C$14),"Alerta","OK")</f>
        <v>OK</v>
      </c>
      <c r="Y776" s="61" t="str">
        <f aca="false">IF($R776&gt;=Parametros!$C$12,"Alto",IF($R776&lt;Parametros!$C$13,"Bajo","Medio"))</f>
        <v>Medio</v>
      </c>
      <c r="Z776" s="61" t="n">
        <v>274</v>
      </c>
      <c r="AA776" s="61" t="str">
        <f aca="false">IF(MATCH($A776,Datos_Origen!$A$2:$A$2459,0)=$Z776,"OK","REVISAR")</f>
        <v>OK</v>
      </c>
      <c r="AB776" s="62" t="n">
        <f aca="false">INDEX(Datos_Origen!$B$2:$B$2459,$Z776)</f>
        <v>45530</v>
      </c>
      <c r="AC776" s="61" t="n">
        <f aca="false">INDEX(Datos_Origen!$H$2:$H$2459,$Z776)</f>
        <v>12</v>
      </c>
      <c r="AD776" s="61" t="str">
        <f aca="false">INDEX(Datos_Origen!$D$2:$D$2459,$Z776)&amp;""</f>
        <v>Mendoza</v>
      </c>
    </row>
    <row r="777" customFormat="false" ht="15" hidden="false" customHeight="false" outlineLevel="0" collapsed="false">
      <c r="A777" s="61" t="n">
        <f aca="false">INDEX(Datos_Origen!$A$2:$A$2459,$Z777)</f>
        <v>776</v>
      </c>
      <c r="B777" s="62" t="n">
        <f aca="false">IF(ISNUMBER($AB777),$AB777,IF(MID($AB777,5,1)="-",DATE(VALUE(LEFT($AB777,4)),VALUE(MID($AB777,6,2)),VALUE(RIGHT($AB777,2))),DATE(VALUE(RIGHT($AB777,4)),VALUE(MID($AB777,4,2)),VALUE(LEFT($AB777,2)))))</f>
        <v>45510</v>
      </c>
      <c r="C777" s="61" t="n">
        <f aca="false">YEAR($B777)</f>
        <v>2024</v>
      </c>
      <c r="D777" s="61" t="str">
        <f aca="false">"Q"&amp;ROUNDUP(MONTH($B777)/3,0)</f>
        <v>Q3</v>
      </c>
      <c r="E777" s="61" t="n">
        <f aca="false">MONTH($B777)</f>
        <v>8</v>
      </c>
      <c r="F777" s="61" t="str">
        <f aca="false">INDEX(Parametros!$I$5:$I$16,$E777)</f>
        <v>Ago</v>
      </c>
      <c r="G777" s="61" t="str">
        <f aca="false">TEXT($C777,"0000")&amp;"-"&amp;TEXT($E777,"00")</f>
        <v>2024-08</v>
      </c>
      <c r="H777" s="61" t="str">
        <f aca="false">INDEX(Parametros!$C$71:$C$91,MATCH(TRIM(INDEX(Datos_Origen!$C$2:$C$2459,$Z777)),Parametros!$B$71:$B$91,0))</f>
        <v>Cuyo</v>
      </c>
      <c r="I777" s="61" t="str">
        <f aca="false">IF(TRIM($AD777)="",INDEX(Parametros!$I$20:$I$24,MATCH($H777,Parametros!$H$20:$H$24,0)),TRIM($AD777))</f>
        <v>Mendoza</v>
      </c>
      <c r="J777" s="61" t="str">
        <f aca="false">INDEX(Parametros!$C$95:$C$106,MATCH(TRIM(INDEX(Datos_Origen!$E$2:$E$2459,$Z777)),Parametros!$B$95:$B$106,0))</f>
        <v>E-commerce</v>
      </c>
      <c r="K777" s="61" t="str">
        <f aca="false">INDEX(Parametros!$C$48:$C$67,MATCH(TRIM(INDEX(Datos_Origen!$F$2:$F$2459,$Z777)),Parametros!$B$48:$B$67,0))</f>
        <v>Audio</v>
      </c>
      <c r="L777" s="61" t="str">
        <f aca="false">$K777&amp;" "&amp;$C777</f>
        <v>Audio 2024</v>
      </c>
      <c r="M777" s="61" t="str">
        <f aca="false">TRIM(INDEX(Datos_Origen!$G$2:$G$2459,$Z777))</f>
        <v>Parlante Bluetooth</v>
      </c>
      <c r="N777" s="61" t="str">
        <f aca="false">$M777&amp;" "&amp;$C777</f>
        <v>Parlante Bluetooth 2024</v>
      </c>
      <c r="O777" s="63" t="n">
        <f aca="false">IF(ISTEXT($AC777),VALUE($AC777),$AC777)</f>
        <v>5</v>
      </c>
      <c r="P777" s="64" t="n">
        <f aca="false">INDEX(Datos_Origen!$I$2:$I$2459,$Z777)</f>
        <v>83.3</v>
      </c>
      <c r="Q777" s="64" t="n">
        <f aca="false">INDEX(Datos_Origen!$J$2:$J$2459,$Z777)</f>
        <v>48.03</v>
      </c>
      <c r="R777" s="65" t="n">
        <f aca="false">ROUND($O777*$P777,2)</f>
        <v>416.5</v>
      </c>
      <c r="S777" s="65" t="n">
        <f aca="false">ROUND($O777*$Q777,2)</f>
        <v>240.15</v>
      </c>
      <c r="T777" s="65" t="n">
        <f aca="false">ROUND($R777*SUMIFS(Parametros!$E$28:$E$43,Parametros!$B$28:$B$43,$J777,Parametros!$C$28:$C$43,$C777,Parametros!$D$28:$D$43,$D777),2)</f>
        <v>19.16</v>
      </c>
      <c r="U777" s="65" t="n">
        <f aca="false">$R777-$S777-$T777</f>
        <v>157.19</v>
      </c>
      <c r="V777" s="66" t="n">
        <f aca="false">IFERROR($U777/$R777,0)</f>
        <v>0.377406962785114</v>
      </c>
      <c r="W777" s="67" t="str">
        <f aca="false">IF(AND($V777&gt;=Parametros!$C$8,$R777&gt;=Parametros!$C$12),"Alta rentabilidad",IF(OR($V777&lt;Parametros!$C$11,$R777&lt;Parametros!$C$13),"Revisar","Estandar"))</f>
        <v>Estandar</v>
      </c>
      <c r="X777" s="67" t="str">
        <f aca="false">IF(AND($J777="E-commerce",IFERROR($T777/$R777,0)&gt;Parametros!$C$14),"Alerta","OK")</f>
        <v>OK</v>
      </c>
      <c r="Y777" s="61" t="str">
        <f aca="false">IF($R777&gt;=Parametros!$C$12,"Alto",IF($R777&lt;Parametros!$C$13,"Bajo","Medio"))</f>
        <v>Medio</v>
      </c>
      <c r="Z777" s="61" t="n">
        <v>171</v>
      </c>
      <c r="AA777" s="61" t="str">
        <f aca="false">IF(MATCH($A777,Datos_Origen!$A$2:$A$2459,0)=$Z777,"OK","REVISAR")</f>
        <v>OK</v>
      </c>
      <c r="AB777" s="61" t="str">
        <f aca="false">INDEX(Datos_Origen!$B$2:$B$2459,$Z777)</f>
        <v>2024-08-06</v>
      </c>
      <c r="AC777" s="61" t="n">
        <f aca="false">INDEX(Datos_Origen!$H$2:$H$2459,$Z777)</f>
        <v>5</v>
      </c>
      <c r="AD777" s="61" t="str">
        <f aca="false">INDEX(Datos_Origen!$D$2:$D$2459,$Z777)&amp;""</f>
        <v>Mendoza</v>
      </c>
    </row>
    <row r="778" customFormat="false" ht="15" hidden="false" customHeight="false" outlineLevel="0" collapsed="false">
      <c r="A778" s="61" t="n">
        <f aca="false">INDEX(Datos_Origen!$A$2:$A$2459,$Z778)</f>
        <v>777</v>
      </c>
      <c r="B778" s="62" t="n">
        <f aca="false">IF(ISNUMBER($AB778),$AB778,IF(MID($AB778,5,1)="-",DATE(VALUE(LEFT($AB778,4)),VALUE(MID($AB778,6,2)),VALUE(RIGHT($AB778,2))),DATE(VALUE(RIGHT($AB778,4)),VALUE(MID($AB778,4,2)),VALUE(LEFT($AB778,2)))))</f>
        <v>45517</v>
      </c>
      <c r="C778" s="61" t="n">
        <f aca="false">YEAR($B778)</f>
        <v>2024</v>
      </c>
      <c r="D778" s="61" t="str">
        <f aca="false">"Q"&amp;ROUNDUP(MONTH($B778)/3,0)</f>
        <v>Q3</v>
      </c>
      <c r="E778" s="61" t="n">
        <f aca="false">MONTH($B778)</f>
        <v>8</v>
      </c>
      <c r="F778" s="61" t="str">
        <f aca="false">INDEX(Parametros!$I$5:$I$16,$E778)</f>
        <v>Ago</v>
      </c>
      <c r="G778" s="61" t="str">
        <f aca="false">TEXT($C778,"0000")&amp;"-"&amp;TEXT($E778,"00")</f>
        <v>2024-08</v>
      </c>
      <c r="H778" s="61" t="str">
        <f aca="false">INDEX(Parametros!$C$71:$C$91,MATCH(TRIM(INDEX(Datos_Origen!$C$2:$C$2459,$Z778)),Parametros!$B$71:$B$91,0))</f>
        <v>Cuyo</v>
      </c>
      <c r="I778" s="61" t="str">
        <f aca="false">IF(TRIM($AD778)="",INDEX(Parametros!$I$20:$I$24,MATCH($H778,Parametros!$H$20:$H$24,0)),TRIM($AD778))</f>
        <v>Mendoza</v>
      </c>
      <c r="J778" s="61" t="str">
        <f aca="false">INDEX(Parametros!$C$95:$C$106,MATCH(TRIM(INDEX(Datos_Origen!$E$2:$E$2459,$Z778)),Parametros!$B$95:$B$106,0))</f>
        <v>Tienda fisica</v>
      </c>
      <c r="K778" s="61" t="str">
        <f aca="false">INDEX(Parametros!$C$48:$C$67,MATCH(TRIM(INDEX(Datos_Origen!$F$2:$F$2459,$Z778)),Parametros!$B$48:$B$67,0))</f>
        <v>Almacenamiento</v>
      </c>
      <c r="L778" s="61" t="str">
        <f aca="false">$K778&amp;" "&amp;$C778</f>
        <v>Almacenamiento 2024</v>
      </c>
      <c r="M778" s="61" t="str">
        <f aca="false">TRIM(INDEX(Datos_Origen!$G$2:$G$2459,$Z778))</f>
        <v>SSD Externo 1TB</v>
      </c>
      <c r="N778" s="61" t="str">
        <f aca="false">$M778&amp;" "&amp;$C778</f>
        <v>SSD Externo 1TB 2024</v>
      </c>
      <c r="O778" s="63" t="n">
        <f aca="false">IF(ISTEXT($AC778),VALUE($AC778),$AC778)</f>
        <v>17</v>
      </c>
      <c r="P778" s="64" t="n">
        <f aca="false">INDEX(Datos_Origen!$I$2:$I$2459,$Z778)</f>
        <v>127.4</v>
      </c>
      <c r="Q778" s="64" t="n">
        <f aca="false">INDEX(Datos_Origen!$J$2:$J$2459,$Z778)</f>
        <v>76.05</v>
      </c>
      <c r="R778" s="65" t="n">
        <f aca="false">ROUND($O778*$P778,2)</f>
        <v>2165.8</v>
      </c>
      <c r="S778" s="65" t="n">
        <f aca="false">ROUND($O778*$Q778,2)</f>
        <v>1292.85</v>
      </c>
      <c r="T778" s="65" t="n">
        <f aca="false">ROUND($R778*SUMIFS(Parametros!$E$28:$E$43,Parametros!$B$28:$B$43,$J778,Parametros!$C$28:$C$43,$C778,Parametros!$D$28:$D$43,$D778),2)</f>
        <v>28.16</v>
      </c>
      <c r="U778" s="65" t="n">
        <f aca="false">$R778-$S778-$T778</f>
        <v>844.79</v>
      </c>
      <c r="V778" s="66" t="n">
        <f aca="false">IFERROR($U778/$R778,0)</f>
        <v>0.390059100563302</v>
      </c>
      <c r="W778" s="67" t="str">
        <f aca="false">IF(AND($V778&gt;=Parametros!$C$8,$R778&gt;=Parametros!$C$12),"Alta rentabilidad",IF(OR($V778&lt;Parametros!$C$11,$R778&lt;Parametros!$C$13),"Revisar","Estandar"))</f>
        <v>Estandar</v>
      </c>
      <c r="X778" s="67" t="str">
        <f aca="false">IF(AND($J778="E-commerce",IFERROR($T778/$R778,0)&gt;Parametros!$C$14),"Alerta","OK")</f>
        <v>OK</v>
      </c>
      <c r="Y778" s="61" t="str">
        <f aca="false">IF($R778&gt;=Parametros!$C$12,"Alto",IF($R778&lt;Parametros!$C$13,"Bajo","Medio"))</f>
        <v>Medio</v>
      </c>
      <c r="Z778" s="61" t="n">
        <v>1750</v>
      </c>
      <c r="AA778" s="61" t="str">
        <f aca="false">IF(MATCH($A778,Datos_Origen!$A$2:$A$2459,0)=$Z778,"OK","REVISAR")</f>
        <v>OK</v>
      </c>
      <c r="AB778" s="62" t="n">
        <f aca="false">INDEX(Datos_Origen!$B$2:$B$2459,$Z778)</f>
        <v>45517</v>
      </c>
      <c r="AC778" s="61" t="n">
        <f aca="false">INDEX(Datos_Origen!$H$2:$H$2459,$Z778)</f>
        <v>17</v>
      </c>
      <c r="AD778" s="61" t="str">
        <f aca="false">INDEX(Datos_Origen!$D$2:$D$2459,$Z778)&amp;""</f>
        <v>Mendoza</v>
      </c>
    </row>
    <row r="779" customFormat="false" ht="15" hidden="false" customHeight="false" outlineLevel="0" collapsed="false">
      <c r="A779" s="61" t="n">
        <f aca="false">INDEX(Datos_Origen!$A$2:$A$2459,$Z779)</f>
        <v>778</v>
      </c>
      <c r="B779" s="62" t="n">
        <f aca="false">IF(ISNUMBER($AB779),$AB779,IF(MID($AB779,5,1)="-",DATE(VALUE(LEFT($AB779,4)),VALUE(MID($AB779,6,2)),VALUE(RIGHT($AB779,2))),DATE(VALUE(RIGHT($AB779,4)),VALUE(MID($AB779,4,2)),VALUE(LEFT($AB779,2)))))</f>
        <v>45524</v>
      </c>
      <c r="C779" s="61" t="n">
        <f aca="false">YEAR($B779)</f>
        <v>2024</v>
      </c>
      <c r="D779" s="61" t="str">
        <f aca="false">"Q"&amp;ROUNDUP(MONTH($B779)/3,0)</f>
        <v>Q3</v>
      </c>
      <c r="E779" s="61" t="n">
        <f aca="false">MONTH($B779)</f>
        <v>8</v>
      </c>
      <c r="F779" s="61" t="str">
        <f aca="false">INDEX(Parametros!$I$5:$I$16,$E779)</f>
        <v>Ago</v>
      </c>
      <c r="G779" s="61" t="str">
        <f aca="false">TEXT($C779,"0000")&amp;"-"&amp;TEXT($E779,"00")</f>
        <v>2024-08</v>
      </c>
      <c r="H779" s="61" t="str">
        <f aca="false">INDEX(Parametros!$C$71:$C$91,MATCH(TRIM(INDEX(Datos_Origen!$C$2:$C$2459,$Z779)),Parametros!$B$71:$B$91,0))</f>
        <v>Cuyo</v>
      </c>
      <c r="I779" s="61" t="str">
        <f aca="false">IF(TRIM($AD779)="",INDEX(Parametros!$I$20:$I$24,MATCH($H779,Parametros!$H$20:$H$24,0)),TRIM($AD779))</f>
        <v>Mendoza</v>
      </c>
      <c r="J779" s="61" t="str">
        <f aca="false">INDEX(Parametros!$C$95:$C$106,MATCH(TRIM(INDEX(Datos_Origen!$E$2:$E$2459,$Z779)),Parametros!$B$95:$B$106,0))</f>
        <v>E-commerce</v>
      </c>
      <c r="K779" s="61" t="str">
        <f aca="false">INDEX(Parametros!$C$48:$C$67,MATCH(TRIM(INDEX(Datos_Origen!$F$2:$F$2459,$Z779)),Parametros!$B$48:$B$67,0))</f>
        <v>Almacenamiento</v>
      </c>
      <c r="L779" s="61" t="str">
        <f aca="false">$K779&amp;" "&amp;$C779</f>
        <v>Almacenamiento 2024</v>
      </c>
      <c r="M779" s="61" t="str">
        <f aca="false">TRIM(INDEX(Datos_Origen!$G$2:$G$2459,$Z779))</f>
        <v>SSD Externo 1TB</v>
      </c>
      <c r="N779" s="61" t="str">
        <f aca="false">$M779&amp;" "&amp;$C779</f>
        <v>SSD Externo 1TB 2024</v>
      </c>
      <c r="O779" s="63" t="n">
        <f aca="false">IF(ISTEXT($AC779),VALUE($AC779),$AC779)</f>
        <v>7</v>
      </c>
      <c r="P779" s="64" t="n">
        <f aca="false">INDEX(Datos_Origen!$I$2:$I$2459,$Z779)</f>
        <v>127.4</v>
      </c>
      <c r="Q779" s="64" t="n">
        <f aca="false">INDEX(Datos_Origen!$J$2:$J$2459,$Z779)</f>
        <v>76.05</v>
      </c>
      <c r="R779" s="65" t="n">
        <f aca="false">ROUND($O779*$P779,2)</f>
        <v>891.8</v>
      </c>
      <c r="S779" s="65" t="n">
        <f aca="false">ROUND($O779*$Q779,2)</f>
        <v>532.35</v>
      </c>
      <c r="T779" s="65" t="n">
        <f aca="false">ROUND($R779*SUMIFS(Parametros!$E$28:$E$43,Parametros!$B$28:$B$43,$J779,Parametros!$C$28:$C$43,$C779,Parametros!$D$28:$D$43,$D779),2)</f>
        <v>41.02</v>
      </c>
      <c r="U779" s="65" t="n">
        <f aca="false">$R779-$S779-$T779</f>
        <v>318.43</v>
      </c>
      <c r="V779" s="66" t="n">
        <f aca="false">IFERROR($U779/$R779,0)</f>
        <v>0.357064364207221</v>
      </c>
      <c r="W779" s="67" t="str">
        <f aca="false">IF(AND($V779&gt;=Parametros!$C$8,$R779&gt;=Parametros!$C$12),"Alta rentabilidad",IF(OR($V779&lt;Parametros!$C$11,$R779&lt;Parametros!$C$13),"Revisar","Estandar"))</f>
        <v>Estandar</v>
      </c>
      <c r="X779" s="67" t="str">
        <f aca="false">IF(AND($J779="E-commerce",IFERROR($T779/$R779,0)&gt;Parametros!$C$14),"Alerta","OK")</f>
        <v>OK</v>
      </c>
      <c r="Y779" s="61" t="str">
        <f aca="false">IF($R779&gt;=Parametros!$C$12,"Alto",IF($R779&lt;Parametros!$C$13,"Bajo","Medio"))</f>
        <v>Medio</v>
      </c>
      <c r="Z779" s="61" t="n">
        <v>438</v>
      </c>
      <c r="AA779" s="61" t="str">
        <f aca="false">IF(MATCH($A779,Datos_Origen!$A$2:$A$2459,0)=$Z779,"OK","REVISAR")</f>
        <v>OK</v>
      </c>
      <c r="AB779" s="61" t="str">
        <f aca="false">INDEX(Datos_Origen!$B$2:$B$2459,$Z779)</f>
        <v>20/08/2024</v>
      </c>
      <c r="AC779" s="61" t="n">
        <f aca="false">INDEX(Datos_Origen!$H$2:$H$2459,$Z779)</f>
        <v>7</v>
      </c>
      <c r="AD779" s="61" t="str">
        <f aca="false">INDEX(Datos_Origen!$D$2:$D$2459,$Z779)&amp;""</f>
        <v>Mendoza</v>
      </c>
    </row>
    <row r="780" customFormat="false" ht="15" hidden="false" customHeight="false" outlineLevel="0" collapsed="false">
      <c r="A780" s="61" t="n">
        <f aca="false">INDEX(Datos_Origen!$A$2:$A$2459,$Z780)</f>
        <v>779</v>
      </c>
      <c r="B780" s="62" t="n">
        <f aca="false">IF(ISNUMBER($AB780),$AB780,IF(MID($AB780,5,1)="-",DATE(VALUE(LEFT($AB780,4)),VALUE(MID($AB780,6,2)),VALUE(RIGHT($AB780,2))),DATE(VALUE(RIGHT($AB780,4)),VALUE(MID($AB780,4,2)),VALUE(LEFT($AB780,2)))))</f>
        <v>45531</v>
      </c>
      <c r="C780" s="61" t="n">
        <f aca="false">YEAR($B780)</f>
        <v>2024</v>
      </c>
      <c r="D780" s="61" t="str">
        <f aca="false">"Q"&amp;ROUNDUP(MONTH($B780)/3,0)</f>
        <v>Q3</v>
      </c>
      <c r="E780" s="61" t="n">
        <f aca="false">MONTH($B780)</f>
        <v>8</v>
      </c>
      <c r="F780" s="61" t="str">
        <f aca="false">INDEX(Parametros!$I$5:$I$16,$E780)</f>
        <v>Ago</v>
      </c>
      <c r="G780" s="61" t="str">
        <f aca="false">TEXT($C780,"0000")&amp;"-"&amp;TEXT($E780,"00")</f>
        <v>2024-08</v>
      </c>
      <c r="H780" s="61" t="str">
        <f aca="false">INDEX(Parametros!$C$71:$C$91,MATCH(TRIM(INDEX(Datos_Origen!$C$2:$C$2459,$Z780)),Parametros!$B$71:$B$91,0))</f>
        <v>Cuyo</v>
      </c>
      <c r="I780" s="61" t="str">
        <f aca="false">IF(TRIM($AD780)="",INDEX(Parametros!$I$20:$I$24,MATCH($H780,Parametros!$H$20:$H$24,0)),TRIM($AD780))</f>
        <v>Mendoza</v>
      </c>
      <c r="J780" s="61" t="str">
        <f aca="false">INDEX(Parametros!$C$95:$C$106,MATCH(TRIM(INDEX(Datos_Origen!$E$2:$E$2459,$Z780)),Parametros!$B$95:$B$106,0))</f>
        <v>Tienda fisica</v>
      </c>
      <c r="K780" s="61" t="str">
        <f aca="false">INDEX(Parametros!$C$48:$C$67,MATCH(TRIM(INDEX(Datos_Origen!$F$2:$F$2459,$Z780)),Parametros!$B$48:$B$67,0))</f>
        <v>Almacenamiento</v>
      </c>
      <c r="L780" s="61" t="str">
        <f aca="false">$K780&amp;" "&amp;$C780</f>
        <v>Almacenamiento 2024</v>
      </c>
      <c r="M780" s="61" t="str">
        <f aca="false">TRIM(INDEX(Datos_Origen!$G$2:$G$2459,$Z780))</f>
        <v>Pendrive 256GB</v>
      </c>
      <c r="N780" s="61" t="str">
        <f aca="false">$M780&amp;" "&amp;$C780</f>
        <v>Pendrive 256GB 2024</v>
      </c>
      <c r="O780" s="63" t="n">
        <f aca="false">IF(ISTEXT($AC780),VALUE($AC780),$AC780)</f>
        <v>15</v>
      </c>
      <c r="P780" s="64" t="n">
        <f aca="false">INDEX(Datos_Origen!$I$2:$I$2459,$Z780)</f>
        <v>34.3</v>
      </c>
      <c r="Q780" s="64" t="n">
        <f aca="false">INDEX(Datos_Origen!$J$2:$J$2459,$Z780)</f>
        <v>17.85</v>
      </c>
      <c r="R780" s="65" t="n">
        <f aca="false">ROUND($O780*$P780,2)</f>
        <v>514.5</v>
      </c>
      <c r="S780" s="65" t="n">
        <f aca="false">ROUND($O780*$Q780,2)</f>
        <v>267.75</v>
      </c>
      <c r="T780" s="65" t="n">
        <f aca="false">ROUND($R780*SUMIFS(Parametros!$E$28:$E$43,Parametros!$B$28:$B$43,$J780,Parametros!$C$28:$C$43,$C780,Parametros!$D$28:$D$43,$D780),2)</f>
        <v>6.69</v>
      </c>
      <c r="U780" s="65" t="n">
        <f aca="false">$R780-$S780-$T780</f>
        <v>240.06</v>
      </c>
      <c r="V780" s="66" t="n">
        <f aca="false">IFERROR($U780/$R780,0)</f>
        <v>0.466588921282799</v>
      </c>
      <c r="W780" s="67" t="str">
        <f aca="false">IF(AND($V780&gt;=Parametros!$C$8,$R780&gt;=Parametros!$C$12),"Alta rentabilidad",IF(OR($V780&lt;Parametros!$C$11,$R780&lt;Parametros!$C$13),"Revisar","Estandar"))</f>
        <v>Estandar</v>
      </c>
      <c r="X780" s="67" t="str">
        <f aca="false">IF(AND($J780="E-commerce",IFERROR($T780/$R780,0)&gt;Parametros!$C$14),"Alerta","OK")</f>
        <v>OK</v>
      </c>
      <c r="Y780" s="61" t="str">
        <f aca="false">IF($R780&gt;=Parametros!$C$12,"Alto",IF($R780&lt;Parametros!$C$13,"Bajo","Medio"))</f>
        <v>Medio</v>
      </c>
      <c r="Z780" s="61" t="n">
        <v>2213</v>
      </c>
      <c r="AA780" s="61" t="str">
        <f aca="false">IF(MATCH($A780,Datos_Origen!$A$2:$A$2459,0)=$Z780,"OK","REVISAR")</f>
        <v>OK</v>
      </c>
      <c r="AB780" s="61" t="str">
        <f aca="false">INDEX(Datos_Origen!$B$2:$B$2459,$Z780)</f>
        <v>27/08/2024</v>
      </c>
      <c r="AC780" s="61" t="n">
        <f aca="false">INDEX(Datos_Origen!$H$2:$H$2459,$Z780)</f>
        <v>15</v>
      </c>
      <c r="AD780" s="61" t="str">
        <f aca="false">INDEX(Datos_Origen!$D$2:$D$2459,$Z780)&amp;""</f>
        <v>Mendoza</v>
      </c>
    </row>
    <row r="781" customFormat="false" ht="15" hidden="false" customHeight="false" outlineLevel="0" collapsed="false">
      <c r="A781" s="61" t="n">
        <f aca="false">INDEX(Datos_Origen!$A$2:$A$2459,$Z781)</f>
        <v>780</v>
      </c>
      <c r="B781" s="62" t="n">
        <f aca="false">IF(ISNUMBER($AB781),$AB781,IF(MID($AB781,5,1)="-",DATE(VALUE(LEFT($AB781,4)),VALUE(MID($AB781,6,2)),VALUE(RIGHT($AB781,2))),DATE(VALUE(RIGHT($AB781,4)),VALUE(MID($AB781,4,2)),VALUE(LEFT($AB781,2)))))</f>
        <v>45511</v>
      </c>
      <c r="C781" s="61" t="n">
        <f aca="false">YEAR($B781)</f>
        <v>2024</v>
      </c>
      <c r="D781" s="61" t="str">
        <f aca="false">"Q"&amp;ROUNDUP(MONTH($B781)/3,0)</f>
        <v>Q3</v>
      </c>
      <c r="E781" s="61" t="n">
        <f aca="false">MONTH($B781)</f>
        <v>8</v>
      </c>
      <c r="F781" s="61" t="str">
        <f aca="false">INDEX(Parametros!$I$5:$I$16,$E781)</f>
        <v>Ago</v>
      </c>
      <c r="G781" s="61" t="str">
        <f aca="false">TEXT($C781,"0000")&amp;"-"&amp;TEXT($E781,"00")</f>
        <v>2024-08</v>
      </c>
      <c r="H781" s="61" t="str">
        <f aca="false">INDEX(Parametros!$C$71:$C$91,MATCH(TRIM(INDEX(Datos_Origen!$C$2:$C$2459,$Z781)),Parametros!$B$71:$B$91,0))</f>
        <v>Cuyo</v>
      </c>
      <c r="I781" s="61" t="str">
        <f aca="false">IF(TRIM($AD781)="",INDEX(Parametros!$I$20:$I$24,MATCH($H781,Parametros!$H$20:$H$24,0)),TRIM($AD781))</f>
        <v>Mendoza</v>
      </c>
      <c r="J781" s="61" t="str">
        <f aca="false">INDEX(Parametros!$C$95:$C$106,MATCH(TRIM(INDEX(Datos_Origen!$E$2:$E$2459,$Z781)),Parametros!$B$95:$B$106,0))</f>
        <v>E-commerce</v>
      </c>
      <c r="K781" s="61" t="str">
        <f aca="false">INDEX(Parametros!$C$48:$C$67,MATCH(TRIM(INDEX(Datos_Origen!$F$2:$F$2459,$Z781)),Parametros!$B$48:$B$67,0))</f>
        <v>Almacenamiento</v>
      </c>
      <c r="L781" s="61" t="str">
        <f aca="false">$K781&amp;" "&amp;$C781</f>
        <v>Almacenamiento 2024</v>
      </c>
      <c r="M781" s="61" t="str">
        <f aca="false">TRIM(INDEX(Datos_Origen!$G$2:$G$2459,$Z781))</f>
        <v>Pendrive 256GB</v>
      </c>
      <c r="N781" s="61" t="str">
        <f aca="false">$M781&amp;" "&amp;$C781</f>
        <v>Pendrive 256GB 2024</v>
      </c>
      <c r="O781" s="63" t="n">
        <f aca="false">IF(ISTEXT($AC781),VALUE($AC781),$AC781)</f>
        <v>6</v>
      </c>
      <c r="P781" s="64" t="n">
        <f aca="false">INDEX(Datos_Origen!$I$2:$I$2459,$Z781)</f>
        <v>34.3</v>
      </c>
      <c r="Q781" s="64" t="n">
        <f aca="false">INDEX(Datos_Origen!$J$2:$J$2459,$Z781)</f>
        <v>17.85</v>
      </c>
      <c r="R781" s="65" t="n">
        <f aca="false">ROUND($O781*$P781,2)</f>
        <v>205.8</v>
      </c>
      <c r="S781" s="65" t="n">
        <f aca="false">ROUND($O781*$Q781,2)</f>
        <v>107.1</v>
      </c>
      <c r="T781" s="65" t="n">
        <f aca="false">ROUND($R781*SUMIFS(Parametros!$E$28:$E$43,Parametros!$B$28:$B$43,$J781,Parametros!$C$28:$C$43,$C781,Parametros!$D$28:$D$43,$D781),2)</f>
        <v>9.47</v>
      </c>
      <c r="U781" s="65" t="n">
        <f aca="false">$R781-$S781-$T781</f>
        <v>89.23</v>
      </c>
      <c r="V781" s="66" t="n">
        <f aca="false">IFERROR($U781/$R781,0)</f>
        <v>0.43357628765792</v>
      </c>
      <c r="W781" s="67" t="str">
        <f aca="false">IF(AND($V781&gt;=Parametros!$C$8,$R781&gt;=Parametros!$C$12),"Alta rentabilidad",IF(OR($V781&lt;Parametros!$C$11,$R781&lt;Parametros!$C$13),"Revisar","Estandar"))</f>
        <v>Revisar</v>
      </c>
      <c r="X781" s="67" t="str">
        <f aca="false">IF(AND($J781="E-commerce",IFERROR($T781/$R781,0)&gt;Parametros!$C$14),"Alerta","OK")</f>
        <v>OK</v>
      </c>
      <c r="Y781" s="61" t="str">
        <f aca="false">IF($R781&gt;=Parametros!$C$12,"Alto",IF($R781&lt;Parametros!$C$13,"Bajo","Medio"))</f>
        <v>Bajo</v>
      </c>
      <c r="Z781" s="61" t="n">
        <v>2306</v>
      </c>
      <c r="AA781" s="61" t="str">
        <f aca="false">IF(MATCH($A781,Datos_Origen!$A$2:$A$2459,0)=$Z781,"OK","REVISAR")</f>
        <v>OK</v>
      </c>
      <c r="AB781" s="62" t="n">
        <f aca="false">INDEX(Datos_Origen!$B$2:$B$2459,$Z781)</f>
        <v>45511</v>
      </c>
      <c r="AC781" s="61" t="n">
        <f aca="false">INDEX(Datos_Origen!$H$2:$H$2459,$Z781)</f>
        <v>6</v>
      </c>
      <c r="AD781" s="61" t="str">
        <f aca="false">INDEX(Datos_Origen!$D$2:$D$2459,$Z781)&amp;""</f>
        <v>Mendoza</v>
      </c>
    </row>
    <row r="782" customFormat="false" ht="15" hidden="false" customHeight="false" outlineLevel="0" collapsed="false">
      <c r="A782" s="61" t="n">
        <f aca="false">INDEX(Datos_Origen!$A$2:$A$2459,$Z782)</f>
        <v>781</v>
      </c>
      <c r="B782" s="62" t="n">
        <f aca="false">IF(ISNUMBER($AB782),$AB782,IF(MID($AB782,5,1)="-",DATE(VALUE(LEFT($AB782,4)),VALUE(MID($AB782,6,2)),VALUE(RIGHT($AB782,2))),DATE(VALUE(RIGHT($AB782,4)),VALUE(MID($AB782,4,2)),VALUE(LEFT($AB782,2)))))</f>
        <v>45518</v>
      </c>
      <c r="C782" s="61" t="n">
        <f aca="false">YEAR($B782)</f>
        <v>2024</v>
      </c>
      <c r="D782" s="61" t="str">
        <f aca="false">"Q"&amp;ROUNDUP(MONTH($B782)/3,0)</f>
        <v>Q3</v>
      </c>
      <c r="E782" s="61" t="n">
        <f aca="false">MONTH($B782)</f>
        <v>8</v>
      </c>
      <c r="F782" s="61" t="str">
        <f aca="false">INDEX(Parametros!$I$5:$I$16,$E782)</f>
        <v>Ago</v>
      </c>
      <c r="G782" s="61" t="str">
        <f aca="false">TEXT($C782,"0000")&amp;"-"&amp;TEXT($E782,"00")</f>
        <v>2024-08</v>
      </c>
      <c r="H782" s="61" t="str">
        <f aca="false">INDEX(Parametros!$C$71:$C$91,MATCH(TRIM(INDEX(Datos_Origen!$C$2:$C$2459,$Z782)),Parametros!$B$71:$B$91,0))</f>
        <v>NOA</v>
      </c>
      <c r="I782" s="61" t="str">
        <f aca="false">IF(TRIM($AD782)="",INDEX(Parametros!$I$20:$I$24,MATCH($H782,Parametros!$H$20:$H$24,0)),TRIM($AD782))</f>
        <v>Tucuman</v>
      </c>
      <c r="J782" s="61" t="str">
        <f aca="false">INDEX(Parametros!$C$95:$C$106,MATCH(TRIM(INDEX(Datos_Origen!$E$2:$E$2459,$Z782)),Parametros!$B$95:$B$106,0))</f>
        <v>Tienda fisica</v>
      </c>
      <c r="K782" s="61" t="str">
        <f aca="false">INDEX(Parametros!$C$48:$C$67,MATCH(TRIM(INDEX(Datos_Origen!$F$2:$F$2459,$Z782)),Parametros!$B$48:$B$67,0))</f>
        <v>Computacion</v>
      </c>
      <c r="L782" s="61" t="str">
        <f aca="false">$K782&amp;" "&amp;$C782</f>
        <v>Computacion 2024</v>
      </c>
      <c r="M782" s="61" t="str">
        <f aca="false">TRIM(INDEX(Datos_Origen!$G$2:$G$2459,$Z782))</f>
        <v>Laptop Pro 15</v>
      </c>
      <c r="N782" s="61" t="str">
        <f aca="false">$M782&amp;" "&amp;$C782</f>
        <v>Laptop Pro 15 2024</v>
      </c>
      <c r="O782" s="63" t="n">
        <f aca="false">IF(ISTEXT($AC782),VALUE($AC782),$AC782)</f>
        <v>7</v>
      </c>
      <c r="P782" s="64" t="n">
        <f aca="false">INDEX(Datos_Origen!$I$2:$I$2459,$Z782)</f>
        <v>1176</v>
      </c>
      <c r="Q782" s="64" t="n">
        <f aca="false">INDEX(Datos_Origen!$J$2:$J$2459,$Z782)</f>
        <v>744</v>
      </c>
      <c r="R782" s="65" t="n">
        <f aca="false">ROUND($O782*$P782,2)</f>
        <v>8232</v>
      </c>
      <c r="S782" s="65" t="n">
        <f aca="false">ROUND($O782*$Q782,2)</f>
        <v>5208</v>
      </c>
      <c r="T782" s="65" t="n">
        <f aca="false">ROUND($R782*SUMIFS(Parametros!$E$28:$E$43,Parametros!$B$28:$B$43,$J782,Parametros!$C$28:$C$43,$C782,Parametros!$D$28:$D$43,$D782),2)</f>
        <v>107.02</v>
      </c>
      <c r="U782" s="65" t="n">
        <f aca="false">$R782-$S782-$T782</f>
        <v>2916.98</v>
      </c>
      <c r="V782" s="66" t="n">
        <f aca="false">IFERROR($U782/$R782,0)</f>
        <v>0.354346452866861</v>
      </c>
      <c r="W782" s="67" t="str">
        <f aca="false">IF(AND($V782&gt;=Parametros!$C$8,$R782&gt;=Parametros!$C$12),"Alta rentabilidad",IF(OR($V782&lt;Parametros!$C$11,$R782&lt;Parametros!$C$13),"Revisar","Estandar"))</f>
        <v>Alta rentabilidad</v>
      </c>
      <c r="X782" s="67" t="str">
        <f aca="false">IF(AND($J782="E-commerce",IFERROR($T782/$R782,0)&gt;Parametros!$C$14),"Alerta","OK")</f>
        <v>OK</v>
      </c>
      <c r="Y782" s="61" t="str">
        <f aca="false">IF($R782&gt;=Parametros!$C$12,"Alto",IF($R782&lt;Parametros!$C$13,"Bajo","Medio"))</f>
        <v>Alto</v>
      </c>
      <c r="Z782" s="61" t="n">
        <v>1872</v>
      </c>
      <c r="AA782" s="61" t="str">
        <f aca="false">IF(MATCH($A782,Datos_Origen!$A$2:$A$2459,0)=$Z782,"OK","REVISAR")</f>
        <v>OK</v>
      </c>
      <c r="AB782" s="61" t="str">
        <f aca="false">INDEX(Datos_Origen!$B$2:$B$2459,$Z782)</f>
        <v>14/08/2024</v>
      </c>
      <c r="AC782" s="61" t="str">
        <f aca="false">INDEX(Datos_Origen!$H$2:$H$2459,$Z782)</f>
        <v>7</v>
      </c>
      <c r="AD782" s="61" t="str">
        <f aca="false">INDEX(Datos_Origen!$D$2:$D$2459,$Z782)&amp;""</f>
        <v>Tucuman</v>
      </c>
    </row>
    <row r="783" customFormat="false" ht="15" hidden="false" customHeight="false" outlineLevel="0" collapsed="false">
      <c r="A783" s="61" t="n">
        <f aca="false">INDEX(Datos_Origen!$A$2:$A$2459,$Z783)</f>
        <v>782</v>
      </c>
      <c r="B783" s="62" t="n">
        <f aca="false">IF(ISNUMBER($AB783),$AB783,IF(MID($AB783,5,1)="-",DATE(VALUE(LEFT($AB783,4)),VALUE(MID($AB783,6,2)),VALUE(RIGHT($AB783,2))),DATE(VALUE(RIGHT($AB783,4)),VALUE(MID($AB783,4,2)),VALUE(LEFT($AB783,2)))))</f>
        <v>45525</v>
      </c>
      <c r="C783" s="61" t="n">
        <f aca="false">YEAR($B783)</f>
        <v>2024</v>
      </c>
      <c r="D783" s="61" t="str">
        <f aca="false">"Q"&amp;ROUNDUP(MONTH($B783)/3,0)</f>
        <v>Q3</v>
      </c>
      <c r="E783" s="61" t="n">
        <f aca="false">MONTH($B783)</f>
        <v>8</v>
      </c>
      <c r="F783" s="61" t="str">
        <f aca="false">INDEX(Parametros!$I$5:$I$16,$E783)</f>
        <v>Ago</v>
      </c>
      <c r="G783" s="61" t="str">
        <f aca="false">TEXT($C783,"0000")&amp;"-"&amp;TEXT($E783,"00")</f>
        <v>2024-08</v>
      </c>
      <c r="H783" s="61" t="str">
        <f aca="false">INDEX(Parametros!$C$71:$C$91,MATCH(TRIM(INDEX(Datos_Origen!$C$2:$C$2459,$Z783)),Parametros!$B$71:$B$91,0))</f>
        <v>NOA</v>
      </c>
      <c r="I783" s="61" t="str">
        <f aca="false">IF(TRIM($AD783)="",INDEX(Parametros!$I$20:$I$24,MATCH($H783,Parametros!$H$20:$H$24,0)),TRIM($AD783))</f>
        <v>Tucuman</v>
      </c>
      <c r="J783" s="61" t="str">
        <f aca="false">INDEX(Parametros!$C$95:$C$106,MATCH(TRIM(INDEX(Datos_Origen!$E$2:$E$2459,$Z783)),Parametros!$B$95:$B$106,0))</f>
        <v>E-commerce</v>
      </c>
      <c r="K783" s="61" t="str">
        <f aca="false">INDEX(Parametros!$C$48:$C$67,MATCH(TRIM(INDEX(Datos_Origen!$F$2:$F$2459,$Z783)),Parametros!$B$48:$B$67,0))</f>
        <v>Computacion</v>
      </c>
      <c r="L783" s="61" t="str">
        <f aca="false">$K783&amp;" "&amp;$C783</f>
        <v>Computacion 2024</v>
      </c>
      <c r="M783" s="61" t="str">
        <f aca="false">TRIM(INDEX(Datos_Origen!$G$2:$G$2459,$Z783))</f>
        <v>Laptop Pro 15</v>
      </c>
      <c r="N783" s="61" t="str">
        <f aca="false">$M783&amp;" "&amp;$C783</f>
        <v>Laptop Pro 15 2024</v>
      </c>
      <c r="O783" s="63" t="n">
        <f aca="false">IF(ISTEXT($AC783),VALUE($AC783),$AC783)</f>
        <v>3</v>
      </c>
      <c r="P783" s="64" t="n">
        <f aca="false">INDEX(Datos_Origen!$I$2:$I$2459,$Z783)</f>
        <v>1176</v>
      </c>
      <c r="Q783" s="64" t="n">
        <f aca="false">INDEX(Datos_Origen!$J$2:$J$2459,$Z783)</f>
        <v>744</v>
      </c>
      <c r="R783" s="65" t="n">
        <f aca="false">ROUND($O783*$P783,2)</f>
        <v>3528</v>
      </c>
      <c r="S783" s="65" t="n">
        <f aca="false">ROUND($O783*$Q783,2)</f>
        <v>2232</v>
      </c>
      <c r="T783" s="65" t="n">
        <f aca="false">ROUND($R783*SUMIFS(Parametros!$E$28:$E$43,Parametros!$B$28:$B$43,$J783,Parametros!$C$28:$C$43,$C783,Parametros!$D$28:$D$43,$D783),2)</f>
        <v>162.29</v>
      </c>
      <c r="U783" s="65" t="n">
        <f aca="false">$R783-$S783-$T783</f>
        <v>1133.71</v>
      </c>
      <c r="V783" s="66" t="n">
        <f aca="false">IFERROR($U783/$R783,0)</f>
        <v>0.321346371882086</v>
      </c>
      <c r="W783" s="67" t="str">
        <f aca="false">IF(AND($V783&gt;=Parametros!$C$8,$R783&gt;=Parametros!$C$12),"Alta rentabilidad",IF(OR($V783&lt;Parametros!$C$11,$R783&lt;Parametros!$C$13),"Revisar","Estandar"))</f>
        <v>Estandar</v>
      </c>
      <c r="X783" s="67" t="str">
        <f aca="false">IF(AND($J783="E-commerce",IFERROR($T783/$R783,0)&gt;Parametros!$C$14),"Alerta","OK")</f>
        <v>OK</v>
      </c>
      <c r="Y783" s="61" t="str">
        <f aca="false">IF($R783&gt;=Parametros!$C$12,"Alto",IF($R783&lt;Parametros!$C$13,"Bajo","Medio"))</f>
        <v>Alto</v>
      </c>
      <c r="Z783" s="61" t="n">
        <v>2372</v>
      </c>
      <c r="AA783" s="61" t="str">
        <f aca="false">IF(MATCH($A783,Datos_Origen!$A$2:$A$2459,0)=$Z783,"OK","REVISAR")</f>
        <v>OK</v>
      </c>
      <c r="AB783" s="62" t="n">
        <f aca="false">INDEX(Datos_Origen!$B$2:$B$2459,$Z783)</f>
        <v>45525</v>
      </c>
      <c r="AC783" s="61" t="n">
        <f aca="false">INDEX(Datos_Origen!$H$2:$H$2459,$Z783)</f>
        <v>3</v>
      </c>
      <c r="AD783" s="61" t="str">
        <f aca="false">INDEX(Datos_Origen!$D$2:$D$2459,$Z783)&amp;""</f>
        <v>Tucuman</v>
      </c>
    </row>
    <row r="784" customFormat="false" ht="15" hidden="false" customHeight="false" outlineLevel="0" collapsed="false">
      <c r="A784" s="61" t="n">
        <f aca="false">INDEX(Datos_Origen!$A$2:$A$2459,$Z784)</f>
        <v>783</v>
      </c>
      <c r="B784" s="62" t="n">
        <f aca="false">IF(ISNUMBER($AB784),$AB784,IF(MID($AB784,5,1)="-",DATE(VALUE(LEFT($AB784,4)),VALUE(MID($AB784,6,2)),VALUE(RIGHT($AB784,2))),DATE(VALUE(RIGHT($AB784,4)),VALUE(MID($AB784,4,2)),VALUE(LEFT($AB784,2)))))</f>
        <v>45505</v>
      </c>
      <c r="C784" s="61" t="n">
        <f aca="false">YEAR($B784)</f>
        <v>2024</v>
      </c>
      <c r="D784" s="61" t="str">
        <f aca="false">"Q"&amp;ROUNDUP(MONTH($B784)/3,0)</f>
        <v>Q3</v>
      </c>
      <c r="E784" s="61" t="n">
        <f aca="false">MONTH($B784)</f>
        <v>8</v>
      </c>
      <c r="F784" s="61" t="str">
        <f aca="false">INDEX(Parametros!$I$5:$I$16,$E784)</f>
        <v>Ago</v>
      </c>
      <c r="G784" s="61" t="str">
        <f aca="false">TEXT($C784,"0000")&amp;"-"&amp;TEXT($E784,"00")</f>
        <v>2024-08</v>
      </c>
      <c r="H784" s="61" t="str">
        <f aca="false">INDEX(Parametros!$C$71:$C$91,MATCH(TRIM(INDEX(Datos_Origen!$C$2:$C$2459,$Z784)),Parametros!$B$71:$B$91,0))</f>
        <v>NOA</v>
      </c>
      <c r="I784" s="61" t="str">
        <f aca="false">IF(TRIM($AD784)="",INDEX(Parametros!$I$20:$I$24,MATCH($H784,Parametros!$H$20:$H$24,0)),TRIM($AD784))</f>
        <v>Tucuman</v>
      </c>
      <c r="J784" s="61" t="str">
        <f aca="false">INDEX(Parametros!$C$95:$C$106,MATCH(TRIM(INDEX(Datos_Origen!$E$2:$E$2459,$Z784)),Parametros!$B$95:$B$106,0))</f>
        <v>Tienda fisica</v>
      </c>
      <c r="K784" s="61" t="str">
        <f aca="false">INDEX(Parametros!$C$48:$C$67,MATCH(TRIM(INDEX(Datos_Origen!$F$2:$F$2459,$Z784)),Parametros!$B$48:$B$67,0))</f>
        <v>Computacion</v>
      </c>
      <c r="L784" s="61" t="str">
        <f aca="false">$K784&amp;" "&amp;$C784</f>
        <v>Computacion 2024</v>
      </c>
      <c r="M784" s="61" t="str">
        <f aca="false">TRIM(INDEX(Datos_Origen!$G$2:$G$2459,$Z784))</f>
        <v>Monitor 4K 27</v>
      </c>
      <c r="N784" s="61" t="str">
        <f aca="false">$M784&amp;" "&amp;$C784</f>
        <v>Monitor 4K 27 2024</v>
      </c>
      <c r="O784" s="63" t="n">
        <f aca="false">IF(ISTEXT($AC784),VALUE($AC784),$AC784)</f>
        <v>7</v>
      </c>
      <c r="P784" s="64" t="n">
        <f aca="false">INDEX(Datos_Origen!$I$2:$I$2459,$Z784)</f>
        <v>441</v>
      </c>
      <c r="Q784" s="64" t="n">
        <f aca="false">INDEX(Datos_Origen!$J$2:$J$2459,$Z784)</f>
        <v>272.25</v>
      </c>
      <c r="R784" s="65" t="n">
        <f aca="false">ROUND($O784*$P784,2)</f>
        <v>3087</v>
      </c>
      <c r="S784" s="65" t="n">
        <f aca="false">ROUND($O784*$Q784,2)</f>
        <v>1905.75</v>
      </c>
      <c r="T784" s="65" t="n">
        <f aca="false">ROUND($R784*SUMIFS(Parametros!$E$28:$E$43,Parametros!$B$28:$B$43,$J784,Parametros!$C$28:$C$43,$C784,Parametros!$D$28:$D$43,$D784),2)</f>
        <v>40.13</v>
      </c>
      <c r="U784" s="65" t="n">
        <f aca="false">$R784-$S784-$T784</f>
        <v>1141.12</v>
      </c>
      <c r="V784" s="66" t="n">
        <f aca="false">IFERROR($U784/$R784,0)</f>
        <v>0.369653385163589</v>
      </c>
      <c r="W784" s="67" t="str">
        <f aca="false">IF(AND($V784&gt;=Parametros!$C$8,$R784&gt;=Parametros!$C$12),"Alta rentabilidad",IF(OR($V784&lt;Parametros!$C$11,$R784&lt;Parametros!$C$13),"Revisar","Estandar"))</f>
        <v>Alta rentabilidad</v>
      </c>
      <c r="X784" s="67" t="str">
        <f aca="false">IF(AND($J784="E-commerce",IFERROR($T784/$R784,0)&gt;Parametros!$C$14),"Alerta","OK")</f>
        <v>OK</v>
      </c>
      <c r="Y784" s="61" t="str">
        <f aca="false">IF($R784&gt;=Parametros!$C$12,"Alto",IF($R784&lt;Parametros!$C$13,"Bajo","Medio"))</f>
        <v>Alto</v>
      </c>
      <c r="Z784" s="61" t="n">
        <v>667</v>
      </c>
      <c r="AA784" s="61" t="str">
        <f aca="false">IF(MATCH($A784,Datos_Origen!$A$2:$A$2459,0)=$Z784,"OK","REVISAR")</f>
        <v>OK</v>
      </c>
      <c r="AB784" s="62" t="n">
        <f aca="false">INDEX(Datos_Origen!$B$2:$B$2459,$Z784)</f>
        <v>45505</v>
      </c>
      <c r="AC784" s="61" t="n">
        <f aca="false">INDEX(Datos_Origen!$H$2:$H$2459,$Z784)</f>
        <v>7</v>
      </c>
      <c r="AD784" s="61" t="str">
        <f aca="false">INDEX(Datos_Origen!$D$2:$D$2459,$Z784)&amp;""</f>
        <v>Tucuman</v>
      </c>
    </row>
    <row r="785" customFormat="false" ht="15" hidden="false" customHeight="false" outlineLevel="0" collapsed="false">
      <c r="A785" s="61" t="n">
        <f aca="false">INDEX(Datos_Origen!$A$2:$A$2459,$Z785)</f>
        <v>784</v>
      </c>
      <c r="B785" s="62" t="n">
        <f aca="false">IF(ISNUMBER($AB785),$AB785,IF(MID($AB785,5,1)="-",DATE(VALUE(LEFT($AB785,4)),VALUE(MID($AB785,6,2)),VALUE(RIGHT($AB785,2))),DATE(VALUE(RIGHT($AB785,4)),VALUE(MID($AB785,4,2)),VALUE(LEFT($AB785,2)))))</f>
        <v>45512</v>
      </c>
      <c r="C785" s="61" t="n">
        <f aca="false">YEAR($B785)</f>
        <v>2024</v>
      </c>
      <c r="D785" s="61" t="str">
        <f aca="false">"Q"&amp;ROUNDUP(MONTH($B785)/3,0)</f>
        <v>Q3</v>
      </c>
      <c r="E785" s="61" t="n">
        <f aca="false">MONTH($B785)</f>
        <v>8</v>
      </c>
      <c r="F785" s="61" t="str">
        <f aca="false">INDEX(Parametros!$I$5:$I$16,$E785)</f>
        <v>Ago</v>
      </c>
      <c r="G785" s="61" t="str">
        <f aca="false">TEXT($C785,"0000")&amp;"-"&amp;TEXT($E785,"00")</f>
        <v>2024-08</v>
      </c>
      <c r="H785" s="61" t="str">
        <f aca="false">INDEX(Parametros!$C$71:$C$91,MATCH(TRIM(INDEX(Datos_Origen!$C$2:$C$2459,$Z785)),Parametros!$B$71:$B$91,0))</f>
        <v>NOA</v>
      </c>
      <c r="I785" s="61" t="str">
        <f aca="false">IF(TRIM($AD785)="",INDEX(Parametros!$I$20:$I$24,MATCH($H785,Parametros!$H$20:$H$24,0)),TRIM($AD785))</f>
        <v>Tucuman</v>
      </c>
      <c r="J785" s="61" t="str">
        <f aca="false">INDEX(Parametros!$C$95:$C$106,MATCH(TRIM(INDEX(Datos_Origen!$E$2:$E$2459,$Z785)),Parametros!$B$95:$B$106,0))</f>
        <v>E-commerce</v>
      </c>
      <c r="K785" s="61" t="str">
        <f aca="false">INDEX(Parametros!$C$48:$C$67,MATCH(TRIM(INDEX(Datos_Origen!$F$2:$F$2459,$Z785)),Parametros!$B$48:$B$67,0))</f>
        <v>Computacion</v>
      </c>
      <c r="L785" s="61" t="str">
        <f aca="false">$K785&amp;" "&amp;$C785</f>
        <v>Computacion 2024</v>
      </c>
      <c r="M785" s="61" t="str">
        <f aca="false">TRIM(INDEX(Datos_Origen!$G$2:$G$2459,$Z785))</f>
        <v>Monitor 4K 27</v>
      </c>
      <c r="N785" s="61" t="str">
        <f aca="false">$M785&amp;" "&amp;$C785</f>
        <v>Monitor 4K 27 2024</v>
      </c>
      <c r="O785" s="63" t="n">
        <f aca="false">IF(ISTEXT($AC785),VALUE($AC785),$AC785)</f>
        <v>2</v>
      </c>
      <c r="P785" s="64" t="n">
        <f aca="false">INDEX(Datos_Origen!$I$2:$I$2459,$Z785)</f>
        <v>441</v>
      </c>
      <c r="Q785" s="64" t="n">
        <f aca="false">INDEX(Datos_Origen!$J$2:$J$2459,$Z785)</f>
        <v>272.25</v>
      </c>
      <c r="R785" s="65" t="n">
        <f aca="false">ROUND($O785*$P785,2)</f>
        <v>882</v>
      </c>
      <c r="S785" s="65" t="n">
        <f aca="false">ROUND($O785*$Q785,2)</f>
        <v>544.5</v>
      </c>
      <c r="T785" s="65" t="n">
        <f aca="false">ROUND($R785*SUMIFS(Parametros!$E$28:$E$43,Parametros!$B$28:$B$43,$J785,Parametros!$C$28:$C$43,$C785,Parametros!$D$28:$D$43,$D785),2)</f>
        <v>40.57</v>
      </c>
      <c r="U785" s="65" t="n">
        <f aca="false">$R785-$S785-$T785</f>
        <v>296.93</v>
      </c>
      <c r="V785" s="66" t="n">
        <f aca="false">IFERROR($U785/$R785,0)</f>
        <v>0.336655328798186</v>
      </c>
      <c r="W785" s="67" t="str">
        <f aca="false">IF(AND($V785&gt;=Parametros!$C$8,$R785&gt;=Parametros!$C$12),"Alta rentabilidad",IF(OR($V785&lt;Parametros!$C$11,$R785&lt;Parametros!$C$13),"Revisar","Estandar"))</f>
        <v>Estandar</v>
      </c>
      <c r="X785" s="67" t="str">
        <f aca="false">IF(AND($J785="E-commerce",IFERROR($T785/$R785,0)&gt;Parametros!$C$14),"Alerta","OK")</f>
        <v>OK</v>
      </c>
      <c r="Y785" s="61" t="str">
        <f aca="false">IF($R785&gt;=Parametros!$C$12,"Alto",IF($R785&lt;Parametros!$C$13,"Bajo","Medio"))</f>
        <v>Medio</v>
      </c>
      <c r="Z785" s="61" t="n">
        <v>493</v>
      </c>
      <c r="AA785" s="61" t="str">
        <f aca="false">IF(MATCH($A785,Datos_Origen!$A$2:$A$2459,0)=$Z785,"OK","REVISAR")</f>
        <v>OK</v>
      </c>
      <c r="AB785" s="61" t="str">
        <f aca="false">INDEX(Datos_Origen!$B$2:$B$2459,$Z785)</f>
        <v>08/08/2024</v>
      </c>
      <c r="AC785" s="61" t="n">
        <f aca="false">INDEX(Datos_Origen!$H$2:$H$2459,$Z785)</f>
        <v>2</v>
      </c>
      <c r="AD785" s="61" t="str">
        <f aca="false">INDEX(Datos_Origen!$D$2:$D$2459,$Z785)&amp;""</f>
        <v>Tucuman</v>
      </c>
    </row>
    <row r="786" customFormat="false" ht="15" hidden="false" customHeight="false" outlineLevel="0" collapsed="false">
      <c r="A786" s="61" t="n">
        <f aca="false">INDEX(Datos_Origen!$A$2:$A$2459,$Z786)</f>
        <v>785</v>
      </c>
      <c r="B786" s="62" t="n">
        <f aca="false">IF(ISNUMBER($AB786),$AB786,IF(MID($AB786,5,1)="-",DATE(VALUE(LEFT($AB786,4)),VALUE(MID($AB786,6,2)),VALUE(RIGHT($AB786,2))),DATE(VALUE(RIGHT($AB786,4)),VALUE(MID($AB786,4,2)),VALUE(LEFT($AB786,2)))))</f>
        <v>45519</v>
      </c>
      <c r="C786" s="61" t="n">
        <f aca="false">YEAR($B786)</f>
        <v>2024</v>
      </c>
      <c r="D786" s="61" t="str">
        <f aca="false">"Q"&amp;ROUNDUP(MONTH($B786)/3,0)</f>
        <v>Q3</v>
      </c>
      <c r="E786" s="61" t="n">
        <f aca="false">MONTH($B786)</f>
        <v>8</v>
      </c>
      <c r="F786" s="61" t="str">
        <f aca="false">INDEX(Parametros!$I$5:$I$16,$E786)</f>
        <v>Ago</v>
      </c>
      <c r="G786" s="61" t="str">
        <f aca="false">TEXT($C786,"0000")&amp;"-"&amp;TEXT($E786,"00")</f>
        <v>2024-08</v>
      </c>
      <c r="H786" s="61" t="str">
        <f aca="false">INDEX(Parametros!$C$71:$C$91,MATCH(TRIM(INDEX(Datos_Origen!$C$2:$C$2459,$Z786)),Parametros!$B$71:$B$91,0))</f>
        <v>NOA</v>
      </c>
      <c r="I786" s="61" t="str">
        <f aca="false">IF(TRIM($AD786)="",INDEX(Parametros!$I$20:$I$24,MATCH($H786,Parametros!$H$20:$H$24,0)),TRIM($AD786))</f>
        <v>Tucuman</v>
      </c>
      <c r="J786" s="61" t="str">
        <f aca="false">INDEX(Parametros!$C$95:$C$106,MATCH(TRIM(INDEX(Datos_Origen!$E$2:$E$2459,$Z786)),Parametros!$B$95:$B$106,0))</f>
        <v>Tienda fisica</v>
      </c>
      <c r="K786" s="61" t="str">
        <f aca="false">INDEX(Parametros!$C$48:$C$67,MATCH(TRIM(INDEX(Datos_Origen!$F$2:$F$2459,$Z786)),Parametros!$B$48:$B$67,0))</f>
        <v>Computacion</v>
      </c>
      <c r="L786" s="61" t="str">
        <f aca="false">$K786&amp;" "&amp;$C786</f>
        <v>Computacion 2024</v>
      </c>
      <c r="M786" s="61" t="str">
        <f aca="false">TRIM(INDEX(Datos_Origen!$G$2:$G$2459,$Z786))</f>
        <v>PC Gamer Ryzen</v>
      </c>
      <c r="N786" s="61" t="str">
        <f aca="false">$M786&amp;" "&amp;$C786</f>
        <v>PC Gamer Ryzen 2024</v>
      </c>
      <c r="O786" s="63" t="n">
        <f aca="false">IF(ISTEXT($AC786),VALUE($AC786),$AC786)</f>
        <v>7</v>
      </c>
      <c r="P786" s="64" t="n">
        <f aca="false">INDEX(Datos_Origen!$I$2:$I$2459,$Z786)</f>
        <v>1617</v>
      </c>
      <c r="Q786" s="64" t="n">
        <f aca="false">INDEX(Datos_Origen!$J$2:$J$2459,$Z786)</f>
        <v>1122</v>
      </c>
      <c r="R786" s="65" t="n">
        <f aca="false">ROUND($O786*$P786,2)</f>
        <v>11319</v>
      </c>
      <c r="S786" s="65" t="n">
        <f aca="false">ROUND($O786*$Q786,2)</f>
        <v>7854</v>
      </c>
      <c r="T786" s="65" t="n">
        <f aca="false">ROUND($R786*SUMIFS(Parametros!$E$28:$E$43,Parametros!$B$28:$B$43,$J786,Parametros!$C$28:$C$43,$C786,Parametros!$D$28:$D$43,$D786),2)</f>
        <v>147.15</v>
      </c>
      <c r="U786" s="65" t="n">
        <f aca="false">$R786-$S786-$T786</f>
        <v>3317.85</v>
      </c>
      <c r="V786" s="66" t="n">
        <f aca="false">IFERROR($U786/$R786,0)</f>
        <v>0.29312218393851</v>
      </c>
      <c r="W786" s="67" t="str">
        <f aca="false">IF(AND($V786&gt;=Parametros!$C$8,$R786&gt;=Parametros!$C$12),"Alta rentabilidad",IF(OR($V786&lt;Parametros!$C$11,$R786&lt;Parametros!$C$13),"Revisar","Estandar"))</f>
        <v>Estandar</v>
      </c>
      <c r="X786" s="67" t="str">
        <f aca="false">IF(AND($J786="E-commerce",IFERROR($T786/$R786,0)&gt;Parametros!$C$14),"Alerta","OK")</f>
        <v>OK</v>
      </c>
      <c r="Y786" s="61" t="str">
        <f aca="false">IF($R786&gt;=Parametros!$C$12,"Alto",IF($R786&lt;Parametros!$C$13,"Bajo","Medio"))</f>
        <v>Alto</v>
      </c>
      <c r="Z786" s="61" t="n">
        <v>633</v>
      </c>
      <c r="AA786" s="61" t="str">
        <f aca="false">IF(MATCH($A786,Datos_Origen!$A$2:$A$2459,0)=$Z786,"OK","REVISAR")</f>
        <v>OK</v>
      </c>
      <c r="AB786" s="62" t="n">
        <f aca="false">INDEX(Datos_Origen!$B$2:$B$2459,$Z786)</f>
        <v>45519</v>
      </c>
      <c r="AC786" s="61" t="n">
        <f aca="false">INDEX(Datos_Origen!$H$2:$H$2459,$Z786)</f>
        <v>7</v>
      </c>
      <c r="AD786" s="61" t="str">
        <f aca="false">INDEX(Datos_Origen!$D$2:$D$2459,$Z786)&amp;""</f>
        <v>Tucuman</v>
      </c>
    </row>
    <row r="787" customFormat="false" ht="15" hidden="false" customHeight="false" outlineLevel="0" collapsed="false">
      <c r="A787" s="61" t="n">
        <f aca="false">INDEX(Datos_Origen!$A$2:$A$2459,$Z787)</f>
        <v>786</v>
      </c>
      <c r="B787" s="62" t="n">
        <f aca="false">IF(ISNUMBER($AB787),$AB787,IF(MID($AB787,5,1)="-",DATE(VALUE(LEFT($AB787,4)),VALUE(MID($AB787,6,2)),VALUE(RIGHT($AB787,2))),DATE(VALUE(RIGHT($AB787,4)),VALUE(MID($AB787,4,2)),VALUE(LEFT($AB787,2)))))</f>
        <v>45526</v>
      </c>
      <c r="C787" s="61" t="n">
        <f aca="false">YEAR($B787)</f>
        <v>2024</v>
      </c>
      <c r="D787" s="61" t="str">
        <f aca="false">"Q"&amp;ROUNDUP(MONTH($B787)/3,0)</f>
        <v>Q3</v>
      </c>
      <c r="E787" s="61" t="n">
        <f aca="false">MONTH($B787)</f>
        <v>8</v>
      </c>
      <c r="F787" s="61" t="str">
        <f aca="false">INDEX(Parametros!$I$5:$I$16,$E787)</f>
        <v>Ago</v>
      </c>
      <c r="G787" s="61" t="str">
        <f aca="false">TEXT($C787,"0000")&amp;"-"&amp;TEXT($E787,"00")</f>
        <v>2024-08</v>
      </c>
      <c r="H787" s="61" t="str">
        <f aca="false">INDEX(Parametros!$C$71:$C$91,MATCH(TRIM(INDEX(Datos_Origen!$C$2:$C$2459,$Z787)),Parametros!$B$71:$B$91,0))</f>
        <v>NOA</v>
      </c>
      <c r="I787" s="61" t="str">
        <f aca="false">IF(TRIM($AD787)="",INDEX(Parametros!$I$20:$I$24,MATCH($H787,Parametros!$H$20:$H$24,0)),TRIM($AD787))</f>
        <v>Tucuman</v>
      </c>
      <c r="J787" s="61" t="str">
        <f aca="false">INDEX(Parametros!$C$95:$C$106,MATCH(TRIM(INDEX(Datos_Origen!$E$2:$E$2459,$Z787)),Parametros!$B$95:$B$106,0))</f>
        <v>E-commerce</v>
      </c>
      <c r="K787" s="61" t="str">
        <f aca="false">INDEX(Parametros!$C$48:$C$67,MATCH(TRIM(INDEX(Datos_Origen!$F$2:$F$2459,$Z787)),Parametros!$B$48:$B$67,0))</f>
        <v>Computacion</v>
      </c>
      <c r="L787" s="61" t="str">
        <f aca="false">$K787&amp;" "&amp;$C787</f>
        <v>Computacion 2024</v>
      </c>
      <c r="M787" s="61" t="str">
        <f aca="false">TRIM(INDEX(Datos_Origen!$G$2:$G$2459,$Z787))</f>
        <v>PC Gamer Ryzen</v>
      </c>
      <c r="N787" s="61" t="str">
        <f aca="false">$M787&amp;" "&amp;$C787</f>
        <v>PC Gamer Ryzen 2024</v>
      </c>
      <c r="O787" s="63" t="n">
        <f aca="false">IF(ISTEXT($AC787),VALUE($AC787),$AC787)</f>
        <v>3</v>
      </c>
      <c r="P787" s="64" t="n">
        <f aca="false">INDEX(Datos_Origen!$I$2:$I$2459,$Z787)</f>
        <v>1617</v>
      </c>
      <c r="Q787" s="64" t="n">
        <f aca="false">INDEX(Datos_Origen!$J$2:$J$2459,$Z787)</f>
        <v>1122</v>
      </c>
      <c r="R787" s="65" t="n">
        <f aca="false">ROUND($O787*$P787,2)</f>
        <v>4851</v>
      </c>
      <c r="S787" s="65" t="n">
        <f aca="false">ROUND($O787*$Q787,2)</f>
        <v>3366</v>
      </c>
      <c r="T787" s="65" t="n">
        <f aca="false">ROUND($R787*SUMIFS(Parametros!$E$28:$E$43,Parametros!$B$28:$B$43,$J787,Parametros!$C$28:$C$43,$C787,Parametros!$D$28:$D$43,$D787),2)</f>
        <v>223.15</v>
      </c>
      <c r="U787" s="65" t="n">
        <f aca="false">$R787-$S787-$T787</f>
        <v>1261.85</v>
      </c>
      <c r="V787" s="66" t="n">
        <f aca="false">IFERROR($U787/$R787,0)</f>
        <v>0.260121624407339</v>
      </c>
      <c r="W787" s="67" t="str">
        <f aca="false">IF(AND($V787&gt;=Parametros!$C$8,$R787&gt;=Parametros!$C$12),"Alta rentabilidad",IF(OR($V787&lt;Parametros!$C$11,$R787&lt;Parametros!$C$13),"Revisar","Estandar"))</f>
        <v>Revisar</v>
      </c>
      <c r="X787" s="67" t="str">
        <f aca="false">IF(AND($J787="E-commerce",IFERROR($T787/$R787,0)&gt;Parametros!$C$14),"Alerta","OK")</f>
        <v>OK</v>
      </c>
      <c r="Y787" s="61" t="str">
        <f aca="false">IF($R787&gt;=Parametros!$C$12,"Alto",IF($R787&lt;Parametros!$C$13,"Bajo","Medio"))</f>
        <v>Alto</v>
      </c>
      <c r="Z787" s="61" t="n">
        <v>1284</v>
      </c>
      <c r="AA787" s="61" t="str">
        <f aca="false">IF(MATCH($A787,Datos_Origen!$A$2:$A$2459,0)=$Z787,"OK","REVISAR")</f>
        <v>OK</v>
      </c>
      <c r="AB787" s="62" t="n">
        <f aca="false">INDEX(Datos_Origen!$B$2:$B$2459,$Z787)</f>
        <v>45526</v>
      </c>
      <c r="AC787" s="61" t="str">
        <f aca="false">INDEX(Datos_Origen!$H$2:$H$2459,$Z787)</f>
        <v>3</v>
      </c>
      <c r="AD787" s="61" t="str">
        <f aca="false">INDEX(Datos_Origen!$D$2:$D$2459,$Z787)&amp;""</f>
        <v>Tucuman</v>
      </c>
    </row>
    <row r="788" customFormat="false" ht="15" hidden="false" customHeight="false" outlineLevel="0" collapsed="false">
      <c r="A788" s="61" t="n">
        <f aca="false">INDEX(Datos_Origen!$A$2:$A$2459,$Z788)</f>
        <v>787</v>
      </c>
      <c r="B788" s="62" t="n">
        <f aca="false">IF(ISNUMBER($AB788),$AB788,IF(MID($AB788,5,1)="-",DATE(VALUE(LEFT($AB788,4)),VALUE(MID($AB788,6,2)),VALUE(RIGHT($AB788,2))),DATE(VALUE(RIGHT($AB788,4)),VALUE(MID($AB788,4,2)),VALUE(LEFT($AB788,2)))))</f>
        <v>45506</v>
      </c>
      <c r="C788" s="61" t="n">
        <f aca="false">YEAR($B788)</f>
        <v>2024</v>
      </c>
      <c r="D788" s="61" t="str">
        <f aca="false">"Q"&amp;ROUNDUP(MONTH($B788)/3,0)</f>
        <v>Q3</v>
      </c>
      <c r="E788" s="61" t="n">
        <f aca="false">MONTH($B788)</f>
        <v>8</v>
      </c>
      <c r="F788" s="61" t="str">
        <f aca="false">INDEX(Parametros!$I$5:$I$16,$E788)</f>
        <v>Ago</v>
      </c>
      <c r="G788" s="61" t="str">
        <f aca="false">TEXT($C788,"0000")&amp;"-"&amp;TEXT($E788,"00")</f>
        <v>2024-08</v>
      </c>
      <c r="H788" s="61" t="str">
        <f aca="false">INDEX(Parametros!$C$71:$C$91,MATCH(TRIM(INDEX(Datos_Origen!$C$2:$C$2459,$Z788)),Parametros!$B$71:$B$91,0))</f>
        <v>NOA</v>
      </c>
      <c r="I788" s="61" t="str">
        <f aca="false">IF(TRIM($AD788)="",INDEX(Parametros!$I$20:$I$24,MATCH($H788,Parametros!$H$20:$H$24,0)),TRIM($AD788))</f>
        <v>Tucuman</v>
      </c>
      <c r="J788" s="61" t="str">
        <f aca="false">INDEX(Parametros!$C$95:$C$106,MATCH(TRIM(INDEX(Datos_Origen!$E$2:$E$2459,$Z788)),Parametros!$B$95:$B$106,0))</f>
        <v>Tienda fisica</v>
      </c>
      <c r="K788" s="61" t="str">
        <f aca="false">INDEX(Parametros!$C$48:$C$67,MATCH(TRIM(INDEX(Datos_Origen!$F$2:$F$2459,$Z788)),Parametros!$B$48:$B$67,0))</f>
        <v>Accesorios</v>
      </c>
      <c r="L788" s="61" t="str">
        <f aca="false">$K788&amp;" "&amp;$C788</f>
        <v>Accesorios 2024</v>
      </c>
      <c r="M788" s="61" t="str">
        <f aca="false">TRIM(INDEX(Datos_Origen!$G$2:$G$2459,$Z788))</f>
        <v>Mouse Inalambrico</v>
      </c>
      <c r="N788" s="61" t="str">
        <f aca="false">$M788&amp;" "&amp;$C788</f>
        <v>Mouse Inalambrico 2024</v>
      </c>
      <c r="O788" s="63" t="n">
        <f aca="false">IF(ISTEXT($AC788),VALUE($AC788),$AC788)</f>
        <v>32</v>
      </c>
      <c r="P788" s="64" t="n">
        <f aca="false">INDEX(Datos_Origen!$I$2:$I$2459,$Z788)</f>
        <v>27.44</v>
      </c>
      <c r="Q788" s="64" t="n">
        <f aca="false">INDEX(Datos_Origen!$J$2:$J$2459,$Z788)</f>
        <v>13.44</v>
      </c>
      <c r="R788" s="65" t="n">
        <f aca="false">ROUND($O788*$P788,2)</f>
        <v>878.08</v>
      </c>
      <c r="S788" s="65" t="n">
        <f aca="false">ROUND($O788*$Q788,2)</f>
        <v>430.08</v>
      </c>
      <c r="T788" s="65" t="n">
        <f aca="false">ROUND($R788*SUMIFS(Parametros!$E$28:$E$43,Parametros!$B$28:$B$43,$J788,Parametros!$C$28:$C$43,$C788,Parametros!$D$28:$D$43,$D788),2)</f>
        <v>11.42</v>
      </c>
      <c r="U788" s="65" t="n">
        <f aca="false">$R788-$S788-$T788</f>
        <v>436.58</v>
      </c>
      <c r="V788" s="66" t="n">
        <f aca="false">IFERROR($U788/$R788,0)</f>
        <v>0.497198432944606</v>
      </c>
      <c r="W788" s="67" t="str">
        <f aca="false">IF(AND($V788&gt;=Parametros!$C$8,$R788&gt;=Parametros!$C$12),"Alta rentabilidad",IF(OR($V788&lt;Parametros!$C$11,$R788&lt;Parametros!$C$13),"Revisar","Estandar"))</f>
        <v>Estandar</v>
      </c>
      <c r="X788" s="67" t="str">
        <f aca="false">IF(AND($J788="E-commerce",IFERROR($T788/$R788,0)&gt;Parametros!$C$14),"Alerta","OK")</f>
        <v>OK</v>
      </c>
      <c r="Y788" s="61" t="str">
        <f aca="false">IF($R788&gt;=Parametros!$C$12,"Alto",IF($R788&lt;Parametros!$C$13,"Bajo","Medio"))</f>
        <v>Medio</v>
      </c>
      <c r="Z788" s="61" t="n">
        <v>223</v>
      </c>
      <c r="AA788" s="61" t="str">
        <f aca="false">IF(MATCH($A788,Datos_Origen!$A$2:$A$2459,0)=$Z788,"OK","REVISAR")</f>
        <v>OK</v>
      </c>
      <c r="AB788" s="62" t="n">
        <f aca="false">INDEX(Datos_Origen!$B$2:$B$2459,$Z788)</f>
        <v>45506</v>
      </c>
      <c r="AC788" s="61" t="n">
        <f aca="false">INDEX(Datos_Origen!$H$2:$H$2459,$Z788)</f>
        <v>32</v>
      </c>
      <c r="AD788" s="61" t="str">
        <f aca="false">INDEX(Datos_Origen!$D$2:$D$2459,$Z788)&amp;""</f>
        <v>Tucuman</v>
      </c>
    </row>
    <row r="789" customFormat="false" ht="15" hidden="false" customHeight="false" outlineLevel="0" collapsed="false">
      <c r="A789" s="61" t="n">
        <f aca="false">INDEX(Datos_Origen!$A$2:$A$2459,$Z789)</f>
        <v>788</v>
      </c>
      <c r="B789" s="62" t="n">
        <f aca="false">IF(ISNUMBER($AB789),$AB789,IF(MID($AB789,5,1)="-",DATE(VALUE(LEFT($AB789,4)),VALUE(MID($AB789,6,2)),VALUE(RIGHT($AB789,2))),DATE(VALUE(RIGHT($AB789,4)),VALUE(MID($AB789,4,2)),VALUE(LEFT($AB789,2)))))</f>
        <v>45513</v>
      </c>
      <c r="C789" s="61" t="n">
        <f aca="false">YEAR($B789)</f>
        <v>2024</v>
      </c>
      <c r="D789" s="61" t="str">
        <f aca="false">"Q"&amp;ROUNDUP(MONTH($B789)/3,0)</f>
        <v>Q3</v>
      </c>
      <c r="E789" s="61" t="n">
        <f aca="false">MONTH($B789)</f>
        <v>8</v>
      </c>
      <c r="F789" s="61" t="str">
        <f aca="false">INDEX(Parametros!$I$5:$I$16,$E789)</f>
        <v>Ago</v>
      </c>
      <c r="G789" s="61" t="str">
        <f aca="false">TEXT($C789,"0000")&amp;"-"&amp;TEXT($E789,"00")</f>
        <v>2024-08</v>
      </c>
      <c r="H789" s="61" t="str">
        <f aca="false">INDEX(Parametros!$C$71:$C$91,MATCH(TRIM(INDEX(Datos_Origen!$C$2:$C$2459,$Z789)),Parametros!$B$71:$B$91,0))</f>
        <v>NOA</v>
      </c>
      <c r="I789" s="61" t="str">
        <f aca="false">IF(TRIM($AD789)="",INDEX(Parametros!$I$20:$I$24,MATCH($H789,Parametros!$H$20:$H$24,0)),TRIM($AD789))</f>
        <v>Tucuman</v>
      </c>
      <c r="J789" s="61" t="str">
        <f aca="false">INDEX(Parametros!$C$95:$C$106,MATCH(TRIM(INDEX(Datos_Origen!$E$2:$E$2459,$Z789)),Parametros!$B$95:$B$106,0))</f>
        <v>E-commerce</v>
      </c>
      <c r="K789" s="61" t="str">
        <f aca="false">INDEX(Parametros!$C$48:$C$67,MATCH(TRIM(INDEX(Datos_Origen!$F$2:$F$2459,$Z789)),Parametros!$B$48:$B$67,0))</f>
        <v>Accesorios</v>
      </c>
      <c r="L789" s="61" t="str">
        <f aca="false">$K789&amp;" "&amp;$C789</f>
        <v>Accesorios 2024</v>
      </c>
      <c r="M789" s="61" t="str">
        <f aca="false">TRIM(INDEX(Datos_Origen!$G$2:$G$2459,$Z789))</f>
        <v>Mouse Inalambrico</v>
      </c>
      <c r="N789" s="61" t="str">
        <f aca="false">$M789&amp;" "&amp;$C789</f>
        <v>Mouse Inalambrico 2024</v>
      </c>
      <c r="O789" s="63" t="n">
        <f aca="false">IF(ISTEXT($AC789),VALUE($AC789),$AC789)</f>
        <v>10</v>
      </c>
      <c r="P789" s="64" t="n">
        <f aca="false">INDEX(Datos_Origen!$I$2:$I$2459,$Z789)</f>
        <v>27.44</v>
      </c>
      <c r="Q789" s="64" t="n">
        <f aca="false">INDEX(Datos_Origen!$J$2:$J$2459,$Z789)</f>
        <v>13.44</v>
      </c>
      <c r="R789" s="65" t="n">
        <f aca="false">ROUND($O789*$P789,2)</f>
        <v>274.4</v>
      </c>
      <c r="S789" s="65" t="n">
        <f aca="false">ROUND($O789*$Q789,2)</f>
        <v>134.4</v>
      </c>
      <c r="T789" s="65" t="n">
        <f aca="false">ROUND($R789*SUMIFS(Parametros!$E$28:$E$43,Parametros!$B$28:$B$43,$J789,Parametros!$C$28:$C$43,$C789,Parametros!$D$28:$D$43,$D789),2)</f>
        <v>12.62</v>
      </c>
      <c r="U789" s="65" t="n">
        <f aca="false">$R789-$S789-$T789</f>
        <v>127.38</v>
      </c>
      <c r="V789" s="66" t="n">
        <f aca="false">IFERROR($U789/$R789,0)</f>
        <v>0.464212827988338</v>
      </c>
      <c r="W789" s="67" t="str">
        <f aca="false">IF(AND($V789&gt;=Parametros!$C$8,$R789&gt;=Parametros!$C$12),"Alta rentabilidad",IF(OR($V789&lt;Parametros!$C$11,$R789&lt;Parametros!$C$13),"Revisar","Estandar"))</f>
        <v>Revisar</v>
      </c>
      <c r="X789" s="67" t="str">
        <f aca="false">IF(AND($J789="E-commerce",IFERROR($T789/$R789,0)&gt;Parametros!$C$14),"Alerta","OK")</f>
        <v>OK</v>
      </c>
      <c r="Y789" s="61" t="str">
        <f aca="false">IF($R789&gt;=Parametros!$C$12,"Alto",IF($R789&lt;Parametros!$C$13,"Bajo","Medio"))</f>
        <v>Bajo</v>
      </c>
      <c r="Z789" s="61" t="n">
        <v>638</v>
      </c>
      <c r="AA789" s="61" t="str">
        <f aca="false">IF(MATCH($A789,Datos_Origen!$A$2:$A$2459,0)=$Z789,"OK","REVISAR")</f>
        <v>OK</v>
      </c>
      <c r="AB789" s="62" t="n">
        <f aca="false">INDEX(Datos_Origen!$B$2:$B$2459,$Z789)</f>
        <v>45513</v>
      </c>
      <c r="AC789" s="61" t="str">
        <f aca="false">INDEX(Datos_Origen!$H$2:$H$2459,$Z789)</f>
        <v>10</v>
      </c>
      <c r="AD789" s="61" t="str">
        <f aca="false">INDEX(Datos_Origen!$D$2:$D$2459,$Z789)&amp;""</f>
        <v>Tucuman</v>
      </c>
    </row>
    <row r="790" customFormat="false" ht="15" hidden="false" customHeight="false" outlineLevel="0" collapsed="false">
      <c r="A790" s="61" t="n">
        <f aca="false">INDEX(Datos_Origen!$A$2:$A$2459,$Z790)</f>
        <v>789</v>
      </c>
      <c r="B790" s="62" t="n">
        <f aca="false">IF(ISNUMBER($AB790),$AB790,IF(MID($AB790,5,1)="-",DATE(VALUE(LEFT($AB790,4)),VALUE(MID($AB790,6,2)),VALUE(RIGHT($AB790,2))),DATE(VALUE(RIGHT($AB790,4)),VALUE(MID($AB790,4,2)),VALUE(LEFT($AB790,2)))))</f>
        <v>45520</v>
      </c>
      <c r="C790" s="61" t="n">
        <f aca="false">YEAR($B790)</f>
        <v>2024</v>
      </c>
      <c r="D790" s="61" t="str">
        <f aca="false">"Q"&amp;ROUNDUP(MONTH($B790)/3,0)</f>
        <v>Q3</v>
      </c>
      <c r="E790" s="61" t="n">
        <f aca="false">MONTH($B790)</f>
        <v>8</v>
      </c>
      <c r="F790" s="61" t="str">
        <f aca="false">INDEX(Parametros!$I$5:$I$16,$E790)</f>
        <v>Ago</v>
      </c>
      <c r="G790" s="61" t="str">
        <f aca="false">TEXT($C790,"0000")&amp;"-"&amp;TEXT($E790,"00")</f>
        <v>2024-08</v>
      </c>
      <c r="H790" s="61" t="str">
        <f aca="false">INDEX(Parametros!$C$71:$C$91,MATCH(TRIM(INDEX(Datos_Origen!$C$2:$C$2459,$Z790)),Parametros!$B$71:$B$91,0))</f>
        <v>NOA</v>
      </c>
      <c r="I790" s="61" t="str">
        <f aca="false">IF(TRIM($AD790)="",INDEX(Parametros!$I$20:$I$24,MATCH($H790,Parametros!$H$20:$H$24,0)),TRIM($AD790))</f>
        <v>Tucuman</v>
      </c>
      <c r="J790" s="61" t="str">
        <f aca="false">INDEX(Parametros!$C$95:$C$106,MATCH(TRIM(INDEX(Datos_Origen!$E$2:$E$2459,$Z790)),Parametros!$B$95:$B$106,0))</f>
        <v>Tienda fisica</v>
      </c>
      <c r="K790" s="61" t="str">
        <f aca="false">INDEX(Parametros!$C$48:$C$67,MATCH(TRIM(INDEX(Datos_Origen!$F$2:$F$2459,$Z790)),Parametros!$B$48:$B$67,0))</f>
        <v>Accesorios</v>
      </c>
      <c r="L790" s="61" t="str">
        <f aca="false">$K790&amp;" "&amp;$C790</f>
        <v>Accesorios 2024</v>
      </c>
      <c r="M790" s="61" t="str">
        <f aca="false">TRIM(INDEX(Datos_Origen!$G$2:$G$2459,$Z790))</f>
        <v>Teclado Mecanico</v>
      </c>
      <c r="N790" s="61" t="str">
        <f aca="false">$M790&amp;" "&amp;$C790</f>
        <v>Teclado Mecanico 2024</v>
      </c>
      <c r="O790" s="63" t="n">
        <f aca="false">IF(ISTEXT($AC790),VALUE($AC790),$AC790)</f>
        <v>30</v>
      </c>
      <c r="P790" s="64" t="n">
        <f aca="false">INDEX(Datos_Origen!$I$2:$I$2459,$Z790)</f>
        <v>93.1</v>
      </c>
      <c r="Q790" s="64" t="n">
        <f aca="false">INDEX(Datos_Origen!$J$2:$J$2459,$Z790)</f>
        <v>47.98</v>
      </c>
      <c r="R790" s="65" t="n">
        <f aca="false">ROUND($O790*$P790,2)</f>
        <v>2793</v>
      </c>
      <c r="S790" s="65" t="n">
        <f aca="false">ROUND($O790*$Q790,2)</f>
        <v>1439.4</v>
      </c>
      <c r="T790" s="65" t="n">
        <f aca="false">ROUND($R790*SUMIFS(Parametros!$E$28:$E$43,Parametros!$B$28:$B$43,$J790,Parametros!$C$28:$C$43,$C790,Parametros!$D$28:$D$43,$D790),2)</f>
        <v>36.31</v>
      </c>
      <c r="U790" s="65" t="n">
        <f aca="false">$R790-$S790-$T790</f>
        <v>1317.29</v>
      </c>
      <c r="V790" s="66" t="n">
        <f aca="false">IFERROR($U790/$R790,0)</f>
        <v>0.471639813820265</v>
      </c>
      <c r="W790" s="67" t="str">
        <f aca="false">IF(AND($V790&gt;=Parametros!$C$8,$R790&gt;=Parametros!$C$12),"Alta rentabilidad",IF(OR($V790&lt;Parametros!$C$11,$R790&lt;Parametros!$C$13),"Revisar","Estandar"))</f>
        <v>Estandar</v>
      </c>
      <c r="X790" s="67" t="str">
        <f aca="false">IF(AND($J790="E-commerce",IFERROR($T790/$R790,0)&gt;Parametros!$C$14),"Alerta","OK")</f>
        <v>OK</v>
      </c>
      <c r="Y790" s="61" t="str">
        <f aca="false">IF($R790&gt;=Parametros!$C$12,"Alto",IF($R790&lt;Parametros!$C$13,"Bajo","Medio"))</f>
        <v>Medio</v>
      </c>
      <c r="Z790" s="61" t="n">
        <v>2176</v>
      </c>
      <c r="AA790" s="61" t="str">
        <f aca="false">IF(MATCH($A790,Datos_Origen!$A$2:$A$2459,0)=$Z790,"OK","REVISAR")</f>
        <v>OK</v>
      </c>
      <c r="AB790" s="61" t="str">
        <f aca="false">INDEX(Datos_Origen!$B$2:$B$2459,$Z790)</f>
        <v>16/08/2024</v>
      </c>
      <c r="AC790" s="61" t="str">
        <f aca="false">INDEX(Datos_Origen!$H$2:$H$2459,$Z790)</f>
        <v>30</v>
      </c>
      <c r="AD790" s="61" t="str">
        <f aca="false">INDEX(Datos_Origen!$D$2:$D$2459,$Z790)&amp;""</f>
        <v>Tucuman</v>
      </c>
    </row>
    <row r="791" customFormat="false" ht="15" hidden="false" customHeight="false" outlineLevel="0" collapsed="false">
      <c r="A791" s="61" t="n">
        <f aca="false">INDEX(Datos_Origen!$A$2:$A$2459,$Z791)</f>
        <v>790</v>
      </c>
      <c r="B791" s="62" t="n">
        <f aca="false">IF(ISNUMBER($AB791),$AB791,IF(MID($AB791,5,1)="-",DATE(VALUE(LEFT($AB791,4)),VALUE(MID($AB791,6,2)),VALUE(RIGHT($AB791,2))),DATE(VALUE(RIGHT($AB791,4)),VALUE(MID($AB791,4,2)),VALUE(LEFT($AB791,2)))))</f>
        <v>45527</v>
      </c>
      <c r="C791" s="61" t="n">
        <f aca="false">YEAR($B791)</f>
        <v>2024</v>
      </c>
      <c r="D791" s="61" t="str">
        <f aca="false">"Q"&amp;ROUNDUP(MONTH($B791)/3,0)</f>
        <v>Q3</v>
      </c>
      <c r="E791" s="61" t="n">
        <f aca="false">MONTH($B791)</f>
        <v>8</v>
      </c>
      <c r="F791" s="61" t="str">
        <f aca="false">INDEX(Parametros!$I$5:$I$16,$E791)</f>
        <v>Ago</v>
      </c>
      <c r="G791" s="61" t="str">
        <f aca="false">TEXT($C791,"0000")&amp;"-"&amp;TEXT($E791,"00")</f>
        <v>2024-08</v>
      </c>
      <c r="H791" s="61" t="str">
        <f aca="false">INDEX(Parametros!$C$71:$C$91,MATCH(TRIM(INDEX(Datos_Origen!$C$2:$C$2459,$Z791)),Parametros!$B$71:$B$91,0))</f>
        <v>NOA</v>
      </c>
      <c r="I791" s="61" t="str">
        <f aca="false">IF(TRIM($AD791)="",INDEX(Parametros!$I$20:$I$24,MATCH($H791,Parametros!$H$20:$H$24,0)),TRIM($AD791))</f>
        <v>Tucuman</v>
      </c>
      <c r="J791" s="61" t="str">
        <f aca="false">INDEX(Parametros!$C$95:$C$106,MATCH(TRIM(INDEX(Datos_Origen!$E$2:$E$2459,$Z791)),Parametros!$B$95:$B$106,0))</f>
        <v>E-commerce</v>
      </c>
      <c r="K791" s="61" t="str">
        <f aca="false">INDEX(Parametros!$C$48:$C$67,MATCH(TRIM(INDEX(Datos_Origen!$F$2:$F$2459,$Z791)),Parametros!$B$48:$B$67,0))</f>
        <v>Accesorios</v>
      </c>
      <c r="L791" s="61" t="str">
        <f aca="false">$K791&amp;" "&amp;$C791</f>
        <v>Accesorios 2024</v>
      </c>
      <c r="M791" s="61" t="str">
        <f aca="false">TRIM(INDEX(Datos_Origen!$G$2:$G$2459,$Z791))</f>
        <v>Teclado Mecanico</v>
      </c>
      <c r="N791" s="61" t="str">
        <f aca="false">$M791&amp;" "&amp;$C791</f>
        <v>Teclado Mecanico 2024</v>
      </c>
      <c r="O791" s="63" t="n">
        <f aca="false">IF(ISTEXT($AC791),VALUE($AC791),$AC791)</f>
        <v>12</v>
      </c>
      <c r="P791" s="64" t="n">
        <f aca="false">INDEX(Datos_Origen!$I$2:$I$2459,$Z791)</f>
        <v>93.1</v>
      </c>
      <c r="Q791" s="64" t="n">
        <f aca="false">INDEX(Datos_Origen!$J$2:$J$2459,$Z791)</f>
        <v>47.98</v>
      </c>
      <c r="R791" s="65" t="n">
        <f aca="false">ROUND($O791*$P791,2)</f>
        <v>1117.2</v>
      </c>
      <c r="S791" s="65" t="n">
        <f aca="false">ROUND($O791*$Q791,2)</f>
        <v>575.76</v>
      </c>
      <c r="T791" s="65" t="n">
        <f aca="false">ROUND($R791*SUMIFS(Parametros!$E$28:$E$43,Parametros!$B$28:$B$43,$J791,Parametros!$C$28:$C$43,$C791,Parametros!$D$28:$D$43,$D791),2)</f>
        <v>51.39</v>
      </c>
      <c r="U791" s="65" t="n">
        <f aca="false">$R791-$S791-$T791</f>
        <v>490.05</v>
      </c>
      <c r="V791" s="66" t="n">
        <f aca="false">IFERROR($U791/$R791,0)</f>
        <v>0.438641245972073</v>
      </c>
      <c r="W791" s="67" t="str">
        <f aca="false">IF(AND($V791&gt;=Parametros!$C$8,$R791&gt;=Parametros!$C$12),"Alta rentabilidad",IF(OR($V791&lt;Parametros!$C$11,$R791&lt;Parametros!$C$13),"Revisar","Estandar"))</f>
        <v>Estandar</v>
      </c>
      <c r="X791" s="67" t="str">
        <f aca="false">IF(AND($J791="E-commerce",IFERROR($T791/$R791,0)&gt;Parametros!$C$14),"Alerta","OK")</f>
        <v>OK</v>
      </c>
      <c r="Y791" s="61" t="str">
        <f aca="false">IF($R791&gt;=Parametros!$C$12,"Alto",IF($R791&lt;Parametros!$C$13,"Bajo","Medio"))</f>
        <v>Medio</v>
      </c>
      <c r="Z791" s="61" t="n">
        <v>840</v>
      </c>
      <c r="AA791" s="61" t="str">
        <f aca="false">IF(MATCH($A791,Datos_Origen!$A$2:$A$2459,0)=$Z791,"OK","REVISAR")</f>
        <v>OK</v>
      </c>
      <c r="AB791" s="61" t="str">
        <f aca="false">INDEX(Datos_Origen!$B$2:$B$2459,$Z791)</f>
        <v>23/08/2024</v>
      </c>
      <c r="AC791" s="61" t="n">
        <f aca="false">INDEX(Datos_Origen!$H$2:$H$2459,$Z791)</f>
        <v>12</v>
      </c>
      <c r="AD791" s="61" t="str">
        <f aca="false">INDEX(Datos_Origen!$D$2:$D$2459,$Z791)&amp;""</f>
        <v>Tucuman</v>
      </c>
    </row>
    <row r="792" customFormat="false" ht="15" hidden="false" customHeight="false" outlineLevel="0" collapsed="false">
      <c r="A792" s="61" t="n">
        <f aca="false">INDEX(Datos_Origen!$A$2:$A$2459,$Z792)</f>
        <v>791</v>
      </c>
      <c r="B792" s="62" t="n">
        <f aca="false">IF(ISNUMBER($AB792),$AB792,IF(MID($AB792,5,1)="-",DATE(VALUE(LEFT($AB792,4)),VALUE(MID($AB792,6,2)),VALUE(RIGHT($AB792,2))),DATE(VALUE(RIGHT($AB792,4)),VALUE(MID($AB792,4,2)),VALUE(LEFT($AB792,2)))))</f>
        <v>45507</v>
      </c>
      <c r="C792" s="61" t="n">
        <f aca="false">YEAR($B792)</f>
        <v>2024</v>
      </c>
      <c r="D792" s="61" t="str">
        <f aca="false">"Q"&amp;ROUNDUP(MONTH($B792)/3,0)</f>
        <v>Q3</v>
      </c>
      <c r="E792" s="61" t="n">
        <f aca="false">MONTH($B792)</f>
        <v>8</v>
      </c>
      <c r="F792" s="61" t="str">
        <f aca="false">INDEX(Parametros!$I$5:$I$16,$E792)</f>
        <v>Ago</v>
      </c>
      <c r="G792" s="61" t="str">
        <f aca="false">TEXT($C792,"0000")&amp;"-"&amp;TEXT($E792,"00")</f>
        <v>2024-08</v>
      </c>
      <c r="H792" s="61" t="str">
        <f aca="false">INDEX(Parametros!$C$71:$C$91,MATCH(TRIM(INDEX(Datos_Origen!$C$2:$C$2459,$Z792)),Parametros!$B$71:$B$91,0))</f>
        <v>NOA</v>
      </c>
      <c r="I792" s="61" t="str">
        <f aca="false">IF(TRIM($AD792)="",INDEX(Parametros!$I$20:$I$24,MATCH($H792,Parametros!$H$20:$H$24,0)),TRIM($AD792))</f>
        <v>Tucuman</v>
      </c>
      <c r="J792" s="61" t="str">
        <f aca="false">INDEX(Parametros!$C$95:$C$106,MATCH(TRIM(INDEX(Datos_Origen!$E$2:$E$2459,$Z792)),Parametros!$B$95:$B$106,0))</f>
        <v>Tienda fisica</v>
      </c>
      <c r="K792" s="61" t="str">
        <f aca="false">INDEX(Parametros!$C$48:$C$67,MATCH(TRIM(INDEX(Datos_Origen!$F$2:$F$2459,$Z792)),Parametros!$B$48:$B$67,0))</f>
        <v>Accesorios</v>
      </c>
      <c r="L792" s="61" t="str">
        <f aca="false">$K792&amp;" "&amp;$C792</f>
        <v>Accesorios 2024</v>
      </c>
      <c r="M792" s="61" t="str">
        <f aca="false">TRIM(INDEX(Datos_Origen!$G$2:$G$2459,$Z792))</f>
        <v>Webcam Full HD</v>
      </c>
      <c r="N792" s="61" t="str">
        <f aca="false">$M792&amp;" "&amp;$C792</f>
        <v>Webcam Full HD 2024</v>
      </c>
      <c r="O792" s="63" t="n">
        <f aca="false">IF(ISTEXT($AC792),VALUE($AC792),$AC792)</f>
        <v>30</v>
      </c>
      <c r="P792" s="64" t="n">
        <f aca="false">INDEX(Datos_Origen!$I$2:$I$2459,$Z792)</f>
        <v>63.7</v>
      </c>
      <c r="Q792" s="64" t="n">
        <f aca="false">INDEX(Datos_Origen!$J$2:$J$2459,$Z792)</f>
        <v>35.43</v>
      </c>
      <c r="R792" s="65" t="n">
        <f aca="false">ROUND($O792*$P792,2)</f>
        <v>1911</v>
      </c>
      <c r="S792" s="65" t="n">
        <f aca="false">ROUND($O792*$Q792,2)</f>
        <v>1062.9</v>
      </c>
      <c r="T792" s="65" t="n">
        <f aca="false">ROUND($R792*SUMIFS(Parametros!$E$28:$E$43,Parametros!$B$28:$B$43,$J792,Parametros!$C$28:$C$43,$C792,Parametros!$D$28:$D$43,$D792),2)</f>
        <v>24.84</v>
      </c>
      <c r="U792" s="65" t="n">
        <f aca="false">$R792-$S792-$T792</f>
        <v>823.26</v>
      </c>
      <c r="V792" s="66" t="n">
        <f aca="false">IFERROR($U792/$R792,0)</f>
        <v>0.430800627943485</v>
      </c>
      <c r="W792" s="67" t="str">
        <f aca="false">IF(AND($V792&gt;=Parametros!$C$8,$R792&gt;=Parametros!$C$12),"Alta rentabilidad",IF(OR($V792&lt;Parametros!$C$11,$R792&lt;Parametros!$C$13),"Revisar","Estandar"))</f>
        <v>Estandar</v>
      </c>
      <c r="X792" s="67" t="str">
        <f aca="false">IF(AND($J792="E-commerce",IFERROR($T792/$R792,0)&gt;Parametros!$C$14),"Alerta","OK")</f>
        <v>OK</v>
      </c>
      <c r="Y792" s="61" t="str">
        <f aca="false">IF($R792&gt;=Parametros!$C$12,"Alto",IF($R792&lt;Parametros!$C$13,"Bajo","Medio"))</f>
        <v>Medio</v>
      </c>
      <c r="Z792" s="61" t="n">
        <v>1470</v>
      </c>
      <c r="AA792" s="61" t="str">
        <f aca="false">IF(MATCH($A792,Datos_Origen!$A$2:$A$2459,0)=$Z792,"OK","REVISAR")</f>
        <v>OK</v>
      </c>
      <c r="AB792" s="62" t="n">
        <f aca="false">INDEX(Datos_Origen!$B$2:$B$2459,$Z792)</f>
        <v>45507</v>
      </c>
      <c r="AC792" s="61" t="n">
        <f aca="false">INDEX(Datos_Origen!$H$2:$H$2459,$Z792)</f>
        <v>30</v>
      </c>
      <c r="AD792" s="61" t="str">
        <f aca="false">INDEX(Datos_Origen!$D$2:$D$2459,$Z792)&amp;""</f>
        <v>Tucuman</v>
      </c>
    </row>
    <row r="793" customFormat="false" ht="15" hidden="false" customHeight="false" outlineLevel="0" collapsed="false">
      <c r="A793" s="61" t="n">
        <f aca="false">INDEX(Datos_Origen!$A$2:$A$2459,$Z793)</f>
        <v>792</v>
      </c>
      <c r="B793" s="62" t="n">
        <f aca="false">IF(ISNUMBER($AB793),$AB793,IF(MID($AB793,5,1)="-",DATE(VALUE(LEFT($AB793,4)),VALUE(MID($AB793,6,2)),VALUE(RIGHT($AB793,2))),DATE(VALUE(RIGHT($AB793,4)),VALUE(MID($AB793,4,2)),VALUE(LEFT($AB793,2)))))</f>
        <v>45514</v>
      </c>
      <c r="C793" s="61" t="n">
        <f aca="false">YEAR($B793)</f>
        <v>2024</v>
      </c>
      <c r="D793" s="61" t="str">
        <f aca="false">"Q"&amp;ROUNDUP(MONTH($B793)/3,0)</f>
        <v>Q3</v>
      </c>
      <c r="E793" s="61" t="n">
        <f aca="false">MONTH($B793)</f>
        <v>8</v>
      </c>
      <c r="F793" s="61" t="str">
        <f aca="false">INDEX(Parametros!$I$5:$I$16,$E793)</f>
        <v>Ago</v>
      </c>
      <c r="G793" s="61" t="str">
        <f aca="false">TEXT($C793,"0000")&amp;"-"&amp;TEXT($E793,"00")</f>
        <v>2024-08</v>
      </c>
      <c r="H793" s="61" t="str">
        <f aca="false">INDEX(Parametros!$C$71:$C$91,MATCH(TRIM(INDEX(Datos_Origen!$C$2:$C$2459,$Z793)),Parametros!$B$71:$B$91,0))</f>
        <v>NOA</v>
      </c>
      <c r="I793" s="61" t="str">
        <f aca="false">IF(TRIM($AD793)="",INDEX(Parametros!$I$20:$I$24,MATCH($H793,Parametros!$H$20:$H$24,0)),TRIM($AD793))</f>
        <v>Tucuman</v>
      </c>
      <c r="J793" s="61" t="str">
        <f aca="false">INDEX(Parametros!$C$95:$C$106,MATCH(TRIM(INDEX(Datos_Origen!$E$2:$E$2459,$Z793)),Parametros!$B$95:$B$106,0))</f>
        <v>E-commerce</v>
      </c>
      <c r="K793" s="61" t="str">
        <f aca="false">INDEX(Parametros!$C$48:$C$67,MATCH(TRIM(INDEX(Datos_Origen!$F$2:$F$2459,$Z793)),Parametros!$B$48:$B$67,0))</f>
        <v>Accesorios</v>
      </c>
      <c r="L793" s="61" t="str">
        <f aca="false">$K793&amp;" "&amp;$C793</f>
        <v>Accesorios 2024</v>
      </c>
      <c r="M793" s="61" t="str">
        <f aca="false">TRIM(INDEX(Datos_Origen!$G$2:$G$2459,$Z793))</f>
        <v>Webcam Full HD</v>
      </c>
      <c r="N793" s="61" t="str">
        <f aca="false">$M793&amp;" "&amp;$C793</f>
        <v>Webcam Full HD 2024</v>
      </c>
      <c r="O793" s="63" t="n">
        <f aca="false">IF(ISTEXT($AC793),VALUE($AC793),$AC793)</f>
        <v>13</v>
      </c>
      <c r="P793" s="64" t="n">
        <f aca="false">INDEX(Datos_Origen!$I$2:$I$2459,$Z793)</f>
        <v>63.7</v>
      </c>
      <c r="Q793" s="64" t="n">
        <f aca="false">INDEX(Datos_Origen!$J$2:$J$2459,$Z793)</f>
        <v>35.43</v>
      </c>
      <c r="R793" s="65" t="n">
        <f aca="false">ROUND($O793*$P793,2)</f>
        <v>828.1</v>
      </c>
      <c r="S793" s="65" t="n">
        <f aca="false">ROUND($O793*$Q793,2)</f>
        <v>460.59</v>
      </c>
      <c r="T793" s="65" t="n">
        <f aca="false">ROUND($R793*SUMIFS(Parametros!$E$28:$E$43,Parametros!$B$28:$B$43,$J793,Parametros!$C$28:$C$43,$C793,Parametros!$D$28:$D$43,$D793),2)</f>
        <v>38.09</v>
      </c>
      <c r="U793" s="65" t="n">
        <f aca="false">$R793-$S793-$T793</f>
        <v>329.42</v>
      </c>
      <c r="V793" s="66" t="n">
        <f aca="false">IFERROR($U793/$R793,0)</f>
        <v>0.397802197802198</v>
      </c>
      <c r="W793" s="67" t="str">
        <f aca="false">IF(AND($V793&gt;=Parametros!$C$8,$R793&gt;=Parametros!$C$12),"Alta rentabilidad",IF(OR($V793&lt;Parametros!$C$11,$R793&lt;Parametros!$C$13),"Revisar","Estandar"))</f>
        <v>Estandar</v>
      </c>
      <c r="X793" s="67" t="str">
        <f aca="false">IF(AND($J793="E-commerce",IFERROR($T793/$R793,0)&gt;Parametros!$C$14),"Alerta","OK")</f>
        <v>OK</v>
      </c>
      <c r="Y793" s="61" t="str">
        <f aca="false">IF($R793&gt;=Parametros!$C$12,"Alto",IF($R793&lt;Parametros!$C$13,"Bajo","Medio"))</f>
        <v>Medio</v>
      </c>
      <c r="Z793" s="61" t="n">
        <v>595</v>
      </c>
      <c r="AA793" s="61" t="str">
        <f aca="false">IF(MATCH($A793,Datos_Origen!$A$2:$A$2459,0)=$Z793,"OK","REVISAR")</f>
        <v>OK</v>
      </c>
      <c r="AB793" s="61" t="str">
        <f aca="false">INDEX(Datos_Origen!$B$2:$B$2459,$Z793)</f>
        <v>10/08/2024</v>
      </c>
      <c r="AC793" s="61" t="n">
        <f aca="false">INDEX(Datos_Origen!$H$2:$H$2459,$Z793)</f>
        <v>13</v>
      </c>
      <c r="AD793" s="61" t="str">
        <f aca="false">INDEX(Datos_Origen!$D$2:$D$2459,$Z793)&amp;""</f>
        <v>Tucuman</v>
      </c>
    </row>
    <row r="794" customFormat="false" ht="15" hidden="false" customHeight="false" outlineLevel="0" collapsed="false">
      <c r="A794" s="61" t="n">
        <f aca="false">INDEX(Datos_Origen!$A$2:$A$2459,$Z794)</f>
        <v>793</v>
      </c>
      <c r="B794" s="62" t="n">
        <f aca="false">IF(ISNUMBER($AB794),$AB794,IF(MID($AB794,5,1)="-",DATE(VALUE(LEFT($AB794,4)),VALUE(MID($AB794,6,2)),VALUE(RIGHT($AB794,2))),DATE(VALUE(RIGHT($AB794,4)),VALUE(MID($AB794,4,2)),VALUE(LEFT($AB794,2)))))</f>
        <v>45521</v>
      </c>
      <c r="C794" s="61" t="n">
        <f aca="false">YEAR($B794)</f>
        <v>2024</v>
      </c>
      <c r="D794" s="61" t="str">
        <f aca="false">"Q"&amp;ROUNDUP(MONTH($B794)/3,0)</f>
        <v>Q3</v>
      </c>
      <c r="E794" s="61" t="n">
        <f aca="false">MONTH($B794)</f>
        <v>8</v>
      </c>
      <c r="F794" s="61" t="str">
        <f aca="false">INDEX(Parametros!$I$5:$I$16,$E794)</f>
        <v>Ago</v>
      </c>
      <c r="G794" s="61" t="str">
        <f aca="false">TEXT($C794,"0000")&amp;"-"&amp;TEXT($E794,"00")</f>
        <v>2024-08</v>
      </c>
      <c r="H794" s="61" t="str">
        <f aca="false">INDEX(Parametros!$C$71:$C$91,MATCH(TRIM(INDEX(Datos_Origen!$C$2:$C$2459,$Z794)),Parametros!$B$71:$B$91,0))</f>
        <v>NOA</v>
      </c>
      <c r="I794" s="61" t="str">
        <f aca="false">IF(TRIM($AD794)="",INDEX(Parametros!$I$20:$I$24,MATCH($H794,Parametros!$H$20:$H$24,0)),TRIM($AD794))</f>
        <v>Tucuman</v>
      </c>
      <c r="J794" s="61" t="str">
        <f aca="false">INDEX(Parametros!$C$95:$C$106,MATCH(TRIM(INDEX(Datos_Origen!$E$2:$E$2459,$Z794)),Parametros!$B$95:$B$106,0))</f>
        <v>Tienda fisica</v>
      </c>
      <c r="K794" s="61" t="str">
        <f aca="false">INDEX(Parametros!$C$48:$C$67,MATCH(TRIM(INDEX(Datos_Origen!$F$2:$F$2459,$Z794)),Parametros!$B$48:$B$67,0))</f>
        <v>Audio</v>
      </c>
      <c r="L794" s="61" t="str">
        <f aca="false">$K794&amp;" "&amp;$C794</f>
        <v>Audio 2024</v>
      </c>
      <c r="M794" s="61" t="str">
        <f aca="false">TRIM(INDEX(Datos_Origen!$G$2:$G$2459,$Z794))</f>
        <v>Auriculares BT Pro</v>
      </c>
      <c r="N794" s="61" t="str">
        <f aca="false">$M794&amp;" "&amp;$C794</f>
        <v>Auriculares BT Pro 2024</v>
      </c>
      <c r="O794" s="63" t="n">
        <f aca="false">IF(ISTEXT($AC794),VALUE($AC794),$AC794)</f>
        <v>14</v>
      </c>
      <c r="P794" s="64" t="n">
        <f aca="false">INDEX(Datos_Origen!$I$2:$I$2459,$Z794)</f>
        <v>117.6</v>
      </c>
      <c r="Q794" s="64" t="n">
        <f aca="false">INDEX(Datos_Origen!$J$2:$J$2459,$Z794)</f>
        <v>63.6</v>
      </c>
      <c r="R794" s="65" t="n">
        <f aca="false">ROUND($O794*$P794,2)</f>
        <v>1646.4</v>
      </c>
      <c r="S794" s="65" t="n">
        <f aca="false">ROUND($O794*$Q794,2)</f>
        <v>890.4</v>
      </c>
      <c r="T794" s="65" t="n">
        <f aca="false">ROUND($R794*SUMIFS(Parametros!$E$28:$E$43,Parametros!$B$28:$B$43,$J794,Parametros!$C$28:$C$43,$C794,Parametros!$D$28:$D$43,$D794),2)</f>
        <v>21.4</v>
      </c>
      <c r="U794" s="65" t="n">
        <f aca="false">$R794-$S794-$T794</f>
        <v>734.6</v>
      </c>
      <c r="V794" s="66" t="n">
        <f aca="false">IFERROR($U794/$R794,0)</f>
        <v>0.446185617103985</v>
      </c>
      <c r="W794" s="67" t="str">
        <f aca="false">IF(AND($V794&gt;=Parametros!$C$8,$R794&gt;=Parametros!$C$12),"Alta rentabilidad",IF(OR($V794&lt;Parametros!$C$11,$R794&lt;Parametros!$C$13),"Revisar","Estandar"))</f>
        <v>Estandar</v>
      </c>
      <c r="X794" s="67" t="str">
        <f aca="false">IF(AND($J794="E-commerce",IFERROR($T794/$R794,0)&gt;Parametros!$C$14),"Alerta","OK")</f>
        <v>OK</v>
      </c>
      <c r="Y794" s="61" t="str">
        <f aca="false">IF($R794&gt;=Parametros!$C$12,"Alto",IF($R794&lt;Parametros!$C$13,"Bajo","Medio"))</f>
        <v>Medio</v>
      </c>
      <c r="Z794" s="61" t="n">
        <v>1260</v>
      </c>
      <c r="AA794" s="61" t="str">
        <f aca="false">IF(MATCH($A794,Datos_Origen!$A$2:$A$2459,0)=$Z794,"OK","REVISAR")</f>
        <v>OK</v>
      </c>
      <c r="AB794" s="61" t="str">
        <f aca="false">INDEX(Datos_Origen!$B$2:$B$2459,$Z794)</f>
        <v>2024-08-17</v>
      </c>
      <c r="AC794" s="61" t="n">
        <f aca="false">INDEX(Datos_Origen!$H$2:$H$2459,$Z794)</f>
        <v>14</v>
      </c>
      <c r="AD794" s="61" t="str">
        <f aca="false">INDEX(Datos_Origen!$D$2:$D$2459,$Z794)&amp;""</f>
        <v>Tucuman</v>
      </c>
    </row>
    <row r="795" customFormat="false" ht="15" hidden="false" customHeight="false" outlineLevel="0" collapsed="false">
      <c r="A795" s="61" t="n">
        <f aca="false">INDEX(Datos_Origen!$A$2:$A$2459,$Z795)</f>
        <v>794</v>
      </c>
      <c r="B795" s="62" t="n">
        <f aca="false">IF(ISNUMBER($AB795),$AB795,IF(MID($AB795,5,1)="-",DATE(VALUE(LEFT($AB795,4)),VALUE(MID($AB795,6,2)),VALUE(RIGHT($AB795,2))),DATE(VALUE(RIGHT($AB795,4)),VALUE(MID($AB795,4,2)),VALUE(LEFT($AB795,2)))))</f>
        <v>45528</v>
      </c>
      <c r="C795" s="61" t="n">
        <f aca="false">YEAR($B795)</f>
        <v>2024</v>
      </c>
      <c r="D795" s="61" t="str">
        <f aca="false">"Q"&amp;ROUNDUP(MONTH($B795)/3,0)</f>
        <v>Q3</v>
      </c>
      <c r="E795" s="61" t="n">
        <f aca="false">MONTH($B795)</f>
        <v>8</v>
      </c>
      <c r="F795" s="61" t="str">
        <f aca="false">INDEX(Parametros!$I$5:$I$16,$E795)</f>
        <v>Ago</v>
      </c>
      <c r="G795" s="61" t="str">
        <f aca="false">TEXT($C795,"0000")&amp;"-"&amp;TEXT($E795,"00")</f>
        <v>2024-08</v>
      </c>
      <c r="H795" s="61" t="str">
        <f aca="false">INDEX(Parametros!$C$71:$C$91,MATCH(TRIM(INDEX(Datos_Origen!$C$2:$C$2459,$Z795)),Parametros!$B$71:$B$91,0))</f>
        <v>NOA</v>
      </c>
      <c r="I795" s="61" t="str">
        <f aca="false">IF(TRIM($AD795)="",INDEX(Parametros!$I$20:$I$24,MATCH($H795,Parametros!$H$20:$H$24,0)),TRIM($AD795))</f>
        <v>Tucuman</v>
      </c>
      <c r="J795" s="61" t="str">
        <f aca="false">INDEX(Parametros!$C$95:$C$106,MATCH(TRIM(INDEX(Datos_Origen!$E$2:$E$2459,$Z795)),Parametros!$B$95:$B$106,0))</f>
        <v>E-commerce</v>
      </c>
      <c r="K795" s="61" t="str">
        <f aca="false">INDEX(Parametros!$C$48:$C$67,MATCH(TRIM(INDEX(Datos_Origen!$F$2:$F$2459,$Z795)),Parametros!$B$48:$B$67,0))</f>
        <v>Audio</v>
      </c>
      <c r="L795" s="61" t="str">
        <f aca="false">$K795&amp;" "&amp;$C795</f>
        <v>Audio 2024</v>
      </c>
      <c r="M795" s="61" t="str">
        <f aca="false">TRIM(INDEX(Datos_Origen!$G$2:$G$2459,$Z795))</f>
        <v>Auriculares BT Pro</v>
      </c>
      <c r="N795" s="61" t="str">
        <f aca="false">$M795&amp;" "&amp;$C795</f>
        <v>Auriculares BT Pro 2024</v>
      </c>
      <c r="O795" s="63" t="n">
        <f aca="false">IF(ISTEXT($AC795),VALUE($AC795),$AC795)</f>
        <v>6</v>
      </c>
      <c r="P795" s="64" t="n">
        <f aca="false">INDEX(Datos_Origen!$I$2:$I$2459,$Z795)</f>
        <v>117.6</v>
      </c>
      <c r="Q795" s="64" t="n">
        <f aca="false">INDEX(Datos_Origen!$J$2:$J$2459,$Z795)</f>
        <v>63.6</v>
      </c>
      <c r="R795" s="65" t="n">
        <f aca="false">ROUND($O795*$P795,2)</f>
        <v>705.6</v>
      </c>
      <c r="S795" s="65" t="n">
        <f aca="false">ROUND($O795*$Q795,2)</f>
        <v>381.6</v>
      </c>
      <c r="T795" s="65" t="n">
        <f aca="false">ROUND($R795*SUMIFS(Parametros!$E$28:$E$43,Parametros!$B$28:$B$43,$J795,Parametros!$C$28:$C$43,$C795,Parametros!$D$28:$D$43,$D795),2)</f>
        <v>32.46</v>
      </c>
      <c r="U795" s="65" t="n">
        <f aca="false">$R795-$S795-$T795</f>
        <v>291.54</v>
      </c>
      <c r="V795" s="66" t="n">
        <f aca="false">IFERROR($U795/$R795,0)</f>
        <v>0.413180272108844</v>
      </c>
      <c r="W795" s="67" t="str">
        <f aca="false">IF(AND($V795&gt;=Parametros!$C$8,$R795&gt;=Parametros!$C$12),"Alta rentabilidad",IF(OR($V795&lt;Parametros!$C$11,$R795&lt;Parametros!$C$13),"Revisar","Estandar"))</f>
        <v>Estandar</v>
      </c>
      <c r="X795" s="67" t="str">
        <f aca="false">IF(AND($J795="E-commerce",IFERROR($T795/$R795,0)&gt;Parametros!$C$14),"Alerta","OK")</f>
        <v>OK</v>
      </c>
      <c r="Y795" s="61" t="str">
        <f aca="false">IF($R795&gt;=Parametros!$C$12,"Alto",IF($R795&lt;Parametros!$C$13,"Bajo","Medio"))</f>
        <v>Medio</v>
      </c>
      <c r="Z795" s="61" t="n">
        <v>1420</v>
      </c>
      <c r="AA795" s="61" t="str">
        <f aca="false">IF(MATCH($A795,Datos_Origen!$A$2:$A$2459,0)=$Z795,"OK","REVISAR")</f>
        <v>OK</v>
      </c>
      <c r="AB795" s="62" t="n">
        <f aca="false">INDEX(Datos_Origen!$B$2:$B$2459,$Z795)</f>
        <v>45528</v>
      </c>
      <c r="AC795" s="61" t="n">
        <f aca="false">INDEX(Datos_Origen!$H$2:$H$2459,$Z795)</f>
        <v>6</v>
      </c>
      <c r="AD795" s="61" t="str">
        <f aca="false">INDEX(Datos_Origen!$D$2:$D$2459,$Z795)&amp;""</f>
        <v>Tucuman</v>
      </c>
    </row>
    <row r="796" customFormat="false" ht="15" hidden="false" customHeight="false" outlineLevel="0" collapsed="false">
      <c r="A796" s="61" t="n">
        <f aca="false">INDEX(Datos_Origen!$A$2:$A$2459,$Z796)</f>
        <v>795</v>
      </c>
      <c r="B796" s="62" t="n">
        <f aca="false">IF(ISNUMBER($AB796),$AB796,IF(MID($AB796,5,1)="-",DATE(VALUE(LEFT($AB796,4)),VALUE(MID($AB796,6,2)),VALUE(RIGHT($AB796,2))),DATE(VALUE(RIGHT($AB796,4)),VALUE(MID($AB796,4,2)),VALUE(LEFT($AB796,2)))))</f>
        <v>45508</v>
      </c>
      <c r="C796" s="61" t="n">
        <f aca="false">YEAR($B796)</f>
        <v>2024</v>
      </c>
      <c r="D796" s="61" t="str">
        <f aca="false">"Q"&amp;ROUNDUP(MONTH($B796)/3,0)</f>
        <v>Q3</v>
      </c>
      <c r="E796" s="61" t="n">
        <f aca="false">MONTH($B796)</f>
        <v>8</v>
      </c>
      <c r="F796" s="61" t="str">
        <f aca="false">INDEX(Parametros!$I$5:$I$16,$E796)</f>
        <v>Ago</v>
      </c>
      <c r="G796" s="61" t="str">
        <f aca="false">TEXT($C796,"0000")&amp;"-"&amp;TEXT($E796,"00")</f>
        <v>2024-08</v>
      </c>
      <c r="H796" s="61" t="str">
        <f aca="false">INDEX(Parametros!$C$71:$C$91,MATCH(TRIM(INDEX(Datos_Origen!$C$2:$C$2459,$Z796)),Parametros!$B$71:$B$91,0))</f>
        <v>NOA</v>
      </c>
      <c r="I796" s="61" t="str">
        <f aca="false">IF(TRIM($AD796)="",INDEX(Parametros!$I$20:$I$24,MATCH($H796,Parametros!$H$20:$H$24,0)),TRIM($AD796))</f>
        <v>Tucuman</v>
      </c>
      <c r="J796" s="61" t="str">
        <f aca="false">INDEX(Parametros!$C$95:$C$106,MATCH(TRIM(INDEX(Datos_Origen!$E$2:$E$2459,$Z796)),Parametros!$B$95:$B$106,0))</f>
        <v>Tienda fisica</v>
      </c>
      <c r="K796" s="61" t="str">
        <f aca="false">INDEX(Parametros!$C$48:$C$67,MATCH(TRIM(INDEX(Datos_Origen!$F$2:$F$2459,$Z796)),Parametros!$B$48:$B$67,0))</f>
        <v>Audio</v>
      </c>
      <c r="L796" s="61" t="str">
        <f aca="false">$K796&amp;" "&amp;$C796</f>
        <v>Audio 2024</v>
      </c>
      <c r="M796" s="61" t="str">
        <f aca="false">TRIM(INDEX(Datos_Origen!$G$2:$G$2459,$Z796))</f>
        <v>Parlante Bluetooth</v>
      </c>
      <c r="N796" s="61" t="str">
        <f aca="false">$M796&amp;" "&amp;$C796</f>
        <v>Parlante Bluetooth 2024</v>
      </c>
      <c r="O796" s="63" t="n">
        <f aca="false">IF(ISTEXT($AC796),VALUE($AC796),$AC796)</f>
        <v>13</v>
      </c>
      <c r="P796" s="64" t="n">
        <f aca="false">INDEX(Datos_Origen!$I$2:$I$2459,$Z796)</f>
        <v>83.3</v>
      </c>
      <c r="Q796" s="64" t="n">
        <f aca="false">INDEX(Datos_Origen!$J$2:$J$2459,$Z796)</f>
        <v>48.03</v>
      </c>
      <c r="R796" s="65" t="n">
        <f aca="false">ROUND($O796*$P796,2)</f>
        <v>1082.9</v>
      </c>
      <c r="S796" s="65" t="n">
        <f aca="false">ROUND($O796*$Q796,2)</f>
        <v>624.39</v>
      </c>
      <c r="T796" s="65" t="n">
        <f aca="false">ROUND($R796*SUMIFS(Parametros!$E$28:$E$43,Parametros!$B$28:$B$43,$J796,Parametros!$C$28:$C$43,$C796,Parametros!$D$28:$D$43,$D796),2)</f>
        <v>14.08</v>
      </c>
      <c r="U796" s="65" t="n">
        <f aca="false">$R796-$S796-$T796</f>
        <v>444.43</v>
      </c>
      <c r="V796" s="66" t="n">
        <f aca="false">IFERROR($U796/$R796,0)</f>
        <v>0.410407239819005</v>
      </c>
      <c r="W796" s="67" t="str">
        <f aca="false">IF(AND($V796&gt;=Parametros!$C$8,$R796&gt;=Parametros!$C$12),"Alta rentabilidad",IF(OR($V796&lt;Parametros!$C$11,$R796&lt;Parametros!$C$13),"Revisar","Estandar"))</f>
        <v>Estandar</v>
      </c>
      <c r="X796" s="67" t="str">
        <f aca="false">IF(AND($J796="E-commerce",IFERROR($T796/$R796,0)&gt;Parametros!$C$14),"Alerta","OK")</f>
        <v>OK</v>
      </c>
      <c r="Y796" s="61" t="str">
        <f aca="false">IF($R796&gt;=Parametros!$C$12,"Alto",IF($R796&lt;Parametros!$C$13,"Bajo","Medio"))</f>
        <v>Medio</v>
      </c>
      <c r="Z796" s="61" t="n">
        <v>596</v>
      </c>
      <c r="AA796" s="61" t="str">
        <f aca="false">IF(MATCH($A796,Datos_Origen!$A$2:$A$2459,0)=$Z796,"OK","REVISAR")</f>
        <v>OK</v>
      </c>
      <c r="AB796" s="62" t="n">
        <f aca="false">INDEX(Datos_Origen!$B$2:$B$2459,$Z796)</f>
        <v>45508</v>
      </c>
      <c r="AC796" s="61" t="str">
        <f aca="false">INDEX(Datos_Origen!$H$2:$H$2459,$Z796)</f>
        <v>13</v>
      </c>
      <c r="AD796" s="61" t="str">
        <f aca="false">INDEX(Datos_Origen!$D$2:$D$2459,$Z796)&amp;""</f>
        <v>Tucuman</v>
      </c>
    </row>
    <row r="797" customFormat="false" ht="15" hidden="false" customHeight="false" outlineLevel="0" collapsed="false">
      <c r="A797" s="61" t="n">
        <f aca="false">INDEX(Datos_Origen!$A$2:$A$2459,$Z797)</f>
        <v>796</v>
      </c>
      <c r="B797" s="62" t="n">
        <f aca="false">IF(ISNUMBER($AB797),$AB797,IF(MID($AB797,5,1)="-",DATE(VALUE(LEFT($AB797,4)),VALUE(MID($AB797,6,2)),VALUE(RIGHT($AB797,2))),DATE(VALUE(RIGHT($AB797,4)),VALUE(MID($AB797,4,2)),VALUE(LEFT($AB797,2)))))</f>
        <v>45515</v>
      </c>
      <c r="C797" s="61" t="n">
        <f aca="false">YEAR($B797)</f>
        <v>2024</v>
      </c>
      <c r="D797" s="61" t="str">
        <f aca="false">"Q"&amp;ROUNDUP(MONTH($B797)/3,0)</f>
        <v>Q3</v>
      </c>
      <c r="E797" s="61" t="n">
        <f aca="false">MONTH($B797)</f>
        <v>8</v>
      </c>
      <c r="F797" s="61" t="str">
        <f aca="false">INDEX(Parametros!$I$5:$I$16,$E797)</f>
        <v>Ago</v>
      </c>
      <c r="G797" s="61" t="str">
        <f aca="false">TEXT($C797,"0000")&amp;"-"&amp;TEXT($E797,"00")</f>
        <v>2024-08</v>
      </c>
      <c r="H797" s="61" t="str">
        <f aca="false">INDEX(Parametros!$C$71:$C$91,MATCH(TRIM(INDEX(Datos_Origen!$C$2:$C$2459,$Z797)),Parametros!$B$71:$B$91,0))</f>
        <v>NOA</v>
      </c>
      <c r="I797" s="61" t="str">
        <f aca="false">IF(TRIM($AD797)="",INDEX(Parametros!$I$20:$I$24,MATCH($H797,Parametros!$H$20:$H$24,0)),TRIM($AD797))</f>
        <v>Tucuman</v>
      </c>
      <c r="J797" s="61" t="str">
        <f aca="false">INDEX(Parametros!$C$95:$C$106,MATCH(TRIM(INDEX(Datos_Origen!$E$2:$E$2459,$Z797)),Parametros!$B$95:$B$106,0))</f>
        <v>E-commerce</v>
      </c>
      <c r="K797" s="61" t="str">
        <f aca="false">INDEX(Parametros!$C$48:$C$67,MATCH(TRIM(INDEX(Datos_Origen!$F$2:$F$2459,$Z797)),Parametros!$B$48:$B$67,0))</f>
        <v>Audio</v>
      </c>
      <c r="L797" s="61" t="str">
        <f aca="false">$K797&amp;" "&amp;$C797</f>
        <v>Audio 2024</v>
      </c>
      <c r="M797" s="61" t="str">
        <f aca="false">TRIM(INDEX(Datos_Origen!$G$2:$G$2459,$Z797))</f>
        <v>Parlante Bluetooth</v>
      </c>
      <c r="N797" s="61" t="str">
        <f aca="false">$M797&amp;" "&amp;$C797</f>
        <v>Parlante Bluetooth 2024</v>
      </c>
      <c r="O797" s="63" t="n">
        <f aca="false">IF(ISTEXT($AC797),VALUE($AC797),$AC797)</f>
        <v>5</v>
      </c>
      <c r="P797" s="64" t="n">
        <f aca="false">INDEX(Datos_Origen!$I$2:$I$2459,$Z797)</f>
        <v>83.3</v>
      </c>
      <c r="Q797" s="64" t="n">
        <f aca="false">INDEX(Datos_Origen!$J$2:$J$2459,$Z797)</f>
        <v>48.03</v>
      </c>
      <c r="R797" s="65" t="n">
        <f aca="false">ROUND($O797*$P797,2)</f>
        <v>416.5</v>
      </c>
      <c r="S797" s="65" t="n">
        <f aca="false">ROUND($O797*$Q797,2)</f>
        <v>240.15</v>
      </c>
      <c r="T797" s="65" t="n">
        <f aca="false">ROUND($R797*SUMIFS(Parametros!$E$28:$E$43,Parametros!$B$28:$B$43,$J797,Parametros!$C$28:$C$43,$C797,Parametros!$D$28:$D$43,$D797),2)</f>
        <v>19.16</v>
      </c>
      <c r="U797" s="65" t="n">
        <f aca="false">$R797-$S797-$T797</f>
        <v>157.19</v>
      </c>
      <c r="V797" s="66" t="n">
        <f aca="false">IFERROR($U797/$R797,0)</f>
        <v>0.377406962785114</v>
      </c>
      <c r="W797" s="67" t="str">
        <f aca="false">IF(AND($V797&gt;=Parametros!$C$8,$R797&gt;=Parametros!$C$12),"Alta rentabilidad",IF(OR($V797&lt;Parametros!$C$11,$R797&lt;Parametros!$C$13),"Revisar","Estandar"))</f>
        <v>Estandar</v>
      </c>
      <c r="X797" s="67" t="str">
        <f aca="false">IF(AND($J797="E-commerce",IFERROR($T797/$R797,0)&gt;Parametros!$C$14),"Alerta","OK")</f>
        <v>OK</v>
      </c>
      <c r="Y797" s="61" t="str">
        <f aca="false">IF($R797&gt;=Parametros!$C$12,"Alto",IF($R797&lt;Parametros!$C$13,"Bajo","Medio"))</f>
        <v>Medio</v>
      </c>
      <c r="Z797" s="61" t="n">
        <v>2394</v>
      </c>
      <c r="AA797" s="61" t="str">
        <f aca="false">IF(MATCH($A797,Datos_Origen!$A$2:$A$2459,0)=$Z797,"OK","REVISAR")</f>
        <v>OK</v>
      </c>
      <c r="AB797" s="61" t="str">
        <f aca="false">INDEX(Datos_Origen!$B$2:$B$2459,$Z797)</f>
        <v>2024-08-11</v>
      </c>
      <c r="AC797" s="61" t="n">
        <f aca="false">INDEX(Datos_Origen!$H$2:$H$2459,$Z797)</f>
        <v>5</v>
      </c>
      <c r="AD797" s="61" t="str">
        <f aca="false">INDEX(Datos_Origen!$D$2:$D$2459,$Z797)&amp;""</f>
        <v>Tucuman</v>
      </c>
    </row>
    <row r="798" customFormat="false" ht="15" hidden="false" customHeight="false" outlineLevel="0" collapsed="false">
      <c r="A798" s="61" t="n">
        <f aca="false">INDEX(Datos_Origen!$A$2:$A$2459,$Z798)</f>
        <v>797</v>
      </c>
      <c r="B798" s="62" t="n">
        <f aca="false">IF(ISNUMBER($AB798),$AB798,IF(MID($AB798,5,1)="-",DATE(VALUE(LEFT($AB798,4)),VALUE(MID($AB798,6,2)),VALUE(RIGHT($AB798,2))),DATE(VALUE(RIGHT($AB798,4)),VALUE(MID($AB798,4,2)),VALUE(LEFT($AB798,2)))))</f>
        <v>45522</v>
      </c>
      <c r="C798" s="61" t="n">
        <f aca="false">YEAR($B798)</f>
        <v>2024</v>
      </c>
      <c r="D798" s="61" t="str">
        <f aca="false">"Q"&amp;ROUNDUP(MONTH($B798)/3,0)</f>
        <v>Q3</v>
      </c>
      <c r="E798" s="61" t="n">
        <f aca="false">MONTH($B798)</f>
        <v>8</v>
      </c>
      <c r="F798" s="61" t="str">
        <f aca="false">INDEX(Parametros!$I$5:$I$16,$E798)</f>
        <v>Ago</v>
      </c>
      <c r="G798" s="61" t="str">
        <f aca="false">TEXT($C798,"0000")&amp;"-"&amp;TEXT($E798,"00")</f>
        <v>2024-08</v>
      </c>
      <c r="H798" s="61" t="str">
        <f aca="false">INDEX(Parametros!$C$71:$C$91,MATCH(TRIM(INDEX(Datos_Origen!$C$2:$C$2459,$Z798)),Parametros!$B$71:$B$91,0))</f>
        <v>NOA</v>
      </c>
      <c r="I798" s="61" t="str">
        <f aca="false">IF(TRIM($AD798)="",INDEX(Parametros!$I$20:$I$24,MATCH($H798,Parametros!$H$20:$H$24,0)),TRIM($AD798))</f>
        <v>Tucuman</v>
      </c>
      <c r="J798" s="61" t="str">
        <f aca="false">INDEX(Parametros!$C$95:$C$106,MATCH(TRIM(INDEX(Datos_Origen!$E$2:$E$2459,$Z798)),Parametros!$B$95:$B$106,0))</f>
        <v>Tienda fisica</v>
      </c>
      <c r="K798" s="61" t="str">
        <f aca="false">INDEX(Parametros!$C$48:$C$67,MATCH(TRIM(INDEX(Datos_Origen!$F$2:$F$2459,$Z798)),Parametros!$B$48:$B$67,0))</f>
        <v>Almacenamiento</v>
      </c>
      <c r="L798" s="61" t="str">
        <f aca="false">$K798&amp;" "&amp;$C798</f>
        <v>Almacenamiento 2024</v>
      </c>
      <c r="M798" s="61" t="str">
        <f aca="false">TRIM(INDEX(Datos_Origen!$G$2:$G$2459,$Z798))</f>
        <v>SSD Externo 1TB</v>
      </c>
      <c r="N798" s="61" t="str">
        <f aca="false">$M798&amp;" "&amp;$C798</f>
        <v>SSD Externo 1TB 2024</v>
      </c>
      <c r="O798" s="63" t="n">
        <f aca="false">IF(ISTEXT($AC798),VALUE($AC798),$AC798)</f>
        <v>20</v>
      </c>
      <c r="P798" s="64" t="n">
        <f aca="false">INDEX(Datos_Origen!$I$2:$I$2459,$Z798)</f>
        <v>127.4</v>
      </c>
      <c r="Q798" s="64" t="n">
        <f aca="false">INDEX(Datos_Origen!$J$2:$J$2459,$Z798)</f>
        <v>76.05</v>
      </c>
      <c r="R798" s="65" t="n">
        <f aca="false">ROUND($O798*$P798,2)</f>
        <v>2548</v>
      </c>
      <c r="S798" s="65" t="n">
        <f aca="false">ROUND($O798*$Q798,2)</f>
        <v>1521</v>
      </c>
      <c r="T798" s="65" t="n">
        <f aca="false">ROUND($R798*SUMIFS(Parametros!$E$28:$E$43,Parametros!$B$28:$B$43,$J798,Parametros!$C$28:$C$43,$C798,Parametros!$D$28:$D$43,$D798),2)</f>
        <v>33.12</v>
      </c>
      <c r="U798" s="65" t="n">
        <f aca="false">$R798-$S798-$T798</f>
        <v>993.88</v>
      </c>
      <c r="V798" s="66" t="n">
        <f aca="false">IFERROR($U798/$R798,0)</f>
        <v>0.390062794348509</v>
      </c>
      <c r="W798" s="67" t="str">
        <f aca="false">IF(AND($V798&gt;=Parametros!$C$8,$R798&gt;=Parametros!$C$12),"Alta rentabilidad",IF(OR($V798&lt;Parametros!$C$11,$R798&lt;Parametros!$C$13),"Revisar","Estandar"))</f>
        <v>Estandar</v>
      </c>
      <c r="X798" s="67" t="str">
        <f aca="false">IF(AND($J798="E-commerce",IFERROR($T798/$R798,0)&gt;Parametros!$C$14),"Alerta","OK")</f>
        <v>OK</v>
      </c>
      <c r="Y798" s="61" t="str">
        <f aca="false">IF($R798&gt;=Parametros!$C$12,"Alto",IF($R798&lt;Parametros!$C$13,"Bajo","Medio"))</f>
        <v>Medio</v>
      </c>
      <c r="Z798" s="61" t="n">
        <v>1876</v>
      </c>
      <c r="AA798" s="61" t="str">
        <f aca="false">IF(MATCH($A798,Datos_Origen!$A$2:$A$2459,0)=$Z798,"OK","REVISAR")</f>
        <v>OK</v>
      </c>
      <c r="AB798" s="61" t="str">
        <f aca="false">INDEX(Datos_Origen!$B$2:$B$2459,$Z798)</f>
        <v>18/08/2024</v>
      </c>
      <c r="AC798" s="61" t="n">
        <f aca="false">INDEX(Datos_Origen!$H$2:$H$2459,$Z798)</f>
        <v>20</v>
      </c>
      <c r="AD798" s="61" t="str">
        <f aca="false">INDEX(Datos_Origen!$D$2:$D$2459,$Z798)&amp;""</f>
        <v>Tucuman</v>
      </c>
    </row>
    <row r="799" customFormat="false" ht="15" hidden="false" customHeight="false" outlineLevel="0" collapsed="false">
      <c r="A799" s="61" t="n">
        <f aca="false">INDEX(Datos_Origen!$A$2:$A$2459,$Z799)</f>
        <v>798</v>
      </c>
      <c r="B799" s="62" t="n">
        <f aca="false">IF(ISNUMBER($AB799),$AB799,IF(MID($AB799,5,1)="-",DATE(VALUE(LEFT($AB799,4)),VALUE(MID($AB799,6,2)),VALUE(RIGHT($AB799,2))),DATE(VALUE(RIGHT($AB799,4)),VALUE(MID($AB799,4,2)),VALUE(LEFT($AB799,2)))))</f>
        <v>45529</v>
      </c>
      <c r="C799" s="61" t="n">
        <f aca="false">YEAR($B799)</f>
        <v>2024</v>
      </c>
      <c r="D799" s="61" t="str">
        <f aca="false">"Q"&amp;ROUNDUP(MONTH($B799)/3,0)</f>
        <v>Q3</v>
      </c>
      <c r="E799" s="61" t="n">
        <f aca="false">MONTH($B799)</f>
        <v>8</v>
      </c>
      <c r="F799" s="61" t="str">
        <f aca="false">INDEX(Parametros!$I$5:$I$16,$E799)</f>
        <v>Ago</v>
      </c>
      <c r="G799" s="61" t="str">
        <f aca="false">TEXT($C799,"0000")&amp;"-"&amp;TEXT($E799,"00")</f>
        <v>2024-08</v>
      </c>
      <c r="H799" s="61" t="str">
        <f aca="false">INDEX(Parametros!$C$71:$C$91,MATCH(TRIM(INDEX(Datos_Origen!$C$2:$C$2459,$Z799)),Parametros!$B$71:$B$91,0))</f>
        <v>NOA</v>
      </c>
      <c r="I799" s="61" t="str">
        <f aca="false">IF(TRIM($AD799)="",INDEX(Parametros!$I$20:$I$24,MATCH($H799,Parametros!$H$20:$H$24,0)),TRIM($AD799))</f>
        <v>Tucuman</v>
      </c>
      <c r="J799" s="61" t="str">
        <f aca="false">INDEX(Parametros!$C$95:$C$106,MATCH(TRIM(INDEX(Datos_Origen!$E$2:$E$2459,$Z799)),Parametros!$B$95:$B$106,0))</f>
        <v>E-commerce</v>
      </c>
      <c r="K799" s="61" t="str">
        <f aca="false">INDEX(Parametros!$C$48:$C$67,MATCH(TRIM(INDEX(Datos_Origen!$F$2:$F$2459,$Z799)),Parametros!$B$48:$B$67,0))</f>
        <v>Almacenamiento</v>
      </c>
      <c r="L799" s="61" t="str">
        <f aca="false">$K799&amp;" "&amp;$C799</f>
        <v>Almacenamiento 2024</v>
      </c>
      <c r="M799" s="61" t="str">
        <f aca="false">TRIM(INDEX(Datos_Origen!$G$2:$G$2459,$Z799))</f>
        <v>SSD Externo 1TB</v>
      </c>
      <c r="N799" s="61" t="str">
        <f aca="false">$M799&amp;" "&amp;$C799</f>
        <v>SSD Externo 1TB 2024</v>
      </c>
      <c r="O799" s="63" t="n">
        <f aca="false">IF(ISTEXT($AC799),VALUE($AC799),$AC799)</f>
        <v>8</v>
      </c>
      <c r="P799" s="64" t="n">
        <f aca="false">INDEX(Datos_Origen!$I$2:$I$2459,$Z799)</f>
        <v>127.4</v>
      </c>
      <c r="Q799" s="64" t="n">
        <f aca="false">INDEX(Datos_Origen!$J$2:$J$2459,$Z799)</f>
        <v>76.05</v>
      </c>
      <c r="R799" s="65" t="n">
        <f aca="false">ROUND($O799*$P799,2)</f>
        <v>1019.2</v>
      </c>
      <c r="S799" s="65" t="n">
        <f aca="false">ROUND($O799*$Q799,2)</f>
        <v>608.4</v>
      </c>
      <c r="T799" s="65" t="n">
        <f aca="false">ROUND($R799*SUMIFS(Parametros!$E$28:$E$43,Parametros!$B$28:$B$43,$J799,Parametros!$C$28:$C$43,$C799,Parametros!$D$28:$D$43,$D799),2)</f>
        <v>46.88</v>
      </c>
      <c r="U799" s="65" t="n">
        <f aca="false">$R799-$S799-$T799</f>
        <v>363.92</v>
      </c>
      <c r="V799" s="66" t="n">
        <f aca="false">IFERROR($U799/$R799,0)</f>
        <v>0.357064364207221</v>
      </c>
      <c r="W799" s="67" t="str">
        <f aca="false">IF(AND($V799&gt;=Parametros!$C$8,$R799&gt;=Parametros!$C$12),"Alta rentabilidad",IF(OR($V799&lt;Parametros!$C$11,$R799&lt;Parametros!$C$13),"Revisar","Estandar"))</f>
        <v>Estandar</v>
      </c>
      <c r="X799" s="67" t="str">
        <f aca="false">IF(AND($J799="E-commerce",IFERROR($T799/$R799,0)&gt;Parametros!$C$14),"Alerta","OK")</f>
        <v>OK</v>
      </c>
      <c r="Y799" s="61" t="str">
        <f aca="false">IF($R799&gt;=Parametros!$C$12,"Alto",IF($R799&lt;Parametros!$C$13,"Bajo","Medio"))</f>
        <v>Medio</v>
      </c>
      <c r="Z799" s="61" t="n">
        <v>35</v>
      </c>
      <c r="AA799" s="61" t="str">
        <f aca="false">IF(MATCH($A799,Datos_Origen!$A$2:$A$2459,0)=$Z799,"OK","REVISAR")</f>
        <v>OK</v>
      </c>
      <c r="AB799" s="62" t="n">
        <f aca="false">INDEX(Datos_Origen!$B$2:$B$2459,$Z799)</f>
        <v>45529</v>
      </c>
      <c r="AC799" s="61" t="n">
        <f aca="false">INDEX(Datos_Origen!$H$2:$H$2459,$Z799)</f>
        <v>8</v>
      </c>
      <c r="AD799" s="61" t="str">
        <f aca="false">INDEX(Datos_Origen!$D$2:$D$2459,$Z799)&amp;""</f>
        <v>Tucuman</v>
      </c>
    </row>
    <row r="800" customFormat="false" ht="15" hidden="false" customHeight="false" outlineLevel="0" collapsed="false">
      <c r="A800" s="61" t="n">
        <f aca="false">INDEX(Datos_Origen!$A$2:$A$2459,$Z800)</f>
        <v>799</v>
      </c>
      <c r="B800" s="62" t="n">
        <f aca="false">IF(ISNUMBER($AB800),$AB800,IF(MID($AB800,5,1)="-",DATE(VALUE(LEFT($AB800,4)),VALUE(MID($AB800,6,2)),VALUE(RIGHT($AB800,2))),DATE(VALUE(RIGHT($AB800,4)),VALUE(MID($AB800,4,2)),VALUE(LEFT($AB800,2)))))</f>
        <v>45509</v>
      </c>
      <c r="C800" s="61" t="n">
        <f aca="false">YEAR($B800)</f>
        <v>2024</v>
      </c>
      <c r="D800" s="61" t="str">
        <f aca="false">"Q"&amp;ROUNDUP(MONTH($B800)/3,0)</f>
        <v>Q3</v>
      </c>
      <c r="E800" s="61" t="n">
        <f aca="false">MONTH($B800)</f>
        <v>8</v>
      </c>
      <c r="F800" s="61" t="str">
        <f aca="false">INDEX(Parametros!$I$5:$I$16,$E800)</f>
        <v>Ago</v>
      </c>
      <c r="G800" s="61" t="str">
        <f aca="false">TEXT($C800,"0000")&amp;"-"&amp;TEXT($E800,"00")</f>
        <v>2024-08</v>
      </c>
      <c r="H800" s="61" t="str">
        <f aca="false">INDEX(Parametros!$C$71:$C$91,MATCH(TRIM(INDEX(Datos_Origen!$C$2:$C$2459,$Z800)),Parametros!$B$71:$B$91,0))</f>
        <v>NOA</v>
      </c>
      <c r="I800" s="61" t="str">
        <f aca="false">IF(TRIM($AD800)="",INDEX(Parametros!$I$20:$I$24,MATCH($H800,Parametros!$H$20:$H$24,0)),TRIM($AD800))</f>
        <v>Tucuman</v>
      </c>
      <c r="J800" s="61" t="str">
        <f aca="false">INDEX(Parametros!$C$95:$C$106,MATCH(TRIM(INDEX(Datos_Origen!$E$2:$E$2459,$Z800)),Parametros!$B$95:$B$106,0))</f>
        <v>Tienda fisica</v>
      </c>
      <c r="K800" s="61" t="str">
        <f aca="false">INDEX(Parametros!$C$48:$C$67,MATCH(TRIM(INDEX(Datos_Origen!$F$2:$F$2459,$Z800)),Parametros!$B$48:$B$67,0))</f>
        <v>Almacenamiento</v>
      </c>
      <c r="L800" s="61" t="str">
        <f aca="false">$K800&amp;" "&amp;$C800</f>
        <v>Almacenamiento 2024</v>
      </c>
      <c r="M800" s="61" t="str">
        <f aca="false">TRIM(INDEX(Datos_Origen!$G$2:$G$2459,$Z800))</f>
        <v>Pendrive 256GB</v>
      </c>
      <c r="N800" s="61" t="str">
        <f aca="false">$M800&amp;" "&amp;$C800</f>
        <v>Pendrive 256GB 2024</v>
      </c>
      <c r="O800" s="63" t="n">
        <f aca="false">IF(ISTEXT($AC800),VALUE($AC800),$AC800)</f>
        <v>17</v>
      </c>
      <c r="P800" s="64" t="n">
        <f aca="false">INDEX(Datos_Origen!$I$2:$I$2459,$Z800)</f>
        <v>34.3</v>
      </c>
      <c r="Q800" s="64" t="n">
        <f aca="false">INDEX(Datos_Origen!$J$2:$J$2459,$Z800)</f>
        <v>17.85</v>
      </c>
      <c r="R800" s="65" t="n">
        <f aca="false">ROUND($O800*$P800,2)</f>
        <v>583.1</v>
      </c>
      <c r="S800" s="65" t="n">
        <f aca="false">ROUND($O800*$Q800,2)</f>
        <v>303.45</v>
      </c>
      <c r="T800" s="65" t="n">
        <f aca="false">ROUND($R800*SUMIFS(Parametros!$E$28:$E$43,Parametros!$B$28:$B$43,$J800,Parametros!$C$28:$C$43,$C800,Parametros!$D$28:$D$43,$D800),2)</f>
        <v>7.58</v>
      </c>
      <c r="U800" s="65" t="n">
        <f aca="false">$R800-$S800-$T800</f>
        <v>272.07</v>
      </c>
      <c r="V800" s="66" t="n">
        <f aca="false">IFERROR($U800/$R800,0)</f>
        <v>0.466592351226205</v>
      </c>
      <c r="W800" s="67" t="str">
        <f aca="false">IF(AND($V800&gt;=Parametros!$C$8,$R800&gt;=Parametros!$C$12),"Alta rentabilidad",IF(OR($V800&lt;Parametros!$C$11,$R800&lt;Parametros!$C$13),"Revisar","Estandar"))</f>
        <v>Estandar</v>
      </c>
      <c r="X800" s="67" t="str">
        <f aca="false">IF(AND($J800="E-commerce",IFERROR($T800/$R800,0)&gt;Parametros!$C$14),"Alerta","OK")</f>
        <v>OK</v>
      </c>
      <c r="Y800" s="61" t="str">
        <f aca="false">IF($R800&gt;=Parametros!$C$12,"Alto",IF($R800&lt;Parametros!$C$13,"Bajo","Medio"))</f>
        <v>Medio</v>
      </c>
      <c r="Z800" s="61" t="n">
        <v>1172</v>
      </c>
      <c r="AA800" s="61" t="str">
        <f aca="false">IF(MATCH($A800,Datos_Origen!$A$2:$A$2459,0)=$Z800,"OK","REVISAR")</f>
        <v>OK</v>
      </c>
      <c r="AB800" s="62" t="n">
        <f aca="false">INDEX(Datos_Origen!$B$2:$B$2459,$Z800)</f>
        <v>45509</v>
      </c>
      <c r="AC800" s="61" t="n">
        <f aca="false">INDEX(Datos_Origen!$H$2:$H$2459,$Z800)</f>
        <v>17</v>
      </c>
      <c r="AD800" s="61" t="str">
        <f aca="false">INDEX(Datos_Origen!$D$2:$D$2459,$Z800)&amp;""</f>
        <v>Tucuman</v>
      </c>
    </row>
    <row r="801" customFormat="false" ht="15" hidden="false" customHeight="false" outlineLevel="0" collapsed="false">
      <c r="A801" s="61" t="n">
        <f aca="false">INDEX(Datos_Origen!$A$2:$A$2459,$Z801)</f>
        <v>800</v>
      </c>
      <c r="B801" s="62" t="n">
        <f aca="false">IF(ISNUMBER($AB801),$AB801,IF(MID($AB801,5,1)="-",DATE(VALUE(LEFT($AB801,4)),VALUE(MID($AB801,6,2)),VALUE(RIGHT($AB801,2))),DATE(VALUE(RIGHT($AB801,4)),VALUE(MID($AB801,4,2)),VALUE(LEFT($AB801,2)))))</f>
        <v>45516</v>
      </c>
      <c r="C801" s="61" t="n">
        <f aca="false">YEAR($B801)</f>
        <v>2024</v>
      </c>
      <c r="D801" s="61" t="str">
        <f aca="false">"Q"&amp;ROUNDUP(MONTH($B801)/3,0)</f>
        <v>Q3</v>
      </c>
      <c r="E801" s="61" t="n">
        <f aca="false">MONTH($B801)</f>
        <v>8</v>
      </c>
      <c r="F801" s="61" t="str">
        <f aca="false">INDEX(Parametros!$I$5:$I$16,$E801)</f>
        <v>Ago</v>
      </c>
      <c r="G801" s="61" t="str">
        <f aca="false">TEXT($C801,"0000")&amp;"-"&amp;TEXT($E801,"00")</f>
        <v>2024-08</v>
      </c>
      <c r="H801" s="61" t="str">
        <f aca="false">INDEX(Parametros!$C$71:$C$91,MATCH(TRIM(INDEX(Datos_Origen!$C$2:$C$2459,$Z801)),Parametros!$B$71:$B$91,0))</f>
        <v>NOA</v>
      </c>
      <c r="I801" s="61" t="str">
        <f aca="false">IF(TRIM($AD801)="",INDEX(Parametros!$I$20:$I$24,MATCH($H801,Parametros!$H$20:$H$24,0)),TRIM($AD801))</f>
        <v>Tucuman</v>
      </c>
      <c r="J801" s="61" t="str">
        <f aca="false">INDEX(Parametros!$C$95:$C$106,MATCH(TRIM(INDEX(Datos_Origen!$E$2:$E$2459,$Z801)),Parametros!$B$95:$B$106,0))</f>
        <v>E-commerce</v>
      </c>
      <c r="K801" s="61" t="str">
        <f aca="false">INDEX(Parametros!$C$48:$C$67,MATCH(TRIM(INDEX(Datos_Origen!$F$2:$F$2459,$Z801)),Parametros!$B$48:$B$67,0))</f>
        <v>Almacenamiento</v>
      </c>
      <c r="L801" s="61" t="str">
        <f aca="false">$K801&amp;" "&amp;$C801</f>
        <v>Almacenamiento 2024</v>
      </c>
      <c r="M801" s="61" t="str">
        <f aca="false">TRIM(INDEX(Datos_Origen!$G$2:$G$2459,$Z801))</f>
        <v>Pendrive 256GB</v>
      </c>
      <c r="N801" s="61" t="str">
        <f aca="false">$M801&amp;" "&amp;$C801</f>
        <v>Pendrive 256GB 2024</v>
      </c>
      <c r="O801" s="63" t="n">
        <f aca="false">IF(ISTEXT($AC801),VALUE($AC801),$AC801)</f>
        <v>8</v>
      </c>
      <c r="P801" s="64" t="n">
        <f aca="false">INDEX(Datos_Origen!$I$2:$I$2459,$Z801)</f>
        <v>34.3</v>
      </c>
      <c r="Q801" s="64" t="n">
        <f aca="false">INDEX(Datos_Origen!$J$2:$J$2459,$Z801)</f>
        <v>17.85</v>
      </c>
      <c r="R801" s="65" t="n">
        <f aca="false">ROUND($O801*$P801,2)</f>
        <v>274.4</v>
      </c>
      <c r="S801" s="65" t="n">
        <f aca="false">ROUND($O801*$Q801,2)</f>
        <v>142.8</v>
      </c>
      <c r="T801" s="65" t="n">
        <f aca="false">ROUND($R801*SUMIFS(Parametros!$E$28:$E$43,Parametros!$B$28:$B$43,$J801,Parametros!$C$28:$C$43,$C801,Parametros!$D$28:$D$43,$D801),2)</f>
        <v>12.62</v>
      </c>
      <c r="U801" s="65" t="n">
        <f aca="false">$R801-$S801-$T801</f>
        <v>118.98</v>
      </c>
      <c r="V801" s="66" t="n">
        <f aca="false">IFERROR($U801/$R801,0)</f>
        <v>0.433600583090379</v>
      </c>
      <c r="W801" s="67" t="str">
        <f aca="false">IF(AND($V801&gt;=Parametros!$C$8,$R801&gt;=Parametros!$C$12),"Alta rentabilidad",IF(OR($V801&lt;Parametros!$C$11,$R801&lt;Parametros!$C$13),"Revisar","Estandar"))</f>
        <v>Revisar</v>
      </c>
      <c r="X801" s="67" t="str">
        <f aca="false">IF(AND($J801="E-commerce",IFERROR($T801/$R801,0)&gt;Parametros!$C$14),"Alerta","OK")</f>
        <v>OK</v>
      </c>
      <c r="Y801" s="61" t="str">
        <f aca="false">IF($R801&gt;=Parametros!$C$12,"Alto",IF($R801&lt;Parametros!$C$13,"Bajo","Medio"))</f>
        <v>Bajo</v>
      </c>
      <c r="Z801" s="61" t="n">
        <v>830</v>
      </c>
      <c r="AA801" s="61" t="str">
        <f aca="false">IF(MATCH($A801,Datos_Origen!$A$2:$A$2459,0)=$Z801,"OK","REVISAR")</f>
        <v>OK</v>
      </c>
      <c r="AB801" s="62" t="n">
        <f aca="false">INDEX(Datos_Origen!$B$2:$B$2459,$Z801)</f>
        <v>45516</v>
      </c>
      <c r="AC801" s="61" t="n">
        <f aca="false">INDEX(Datos_Origen!$H$2:$H$2459,$Z801)</f>
        <v>8</v>
      </c>
      <c r="AD801" s="61" t="str">
        <f aca="false">INDEX(Datos_Origen!$D$2:$D$2459,$Z801)&amp;""</f>
        <v>Tucuman</v>
      </c>
    </row>
    <row r="802" customFormat="false" ht="15" hidden="false" customHeight="false" outlineLevel="0" collapsed="false">
      <c r="A802" s="61" t="n">
        <f aca="false">INDEX(Datos_Origen!$A$2:$A$2459,$Z802)</f>
        <v>801</v>
      </c>
      <c r="B802" s="62" t="n">
        <f aca="false">IF(ISNUMBER($AB802),$AB802,IF(MID($AB802,5,1)="-",DATE(VALUE(LEFT($AB802,4)),VALUE(MID($AB802,6,2)),VALUE(RIGHT($AB802,2))),DATE(VALUE(RIGHT($AB802,4)),VALUE(MID($AB802,4,2)),VALUE(LEFT($AB802,2)))))</f>
        <v>45554</v>
      </c>
      <c r="C802" s="61" t="n">
        <f aca="false">YEAR($B802)</f>
        <v>2024</v>
      </c>
      <c r="D802" s="61" t="str">
        <f aca="false">"Q"&amp;ROUNDUP(MONTH($B802)/3,0)</f>
        <v>Q3</v>
      </c>
      <c r="E802" s="61" t="n">
        <f aca="false">MONTH($B802)</f>
        <v>9</v>
      </c>
      <c r="F802" s="61" t="str">
        <f aca="false">INDEX(Parametros!$I$5:$I$16,$E802)</f>
        <v>Sep</v>
      </c>
      <c r="G802" s="61" t="str">
        <f aca="false">TEXT($C802,"0000")&amp;"-"&amp;TEXT($E802,"00")</f>
        <v>2024-09</v>
      </c>
      <c r="H802" s="61" t="str">
        <f aca="false">INDEX(Parametros!$C$71:$C$91,MATCH(TRIM(INDEX(Datos_Origen!$C$2:$C$2459,$Z802)),Parametros!$B$71:$B$91,0))</f>
        <v>AMBA</v>
      </c>
      <c r="I802" s="61" t="str">
        <f aca="false">IF(TRIM($AD802)="",INDEX(Parametros!$I$20:$I$24,MATCH($H802,Parametros!$H$20:$H$24,0)),TRIM($AD802))</f>
        <v>Buenos Aires</v>
      </c>
      <c r="J802" s="61" t="str">
        <f aca="false">INDEX(Parametros!$C$95:$C$106,MATCH(TRIM(INDEX(Datos_Origen!$E$2:$E$2459,$Z802)),Parametros!$B$95:$B$106,0))</f>
        <v>Tienda fisica</v>
      </c>
      <c r="K802" s="61" t="str">
        <f aca="false">INDEX(Parametros!$C$48:$C$67,MATCH(TRIM(INDEX(Datos_Origen!$F$2:$F$2459,$Z802)),Parametros!$B$48:$B$67,0))</f>
        <v>Computacion</v>
      </c>
      <c r="L802" s="61" t="str">
        <f aca="false">$K802&amp;" "&amp;$C802</f>
        <v>Computacion 2024</v>
      </c>
      <c r="M802" s="61" t="str">
        <f aca="false">TRIM(INDEX(Datos_Origen!$G$2:$G$2459,$Z802))</f>
        <v>Laptop Pro 15</v>
      </c>
      <c r="N802" s="61" t="str">
        <f aca="false">$M802&amp;" "&amp;$C802</f>
        <v>Laptop Pro 15 2024</v>
      </c>
      <c r="O802" s="63" t="n">
        <f aca="false">IF(ISTEXT($AC802),VALUE($AC802),$AC802)</f>
        <v>18</v>
      </c>
      <c r="P802" s="64" t="n">
        <f aca="false">INDEX(Datos_Origen!$I$2:$I$2459,$Z802)</f>
        <v>1176</v>
      </c>
      <c r="Q802" s="64" t="n">
        <f aca="false">INDEX(Datos_Origen!$J$2:$J$2459,$Z802)</f>
        <v>744</v>
      </c>
      <c r="R802" s="65" t="n">
        <f aca="false">ROUND($O802*$P802,2)</f>
        <v>21168</v>
      </c>
      <c r="S802" s="65" t="n">
        <f aca="false">ROUND($O802*$Q802,2)</f>
        <v>13392</v>
      </c>
      <c r="T802" s="65" t="n">
        <f aca="false">ROUND($R802*SUMIFS(Parametros!$E$28:$E$43,Parametros!$B$28:$B$43,$J802,Parametros!$C$28:$C$43,$C802,Parametros!$D$28:$D$43,$D802),2)</f>
        <v>275.18</v>
      </c>
      <c r="U802" s="65" t="n">
        <f aca="false">$R802-$S802-$T802</f>
        <v>7500.82</v>
      </c>
      <c r="V802" s="66" t="n">
        <f aca="false">IFERROR($U802/$R802,0)</f>
        <v>0.354347127739985</v>
      </c>
      <c r="W802" s="67" t="str">
        <f aca="false">IF(AND($V802&gt;=Parametros!$C$8,$R802&gt;=Parametros!$C$12),"Alta rentabilidad",IF(OR($V802&lt;Parametros!$C$11,$R802&lt;Parametros!$C$13),"Revisar","Estandar"))</f>
        <v>Alta rentabilidad</v>
      </c>
      <c r="X802" s="67" t="str">
        <f aca="false">IF(AND($J802="E-commerce",IFERROR($T802/$R802,0)&gt;Parametros!$C$14),"Alerta","OK")</f>
        <v>OK</v>
      </c>
      <c r="Y802" s="61" t="str">
        <f aca="false">IF($R802&gt;=Parametros!$C$12,"Alto",IF($R802&lt;Parametros!$C$13,"Bajo","Medio"))</f>
        <v>Alto</v>
      </c>
      <c r="Z802" s="61" t="n">
        <v>1403</v>
      </c>
      <c r="AA802" s="61" t="str">
        <f aca="false">IF(MATCH($A802,Datos_Origen!$A$2:$A$2459,0)=$Z802,"OK","REVISAR")</f>
        <v>OK</v>
      </c>
      <c r="AB802" s="62" t="n">
        <f aca="false">INDEX(Datos_Origen!$B$2:$B$2459,$Z802)</f>
        <v>45554</v>
      </c>
      <c r="AC802" s="61" t="n">
        <f aca="false">INDEX(Datos_Origen!$H$2:$H$2459,$Z802)</f>
        <v>18</v>
      </c>
      <c r="AD802" s="61" t="str">
        <f aca="false">INDEX(Datos_Origen!$D$2:$D$2459,$Z802)&amp;""</f>
        <v>Buenos Aires</v>
      </c>
    </row>
    <row r="803" customFormat="false" ht="15" hidden="false" customHeight="false" outlineLevel="0" collapsed="false">
      <c r="A803" s="61" t="n">
        <f aca="false">INDEX(Datos_Origen!$A$2:$A$2459,$Z803)</f>
        <v>802</v>
      </c>
      <c r="B803" s="62" t="n">
        <f aca="false">IF(ISNUMBER($AB803),$AB803,IF(MID($AB803,5,1)="-",DATE(VALUE(LEFT($AB803,4)),VALUE(MID($AB803,6,2)),VALUE(RIGHT($AB803,2))),DATE(VALUE(RIGHT($AB803,4)),VALUE(MID($AB803,4,2)),VALUE(LEFT($AB803,2)))))</f>
        <v>45561</v>
      </c>
      <c r="C803" s="61" t="n">
        <f aca="false">YEAR($B803)</f>
        <v>2024</v>
      </c>
      <c r="D803" s="61" t="str">
        <f aca="false">"Q"&amp;ROUNDUP(MONTH($B803)/3,0)</f>
        <v>Q3</v>
      </c>
      <c r="E803" s="61" t="n">
        <f aca="false">MONTH($B803)</f>
        <v>9</v>
      </c>
      <c r="F803" s="61" t="str">
        <f aca="false">INDEX(Parametros!$I$5:$I$16,$E803)</f>
        <v>Sep</v>
      </c>
      <c r="G803" s="61" t="str">
        <f aca="false">TEXT($C803,"0000")&amp;"-"&amp;TEXT($E803,"00")</f>
        <v>2024-09</v>
      </c>
      <c r="H803" s="61" t="str">
        <f aca="false">INDEX(Parametros!$C$71:$C$91,MATCH(TRIM(INDEX(Datos_Origen!$C$2:$C$2459,$Z803)),Parametros!$B$71:$B$91,0))</f>
        <v>AMBA</v>
      </c>
      <c r="I803" s="61" t="str">
        <f aca="false">IF(TRIM($AD803)="",INDEX(Parametros!$I$20:$I$24,MATCH($H803,Parametros!$H$20:$H$24,0)),TRIM($AD803))</f>
        <v>Buenos Aires</v>
      </c>
      <c r="J803" s="61" t="str">
        <f aca="false">INDEX(Parametros!$C$95:$C$106,MATCH(TRIM(INDEX(Datos_Origen!$E$2:$E$2459,$Z803)),Parametros!$B$95:$B$106,0))</f>
        <v>E-commerce</v>
      </c>
      <c r="K803" s="61" t="str">
        <f aca="false">INDEX(Parametros!$C$48:$C$67,MATCH(TRIM(INDEX(Datos_Origen!$F$2:$F$2459,$Z803)),Parametros!$B$48:$B$67,0))</f>
        <v>Computacion</v>
      </c>
      <c r="L803" s="61" t="str">
        <f aca="false">$K803&amp;" "&amp;$C803</f>
        <v>Computacion 2024</v>
      </c>
      <c r="M803" s="61" t="str">
        <f aca="false">TRIM(INDEX(Datos_Origen!$G$2:$G$2459,$Z803))</f>
        <v>Laptop Pro 15</v>
      </c>
      <c r="N803" s="61" t="str">
        <f aca="false">$M803&amp;" "&amp;$C803</f>
        <v>Laptop Pro 15 2024</v>
      </c>
      <c r="O803" s="63" t="n">
        <f aca="false">IF(ISTEXT($AC803),VALUE($AC803),$AC803)</f>
        <v>7</v>
      </c>
      <c r="P803" s="64" t="n">
        <f aca="false">INDEX(Datos_Origen!$I$2:$I$2459,$Z803)</f>
        <v>1176</v>
      </c>
      <c r="Q803" s="64" t="n">
        <f aca="false">INDEX(Datos_Origen!$J$2:$J$2459,$Z803)</f>
        <v>744</v>
      </c>
      <c r="R803" s="65" t="n">
        <f aca="false">ROUND($O803*$P803,2)</f>
        <v>8232</v>
      </c>
      <c r="S803" s="65" t="n">
        <f aca="false">ROUND($O803*$Q803,2)</f>
        <v>5208</v>
      </c>
      <c r="T803" s="65" t="n">
        <f aca="false">ROUND($R803*SUMIFS(Parametros!$E$28:$E$43,Parametros!$B$28:$B$43,$J803,Parametros!$C$28:$C$43,$C803,Parametros!$D$28:$D$43,$D803),2)</f>
        <v>378.67</v>
      </c>
      <c r="U803" s="65" t="n">
        <f aca="false">$R803-$S803-$T803</f>
        <v>2645.33</v>
      </c>
      <c r="V803" s="66" t="n">
        <f aca="false">IFERROR($U803/$R803,0)</f>
        <v>0.321347181729835</v>
      </c>
      <c r="W803" s="67" t="str">
        <f aca="false">IF(AND($V803&gt;=Parametros!$C$8,$R803&gt;=Parametros!$C$12),"Alta rentabilidad",IF(OR($V803&lt;Parametros!$C$11,$R803&lt;Parametros!$C$13),"Revisar","Estandar"))</f>
        <v>Estandar</v>
      </c>
      <c r="X803" s="67" t="str">
        <f aca="false">IF(AND($J803="E-commerce",IFERROR($T803/$R803,0)&gt;Parametros!$C$14),"Alerta","OK")</f>
        <v>OK</v>
      </c>
      <c r="Y803" s="61" t="str">
        <f aca="false">IF($R803&gt;=Parametros!$C$12,"Alto",IF($R803&lt;Parametros!$C$13,"Bajo","Medio"))</f>
        <v>Alto</v>
      </c>
      <c r="Z803" s="61" t="n">
        <v>2164</v>
      </c>
      <c r="AA803" s="61" t="str">
        <f aca="false">IF(MATCH($A803,Datos_Origen!$A$2:$A$2459,0)=$Z803,"OK","REVISAR")</f>
        <v>OK</v>
      </c>
      <c r="AB803" s="62" t="n">
        <f aca="false">INDEX(Datos_Origen!$B$2:$B$2459,$Z803)</f>
        <v>45561</v>
      </c>
      <c r="AC803" s="61" t="n">
        <f aca="false">INDEX(Datos_Origen!$H$2:$H$2459,$Z803)</f>
        <v>7</v>
      </c>
      <c r="AD803" s="61" t="str">
        <f aca="false">INDEX(Datos_Origen!$D$2:$D$2459,$Z803)&amp;""</f>
        <v>Buenos Aires</v>
      </c>
    </row>
    <row r="804" customFormat="false" ht="15" hidden="false" customHeight="false" outlineLevel="0" collapsed="false">
      <c r="A804" s="61" t="n">
        <f aca="false">INDEX(Datos_Origen!$A$2:$A$2459,$Z804)</f>
        <v>803</v>
      </c>
      <c r="B804" s="62" t="n">
        <f aca="false">IF(ISNUMBER($AB804),$AB804,IF(MID($AB804,5,1)="-",DATE(VALUE(LEFT($AB804,4)),VALUE(MID($AB804,6,2)),VALUE(RIGHT($AB804,2))),DATE(VALUE(RIGHT($AB804,4)),VALUE(MID($AB804,4,2)),VALUE(LEFT($AB804,2)))))</f>
        <v>45541</v>
      </c>
      <c r="C804" s="61" t="n">
        <f aca="false">YEAR($B804)</f>
        <v>2024</v>
      </c>
      <c r="D804" s="61" t="str">
        <f aca="false">"Q"&amp;ROUNDUP(MONTH($B804)/3,0)</f>
        <v>Q3</v>
      </c>
      <c r="E804" s="61" t="n">
        <f aca="false">MONTH($B804)</f>
        <v>9</v>
      </c>
      <c r="F804" s="61" t="str">
        <f aca="false">INDEX(Parametros!$I$5:$I$16,$E804)</f>
        <v>Sep</v>
      </c>
      <c r="G804" s="61" t="str">
        <f aca="false">TEXT($C804,"0000")&amp;"-"&amp;TEXT($E804,"00")</f>
        <v>2024-09</v>
      </c>
      <c r="H804" s="61" t="str">
        <f aca="false">INDEX(Parametros!$C$71:$C$91,MATCH(TRIM(INDEX(Datos_Origen!$C$2:$C$2459,$Z804)),Parametros!$B$71:$B$91,0))</f>
        <v>AMBA</v>
      </c>
      <c r="I804" s="61" t="str">
        <f aca="false">IF(TRIM($AD804)="",INDEX(Parametros!$I$20:$I$24,MATCH($H804,Parametros!$H$20:$H$24,0)),TRIM($AD804))</f>
        <v>Buenos Aires</v>
      </c>
      <c r="J804" s="61" t="str">
        <f aca="false">INDEX(Parametros!$C$95:$C$106,MATCH(TRIM(INDEX(Datos_Origen!$E$2:$E$2459,$Z804)),Parametros!$B$95:$B$106,0))</f>
        <v>Tienda fisica</v>
      </c>
      <c r="K804" s="61" t="str">
        <f aca="false">INDEX(Parametros!$C$48:$C$67,MATCH(TRIM(INDEX(Datos_Origen!$F$2:$F$2459,$Z804)),Parametros!$B$48:$B$67,0))</f>
        <v>Computacion</v>
      </c>
      <c r="L804" s="61" t="str">
        <f aca="false">$K804&amp;" "&amp;$C804</f>
        <v>Computacion 2024</v>
      </c>
      <c r="M804" s="61" t="str">
        <f aca="false">TRIM(INDEX(Datos_Origen!$G$2:$G$2459,$Z804))</f>
        <v>Monitor 4K 27</v>
      </c>
      <c r="N804" s="61" t="str">
        <f aca="false">$M804&amp;" "&amp;$C804</f>
        <v>Monitor 4K 27 2024</v>
      </c>
      <c r="O804" s="63" t="n">
        <f aca="false">IF(ISTEXT($AC804),VALUE($AC804),$AC804)</f>
        <v>21</v>
      </c>
      <c r="P804" s="64" t="n">
        <f aca="false">INDEX(Datos_Origen!$I$2:$I$2459,$Z804)</f>
        <v>441</v>
      </c>
      <c r="Q804" s="64" t="n">
        <f aca="false">INDEX(Datos_Origen!$J$2:$J$2459,$Z804)</f>
        <v>272.25</v>
      </c>
      <c r="R804" s="65" t="n">
        <f aca="false">ROUND($O804*$P804,2)</f>
        <v>9261</v>
      </c>
      <c r="S804" s="65" t="n">
        <f aca="false">ROUND($O804*$Q804,2)</f>
        <v>5717.25</v>
      </c>
      <c r="T804" s="65" t="n">
        <f aca="false">ROUND($R804*SUMIFS(Parametros!$E$28:$E$43,Parametros!$B$28:$B$43,$J804,Parametros!$C$28:$C$43,$C804,Parametros!$D$28:$D$43,$D804),2)</f>
        <v>120.39</v>
      </c>
      <c r="U804" s="65" t="n">
        <f aca="false">$R804-$S804-$T804</f>
        <v>3423.36</v>
      </c>
      <c r="V804" s="66" t="n">
        <f aca="false">IFERROR($U804/$R804,0)</f>
        <v>0.369653385163589</v>
      </c>
      <c r="W804" s="67" t="str">
        <f aca="false">IF(AND($V804&gt;=Parametros!$C$8,$R804&gt;=Parametros!$C$12),"Alta rentabilidad",IF(OR($V804&lt;Parametros!$C$11,$R804&lt;Parametros!$C$13),"Revisar","Estandar"))</f>
        <v>Alta rentabilidad</v>
      </c>
      <c r="X804" s="67" t="str">
        <f aca="false">IF(AND($J804="E-commerce",IFERROR($T804/$R804,0)&gt;Parametros!$C$14),"Alerta","OK")</f>
        <v>OK</v>
      </c>
      <c r="Y804" s="61" t="str">
        <f aca="false">IF($R804&gt;=Parametros!$C$12,"Alto",IF($R804&lt;Parametros!$C$13,"Bajo","Medio"))</f>
        <v>Alto</v>
      </c>
      <c r="Z804" s="61" t="n">
        <v>637</v>
      </c>
      <c r="AA804" s="61" t="str">
        <f aca="false">IF(MATCH($A804,Datos_Origen!$A$2:$A$2459,0)=$Z804,"OK","REVISAR")</f>
        <v>OK</v>
      </c>
      <c r="AB804" s="62" t="n">
        <f aca="false">INDEX(Datos_Origen!$B$2:$B$2459,$Z804)</f>
        <v>45541</v>
      </c>
      <c r="AC804" s="61" t="str">
        <f aca="false">INDEX(Datos_Origen!$H$2:$H$2459,$Z804)</f>
        <v>21</v>
      </c>
      <c r="AD804" s="61" t="str">
        <f aca="false">INDEX(Datos_Origen!$D$2:$D$2459,$Z804)&amp;""</f>
        <v>Buenos Aires</v>
      </c>
    </row>
    <row r="805" customFormat="false" ht="15" hidden="false" customHeight="false" outlineLevel="0" collapsed="false">
      <c r="A805" s="61" t="n">
        <f aca="false">INDEX(Datos_Origen!$A$2:$A$2459,$Z805)</f>
        <v>804</v>
      </c>
      <c r="B805" s="62" t="n">
        <f aca="false">IF(ISNUMBER($AB805),$AB805,IF(MID($AB805,5,1)="-",DATE(VALUE(LEFT($AB805,4)),VALUE(MID($AB805,6,2)),VALUE(RIGHT($AB805,2))),DATE(VALUE(RIGHT($AB805,4)),VALUE(MID($AB805,4,2)),VALUE(LEFT($AB805,2)))))</f>
        <v>45548</v>
      </c>
      <c r="C805" s="61" t="n">
        <f aca="false">YEAR($B805)</f>
        <v>2024</v>
      </c>
      <c r="D805" s="61" t="str">
        <f aca="false">"Q"&amp;ROUNDUP(MONTH($B805)/3,0)</f>
        <v>Q3</v>
      </c>
      <c r="E805" s="61" t="n">
        <f aca="false">MONTH($B805)</f>
        <v>9</v>
      </c>
      <c r="F805" s="61" t="str">
        <f aca="false">INDEX(Parametros!$I$5:$I$16,$E805)</f>
        <v>Sep</v>
      </c>
      <c r="G805" s="61" t="str">
        <f aca="false">TEXT($C805,"0000")&amp;"-"&amp;TEXT($E805,"00")</f>
        <v>2024-09</v>
      </c>
      <c r="H805" s="61" t="str">
        <f aca="false">INDEX(Parametros!$C$71:$C$91,MATCH(TRIM(INDEX(Datos_Origen!$C$2:$C$2459,$Z805)),Parametros!$B$71:$B$91,0))</f>
        <v>AMBA</v>
      </c>
      <c r="I805" s="61" t="str">
        <f aca="false">IF(TRIM($AD805)="",INDEX(Parametros!$I$20:$I$24,MATCH($H805,Parametros!$H$20:$H$24,0)),TRIM($AD805))</f>
        <v>Buenos Aires</v>
      </c>
      <c r="J805" s="61" t="str">
        <f aca="false">INDEX(Parametros!$C$95:$C$106,MATCH(TRIM(INDEX(Datos_Origen!$E$2:$E$2459,$Z805)),Parametros!$B$95:$B$106,0))</f>
        <v>E-commerce</v>
      </c>
      <c r="K805" s="61" t="str">
        <f aca="false">INDEX(Parametros!$C$48:$C$67,MATCH(TRIM(INDEX(Datos_Origen!$F$2:$F$2459,$Z805)),Parametros!$B$48:$B$67,0))</f>
        <v>Computacion</v>
      </c>
      <c r="L805" s="61" t="str">
        <f aca="false">$K805&amp;" "&amp;$C805</f>
        <v>Computacion 2024</v>
      </c>
      <c r="M805" s="61" t="str">
        <f aca="false">TRIM(INDEX(Datos_Origen!$G$2:$G$2459,$Z805))</f>
        <v>Monitor 4K 27</v>
      </c>
      <c r="N805" s="61" t="str">
        <f aca="false">$M805&amp;" "&amp;$C805</f>
        <v>Monitor 4K 27 2024</v>
      </c>
      <c r="O805" s="63" t="n">
        <f aca="false">IF(ISTEXT($AC805),VALUE($AC805),$AC805)</f>
        <v>9</v>
      </c>
      <c r="P805" s="64" t="n">
        <f aca="false">INDEX(Datos_Origen!$I$2:$I$2459,$Z805)</f>
        <v>441</v>
      </c>
      <c r="Q805" s="64" t="n">
        <f aca="false">INDEX(Datos_Origen!$J$2:$J$2459,$Z805)</f>
        <v>272.25</v>
      </c>
      <c r="R805" s="65" t="n">
        <f aca="false">ROUND($O805*$P805,2)</f>
        <v>3969</v>
      </c>
      <c r="S805" s="65" t="n">
        <f aca="false">ROUND($O805*$Q805,2)</f>
        <v>2450.25</v>
      </c>
      <c r="T805" s="65" t="n">
        <f aca="false">ROUND($R805*SUMIFS(Parametros!$E$28:$E$43,Parametros!$B$28:$B$43,$J805,Parametros!$C$28:$C$43,$C805,Parametros!$D$28:$D$43,$D805),2)</f>
        <v>182.57</v>
      </c>
      <c r="U805" s="65" t="n">
        <f aca="false">$R805-$S805-$T805</f>
        <v>1336.18</v>
      </c>
      <c r="V805" s="66" t="n">
        <f aca="false">IFERROR($U805/$R805,0)</f>
        <v>0.336654069035021</v>
      </c>
      <c r="W805" s="67" t="str">
        <f aca="false">IF(AND($V805&gt;=Parametros!$C$8,$R805&gt;=Parametros!$C$12),"Alta rentabilidad",IF(OR($V805&lt;Parametros!$C$11,$R805&lt;Parametros!$C$13),"Revisar","Estandar"))</f>
        <v>Estandar</v>
      </c>
      <c r="X805" s="67" t="str">
        <f aca="false">IF(AND($J805="E-commerce",IFERROR($T805/$R805,0)&gt;Parametros!$C$14),"Alerta","OK")</f>
        <v>OK</v>
      </c>
      <c r="Y805" s="61" t="str">
        <f aca="false">IF($R805&gt;=Parametros!$C$12,"Alto",IF($R805&lt;Parametros!$C$13,"Bajo","Medio"))</f>
        <v>Alto</v>
      </c>
      <c r="Z805" s="61" t="n">
        <v>1071</v>
      </c>
      <c r="AA805" s="61" t="str">
        <f aca="false">IF(MATCH($A805,Datos_Origen!$A$2:$A$2459,0)=$Z805,"OK","REVISAR")</f>
        <v>OK</v>
      </c>
      <c r="AB805" s="62" t="n">
        <f aca="false">INDEX(Datos_Origen!$B$2:$B$2459,$Z805)</f>
        <v>45548</v>
      </c>
      <c r="AC805" s="61" t="n">
        <f aca="false">INDEX(Datos_Origen!$H$2:$H$2459,$Z805)</f>
        <v>9</v>
      </c>
      <c r="AD805" s="61" t="str">
        <f aca="false">INDEX(Datos_Origen!$D$2:$D$2459,$Z805)&amp;""</f>
        <v>Buenos Aires</v>
      </c>
    </row>
    <row r="806" customFormat="false" ht="15" hidden="false" customHeight="false" outlineLevel="0" collapsed="false">
      <c r="A806" s="61" t="n">
        <f aca="false">INDEX(Datos_Origen!$A$2:$A$2459,$Z806)</f>
        <v>805</v>
      </c>
      <c r="B806" s="62" t="n">
        <f aca="false">IF(ISNUMBER($AB806),$AB806,IF(MID($AB806,5,1)="-",DATE(VALUE(LEFT($AB806,4)),VALUE(MID($AB806,6,2)),VALUE(RIGHT($AB806,2))),DATE(VALUE(RIGHT($AB806,4)),VALUE(MID($AB806,4,2)),VALUE(LEFT($AB806,2)))))</f>
        <v>45555</v>
      </c>
      <c r="C806" s="61" t="n">
        <f aca="false">YEAR($B806)</f>
        <v>2024</v>
      </c>
      <c r="D806" s="61" t="str">
        <f aca="false">"Q"&amp;ROUNDUP(MONTH($B806)/3,0)</f>
        <v>Q3</v>
      </c>
      <c r="E806" s="61" t="n">
        <f aca="false">MONTH($B806)</f>
        <v>9</v>
      </c>
      <c r="F806" s="61" t="str">
        <f aca="false">INDEX(Parametros!$I$5:$I$16,$E806)</f>
        <v>Sep</v>
      </c>
      <c r="G806" s="61" t="str">
        <f aca="false">TEXT($C806,"0000")&amp;"-"&amp;TEXT($E806,"00")</f>
        <v>2024-09</v>
      </c>
      <c r="H806" s="61" t="str">
        <f aca="false">INDEX(Parametros!$C$71:$C$91,MATCH(TRIM(INDEX(Datos_Origen!$C$2:$C$2459,$Z806)),Parametros!$B$71:$B$91,0))</f>
        <v>AMBA</v>
      </c>
      <c r="I806" s="61" t="str">
        <f aca="false">IF(TRIM($AD806)="",INDEX(Parametros!$I$20:$I$24,MATCH($H806,Parametros!$H$20:$H$24,0)),TRIM($AD806))</f>
        <v>Buenos Aires</v>
      </c>
      <c r="J806" s="61" t="str">
        <f aca="false">INDEX(Parametros!$C$95:$C$106,MATCH(TRIM(INDEX(Datos_Origen!$E$2:$E$2459,$Z806)),Parametros!$B$95:$B$106,0))</f>
        <v>Tienda fisica</v>
      </c>
      <c r="K806" s="61" t="str">
        <f aca="false">INDEX(Parametros!$C$48:$C$67,MATCH(TRIM(INDEX(Datos_Origen!$F$2:$F$2459,$Z806)),Parametros!$B$48:$B$67,0))</f>
        <v>Computacion</v>
      </c>
      <c r="L806" s="61" t="str">
        <f aca="false">$K806&amp;" "&amp;$C806</f>
        <v>Computacion 2024</v>
      </c>
      <c r="M806" s="61" t="str">
        <f aca="false">TRIM(INDEX(Datos_Origen!$G$2:$G$2459,$Z806))</f>
        <v>PC Gamer Ryzen</v>
      </c>
      <c r="N806" s="61" t="str">
        <f aca="false">$M806&amp;" "&amp;$C806</f>
        <v>PC Gamer Ryzen 2024</v>
      </c>
      <c r="O806" s="63" t="n">
        <f aca="false">IF(ISTEXT($AC806),VALUE($AC806),$AC806)</f>
        <v>20</v>
      </c>
      <c r="P806" s="64" t="n">
        <f aca="false">INDEX(Datos_Origen!$I$2:$I$2459,$Z806)</f>
        <v>1617</v>
      </c>
      <c r="Q806" s="64" t="n">
        <f aca="false">INDEX(Datos_Origen!$J$2:$J$2459,$Z806)</f>
        <v>1122</v>
      </c>
      <c r="R806" s="65" t="n">
        <f aca="false">ROUND($O806*$P806,2)</f>
        <v>32340</v>
      </c>
      <c r="S806" s="65" t="n">
        <f aca="false">ROUND($O806*$Q806,2)</f>
        <v>22440</v>
      </c>
      <c r="T806" s="65" t="n">
        <f aca="false">ROUND($R806*SUMIFS(Parametros!$E$28:$E$43,Parametros!$B$28:$B$43,$J806,Parametros!$C$28:$C$43,$C806,Parametros!$D$28:$D$43,$D806),2)</f>
        <v>420.42</v>
      </c>
      <c r="U806" s="65" t="n">
        <f aca="false">$R806-$S806-$T806</f>
        <v>9479.58</v>
      </c>
      <c r="V806" s="66" t="n">
        <f aca="false">IFERROR($U806/$R806,0)</f>
        <v>0.293122448979592</v>
      </c>
      <c r="W806" s="67" t="str">
        <f aca="false">IF(AND($V806&gt;=Parametros!$C$8,$R806&gt;=Parametros!$C$12),"Alta rentabilidad",IF(OR($V806&lt;Parametros!$C$11,$R806&lt;Parametros!$C$13),"Revisar","Estandar"))</f>
        <v>Estandar</v>
      </c>
      <c r="X806" s="67" t="str">
        <f aca="false">IF(AND($J806="E-commerce",IFERROR($T806/$R806,0)&gt;Parametros!$C$14),"Alerta","OK")</f>
        <v>OK</v>
      </c>
      <c r="Y806" s="61" t="str">
        <f aca="false">IF($R806&gt;=Parametros!$C$12,"Alto",IF($R806&lt;Parametros!$C$13,"Bajo","Medio"))</f>
        <v>Alto</v>
      </c>
      <c r="Z806" s="61" t="n">
        <v>613</v>
      </c>
      <c r="AA806" s="61" t="str">
        <f aca="false">IF(MATCH($A806,Datos_Origen!$A$2:$A$2459,0)=$Z806,"OK","REVISAR")</f>
        <v>OK</v>
      </c>
      <c r="AB806" s="61" t="str">
        <f aca="false">INDEX(Datos_Origen!$B$2:$B$2459,$Z806)</f>
        <v>2024-09-20</v>
      </c>
      <c r="AC806" s="61" t="n">
        <f aca="false">INDEX(Datos_Origen!$H$2:$H$2459,$Z806)</f>
        <v>20</v>
      </c>
      <c r="AD806" s="61" t="str">
        <f aca="false">INDEX(Datos_Origen!$D$2:$D$2459,$Z806)&amp;""</f>
        <v>Buenos Aires</v>
      </c>
    </row>
    <row r="807" customFormat="false" ht="15" hidden="false" customHeight="false" outlineLevel="0" collapsed="false">
      <c r="A807" s="61" t="n">
        <f aca="false">INDEX(Datos_Origen!$A$2:$A$2459,$Z807)</f>
        <v>806</v>
      </c>
      <c r="B807" s="62" t="n">
        <f aca="false">IF(ISNUMBER($AB807),$AB807,IF(MID($AB807,5,1)="-",DATE(VALUE(LEFT($AB807,4)),VALUE(MID($AB807,6,2)),VALUE(RIGHT($AB807,2))),DATE(VALUE(RIGHT($AB807,4)),VALUE(MID($AB807,4,2)),VALUE(LEFT($AB807,2)))))</f>
        <v>45562</v>
      </c>
      <c r="C807" s="61" t="n">
        <f aca="false">YEAR($B807)</f>
        <v>2024</v>
      </c>
      <c r="D807" s="61" t="str">
        <f aca="false">"Q"&amp;ROUNDUP(MONTH($B807)/3,0)</f>
        <v>Q3</v>
      </c>
      <c r="E807" s="61" t="n">
        <f aca="false">MONTH($B807)</f>
        <v>9</v>
      </c>
      <c r="F807" s="61" t="str">
        <f aca="false">INDEX(Parametros!$I$5:$I$16,$E807)</f>
        <v>Sep</v>
      </c>
      <c r="G807" s="61" t="str">
        <f aca="false">TEXT($C807,"0000")&amp;"-"&amp;TEXT($E807,"00")</f>
        <v>2024-09</v>
      </c>
      <c r="H807" s="61" t="str">
        <f aca="false">INDEX(Parametros!$C$71:$C$91,MATCH(TRIM(INDEX(Datos_Origen!$C$2:$C$2459,$Z807)),Parametros!$B$71:$B$91,0))</f>
        <v>AMBA</v>
      </c>
      <c r="I807" s="61" t="str">
        <f aca="false">IF(TRIM($AD807)="",INDEX(Parametros!$I$20:$I$24,MATCH($H807,Parametros!$H$20:$H$24,0)),TRIM($AD807))</f>
        <v>Buenos Aires</v>
      </c>
      <c r="J807" s="61" t="str">
        <f aca="false">INDEX(Parametros!$C$95:$C$106,MATCH(TRIM(INDEX(Datos_Origen!$E$2:$E$2459,$Z807)),Parametros!$B$95:$B$106,0))</f>
        <v>E-commerce</v>
      </c>
      <c r="K807" s="61" t="str">
        <f aca="false">INDEX(Parametros!$C$48:$C$67,MATCH(TRIM(INDEX(Datos_Origen!$F$2:$F$2459,$Z807)),Parametros!$B$48:$B$67,0))</f>
        <v>Computacion</v>
      </c>
      <c r="L807" s="61" t="str">
        <f aca="false">$K807&amp;" "&amp;$C807</f>
        <v>Computacion 2024</v>
      </c>
      <c r="M807" s="61" t="str">
        <f aca="false">TRIM(INDEX(Datos_Origen!$G$2:$G$2459,$Z807))</f>
        <v>PC Gamer Ryzen</v>
      </c>
      <c r="N807" s="61" t="str">
        <f aca="false">$M807&amp;" "&amp;$C807</f>
        <v>PC Gamer Ryzen 2024</v>
      </c>
      <c r="O807" s="63" t="n">
        <f aca="false">IF(ISTEXT($AC807),VALUE($AC807),$AC807)</f>
        <v>8</v>
      </c>
      <c r="P807" s="64" t="n">
        <f aca="false">INDEX(Datos_Origen!$I$2:$I$2459,$Z807)</f>
        <v>1617</v>
      </c>
      <c r="Q807" s="64" t="n">
        <f aca="false">INDEX(Datos_Origen!$J$2:$J$2459,$Z807)</f>
        <v>1122</v>
      </c>
      <c r="R807" s="65" t="n">
        <f aca="false">ROUND($O807*$P807,2)</f>
        <v>12936</v>
      </c>
      <c r="S807" s="65" t="n">
        <f aca="false">ROUND($O807*$Q807,2)</f>
        <v>8976</v>
      </c>
      <c r="T807" s="65" t="n">
        <f aca="false">ROUND($R807*SUMIFS(Parametros!$E$28:$E$43,Parametros!$B$28:$B$43,$J807,Parametros!$C$28:$C$43,$C807,Parametros!$D$28:$D$43,$D807),2)</f>
        <v>595.06</v>
      </c>
      <c r="U807" s="65" t="n">
        <f aca="false">$R807-$S807-$T807</f>
        <v>3364.94</v>
      </c>
      <c r="V807" s="66" t="n">
        <f aca="false">IFERROR($U807/$R807,0)</f>
        <v>0.260122139764997</v>
      </c>
      <c r="W807" s="67" t="str">
        <f aca="false">IF(AND($V807&gt;=Parametros!$C$8,$R807&gt;=Parametros!$C$12),"Alta rentabilidad",IF(OR($V807&lt;Parametros!$C$11,$R807&lt;Parametros!$C$13),"Revisar","Estandar"))</f>
        <v>Revisar</v>
      </c>
      <c r="X807" s="67" t="str">
        <f aca="false">IF(AND($J807="E-commerce",IFERROR($T807/$R807,0)&gt;Parametros!$C$14),"Alerta","OK")</f>
        <v>OK</v>
      </c>
      <c r="Y807" s="61" t="str">
        <f aca="false">IF($R807&gt;=Parametros!$C$12,"Alto",IF($R807&lt;Parametros!$C$13,"Bajo","Medio"))</f>
        <v>Alto</v>
      </c>
      <c r="Z807" s="61" t="n">
        <v>1902</v>
      </c>
      <c r="AA807" s="61" t="str">
        <f aca="false">IF(MATCH($A807,Datos_Origen!$A$2:$A$2459,0)=$Z807,"OK","REVISAR")</f>
        <v>OK</v>
      </c>
      <c r="AB807" s="62" t="n">
        <f aca="false">INDEX(Datos_Origen!$B$2:$B$2459,$Z807)</f>
        <v>45562</v>
      </c>
      <c r="AC807" s="61" t="n">
        <f aca="false">INDEX(Datos_Origen!$H$2:$H$2459,$Z807)</f>
        <v>8</v>
      </c>
      <c r="AD807" s="61" t="str">
        <f aca="false">INDEX(Datos_Origen!$D$2:$D$2459,$Z807)&amp;""</f>
        <v>Buenos Aires</v>
      </c>
    </row>
    <row r="808" customFormat="false" ht="15" hidden="false" customHeight="false" outlineLevel="0" collapsed="false">
      <c r="A808" s="61" t="n">
        <f aca="false">INDEX(Datos_Origen!$A$2:$A$2459,$Z808)</f>
        <v>807</v>
      </c>
      <c r="B808" s="62" t="n">
        <f aca="false">IF(ISNUMBER($AB808),$AB808,IF(MID($AB808,5,1)="-",DATE(VALUE(LEFT($AB808,4)),VALUE(MID($AB808,6,2)),VALUE(RIGHT($AB808,2))),DATE(VALUE(RIGHT($AB808,4)),VALUE(MID($AB808,4,2)),VALUE(LEFT($AB808,2)))))</f>
        <v>45542</v>
      </c>
      <c r="C808" s="61" t="n">
        <f aca="false">YEAR($B808)</f>
        <v>2024</v>
      </c>
      <c r="D808" s="61" t="str">
        <f aca="false">"Q"&amp;ROUNDUP(MONTH($B808)/3,0)</f>
        <v>Q3</v>
      </c>
      <c r="E808" s="61" t="n">
        <f aca="false">MONTH($B808)</f>
        <v>9</v>
      </c>
      <c r="F808" s="61" t="str">
        <f aca="false">INDEX(Parametros!$I$5:$I$16,$E808)</f>
        <v>Sep</v>
      </c>
      <c r="G808" s="61" t="str">
        <f aca="false">TEXT($C808,"0000")&amp;"-"&amp;TEXT($E808,"00")</f>
        <v>2024-09</v>
      </c>
      <c r="H808" s="61" t="str">
        <f aca="false">INDEX(Parametros!$C$71:$C$91,MATCH(TRIM(INDEX(Datos_Origen!$C$2:$C$2459,$Z808)),Parametros!$B$71:$B$91,0))</f>
        <v>AMBA</v>
      </c>
      <c r="I808" s="61" t="str">
        <f aca="false">IF(TRIM($AD808)="",INDEX(Parametros!$I$20:$I$24,MATCH($H808,Parametros!$H$20:$H$24,0)),TRIM($AD808))</f>
        <v>Buenos Aires</v>
      </c>
      <c r="J808" s="61" t="str">
        <f aca="false">INDEX(Parametros!$C$95:$C$106,MATCH(TRIM(INDEX(Datos_Origen!$E$2:$E$2459,$Z808)),Parametros!$B$95:$B$106,0))</f>
        <v>Tienda fisica</v>
      </c>
      <c r="K808" s="61" t="str">
        <f aca="false">INDEX(Parametros!$C$48:$C$67,MATCH(TRIM(INDEX(Datos_Origen!$F$2:$F$2459,$Z808)),Parametros!$B$48:$B$67,0))</f>
        <v>Accesorios</v>
      </c>
      <c r="L808" s="61" t="str">
        <f aca="false">$K808&amp;" "&amp;$C808</f>
        <v>Accesorios 2024</v>
      </c>
      <c r="M808" s="61" t="str">
        <f aca="false">TRIM(INDEX(Datos_Origen!$G$2:$G$2459,$Z808))</f>
        <v>Mouse Inalambrico</v>
      </c>
      <c r="N808" s="61" t="str">
        <f aca="false">$M808&amp;" "&amp;$C808</f>
        <v>Mouse Inalambrico 2024</v>
      </c>
      <c r="O808" s="63" t="n">
        <f aca="false">IF(ISTEXT($AC808),VALUE($AC808),$AC808)</f>
        <v>92</v>
      </c>
      <c r="P808" s="64" t="n">
        <f aca="false">INDEX(Datos_Origen!$I$2:$I$2459,$Z808)</f>
        <v>27.44</v>
      </c>
      <c r="Q808" s="64" t="n">
        <f aca="false">INDEX(Datos_Origen!$J$2:$J$2459,$Z808)</f>
        <v>13.44</v>
      </c>
      <c r="R808" s="65" t="n">
        <f aca="false">ROUND($O808*$P808,2)</f>
        <v>2524.48</v>
      </c>
      <c r="S808" s="65" t="n">
        <f aca="false">ROUND($O808*$Q808,2)</f>
        <v>1236.48</v>
      </c>
      <c r="T808" s="65" t="n">
        <f aca="false">ROUND($R808*SUMIFS(Parametros!$E$28:$E$43,Parametros!$B$28:$B$43,$J808,Parametros!$C$28:$C$43,$C808,Parametros!$D$28:$D$43,$D808),2)</f>
        <v>32.82</v>
      </c>
      <c r="U808" s="65" t="n">
        <f aca="false">$R808-$S808-$T808</f>
        <v>1255.18</v>
      </c>
      <c r="V808" s="66" t="n">
        <f aca="false">IFERROR($U808/$R808,0)</f>
        <v>0.497203384459374</v>
      </c>
      <c r="W808" s="67" t="str">
        <f aca="false">IF(AND($V808&gt;=Parametros!$C$8,$R808&gt;=Parametros!$C$12),"Alta rentabilidad",IF(OR($V808&lt;Parametros!$C$11,$R808&lt;Parametros!$C$13),"Revisar","Estandar"))</f>
        <v>Estandar</v>
      </c>
      <c r="X808" s="67" t="str">
        <f aca="false">IF(AND($J808="E-commerce",IFERROR($T808/$R808,0)&gt;Parametros!$C$14),"Alerta","OK")</f>
        <v>OK</v>
      </c>
      <c r="Y808" s="61" t="str">
        <f aca="false">IF($R808&gt;=Parametros!$C$12,"Alto",IF($R808&lt;Parametros!$C$13,"Bajo","Medio"))</f>
        <v>Medio</v>
      </c>
      <c r="Z808" s="61" t="n">
        <v>118</v>
      </c>
      <c r="AA808" s="61" t="str">
        <f aca="false">IF(MATCH($A808,Datos_Origen!$A$2:$A$2459,0)=$Z808,"OK","REVISAR")</f>
        <v>OK</v>
      </c>
      <c r="AB808" s="61" t="str">
        <f aca="false">INDEX(Datos_Origen!$B$2:$B$2459,$Z808)</f>
        <v>07/09/2024</v>
      </c>
      <c r="AC808" s="61" t="n">
        <f aca="false">INDEX(Datos_Origen!$H$2:$H$2459,$Z808)</f>
        <v>92</v>
      </c>
      <c r="AD808" s="61" t="str">
        <f aca="false">INDEX(Datos_Origen!$D$2:$D$2459,$Z808)&amp;""</f>
        <v>Buenos Aires</v>
      </c>
    </row>
    <row r="809" customFormat="false" ht="15" hidden="false" customHeight="false" outlineLevel="0" collapsed="false">
      <c r="A809" s="61" t="n">
        <f aca="false">INDEX(Datos_Origen!$A$2:$A$2459,$Z809)</f>
        <v>808</v>
      </c>
      <c r="B809" s="62" t="n">
        <f aca="false">IF(ISNUMBER($AB809),$AB809,IF(MID($AB809,5,1)="-",DATE(VALUE(LEFT($AB809,4)),VALUE(MID($AB809,6,2)),VALUE(RIGHT($AB809,2))),DATE(VALUE(RIGHT($AB809,4)),VALUE(MID($AB809,4,2)),VALUE(LEFT($AB809,2)))))</f>
        <v>45549</v>
      </c>
      <c r="C809" s="61" t="n">
        <f aca="false">YEAR($B809)</f>
        <v>2024</v>
      </c>
      <c r="D809" s="61" t="str">
        <f aca="false">"Q"&amp;ROUNDUP(MONTH($B809)/3,0)</f>
        <v>Q3</v>
      </c>
      <c r="E809" s="61" t="n">
        <f aca="false">MONTH($B809)</f>
        <v>9</v>
      </c>
      <c r="F809" s="61" t="str">
        <f aca="false">INDEX(Parametros!$I$5:$I$16,$E809)</f>
        <v>Sep</v>
      </c>
      <c r="G809" s="61" t="str">
        <f aca="false">TEXT($C809,"0000")&amp;"-"&amp;TEXT($E809,"00")</f>
        <v>2024-09</v>
      </c>
      <c r="H809" s="61" t="str">
        <f aca="false">INDEX(Parametros!$C$71:$C$91,MATCH(TRIM(INDEX(Datos_Origen!$C$2:$C$2459,$Z809)),Parametros!$B$71:$B$91,0))</f>
        <v>AMBA</v>
      </c>
      <c r="I809" s="61" t="str">
        <f aca="false">IF(TRIM($AD809)="",INDEX(Parametros!$I$20:$I$24,MATCH($H809,Parametros!$H$20:$H$24,0)),TRIM($AD809))</f>
        <v>Buenos Aires</v>
      </c>
      <c r="J809" s="61" t="str">
        <f aca="false">INDEX(Parametros!$C$95:$C$106,MATCH(TRIM(INDEX(Datos_Origen!$E$2:$E$2459,$Z809)),Parametros!$B$95:$B$106,0))</f>
        <v>E-commerce</v>
      </c>
      <c r="K809" s="61" t="str">
        <f aca="false">INDEX(Parametros!$C$48:$C$67,MATCH(TRIM(INDEX(Datos_Origen!$F$2:$F$2459,$Z809)),Parametros!$B$48:$B$67,0))</f>
        <v>Accesorios</v>
      </c>
      <c r="L809" s="61" t="str">
        <f aca="false">$K809&amp;" "&amp;$C809</f>
        <v>Accesorios 2024</v>
      </c>
      <c r="M809" s="61" t="str">
        <f aca="false">TRIM(INDEX(Datos_Origen!$G$2:$G$2459,$Z809))</f>
        <v>Mouse Inalambrico</v>
      </c>
      <c r="N809" s="61" t="str">
        <f aca="false">$M809&amp;" "&amp;$C809</f>
        <v>Mouse Inalambrico 2024</v>
      </c>
      <c r="O809" s="63" t="n">
        <f aca="false">IF(ISTEXT($AC809),VALUE($AC809),$AC809)</f>
        <v>45</v>
      </c>
      <c r="P809" s="64" t="n">
        <f aca="false">INDEX(Datos_Origen!$I$2:$I$2459,$Z809)</f>
        <v>27.44</v>
      </c>
      <c r="Q809" s="64" t="n">
        <f aca="false">INDEX(Datos_Origen!$J$2:$J$2459,$Z809)</f>
        <v>13.44</v>
      </c>
      <c r="R809" s="65" t="n">
        <f aca="false">ROUND($O809*$P809,2)</f>
        <v>1234.8</v>
      </c>
      <c r="S809" s="65" t="n">
        <f aca="false">ROUND($O809*$Q809,2)</f>
        <v>604.8</v>
      </c>
      <c r="T809" s="65" t="n">
        <f aca="false">ROUND($R809*SUMIFS(Parametros!$E$28:$E$43,Parametros!$B$28:$B$43,$J809,Parametros!$C$28:$C$43,$C809,Parametros!$D$28:$D$43,$D809),2)</f>
        <v>56.8</v>
      </c>
      <c r="U809" s="65" t="n">
        <f aca="false">$R809-$S809-$T809</f>
        <v>573.2</v>
      </c>
      <c r="V809" s="66" t="n">
        <f aca="false">IFERROR($U809/$R809,0)</f>
        <v>0.464204729510852</v>
      </c>
      <c r="W809" s="67" t="str">
        <f aca="false">IF(AND($V809&gt;=Parametros!$C$8,$R809&gt;=Parametros!$C$12),"Alta rentabilidad",IF(OR($V809&lt;Parametros!$C$11,$R809&lt;Parametros!$C$13),"Revisar","Estandar"))</f>
        <v>Estandar</v>
      </c>
      <c r="X809" s="67" t="str">
        <f aca="false">IF(AND($J809="E-commerce",IFERROR($T809/$R809,0)&gt;Parametros!$C$14),"Alerta","OK")</f>
        <v>OK</v>
      </c>
      <c r="Y809" s="61" t="str">
        <f aca="false">IF($R809&gt;=Parametros!$C$12,"Alto",IF($R809&lt;Parametros!$C$13,"Bajo","Medio"))</f>
        <v>Medio</v>
      </c>
      <c r="Z809" s="61" t="n">
        <v>12</v>
      </c>
      <c r="AA809" s="61" t="str">
        <f aca="false">IF(MATCH($A809,Datos_Origen!$A$2:$A$2459,0)=$Z809,"OK","REVISAR")</f>
        <v>OK</v>
      </c>
      <c r="AB809" s="61" t="str">
        <f aca="false">INDEX(Datos_Origen!$B$2:$B$2459,$Z809)</f>
        <v>14/09/2024</v>
      </c>
      <c r="AC809" s="61" t="n">
        <f aca="false">INDEX(Datos_Origen!$H$2:$H$2459,$Z809)</f>
        <v>45</v>
      </c>
      <c r="AD809" s="61" t="str">
        <f aca="false">INDEX(Datos_Origen!$D$2:$D$2459,$Z809)&amp;""</f>
        <v>Buenos Aires</v>
      </c>
    </row>
    <row r="810" customFormat="false" ht="15" hidden="false" customHeight="false" outlineLevel="0" collapsed="false">
      <c r="A810" s="61" t="n">
        <f aca="false">INDEX(Datos_Origen!$A$2:$A$2459,$Z810)</f>
        <v>809</v>
      </c>
      <c r="B810" s="62" t="n">
        <f aca="false">IF(ISNUMBER($AB810),$AB810,IF(MID($AB810,5,1)="-",DATE(VALUE(LEFT($AB810,4)),VALUE(MID($AB810,6,2)),VALUE(RIGHT($AB810,2))),DATE(VALUE(RIGHT($AB810,4)),VALUE(MID($AB810,4,2)),VALUE(LEFT($AB810,2)))))</f>
        <v>45556</v>
      </c>
      <c r="C810" s="61" t="n">
        <f aca="false">YEAR($B810)</f>
        <v>2024</v>
      </c>
      <c r="D810" s="61" t="str">
        <f aca="false">"Q"&amp;ROUNDUP(MONTH($B810)/3,0)</f>
        <v>Q3</v>
      </c>
      <c r="E810" s="61" t="n">
        <f aca="false">MONTH($B810)</f>
        <v>9</v>
      </c>
      <c r="F810" s="61" t="str">
        <f aca="false">INDEX(Parametros!$I$5:$I$16,$E810)</f>
        <v>Sep</v>
      </c>
      <c r="G810" s="61" t="str">
        <f aca="false">TEXT($C810,"0000")&amp;"-"&amp;TEXT($E810,"00")</f>
        <v>2024-09</v>
      </c>
      <c r="H810" s="61" t="str">
        <f aca="false">INDEX(Parametros!$C$71:$C$91,MATCH(TRIM(INDEX(Datos_Origen!$C$2:$C$2459,$Z810)),Parametros!$B$71:$B$91,0))</f>
        <v>AMBA</v>
      </c>
      <c r="I810" s="61" t="str">
        <f aca="false">IF(TRIM($AD810)="",INDEX(Parametros!$I$20:$I$24,MATCH($H810,Parametros!$H$20:$H$24,0)),TRIM($AD810))</f>
        <v>Buenos Aires</v>
      </c>
      <c r="J810" s="61" t="str">
        <f aca="false">INDEX(Parametros!$C$95:$C$106,MATCH(TRIM(INDEX(Datos_Origen!$E$2:$E$2459,$Z810)),Parametros!$B$95:$B$106,0))</f>
        <v>Tienda fisica</v>
      </c>
      <c r="K810" s="61" t="str">
        <f aca="false">INDEX(Parametros!$C$48:$C$67,MATCH(TRIM(INDEX(Datos_Origen!$F$2:$F$2459,$Z810)),Parametros!$B$48:$B$67,0))</f>
        <v>Accesorios</v>
      </c>
      <c r="L810" s="61" t="str">
        <f aca="false">$K810&amp;" "&amp;$C810</f>
        <v>Accesorios 2024</v>
      </c>
      <c r="M810" s="61" t="str">
        <f aca="false">TRIM(INDEX(Datos_Origen!$G$2:$G$2459,$Z810))</f>
        <v>Teclado Mecanico</v>
      </c>
      <c r="N810" s="61" t="str">
        <f aca="false">$M810&amp;" "&amp;$C810</f>
        <v>Teclado Mecanico 2024</v>
      </c>
      <c r="O810" s="63" t="n">
        <f aca="false">IF(ISTEXT($AC810),VALUE($AC810),$AC810)</f>
        <v>97</v>
      </c>
      <c r="P810" s="64" t="n">
        <f aca="false">INDEX(Datos_Origen!$I$2:$I$2459,$Z810)</f>
        <v>93.1</v>
      </c>
      <c r="Q810" s="64" t="n">
        <f aca="false">INDEX(Datos_Origen!$J$2:$J$2459,$Z810)</f>
        <v>47.98</v>
      </c>
      <c r="R810" s="65" t="n">
        <f aca="false">ROUND($O810*$P810,2)</f>
        <v>9030.7</v>
      </c>
      <c r="S810" s="65" t="n">
        <f aca="false">ROUND($O810*$Q810,2)</f>
        <v>4654.06</v>
      </c>
      <c r="T810" s="65" t="n">
        <f aca="false">ROUND($R810*SUMIFS(Parametros!$E$28:$E$43,Parametros!$B$28:$B$43,$J810,Parametros!$C$28:$C$43,$C810,Parametros!$D$28:$D$43,$D810),2)</f>
        <v>117.4</v>
      </c>
      <c r="U810" s="65" t="n">
        <f aca="false">$R810-$S810-$T810</f>
        <v>4259.24</v>
      </c>
      <c r="V810" s="66" t="n">
        <f aca="false">IFERROR($U810/$R810,0)</f>
        <v>0.471640072198169</v>
      </c>
      <c r="W810" s="67" t="str">
        <f aca="false">IF(AND($V810&gt;=Parametros!$C$8,$R810&gt;=Parametros!$C$12),"Alta rentabilidad",IF(OR($V810&lt;Parametros!$C$11,$R810&lt;Parametros!$C$13),"Revisar","Estandar"))</f>
        <v>Alta rentabilidad</v>
      </c>
      <c r="X810" s="67" t="str">
        <f aca="false">IF(AND($J810="E-commerce",IFERROR($T810/$R810,0)&gt;Parametros!$C$14),"Alerta","OK")</f>
        <v>OK</v>
      </c>
      <c r="Y810" s="61" t="str">
        <f aca="false">IF($R810&gt;=Parametros!$C$12,"Alto",IF($R810&lt;Parametros!$C$13,"Bajo","Medio"))</f>
        <v>Alto</v>
      </c>
      <c r="Z810" s="61" t="n">
        <v>2119</v>
      </c>
      <c r="AA810" s="61" t="str">
        <f aca="false">IF(MATCH($A810,Datos_Origen!$A$2:$A$2459,0)=$Z810,"OK","REVISAR")</f>
        <v>OK</v>
      </c>
      <c r="AB810" s="62" t="n">
        <f aca="false">INDEX(Datos_Origen!$B$2:$B$2459,$Z810)</f>
        <v>45556</v>
      </c>
      <c r="AC810" s="61" t="n">
        <f aca="false">INDEX(Datos_Origen!$H$2:$H$2459,$Z810)</f>
        <v>97</v>
      </c>
      <c r="AD810" s="61" t="str">
        <f aca="false">INDEX(Datos_Origen!$D$2:$D$2459,$Z810)&amp;""</f>
        <v>Buenos Aires</v>
      </c>
    </row>
    <row r="811" customFormat="false" ht="15" hidden="false" customHeight="false" outlineLevel="0" collapsed="false">
      <c r="A811" s="61" t="n">
        <f aca="false">INDEX(Datos_Origen!$A$2:$A$2459,$Z811)</f>
        <v>810</v>
      </c>
      <c r="B811" s="62" t="n">
        <f aca="false">IF(ISNUMBER($AB811),$AB811,IF(MID($AB811,5,1)="-",DATE(VALUE(LEFT($AB811,4)),VALUE(MID($AB811,6,2)),VALUE(RIGHT($AB811,2))),DATE(VALUE(RIGHT($AB811,4)),VALUE(MID($AB811,4,2)),VALUE(LEFT($AB811,2)))))</f>
        <v>45536</v>
      </c>
      <c r="C811" s="61" t="n">
        <f aca="false">YEAR($B811)</f>
        <v>2024</v>
      </c>
      <c r="D811" s="61" t="str">
        <f aca="false">"Q"&amp;ROUNDUP(MONTH($B811)/3,0)</f>
        <v>Q3</v>
      </c>
      <c r="E811" s="61" t="n">
        <f aca="false">MONTH($B811)</f>
        <v>9</v>
      </c>
      <c r="F811" s="61" t="str">
        <f aca="false">INDEX(Parametros!$I$5:$I$16,$E811)</f>
        <v>Sep</v>
      </c>
      <c r="G811" s="61" t="str">
        <f aca="false">TEXT($C811,"0000")&amp;"-"&amp;TEXT($E811,"00")</f>
        <v>2024-09</v>
      </c>
      <c r="H811" s="61" t="str">
        <f aca="false">INDEX(Parametros!$C$71:$C$91,MATCH(TRIM(INDEX(Datos_Origen!$C$2:$C$2459,$Z811)),Parametros!$B$71:$B$91,0))</f>
        <v>AMBA</v>
      </c>
      <c r="I811" s="61" t="str">
        <f aca="false">IF(TRIM($AD811)="",INDEX(Parametros!$I$20:$I$24,MATCH($H811,Parametros!$H$20:$H$24,0)),TRIM($AD811))</f>
        <v>Buenos Aires</v>
      </c>
      <c r="J811" s="61" t="str">
        <f aca="false">INDEX(Parametros!$C$95:$C$106,MATCH(TRIM(INDEX(Datos_Origen!$E$2:$E$2459,$Z811)),Parametros!$B$95:$B$106,0))</f>
        <v>E-commerce</v>
      </c>
      <c r="K811" s="61" t="str">
        <f aca="false">INDEX(Parametros!$C$48:$C$67,MATCH(TRIM(INDEX(Datos_Origen!$F$2:$F$2459,$Z811)),Parametros!$B$48:$B$67,0))</f>
        <v>Accesorios</v>
      </c>
      <c r="L811" s="61" t="str">
        <f aca="false">$K811&amp;" "&amp;$C811</f>
        <v>Accesorios 2024</v>
      </c>
      <c r="M811" s="61" t="str">
        <f aca="false">TRIM(INDEX(Datos_Origen!$G$2:$G$2459,$Z811))</f>
        <v>Teclado Mecanico</v>
      </c>
      <c r="N811" s="61" t="str">
        <f aca="false">$M811&amp;" "&amp;$C811</f>
        <v>Teclado Mecanico 2024</v>
      </c>
      <c r="O811" s="63" t="n">
        <f aca="false">IF(ISTEXT($AC811),VALUE($AC811),$AC811)</f>
        <v>35</v>
      </c>
      <c r="P811" s="64" t="n">
        <f aca="false">INDEX(Datos_Origen!$I$2:$I$2459,$Z811)</f>
        <v>93.1</v>
      </c>
      <c r="Q811" s="64" t="n">
        <f aca="false">INDEX(Datos_Origen!$J$2:$J$2459,$Z811)</f>
        <v>47.98</v>
      </c>
      <c r="R811" s="65" t="n">
        <f aca="false">ROUND($O811*$P811,2)</f>
        <v>3258.5</v>
      </c>
      <c r="S811" s="65" t="n">
        <f aca="false">ROUND($O811*$Q811,2)</f>
        <v>1679.3</v>
      </c>
      <c r="T811" s="65" t="n">
        <f aca="false">ROUND($R811*SUMIFS(Parametros!$E$28:$E$43,Parametros!$B$28:$B$43,$J811,Parametros!$C$28:$C$43,$C811,Parametros!$D$28:$D$43,$D811),2)</f>
        <v>149.89</v>
      </c>
      <c r="U811" s="65" t="n">
        <f aca="false">$R811-$S811-$T811</f>
        <v>1429.31</v>
      </c>
      <c r="V811" s="66" t="n">
        <f aca="false">IFERROR($U811/$R811,0)</f>
        <v>0.43864047874789</v>
      </c>
      <c r="W811" s="67" t="str">
        <f aca="false">IF(AND($V811&gt;=Parametros!$C$8,$R811&gt;=Parametros!$C$12),"Alta rentabilidad",IF(OR($V811&lt;Parametros!$C$11,$R811&lt;Parametros!$C$13),"Revisar","Estandar"))</f>
        <v>Alta rentabilidad</v>
      </c>
      <c r="X811" s="67" t="str">
        <f aca="false">IF(AND($J811="E-commerce",IFERROR($T811/$R811,0)&gt;Parametros!$C$14),"Alerta","OK")</f>
        <v>OK</v>
      </c>
      <c r="Y811" s="61" t="str">
        <f aca="false">IF($R811&gt;=Parametros!$C$12,"Alto",IF($R811&lt;Parametros!$C$13,"Bajo","Medio"))</f>
        <v>Alto</v>
      </c>
      <c r="Z811" s="61" t="n">
        <v>2001</v>
      </c>
      <c r="AA811" s="61" t="str">
        <f aca="false">IF(MATCH($A811,Datos_Origen!$A$2:$A$2459,0)=$Z811,"OK","REVISAR")</f>
        <v>OK</v>
      </c>
      <c r="AB811" s="61" t="str">
        <f aca="false">INDEX(Datos_Origen!$B$2:$B$2459,$Z811)</f>
        <v>2024-09-01</v>
      </c>
      <c r="AC811" s="61" t="n">
        <f aca="false">INDEX(Datos_Origen!$H$2:$H$2459,$Z811)</f>
        <v>35</v>
      </c>
      <c r="AD811" s="61" t="str">
        <f aca="false">INDEX(Datos_Origen!$D$2:$D$2459,$Z811)&amp;""</f>
        <v>Buenos Aires</v>
      </c>
    </row>
    <row r="812" customFormat="false" ht="15" hidden="false" customHeight="false" outlineLevel="0" collapsed="false">
      <c r="A812" s="61" t="n">
        <f aca="false">INDEX(Datos_Origen!$A$2:$A$2459,$Z812)</f>
        <v>811</v>
      </c>
      <c r="B812" s="62" t="n">
        <f aca="false">IF(ISNUMBER($AB812),$AB812,IF(MID($AB812,5,1)="-",DATE(VALUE(LEFT($AB812,4)),VALUE(MID($AB812,6,2)),VALUE(RIGHT($AB812,2))),DATE(VALUE(RIGHT($AB812,4)),VALUE(MID($AB812,4,2)),VALUE(LEFT($AB812,2)))))</f>
        <v>45543</v>
      </c>
      <c r="C812" s="61" t="n">
        <f aca="false">YEAR($B812)</f>
        <v>2024</v>
      </c>
      <c r="D812" s="61" t="str">
        <f aca="false">"Q"&amp;ROUNDUP(MONTH($B812)/3,0)</f>
        <v>Q3</v>
      </c>
      <c r="E812" s="61" t="n">
        <f aca="false">MONTH($B812)</f>
        <v>9</v>
      </c>
      <c r="F812" s="61" t="str">
        <f aca="false">INDEX(Parametros!$I$5:$I$16,$E812)</f>
        <v>Sep</v>
      </c>
      <c r="G812" s="61" t="str">
        <f aca="false">TEXT($C812,"0000")&amp;"-"&amp;TEXT($E812,"00")</f>
        <v>2024-09</v>
      </c>
      <c r="H812" s="61" t="str">
        <f aca="false">INDEX(Parametros!$C$71:$C$91,MATCH(TRIM(INDEX(Datos_Origen!$C$2:$C$2459,$Z812)),Parametros!$B$71:$B$91,0))</f>
        <v>AMBA</v>
      </c>
      <c r="I812" s="61" t="str">
        <f aca="false">IF(TRIM($AD812)="",INDEX(Parametros!$I$20:$I$24,MATCH($H812,Parametros!$H$20:$H$24,0)),TRIM($AD812))</f>
        <v>Buenos Aires</v>
      </c>
      <c r="J812" s="61" t="str">
        <f aca="false">INDEX(Parametros!$C$95:$C$106,MATCH(TRIM(INDEX(Datos_Origen!$E$2:$E$2459,$Z812)),Parametros!$B$95:$B$106,0))</f>
        <v>Tienda fisica</v>
      </c>
      <c r="K812" s="61" t="str">
        <f aca="false">INDEX(Parametros!$C$48:$C$67,MATCH(TRIM(INDEX(Datos_Origen!$F$2:$F$2459,$Z812)),Parametros!$B$48:$B$67,0))</f>
        <v>Accesorios</v>
      </c>
      <c r="L812" s="61" t="str">
        <f aca="false">$K812&amp;" "&amp;$C812</f>
        <v>Accesorios 2024</v>
      </c>
      <c r="M812" s="61" t="str">
        <f aca="false">TRIM(INDEX(Datos_Origen!$G$2:$G$2459,$Z812))</f>
        <v>Webcam Full HD</v>
      </c>
      <c r="N812" s="61" t="str">
        <f aca="false">$M812&amp;" "&amp;$C812</f>
        <v>Webcam Full HD 2024</v>
      </c>
      <c r="O812" s="63" t="n">
        <f aca="false">IF(ISTEXT($AC812),VALUE($AC812),$AC812)</f>
        <v>96</v>
      </c>
      <c r="P812" s="64" t="n">
        <f aca="false">INDEX(Datos_Origen!$I$2:$I$2459,$Z812)</f>
        <v>63.7</v>
      </c>
      <c r="Q812" s="64" t="n">
        <f aca="false">INDEX(Datos_Origen!$J$2:$J$2459,$Z812)</f>
        <v>35.43</v>
      </c>
      <c r="R812" s="65" t="n">
        <f aca="false">ROUND($O812*$P812,2)</f>
        <v>6115.2</v>
      </c>
      <c r="S812" s="65" t="n">
        <f aca="false">ROUND($O812*$Q812,2)</f>
        <v>3401.28</v>
      </c>
      <c r="T812" s="65" t="n">
        <f aca="false">ROUND($R812*SUMIFS(Parametros!$E$28:$E$43,Parametros!$B$28:$B$43,$J812,Parametros!$C$28:$C$43,$C812,Parametros!$D$28:$D$43,$D812),2)</f>
        <v>79.5</v>
      </c>
      <c r="U812" s="65" t="n">
        <f aca="false">$R812-$S812-$T812</f>
        <v>2634.42</v>
      </c>
      <c r="V812" s="66" t="n">
        <f aca="false">IFERROR($U812/$R812,0)</f>
        <v>0.430798665620094</v>
      </c>
      <c r="W812" s="67" t="str">
        <f aca="false">IF(AND($V812&gt;=Parametros!$C$8,$R812&gt;=Parametros!$C$12),"Alta rentabilidad",IF(OR($V812&lt;Parametros!$C$11,$R812&lt;Parametros!$C$13),"Revisar","Estandar"))</f>
        <v>Alta rentabilidad</v>
      </c>
      <c r="X812" s="67" t="str">
        <f aca="false">IF(AND($J812="E-commerce",IFERROR($T812/$R812,0)&gt;Parametros!$C$14),"Alerta","OK")</f>
        <v>OK</v>
      </c>
      <c r="Y812" s="61" t="str">
        <f aca="false">IF($R812&gt;=Parametros!$C$12,"Alto",IF($R812&lt;Parametros!$C$13,"Bajo","Medio"))</f>
        <v>Alto</v>
      </c>
      <c r="Z812" s="61" t="n">
        <v>1630</v>
      </c>
      <c r="AA812" s="61" t="str">
        <f aca="false">IF(MATCH($A812,Datos_Origen!$A$2:$A$2459,0)=$Z812,"OK","REVISAR")</f>
        <v>OK</v>
      </c>
      <c r="AB812" s="62" t="n">
        <f aca="false">INDEX(Datos_Origen!$B$2:$B$2459,$Z812)</f>
        <v>45543</v>
      </c>
      <c r="AC812" s="61" t="n">
        <f aca="false">INDEX(Datos_Origen!$H$2:$H$2459,$Z812)</f>
        <v>96</v>
      </c>
      <c r="AD812" s="61" t="str">
        <f aca="false">INDEX(Datos_Origen!$D$2:$D$2459,$Z812)&amp;""</f>
        <v>Buenos Aires</v>
      </c>
    </row>
    <row r="813" customFormat="false" ht="15" hidden="false" customHeight="false" outlineLevel="0" collapsed="false">
      <c r="A813" s="61" t="n">
        <f aca="false">INDEX(Datos_Origen!$A$2:$A$2459,$Z813)</f>
        <v>812</v>
      </c>
      <c r="B813" s="62" t="n">
        <f aca="false">IF(ISNUMBER($AB813),$AB813,IF(MID($AB813,5,1)="-",DATE(VALUE(LEFT($AB813,4)),VALUE(MID($AB813,6,2)),VALUE(RIGHT($AB813,2))),DATE(VALUE(RIGHT($AB813,4)),VALUE(MID($AB813,4,2)),VALUE(LEFT($AB813,2)))))</f>
        <v>45550</v>
      </c>
      <c r="C813" s="61" t="n">
        <f aca="false">YEAR($B813)</f>
        <v>2024</v>
      </c>
      <c r="D813" s="61" t="str">
        <f aca="false">"Q"&amp;ROUNDUP(MONTH($B813)/3,0)</f>
        <v>Q3</v>
      </c>
      <c r="E813" s="61" t="n">
        <f aca="false">MONTH($B813)</f>
        <v>9</v>
      </c>
      <c r="F813" s="61" t="str">
        <f aca="false">INDEX(Parametros!$I$5:$I$16,$E813)</f>
        <v>Sep</v>
      </c>
      <c r="G813" s="61" t="str">
        <f aca="false">TEXT($C813,"0000")&amp;"-"&amp;TEXT($E813,"00")</f>
        <v>2024-09</v>
      </c>
      <c r="H813" s="61" t="str">
        <f aca="false">INDEX(Parametros!$C$71:$C$91,MATCH(TRIM(INDEX(Datos_Origen!$C$2:$C$2459,$Z813)),Parametros!$B$71:$B$91,0))</f>
        <v>AMBA</v>
      </c>
      <c r="I813" s="61" t="str">
        <f aca="false">IF(TRIM($AD813)="",INDEX(Parametros!$I$20:$I$24,MATCH($H813,Parametros!$H$20:$H$24,0)),TRIM($AD813))</f>
        <v>Buenos Aires</v>
      </c>
      <c r="J813" s="61" t="str">
        <f aca="false">INDEX(Parametros!$C$95:$C$106,MATCH(TRIM(INDEX(Datos_Origen!$E$2:$E$2459,$Z813)),Parametros!$B$95:$B$106,0))</f>
        <v>E-commerce</v>
      </c>
      <c r="K813" s="61" t="str">
        <f aca="false">INDEX(Parametros!$C$48:$C$67,MATCH(TRIM(INDEX(Datos_Origen!$F$2:$F$2459,$Z813)),Parametros!$B$48:$B$67,0))</f>
        <v>Accesorios</v>
      </c>
      <c r="L813" s="61" t="str">
        <f aca="false">$K813&amp;" "&amp;$C813</f>
        <v>Accesorios 2024</v>
      </c>
      <c r="M813" s="61" t="str">
        <f aca="false">TRIM(INDEX(Datos_Origen!$G$2:$G$2459,$Z813))</f>
        <v>Webcam Full HD</v>
      </c>
      <c r="N813" s="61" t="str">
        <f aca="false">$M813&amp;" "&amp;$C813</f>
        <v>Webcam Full HD 2024</v>
      </c>
      <c r="O813" s="63" t="n">
        <f aca="false">IF(ISTEXT($AC813),VALUE($AC813),$AC813)</f>
        <v>42</v>
      </c>
      <c r="P813" s="64" t="n">
        <f aca="false">INDEX(Datos_Origen!$I$2:$I$2459,$Z813)</f>
        <v>63.7</v>
      </c>
      <c r="Q813" s="64" t="n">
        <f aca="false">INDEX(Datos_Origen!$J$2:$J$2459,$Z813)</f>
        <v>35.43</v>
      </c>
      <c r="R813" s="65" t="n">
        <f aca="false">ROUND($O813*$P813,2)</f>
        <v>2675.4</v>
      </c>
      <c r="S813" s="65" t="n">
        <f aca="false">ROUND($O813*$Q813,2)</f>
        <v>1488.06</v>
      </c>
      <c r="T813" s="65" t="n">
        <f aca="false">ROUND($R813*SUMIFS(Parametros!$E$28:$E$43,Parametros!$B$28:$B$43,$J813,Parametros!$C$28:$C$43,$C813,Parametros!$D$28:$D$43,$D813),2)</f>
        <v>123.07</v>
      </c>
      <c r="U813" s="65" t="n">
        <f aca="false">$R813-$S813-$T813</f>
        <v>1064.27</v>
      </c>
      <c r="V813" s="66" t="n">
        <f aca="false">IFERROR($U813/$R813,0)</f>
        <v>0.397798460043358</v>
      </c>
      <c r="W813" s="67" t="str">
        <f aca="false">IF(AND($V813&gt;=Parametros!$C$8,$R813&gt;=Parametros!$C$12),"Alta rentabilidad",IF(OR($V813&lt;Parametros!$C$11,$R813&lt;Parametros!$C$13),"Revisar","Estandar"))</f>
        <v>Estandar</v>
      </c>
      <c r="X813" s="67" t="str">
        <f aca="false">IF(AND($J813="E-commerce",IFERROR($T813/$R813,0)&gt;Parametros!$C$14),"Alerta","OK")</f>
        <v>OK</v>
      </c>
      <c r="Y813" s="61" t="str">
        <f aca="false">IF($R813&gt;=Parametros!$C$12,"Alto",IF($R813&lt;Parametros!$C$13,"Bajo","Medio"))</f>
        <v>Medio</v>
      </c>
      <c r="Z813" s="61" t="n">
        <v>2345</v>
      </c>
      <c r="AA813" s="61" t="str">
        <f aca="false">IF(MATCH($A813,Datos_Origen!$A$2:$A$2459,0)=$Z813,"OK","REVISAR")</f>
        <v>OK</v>
      </c>
      <c r="AB813" s="62" t="n">
        <f aca="false">INDEX(Datos_Origen!$B$2:$B$2459,$Z813)</f>
        <v>45550</v>
      </c>
      <c r="AC813" s="61" t="n">
        <f aca="false">INDEX(Datos_Origen!$H$2:$H$2459,$Z813)</f>
        <v>42</v>
      </c>
      <c r="AD813" s="61" t="str">
        <f aca="false">INDEX(Datos_Origen!$D$2:$D$2459,$Z813)&amp;""</f>
        <v>Buenos Aires</v>
      </c>
    </row>
    <row r="814" customFormat="false" ht="15" hidden="false" customHeight="false" outlineLevel="0" collapsed="false">
      <c r="A814" s="61" t="n">
        <f aca="false">INDEX(Datos_Origen!$A$2:$A$2459,$Z814)</f>
        <v>813</v>
      </c>
      <c r="B814" s="62" t="n">
        <f aca="false">IF(ISNUMBER($AB814),$AB814,IF(MID($AB814,5,1)="-",DATE(VALUE(LEFT($AB814,4)),VALUE(MID($AB814,6,2)),VALUE(RIGHT($AB814,2))),DATE(VALUE(RIGHT($AB814,4)),VALUE(MID($AB814,4,2)),VALUE(LEFT($AB814,2)))))</f>
        <v>45557</v>
      </c>
      <c r="C814" s="61" t="n">
        <f aca="false">YEAR($B814)</f>
        <v>2024</v>
      </c>
      <c r="D814" s="61" t="str">
        <f aca="false">"Q"&amp;ROUNDUP(MONTH($B814)/3,0)</f>
        <v>Q3</v>
      </c>
      <c r="E814" s="61" t="n">
        <f aca="false">MONTH($B814)</f>
        <v>9</v>
      </c>
      <c r="F814" s="61" t="str">
        <f aca="false">INDEX(Parametros!$I$5:$I$16,$E814)</f>
        <v>Sep</v>
      </c>
      <c r="G814" s="61" t="str">
        <f aca="false">TEXT($C814,"0000")&amp;"-"&amp;TEXT($E814,"00")</f>
        <v>2024-09</v>
      </c>
      <c r="H814" s="61" t="str">
        <f aca="false">INDEX(Parametros!$C$71:$C$91,MATCH(TRIM(INDEX(Datos_Origen!$C$2:$C$2459,$Z814)),Parametros!$B$71:$B$91,0))</f>
        <v>AMBA</v>
      </c>
      <c r="I814" s="61" t="str">
        <f aca="false">IF(TRIM($AD814)="",INDEX(Parametros!$I$20:$I$24,MATCH($H814,Parametros!$H$20:$H$24,0)),TRIM($AD814))</f>
        <v>Buenos Aires</v>
      </c>
      <c r="J814" s="61" t="str">
        <f aca="false">INDEX(Parametros!$C$95:$C$106,MATCH(TRIM(INDEX(Datos_Origen!$E$2:$E$2459,$Z814)),Parametros!$B$95:$B$106,0))</f>
        <v>Tienda fisica</v>
      </c>
      <c r="K814" s="61" t="str">
        <f aca="false">INDEX(Parametros!$C$48:$C$67,MATCH(TRIM(INDEX(Datos_Origen!$F$2:$F$2459,$Z814)),Parametros!$B$48:$B$67,0))</f>
        <v>Audio</v>
      </c>
      <c r="L814" s="61" t="str">
        <f aca="false">$K814&amp;" "&amp;$C814</f>
        <v>Audio 2024</v>
      </c>
      <c r="M814" s="61" t="str">
        <f aca="false">TRIM(INDEX(Datos_Origen!$G$2:$G$2459,$Z814))</f>
        <v>Auriculares BT Pro</v>
      </c>
      <c r="N814" s="61" t="str">
        <f aca="false">$M814&amp;" "&amp;$C814</f>
        <v>Auriculares BT Pro 2024</v>
      </c>
      <c r="O814" s="63" t="n">
        <f aca="false">IF(ISTEXT($AC814),VALUE($AC814),$AC814)</f>
        <v>43</v>
      </c>
      <c r="P814" s="64" t="n">
        <f aca="false">INDEX(Datos_Origen!$I$2:$I$2459,$Z814)</f>
        <v>117.6</v>
      </c>
      <c r="Q814" s="64" t="n">
        <f aca="false">INDEX(Datos_Origen!$J$2:$J$2459,$Z814)</f>
        <v>63.6</v>
      </c>
      <c r="R814" s="65" t="n">
        <f aca="false">ROUND($O814*$P814,2)</f>
        <v>5056.8</v>
      </c>
      <c r="S814" s="65" t="n">
        <f aca="false">ROUND($O814*$Q814,2)</f>
        <v>2734.8</v>
      </c>
      <c r="T814" s="65" t="n">
        <f aca="false">ROUND($R814*SUMIFS(Parametros!$E$28:$E$43,Parametros!$B$28:$B$43,$J814,Parametros!$C$28:$C$43,$C814,Parametros!$D$28:$D$43,$D814),2)</f>
        <v>65.74</v>
      </c>
      <c r="U814" s="65" t="n">
        <f aca="false">$R814-$S814-$T814</f>
        <v>2256.26</v>
      </c>
      <c r="V814" s="66" t="n">
        <f aca="false">IFERROR($U814/$R814,0)</f>
        <v>0.446183357063756</v>
      </c>
      <c r="W814" s="67" t="str">
        <f aca="false">IF(AND($V814&gt;=Parametros!$C$8,$R814&gt;=Parametros!$C$12),"Alta rentabilidad",IF(OR($V814&lt;Parametros!$C$11,$R814&lt;Parametros!$C$13),"Revisar","Estandar"))</f>
        <v>Alta rentabilidad</v>
      </c>
      <c r="X814" s="67" t="str">
        <f aca="false">IF(AND($J814="E-commerce",IFERROR($T814/$R814,0)&gt;Parametros!$C$14),"Alerta","OK")</f>
        <v>OK</v>
      </c>
      <c r="Y814" s="61" t="str">
        <f aca="false">IF($R814&gt;=Parametros!$C$12,"Alto",IF($R814&lt;Parametros!$C$13,"Bajo","Medio"))</f>
        <v>Alto</v>
      </c>
      <c r="Z814" s="61" t="n">
        <v>1515</v>
      </c>
      <c r="AA814" s="61" t="str">
        <f aca="false">IF(MATCH($A814,Datos_Origen!$A$2:$A$2459,0)=$Z814,"OK","REVISAR")</f>
        <v>OK</v>
      </c>
      <c r="AB814" s="62" t="n">
        <f aca="false">INDEX(Datos_Origen!$B$2:$B$2459,$Z814)</f>
        <v>45557</v>
      </c>
      <c r="AC814" s="61" t="n">
        <f aca="false">INDEX(Datos_Origen!$H$2:$H$2459,$Z814)</f>
        <v>43</v>
      </c>
      <c r="AD814" s="61" t="str">
        <f aca="false">INDEX(Datos_Origen!$D$2:$D$2459,$Z814)&amp;""</f>
        <v>Buenos Aires</v>
      </c>
    </row>
    <row r="815" customFormat="false" ht="15" hidden="false" customHeight="false" outlineLevel="0" collapsed="false">
      <c r="A815" s="61" t="n">
        <f aca="false">INDEX(Datos_Origen!$A$2:$A$2459,$Z815)</f>
        <v>814</v>
      </c>
      <c r="B815" s="62" t="n">
        <f aca="false">IF(ISNUMBER($AB815),$AB815,IF(MID($AB815,5,1)="-",DATE(VALUE(LEFT($AB815,4)),VALUE(MID($AB815,6,2)),VALUE(RIGHT($AB815,2))),DATE(VALUE(RIGHT($AB815,4)),VALUE(MID($AB815,4,2)),VALUE(LEFT($AB815,2)))))</f>
        <v>45537</v>
      </c>
      <c r="C815" s="61" t="n">
        <f aca="false">YEAR($B815)</f>
        <v>2024</v>
      </c>
      <c r="D815" s="61" t="str">
        <f aca="false">"Q"&amp;ROUNDUP(MONTH($B815)/3,0)</f>
        <v>Q3</v>
      </c>
      <c r="E815" s="61" t="n">
        <f aca="false">MONTH($B815)</f>
        <v>9</v>
      </c>
      <c r="F815" s="61" t="str">
        <f aca="false">INDEX(Parametros!$I$5:$I$16,$E815)</f>
        <v>Sep</v>
      </c>
      <c r="G815" s="61" t="str">
        <f aca="false">TEXT($C815,"0000")&amp;"-"&amp;TEXT($E815,"00")</f>
        <v>2024-09</v>
      </c>
      <c r="H815" s="61" t="str">
        <f aca="false">INDEX(Parametros!$C$71:$C$91,MATCH(TRIM(INDEX(Datos_Origen!$C$2:$C$2459,$Z815)),Parametros!$B$71:$B$91,0))</f>
        <v>AMBA</v>
      </c>
      <c r="I815" s="61" t="str">
        <f aca="false">IF(TRIM($AD815)="",INDEX(Parametros!$I$20:$I$24,MATCH($H815,Parametros!$H$20:$H$24,0)),TRIM($AD815))</f>
        <v>Buenos Aires</v>
      </c>
      <c r="J815" s="61" t="str">
        <f aca="false">INDEX(Parametros!$C$95:$C$106,MATCH(TRIM(INDEX(Datos_Origen!$E$2:$E$2459,$Z815)),Parametros!$B$95:$B$106,0))</f>
        <v>E-commerce</v>
      </c>
      <c r="K815" s="61" t="str">
        <f aca="false">INDEX(Parametros!$C$48:$C$67,MATCH(TRIM(INDEX(Datos_Origen!$F$2:$F$2459,$Z815)),Parametros!$B$48:$B$67,0))</f>
        <v>Audio</v>
      </c>
      <c r="L815" s="61" t="str">
        <f aca="false">$K815&amp;" "&amp;$C815</f>
        <v>Audio 2024</v>
      </c>
      <c r="M815" s="61" t="str">
        <f aca="false">TRIM(INDEX(Datos_Origen!$G$2:$G$2459,$Z815))</f>
        <v>Auriculares BT Pro</v>
      </c>
      <c r="N815" s="61" t="str">
        <f aca="false">$M815&amp;" "&amp;$C815</f>
        <v>Auriculares BT Pro 2024</v>
      </c>
      <c r="O815" s="63" t="n">
        <f aca="false">IF(ISTEXT($AC815),VALUE($AC815),$AC815)</f>
        <v>16</v>
      </c>
      <c r="P815" s="64" t="n">
        <f aca="false">INDEX(Datos_Origen!$I$2:$I$2459,$Z815)</f>
        <v>117.6</v>
      </c>
      <c r="Q815" s="64" t="n">
        <f aca="false">INDEX(Datos_Origen!$J$2:$J$2459,$Z815)</f>
        <v>63.6</v>
      </c>
      <c r="R815" s="65" t="n">
        <f aca="false">ROUND($O815*$P815,2)</f>
        <v>1881.6</v>
      </c>
      <c r="S815" s="65" t="n">
        <f aca="false">ROUND($O815*$Q815,2)</f>
        <v>1017.6</v>
      </c>
      <c r="T815" s="65" t="n">
        <f aca="false">ROUND($R815*SUMIFS(Parametros!$E$28:$E$43,Parametros!$B$28:$B$43,$J815,Parametros!$C$28:$C$43,$C815,Parametros!$D$28:$D$43,$D815),2)</f>
        <v>86.55</v>
      </c>
      <c r="U815" s="65" t="n">
        <f aca="false">$R815-$S815-$T815</f>
        <v>777.45</v>
      </c>
      <c r="V815" s="66" t="n">
        <f aca="false">IFERROR($U815/$R815,0)</f>
        <v>0.413185586734694</v>
      </c>
      <c r="W815" s="67" t="str">
        <f aca="false">IF(AND($V815&gt;=Parametros!$C$8,$R815&gt;=Parametros!$C$12),"Alta rentabilidad",IF(OR($V815&lt;Parametros!$C$11,$R815&lt;Parametros!$C$13),"Revisar","Estandar"))</f>
        <v>Estandar</v>
      </c>
      <c r="X815" s="67" t="str">
        <f aca="false">IF(AND($J815="E-commerce",IFERROR($T815/$R815,0)&gt;Parametros!$C$14),"Alerta","OK")</f>
        <v>OK</v>
      </c>
      <c r="Y815" s="61" t="str">
        <f aca="false">IF($R815&gt;=Parametros!$C$12,"Alto",IF($R815&lt;Parametros!$C$13,"Bajo","Medio"))</f>
        <v>Medio</v>
      </c>
      <c r="Z815" s="61" t="n">
        <v>1408</v>
      </c>
      <c r="AA815" s="61" t="str">
        <f aca="false">IF(MATCH($A815,Datos_Origen!$A$2:$A$2459,0)=$Z815,"OK","REVISAR")</f>
        <v>OK</v>
      </c>
      <c r="AB815" s="62" t="n">
        <f aca="false">INDEX(Datos_Origen!$B$2:$B$2459,$Z815)</f>
        <v>45537</v>
      </c>
      <c r="AC815" s="61" t="n">
        <f aca="false">INDEX(Datos_Origen!$H$2:$H$2459,$Z815)</f>
        <v>16</v>
      </c>
      <c r="AD815" s="61" t="str">
        <f aca="false">INDEX(Datos_Origen!$D$2:$D$2459,$Z815)&amp;""</f>
        <v>Buenos Aires</v>
      </c>
    </row>
    <row r="816" customFormat="false" ht="15" hidden="false" customHeight="false" outlineLevel="0" collapsed="false">
      <c r="A816" s="61" t="n">
        <f aca="false">INDEX(Datos_Origen!$A$2:$A$2459,$Z816)</f>
        <v>815</v>
      </c>
      <c r="B816" s="62" t="n">
        <f aca="false">IF(ISNUMBER($AB816),$AB816,IF(MID($AB816,5,1)="-",DATE(VALUE(LEFT($AB816,4)),VALUE(MID($AB816,6,2)),VALUE(RIGHT($AB816,2))),DATE(VALUE(RIGHT($AB816,4)),VALUE(MID($AB816,4,2)),VALUE(LEFT($AB816,2)))))</f>
        <v>45544</v>
      </c>
      <c r="C816" s="61" t="n">
        <f aca="false">YEAR($B816)</f>
        <v>2024</v>
      </c>
      <c r="D816" s="61" t="str">
        <f aca="false">"Q"&amp;ROUNDUP(MONTH($B816)/3,0)</f>
        <v>Q3</v>
      </c>
      <c r="E816" s="61" t="n">
        <f aca="false">MONTH($B816)</f>
        <v>9</v>
      </c>
      <c r="F816" s="61" t="str">
        <f aca="false">INDEX(Parametros!$I$5:$I$16,$E816)</f>
        <v>Sep</v>
      </c>
      <c r="G816" s="61" t="str">
        <f aca="false">TEXT($C816,"0000")&amp;"-"&amp;TEXT($E816,"00")</f>
        <v>2024-09</v>
      </c>
      <c r="H816" s="61" t="str">
        <f aca="false">INDEX(Parametros!$C$71:$C$91,MATCH(TRIM(INDEX(Datos_Origen!$C$2:$C$2459,$Z816)),Parametros!$B$71:$B$91,0))</f>
        <v>AMBA</v>
      </c>
      <c r="I816" s="61" t="str">
        <f aca="false">IF(TRIM($AD816)="",INDEX(Parametros!$I$20:$I$24,MATCH($H816,Parametros!$H$20:$H$24,0)),TRIM($AD816))</f>
        <v>Buenos Aires</v>
      </c>
      <c r="J816" s="61" t="str">
        <f aca="false">INDEX(Parametros!$C$95:$C$106,MATCH(TRIM(INDEX(Datos_Origen!$E$2:$E$2459,$Z816)),Parametros!$B$95:$B$106,0))</f>
        <v>Tienda fisica</v>
      </c>
      <c r="K816" s="61" t="str">
        <f aca="false">INDEX(Parametros!$C$48:$C$67,MATCH(TRIM(INDEX(Datos_Origen!$F$2:$F$2459,$Z816)),Parametros!$B$48:$B$67,0))</f>
        <v>Audio</v>
      </c>
      <c r="L816" s="61" t="str">
        <f aca="false">$K816&amp;" "&amp;$C816</f>
        <v>Audio 2024</v>
      </c>
      <c r="M816" s="61" t="str">
        <f aca="false">TRIM(INDEX(Datos_Origen!$G$2:$G$2459,$Z816))</f>
        <v>Parlante Bluetooth</v>
      </c>
      <c r="N816" s="61" t="str">
        <f aca="false">$M816&amp;" "&amp;$C816</f>
        <v>Parlante Bluetooth 2024</v>
      </c>
      <c r="O816" s="63" t="n">
        <f aca="false">IF(ISTEXT($AC816),VALUE($AC816),$AC816)</f>
        <v>50</v>
      </c>
      <c r="P816" s="64" t="n">
        <f aca="false">INDEX(Datos_Origen!$I$2:$I$2459,$Z816)</f>
        <v>83.3</v>
      </c>
      <c r="Q816" s="64" t="n">
        <f aca="false">INDEX(Datos_Origen!$J$2:$J$2459,$Z816)</f>
        <v>48.03</v>
      </c>
      <c r="R816" s="65" t="n">
        <f aca="false">ROUND($O816*$P816,2)</f>
        <v>4165</v>
      </c>
      <c r="S816" s="65" t="n">
        <f aca="false">ROUND($O816*$Q816,2)</f>
        <v>2401.5</v>
      </c>
      <c r="T816" s="65" t="n">
        <f aca="false">ROUND($R816*SUMIFS(Parametros!$E$28:$E$43,Parametros!$B$28:$B$43,$J816,Parametros!$C$28:$C$43,$C816,Parametros!$D$28:$D$43,$D816),2)</f>
        <v>54.15</v>
      </c>
      <c r="U816" s="65" t="n">
        <f aca="false">$R816-$S816-$T816</f>
        <v>1709.35</v>
      </c>
      <c r="V816" s="66" t="n">
        <f aca="false">IFERROR($U816/$R816,0)</f>
        <v>0.410408163265306</v>
      </c>
      <c r="W816" s="67" t="str">
        <f aca="false">IF(AND($V816&gt;=Parametros!$C$8,$R816&gt;=Parametros!$C$12),"Alta rentabilidad",IF(OR($V816&lt;Parametros!$C$11,$R816&lt;Parametros!$C$13),"Revisar","Estandar"))</f>
        <v>Alta rentabilidad</v>
      </c>
      <c r="X816" s="67" t="str">
        <f aca="false">IF(AND($J816="E-commerce",IFERROR($T816/$R816,0)&gt;Parametros!$C$14),"Alerta","OK")</f>
        <v>OK</v>
      </c>
      <c r="Y816" s="61" t="str">
        <f aca="false">IF($R816&gt;=Parametros!$C$12,"Alto",IF($R816&lt;Parametros!$C$13,"Bajo","Medio"))</f>
        <v>Alto</v>
      </c>
      <c r="Z816" s="61" t="n">
        <v>1144</v>
      </c>
      <c r="AA816" s="61" t="str">
        <f aca="false">IF(MATCH($A816,Datos_Origen!$A$2:$A$2459,0)=$Z816,"OK","REVISAR")</f>
        <v>OK</v>
      </c>
      <c r="AB816" s="62" t="n">
        <f aca="false">INDEX(Datos_Origen!$B$2:$B$2459,$Z816)</f>
        <v>45544</v>
      </c>
      <c r="AC816" s="61" t="n">
        <f aca="false">INDEX(Datos_Origen!$H$2:$H$2459,$Z816)</f>
        <v>50</v>
      </c>
      <c r="AD816" s="61" t="str">
        <f aca="false">INDEX(Datos_Origen!$D$2:$D$2459,$Z816)&amp;""</f>
        <v>Buenos Aires</v>
      </c>
    </row>
    <row r="817" customFormat="false" ht="15" hidden="false" customHeight="false" outlineLevel="0" collapsed="false">
      <c r="A817" s="61" t="n">
        <f aca="false">INDEX(Datos_Origen!$A$2:$A$2459,$Z817)</f>
        <v>816</v>
      </c>
      <c r="B817" s="62" t="n">
        <f aca="false">IF(ISNUMBER($AB817),$AB817,IF(MID($AB817,5,1)="-",DATE(VALUE(LEFT($AB817,4)),VALUE(MID($AB817,6,2)),VALUE(RIGHT($AB817,2))),DATE(VALUE(RIGHT($AB817,4)),VALUE(MID($AB817,4,2)),VALUE(LEFT($AB817,2)))))</f>
        <v>45551</v>
      </c>
      <c r="C817" s="61" t="n">
        <f aca="false">YEAR($B817)</f>
        <v>2024</v>
      </c>
      <c r="D817" s="61" t="str">
        <f aca="false">"Q"&amp;ROUNDUP(MONTH($B817)/3,0)</f>
        <v>Q3</v>
      </c>
      <c r="E817" s="61" t="n">
        <f aca="false">MONTH($B817)</f>
        <v>9</v>
      </c>
      <c r="F817" s="61" t="str">
        <f aca="false">INDEX(Parametros!$I$5:$I$16,$E817)</f>
        <v>Sep</v>
      </c>
      <c r="G817" s="61" t="str">
        <f aca="false">TEXT($C817,"0000")&amp;"-"&amp;TEXT($E817,"00")</f>
        <v>2024-09</v>
      </c>
      <c r="H817" s="61" t="str">
        <f aca="false">INDEX(Parametros!$C$71:$C$91,MATCH(TRIM(INDEX(Datos_Origen!$C$2:$C$2459,$Z817)),Parametros!$B$71:$B$91,0))</f>
        <v>AMBA</v>
      </c>
      <c r="I817" s="61" t="str">
        <f aca="false">IF(TRIM($AD817)="",INDEX(Parametros!$I$20:$I$24,MATCH($H817,Parametros!$H$20:$H$24,0)),TRIM($AD817))</f>
        <v>Buenos Aires</v>
      </c>
      <c r="J817" s="61" t="str">
        <f aca="false">INDEX(Parametros!$C$95:$C$106,MATCH(TRIM(INDEX(Datos_Origen!$E$2:$E$2459,$Z817)),Parametros!$B$95:$B$106,0))</f>
        <v>E-commerce</v>
      </c>
      <c r="K817" s="61" t="str">
        <f aca="false">INDEX(Parametros!$C$48:$C$67,MATCH(TRIM(INDEX(Datos_Origen!$F$2:$F$2459,$Z817)),Parametros!$B$48:$B$67,0))</f>
        <v>Audio</v>
      </c>
      <c r="L817" s="61" t="str">
        <f aca="false">$K817&amp;" "&amp;$C817</f>
        <v>Audio 2024</v>
      </c>
      <c r="M817" s="61" t="str">
        <f aca="false">TRIM(INDEX(Datos_Origen!$G$2:$G$2459,$Z817))</f>
        <v>Parlante Bluetooth</v>
      </c>
      <c r="N817" s="61" t="str">
        <f aca="false">$M817&amp;" "&amp;$C817</f>
        <v>Parlante Bluetooth 2024</v>
      </c>
      <c r="O817" s="63" t="n">
        <f aca="false">IF(ISTEXT($AC817),VALUE($AC817),$AC817)</f>
        <v>19</v>
      </c>
      <c r="P817" s="64" t="n">
        <f aca="false">INDEX(Datos_Origen!$I$2:$I$2459,$Z817)</f>
        <v>83.3</v>
      </c>
      <c r="Q817" s="64" t="n">
        <f aca="false">INDEX(Datos_Origen!$J$2:$J$2459,$Z817)</f>
        <v>48.03</v>
      </c>
      <c r="R817" s="65" t="n">
        <f aca="false">ROUND($O817*$P817,2)</f>
        <v>1582.7</v>
      </c>
      <c r="S817" s="65" t="n">
        <f aca="false">ROUND($O817*$Q817,2)</f>
        <v>912.57</v>
      </c>
      <c r="T817" s="65" t="n">
        <f aca="false">ROUND($R817*SUMIFS(Parametros!$E$28:$E$43,Parametros!$B$28:$B$43,$J817,Parametros!$C$28:$C$43,$C817,Parametros!$D$28:$D$43,$D817),2)</f>
        <v>72.8</v>
      </c>
      <c r="U817" s="65" t="n">
        <f aca="false">$R817-$S817-$T817</f>
        <v>597.33</v>
      </c>
      <c r="V817" s="66" t="n">
        <f aca="false">IFERROR($U817/$R817,0)</f>
        <v>0.377412017438554</v>
      </c>
      <c r="W817" s="67" t="str">
        <f aca="false">IF(AND($V817&gt;=Parametros!$C$8,$R817&gt;=Parametros!$C$12),"Alta rentabilidad",IF(OR($V817&lt;Parametros!$C$11,$R817&lt;Parametros!$C$13),"Revisar","Estandar"))</f>
        <v>Estandar</v>
      </c>
      <c r="X817" s="67" t="str">
        <f aca="false">IF(AND($J817="E-commerce",IFERROR($T817/$R817,0)&gt;Parametros!$C$14),"Alerta","OK")</f>
        <v>OK</v>
      </c>
      <c r="Y817" s="61" t="str">
        <f aca="false">IF($R817&gt;=Parametros!$C$12,"Alto",IF($R817&lt;Parametros!$C$13,"Bajo","Medio"))</f>
        <v>Medio</v>
      </c>
      <c r="Z817" s="61" t="n">
        <v>1346</v>
      </c>
      <c r="AA817" s="61" t="str">
        <f aca="false">IF(MATCH($A817,Datos_Origen!$A$2:$A$2459,0)=$Z817,"OK","REVISAR")</f>
        <v>OK</v>
      </c>
      <c r="AB817" s="62" t="n">
        <f aca="false">INDEX(Datos_Origen!$B$2:$B$2459,$Z817)</f>
        <v>45551</v>
      </c>
      <c r="AC817" s="61" t="n">
        <f aca="false">INDEX(Datos_Origen!$H$2:$H$2459,$Z817)</f>
        <v>19</v>
      </c>
      <c r="AD817" s="61" t="str">
        <f aca="false">INDEX(Datos_Origen!$D$2:$D$2459,$Z817)&amp;""</f>
        <v>Buenos Aires</v>
      </c>
    </row>
    <row r="818" customFormat="false" ht="15" hidden="false" customHeight="false" outlineLevel="0" collapsed="false">
      <c r="A818" s="61" t="n">
        <f aca="false">INDEX(Datos_Origen!$A$2:$A$2459,$Z818)</f>
        <v>817</v>
      </c>
      <c r="B818" s="62" t="n">
        <f aca="false">IF(ISNUMBER($AB818),$AB818,IF(MID($AB818,5,1)="-",DATE(VALUE(LEFT($AB818,4)),VALUE(MID($AB818,6,2)),VALUE(RIGHT($AB818,2))),DATE(VALUE(RIGHT($AB818,4)),VALUE(MID($AB818,4,2)),VALUE(LEFT($AB818,2)))))</f>
        <v>45558</v>
      </c>
      <c r="C818" s="61" t="n">
        <f aca="false">YEAR($B818)</f>
        <v>2024</v>
      </c>
      <c r="D818" s="61" t="str">
        <f aca="false">"Q"&amp;ROUNDUP(MONTH($B818)/3,0)</f>
        <v>Q3</v>
      </c>
      <c r="E818" s="61" t="n">
        <f aca="false">MONTH($B818)</f>
        <v>9</v>
      </c>
      <c r="F818" s="61" t="str">
        <f aca="false">INDEX(Parametros!$I$5:$I$16,$E818)</f>
        <v>Sep</v>
      </c>
      <c r="G818" s="61" t="str">
        <f aca="false">TEXT($C818,"0000")&amp;"-"&amp;TEXT($E818,"00")</f>
        <v>2024-09</v>
      </c>
      <c r="H818" s="61" t="str">
        <f aca="false">INDEX(Parametros!$C$71:$C$91,MATCH(TRIM(INDEX(Datos_Origen!$C$2:$C$2459,$Z818)),Parametros!$B$71:$B$91,0))</f>
        <v>AMBA</v>
      </c>
      <c r="I818" s="61" t="str">
        <f aca="false">IF(TRIM($AD818)="",INDEX(Parametros!$I$20:$I$24,MATCH($H818,Parametros!$H$20:$H$24,0)),TRIM($AD818))</f>
        <v>Buenos Aires</v>
      </c>
      <c r="J818" s="61" t="str">
        <f aca="false">INDEX(Parametros!$C$95:$C$106,MATCH(TRIM(INDEX(Datos_Origen!$E$2:$E$2459,$Z818)),Parametros!$B$95:$B$106,0))</f>
        <v>Tienda fisica</v>
      </c>
      <c r="K818" s="61" t="str">
        <f aca="false">INDEX(Parametros!$C$48:$C$67,MATCH(TRIM(INDEX(Datos_Origen!$F$2:$F$2459,$Z818)),Parametros!$B$48:$B$67,0))</f>
        <v>Almacenamiento</v>
      </c>
      <c r="L818" s="61" t="str">
        <f aca="false">$K818&amp;" "&amp;$C818</f>
        <v>Almacenamiento 2024</v>
      </c>
      <c r="M818" s="61" t="str">
        <f aca="false">TRIM(INDEX(Datos_Origen!$G$2:$G$2459,$Z818))</f>
        <v>SSD Externo 1TB</v>
      </c>
      <c r="N818" s="61" t="str">
        <f aca="false">$M818&amp;" "&amp;$C818</f>
        <v>SSD Externo 1TB 2024</v>
      </c>
      <c r="O818" s="63" t="n">
        <f aca="false">IF(ISTEXT($AC818),VALUE($AC818),$AC818)</f>
        <v>65</v>
      </c>
      <c r="P818" s="64" t="n">
        <f aca="false">INDEX(Datos_Origen!$I$2:$I$2459,$Z818)</f>
        <v>127.4</v>
      </c>
      <c r="Q818" s="64" t="n">
        <f aca="false">INDEX(Datos_Origen!$J$2:$J$2459,$Z818)</f>
        <v>76.05</v>
      </c>
      <c r="R818" s="65" t="n">
        <f aca="false">ROUND($O818*$P818,2)</f>
        <v>8281</v>
      </c>
      <c r="S818" s="65" t="n">
        <f aca="false">ROUND($O818*$Q818,2)</f>
        <v>4943.25</v>
      </c>
      <c r="T818" s="65" t="n">
        <f aca="false">ROUND($R818*SUMIFS(Parametros!$E$28:$E$43,Parametros!$B$28:$B$43,$J818,Parametros!$C$28:$C$43,$C818,Parametros!$D$28:$D$43,$D818),2)</f>
        <v>107.65</v>
      </c>
      <c r="U818" s="65" t="n">
        <f aca="false">$R818-$S818-$T818</f>
        <v>3230.1</v>
      </c>
      <c r="V818" s="66" t="n">
        <f aca="false">IFERROR($U818/$R818,0)</f>
        <v>0.390061586764883</v>
      </c>
      <c r="W818" s="67" t="str">
        <f aca="false">IF(AND($V818&gt;=Parametros!$C$8,$R818&gt;=Parametros!$C$12),"Alta rentabilidad",IF(OR($V818&lt;Parametros!$C$11,$R818&lt;Parametros!$C$13),"Revisar","Estandar"))</f>
        <v>Alta rentabilidad</v>
      </c>
      <c r="X818" s="67" t="str">
        <f aca="false">IF(AND($J818="E-commerce",IFERROR($T818/$R818,0)&gt;Parametros!$C$14),"Alerta","OK")</f>
        <v>OK</v>
      </c>
      <c r="Y818" s="61" t="str">
        <f aca="false">IF($R818&gt;=Parametros!$C$12,"Alto",IF($R818&lt;Parametros!$C$13,"Bajo","Medio"))</f>
        <v>Alto</v>
      </c>
      <c r="Z818" s="61" t="n">
        <v>2059</v>
      </c>
      <c r="AA818" s="61" t="str">
        <f aca="false">IF(MATCH($A818,Datos_Origen!$A$2:$A$2459,0)=$Z818,"OK","REVISAR")</f>
        <v>OK</v>
      </c>
      <c r="AB818" s="61" t="str">
        <f aca="false">INDEX(Datos_Origen!$B$2:$B$2459,$Z818)</f>
        <v>23/09/2024</v>
      </c>
      <c r="AC818" s="61" t="n">
        <f aca="false">INDEX(Datos_Origen!$H$2:$H$2459,$Z818)</f>
        <v>65</v>
      </c>
      <c r="AD818" s="61" t="str">
        <f aca="false">INDEX(Datos_Origen!$D$2:$D$2459,$Z818)&amp;""</f>
        <v>Buenos Aires</v>
      </c>
    </row>
    <row r="819" customFormat="false" ht="15" hidden="false" customHeight="false" outlineLevel="0" collapsed="false">
      <c r="A819" s="61" t="n">
        <f aca="false">INDEX(Datos_Origen!$A$2:$A$2459,$Z819)</f>
        <v>818</v>
      </c>
      <c r="B819" s="62" t="n">
        <f aca="false">IF(ISNUMBER($AB819),$AB819,IF(MID($AB819,5,1)="-",DATE(VALUE(LEFT($AB819,4)),VALUE(MID($AB819,6,2)),VALUE(RIGHT($AB819,2))),DATE(VALUE(RIGHT($AB819,4)),VALUE(MID($AB819,4,2)),VALUE(LEFT($AB819,2)))))</f>
        <v>45538</v>
      </c>
      <c r="C819" s="61" t="n">
        <f aca="false">YEAR($B819)</f>
        <v>2024</v>
      </c>
      <c r="D819" s="61" t="str">
        <f aca="false">"Q"&amp;ROUNDUP(MONTH($B819)/3,0)</f>
        <v>Q3</v>
      </c>
      <c r="E819" s="61" t="n">
        <f aca="false">MONTH($B819)</f>
        <v>9</v>
      </c>
      <c r="F819" s="61" t="str">
        <f aca="false">INDEX(Parametros!$I$5:$I$16,$E819)</f>
        <v>Sep</v>
      </c>
      <c r="G819" s="61" t="str">
        <f aca="false">TEXT($C819,"0000")&amp;"-"&amp;TEXT($E819,"00")</f>
        <v>2024-09</v>
      </c>
      <c r="H819" s="61" t="str">
        <f aca="false">INDEX(Parametros!$C$71:$C$91,MATCH(TRIM(INDEX(Datos_Origen!$C$2:$C$2459,$Z819)),Parametros!$B$71:$B$91,0))</f>
        <v>AMBA</v>
      </c>
      <c r="I819" s="61" t="str">
        <f aca="false">IF(TRIM($AD819)="",INDEX(Parametros!$I$20:$I$24,MATCH($H819,Parametros!$H$20:$H$24,0)),TRIM($AD819))</f>
        <v>Buenos Aires</v>
      </c>
      <c r="J819" s="61" t="str">
        <f aca="false">INDEX(Parametros!$C$95:$C$106,MATCH(TRIM(INDEX(Datos_Origen!$E$2:$E$2459,$Z819)),Parametros!$B$95:$B$106,0))</f>
        <v>E-commerce</v>
      </c>
      <c r="K819" s="61" t="str">
        <f aca="false">INDEX(Parametros!$C$48:$C$67,MATCH(TRIM(INDEX(Datos_Origen!$F$2:$F$2459,$Z819)),Parametros!$B$48:$B$67,0))</f>
        <v>Almacenamiento</v>
      </c>
      <c r="L819" s="61" t="str">
        <f aca="false">$K819&amp;" "&amp;$C819</f>
        <v>Almacenamiento 2024</v>
      </c>
      <c r="M819" s="61" t="str">
        <f aca="false">TRIM(INDEX(Datos_Origen!$G$2:$G$2459,$Z819))</f>
        <v>SSD Externo 1TB</v>
      </c>
      <c r="N819" s="61" t="str">
        <f aca="false">$M819&amp;" "&amp;$C819</f>
        <v>SSD Externo 1TB 2024</v>
      </c>
      <c r="O819" s="63" t="n">
        <f aca="false">IF(ISTEXT($AC819),VALUE($AC819),$AC819)</f>
        <v>21</v>
      </c>
      <c r="P819" s="64" t="n">
        <f aca="false">INDEX(Datos_Origen!$I$2:$I$2459,$Z819)</f>
        <v>127.4</v>
      </c>
      <c r="Q819" s="64" t="n">
        <f aca="false">INDEX(Datos_Origen!$J$2:$J$2459,$Z819)</f>
        <v>76.05</v>
      </c>
      <c r="R819" s="65" t="n">
        <f aca="false">ROUND($O819*$P819,2)</f>
        <v>2675.4</v>
      </c>
      <c r="S819" s="65" t="n">
        <f aca="false">ROUND($O819*$Q819,2)</f>
        <v>1597.05</v>
      </c>
      <c r="T819" s="65" t="n">
        <f aca="false">ROUND($R819*SUMIFS(Parametros!$E$28:$E$43,Parametros!$B$28:$B$43,$J819,Parametros!$C$28:$C$43,$C819,Parametros!$D$28:$D$43,$D819),2)</f>
        <v>123.07</v>
      </c>
      <c r="U819" s="65" t="n">
        <f aca="false">$R819-$S819-$T819</f>
        <v>955.28</v>
      </c>
      <c r="V819" s="66" t="n">
        <f aca="false">IFERROR($U819/$R819,0)</f>
        <v>0.357060626448382</v>
      </c>
      <c r="W819" s="67" t="str">
        <f aca="false">IF(AND($V819&gt;=Parametros!$C$8,$R819&gt;=Parametros!$C$12),"Alta rentabilidad",IF(OR($V819&lt;Parametros!$C$11,$R819&lt;Parametros!$C$13),"Revisar","Estandar"))</f>
        <v>Estandar</v>
      </c>
      <c r="X819" s="67" t="str">
        <f aca="false">IF(AND($J819="E-commerce",IFERROR($T819/$R819,0)&gt;Parametros!$C$14),"Alerta","OK")</f>
        <v>OK</v>
      </c>
      <c r="Y819" s="61" t="str">
        <f aca="false">IF($R819&gt;=Parametros!$C$12,"Alto",IF($R819&lt;Parametros!$C$13,"Bajo","Medio"))</f>
        <v>Medio</v>
      </c>
      <c r="Z819" s="61" t="n">
        <v>1123</v>
      </c>
      <c r="AA819" s="61" t="str">
        <f aca="false">IF(MATCH($A819,Datos_Origen!$A$2:$A$2459,0)=$Z819,"OK","REVISAR")</f>
        <v>OK</v>
      </c>
      <c r="AB819" s="62" t="n">
        <f aca="false">INDEX(Datos_Origen!$B$2:$B$2459,$Z819)</f>
        <v>45538</v>
      </c>
      <c r="AC819" s="61" t="n">
        <f aca="false">INDEX(Datos_Origen!$H$2:$H$2459,$Z819)</f>
        <v>21</v>
      </c>
      <c r="AD819" s="61" t="str">
        <f aca="false">INDEX(Datos_Origen!$D$2:$D$2459,$Z819)&amp;""</f>
        <v>Buenos Aires</v>
      </c>
    </row>
    <row r="820" customFormat="false" ht="15" hidden="false" customHeight="false" outlineLevel="0" collapsed="false">
      <c r="A820" s="61" t="n">
        <f aca="false">INDEX(Datos_Origen!$A$2:$A$2459,$Z820)</f>
        <v>819</v>
      </c>
      <c r="B820" s="62" t="n">
        <f aca="false">IF(ISNUMBER($AB820),$AB820,IF(MID($AB820,5,1)="-",DATE(VALUE(LEFT($AB820,4)),VALUE(MID($AB820,6,2)),VALUE(RIGHT($AB820,2))),DATE(VALUE(RIGHT($AB820,4)),VALUE(MID($AB820,4,2)),VALUE(LEFT($AB820,2)))))</f>
        <v>45545</v>
      </c>
      <c r="C820" s="61" t="n">
        <f aca="false">YEAR($B820)</f>
        <v>2024</v>
      </c>
      <c r="D820" s="61" t="str">
        <f aca="false">"Q"&amp;ROUNDUP(MONTH($B820)/3,0)</f>
        <v>Q3</v>
      </c>
      <c r="E820" s="61" t="n">
        <f aca="false">MONTH($B820)</f>
        <v>9</v>
      </c>
      <c r="F820" s="61" t="str">
        <f aca="false">INDEX(Parametros!$I$5:$I$16,$E820)</f>
        <v>Sep</v>
      </c>
      <c r="G820" s="61" t="str">
        <f aca="false">TEXT($C820,"0000")&amp;"-"&amp;TEXT($E820,"00")</f>
        <v>2024-09</v>
      </c>
      <c r="H820" s="61" t="str">
        <f aca="false">INDEX(Parametros!$C$71:$C$91,MATCH(TRIM(INDEX(Datos_Origen!$C$2:$C$2459,$Z820)),Parametros!$B$71:$B$91,0))</f>
        <v>AMBA</v>
      </c>
      <c r="I820" s="61" t="str">
        <f aca="false">IF(TRIM($AD820)="",INDEX(Parametros!$I$20:$I$24,MATCH($H820,Parametros!$H$20:$H$24,0)),TRIM($AD820))</f>
        <v>Buenos Aires</v>
      </c>
      <c r="J820" s="61" t="str">
        <f aca="false">INDEX(Parametros!$C$95:$C$106,MATCH(TRIM(INDEX(Datos_Origen!$E$2:$E$2459,$Z820)),Parametros!$B$95:$B$106,0))</f>
        <v>Tienda fisica</v>
      </c>
      <c r="K820" s="61" t="str">
        <f aca="false">INDEX(Parametros!$C$48:$C$67,MATCH(TRIM(INDEX(Datos_Origen!$F$2:$F$2459,$Z820)),Parametros!$B$48:$B$67,0))</f>
        <v>Almacenamiento</v>
      </c>
      <c r="L820" s="61" t="str">
        <f aca="false">$K820&amp;" "&amp;$C820</f>
        <v>Almacenamiento 2024</v>
      </c>
      <c r="M820" s="61" t="str">
        <f aca="false">TRIM(INDEX(Datos_Origen!$G$2:$G$2459,$Z820))</f>
        <v>Pendrive 256GB</v>
      </c>
      <c r="N820" s="61" t="str">
        <f aca="false">$M820&amp;" "&amp;$C820</f>
        <v>Pendrive 256GB 2024</v>
      </c>
      <c r="O820" s="63" t="n">
        <f aca="false">IF(ISTEXT($AC820),VALUE($AC820),$AC820)</f>
        <v>49</v>
      </c>
      <c r="P820" s="64" t="n">
        <f aca="false">INDEX(Datos_Origen!$I$2:$I$2459,$Z820)</f>
        <v>34.3</v>
      </c>
      <c r="Q820" s="64" t="n">
        <f aca="false">INDEX(Datos_Origen!$J$2:$J$2459,$Z820)</f>
        <v>17.85</v>
      </c>
      <c r="R820" s="65" t="n">
        <f aca="false">ROUND($O820*$P820,2)</f>
        <v>1680.7</v>
      </c>
      <c r="S820" s="65" t="n">
        <f aca="false">ROUND($O820*$Q820,2)</f>
        <v>874.65</v>
      </c>
      <c r="T820" s="65" t="n">
        <f aca="false">ROUND($R820*SUMIFS(Parametros!$E$28:$E$43,Parametros!$B$28:$B$43,$J820,Parametros!$C$28:$C$43,$C820,Parametros!$D$28:$D$43,$D820),2)</f>
        <v>21.85</v>
      </c>
      <c r="U820" s="65" t="n">
        <f aca="false">$R820-$S820-$T820</f>
        <v>784.2</v>
      </c>
      <c r="V820" s="66" t="n">
        <f aca="false">IFERROR($U820/$R820,0)</f>
        <v>0.46659130124353</v>
      </c>
      <c r="W820" s="67" t="str">
        <f aca="false">IF(AND($V820&gt;=Parametros!$C$8,$R820&gt;=Parametros!$C$12),"Alta rentabilidad",IF(OR($V820&lt;Parametros!$C$11,$R820&lt;Parametros!$C$13),"Revisar","Estandar"))</f>
        <v>Estandar</v>
      </c>
      <c r="X820" s="67" t="str">
        <f aca="false">IF(AND($J820="E-commerce",IFERROR($T820/$R820,0)&gt;Parametros!$C$14),"Alerta","OK")</f>
        <v>OK</v>
      </c>
      <c r="Y820" s="61" t="str">
        <f aca="false">IF($R820&gt;=Parametros!$C$12,"Alto",IF($R820&lt;Parametros!$C$13,"Bajo","Medio"))</f>
        <v>Medio</v>
      </c>
      <c r="Z820" s="61" t="n">
        <v>1661</v>
      </c>
      <c r="AA820" s="61" t="str">
        <f aca="false">IF(MATCH($A820,Datos_Origen!$A$2:$A$2459,0)=$Z820,"OK","REVISAR")</f>
        <v>OK</v>
      </c>
      <c r="AB820" s="62" t="n">
        <f aca="false">INDEX(Datos_Origen!$B$2:$B$2459,$Z820)</f>
        <v>45545</v>
      </c>
      <c r="AC820" s="61" t="n">
        <f aca="false">INDEX(Datos_Origen!$H$2:$H$2459,$Z820)</f>
        <v>49</v>
      </c>
      <c r="AD820" s="61" t="str">
        <f aca="false">INDEX(Datos_Origen!$D$2:$D$2459,$Z820)&amp;""</f>
        <v>Buenos Aires</v>
      </c>
    </row>
    <row r="821" customFormat="false" ht="15" hidden="false" customHeight="false" outlineLevel="0" collapsed="false">
      <c r="A821" s="61" t="n">
        <f aca="false">INDEX(Datos_Origen!$A$2:$A$2459,$Z821)</f>
        <v>820</v>
      </c>
      <c r="B821" s="62" t="n">
        <f aca="false">IF(ISNUMBER($AB821),$AB821,IF(MID($AB821,5,1)="-",DATE(VALUE(LEFT($AB821,4)),VALUE(MID($AB821,6,2)),VALUE(RIGHT($AB821,2))),DATE(VALUE(RIGHT($AB821,4)),VALUE(MID($AB821,4,2)),VALUE(LEFT($AB821,2)))))</f>
        <v>45552</v>
      </c>
      <c r="C821" s="61" t="n">
        <f aca="false">YEAR($B821)</f>
        <v>2024</v>
      </c>
      <c r="D821" s="61" t="str">
        <f aca="false">"Q"&amp;ROUNDUP(MONTH($B821)/3,0)</f>
        <v>Q3</v>
      </c>
      <c r="E821" s="61" t="n">
        <f aca="false">MONTH($B821)</f>
        <v>9</v>
      </c>
      <c r="F821" s="61" t="str">
        <f aca="false">INDEX(Parametros!$I$5:$I$16,$E821)</f>
        <v>Sep</v>
      </c>
      <c r="G821" s="61" t="str">
        <f aca="false">TEXT($C821,"0000")&amp;"-"&amp;TEXT($E821,"00")</f>
        <v>2024-09</v>
      </c>
      <c r="H821" s="61" t="str">
        <f aca="false">INDEX(Parametros!$C$71:$C$91,MATCH(TRIM(INDEX(Datos_Origen!$C$2:$C$2459,$Z821)),Parametros!$B$71:$B$91,0))</f>
        <v>AMBA</v>
      </c>
      <c r="I821" s="61" t="str">
        <f aca="false">IF(TRIM($AD821)="",INDEX(Parametros!$I$20:$I$24,MATCH($H821,Parametros!$H$20:$H$24,0)),TRIM($AD821))</f>
        <v>Buenos Aires</v>
      </c>
      <c r="J821" s="61" t="str">
        <f aca="false">INDEX(Parametros!$C$95:$C$106,MATCH(TRIM(INDEX(Datos_Origen!$E$2:$E$2459,$Z821)),Parametros!$B$95:$B$106,0))</f>
        <v>E-commerce</v>
      </c>
      <c r="K821" s="61" t="str">
        <f aca="false">INDEX(Parametros!$C$48:$C$67,MATCH(TRIM(INDEX(Datos_Origen!$F$2:$F$2459,$Z821)),Parametros!$B$48:$B$67,0))</f>
        <v>Almacenamiento</v>
      </c>
      <c r="L821" s="61" t="str">
        <f aca="false">$K821&amp;" "&amp;$C821</f>
        <v>Almacenamiento 2024</v>
      </c>
      <c r="M821" s="61" t="str">
        <f aca="false">TRIM(INDEX(Datos_Origen!$G$2:$G$2459,$Z821))</f>
        <v>Pendrive 256GB</v>
      </c>
      <c r="N821" s="61" t="str">
        <f aca="false">$M821&amp;" "&amp;$C821</f>
        <v>Pendrive 256GB 2024</v>
      </c>
      <c r="O821" s="63" t="n">
        <f aca="false">IF(ISTEXT($AC821),VALUE($AC821),$AC821)</f>
        <v>21</v>
      </c>
      <c r="P821" s="64" t="n">
        <f aca="false">INDEX(Datos_Origen!$I$2:$I$2459,$Z821)</f>
        <v>34.3</v>
      </c>
      <c r="Q821" s="64" t="n">
        <f aca="false">INDEX(Datos_Origen!$J$2:$J$2459,$Z821)</f>
        <v>17.85</v>
      </c>
      <c r="R821" s="65" t="n">
        <f aca="false">ROUND($O821*$P821,2)</f>
        <v>720.3</v>
      </c>
      <c r="S821" s="65" t="n">
        <f aca="false">ROUND($O821*$Q821,2)</f>
        <v>374.85</v>
      </c>
      <c r="T821" s="65" t="n">
        <f aca="false">ROUND($R821*SUMIFS(Parametros!$E$28:$E$43,Parametros!$B$28:$B$43,$J821,Parametros!$C$28:$C$43,$C821,Parametros!$D$28:$D$43,$D821),2)</f>
        <v>33.13</v>
      </c>
      <c r="U821" s="65" t="n">
        <f aca="false">$R821-$S821-$T821</f>
        <v>312.32</v>
      </c>
      <c r="V821" s="66" t="n">
        <f aca="false">IFERROR($U821/$R821,0)</f>
        <v>0.433597112314313</v>
      </c>
      <c r="W821" s="67" t="str">
        <f aca="false">IF(AND($V821&gt;=Parametros!$C$8,$R821&gt;=Parametros!$C$12),"Alta rentabilidad",IF(OR($V821&lt;Parametros!$C$11,$R821&lt;Parametros!$C$13),"Revisar","Estandar"))</f>
        <v>Estandar</v>
      </c>
      <c r="X821" s="67" t="str">
        <f aca="false">IF(AND($J821="E-commerce",IFERROR($T821/$R821,0)&gt;Parametros!$C$14),"Alerta","OK")</f>
        <v>OK</v>
      </c>
      <c r="Y821" s="61" t="str">
        <f aca="false">IF($R821&gt;=Parametros!$C$12,"Alto",IF($R821&lt;Parametros!$C$13,"Bajo","Medio"))</f>
        <v>Medio</v>
      </c>
      <c r="Z821" s="61" t="n">
        <v>634</v>
      </c>
      <c r="AA821" s="61" t="str">
        <f aca="false">IF(MATCH($A821,Datos_Origen!$A$2:$A$2459,0)=$Z821,"OK","REVISAR")</f>
        <v>OK</v>
      </c>
      <c r="AB821" s="61" t="str">
        <f aca="false">INDEX(Datos_Origen!$B$2:$B$2459,$Z821)</f>
        <v>17/09/2024</v>
      </c>
      <c r="AC821" s="61" t="n">
        <f aca="false">INDEX(Datos_Origen!$H$2:$H$2459,$Z821)</f>
        <v>21</v>
      </c>
      <c r="AD821" s="61" t="str">
        <f aca="false">INDEX(Datos_Origen!$D$2:$D$2459,$Z821)&amp;""</f>
        <v>Buenos Aires</v>
      </c>
    </row>
    <row r="822" customFormat="false" ht="15" hidden="false" customHeight="false" outlineLevel="0" collapsed="false">
      <c r="A822" s="61" t="n">
        <f aca="false">INDEX(Datos_Origen!$A$2:$A$2459,$Z822)</f>
        <v>821</v>
      </c>
      <c r="B822" s="62" t="n">
        <f aca="false">IF(ISNUMBER($AB822),$AB822,IF(MID($AB822,5,1)="-",DATE(VALUE(LEFT($AB822,4)),VALUE(MID($AB822,6,2)),VALUE(RIGHT($AB822,2))),DATE(VALUE(RIGHT($AB822,4)),VALUE(MID($AB822,4,2)),VALUE(LEFT($AB822,2)))))</f>
        <v>45559</v>
      </c>
      <c r="C822" s="61" t="n">
        <f aca="false">YEAR($B822)</f>
        <v>2024</v>
      </c>
      <c r="D822" s="61" t="str">
        <f aca="false">"Q"&amp;ROUNDUP(MONTH($B822)/3,0)</f>
        <v>Q3</v>
      </c>
      <c r="E822" s="61" t="n">
        <f aca="false">MONTH($B822)</f>
        <v>9</v>
      </c>
      <c r="F822" s="61" t="str">
        <f aca="false">INDEX(Parametros!$I$5:$I$16,$E822)</f>
        <v>Sep</v>
      </c>
      <c r="G822" s="61" t="str">
        <f aca="false">TEXT($C822,"0000")&amp;"-"&amp;TEXT($E822,"00")</f>
        <v>2024-09</v>
      </c>
      <c r="H822" s="61" t="str">
        <f aca="false">INDEX(Parametros!$C$71:$C$91,MATCH(TRIM(INDEX(Datos_Origen!$C$2:$C$2459,$Z822)),Parametros!$B$71:$B$91,0))</f>
        <v>Centro</v>
      </c>
      <c r="I822" s="61" t="str">
        <f aca="false">IF(TRIM($AD822)="",INDEX(Parametros!$I$20:$I$24,MATCH($H822,Parametros!$H$20:$H$24,0)),TRIM($AD822))</f>
        <v>Cordoba</v>
      </c>
      <c r="J822" s="61" t="str">
        <f aca="false">INDEX(Parametros!$C$95:$C$106,MATCH(TRIM(INDEX(Datos_Origen!$E$2:$E$2459,$Z822)),Parametros!$B$95:$B$106,0))</f>
        <v>Tienda fisica</v>
      </c>
      <c r="K822" s="61" t="str">
        <f aca="false">INDEX(Parametros!$C$48:$C$67,MATCH(TRIM(INDEX(Datos_Origen!$F$2:$F$2459,$Z822)),Parametros!$B$48:$B$67,0))</f>
        <v>Computacion</v>
      </c>
      <c r="L822" s="61" t="str">
        <f aca="false">$K822&amp;" "&amp;$C822</f>
        <v>Computacion 2024</v>
      </c>
      <c r="M822" s="61" t="str">
        <f aca="false">TRIM(INDEX(Datos_Origen!$G$2:$G$2459,$Z822))</f>
        <v>Laptop Pro 15</v>
      </c>
      <c r="N822" s="61" t="str">
        <f aca="false">$M822&amp;" "&amp;$C822</f>
        <v>Laptop Pro 15 2024</v>
      </c>
      <c r="O822" s="63" t="n">
        <f aca="false">IF(ISTEXT($AC822),VALUE($AC822),$AC822)</f>
        <v>13</v>
      </c>
      <c r="P822" s="64" t="n">
        <f aca="false">INDEX(Datos_Origen!$I$2:$I$2459,$Z822)</f>
        <v>1176</v>
      </c>
      <c r="Q822" s="64" t="n">
        <f aca="false">INDEX(Datos_Origen!$J$2:$J$2459,$Z822)</f>
        <v>744</v>
      </c>
      <c r="R822" s="65" t="n">
        <f aca="false">ROUND($O822*$P822,2)</f>
        <v>15288</v>
      </c>
      <c r="S822" s="65" t="n">
        <f aca="false">ROUND($O822*$Q822,2)</f>
        <v>9672</v>
      </c>
      <c r="T822" s="65" t="n">
        <f aca="false">ROUND($R822*SUMIFS(Parametros!$E$28:$E$43,Parametros!$B$28:$B$43,$J822,Parametros!$C$28:$C$43,$C822,Parametros!$D$28:$D$43,$D822),2)</f>
        <v>198.74</v>
      </c>
      <c r="U822" s="65" t="n">
        <f aca="false">$R822-$S822-$T822</f>
        <v>5417.26</v>
      </c>
      <c r="V822" s="66" t="n">
        <f aca="false">IFERROR($U822/$R822,0)</f>
        <v>0.354347200418629</v>
      </c>
      <c r="W822" s="67" t="str">
        <f aca="false">IF(AND($V822&gt;=Parametros!$C$8,$R822&gt;=Parametros!$C$12),"Alta rentabilidad",IF(OR($V822&lt;Parametros!$C$11,$R822&lt;Parametros!$C$13),"Revisar","Estandar"))</f>
        <v>Alta rentabilidad</v>
      </c>
      <c r="X822" s="67" t="str">
        <f aca="false">IF(AND($J822="E-commerce",IFERROR($T822/$R822,0)&gt;Parametros!$C$14),"Alerta","OK")</f>
        <v>OK</v>
      </c>
      <c r="Y822" s="61" t="str">
        <f aca="false">IF($R822&gt;=Parametros!$C$12,"Alto",IF($R822&lt;Parametros!$C$13,"Bajo","Medio"))</f>
        <v>Alto</v>
      </c>
      <c r="Z822" s="61" t="n">
        <v>147</v>
      </c>
      <c r="AA822" s="61" t="str">
        <f aca="false">IF(MATCH($A822,Datos_Origen!$A$2:$A$2459,0)=$Z822,"OK","REVISAR")</f>
        <v>OK</v>
      </c>
      <c r="AB822" s="61" t="str">
        <f aca="false">INDEX(Datos_Origen!$B$2:$B$2459,$Z822)</f>
        <v>24/09/2024</v>
      </c>
      <c r="AC822" s="61" t="n">
        <f aca="false">INDEX(Datos_Origen!$H$2:$H$2459,$Z822)</f>
        <v>13</v>
      </c>
      <c r="AD822" s="61" t="str">
        <f aca="false">INDEX(Datos_Origen!$D$2:$D$2459,$Z822)&amp;""</f>
        <v>Cordoba</v>
      </c>
    </row>
    <row r="823" customFormat="false" ht="15" hidden="false" customHeight="false" outlineLevel="0" collapsed="false">
      <c r="A823" s="61" t="n">
        <f aca="false">INDEX(Datos_Origen!$A$2:$A$2459,$Z823)</f>
        <v>822</v>
      </c>
      <c r="B823" s="62" t="n">
        <f aca="false">IF(ISNUMBER($AB823),$AB823,IF(MID($AB823,5,1)="-",DATE(VALUE(LEFT($AB823,4)),VALUE(MID($AB823,6,2)),VALUE(RIGHT($AB823,2))),DATE(VALUE(RIGHT($AB823,4)),VALUE(MID($AB823,4,2)),VALUE(LEFT($AB823,2)))))</f>
        <v>45539</v>
      </c>
      <c r="C823" s="61" t="n">
        <f aca="false">YEAR($B823)</f>
        <v>2024</v>
      </c>
      <c r="D823" s="61" t="str">
        <f aca="false">"Q"&amp;ROUNDUP(MONTH($B823)/3,0)</f>
        <v>Q3</v>
      </c>
      <c r="E823" s="61" t="n">
        <f aca="false">MONTH($B823)</f>
        <v>9</v>
      </c>
      <c r="F823" s="61" t="str">
        <f aca="false">INDEX(Parametros!$I$5:$I$16,$E823)</f>
        <v>Sep</v>
      </c>
      <c r="G823" s="61" t="str">
        <f aca="false">TEXT($C823,"0000")&amp;"-"&amp;TEXT($E823,"00")</f>
        <v>2024-09</v>
      </c>
      <c r="H823" s="61" t="str">
        <f aca="false">INDEX(Parametros!$C$71:$C$91,MATCH(TRIM(INDEX(Datos_Origen!$C$2:$C$2459,$Z823)),Parametros!$B$71:$B$91,0))</f>
        <v>Centro</v>
      </c>
      <c r="I823" s="61" t="str">
        <f aca="false">IF(TRIM($AD823)="",INDEX(Parametros!$I$20:$I$24,MATCH($H823,Parametros!$H$20:$H$24,0)),TRIM($AD823))</f>
        <v>Cordoba</v>
      </c>
      <c r="J823" s="61" t="str">
        <f aca="false">INDEX(Parametros!$C$95:$C$106,MATCH(TRIM(INDEX(Datos_Origen!$E$2:$E$2459,$Z823)),Parametros!$B$95:$B$106,0))</f>
        <v>E-commerce</v>
      </c>
      <c r="K823" s="61" t="str">
        <f aca="false">INDEX(Parametros!$C$48:$C$67,MATCH(TRIM(INDEX(Datos_Origen!$F$2:$F$2459,$Z823)),Parametros!$B$48:$B$67,0))</f>
        <v>Computacion</v>
      </c>
      <c r="L823" s="61" t="str">
        <f aca="false">$K823&amp;" "&amp;$C823</f>
        <v>Computacion 2024</v>
      </c>
      <c r="M823" s="61" t="str">
        <f aca="false">TRIM(INDEX(Datos_Origen!$G$2:$G$2459,$Z823))</f>
        <v>Laptop Pro 15</v>
      </c>
      <c r="N823" s="61" t="str">
        <f aca="false">$M823&amp;" "&amp;$C823</f>
        <v>Laptop Pro 15 2024</v>
      </c>
      <c r="O823" s="63" t="n">
        <f aca="false">IF(ISTEXT($AC823),VALUE($AC823),$AC823)</f>
        <v>5</v>
      </c>
      <c r="P823" s="64" t="n">
        <f aca="false">INDEX(Datos_Origen!$I$2:$I$2459,$Z823)</f>
        <v>1176</v>
      </c>
      <c r="Q823" s="64" t="n">
        <f aca="false">INDEX(Datos_Origen!$J$2:$J$2459,$Z823)</f>
        <v>744</v>
      </c>
      <c r="R823" s="65" t="n">
        <f aca="false">ROUND($O823*$P823,2)</f>
        <v>5880</v>
      </c>
      <c r="S823" s="65" t="n">
        <f aca="false">ROUND($O823*$Q823,2)</f>
        <v>3720</v>
      </c>
      <c r="T823" s="65" t="n">
        <f aca="false">ROUND($R823*SUMIFS(Parametros!$E$28:$E$43,Parametros!$B$28:$B$43,$J823,Parametros!$C$28:$C$43,$C823,Parametros!$D$28:$D$43,$D823),2)</f>
        <v>270.48</v>
      </c>
      <c r="U823" s="65" t="n">
        <f aca="false">$R823-$S823-$T823</f>
        <v>1889.52</v>
      </c>
      <c r="V823" s="66" t="n">
        <f aca="false">IFERROR($U823/$R823,0)</f>
        <v>0.32134693877551</v>
      </c>
      <c r="W823" s="67" t="str">
        <f aca="false">IF(AND($V823&gt;=Parametros!$C$8,$R823&gt;=Parametros!$C$12),"Alta rentabilidad",IF(OR($V823&lt;Parametros!$C$11,$R823&lt;Parametros!$C$13),"Revisar","Estandar"))</f>
        <v>Estandar</v>
      </c>
      <c r="X823" s="67" t="str">
        <f aca="false">IF(AND($J823="E-commerce",IFERROR($T823/$R823,0)&gt;Parametros!$C$14),"Alerta","OK")</f>
        <v>OK</v>
      </c>
      <c r="Y823" s="61" t="str">
        <f aca="false">IF($R823&gt;=Parametros!$C$12,"Alto",IF($R823&lt;Parametros!$C$13,"Bajo","Medio"))</f>
        <v>Alto</v>
      </c>
      <c r="Z823" s="61" t="n">
        <v>208</v>
      </c>
      <c r="AA823" s="61" t="str">
        <f aca="false">IF(MATCH($A823,Datos_Origen!$A$2:$A$2459,0)=$Z823,"OK","REVISAR")</f>
        <v>OK</v>
      </c>
      <c r="AB823" s="62" t="n">
        <f aca="false">INDEX(Datos_Origen!$B$2:$B$2459,$Z823)</f>
        <v>45539</v>
      </c>
      <c r="AC823" s="61" t="n">
        <f aca="false">INDEX(Datos_Origen!$H$2:$H$2459,$Z823)</f>
        <v>5</v>
      </c>
      <c r="AD823" s="61" t="str">
        <f aca="false">INDEX(Datos_Origen!$D$2:$D$2459,$Z823)&amp;""</f>
        <v/>
      </c>
    </row>
    <row r="824" customFormat="false" ht="15" hidden="false" customHeight="false" outlineLevel="0" collapsed="false">
      <c r="A824" s="61" t="n">
        <f aca="false">INDEX(Datos_Origen!$A$2:$A$2459,$Z824)</f>
        <v>823</v>
      </c>
      <c r="B824" s="62" t="n">
        <f aca="false">IF(ISNUMBER($AB824),$AB824,IF(MID($AB824,5,1)="-",DATE(VALUE(LEFT($AB824,4)),VALUE(MID($AB824,6,2)),VALUE(RIGHT($AB824,2))),DATE(VALUE(RIGHT($AB824,4)),VALUE(MID($AB824,4,2)),VALUE(LEFT($AB824,2)))))</f>
        <v>45546</v>
      </c>
      <c r="C824" s="61" t="n">
        <f aca="false">YEAR($B824)</f>
        <v>2024</v>
      </c>
      <c r="D824" s="61" t="str">
        <f aca="false">"Q"&amp;ROUNDUP(MONTH($B824)/3,0)</f>
        <v>Q3</v>
      </c>
      <c r="E824" s="61" t="n">
        <f aca="false">MONTH($B824)</f>
        <v>9</v>
      </c>
      <c r="F824" s="61" t="str">
        <f aca="false">INDEX(Parametros!$I$5:$I$16,$E824)</f>
        <v>Sep</v>
      </c>
      <c r="G824" s="61" t="str">
        <f aca="false">TEXT($C824,"0000")&amp;"-"&amp;TEXT($E824,"00")</f>
        <v>2024-09</v>
      </c>
      <c r="H824" s="61" t="str">
        <f aca="false">INDEX(Parametros!$C$71:$C$91,MATCH(TRIM(INDEX(Datos_Origen!$C$2:$C$2459,$Z824)),Parametros!$B$71:$B$91,0))</f>
        <v>Centro</v>
      </c>
      <c r="I824" s="61" t="str">
        <f aca="false">IF(TRIM($AD824)="",INDEX(Parametros!$I$20:$I$24,MATCH($H824,Parametros!$H$20:$H$24,0)),TRIM($AD824))</f>
        <v>Cordoba</v>
      </c>
      <c r="J824" s="61" t="str">
        <f aca="false">INDEX(Parametros!$C$95:$C$106,MATCH(TRIM(INDEX(Datos_Origen!$E$2:$E$2459,$Z824)),Parametros!$B$95:$B$106,0))</f>
        <v>Tienda fisica</v>
      </c>
      <c r="K824" s="61" t="str">
        <f aca="false">INDEX(Parametros!$C$48:$C$67,MATCH(TRIM(INDEX(Datos_Origen!$F$2:$F$2459,$Z824)),Parametros!$B$48:$B$67,0))</f>
        <v>Computacion</v>
      </c>
      <c r="L824" s="61" t="str">
        <f aca="false">$K824&amp;" "&amp;$C824</f>
        <v>Computacion 2024</v>
      </c>
      <c r="M824" s="61" t="str">
        <f aca="false">TRIM(INDEX(Datos_Origen!$G$2:$G$2459,$Z824))</f>
        <v>Monitor 4K 27</v>
      </c>
      <c r="N824" s="61" t="str">
        <f aca="false">$M824&amp;" "&amp;$C824</f>
        <v>Monitor 4K 27 2024</v>
      </c>
      <c r="O824" s="63" t="n">
        <f aca="false">IF(ISTEXT($AC824),VALUE($AC824),$AC824)</f>
        <v>12</v>
      </c>
      <c r="P824" s="64" t="n">
        <f aca="false">INDEX(Datos_Origen!$I$2:$I$2459,$Z824)</f>
        <v>441</v>
      </c>
      <c r="Q824" s="64" t="n">
        <f aca="false">INDEX(Datos_Origen!$J$2:$J$2459,$Z824)</f>
        <v>272.25</v>
      </c>
      <c r="R824" s="65" t="n">
        <f aca="false">ROUND($O824*$P824,2)</f>
        <v>5292</v>
      </c>
      <c r="S824" s="65" t="n">
        <f aca="false">ROUND($O824*$Q824,2)</f>
        <v>3267</v>
      </c>
      <c r="T824" s="65" t="n">
        <f aca="false">ROUND($R824*SUMIFS(Parametros!$E$28:$E$43,Parametros!$B$28:$B$43,$J824,Parametros!$C$28:$C$43,$C824,Parametros!$D$28:$D$43,$D824),2)</f>
        <v>68.8</v>
      </c>
      <c r="U824" s="65" t="n">
        <f aca="false">$R824-$S824-$T824</f>
        <v>1956.2</v>
      </c>
      <c r="V824" s="66" t="n">
        <f aca="false">IFERROR($U824/$R824,0)</f>
        <v>0.369652305366591</v>
      </c>
      <c r="W824" s="67" t="str">
        <f aca="false">IF(AND($V824&gt;=Parametros!$C$8,$R824&gt;=Parametros!$C$12),"Alta rentabilidad",IF(OR($V824&lt;Parametros!$C$11,$R824&lt;Parametros!$C$13),"Revisar","Estandar"))</f>
        <v>Alta rentabilidad</v>
      </c>
      <c r="X824" s="67" t="str">
        <f aca="false">IF(AND($J824="E-commerce",IFERROR($T824/$R824,0)&gt;Parametros!$C$14),"Alerta","OK")</f>
        <v>OK</v>
      </c>
      <c r="Y824" s="61" t="str">
        <f aca="false">IF($R824&gt;=Parametros!$C$12,"Alto",IF($R824&lt;Parametros!$C$13,"Bajo","Medio"))</f>
        <v>Alto</v>
      </c>
      <c r="Z824" s="61" t="n">
        <v>761</v>
      </c>
      <c r="AA824" s="61" t="str">
        <f aca="false">IF(MATCH($A824,Datos_Origen!$A$2:$A$2459,0)=$Z824,"OK","REVISAR")</f>
        <v>OK</v>
      </c>
      <c r="AB824" s="61" t="str">
        <f aca="false">INDEX(Datos_Origen!$B$2:$B$2459,$Z824)</f>
        <v>11/09/2024</v>
      </c>
      <c r="AC824" s="61" t="n">
        <f aca="false">INDEX(Datos_Origen!$H$2:$H$2459,$Z824)</f>
        <v>12</v>
      </c>
      <c r="AD824" s="61" t="str">
        <f aca="false">INDEX(Datos_Origen!$D$2:$D$2459,$Z824)&amp;""</f>
        <v>Cordoba</v>
      </c>
    </row>
    <row r="825" customFormat="false" ht="15" hidden="false" customHeight="false" outlineLevel="0" collapsed="false">
      <c r="A825" s="61" t="n">
        <f aca="false">INDEX(Datos_Origen!$A$2:$A$2459,$Z825)</f>
        <v>824</v>
      </c>
      <c r="B825" s="62" t="n">
        <f aca="false">IF(ISNUMBER($AB825),$AB825,IF(MID($AB825,5,1)="-",DATE(VALUE(LEFT($AB825,4)),VALUE(MID($AB825,6,2)),VALUE(RIGHT($AB825,2))),DATE(VALUE(RIGHT($AB825,4)),VALUE(MID($AB825,4,2)),VALUE(LEFT($AB825,2)))))</f>
        <v>45553</v>
      </c>
      <c r="C825" s="61" t="n">
        <f aca="false">YEAR($B825)</f>
        <v>2024</v>
      </c>
      <c r="D825" s="61" t="str">
        <f aca="false">"Q"&amp;ROUNDUP(MONTH($B825)/3,0)</f>
        <v>Q3</v>
      </c>
      <c r="E825" s="61" t="n">
        <f aca="false">MONTH($B825)</f>
        <v>9</v>
      </c>
      <c r="F825" s="61" t="str">
        <f aca="false">INDEX(Parametros!$I$5:$I$16,$E825)</f>
        <v>Sep</v>
      </c>
      <c r="G825" s="61" t="str">
        <f aca="false">TEXT($C825,"0000")&amp;"-"&amp;TEXT($E825,"00")</f>
        <v>2024-09</v>
      </c>
      <c r="H825" s="61" t="str">
        <f aca="false">INDEX(Parametros!$C$71:$C$91,MATCH(TRIM(INDEX(Datos_Origen!$C$2:$C$2459,$Z825)),Parametros!$B$71:$B$91,0))</f>
        <v>Centro</v>
      </c>
      <c r="I825" s="61" t="str">
        <f aca="false">IF(TRIM($AD825)="",INDEX(Parametros!$I$20:$I$24,MATCH($H825,Parametros!$H$20:$H$24,0)),TRIM($AD825))</f>
        <v>Cordoba</v>
      </c>
      <c r="J825" s="61" t="str">
        <f aca="false">INDEX(Parametros!$C$95:$C$106,MATCH(TRIM(INDEX(Datos_Origen!$E$2:$E$2459,$Z825)),Parametros!$B$95:$B$106,0))</f>
        <v>E-commerce</v>
      </c>
      <c r="K825" s="61" t="str">
        <f aca="false">INDEX(Parametros!$C$48:$C$67,MATCH(TRIM(INDEX(Datos_Origen!$F$2:$F$2459,$Z825)),Parametros!$B$48:$B$67,0))</f>
        <v>Computacion</v>
      </c>
      <c r="L825" s="61" t="str">
        <f aca="false">$K825&amp;" "&amp;$C825</f>
        <v>Computacion 2024</v>
      </c>
      <c r="M825" s="61" t="str">
        <f aca="false">TRIM(INDEX(Datos_Origen!$G$2:$G$2459,$Z825))</f>
        <v>Monitor 4K 27</v>
      </c>
      <c r="N825" s="61" t="str">
        <f aca="false">$M825&amp;" "&amp;$C825</f>
        <v>Monitor 4K 27 2024</v>
      </c>
      <c r="O825" s="63" t="n">
        <f aca="false">IF(ISTEXT($AC825),VALUE($AC825),$AC825)</f>
        <v>5</v>
      </c>
      <c r="P825" s="64" t="n">
        <f aca="false">INDEX(Datos_Origen!$I$2:$I$2459,$Z825)</f>
        <v>441</v>
      </c>
      <c r="Q825" s="64" t="n">
        <f aca="false">INDEX(Datos_Origen!$J$2:$J$2459,$Z825)</f>
        <v>272.25</v>
      </c>
      <c r="R825" s="65" t="n">
        <f aca="false">ROUND($O825*$P825,2)</f>
        <v>2205</v>
      </c>
      <c r="S825" s="65" t="n">
        <f aca="false">ROUND($O825*$Q825,2)</f>
        <v>1361.25</v>
      </c>
      <c r="T825" s="65" t="n">
        <f aca="false">ROUND($R825*SUMIFS(Parametros!$E$28:$E$43,Parametros!$B$28:$B$43,$J825,Parametros!$C$28:$C$43,$C825,Parametros!$D$28:$D$43,$D825),2)</f>
        <v>101.43</v>
      </c>
      <c r="U825" s="65" t="n">
        <f aca="false">$R825-$S825-$T825</f>
        <v>742.32</v>
      </c>
      <c r="V825" s="66" t="n">
        <f aca="false">IFERROR($U825/$R825,0)</f>
        <v>0.33665306122449</v>
      </c>
      <c r="W825" s="67" t="str">
        <f aca="false">IF(AND($V825&gt;=Parametros!$C$8,$R825&gt;=Parametros!$C$12),"Alta rentabilidad",IF(OR($V825&lt;Parametros!$C$11,$R825&lt;Parametros!$C$13),"Revisar","Estandar"))</f>
        <v>Estandar</v>
      </c>
      <c r="X825" s="67" t="str">
        <f aca="false">IF(AND($J825="E-commerce",IFERROR($T825/$R825,0)&gt;Parametros!$C$14),"Alerta","OK")</f>
        <v>OK</v>
      </c>
      <c r="Y825" s="61" t="str">
        <f aca="false">IF($R825&gt;=Parametros!$C$12,"Alto",IF($R825&lt;Parametros!$C$13,"Bajo","Medio"))</f>
        <v>Medio</v>
      </c>
      <c r="Z825" s="61" t="n">
        <v>1639</v>
      </c>
      <c r="AA825" s="61" t="str">
        <f aca="false">IF(MATCH($A825,Datos_Origen!$A$2:$A$2459,0)=$Z825,"OK","REVISAR")</f>
        <v>OK</v>
      </c>
      <c r="AB825" s="61" t="str">
        <f aca="false">INDEX(Datos_Origen!$B$2:$B$2459,$Z825)</f>
        <v>18/09/2024</v>
      </c>
      <c r="AC825" s="61" t="n">
        <f aca="false">INDEX(Datos_Origen!$H$2:$H$2459,$Z825)</f>
        <v>5</v>
      </c>
      <c r="AD825" s="61" t="str">
        <f aca="false">INDEX(Datos_Origen!$D$2:$D$2459,$Z825)&amp;""</f>
        <v>Cordoba</v>
      </c>
    </row>
    <row r="826" customFormat="false" ht="15" hidden="false" customHeight="false" outlineLevel="0" collapsed="false">
      <c r="A826" s="61" t="n">
        <f aca="false">INDEX(Datos_Origen!$A$2:$A$2459,$Z826)</f>
        <v>825</v>
      </c>
      <c r="B826" s="62" t="n">
        <f aca="false">IF(ISNUMBER($AB826),$AB826,IF(MID($AB826,5,1)="-",DATE(VALUE(LEFT($AB826,4)),VALUE(MID($AB826,6,2)),VALUE(RIGHT($AB826,2))),DATE(VALUE(RIGHT($AB826,4)),VALUE(MID($AB826,4,2)),VALUE(LEFT($AB826,2)))))</f>
        <v>45560</v>
      </c>
      <c r="C826" s="61" t="n">
        <f aca="false">YEAR($B826)</f>
        <v>2024</v>
      </c>
      <c r="D826" s="61" t="str">
        <f aca="false">"Q"&amp;ROUNDUP(MONTH($B826)/3,0)</f>
        <v>Q3</v>
      </c>
      <c r="E826" s="61" t="n">
        <f aca="false">MONTH($B826)</f>
        <v>9</v>
      </c>
      <c r="F826" s="61" t="str">
        <f aca="false">INDEX(Parametros!$I$5:$I$16,$E826)</f>
        <v>Sep</v>
      </c>
      <c r="G826" s="61" t="str">
        <f aca="false">TEXT($C826,"0000")&amp;"-"&amp;TEXT($E826,"00")</f>
        <v>2024-09</v>
      </c>
      <c r="H826" s="61" t="str">
        <f aca="false">INDEX(Parametros!$C$71:$C$91,MATCH(TRIM(INDEX(Datos_Origen!$C$2:$C$2459,$Z826)),Parametros!$B$71:$B$91,0))</f>
        <v>Centro</v>
      </c>
      <c r="I826" s="61" t="str">
        <f aca="false">IF(TRIM($AD826)="",INDEX(Parametros!$I$20:$I$24,MATCH($H826,Parametros!$H$20:$H$24,0)),TRIM($AD826))</f>
        <v>Cordoba</v>
      </c>
      <c r="J826" s="61" t="str">
        <f aca="false">INDEX(Parametros!$C$95:$C$106,MATCH(TRIM(INDEX(Datos_Origen!$E$2:$E$2459,$Z826)),Parametros!$B$95:$B$106,0))</f>
        <v>Tienda fisica</v>
      </c>
      <c r="K826" s="61" t="str">
        <f aca="false">INDEX(Parametros!$C$48:$C$67,MATCH(TRIM(INDEX(Datos_Origen!$F$2:$F$2459,$Z826)),Parametros!$B$48:$B$67,0))</f>
        <v>Computacion</v>
      </c>
      <c r="L826" s="61" t="str">
        <f aca="false">$K826&amp;" "&amp;$C826</f>
        <v>Computacion 2024</v>
      </c>
      <c r="M826" s="61" t="str">
        <f aca="false">TRIM(INDEX(Datos_Origen!$G$2:$G$2459,$Z826))</f>
        <v>PC Gamer Ryzen</v>
      </c>
      <c r="N826" s="61" t="str">
        <f aca="false">$M826&amp;" "&amp;$C826</f>
        <v>PC Gamer Ryzen 2024</v>
      </c>
      <c r="O826" s="63" t="n">
        <f aca="false">IF(ISTEXT($AC826),VALUE($AC826),$AC826)</f>
        <v>11</v>
      </c>
      <c r="P826" s="64" t="n">
        <f aca="false">INDEX(Datos_Origen!$I$2:$I$2459,$Z826)</f>
        <v>1617</v>
      </c>
      <c r="Q826" s="64" t="n">
        <f aca="false">INDEX(Datos_Origen!$J$2:$J$2459,$Z826)</f>
        <v>1122</v>
      </c>
      <c r="R826" s="65" t="n">
        <f aca="false">ROUND($O826*$P826,2)</f>
        <v>17787</v>
      </c>
      <c r="S826" s="65" t="n">
        <f aca="false">ROUND($O826*$Q826,2)</f>
        <v>12342</v>
      </c>
      <c r="T826" s="65" t="n">
        <f aca="false">ROUND($R826*SUMIFS(Parametros!$E$28:$E$43,Parametros!$B$28:$B$43,$J826,Parametros!$C$28:$C$43,$C826,Parametros!$D$28:$D$43,$D826),2)</f>
        <v>231.23</v>
      </c>
      <c r="U826" s="65" t="n">
        <f aca="false">$R826-$S826-$T826</f>
        <v>5213.77</v>
      </c>
      <c r="V826" s="66" t="n">
        <f aca="false">IFERROR($U826/$R826,0)</f>
        <v>0.293122505200427</v>
      </c>
      <c r="W826" s="67" t="str">
        <f aca="false">IF(AND($V826&gt;=Parametros!$C$8,$R826&gt;=Parametros!$C$12),"Alta rentabilidad",IF(OR($V826&lt;Parametros!$C$11,$R826&lt;Parametros!$C$13),"Revisar","Estandar"))</f>
        <v>Estandar</v>
      </c>
      <c r="X826" s="67" t="str">
        <f aca="false">IF(AND($J826="E-commerce",IFERROR($T826/$R826,0)&gt;Parametros!$C$14),"Alerta","OK")</f>
        <v>OK</v>
      </c>
      <c r="Y826" s="61" t="str">
        <f aca="false">IF($R826&gt;=Parametros!$C$12,"Alto",IF($R826&lt;Parametros!$C$13,"Bajo","Medio"))</f>
        <v>Alto</v>
      </c>
      <c r="Z826" s="61" t="n">
        <v>67</v>
      </c>
      <c r="AA826" s="61" t="str">
        <f aca="false">IF(MATCH($A826,Datos_Origen!$A$2:$A$2459,0)=$Z826,"OK","REVISAR")</f>
        <v>OK</v>
      </c>
      <c r="AB826" s="61" t="str">
        <f aca="false">INDEX(Datos_Origen!$B$2:$B$2459,$Z826)</f>
        <v>2024-09-25</v>
      </c>
      <c r="AC826" s="61" t="n">
        <f aca="false">INDEX(Datos_Origen!$H$2:$H$2459,$Z826)</f>
        <v>11</v>
      </c>
      <c r="AD826" s="61" t="str">
        <f aca="false">INDEX(Datos_Origen!$D$2:$D$2459,$Z826)&amp;""</f>
        <v>Cordoba</v>
      </c>
    </row>
    <row r="827" customFormat="false" ht="15" hidden="false" customHeight="false" outlineLevel="0" collapsed="false">
      <c r="A827" s="61" t="n">
        <f aca="false">INDEX(Datos_Origen!$A$2:$A$2459,$Z827)</f>
        <v>826</v>
      </c>
      <c r="B827" s="62" t="n">
        <f aca="false">IF(ISNUMBER($AB827),$AB827,IF(MID($AB827,5,1)="-",DATE(VALUE(LEFT($AB827,4)),VALUE(MID($AB827,6,2)),VALUE(RIGHT($AB827,2))),DATE(VALUE(RIGHT($AB827,4)),VALUE(MID($AB827,4,2)),VALUE(LEFT($AB827,2)))))</f>
        <v>45540</v>
      </c>
      <c r="C827" s="61" t="n">
        <f aca="false">YEAR($B827)</f>
        <v>2024</v>
      </c>
      <c r="D827" s="61" t="str">
        <f aca="false">"Q"&amp;ROUNDUP(MONTH($B827)/3,0)</f>
        <v>Q3</v>
      </c>
      <c r="E827" s="61" t="n">
        <f aca="false">MONTH($B827)</f>
        <v>9</v>
      </c>
      <c r="F827" s="61" t="str">
        <f aca="false">INDEX(Parametros!$I$5:$I$16,$E827)</f>
        <v>Sep</v>
      </c>
      <c r="G827" s="61" t="str">
        <f aca="false">TEXT($C827,"0000")&amp;"-"&amp;TEXT($E827,"00")</f>
        <v>2024-09</v>
      </c>
      <c r="H827" s="61" t="str">
        <f aca="false">INDEX(Parametros!$C$71:$C$91,MATCH(TRIM(INDEX(Datos_Origen!$C$2:$C$2459,$Z827)),Parametros!$B$71:$B$91,0))</f>
        <v>Centro</v>
      </c>
      <c r="I827" s="61" t="str">
        <f aca="false">IF(TRIM($AD827)="",INDEX(Parametros!$I$20:$I$24,MATCH($H827,Parametros!$H$20:$H$24,0)),TRIM($AD827))</f>
        <v>Cordoba</v>
      </c>
      <c r="J827" s="61" t="str">
        <f aca="false">INDEX(Parametros!$C$95:$C$106,MATCH(TRIM(INDEX(Datos_Origen!$E$2:$E$2459,$Z827)),Parametros!$B$95:$B$106,0))</f>
        <v>E-commerce</v>
      </c>
      <c r="K827" s="61" t="str">
        <f aca="false">INDEX(Parametros!$C$48:$C$67,MATCH(TRIM(INDEX(Datos_Origen!$F$2:$F$2459,$Z827)),Parametros!$B$48:$B$67,0))</f>
        <v>Computacion</v>
      </c>
      <c r="L827" s="61" t="str">
        <f aca="false">$K827&amp;" "&amp;$C827</f>
        <v>Computacion 2024</v>
      </c>
      <c r="M827" s="61" t="str">
        <f aca="false">TRIM(INDEX(Datos_Origen!$G$2:$G$2459,$Z827))</f>
        <v>PC Gamer Ryzen</v>
      </c>
      <c r="N827" s="61" t="str">
        <f aca="false">$M827&amp;" "&amp;$C827</f>
        <v>PC Gamer Ryzen 2024</v>
      </c>
      <c r="O827" s="63" t="n">
        <f aca="false">IF(ISTEXT($AC827),VALUE($AC827),$AC827)</f>
        <v>6</v>
      </c>
      <c r="P827" s="64" t="n">
        <f aca="false">INDEX(Datos_Origen!$I$2:$I$2459,$Z827)</f>
        <v>1617</v>
      </c>
      <c r="Q827" s="64" t="n">
        <f aca="false">INDEX(Datos_Origen!$J$2:$J$2459,$Z827)</f>
        <v>1122</v>
      </c>
      <c r="R827" s="65" t="n">
        <f aca="false">ROUND($O827*$P827,2)</f>
        <v>9702</v>
      </c>
      <c r="S827" s="65" t="n">
        <f aca="false">ROUND($O827*$Q827,2)</f>
        <v>6732</v>
      </c>
      <c r="T827" s="65" t="n">
        <f aca="false">ROUND($R827*SUMIFS(Parametros!$E$28:$E$43,Parametros!$B$28:$B$43,$J827,Parametros!$C$28:$C$43,$C827,Parametros!$D$28:$D$43,$D827),2)</f>
        <v>446.29</v>
      </c>
      <c r="U827" s="65" t="n">
        <f aca="false">$R827-$S827-$T827</f>
        <v>2523.71</v>
      </c>
      <c r="V827" s="66" t="n">
        <f aca="false">IFERROR($U827/$R827,0)</f>
        <v>0.260122655122655</v>
      </c>
      <c r="W827" s="67" t="str">
        <f aca="false">IF(AND($V827&gt;=Parametros!$C$8,$R827&gt;=Parametros!$C$12),"Alta rentabilidad",IF(OR($V827&lt;Parametros!$C$11,$R827&lt;Parametros!$C$13),"Revisar","Estandar"))</f>
        <v>Revisar</v>
      </c>
      <c r="X827" s="67" t="str">
        <f aca="false">IF(AND($J827="E-commerce",IFERROR($T827/$R827,0)&gt;Parametros!$C$14),"Alerta","OK")</f>
        <v>OK</v>
      </c>
      <c r="Y827" s="61" t="str">
        <f aca="false">IF($R827&gt;=Parametros!$C$12,"Alto",IF($R827&lt;Parametros!$C$13,"Bajo","Medio"))</f>
        <v>Alto</v>
      </c>
      <c r="Z827" s="61" t="n">
        <v>2045</v>
      </c>
      <c r="AA827" s="61" t="str">
        <f aca="false">IF(MATCH($A827,Datos_Origen!$A$2:$A$2459,0)=$Z827,"OK","REVISAR")</f>
        <v>OK</v>
      </c>
      <c r="AB827" s="62" t="n">
        <f aca="false">INDEX(Datos_Origen!$B$2:$B$2459,$Z827)</f>
        <v>45540</v>
      </c>
      <c r="AC827" s="61" t="str">
        <f aca="false">INDEX(Datos_Origen!$H$2:$H$2459,$Z827)</f>
        <v>6</v>
      </c>
      <c r="AD827" s="61" t="str">
        <f aca="false">INDEX(Datos_Origen!$D$2:$D$2459,$Z827)&amp;""</f>
        <v>Cordoba</v>
      </c>
    </row>
    <row r="828" customFormat="false" ht="15" hidden="false" customHeight="false" outlineLevel="0" collapsed="false">
      <c r="A828" s="61" t="n">
        <f aca="false">INDEX(Datos_Origen!$A$2:$A$2459,$Z828)</f>
        <v>827</v>
      </c>
      <c r="B828" s="62" t="n">
        <f aca="false">IF(ISNUMBER($AB828),$AB828,IF(MID($AB828,5,1)="-",DATE(VALUE(LEFT($AB828,4)),VALUE(MID($AB828,6,2)),VALUE(RIGHT($AB828,2))),DATE(VALUE(RIGHT($AB828,4)),VALUE(MID($AB828,4,2)),VALUE(LEFT($AB828,2)))))</f>
        <v>45547</v>
      </c>
      <c r="C828" s="61" t="n">
        <f aca="false">YEAR($B828)</f>
        <v>2024</v>
      </c>
      <c r="D828" s="61" t="str">
        <f aca="false">"Q"&amp;ROUNDUP(MONTH($B828)/3,0)</f>
        <v>Q3</v>
      </c>
      <c r="E828" s="61" t="n">
        <f aca="false">MONTH($B828)</f>
        <v>9</v>
      </c>
      <c r="F828" s="61" t="str">
        <f aca="false">INDEX(Parametros!$I$5:$I$16,$E828)</f>
        <v>Sep</v>
      </c>
      <c r="G828" s="61" t="str">
        <f aca="false">TEXT($C828,"0000")&amp;"-"&amp;TEXT($E828,"00")</f>
        <v>2024-09</v>
      </c>
      <c r="H828" s="61" t="str">
        <f aca="false">INDEX(Parametros!$C$71:$C$91,MATCH(TRIM(INDEX(Datos_Origen!$C$2:$C$2459,$Z828)),Parametros!$B$71:$B$91,0))</f>
        <v>Centro</v>
      </c>
      <c r="I828" s="61" t="str">
        <f aca="false">IF(TRIM($AD828)="",INDEX(Parametros!$I$20:$I$24,MATCH($H828,Parametros!$H$20:$H$24,0)),TRIM($AD828))</f>
        <v>Cordoba</v>
      </c>
      <c r="J828" s="61" t="str">
        <f aca="false">INDEX(Parametros!$C$95:$C$106,MATCH(TRIM(INDEX(Datos_Origen!$E$2:$E$2459,$Z828)),Parametros!$B$95:$B$106,0))</f>
        <v>Tienda fisica</v>
      </c>
      <c r="K828" s="61" t="str">
        <f aca="false">INDEX(Parametros!$C$48:$C$67,MATCH(TRIM(INDEX(Datos_Origen!$F$2:$F$2459,$Z828)),Parametros!$B$48:$B$67,0))</f>
        <v>Accesorios</v>
      </c>
      <c r="L828" s="61" t="str">
        <f aca="false">$K828&amp;" "&amp;$C828</f>
        <v>Accesorios 2024</v>
      </c>
      <c r="M828" s="61" t="str">
        <f aca="false">TRIM(INDEX(Datos_Origen!$G$2:$G$2459,$Z828))</f>
        <v>Mouse Inalambrico</v>
      </c>
      <c r="N828" s="61" t="str">
        <f aca="false">$M828&amp;" "&amp;$C828</f>
        <v>Mouse Inalambrico 2024</v>
      </c>
      <c r="O828" s="63" t="n">
        <f aca="false">IF(ISTEXT($AC828),VALUE($AC828),$AC828)</f>
        <v>50</v>
      </c>
      <c r="P828" s="64" t="n">
        <f aca="false">INDEX(Datos_Origen!$I$2:$I$2459,$Z828)</f>
        <v>27.44</v>
      </c>
      <c r="Q828" s="64" t="n">
        <f aca="false">INDEX(Datos_Origen!$J$2:$J$2459,$Z828)</f>
        <v>13.44</v>
      </c>
      <c r="R828" s="65" t="n">
        <f aca="false">ROUND($O828*$P828,2)</f>
        <v>1372</v>
      </c>
      <c r="S828" s="65" t="n">
        <f aca="false">ROUND($O828*$Q828,2)</f>
        <v>672</v>
      </c>
      <c r="T828" s="65" t="n">
        <f aca="false">ROUND($R828*SUMIFS(Parametros!$E$28:$E$43,Parametros!$B$28:$B$43,$J828,Parametros!$C$28:$C$43,$C828,Parametros!$D$28:$D$43,$D828),2)</f>
        <v>17.84</v>
      </c>
      <c r="U828" s="65" t="n">
        <f aca="false">$R828-$S828-$T828</f>
        <v>682.16</v>
      </c>
      <c r="V828" s="66" t="n">
        <f aca="false">IFERROR($U828/$R828,0)</f>
        <v>0.497201166180758</v>
      </c>
      <c r="W828" s="67" t="str">
        <f aca="false">IF(AND($V828&gt;=Parametros!$C$8,$R828&gt;=Parametros!$C$12),"Alta rentabilidad",IF(OR($V828&lt;Parametros!$C$11,$R828&lt;Parametros!$C$13),"Revisar","Estandar"))</f>
        <v>Estandar</v>
      </c>
      <c r="X828" s="67" t="str">
        <f aca="false">IF(AND($J828="E-commerce",IFERROR($T828/$R828,0)&gt;Parametros!$C$14),"Alerta","OK")</f>
        <v>OK</v>
      </c>
      <c r="Y828" s="61" t="str">
        <f aca="false">IF($R828&gt;=Parametros!$C$12,"Alto",IF($R828&lt;Parametros!$C$13,"Bajo","Medio"))</f>
        <v>Medio</v>
      </c>
      <c r="Z828" s="61" t="n">
        <v>392</v>
      </c>
      <c r="AA828" s="61" t="str">
        <f aca="false">IF(MATCH($A828,Datos_Origen!$A$2:$A$2459,0)=$Z828,"OK","REVISAR")</f>
        <v>OK</v>
      </c>
      <c r="AB828" s="62" t="n">
        <f aca="false">INDEX(Datos_Origen!$B$2:$B$2459,$Z828)</f>
        <v>45547</v>
      </c>
      <c r="AC828" s="61" t="n">
        <f aca="false">INDEX(Datos_Origen!$H$2:$H$2459,$Z828)</f>
        <v>50</v>
      </c>
      <c r="AD828" s="61" t="str">
        <f aca="false">INDEX(Datos_Origen!$D$2:$D$2459,$Z828)&amp;""</f>
        <v>Cordoba</v>
      </c>
    </row>
    <row r="829" customFormat="false" ht="15" hidden="false" customHeight="false" outlineLevel="0" collapsed="false">
      <c r="A829" s="61" t="n">
        <f aca="false">INDEX(Datos_Origen!$A$2:$A$2459,$Z829)</f>
        <v>828</v>
      </c>
      <c r="B829" s="62" t="n">
        <f aca="false">IF(ISNUMBER($AB829),$AB829,IF(MID($AB829,5,1)="-",DATE(VALUE(LEFT($AB829,4)),VALUE(MID($AB829,6,2)),VALUE(RIGHT($AB829,2))),DATE(VALUE(RIGHT($AB829,4)),VALUE(MID($AB829,4,2)),VALUE(LEFT($AB829,2)))))</f>
        <v>45554</v>
      </c>
      <c r="C829" s="61" t="n">
        <f aca="false">YEAR($B829)</f>
        <v>2024</v>
      </c>
      <c r="D829" s="61" t="str">
        <f aca="false">"Q"&amp;ROUNDUP(MONTH($B829)/3,0)</f>
        <v>Q3</v>
      </c>
      <c r="E829" s="61" t="n">
        <f aca="false">MONTH($B829)</f>
        <v>9</v>
      </c>
      <c r="F829" s="61" t="str">
        <f aca="false">INDEX(Parametros!$I$5:$I$16,$E829)</f>
        <v>Sep</v>
      </c>
      <c r="G829" s="61" t="str">
        <f aca="false">TEXT($C829,"0000")&amp;"-"&amp;TEXT($E829,"00")</f>
        <v>2024-09</v>
      </c>
      <c r="H829" s="61" t="str">
        <f aca="false">INDEX(Parametros!$C$71:$C$91,MATCH(TRIM(INDEX(Datos_Origen!$C$2:$C$2459,$Z829)),Parametros!$B$71:$B$91,0))</f>
        <v>Centro</v>
      </c>
      <c r="I829" s="61" t="str">
        <f aca="false">IF(TRIM($AD829)="",INDEX(Parametros!$I$20:$I$24,MATCH($H829,Parametros!$H$20:$H$24,0)),TRIM($AD829))</f>
        <v>Cordoba</v>
      </c>
      <c r="J829" s="61" t="str">
        <f aca="false">INDEX(Parametros!$C$95:$C$106,MATCH(TRIM(INDEX(Datos_Origen!$E$2:$E$2459,$Z829)),Parametros!$B$95:$B$106,0))</f>
        <v>E-commerce</v>
      </c>
      <c r="K829" s="61" t="str">
        <f aca="false">INDEX(Parametros!$C$48:$C$67,MATCH(TRIM(INDEX(Datos_Origen!$F$2:$F$2459,$Z829)),Parametros!$B$48:$B$67,0))</f>
        <v>Accesorios</v>
      </c>
      <c r="L829" s="61" t="str">
        <f aca="false">$K829&amp;" "&amp;$C829</f>
        <v>Accesorios 2024</v>
      </c>
      <c r="M829" s="61" t="str">
        <f aca="false">TRIM(INDEX(Datos_Origen!$G$2:$G$2459,$Z829))</f>
        <v>Mouse Inalambrico</v>
      </c>
      <c r="N829" s="61" t="str">
        <f aca="false">$M829&amp;" "&amp;$C829</f>
        <v>Mouse Inalambrico 2024</v>
      </c>
      <c r="O829" s="63" t="n">
        <f aca="false">IF(ISTEXT($AC829),VALUE($AC829),$AC829)</f>
        <v>18</v>
      </c>
      <c r="P829" s="64" t="n">
        <f aca="false">INDEX(Datos_Origen!$I$2:$I$2459,$Z829)</f>
        <v>27.44</v>
      </c>
      <c r="Q829" s="64" t="n">
        <f aca="false">INDEX(Datos_Origen!$J$2:$J$2459,$Z829)</f>
        <v>13.44</v>
      </c>
      <c r="R829" s="65" t="n">
        <f aca="false">ROUND($O829*$P829,2)</f>
        <v>493.92</v>
      </c>
      <c r="S829" s="65" t="n">
        <f aca="false">ROUND($O829*$Q829,2)</f>
        <v>241.92</v>
      </c>
      <c r="T829" s="65" t="n">
        <f aca="false">ROUND($R829*SUMIFS(Parametros!$E$28:$E$43,Parametros!$B$28:$B$43,$J829,Parametros!$C$28:$C$43,$C829,Parametros!$D$28:$D$43,$D829),2)</f>
        <v>22.72</v>
      </c>
      <c r="U829" s="65" t="n">
        <f aca="false">$R829-$S829-$T829</f>
        <v>229.28</v>
      </c>
      <c r="V829" s="66" t="n">
        <f aca="false">IFERROR($U829/$R829,0)</f>
        <v>0.464204729510852</v>
      </c>
      <c r="W829" s="67" t="str">
        <f aca="false">IF(AND($V829&gt;=Parametros!$C$8,$R829&gt;=Parametros!$C$12),"Alta rentabilidad",IF(OR($V829&lt;Parametros!$C$11,$R829&lt;Parametros!$C$13),"Revisar","Estandar"))</f>
        <v>Estandar</v>
      </c>
      <c r="X829" s="67" t="str">
        <f aca="false">IF(AND($J829="E-commerce",IFERROR($T829/$R829,0)&gt;Parametros!$C$14),"Alerta","OK")</f>
        <v>OK</v>
      </c>
      <c r="Y829" s="61" t="str">
        <f aca="false">IF($R829&gt;=Parametros!$C$12,"Alto",IF($R829&lt;Parametros!$C$13,"Bajo","Medio"))</f>
        <v>Medio</v>
      </c>
      <c r="Z829" s="61" t="n">
        <v>2224</v>
      </c>
      <c r="AA829" s="61" t="str">
        <f aca="false">IF(MATCH($A829,Datos_Origen!$A$2:$A$2459,0)=$Z829,"OK","REVISAR")</f>
        <v>OK</v>
      </c>
      <c r="AB829" s="62" t="n">
        <f aca="false">INDEX(Datos_Origen!$B$2:$B$2459,$Z829)</f>
        <v>45554</v>
      </c>
      <c r="AC829" s="61" t="n">
        <f aca="false">INDEX(Datos_Origen!$H$2:$H$2459,$Z829)</f>
        <v>18</v>
      </c>
      <c r="AD829" s="61" t="str">
        <f aca="false">INDEX(Datos_Origen!$D$2:$D$2459,$Z829)&amp;""</f>
        <v>Cordoba</v>
      </c>
    </row>
    <row r="830" customFormat="false" ht="15" hidden="false" customHeight="false" outlineLevel="0" collapsed="false">
      <c r="A830" s="61" t="n">
        <f aca="false">INDEX(Datos_Origen!$A$2:$A$2459,$Z830)</f>
        <v>829</v>
      </c>
      <c r="B830" s="62" t="n">
        <f aca="false">IF(ISNUMBER($AB830),$AB830,IF(MID($AB830,5,1)="-",DATE(VALUE(LEFT($AB830,4)),VALUE(MID($AB830,6,2)),VALUE(RIGHT($AB830,2))),DATE(VALUE(RIGHT($AB830,4)),VALUE(MID($AB830,4,2)),VALUE(LEFT($AB830,2)))))</f>
        <v>45561</v>
      </c>
      <c r="C830" s="61" t="n">
        <f aca="false">YEAR($B830)</f>
        <v>2024</v>
      </c>
      <c r="D830" s="61" t="str">
        <f aca="false">"Q"&amp;ROUNDUP(MONTH($B830)/3,0)</f>
        <v>Q3</v>
      </c>
      <c r="E830" s="61" t="n">
        <f aca="false">MONTH($B830)</f>
        <v>9</v>
      </c>
      <c r="F830" s="61" t="str">
        <f aca="false">INDEX(Parametros!$I$5:$I$16,$E830)</f>
        <v>Sep</v>
      </c>
      <c r="G830" s="61" t="str">
        <f aca="false">TEXT($C830,"0000")&amp;"-"&amp;TEXT($E830,"00")</f>
        <v>2024-09</v>
      </c>
      <c r="H830" s="61" t="str">
        <f aca="false">INDEX(Parametros!$C$71:$C$91,MATCH(TRIM(INDEX(Datos_Origen!$C$2:$C$2459,$Z830)),Parametros!$B$71:$B$91,0))</f>
        <v>Centro</v>
      </c>
      <c r="I830" s="61" t="str">
        <f aca="false">IF(TRIM($AD830)="",INDEX(Parametros!$I$20:$I$24,MATCH($H830,Parametros!$H$20:$H$24,0)),TRIM($AD830))</f>
        <v>Cordoba</v>
      </c>
      <c r="J830" s="61" t="str">
        <f aca="false">INDEX(Parametros!$C$95:$C$106,MATCH(TRIM(INDEX(Datos_Origen!$E$2:$E$2459,$Z830)),Parametros!$B$95:$B$106,0))</f>
        <v>Tienda fisica</v>
      </c>
      <c r="K830" s="61" t="str">
        <f aca="false">INDEX(Parametros!$C$48:$C$67,MATCH(TRIM(INDEX(Datos_Origen!$F$2:$F$2459,$Z830)),Parametros!$B$48:$B$67,0))</f>
        <v>Accesorios</v>
      </c>
      <c r="L830" s="61" t="str">
        <f aca="false">$K830&amp;" "&amp;$C830</f>
        <v>Accesorios 2024</v>
      </c>
      <c r="M830" s="61" t="str">
        <f aca="false">TRIM(INDEX(Datos_Origen!$G$2:$G$2459,$Z830))</f>
        <v>Teclado Mecanico</v>
      </c>
      <c r="N830" s="61" t="str">
        <f aca="false">$M830&amp;" "&amp;$C830</f>
        <v>Teclado Mecanico 2024</v>
      </c>
      <c r="O830" s="63" t="n">
        <f aca="false">IF(ISTEXT($AC830),VALUE($AC830),$AC830)</f>
        <v>55</v>
      </c>
      <c r="P830" s="64" t="n">
        <f aca="false">INDEX(Datos_Origen!$I$2:$I$2459,$Z830)</f>
        <v>93.1</v>
      </c>
      <c r="Q830" s="64" t="n">
        <f aca="false">INDEX(Datos_Origen!$J$2:$J$2459,$Z830)</f>
        <v>47.98</v>
      </c>
      <c r="R830" s="65" t="n">
        <f aca="false">ROUND($O830*$P830,2)</f>
        <v>5120.5</v>
      </c>
      <c r="S830" s="65" t="n">
        <f aca="false">ROUND($O830*$Q830,2)</f>
        <v>2638.9</v>
      </c>
      <c r="T830" s="65" t="n">
        <f aca="false">ROUND($R830*SUMIFS(Parametros!$E$28:$E$43,Parametros!$B$28:$B$43,$J830,Parametros!$C$28:$C$43,$C830,Parametros!$D$28:$D$43,$D830),2)</f>
        <v>66.57</v>
      </c>
      <c r="U830" s="65" t="n">
        <f aca="false">$R830-$S830-$T830</f>
        <v>2415.03</v>
      </c>
      <c r="V830" s="66" t="n">
        <f aca="false">IFERROR($U830/$R830,0)</f>
        <v>0.471639488331218</v>
      </c>
      <c r="W830" s="67" t="str">
        <f aca="false">IF(AND($V830&gt;=Parametros!$C$8,$R830&gt;=Parametros!$C$12),"Alta rentabilidad",IF(OR($V830&lt;Parametros!$C$11,$R830&lt;Parametros!$C$13),"Revisar","Estandar"))</f>
        <v>Alta rentabilidad</v>
      </c>
      <c r="X830" s="67" t="str">
        <f aca="false">IF(AND($J830="E-commerce",IFERROR($T830/$R830,0)&gt;Parametros!$C$14),"Alerta","OK")</f>
        <v>OK</v>
      </c>
      <c r="Y830" s="61" t="str">
        <f aca="false">IF($R830&gt;=Parametros!$C$12,"Alto",IF($R830&lt;Parametros!$C$13,"Bajo","Medio"))</f>
        <v>Alto</v>
      </c>
      <c r="Z830" s="61" t="n">
        <v>687</v>
      </c>
      <c r="AA830" s="61" t="str">
        <f aca="false">IF(MATCH($A830,Datos_Origen!$A$2:$A$2459,0)=$Z830,"OK","REVISAR")</f>
        <v>OK</v>
      </c>
      <c r="AB830" s="61" t="str">
        <f aca="false">INDEX(Datos_Origen!$B$2:$B$2459,$Z830)</f>
        <v>2024-09-26</v>
      </c>
      <c r="AC830" s="61" t="str">
        <f aca="false">INDEX(Datos_Origen!$H$2:$H$2459,$Z830)</f>
        <v>55</v>
      </c>
      <c r="AD830" s="61" t="str">
        <f aca="false">INDEX(Datos_Origen!$D$2:$D$2459,$Z830)&amp;""</f>
        <v/>
      </c>
    </row>
    <row r="831" customFormat="false" ht="15" hidden="false" customHeight="false" outlineLevel="0" collapsed="false">
      <c r="A831" s="61" t="n">
        <f aca="false">INDEX(Datos_Origen!$A$2:$A$2459,$Z831)</f>
        <v>830</v>
      </c>
      <c r="B831" s="62" t="n">
        <f aca="false">IF(ISNUMBER($AB831),$AB831,IF(MID($AB831,5,1)="-",DATE(VALUE(LEFT($AB831,4)),VALUE(MID($AB831,6,2)),VALUE(RIGHT($AB831,2))),DATE(VALUE(RIGHT($AB831,4)),VALUE(MID($AB831,4,2)),VALUE(LEFT($AB831,2)))))</f>
        <v>45541</v>
      </c>
      <c r="C831" s="61" t="n">
        <f aca="false">YEAR($B831)</f>
        <v>2024</v>
      </c>
      <c r="D831" s="61" t="str">
        <f aca="false">"Q"&amp;ROUNDUP(MONTH($B831)/3,0)</f>
        <v>Q3</v>
      </c>
      <c r="E831" s="61" t="n">
        <f aca="false">MONTH($B831)</f>
        <v>9</v>
      </c>
      <c r="F831" s="61" t="str">
        <f aca="false">INDEX(Parametros!$I$5:$I$16,$E831)</f>
        <v>Sep</v>
      </c>
      <c r="G831" s="61" t="str">
        <f aca="false">TEXT($C831,"0000")&amp;"-"&amp;TEXT($E831,"00")</f>
        <v>2024-09</v>
      </c>
      <c r="H831" s="61" t="str">
        <f aca="false">INDEX(Parametros!$C$71:$C$91,MATCH(TRIM(INDEX(Datos_Origen!$C$2:$C$2459,$Z831)),Parametros!$B$71:$B$91,0))</f>
        <v>Centro</v>
      </c>
      <c r="I831" s="61" t="str">
        <f aca="false">IF(TRIM($AD831)="",INDEX(Parametros!$I$20:$I$24,MATCH($H831,Parametros!$H$20:$H$24,0)),TRIM($AD831))</f>
        <v>Cordoba</v>
      </c>
      <c r="J831" s="61" t="str">
        <f aca="false">INDEX(Parametros!$C$95:$C$106,MATCH(TRIM(INDEX(Datos_Origen!$E$2:$E$2459,$Z831)),Parametros!$B$95:$B$106,0))</f>
        <v>E-commerce</v>
      </c>
      <c r="K831" s="61" t="str">
        <f aca="false">INDEX(Parametros!$C$48:$C$67,MATCH(TRIM(INDEX(Datos_Origen!$F$2:$F$2459,$Z831)),Parametros!$B$48:$B$67,0))</f>
        <v>Accesorios</v>
      </c>
      <c r="L831" s="61" t="str">
        <f aca="false">$K831&amp;" "&amp;$C831</f>
        <v>Accesorios 2024</v>
      </c>
      <c r="M831" s="61" t="str">
        <f aca="false">TRIM(INDEX(Datos_Origen!$G$2:$G$2459,$Z831))</f>
        <v>Teclado Mecanico</v>
      </c>
      <c r="N831" s="61" t="str">
        <f aca="false">$M831&amp;" "&amp;$C831</f>
        <v>Teclado Mecanico 2024</v>
      </c>
      <c r="O831" s="63" t="n">
        <f aca="false">IF(ISTEXT($AC831),VALUE($AC831),$AC831)</f>
        <v>26</v>
      </c>
      <c r="P831" s="64" t="n">
        <f aca="false">INDEX(Datos_Origen!$I$2:$I$2459,$Z831)</f>
        <v>93.1</v>
      </c>
      <c r="Q831" s="64" t="n">
        <f aca="false">INDEX(Datos_Origen!$J$2:$J$2459,$Z831)</f>
        <v>47.98</v>
      </c>
      <c r="R831" s="65" t="n">
        <f aca="false">ROUND($O831*$P831,2)</f>
        <v>2420.6</v>
      </c>
      <c r="S831" s="65" t="n">
        <f aca="false">ROUND($O831*$Q831,2)</f>
        <v>1247.48</v>
      </c>
      <c r="T831" s="65" t="n">
        <f aca="false">ROUND($R831*SUMIFS(Parametros!$E$28:$E$43,Parametros!$B$28:$B$43,$J831,Parametros!$C$28:$C$43,$C831,Parametros!$D$28:$D$43,$D831),2)</f>
        <v>111.35</v>
      </c>
      <c r="U831" s="65" t="n">
        <f aca="false">$R831-$S831-$T831</f>
        <v>1061.77</v>
      </c>
      <c r="V831" s="66" t="n">
        <f aca="false">IFERROR($U831/$R831,0)</f>
        <v>0.438639180368504</v>
      </c>
      <c r="W831" s="67" t="str">
        <f aca="false">IF(AND($V831&gt;=Parametros!$C$8,$R831&gt;=Parametros!$C$12),"Alta rentabilidad",IF(OR($V831&lt;Parametros!$C$11,$R831&lt;Parametros!$C$13),"Revisar","Estandar"))</f>
        <v>Estandar</v>
      </c>
      <c r="X831" s="67" t="str">
        <f aca="false">IF(AND($J831="E-commerce",IFERROR($T831/$R831,0)&gt;Parametros!$C$14),"Alerta","OK")</f>
        <v>OK</v>
      </c>
      <c r="Y831" s="61" t="str">
        <f aca="false">IF($R831&gt;=Parametros!$C$12,"Alto",IF($R831&lt;Parametros!$C$13,"Bajo","Medio"))</f>
        <v>Medio</v>
      </c>
      <c r="Z831" s="61" t="n">
        <v>38</v>
      </c>
      <c r="AA831" s="61" t="str">
        <f aca="false">IF(MATCH($A831,Datos_Origen!$A$2:$A$2459,0)=$Z831,"OK","REVISAR")</f>
        <v>OK</v>
      </c>
      <c r="AB831" s="62" t="n">
        <f aca="false">INDEX(Datos_Origen!$B$2:$B$2459,$Z831)</f>
        <v>45541</v>
      </c>
      <c r="AC831" s="61" t="n">
        <f aca="false">INDEX(Datos_Origen!$H$2:$H$2459,$Z831)</f>
        <v>26</v>
      </c>
      <c r="AD831" s="61" t="str">
        <f aca="false">INDEX(Datos_Origen!$D$2:$D$2459,$Z831)&amp;""</f>
        <v>Cordoba</v>
      </c>
    </row>
    <row r="832" customFormat="false" ht="15" hidden="false" customHeight="false" outlineLevel="0" collapsed="false">
      <c r="A832" s="61" t="n">
        <f aca="false">INDEX(Datos_Origen!$A$2:$A$2459,$Z832)</f>
        <v>831</v>
      </c>
      <c r="B832" s="62" t="n">
        <f aca="false">IF(ISNUMBER($AB832),$AB832,IF(MID($AB832,5,1)="-",DATE(VALUE(LEFT($AB832,4)),VALUE(MID($AB832,6,2)),VALUE(RIGHT($AB832,2))),DATE(VALUE(RIGHT($AB832,4)),VALUE(MID($AB832,4,2)),VALUE(LEFT($AB832,2)))))</f>
        <v>45548</v>
      </c>
      <c r="C832" s="61" t="n">
        <f aca="false">YEAR($B832)</f>
        <v>2024</v>
      </c>
      <c r="D832" s="61" t="str">
        <f aca="false">"Q"&amp;ROUNDUP(MONTH($B832)/3,0)</f>
        <v>Q3</v>
      </c>
      <c r="E832" s="61" t="n">
        <f aca="false">MONTH($B832)</f>
        <v>9</v>
      </c>
      <c r="F832" s="61" t="str">
        <f aca="false">INDEX(Parametros!$I$5:$I$16,$E832)</f>
        <v>Sep</v>
      </c>
      <c r="G832" s="61" t="str">
        <f aca="false">TEXT($C832,"0000")&amp;"-"&amp;TEXT($E832,"00")</f>
        <v>2024-09</v>
      </c>
      <c r="H832" s="61" t="str">
        <f aca="false">INDEX(Parametros!$C$71:$C$91,MATCH(TRIM(INDEX(Datos_Origen!$C$2:$C$2459,$Z832)),Parametros!$B$71:$B$91,0))</f>
        <v>Centro</v>
      </c>
      <c r="I832" s="61" t="str">
        <f aca="false">IF(TRIM($AD832)="",INDEX(Parametros!$I$20:$I$24,MATCH($H832,Parametros!$H$20:$H$24,0)),TRIM($AD832))</f>
        <v>Cordoba</v>
      </c>
      <c r="J832" s="61" t="str">
        <f aca="false">INDEX(Parametros!$C$95:$C$106,MATCH(TRIM(INDEX(Datos_Origen!$E$2:$E$2459,$Z832)),Parametros!$B$95:$B$106,0))</f>
        <v>Tienda fisica</v>
      </c>
      <c r="K832" s="61" t="str">
        <f aca="false">INDEX(Parametros!$C$48:$C$67,MATCH(TRIM(INDEX(Datos_Origen!$F$2:$F$2459,$Z832)),Parametros!$B$48:$B$67,0))</f>
        <v>Accesorios</v>
      </c>
      <c r="L832" s="61" t="str">
        <f aca="false">$K832&amp;" "&amp;$C832</f>
        <v>Accesorios 2024</v>
      </c>
      <c r="M832" s="61" t="str">
        <f aca="false">TRIM(INDEX(Datos_Origen!$G$2:$G$2459,$Z832))</f>
        <v>Webcam Full HD</v>
      </c>
      <c r="N832" s="61" t="str">
        <f aca="false">$M832&amp;" "&amp;$C832</f>
        <v>Webcam Full HD 2024</v>
      </c>
      <c r="O832" s="63" t="n">
        <f aca="false">IF(ISTEXT($AC832),VALUE($AC832),$AC832)</f>
        <v>64</v>
      </c>
      <c r="P832" s="64" t="n">
        <f aca="false">INDEX(Datos_Origen!$I$2:$I$2459,$Z832)</f>
        <v>63.7</v>
      </c>
      <c r="Q832" s="64" t="n">
        <f aca="false">INDEX(Datos_Origen!$J$2:$J$2459,$Z832)</f>
        <v>35.43</v>
      </c>
      <c r="R832" s="65" t="n">
        <f aca="false">ROUND($O832*$P832,2)</f>
        <v>4076.8</v>
      </c>
      <c r="S832" s="65" t="n">
        <f aca="false">ROUND($O832*$Q832,2)</f>
        <v>2267.52</v>
      </c>
      <c r="T832" s="65" t="n">
        <f aca="false">ROUND($R832*SUMIFS(Parametros!$E$28:$E$43,Parametros!$B$28:$B$43,$J832,Parametros!$C$28:$C$43,$C832,Parametros!$D$28:$D$43,$D832),2)</f>
        <v>53</v>
      </c>
      <c r="U832" s="65" t="n">
        <f aca="false">$R832-$S832-$T832</f>
        <v>1756.28</v>
      </c>
      <c r="V832" s="66" t="n">
        <f aca="false">IFERROR($U832/$R832,0)</f>
        <v>0.430798665620094</v>
      </c>
      <c r="W832" s="67" t="str">
        <f aca="false">IF(AND($V832&gt;=Parametros!$C$8,$R832&gt;=Parametros!$C$12),"Alta rentabilidad",IF(OR($V832&lt;Parametros!$C$11,$R832&lt;Parametros!$C$13),"Revisar","Estandar"))</f>
        <v>Alta rentabilidad</v>
      </c>
      <c r="X832" s="67" t="str">
        <f aca="false">IF(AND($J832="E-commerce",IFERROR($T832/$R832,0)&gt;Parametros!$C$14),"Alerta","OK")</f>
        <v>OK</v>
      </c>
      <c r="Y832" s="61" t="str">
        <f aca="false">IF($R832&gt;=Parametros!$C$12,"Alto",IF($R832&lt;Parametros!$C$13,"Bajo","Medio"))</f>
        <v>Alto</v>
      </c>
      <c r="Z832" s="61" t="n">
        <v>1514</v>
      </c>
      <c r="AA832" s="61" t="str">
        <f aca="false">IF(MATCH($A832,Datos_Origen!$A$2:$A$2459,0)=$Z832,"OK","REVISAR")</f>
        <v>OK</v>
      </c>
      <c r="AB832" s="61" t="str">
        <f aca="false">INDEX(Datos_Origen!$B$2:$B$2459,$Z832)</f>
        <v>13/09/2024</v>
      </c>
      <c r="AC832" s="61" t="n">
        <f aca="false">INDEX(Datos_Origen!$H$2:$H$2459,$Z832)</f>
        <v>64</v>
      </c>
      <c r="AD832" s="61" t="str">
        <f aca="false">INDEX(Datos_Origen!$D$2:$D$2459,$Z832)&amp;""</f>
        <v>Cordoba</v>
      </c>
    </row>
    <row r="833" customFormat="false" ht="15" hidden="false" customHeight="false" outlineLevel="0" collapsed="false">
      <c r="A833" s="61" t="n">
        <f aca="false">INDEX(Datos_Origen!$A$2:$A$2459,$Z833)</f>
        <v>832</v>
      </c>
      <c r="B833" s="62" t="n">
        <f aca="false">IF(ISNUMBER($AB833),$AB833,IF(MID($AB833,5,1)="-",DATE(VALUE(LEFT($AB833,4)),VALUE(MID($AB833,6,2)),VALUE(RIGHT($AB833,2))),DATE(VALUE(RIGHT($AB833,4)),VALUE(MID($AB833,4,2)),VALUE(LEFT($AB833,2)))))</f>
        <v>45555</v>
      </c>
      <c r="C833" s="61" t="n">
        <f aca="false">YEAR($B833)</f>
        <v>2024</v>
      </c>
      <c r="D833" s="61" t="str">
        <f aca="false">"Q"&amp;ROUNDUP(MONTH($B833)/3,0)</f>
        <v>Q3</v>
      </c>
      <c r="E833" s="61" t="n">
        <f aca="false">MONTH($B833)</f>
        <v>9</v>
      </c>
      <c r="F833" s="61" t="str">
        <f aca="false">INDEX(Parametros!$I$5:$I$16,$E833)</f>
        <v>Sep</v>
      </c>
      <c r="G833" s="61" t="str">
        <f aca="false">TEXT($C833,"0000")&amp;"-"&amp;TEXT($E833,"00")</f>
        <v>2024-09</v>
      </c>
      <c r="H833" s="61" t="str">
        <f aca="false">INDEX(Parametros!$C$71:$C$91,MATCH(TRIM(INDEX(Datos_Origen!$C$2:$C$2459,$Z833)),Parametros!$B$71:$B$91,0))</f>
        <v>Centro</v>
      </c>
      <c r="I833" s="61" t="str">
        <f aca="false">IF(TRIM($AD833)="",INDEX(Parametros!$I$20:$I$24,MATCH($H833,Parametros!$H$20:$H$24,0)),TRIM($AD833))</f>
        <v>Cordoba</v>
      </c>
      <c r="J833" s="61" t="str">
        <f aca="false">INDEX(Parametros!$C$95:$C$106,MATCH(TRIM(INDEX(Datos_Origen!$E$2:$E$2459,$Z833)),Parametros!$B$95:$B$106,0))</f>
        <v>E-commerce</v>
      </c>
      <c r="K833" s="61" t="str">
        <f aca="false">INDEX(Parametros!$C$48:$C$67,MATCH(TRIM(INDEX(Datos_Origen!$F$2:$F$2459,$Z833)),Parametros!$B$48:$B$67,0))</f>
        <v>Accesorios</v>
      </c>
      <c r="L833" s="61" t="str">
        <f aca="false">$K833&amp;" "&amp;$C833</f>
        <v>Accesorios 2024</v>
      </c>
      <c r="M833" s="61" t="str">
        <f aca="false">TRIM(INDEX(Datos_Origen!$G$2:$G$2459,$Z833))</f>
        <v>Webcam Full HD</v>
      </c>
      <c r="N833" s="61" t="str">
        <f aca="false">$M833&amp;" "&amp;$C833</f>
        <v>Webcam Full HD 2024</v>
      </c>
      <c r="O833" s="63" t="n">
        <f aca="false">IF(ISTEXT($AC833),VALUE($AC833),$AC833)</f>
        <v>26</v>
      </c>
      <c r="P833" s="64" t="n">
        <f aca="false">INDEX(Datos_Origen!$I$2:$I$2459,$Z833)</f>
        <v>63.7</v>
      </c>
      <c r="Q833" s="64" t="n">
        <f aca="false">INDEX(Datos_Origen!$J$2:$J$2459,$Z833)</f>
        <v>35.43</v>
      </c>
      <c r="R833" s="65" t="n">
        <f aca="false">ROUND($O833*$P833,2)</f>
        <v>1656.2</v>
      </c>
      <c r="S833" s="65" t="n">
        <f aca="false">ROUND($O833*$Q833,2)</f>
        <v>921.18</v>
      </c>
      <c r="T833" s="65" t="n">
        <f aca="false">ROUND($R833*SUMIFS(Parametros!$E$28:$E$43,Parametros!$B$28:$B$43,$J833,Parametros!$C$28:$C$43,$C833,Parametros!$D$28:$D$43,$D833),2)</f>
        <v>76.19</v>
      </c>
      <c r="U833" s="65" t="n">
        <f aca="false">$R833-$S833-$T833</f>
        <v>658.83</v>
      </c>
      <c r="V833" s="66" t="n">
        <f aca="false">IFERROR($U833/$R833,0)</f>
        <v>0.397796159884072</v>
      </c>
      <c r="W833" s="67" t="str">
        <f aca="false">IF(AND($V833&gt;=Parametros!$C$8,$R833&gt;=Parametros!$C$12),"Alta rentabilidad",IF(OR($V833&lt;Parametros!$C$11,$R833&lt;Parametros!$C$13),"Revisar","Estandar"))</f>
        <v>Estandar</v>
      </c>
      <c r="X833" s="67" t="str">
        <f aca="false">IF(AND($J833="E-commerce",IFERROR($T833/$R833,0)&gt;Parametros!$C$14),"Alerta","OK")</f>
        <v>OK</v>
      </c>
      <c r="Y833" s="61" t="str">
        <f aca="false">IF($R833&gt;=Parametros!$C$12,"Alto",IF($R833&lt;Parametros!$C$13,"Bajo","Medio"))</f>
        <v>Medio</v>
      </c>
      <c r="Z833" s="61" t="n">
        <v>2117</v>
      </c>
      <c r="AA833" s="61" t="str">
        <f aca="false">IF(MATCH($A833,Datos_Origen!$A$2:$A$2459,0)=$Z833,"OK","REVISAR")</f>
        <v>OK</v>
      </c>
      <c r="AB833" s="62" t="n">
        <f aca="false">INDEX(Datos_Origen!$B$2:$B$2459,$Z833)</f>
        <v>45555</v>
      </c>
      <c r="AC833" s="61" t="str">
        <f aca="false">INDEX(Datos_Origen!$H$2:$H$2459,$Z833)</f>
        <v>26</v>
      </c>
      <c r="AD833" s="61" t="str">
        <f aca="false">INDEX(Datos_Origen!$D$2:$D$2459,$Z833)&amp;""</f>
        <v>Cordoba</v>
      </c>
    </row>
    <row r="834" customFormat="false" ht="15" hidden="false" customHeight="false" outlineLevel="0" collapsed="false">
      <c r="A834" s="61" t="n">
        <f aca="false">INDEX(Datos_Origen!$A$2:$A$2459,$Z834)</f>
        <v>833</v>
      </c>
      <c r="B834" s="62" t="n">
        <f aca="false">IF(ISNUMBER($AB834),$AB834,IF(MID($AB834,5,1)="-",DATE(VALUE(LEFT($AB834,4)),VALUE(MID($AB834,6,2)),VALUE(RIGHT($AB834,2))),DATE(VALUE(RIGHT($AB834,4)),VALUE(MID($AB834,4,2)),VALUE(LEFT($AB834,2)))))</f>
        <v>45562</v>
      </c>
      <c r="C834" s="61" t="n">
        <f aca="false">YEAR($B834)</f>
        <v>2024</v>
      </c>
      <c r="D834" s="61" t="str">
        <f aca="false">"Q"&amp;ROUNDUP(MONTH($B834)/3,0)</f>
        <v>Q3</v>
      </c>
      <c r="E834" s="61" t="n">
        <f aca="false">MONTH($B834)</f>
        <v>9</v>
      </c>
      <c r="F834" s="61" t="str">
        <f aca="false">INDEX(Parametros!$I$5:$I$16,$E834)</f>
        <v>Sep</v>
      </c>
      <c r="G834" s="61" t="str">
        <f aca="false">TEXT($C834,"0000")&amp;"-"&amp;TEXT($E834,"00")</f>
        <v>2024-09</v>
      </c>
      <c r="H834" s="61" t="str">
        <f aca="false">INDEX(Parametros!$C$71:$C$91,MATCH(TRIM(INDEX(Datos_Origen!$C$2:$C$2459,$Z834)),Parametros!$B$71:$B$91,0))</f>
        <v>Centro</v>
      </c>
      <c r="I834" s="61" t="str">
        <f aca="false">IF(TRIM($AD834)="",INDEX(Parametros!$I$20:$I$24,MATCH($H834,Parametros!$H$20:$H$24,0)),TRIM($AD834))</f>
        <v>Cordoba</v>
      </c>
      <c r="J834" s="61" t="str">
        <f aca="false">INDEX(Parametros!$C$95:$C$106,MATCH(TRIM(INDEX(Datos_Origen!$E$2:$E$2459,$Z834)),Parametros!$B$95:$B$106,0))</f>
        <v>Tienda fisica</v>
      </c>
      <c r="K834" s="61" t="str">
        <f aca="false">INDEX(Parametros!$C$48:$C$67,MATCH(TRIM(INDEX(Datos_Origen!$F$2:$F$2459,$Z834)),Parametros!$B$48:$B$67,0))</f>
        <v>Audio</v>
      </c>
      <c r="L834" s="61" t="str">
        <f aca="false">$K834&amp;" "&amp;$C834</f>
        <v>Audio 2024</v>
      </c>
      <c r="M834" s="61" t="str">
        <f aca="false">TRIM(INDEX(Datos_Origen!$G$2:$G$2459,$Z834))</f>
        <v>Auriculares BT Pro</v>
      </c>
      <c r="N834" s="61" t="str">
        <f aca="false">$M834&amp;" "&amp;$C834</f>
        <v>Auriculares BT Pro 2024</v>
      </c>
      <c r="O834" s="63" t="n">
        <f aca="false">IF(ISTEXT($AC834),VALUE($AC834),$AC834)</f>
        <v>28</v>
      </c>
      <c r="P834" s="64" t="n">
        <f aca="false">INDEX(Datos_Origen!$I$2:$I$2459,$Z834)</f>
        <v>117.6</v>
      </c>
      <c r="Q834" s="64" t="n">
        <f aca="false">INDEX(Datos_Origen!$J$2:$J$2459,$Z834)</f>
        <v>63.6</v>
      </c>
      <c r="R834" s="65" t="n">
        <f aca="false">ROUND($O834*$P834,2)</f>
        <v>3292.8</v>
      </c>
      <c r="S834" s="65" t="n">
        <f aca="false">ROUND($O834*$Q834,2)</f>
        <v>1780.8</v>
      </c>
      <c r="T834" s="65" t="n">
        <f aca="false">ROUND($R834*SUMIFS(Parametros!$E$28:$E$43,Parametros!$B$28:$B$43,$J834,Parametros!$C$28:$C$43,$C834,Parametros!$D$28:$D$43,$D834),2)</f>
        <v>42.81</v>
      </c>
      <c r="U834" s="65" t="n">
        <f aca="false">$R834-$S834-$T834</f>
        <v>1469.19</v>
      </c>
      <c r="V834" s="66" t="n">
        <f aca="false">IFERROR($U834/$R834,0)</f>
        <v>0.446182580174927</v>
      </c>
      <c r="W834" s="67" t="str">
        <f aca="false">IF(AND($V834&gt;=Parametros!$C$8,$R834&gt;=Parametros!$C$12),"Alta rentabilidad",IF(OR($V834&lt;Parametros!$C$11,$R834&lt;Parametros!$C$13),"Revisar","Estandar"))</f>
        <v>Alta rentabilidad</v>
      </c>
      <c r="X834" s="67" t="str">
        <f aca="false">IF(AND($J834="E-commerce",IFERROR($T834/$R834,0)&gt;Parametros!$C$14),"Alerta","OK")</f>
        <v>OK</v>
      </c>
      <c r="Y834" s="61" t="str">
        <f aca="false">IF($R834&gt;=Parametros!$C$12,"Alto",IF($R834&lt;Parametros!$C$13,"Bajo","Medio"))</f>
        <v>Alto</v>
      </c>
      <c r="Z834" s="61" t="n">
        <v>257</v>
      </c>
      <c r="AA834" s="61" t="str">
        <f aca="false">IF(MATCH($A834,Datos_Origen!$A$2:$A$2459,0)=$Z834,"OK","REVISAR")</f>
        <v>OK</v>
      </c>
      <c r="AB834" s="62" t="n">
        <f aca="false">INDEX(Datos_Origen!$B$2:$B$2459,$Z834)</f>
        <v>45562</v>
      </c>
      <c r="AC834" s="61" t="n">
        <f aca="false">INDEX(Datos_Origen!$H$2:$H$2459,$Z834)</f>
        <v>28</v>
      </c>
      <c r="AD834" s="61" t="str">
        <f aca="false">INDEX(Datos_Origen!$D$2:$D$2459,$Z834)&amp;""</f>
        <v>Cordoba</v>
      </c>
    </row>
    <row r="835" customFormat="false" ht="15" hidden="false" customHeight="false" outlineLevel="0" collapsed="false">
      <c r="A835" s="61" t="n">
        <f aca="false">INDEX(Datos_Origen!$A$2:$A$2459,$Z835)</f>
        <v>834</v>
      </c>
      <c r="B835" s="62" t="n">
        <f aca="false">IF(ISNUMBER($AB835),$AB835,IF(MID($AB835,5,1)="-",DATE(VALUE(LEFT($AB835,4)),VALUE(MID($AB835,6,2)),VALUE(RIGHT($AB835,2))),DATE(VALUE(RIGHT($AB835,4)),VALUE(MID($AB835,4,2)),VALUE(LEFT($AB835,2)))))</f>
        <v>45542</v>
      </c>
      <c r="C835" s="61" t="n">
        <f aca="false">YEAR($B835)</f>
        <v>2024</v>
      </c>
      <c r="D835" s="61" t="str">
        <f aca="false">"Q"&amp;ROUNDUP(MONTH($B835)/3,0)</f>
        <v>Q3</v>
      </c>
      <c r="E835" s="61" t="n">
        <f aca="false">MONTH($B835)</f>
        <v>9</v>
      </c>
      <c r="F835" s="61" t="str">
        <f aca="false">INDEX(Parametros!$I$5:$I$16,$E835)</f>
        <v>Sep</v>
      </c>
      <c r="G835" s="61" t="str">
        <f aca="false">TEXT($C835,"0000")&amp;"-"&amp;TEXT($E835,"00")</f>
        <v>2024-09</v>
      </c>
      <c r="H835" s="61" t="str">
        <f aca="false">INDEX(Parametros!$C$71:$C$91,MATCH(TRIM(INDEX(Datos_Origen!$C$2:$C$2459,$Z835)),Parametros!$B$71:$B$91,0))</f>
        <v>Centro</v>
      </c>
      <c r="I835" s="61" t="str">
        <f aca="false">IF(TRIM($AD835)="",INDEX(Parametros!$I$20:$I$24,MATCH($H835,Parametros!$H$20:$H$24,0)),TRIM($AD835))</f>
        <v>Cordoba</v>
      </c>
      <c r="J835" s="61" t="str">
        <f aca="false">INDEX(Parametros!$C$95:$C$106,MATCH(TRIM(INDEX(Datos_Origen!$E$2:$E$2459,$Z835)),Parametros!$B$95:$B$106,0))</f>
        <v>E-commerce</v>
      </c>
      <c r="K835" s="61" t="str">
        <f aca="false">INDEX(Parametros!$C$48:$C$67,MATCH(TRIM(INDEX(Datos_Origen!$F$2:$F$2459,$Z835)),Parametros!$B$48:$B$67,0))</f>
        <v>Audio</v>
      </c>
      <c r="L835" s="61" t="str">
        <f aca="false">$K835&amp;" "&amp;$C835</f>
        <v>Audio 2024</v>
      </c>
      <c r="M835" s="61" t="str">
        <f aca="false">TRIM(INDEX(Datos_Origen!$G$2:$G$2459,$Z835))</f>
        <v>Auriculares BT Pro</v>
      </c>
      <c r="N835" s="61" t="str">
        <f aca="false">$M835&amp;" "&amp;$C835</f>
        <v>Auriculares BT Pro 2024</v>
      </c>
      <c r="O835" s="63" t="n">
        <f aca="false">IF(ISTEXT($AC835),VALUE($AC835),$AC835)</f>
        <v>10</v>
      </c>
      <c r="P835" s="64" t="n">
        <f aca="false">INDEX(Datos_Origen!$I$2:$I$2459,$Z835)</f>
        <v>117.6</v>
      </c>
      <c r="Q835" s="64" t="n">
        <f aca="false">INDEX(Datos_Origen!$J$2:$J$2459,$Z835)</f>
        <v>63.6</v>
      </c>
      <c r="R835" s="65" t="n">
        <f aca="false">ROUND($O835*$P835,2)</f>
        <v>1176</v>
      </c>
      <c r="S835" s="65" t="n">
        <f aca="false">ROUND($O835*$Q835,2)</f>
        <v>636</v>
      </c>
      <c r="T835" s="65" t="n">
        <f aca="false">ROUND($R835*SUMIFS(Parametros!$E$28:$E$43,Parametros!$B$28:$B$43,$J835,Parametros!$C$28:$C$43,$C835,Parametros!$D$28:$D$43,$D835),2)</f>
        <v>54.1</v>
      </c>
      <c r="U835" s="65" t="n">
        <f aca="false">$R835-$S835-$T835</f>
        <v>485.9</v>
      </c>
      <c r="V835" s="66" t="n">
        <f aca="false">IFERROR($U835/$R835,0)</f>
        <v>0.413180272108844</v>
      </c>
      <c r="W835" s="67" t="str">
        <f aca="false">IF(AND($V835&gt;=Parametros!$C$8,$R835&gt;=Parametros!$C$12),"Alta rentabilidad",IF(OR($V835&lt;Parametros!$C$11,$R835&lt;Parametros!$C$13),"Revisar","Estandar"))</f>
        <v>Estandar</v>
      </c>
      <c r="X835" s="67" t="str">
        <f aca="false">IF(AND($J835="E-commerce",IFERROR($T835/$R835,0)&gt;Parametros!$C$14),"Alerta","OK")</f>
        <v>OK</v>
      </c>
      <c r="Y835" s="61" t="str">
        <f aca="false">IF($R835&gt;=Parametros!$C$12,"Alto",IF($R835&lt;Parametros!$C$13,"Bajo","Medio"))</f>
        <v>Medio</v>
      </c>
      <c r="Z835" s="61" t="n">
        <v>397</v>
      </c>
      <c r="AA835" s="61" t="str">
        <f aca="false">IF(MATCH($A835,Datos_Origen!$A$2:$A$2459,0)=$Z835,"OK","REVISAR")</f>
        <v>OK</v>
      </c>
      <c r="AB835" s="62" t="n">
        <f aca="false">INDEX(Datos_Origen!$B$2:$B$2459,$Z835)</f>
        <v>45542</v>
      </c>
      <c r="AC835" s="61" t="n">
        <f aca="false">INDEX(Datos_Origen!$H$2:$H$2459,$Z835)</f>
        <v>10</v>
      </c>
      <c r="AD835" s="61" t="str">
        <f aca="false">INDEX(Datos_Origen!$D$2:$D$2459,$Z835)&amp;""</f>
        <v>Cordoba</v>
      </c>
    </row>
    <row r="836" customFormat="false" ht="15" hidden="false" customHeight="false" outlineLevel="0" collapsed="false">
      <c r="A836" s="61" t="n">
        <f aca="false">INDEX(Datos_Origen!$A$2:$A$2459,$Z836)</f>
        <v>835</v>
      </c>
      <c r="B836" s="62" t="n">
        <f aca="false">IF(ISNUMBER($AB836),$AB836,IF(MID($AB836,5,1)="-",DATE(VALUE(LEFT($AB836,4)),VALUE(MID($AB836,6,2)),VALUE(RIGHT($AB836,2))),DATE(VALUE(RIGHT($AB836,4)),VALUE(MID($AB836,4,2)),VALUE(LEFT($AB836,2)))))</f>
        <v>45549</v>
      </c>
      <c r="C836" s="61" t="n">
        <f aca="false">YEAR($B836)</f>
        <v>2024</v>
      </c>
      <c r="D836" s="61" t="str">
        <f aca="false">"Q"&amp;ROUNDUP(MONTH($B836)/3,0)</f>
        <v>Q3</v>
      </c>
      <c r="E836" s="61" t="n">
        <f aca="false">MONTH($B836)</f>
        <v>9</v>
      </c>
      <c r="F836" s="61" t="str">
        <f aca="false">INDEX(Parametros!$I$5:$I$16,$E836)</f>
        <v>Sep</v>
      </c>
      <c r="G836" s="61" t="str">
        <f aca="false">TEXT($C836,"0000")&amp;"-"&amp;TEXT($E836,"00")</f>
        <v>2024-09</v>
      </c>
      <c r="H836" s="61" t="str">
        <f aca="false">INDEX(Parametros!$C$71:$C$91,MATCH(TRIM(INDEX(Datos_Origen!$C$2:$C$2459,$Z836)),Parametros!$B$71:$B$91,0))</f>
        <v>Centro</v>
      </c>
      <c r="I836" s="61" t="str">
        <f aca="false">IF(TRIM($AD836)="",INDEX(Parametros!$I$20:$I$24,MATCH($H836,Parametros!$H$20:$H$24,0)),TRIM($AD836))</f>
        <v>Cordoba</v>
      </c>
      <c r="J836" s="61" t="str">
        <f aca="false">INDEX(Parametros!$C$95:$C$106,MATCH(TRIM(INDEX(Datos_Origen!$E$2:$E$2459,$Z836)),Parametros!$B$95:$B$106,0))</f>
        <v>Tienda fisica</v>
      </c>
      <c r="K836" s="61" t="str">
        <f aca="false">INDEX(Parametros!$C$48:$C$67,MATCH(TRIM(INDEX(Datos_Origen!$F$2:$F$2459,$Z836)),Parametros!$B$48:$B$67,0))</f>
        <v>Audio</v>
      </c>
      <c r="L836" s="61" t="str">
        <f aca="false">$K836&amp;" "&amp;$C836</f>
        <v>Audio 2024</v>
      </c>
      <c r="M836" s="61" t="str">
        <f aca="false">TRIM(INDEX(Datos_Origen!$G$2:$G$2459,$Z836))</f>
        <v>Parlante Bluetooth</v>
      </c>
      <c r="N836" s="61" t="str">
        <f aca="false">$M836&amp;" "&amp;$C836</f>
        <v>Parlante Bluetooth 2024</v>
      </c>
      <c r="O836" s="63" t="n">
        <f aca="false">IF(ISTEXT($AC836),VALUE($AC836),$AC836)</f>
        <v>23</v>
      </c>
      <c r="P836" s="64" t="n">
        <f aca="false">INDEX(Datos_Origen!$I$2:$I$2459,$Z836)</f>
        <v>83.3</v>
      </c>
      <c r="Q836" s="64" t="n">
        <f aca="false">INDEX(Datos_Origen!$J$2:$J$2459,$Z836)</f>
        <v>48.03</v>
      </c>
      <c r="R836" s="65" t="n">
        <f aca="false">ROUND($O836*$P836,2)</f>
        <v>1915.9</v>
      </c>
      <c r="S836" s="65" t="n">
        <f aca="false">ROUND($O836*$Q836,2)</f>
        <v>1104.69</v>
      </c>
      <c r="T836" s="65" t="n">
        <f aca="false">ROUND($R836*SUMIFS(Parametros!$E$28:$E$43,Parametros!$B$28:$B$43,$J836,Parametros!$C$28:$C$43,$C836,Parametros!$D$28:$D$43,$D836),2)</f>
        <v>24.91</v>
      </c>
      <c r="U836" s="65" t="n">
        <f aca="false">$R836-$S836-$T836</f>
        <v>786.3</v>
      </c>
      <c r="V836" s="66" t="n">
        <f aca="false">IFERROR($U836/$R836,0)</f>
        <v>0.410407641317397</v>
      </c>
      <c r="W836" s="67" t="str">
        <f aca="false">IF(AND($V836&gt;=Parametros!$C$8,$R836&gt;=Parametros!$C$12),"Alta rentabilidad",IF(OR($V836&lt;Parametros!$C$11,$R836&lt;Parametros!$C$13),"Revisar","Estandar"))</f>
        <v>Estandar</v>
      </c>
      <c r="X836" s="67" t="str">
        <f aca="false">IF(AND($J836="E-commerce",IFERROR($T836/$R836,0)&gt;Parametros!$C$14),"Alerta","OK")</f>
        <v>OK</v>
      </c>
      <c r="Y836" s="61" t="str">
        <f aca="false">IF($R836&gt;=Parametros!$C$12,"Alto",IF($R836&lt;Parametros!$C$13,"Bajo","Medio"))</f>
        <v>Medio</v>
      </c>
      <c r="Z836" s="61" t="n">
        <v>1888</v>
      </c>
      <c r="AA836" s="61" t="str">
        <f aca="false">IF(MATCH($A836,Datos_Origen!$A$2:$A$2459,0)=$Z836,"OK","REVISAR")</f>
        <v>OK</v>
      </c>
      <c r="AB836" s="62" t="n">
        <f aca="false">INDEX(Datos_Origen!$B$2:$B$2459,$Z836)</f>
        <v>45549</v>
      </c>
      <c r="AC836" s="61" t="n">
        <f aca="false">INDEX(Datos_Origen!$H$2:$H$2459,$Z836)</f>
        <v>23</v>
      </c>
      <c r="AD836" s="61" t="str">
        <f aca="false">INDEX(Datos_Origen!$D$2:$D$2459,$Z836)&amp;""</f>
        <v>Cordoba</v>
      </c>
    </row>
    <row r="837" customFormat="false" ht="15" hidden="false" customHeight="false" outlineLevel="0" collapsed="false">
      <c r="A837" s="61" t="n">
        <f aca="false">INDEX(Datos_Origen!$A$2:$A$2459,$Z837)</f>
        <v>836</v>
      </c>
      <c r="B837" s="62" t="n">
        <f aca="false">IF(ISNUMBER($AB837),$AB837,IF(MID($AB837,5,1)="-",DATE(VALUE(LEFT($AB837,4)),VALUE(MID($AB837,6,2)),VALUE(RIGHT($AB837,2))),DATE(VALUE(RIGHT($AB837,4)),VALUE(MID($AB837,4,2)),VALUE(LEFT($AB837,2)))))</f>
        <v>45556</v>
      </c>
      <c r="C837" s="61" t="n">
        <f aca="false">YEAR($B837)</f>
        <v>2024</v>
      </c>
      <c r="D837" s="61" t="str">
        <f aca="false">"Q"&amp;ROUNDUP(MONTH($B837)/3,0)</f>
        <v>Q3</v>
      </c>
      <c r="E837" s="61" t="n">
        <f aca="false">MONTH($B837)</f>
        <v>9</v>
      </c>
      <c r="F837" s="61" t="str">
        <f aca="false">INDEX(Parametros!$I$5:$I$16,$E837)</f>
        <v>Sep</v>
      </c>
      <c r="G837" s="61" t="str">
        <f aca="false">TEXT($C837,"0000")&amp;"-"&amp;TEXT($E837,"00")</f>
        <v>2024-09</v>
      </c>
      <c r="H837" s="61" t="str">
        <f aca="false">INDEX(Parametros!$C$71:$C$91,MATCH(TRIM(INDEX(Datos_Origen!$C$2:$C$2459,$Z837)),Parametros!$B$71:$B$91,0))</f>
        <v>Centro</v>
      </c>
      <c r="I837" s="61" t="str">
        <f aca="false">IF(TRIM($AD837)="",INDEX(Parametros!$I$20:$I$24,MATCH($H837,Parametros!$H$20:$H$24,0)),TRIM($AD837))</f>
        <v>Cordoba</v>
      </c>
      <c r="J837" s="61" t="str">
        <f aca="false">INDEX(Parametros!$C$95:$C$106,MATCH(TRIM(INDEX(Datos_Origen!$E$2:$E$2459,$Z837)),Parametros!$B$95:$B$106,0))</f>
        <v>E-commerce</v>
      </c>
      <c r="K837" s="61" t="str">
        <f aca="false">INDEX(Parametros!$C$48:$C$67,MATCH(TRIM(INDEX(Datos_Origen!$F$2:$F$2459,$Z837)),Parametros!$B$48:$B$67,0))</f>
        <v>Audio</v>
      </c>
      <c r="L837" s="61" t="str">
        <f aca="false">$K837&amp;" "&amp;$C837</f>
        <v>Audio 2024</v>
      </c>
      <c r="M837" s="61" t="str">
        <f aca="false">TRIM(INDEX(Datos_Origen!$G$2:$G$2459,$Z837))</f>
        <v>Parlante Bluetooth</v>
      </c>
      <c r="N837" s="61" t="str">
        <f aca="false">$M837&amp;" "&amp;$C837</f>
        <v>Parlante Bluetooth 2024</v>
      </c>
      <c r="O837" s="63" t="n">
        <f aca="false">IF(ISTEXT($AC837),VALUE($AC837),$AC837)</f>
        <v>12</v>
      </c>
      <c r="P837" s="64" t="n">
        <f aca="false">INDEX(Datos_Origen!$I$2:$I$2459,$Z837)</f>
        <v>83.3</v>
      </c>
      <c r="Q837" s="64" t="n">
        <f aca="false">INDEX(Datos_Origen!$J$2:$J$2459,$Z837)</f>
        <v>48.03</v>
      </c>
      <c r="R837" s="65" t="n">
        <f aca="false">ROUND($O837*$P837,2)</f>
        <v>999.6</v>
      </c>
      <c r="S837" s="65" t="n">
        <f aca="false">ROUND($O837*$Q837,2)</f>
        <v>576.36</v>
      </c>
      <c r="T837" s="65" t="n">
        <f aca="false">ROUND($R837*SUMIFS(Parametros!$E$28:$E$43,Parametros!$B$28:$B$43,$J837,Parametros!$C$28:$C$43,$C837,Parametros!$D$28:$D$43,$D837),2)</f>
        <v>45.98</v>
      </c>
      <c r="U837" s="65" t="n">
        <f aca="false">$R837-$S837-$T837</f>
        <v>377.26</v>
      </c>
      <c r="V837" s="66" t="n">
        <f aca="false">IFERROR($U837/$R837,0)</f>
        <v>0.377410964385754</v>
      </c>
      <c r="W837" s="67" t="str">
        <f aca="false">IF(AND($V837&gt;=Parametros!$C$8,$R837&gt;=Parametros!$C$12),"Alta rentabilidad",IF(OR($V837&lt;Parametros!$C$11,$R837&lt;Parametros!$C$13),"Revisar","Estandar"))</f>
        <v>Estandar</v>
      </c>
      <c r="X837" s="67" t="str">
        <f aca="false">IF(AND($J837="E-commerce",IFERROR($T837/$R837,0)&gt;Parametros!$C$14),"Alerta","OK")</f>
        <v>OK</v>
      </c>
      <c r="Y837" s="61" t="str">
        <f aca="false">IF($R837&gt;=Parametros!$C$12,"Alto",IF($R837&lt;Parametros!$C$13,"Bajo","Medio"))</f>
        <v>Medio</v>
      </c>
      <c r="Z837" s="61" t="n">
        <v>6</v>
      </c>
      <c r="AA837" s="61" t="str">
        <f aca="false">IF(MATCH($A837,Datos_Origen!$A$2:$A$2459,0)=$Z837,"OK","REVISAR")</f>
        <v>OK</v>
      </c>
      <c r="AB837" s="61" t="str">
        <f aca="false">INDEX(Datos_Origen!$B$2:$B$2459,$Z837)</f>
        <v>21/09/2024</v>
      </c>
      <c r="AC837" s="61" t="n">
        <f aca="false">INDEX(Datos_Origen!$H$2:$H$2459,$Z837)</f>
        <v>12</v>
      </c>
      <c r="AD837" s="61" t="str">
        <f aca="false">INDEX(Datos_Origen!$D$2:$D$2459,$Z837)&amp;""</f>
        <v>Cordoba</v>
      </c>
    </row>
    <row r="838" customFormat="false" ht="15" hidden="false" customHeight="false" outlineLevel="0" collapsed="false">
      <c r="A838" s="61" t="n">
        <f aca="false">INDEX(Datos_Origen!$A$2:$A$2459,$Z838)</f>
        <v>837</v>
      </c>
      <c r="B838" s="62" t="n">
        <f aca="false">IF(ISNUMBER($AB838),$AB838,IF(MID($AB838,5,1)="-",DATE(VALUE(LEFT($AB838,4)),VALUE(MID($AB838,6,2)),VALUE(RIGHT($AB838,2))),DATE(VALUE(RIGHT($AB838,4)),VALUE(MID($AB838,4,2)),VALUE(LEFT($AB838,2)))))</f>
        <v>45536</v>
      </c>
      <c r="C838" s="61" t="n">
        <f aca="false">YEAR($B838)</f>
        <v>2024</v>
      </c>
      <c r="D838" s="61" t="str">
        <f aca="false">"Q"&amp;ROUNDUP(MONTH($B838)/3,0)</f>
        <v>Q3</v>
      </c>
      <c r="E838" s="61" t="n">
        <f aca="false">MONTH($B838)</f>
        <v>9</v>
      </c>
      <c r="F838" s="61" t="str">
        <f aca="false">INDEX(Parametros!$I$5:$I$16,$E838)</f>
        <v>Sep</v>
      </c>
      <c r="G838" s="61" t="str">
        <f aca="false">TEXT($C838,"0000")&amp;"-"&amp;TEXT($E838,"00")</f>
        <v>2024-09</v>
      </c>
      <c r="H838" s="61" t="str">
        <f aca="false">INDEX(Parametros!$C$71:$C$91,MATCH(TRIM(INDEX(Datos_Origen!$C$2:$C$2459,$Z838)),Parametros!$B$71:$B$91,0))</f>
        <v>Centro</v>
      </c>
      <c r="I838" s="61" t="str">
        <f aca="false">IF(TRIM($AD838)="",INDEX(Parametros!$I$20:$I$24,MATCH($H838,Parametros!$H$20:$H$24,0)),TRIM($AD838))</f>
        <v>Cordoba</v>
      </c>
      <c r="J838" s="61" t="str">
        <f aca="false">INDEX(Parametros!$C$95:$C$106,MATCH(TRIM(INDEX(Datos_Origen!$E$2:$E$2459,$Z838)),Parametros!$B$95:$B$106,0))</f>
        <v>Tienda fisica</v>
      </c>
      <c r="K838" s="61" t="str">
        <f aca="false">INDEX(Parametros!$C$48:$C$67,MATCH(TRIM(INDEX(Datos_Origen!$F$2:$F$2459,$Z838)),Parametros!$B$48:$B$67,0))</f>
        <v>Almacenamiento</v>
      </c>
      <c r="L838" s="61" t="str">
        <f aca="false">$K838&amp;" "&amp;$C838</f>
        <v>Almacenamiento 2024</v>
      </c>
      <c r="M838" s="61" t="str">
        <f aca="false">TRIM(INDEX(Datos_Origen!$G$2:$G$2459,$Z838))</f>
        <v>SSD Externo 1TB</v>
      </c>
      <c r="N838" s="61" t="str">
        <f aca="false">$M838&amp;" "&amp;$C838</f>
        <v>SSD Externo 1TB 2024</v>
      </c>
      <c r="O838" s="63" t="n">
        <f aca="false">IF(ISTEXT($AC838),VALUE($AC838),$AC838)</f>
        <v>35</v>
      </c>
      <c r="P838" s="64" t="n">
        <f aca="false">INDEX(Datos_Origen!$I$2:$I$2459,$Z838)</f>
        <v>127.4</v>
      </c>
      <c r="Q838" s="64" t="n">
        <f aca="false">INDEX(Datos_Origen!$J$2:$J$2459,$Z838)</f>
        <v>76.05</v>
      </c>
      <c r="R838" s="65" t="n">
        <f aca="false">ROUND($O838*$P838,2)</f>
        <v>4459</v>
      </c>
      <c r="S838" s="65" t="n">
        <f aca="false">ROUND($O838*$Q838,2)</f>
        <v>2661.75</v>
      </c>
      <c r="T838" s="65" t="n">
        <f aca="false">ROUND($R838*SUMIFS(Parametros!$E$28:$E$43,Parametros!$B$28:$B$43,$J838,Parametros!$C$28:$C$43,$C838,Parametros!$D$28:$D$43,$D838),2)</f>
        <v>57.97</v>
      </c>
      <c r="U838" s="65" t="n">
        <f aca="false">$R838-$S838-$T838</f>
        <v>1739.28</v>
      </c>
      <c r="V838" s="66" t="n">
        <f aca="false">IFERROR($U838/$R838,0)</f>
        <v>0.390060551693205</v>
      </c>
      <c r="W838" s="67" t="str">
        <f aca="false">IF(AND($V838&gt;=Parametros!$C$8,$R838&gt;=Parametros!$C$12),"Alta rentabilidad",IF(OR($V838&lt;Parametros!$C$11,$R838&lt;Parametros!$C$13),"Revisar","Estandar"))</f>
        <v>Alta rentabilidad</v>
      </c>
      <c r="X838" s="67" t="str">
        <f aca="false">IF(AND($J838="E-commerce",IFERROR($T838/$R838,0)&gt;Parametros!$C$14),"Alerta","OK")</f>
        <v>OK</v>
      </c>
      <c r="Y838" s="61" t="str">
        <f aca="false">IF($R838&gt;=Parametros!$C$12,"Alto",IF($R838&lt;Parametros!$C$13,"Bajo","Medio"))</f>
        <v>Alto</v>
      </c>
      <c r="Z838" s="61" t="n">
        <v>1905</v>
      </c>
      <c r="AA838" s="61" t="str">
        <f aca="false">IF(MATCH($A838,Datos_Origen!$A$2:$A$2459,0)=$Z838,"OK","REVISAR")</f>
        <v>OK</v>
      </c>
      <c r="AB838" s="62" t="n">
        <f aca="false">INDEX(Datos_Origen!$B$2:$B$2459,$Z838)</f>
        <v>45536</v>
      </c>
      <c r="AC838" s="61" t="n">
        <f aca="false">INDEX(Datos_Origen!$H$2:$H$2459,$Z838)</f>
        <v>35</v>
      </c>
      <c r="AD838" s="61" t="str">
        <f aca="false">INDEX(Datos_Origen!$D$2:$D$2459,$Z838)&amp;""</f>
        <v>Cordoba</v>
      </c>
    </row>
    <row r="839" customFormat="false" ht="15" hidden="false" customHeight="false" outlineLevel="0" collapsed="false">
      <c r="A839" s="61" t="n">
        <f aca="false">INDEX(Datos_Origen!$A$2:$A$2459,$Z839)</f>
        <v>838</v>
      </c>
      <c r="B839" s="62" t="n">
        <f aca="false">IF(ISNUMBER($AB839),$AB839,IF(MID($AB839,5,1)="-",DATE(VALUE(LEFT($AB839,4)),VALUE(MID($AB839,6,2)),VALUE(RIGHT($AB839,2))),DATE(VALUE(RIGHT($AB839,4)),VALUE(MID($AB839,4,2)),VALUE(LEFT($AB839,2)))))</f>
        <v>45543</v>
      </c>
      <c r="C839" s="61" t="n">
        <f aca="false">YEAR($B839)</f>
        <v>2024</v>
      </c>
      <c r="D839" s="61" t="str">
        <f aca="false">"Q"&amp;ROUNDUP(MONTH($B839)/3,0)</f>
        <v>Q3</v>
      </c>
      <c r="E839" s="61" t="n">
        <f aca="false">MONTH($B839)</f>
        <v>9</v>
      </c>
      <c r="F839" s="61" t="str">
        <f aca="false">INDEX(Parametros!$I$5:$I$16,$E839)</f>
        <v>Sep</v>
      </c>
      <c r="G839" s="61" t="str">
        <f aca="false">TEXT($C839,"0000")&amp;"-"&amp;TEXT($E839,"00")</f>
        <v>2024-09</v>
      </c>
      <c r="H839" s="61" t="str">
        <f aca="false">INDEX(Parametros!$C$71:$C$91,MATCH(TRIM(INDEX(Datos_Origen!$C$2:$C$2459,$Z839)),Parametros!$B$71:$B$91,0))</f>
        <v>Centro</v>
      </c>
      <c r="I839" s="61" t="str">
        <f aca="false">IF(TRIM($AD839)="",INDEX(Parametros!$I$20:$I$24,MATCH($H839,Parametros!$H$20:$H$24,0)),TRIM($AD839))</f>
        <v>Cordoba</v>
      </c>
      <c r="J839" s="61" t="str">
        <f aca="false">INDEX(Parametros!$C$95:$C$106,MATCH(TRIM(INDEX(Datos_Origen!$E$2:$E$2459,$Z839)),Parametros!$B$95:$B$106,0))</f>
        <v>E-commerce</v>
      </c>
      <c r="K839" s="61" t="str">
        <f aca="false">INDEX(Parametros!$C$48:$C$67,MATCH(TRIM(INDEX(Datos_Origen!$F$2:$F$2459,$Z839)),Parametros!$B$48:$B$67,0))</f>
        <v>Almacenamiento</v>
      </c>
      <c r="L839" s="61" t="str">
        <f aca="false">$K839&amp;" "&amp;$C839</f>
        <v>Almacenamiento 2024</v>
      </c>
      <c r="M839" s="61" t="str">
        <f aca="false">TRIM(INDEX(Datos_Origen!$G$2:$G$2459,$Z839))</f>
        <v>SSD Externo 1TB</v>
      </c>
      <c r="N839" s="61" t="str">
        <f aca="false">$M839&amp;" "&amp;$C839</f>
        <v>SSD Externo 1TB 2024</v>
      </c>
      <c r="O839" s="63" t="n">
        <f aca="false">IF(ISTEXT($AC839),VALUE($AC839),$AC839)</f>
        <v>13</v>
      </c>
      <c r="P839" s="64" t="n">
        <f aca="false">INDEX(Datos_Origen!$I$2:$I$2459,$Z839)</f>
        <v>127.4</v>
      </c>
      <c r="Q839" s="64" t="n">
        <f aca="false">INDEX(Datos_Origen!$J$2:$J$2459,$Z839)</f>
        <v>76.05</v>
      </c>
      <c r="R839" s="65" t="n">
        <f aca="false">ROUND($O839*$P839,2)</f>
        <v>1656.2</v>
      </c>
      <c r="S839" s="65" t="n">
        <f aca="false">ROUND($O839*$Q839,2)</f>
        <v>988.65</v>
      </c>
      <c r="T839" s="65" t="n">
        <f aca="false">ROUND($R839*SUMIFS(Parametros!$E$28:$E$43,Parametros!$B$28:$B$43,$J839,Parametros!$C$28:$C$43,$C839,Parametros!$D$28:$D$43,$D839),2)</f>
        <v>76.19</v>
      </c>
      <c r="U839" s="65" t="n">
        <f aca="false">$R839-$S839-$T839</f>
        <v>591.36</v>
      </c>
      <c r="V839" s="66" t="n">
        <f aca="false">IFERROR($U839/$R839,0)</f>
        <v>0.357058326289096</v>
      </c>
      <c r="W839" s="67" t="str">
        <f aca="false">IF(AND($V839&gt;=Parametros!$C$8,$R839&gt;=Parametros!$C$12),"Alta rentabilidad",IF(OR($V839&lt;Parametros!$C$11,$R839&lt;Parametros!$C$13),"Revisar","Estandar"))</f>
        <v>Estandar</v>
      </c>
      <c r="X839" s="67" t="str">
        <f aca="false">IF(AND($J839="E-commerce",IFERROR($T839/$R839,0)&gt;Parametros!$C$14),"Alerta","OK")</f>
        <v>OK</v>
      </c>
      <c r="Y839" s="61" t="str">
        <f aca="false">IF($R839&gt;=Parametros!$C$12,"Alto",IF($R839&lt;Parametros!$C$13,"Bajo","Medio"))</f>
        <v>Medio</v>
      </c>
      <c r="Z839" s="61" t="n">
        <v>53</v>
      </c>
      <c r="AA839" s="61" t="str">
        <f aca="false">IF(MATCH($A839,Datos_Origen!$A$2:$A$2459,0)=$Z839,"OK","REVISAR")</f>
        <v>OK</v>
      </c>
      <c r="AB839" s="61" t="str">
        <f aca="false">INDEX(Datos_Origen!$B$2:$B$2459,$Z839)</f>
        <v>08/09/2024</v>
      </c>
      <c r="AC839" s="61" t="n">
        <f aca="false">INDEX(Datos_Origen!$H$2:$H$2459,$Z839)</f>
        <v>13</v>
      </c>
      <c r="AD839" s="61" t="str">
        <f aca="false">INDEX(Datos_Origen!$D$2:$D$2459,$Z839)&amp;""</f>
        <v>Cordoba</v>
      </c>
    </row>
    <row r="840" customFormat="false" ht="15" hidden="false" customHeight="false" outlineLevel="0" collapsed="false">
      <c r="A840" s="61" t="n">
        <f aca="false">INDEX(Datos_Origen!$A$2:$A$2459,$Z840)</f>
        <v>839</v>
      </c>
      <c r="B840" s="62" t="n">
        <f aca="false">IF(ISNUMBER($AB840),$AB840,IF(MID($AB840,5,1)="-",DATE(VALUE(LEFT($AB840,4)),VALUE(MID($AB840,6,2)),VALUE(RIGHT($AB840,2))),DATE(VALUE(RIGHT($AB840,4)),VALUE(MID($AB840,4,2)),VALUE(LEFT($AB840,2)))))</f>
        <v>45550</v>
      </c>
      <c r="C840" s="61" t="n">
        <f aca="false">YEAR($B840)</f>
        <v>2024</v>
      </c>
      <c r="D840" s="61" t="str">
        <f aca="false">"Q"&amp;ROUNDUP(MONTH($B840)/3,0)</f>
        <v>Q3</v>
      </c>
      <c r="E840" s="61" t="n">
        <f aca="false">MONTH($B840)</f>
        <v>9</v>
      </c>
      <c r="F840" s="61" t="str">
        <f aca="false">INDEX(Parametros!$I$5:$I$16,$E840)</f>
        <v>Sep</v>
      </c>
      <c r="G840" s="61" t="str">
        <f aca="false">TEXT($C840,"0000")&amp;"-"&amp;TEXT($E840,"00")</f>
        <v>2024-09</v>
      </c>
      <c r="H840" s="61" t="str">
        <f aca="false">INDEX(Parametros!$C$71:$C$91,MATCH(TRIM(INDEX(Datos_Origen!$C$2:$C$2459,$Z840)),Parametros!$B$71:$B$91,0))</f>
        <v>Centro</v>
      </c>
      <c r="I840" s="61" t="str">
        <f aca="false">IF(TRIM($AD840)="",INDEX(Parametros!$I$20:$I$24,MATCH($H840,Parametros!$H$20:$H$24,0)),TRIM($AD840))</f>
        <v>Cordoba</v>
      </c>
      <c r="J840" s="61" t="str">
        <f aca="false">INDEX(Parametros!$C$95:$C$106,MATCH(TRIM(INDEX(Datos_Origen!$E$2:$E$2459,$Z840)),Parametros!$B$95:$B$106,0))</f>
        <v>Tienda fisica</v>
      </c>
      <c r="K840" s="61" t="str">
        <f aca="false">INDEX(Parametros!$C$48:$C$67,MATCH(TRIM(INDEX(Datos_Origen!$F$2:$F$2459,$Z840)),Parametros!$B$48:$B$67,0))</f>
        <v>Almacenamiento</v>
      </c>
      <c r="L840" s="61" t="str">
        <f aca="false">$K840&amp;" "&amp;$C840</f>
        <v>Almacenamiento 2024</v>
      </c>
      <c r="M840" s="61" t="str">
        <f aca="false">TRIM(INDEX(Datos_Origen!$G$2:$G$2459,$Z840))</f>
        <v>Pendrive 256GB</v>
      </c>
      <c r="N840" s="61" t="str">
        <f aca="false">$M840&amp;" "&amp;$C840</f>
        <v>Pendrive 256GB 2024</v>
      </c>
      <c r="O840" s="63" t="n">
        <f aca="false">IF(ISTEXT($AC840),VALUE($AC840),$AC840)</f>
        <v>29</v>
      </c>
      <c r="P840" s="64" t="n">
        <f aca="false">INDEX(Datos_Origen!$I$2:$I$2459,$Z840)</f>
        <v>34.3</v>
      </c>
      <c r="Q840" s="64" t="n">
        <f aca="false">INDEX(Datos_Origen!$J$2:$J$2459,$Z840)</f>
        <v>17.85</v>
      </c>
      <c r="R840" s="65" t="n">
        <f aca="false">ROUND($O840*$P840,2)</f>
        <v>994.7</v>
      </c>
      <c r="S840" s="65" t="n">
        <f aca="false">ROUND($O840*$Q840,2)</f>
        <v>517.65</v>
      </c>
      <c r="T840" s="65" t="n">
        <f aca="false">ROUND($R840*SUMIFS(Parametros!$E$28:$E$43,Parametros!$B$28:$B$43,$J840,Parametros!$C$28:$C$43,$C840,Parametros!$D$28:$D$43,$D840),2)</f>
        <v>12.93</v>
      </c>
      <c r="U840" s="65" t="n">
        <f aca="false">$R840-$S840-$T840</f>
        <v>464.12</v>
      </c>
      <c r="V840" s="66" t="n">
        <f aca="false">IFERROR($U840/$R840,0)</f>
        <v>0.466592942595758</v>
      </c>
      <c r="W840" s="67" t="str">
        <f aca="false">IF(AND($V840&gt;=Parametros!$C$8,$R840&gt;=Parametros!$C$12),"Alta rentabilidad",IF(OR($V840&lt;Parametros!$C$11,$R840&lt;Parametros!$C$13),"Revisar","Estandar"))</f>
        <v>Estandar</v>
      </c>
      <c r="X840" s="67" t="str">
        <f aca="false">IF(AND($J840="E-commerce",IFERROR($T840/$R840,0)&gt;Parametros!$C$14),"Alerta","OK")</f>
        <v>OK</v>
      </c>
      <c r="Y840" s="61" t="str">
        <f aca="false">IF($R840&gt;=Parametros!$C$12,"Alto",IF($R840&lt;Parametros!$C$13,"Bajo","Medio"))</f>
        <v>Medio</v>
      </c>
      <c r="Z840" s="61" t="n">
        <v>249</v>
      </c>
      <c r="AA840" s="61" t="str">
        <f aca="false">IF(MATCH($A840,Datos_Origen!$A$2:$A$2459,0)=$Z840,"OK","REVISAR")</f>
        <v>OK</v>
      </c>
      <c r="AB840" s="61" t="str">
        <f aca="false">INDEX(Datos_Origen!$B$2:$B$2459,$Z840)</f>
        <v>15/09/2024</v>
      </c>
      <c r="AC840" s="61" t="n">
        <f aca="false">INDEX(Datos_Origen!$H$2:$H$2459,$Z840)</f>
        <v>29</v>
      </c>
      <c r="AD840" s="61" t="str">
        <f aca="false">INDEX(Datos_Origen!$D$2:$D$2459,$Z840)&amp;""</f>
        <v>Cordoba</v>
      </c>
    </row>
    <row r="841" customFormat="false" ht="15" hidden="false" customHeight="false" outlineLevel="0" collapsed="false">
      <c r="A841" s="61" t="n">
        <f aca="false">INDEX(Datos_Origen!$A$2:$A$2459,$Z841)</f>
        <v>840</v>
      </c>
      <c r="B841" s="62" t="n">
        <f aca="false">IF(ISNUMBER($AB841),$AB841,IF(MID($AB841,5,1)="-",DATE(VALUE(LEFT($AB841,4)),VALUE(MID($AB841,6,2)),VALUE(RIGHT($AB841,2))),DATE(VALUE(RIGHT($AB841,4)),VALUE(MID($AB841,4,2)),VALUE(LEFT($AB841,2)))))</f>
        <v>45557</v>
      </c>
      <c r="C841" s="61" t="n">
        <f aca="false">YEAR($B841)</f>
        <v>2024</v>
      </c>
      <c r="D841" s="61" t="str">
        <f aca="false">"Q"&amp;ROUNDUP(MONTH($B841)/3,0)</f>
        <v>Q3</v>
      </c>
      <c r="E841" s="61" t="n">
        <f aca="false">MONTH($B841)</f>
        <v>9</v>
      </c>
      <c r="F841" s="61" t="str">
        <f aca="false">INDEX(Parametros!$I$5:$I$16,$E841)</f>
        <v>Sep</v>
      </c>
      <c r="G841" s="61" t="str">
        <f aca="false">TEXT($C841,"0000")&amp;"-"&amp;TEXT($E841,"00")</f>
        <v>2024-09</v>
      </c>
      <c r="H841" s="61" t="str">
        <f aca="false">INDEX(Parametros!$C$71:$C$91,MATCH(TRIM(INDEX(Datos_Origen!$C$2:$C$2459,$Z841)),Parametros!$B$71:$B$91,0))</f>
        <v>Centro</v>
      </c>
      <c r="I841" s="61" t="str">
        <f aca="false">IF(TRIM($AD841)="",INDEX(Parametros!$I$20:$I$24,MATCH($H841,Parametros!$H$20:$H$24,0)),TRIM($AD841))</f>
        <v>Cordoba</v>
      </c>
      <c r="J841" s="61" t="str">
        <f aca="false">INDEX(Parametros!$C$95:$C$106,MATCH(TRIM(INDEX(Datos_Origen!$E$2:$E$2459,$Z841)),Parametros!$B$95:$B$106,0))</f>
        <v>E-commerce</v>
      </c>
      <c r="K841" s="61" t="str">
        <f aca="false">INDEX(Parametros!$C$48:$C$67,MATCH(TRIM(INDEX(Datos_Origen!$F$2:$F$2459,$Z841)),Parametros!$B$48:$B$67,0))</f>
        <v>Almacenamiento</v>
      </c>
      <c r="L841" s="61" t="str">
        <f aca="false">$K841&amp;" "&amp;$C841</f>
        <v>Almacenamiento 2024</v>
      </c>
      <c r="M841" s="61" t="str">
        <f aca="false">TRIM(INDEX(Datos_Origen!$G$2:$G$2459,$Z841))</f>
        <v>Pendrive 256GB</v>
      </c>
      <c r="N841" s="61" t="str">
        <f aca="false">$M841&amp;" "&amp;$C841</f>
        <v>Pendrive 256GB 2024</v>
      </c>
      <c r="O841" s="63" t="n">
        <f aca="false">IF(ISTEXT($AC841),VALUE($AC841),$AC841)</f>
        <v>12</v>
      </c>
      <c r="P841" s="64" t="n">
        <f aca="false">INDEX(Datos_Origen!$I$2:$I$2459,$Z841)</f>
        <v>34.3</v>
      </c>
      <c r="Q841" s="64" t="n">
        <f aca="false">INDEX(Datos_Origen!$J$2:$J$2459,$Z841)</f>
        <v>17.85</v>
      </c>
      <c r="R841" s="65" t="n">
        <f aca="false">ROUND($O841*$P841,2)</f>
        <v>411.6</v>
      </c>
      <c r="S841" s="65" t="n">
        <f aca="false">ROUND($O841*$Q841,2)</f>
        <v>214.2</v>
      </c>
      <c r="T841" s="65" t="n">
        <f aca="false">ROUND($R841*SUMIFS(Parametros!$E$28:$E$43,Parametros!$B$28:$B$43,$J841,Parametros!$C$28:$C$43,$C841,Parametros!$D$28:$D$43,$D841),2)</f>
        <v>18.93</v>
      </c>
      <c r="U841" s="65" t="n">
        <f aca="false">$R841-$S841-$T841</f>
        <v>178.47</v>
      </c>
      <c r="V841" s="66" t="n">
        <f aca="false">IFERROR($U841/$R841,0)</f>
        <v>0.433600583090379</v>
      </c>
      <c r="W841" s="67" t="str">
        <f aca="false">IF(AND($V841&gt;=Parametros!$C$8,$R841&gt;=Parametros!$C$12),"Alta rentabilidad",IF(OR($V841&lt;Parametros!$C$11,$R841&lt;Parametros!$C$13),"Revisar","Estandar"))</f>
        <v>Estandar</v>
      </c>
      <c r="X841" s="67" t="str">
        <f aca="false">IF(AND($J841="E-commerce",IFERROR($T841/$R841,0)&gt;Parametros!$C$14),"Alerta","OK")</f>
        <v>OK</v>
      </c>
      <c r="Y841" s="61" t="str">
        <f aca="false">IF($R841&gt;=Parametros!$C$12,"Alto",IF($R841&lt;Parametros!$C$13,"Bajo","Medio"))</f>
        <v>Medio</v>
      </c>
      <c r="Z841" s="61" t="n">
        <v>774</v>
      </c>
      <c r="AA841" s="61" t="str">
        <f aca="false">IF(MATCH($A841,Datos_Origen!$A$2:$A$2459,0)=$Z841,"OK","REVISAR")</f>
        <v>OK</v>
      </c>
      <c r="AB841" s="62" t="n">
        <f aca="false">INDEX(Datos_Origen!$B$2:$B$2459,$Z841)</f>
        <v>45557</v>
      </c>
      <c r="AC841" s="61" t="n">
        <f aca="false">INDEX(Datos_Origen!$H$2:$H$2459,$Z841)</f>
        <v>12</v>
      </c>
      <c r="AD841" s="61" t="str">
        <f aca="false">INDEX(Datos_Origen!$D$2:$D$2459,$Z841)&amp;""</f>
        <v>Cordoba</v>
      </c>
    </row>
    <row r="842" customFormat="false" ht="15" hidden="false" customHeight="false" outlineLevel="0" collapsed="false">
      <c r="A842" s="61" t="n">
        <f aca="false">INDEX(Datos_Origen!$A$2:$A$2459,$Z842)</f>
        <v>841</v>
      </c>
      <c r="B842" s="62" t="n">
        <f aca="false">IF(ISNUMBER($AB842),$AB842,IF(MID($AB842,5,1)="-",DATE(VALUE(LEFT($AB842,4)),VALUE(MID($AB842,6,2)),VALUE(RIGHT($AB842,2))),DATE(VALUE(RIGHT($AB842,4)),VALUE(MID($AB842,4,2)),VALUE(LEFT($AB842,2)))))</f>
        <v>45537</v>
      </c>
      <c r="C842" s="61" t="n">
        <f aca="false">YEAR($B842)</f>
        <v>2024</v>
      </c>
      <c r="D842" s="61" t="str">
        <f aca="false">"Q"&amp;ROUNDUP(MONTH($B842)/3,0)</f>
        <v>Q3</v>
      </c>
      <c r="E842" s="61" t="n">
        <f aca="false">MONTH($B842)</f>
        <v>9</v>
      </c>
      <c r="F842" s="61" t="str">
        <f aca="false">INDEX(Parametros!$I$5:$I$16,$E842)</f>
        <v>Sep</v>
      </c>
      <c r="G842" s="61" t="str">
        <f aca="false">TEXT($C842,"0000")&amp;"-"&amp;TEXT($E842,"00")</f>
        <v>2024-09</v>
      </c>
      <c r="H842" s="61" t="str">
        <f aca="false">INDEX(Parametros!$C$71:$C$91,MATCH(TRIM(INDEX(Datos_Origen!$C$2:$C$2459,$Z842)),Parametros!$B$71:$B$91,0))</f>
        <v>Litoral</v>
      </c>
      <c r="I842" s="61" t="str">
        <f aca="false">IF(TRIM($AD842)="",INDEX(Parametros!$I$20:$I$24,MATCH($H842,Parametros!$H$20:$H$24,0)),TRIM($AD842))</f>
        <v>Rosario</v>
      </c>
      <c r="J842" s="61" t="str">
        <f aca="false">INDEX(Parametros!$C$95:$C$106,MATCH(TRIM(INDEX(Datos_Origen!$E$2:$E$2459,$Z842)),Parametros!$B$95:$B$106,0))</f>
        <v>Tienda fisica</v>
      </c>
      <c r="K842" s="61" t="str">
        <f aca="false">INDEX(Parametros!$C$48:$C$67,MATCH(TRIM(INDEX(Datos_Origen!$F$2:$F$2459,$Z842)),Parametros!$B$48:$B$67,0))</f>
        <v>Computacion</v>
      </c>
      <c r="L842" s="61" t="str">
        <f aca="false">$K842&amp;" "&amp;$C842</f>
        <v>Computacion 2024</v>
      </c>
      <c r="M842" s="61" t="str">
        <f aca="false">TRIM(INDEX(Datos_Origen!$G$2:$G$2459,$Z842))</f>
        <v>Laptop Pro 15</v>
      </c>
      <c r="N842" s="61" t="str">
        <f aca="false">$M842&amp;" "&amp;$C842</f>
        <v>Laptop Pro 15 2024</v>
      </c>
      <c r="O842" s="63" t="n">
        <f aca="false">IF(ISTEXT($AC842),VALUE($AC842),$AC842)</f>
        <v>10</v>
      </c>
      <c r="P842" s="64" t="n">
        <f aca="false">INDEX(Datos_Origen!$I$2:$I$2459,$Z842)</f>
        <v>1176</v>
      </c>
      <c r="Q842" s="64" t="n">
        <f aca="false">INDEX(Datos_Origen!$J$2:$J$2459,$Z842)</f>
        <v>744</v>
      </c>
      <c r="R842" s="65" t="n">
        <f aca="false">ROUND($O842*$P842,2)</f>
        <v>11760</v>
      </c>
      <c r="S842" s="65" t="n">
        <f aca="false">ROUND($O842*$Q842,2)</f>
        <v>7440</v>
      </c>
      <c r="T842" s="65" t="n">
        <f aca="false">ROUND($R842*SUMIFS(Parametros!$E$28:$E$43,Parametros!$B$28:$B$43,$J842,Parametros!$C$28:$C$43,$C842,Parametros!$D$28:$D$43,$D842),2)</f>
        <v>152.88</v>
      </c>
      <c r="U842" s="65" t="n">
        <f aca="false">$R842-$S842-$T842</f>
        <v>4167.12</v>
      </c>
      <c r="V842" s="66" t="n">
        <f aca="false">IFERROR($U842/$R842,0)</f>
        <v>0.35434693877551</v>
      </c>
      <c r="W842" s="67" t="str">
        <f aca="false">IF(AND($V842&gt;=Parametros!$C$8,$R842&gt;=Parametros!$C$12),"Alta rentabilidad",IF(OR($V842&lt;Parametros!$C$11,$R842&lt;Parametros!$C$13),"Revisar","Estandar"))</f>
        <v>Alta rentabilidad</v>
      </c>
      <c r="X842" s="67" t="str">
        <f aca="false">IF(AND($J842="E-commerce",IFERROR($T842/$R842,0)&gt;Parametros!$C$14),"Alerta","OK")</f>
        <v>OK</v>
      </c>
      <c r="Y842" s="61" t="str">
        <f aca="false">IF($R842&gt;=Parametros!$C$12,"Alto",IF($R842&lt;Parametros!$C$13,"Bajo","Medio"))</f>
        <v>Alto</v>
      </c>
      <c r="Z842" s="61" t="n">
        <v>617</v>
      </c>
      <c r="AA842" s="61" t="str">
        <f aca="false">IF(MATCH($A842,Datos_Origen!$A$2:$A$2459,0)=$Z842,"OK","REVISAR")</f>
        <v>OK</v>
      </c>
      <c r="AB842" s="62" t="n">
        <f aca="false">INDEX(Datos_Origen!$B$2:$B$2459,$Z842)</f>
        <v>45537</v>
      </c>
      <c r="AC842" s="61" t="n">
        <f aca="false">INDEX(Datos_Origen!$H$2:$H$2459,$Z842)</f>
        <v>10</v>
      </c>
      <c r="AD842" s="61" t="str">
        <f aca="false">INDEX(Datos_Origen!$D$2:$D$2459,$Z842)&amp;""</f>
        <v>Rosario</v>
      </c>
    </row>
    <row r="843" customFormat="false" ht="15" hidden="false" customHeight="false" outlineLevel="0" collapsed="false">
      <c r="A843" s="61" t="n">
        <f aca="false">INDEX(Datos_Origen!$A$2:$A$2459,$Z843)</f>
        <v>842</v>
      </c>
      <c r="B843" s="62" t="n">
        <f aca="false">IF(ISNUMBER($AB843),$AB843,IF(MID($AB843,5,1)="-",DATE(VALUE(LEFT($AB843,4)),VALUE(MID($AB843,6,2)),VALUE(RIGHT($AB843,2))),DATE(VALUE(RIGHT($AB843,4)),VALUE(MID($AB843,4,2)),VALUE(LEFT($AB843,2)))))</f>
        <v>45544</v>
      </c>
      <c r="C843" s="61" t="n">
        <f aca="false">YEAR($B843)</f>
        <v>2024</v>
      </c>
      <c r="D843" s="61" t="str">
        <f aca="false">"Q"&amp;ROUNDUP(MONTH($B843)/3,0)</f>
        <v>Q3</v>
      </c>
      <c r="E843" s="61" t="n">
        <f aca="false">MONTH($B843)</f>
        <v>9</v>
      </c>
      <c r="F843" s="61" t="str">
        <f aca="false">INDEX(Parametros!$I$5:$I$16,$E843)</f>
        <v>Sep</v>
      </c>
      <c r="G843" s="61" t="str">
        <f aca="false">TEXT($C843,"0000")&amp;"-"&amp;TEXT($E843,"00")</f>
        <v>2024-09</v>
      </c>
      <c r="H843" s="61" t="str">
        <f aca="false">INDEX(Parametros!$C$71:$C$91,MATCH(TRIM(INDEX(Datos_Origen!$C$2:$C$2459,$Z843)),Parametros!$B$71:$B$91,0))</f>
        <v>Litoral</v>
      </c>
      <c r="I843" s="61" t="str">
        <f aca="false">IF(TRIM($AD843)="",INDEX(Parametros!$I$20:$I$24,MATCH($H843,Parametros!$H$20:$H$24,0)),TRIM($AD843))</f>
        <v>Rosario</v>
      </c>
      <c r="J843" s="61" t="str">
        <f aca="false">INDEX(Parametros!$C$95:$C$106,MATCH(TRIM(INDEX(Datos_Origen!$E$2:$E$2459,$Z843)),Parametros!$B$95:$B$106,0))</f>
        <v>E-commerce</v>
      </c>
      <c r="K843" s="61" t="str">
        <f aca="false">INDEX(Parametros!$C$48:$C$67,MATCH(TRIM(INDEX(Datos_Origen!$F$2:$F$2459,$Z843)),Parametros!$B$48:$B$67,0))</f>
        <v>Computacion</v>
      </c>
      <c r="L843" s="61" t="str">
        <f aca="false">$K843&amp;" "&amp;$C843</f>
        <v>Computacion 2024</v>
      </c>
      <c r="M843" s="61" t="str">
        <f aca="false">TRIM(INDEX(Datos_Origen!$G$2:$G$2459,$Z843))</f>
        <v>Laptop Pro 15</v>
      </c>
      <c r="N843" s="61" t="str">
        <f aca="false">$M843&amp;" "&amp;$C843</f>
        <v>Laptop Pro 15 2024</v>
      </c>
      <c r="O843" s="63" t="n">
        <f aca="false">IF(ISTEXT($AC843),VALUE($AC843),$AC843)</f>
        <v>3</v>
      </c>
      <c r="P843" s="64" t="n">
        <f aca="false">INDEX(Datos_Origen!$I$2:$I$2459,$Z843)</f>
        <v>1176</v>
      </c>
      <c r="Q843" s="64" t="n">
        <f aca="false">INDEX(Datos_Origen!$J$2:$J$2459,$Z843)</f>
        <v>744</v>
      </c>
      <c r="R843" s="65" t="n">
        <f aca="false">ROUND($O843*$P843,2)</f>
        <v>3528</v>
      </c>
      <c r="S843" s="65" t="n">
        <f aca="false">ROUND($O843*$Q843,2)</f>
        <v>2232</v>
      </c>
      <c r="T843" s="65" t="n">
        <f aca="false">ROUND($R843*SUMIFS(Parametros!$E$28:$E$43,Parametros!$B$28:$B$43,$J843,Parametros!$C$28:$C$43,$C843,Parametros!$D$28:$D$43,$D843),2)</f>
        <v>162.29</v>
      </c>
      <c r="U843" s="65" t="n">
        <f aca="false">$R843-$S843-$T843</f>
        <v>1133.71</v>
      </c>
      <c r="V843" s="66" t="n">
        <f aca="false">IFERROR($U843/$R843,0)</f>
        <v>0.321346371882086</v>
      </c>
      <c r="W843" s="67" t="str">
        <f aca="false">IF(AND($V843&gt;=Parametros!$C$8,$R843&gt;=Parametros!$C$12),"Alta rentabilidad",IF(OR($V843&lt;Parametros!$C$11,$R843&lt;Parametros!$C$13),"Revisar","Estandar"))</f>
        <v>Estandar</v>
      </c>
      <c r="X843" s="67" t="str">
        <f aca="false">IF(AND($J843="E-commerce",IFERROR($T843/$R843,0)&gt;Parametros!$C$14),"Alerta","OK")</f>
        <v>OK</v>
      </c>
      <c r="Y843" s="61" t="str">
        <f aca="false">IF($R843&gt;=Parametros!$C$12,"Alto",IF($R843&lt;Parametros!$C$13,"Bajo","Medio"))</f>
        <v>Alto</v>
      </c>
      <c r="Z843" s="61" t="n">
        <v>1568</v>
      </c>
      <c r="AA843" s="61" t="str">
        <f aca="false">IF(MATCH($A843,Datos_Origen!$A$2:$A$2459,0)=$Z843,"OK","REVISAR")</f>
        <v>OK</v>
      </c>
      <c r="AB843" s="61" t="str">
        <f aca="false">INDEX(Datos_Origen!$B$2:$B$2459,$Z843)</f>
        <v>2024-09-09</v>
      </c>
      <c r="AC843" s="61" t="n">
        <f aca="false">INDEX(Datos_Origen!$H$2:$H$2459,$Z843)</f>
        <v>3</v>
      </c>
      <c r="AD843" s="61" t="str">
        <f aca="false">INDEX(Datos_Origen!$D$2:$D$2459,$Z843)&amp;""</f>
        <v>Rosario</v>
      </c>
    </row>
    <row r="844" customFormat="false" ht="15" hidden="false" customHeight="false" outlineLevel="0" collapsed="false">
      <c r="A844" s="61" t="n">
        <f aca="false">INDEX(Datos_Origen!$A$2:$A$2459,$Z844)</f>
        <v>843</v>
      </c>
      <c r="B844" s="62" t="n">
        <f aca="false">IF(ISNUMBER($AB844),$AB844,IF(MID($AB844,5,1)="-",DATE(VALUE(LEFT($AB844,4)),VALUE(MID($AB844,6,2)),VALUE(RIGHT($AB844,2))),DATE(VALUE(RIGHT($AB844,4)),VALUE(MID($AB844,4,2)),VALUE(LEFT($AB844,2)))))</f>
        <v>45551</v>
      </c>
      <c r="C844" s="61" t="n">
        <f aca="false">YEAR($B844)</f>
        <v>2024</v>
      </c>
      <c r="D844" s="61" t="str">
        <f aca="false">"Q"&amp;ROUNDUP(MONTH($B844)/3,0)</f>
        <v>Q3</v>
      </c>
      <c r="E844" s="61" t="n">
        <f aca="false">MONTH($B844)</f>
        <v>9</v>
      </c>
      <c r="F844" s="61" t="str">
        <f aca="false">INDEX(Parametros!$I$5:$I$16,$E844)</f>
        <v>Sep</v>
      </c>
      <c r="G844" s="61" t="str">
        <f aca="false">TEXT($C844,"0000")&amp;"-"&amp;TEXT($E844,"00")</f>
        <v>2024-09</v>
      </c>
      <c r="H844" s="61" t="str">
        <f aca="false">INDEX(Parametros!$C$71:$C$91,MATCH(TRIM(INDEX(Datos_Origen!$C$2:$C$2459,$Z844)),Parametros!$B$71:$B$91,0))</f>
        <v>Litoral</v>
      </c>
      <c r="I844" s="61" t="str">
        <f aca="false">IF(TRIM($AD844)="",INDEX(Parametros!$I$20:$I$24,MATCH($H844,Parametros!$H$20:$H$24,0)),TRIM($AD844))</f>
        <v>Rosario</v>
      </c>
      <c r="J844" s="61" t="str">
        <f aca="false">INDEX(Parametros!$C$95:$C$106,MATCH(TRIM(INDEX(Datos_Origen!$E$2:$E$2459,$Z844)),Parametros!$B$95:$B$106,0))</f>
        <v>Tienda fisica</v>
      </c>
      <c r="K844" s="61" t="str">
        <f aca="false">INDEX(Parametros!$C$48:$C$67,MATCH(TRIM(INDEX(Datos_Origen!$F$2:$F$2459,$Z844)),Parametros!$B$48:$B$67,0))</f>
        <v>Computacion</v>
      </c>
      <c r="L844" s="61" t="str">
        <f aca="false">$K844&amp;" "&amp;$C844</f>
        <v>Computacion 2024</v>
      </c>
      <c r="M844" s="61" t="str">
        <f aca="false">TRIM(INDEX(Datos_Origen!$G$2:$G$2459,$Z844))</f>
        <v>Monitor 4K 27</v>
      </c>
      <c r="N844" s="61" t="str">
        <f aca="false">$M844&amp;" "&amp;$C844</f>
        <v>Monitor 4K 27 2024</v>
      </c>
      <c r="O844" s="63" t="n">
        <f aca="false">IF(ISTEXT($AC844),VALUE($AC844),$AC844)</f>
        <v>10</v>
      </c>
      <c r="P844" s="64" t="n">
        <f aca="false">INDEX(Datos_Origen!$I$2:$I$2459,$Z844)</f>
        <v>441</v>
      </c>
      <c r="Q844" s="64" t="n">
        <f aca="false">INDEX(Datos_Origen!$J$2:$J$2459,$Z844)</f>
        <v>272.25</v>
      </c>
      <c r="R844" s="65" t="n">
        <f aca="false">ROUND($O844*$P844,2)</f>
        <v>4410</v>
      </c>
      <c r="S844" s="65" t="n">
        <f aca="false">ROUND($O844*$Q844,2)</f>
        <v>2722.5</v>
      </c>
      <c r="T844" s="65" t="n">
        <f aca="false">ROUND($R844*SUMIFS(Parametros!$E$28:$E$43,Parametros!$B$28:$B$43,$J844,Parametros!$C$28:$C$43,$C844,Parametros!$D$28:$D$43,$D844),2)</f>
        <v>57.33</v>
      </c>
      <c r="U844" s="65" t="n">
        <f aca="false">$R844-$S844-$T844</f>
        <v>1630.17</v>
      </c>
      <c r="V844" s="66" t="n">
        <f aca="false">IFERROR($U844/$R844,0)</f>
        <v>0.36965306122449</v>
      </c>
      <c r="W844" s="67" t="str">
        <f aca="false">IF(AND($V844&gt;=Parametros!$C$8,$R844&gt;=Parametros!$C$12),"Alta rentabilidad",IF(OR($V844&lt;Parametros!$C$11,$R844&lt;Parametros!$C$13),"Revisar","Estandar"))</f>
        <v>Alta rentabilidad</v>
      </c>
      <c r="X844" s="67" t="str">
        <f aca="false">IF(AND($J844="E-commerce",IFERROR($T844/$R844,0)&gt;Parametros!$C$14),"Alerta","OK")</f>
        <v>OK</v>
      </c>
      <c r="Y844" s="61" t="str">
        <f aca="false">IF($R844&gt;=Parametros!$C$12,"Alto",IF($R844&lt;Parametros!$C$13,"Bajo","Medio"))</f>
        <v>Alto</v>
      </c>
      <c r="Z844" s="61" t="n">
        <v>34</v>
      </c>
      <c r="AA844" s="61" t="str">
        <f aca="false">IF(MATCH($A844,Datos_Origen!$A$2:$A$2459,0)=$Z844,"OK","REVISAR")</f>
        <v>OK</v>
      </c>
      <c r="AB844" s="61" t="str">
        <f aca="false">INDEX(Datos_Origen!$B$2:$B$2459,$Z844)</f>
        <v>16/09/2024</v>
      </c>
      <c r="AC844" s="61" t="n">
        <f aca="false">INDEX(Datos_Origen!$H$2:$H$2459,$Z844)</f>
        <v>10</v>
      </c>
      <c r="AD844" s="61" t="str">
        <f aca="false">INDEX(Datos_Origen!$D$2:$D$2459,$Z844)&amp;""</f>
        <v/>
      </c>
    </row>
    <row r="845" customFormat="false" ht="15" hidden="false" customHeight="false" outlineLevel="0" collapsed="false">
      <c r="A845" s="61" t="n">
        <f aca="false">INDEX(Datos_Origen!$A$2:$A$2459,$Z845)</f>
        <v>844</v>
      </c>
      <c r="B845" s="62" t="n">
        <f aca="false">IF(ISNUMBER($AB845),$AB845,IF(MID($AB845,5,1)="-",DATE(VALUE(LEFT($AB845,4)),VALUE(MID($AB845,6,2)),VALUE(RIGHT($AB845,2))),DATE(VALUE(RIGHT($AB845,4)),VALUE(MID($AB845,4,2)),VALUE(LEFT($AB845,2)))))</f>
        <v>45558</v>
      </c>
      <c r="C845" s="61" t="n">
        <f aca="false">YEAR($B845)</f>
        <v>2024</v>
      </c>
      <c r="D845" s="61" t="str">
        <f aca="false">"Q"&amp;ROUNDUP(MONTH($B845)/3,0)</f>
        <v>Q3</v>
      </c>
      <c r="E845" s="61" t="n">
        <f aca="false">MONTH($B845)</f>
        <v>9</v>
      </c>
      <c r="F845" s="61" t="str">
        <f aca="false">INDEX(Parametros!$I$5:$I$16,$E845)</f>
        <v>Sep</v>
      </c>
      <c r="G845" s="61" t="str">
        <f aca="false">TEXT($C845,"0000")&amp;"-"&amp;TEXT($E845,"00")</f>
        <v>2024-09</v>
      </c>
      <c r="H845" s="61" t="str">
        <f aca="false">INDEX(Parametros!$C$71:$C$91,MATCH(TRIM(INDEX(Datos_Origen!$C$2:$C$2459,$Z845)),Parametros!$B$71:$B$91,0))</f>
        <v>Litoral</v>
      </c>
      <c r="I845" s="61" t="str">
        <f aca="false">IF(TRIM($AD845)="",INDEX(Parametros!$I$20:$I$24,MATCH($H845,Parametros!$H$20:$H$24,0)),TRIM($AD845))</f>
        <v>Rosario</v>
      </c>
      <c r="J845" s="61" t="str">
        <f aca="false">INDEX(Parametros!$C$95:$C$106,MATCH(TRIM(INDEX(Datos_Origen!$E$2:$E$2459,$Z845)),Parametros!$B$95:$B$106,0))</f>
        <v>E-commerce</v>
      </c>
      <c r="K845" s="61" t="str">
        <f aca="false">INDEX(Parametros!$C$48:$C$67,MATCH(TRIM(INDEX(Datos_Origen!$F$2:$F$2459,$Z845)),Parametros!$B$48:$B$67,0))</f>
        <v>Computacion</v>
      </c>
      <c r="L845" s="61" t="str">
        <f aca="false">$K845&amp;" "&amp;$C845</f>
        <v>Computacion 2024</v>
      </c>
      <c r="M845" s="61" t="str">
        <f aca="false">TRIM(INDEX(Datos_Origen!$G$2:$G$2459,$Z845))</f>
        <v>Monitor 4K 27</v>
      </c>
      <c r="N845" s="61" t="str">
        <f aca="false">$M845&amp;" "&amp;$C845</f>
        <v>Monitor 4K 27 2024</v>
      </c>
      <c r="O845" s="63" t="n">
        <f aca="false">IF(ISTEXT($AC845),VALUE($AC845),$AC845)</f>
        <v>3</v>
      </c>
      <c r="P845" s="64" t="n">
        <f aca="false">INDEX(Datos_Origen!$I$2:$I$2459,$Z845)</f>
        <v>441</v>
      </c>
      <c r="Q845" s="64" t="n">
        <f aca="false">INDEX(Datos_Origen!$J$2:$J$2459,$Z845)</f>
        <v>272.25</v>
      </c>
      <c r="R845" s="65" t="n">
        <f aca="false">ROUND($O845*$P845,2)</f>
        <v>1323</v>
      </c>
      <c r="S845" s="65" t="n">
        <f aca="false">ROUND($O845*$Q845,2)</f>
        <v>816.75</v>
      </c>
      <c r="T845" s="65" t="n">
        <f aca="false">ROUND($R845*SUMIFS(Parametros!$E$28:$E$43,Parametros!$B$28:$B$43,$J845,Parametros!$C$28:$C$43,$C845,Parametros!$D$28:$D$43,$D845),2)</f>
        <v>60.86</v>
      </c>
      <c r="U845" s="65" t="n">
        <f aca="false">$R845-$S845-$T845</f>
        <v>445.39</v>
      </c>
      <c r="V845" s="66" t="n">
        <f aca="false">IFERROR($U845/$R845,0)</f>
        <v>0.336651549508692</v>
      </c>
      <c r="W845" s="67" t="str">
        <f aca="false">IF(AND($V845&gt;=Parametros!$C$8,$R845&gt;=Parametros!$C$12),"Alta rentabilidad",IF(OR($V845&lt;Parametros!$C$11,$R845&lt;Parametros!$C$13),"Revisar","Estandar"))</f>
        <v>Estandar</v>
      </c>
      <c r="X845" s="67" t="str">
        <f aca="false">IF(AND($J845="E-commerce",IFERROR($T845/$R845,0)&gt;Parametros!$C$14),"Alerta","OK")</f>
        <v>OK</v>
      </c>
      <c r="Y845" s="61" t="str">
        <f aca="false">IF($R845&gt;=Parametros!$C$12,"Alto",IF($R845&lt;Parametros!$C$13,"Bajo","Medio"))</f>
        <v>Medio</v>
      </c>
      <c r="Z845" s="61" t="n">
        <v>808</v>
      </c>
      <c r="AA845" s="61" t="str">
        <f aca="false">IF(MATCH($A845,Datos_Origen!$A$2:$A$2459,0)=$Z845,"OK","REVISAR")</f>
        <v>OK</v>
      </c>
      <c r="AB845" s="62" t="n">
        <f aca="false">INDEX(Datos_Origen!$B$2:$B$2459,$Z845)</f>
        <v>45558</v>
      </c>
      <c r="AC845" s="61" t="n">
        <f aca="false">INDEX(Datos_Origen!$H$2:$H$2459,$Z845)</f>
        <v>3</v>
      </c>
      <c r="AD845" s="61" t="str">
        <f aca="false">INDEX(Datos_Origen!$D$2:$D$2459,$Z845)&amp;""</f>
        <v>Rosario</v>
      </c>
    </row>
    <row r="846" customFormat="false" ht="15" hidden="false" customHeight="false" outlineLevel="0" collapsed="false">
      <c r="A846" s="61" t="n">
        <f aca="false">INDEX(Datos_Origen!$A$2:$A$2459,$Z846)</f>
        <v>845</v>
      </c>
      <c r="B846" s="62" t="n">
        <f aca="false">IF(ISNUMBER($AB846),$AB846,IF(MID($AB846,5,1)="-",DATE(VALUE(LEFT($AB846,4)),VALUE(MID($AB846,6,2)),VALUE(RIGHT($AB846,2))),DATE(VALUE(RIGHT($AB846,4)),VALUE(MID($AB846,4,2)),VALUE(LEFT($AB846,2)))))</f>
        <v>45538</v>
      </c>
      <c r="C846" s="61" t="n">
        <f aca="false">YEAR($B846)</f>
        <v>2024</v>
      </c>
      <c r="D846" s="61" t="str">
        <f aca="false">"Q"&amp;ROUNDUP(MONTH($B846)/3,0)</f>
        <v>Q3</v>
      </c>
      <c r="E846" s="61" t="n">
        <f aca="false">MONTH($B846)</f>
        <v>9</v>
      </c>
      <c r="F846" s="61" t="str">
        <f aca="false">INDEX(Parametros!$I$5:$I$16,$E846)</f>
        <v>Sep</v>
      </c>
      <c r="G846" s="61" t="str">
        <f aca="false">TEXT($C846,"0000")&amp;"-"&amp;TEXT($E846,"00")</f>
        <v>2024-09</v>
      </c>
      <c r="H846" s="61" t="str">
        <f aca="false">INDEX(Parametros!$C$71:$C$91,MATCH(TRIM(INDEX(Datos_Origen!$C$2:$C$2459,$Z846)),Parametros!$B$71:$B$91,0))</f>
        <v>Litoral</v>
      </c>
      <c r="I846" s="61" t="str">
        <f aca="false">IF(TRIM($AD846)="",INDEX(Parametros!$I$20:$I$24,MATCH($H846,Parametros!$H$20:$H$24,0)),TRIM($AD846))</f>
        <v>Rosario</v>
      </c>
      <c r="J846" s="61" t="str">
        <f aca="false">INDEX(Parametros!$C$95:$C$106,MATCH(TRIM(INDEX(Datos_Origen!$E$2:$E$2459,$Z846)),Parametros!$B$95:$B$106,0))</f>
        <v>Tienda fisica</v>
      </c>
      <c r="K846" s="61" t="str">
        <f aca="false">INDEX(Parametros!$C$48:$C$67,MATCH(TRIM(INDEX(Datos_Origen!$F$2:$F$2459,$Z846)),Parametros!$B$48:$B$67,0))</f>
        <v>Computacion</v>
      </c>
      <c r="L846" s="61" t="str">
        <f aca="false">$K846&amp;" "&amp;$C846</f>
        <v>Computacion 2024</v>
      </c>
      <c r="M846" s="61" t="str">
        <f aca="false">TRIM(INDEX(Datos_Origen!$G$2:$G$2459,$Z846))</f>
        <v>PC Gamer Ryzen</v>
      </c>
      <c r="N846" s="61" t="str">
        <f aca="false">$M846&amp;" "&amp;$C846</f>
        <v>PC Gamer Ryzen 2024</v>
      </c>
      <c r="O846" s="63" t="n">
        <f aca="false">IF(ISTEXT($AC846),VALUE($AC846),$AC846)</f>
        <v>8</v>
      </c>
      <c r="P846" s="64" t="n">
        <f aca="false">INDEX(Datos_Origen!$I$2:$I$2459,$Z846)</f>
        <v>1617</v>
      </c>
      <c r="Q846" s="64" t="n">
        <f aca="false">INDEX(Datos_Origen!$J$2:$J$2459,$Z846)</f>
        <v>1122</v>
      </c>
      <c r="R846" s="65" t="n">
        <f aca="false">ROUND($O846*$P846,2)</f>
        <v>12936</v>
      </c>
      <c r="S846" s="65" t="n">
        <f aca="false">ROUND($O846*$Q846,2)</f>
        <v>8976</v>
      </c>
      <c r="T846" s="65" t="n">
        <f aca="false">ROUND($R846*SUMIFS(Parametros!$E$28:$E$43,Parametros!$B$28:$B$43,$J846,Parametros!$C$28:$C$43,$C846,Parametros!$D$28:$D$43,$D846),2)</f>
        <v>168.17</v>
      </c>
      <c r="U846" s="65" t="n">
        <f aca="false">$R846-$S846-$T846</f>
        <v>3791.83</v>
      </c>
      <c r="V846" s="66" t="n">
        <f aca="false">IFERROR($U846/$R846,0)</f>
        <v>0.293122294372294</v>
      </c>
      <c r="W846" s="67" t="str">
        <f aca="false">IF(AND($V846&gt;=Parametros!$C$8,$R846&gt;=Parametros!$C$12),"Alta rentabilidad",IF(OR($V846&lt;Parametros!$C$11,$R846&lt;Parametros!$C$13),"Revisar","Estandar"))</f>
        <v>Estandar</v>
      </c>
      <c r="X846" s="67" t="str">
        <f aca="false">IF(AND($J846="E-commerce",IFERROR($T846/$R846,0)&gt;Parametros!$C$14),"Alerta","OK")</f>
        <v>OK</v>
      </c>
      <c r="Y846" s="61" t="str">
        <f aca="false">IF($R846&gt;=Parametros!$C$12,"Alto",IF($R846&lt;Parametros!$C$13,"Bajo","Medio"))</f>
        <v>Alto</v>
      </c>
      <c r="Z846" s="61" t="n">
        <v>509</v>
      </c>
      <c r="AA846" s="61" t="str">
        <f aca="false">IF(MATCH($A846,Datos_Origen!$A$2:$A$2459,0)=$Z846,"OK","REVISAR")</f>
        <v>OK</v>
      </c>
      <c r="AB846" s="62" t="n">
        <f aca="false">INDEX(Datos_Origen!$B$2:$B$2459,$Z846)</f>
        <v>45538</v>
      </c>
      <c r="AC846" s="61" t="n">
        <f aca="false">INDEX(Datos_Origen!$H$2:$H$2459,$Z846)</f>
        <v>8</v>
      </c>
      <c r="AD846" s="61" t="str">
        <f aca="false">INDEX(Datos_Origen!$D$2:$D$2459,$Z846)&amp;""</f>
        <v>Rosario</v>
      </c>
    </row>
    <row r="847" customFormat="false" ht="15" hidden="false" customHeight="false" outlineLevel="0" collapsed="false">
      <c r="A847" s="61" t="n">
        <f aca="false">INDEX(Datos_Origen!$A$2:$A$2459,$Z847)</f>
        <v>846</v>
      </c>
      <c r="B847" s="62" t="n">
        <f aca="false">IF(ISNUMBER($AB847),$AB847,IF(MID($AB847,5,1)="-",DATE(VALUE(LEFT($AB847,4)),VALUE(MID($AB847,6,2)),VALUE(RIGHT($AB847,2))),DATE(VALUE(RIGHT($AB847,4)),VALUE(MID($AB847,4,2)),VALUE(LEFT($AB847,2)))))</f>
        <v>45545</v>
      </c>
      <c r="C847" s="61" t="n">
        <f aca="false">YEAR($B847)</f>
        <v>2024</v>
      </c>
      <c r="D847" s="61" t="str">
        <f aca="false">"Q"&amp;ROUNDUP(MONTH($B847)/3,0)</f>
        <v>Q3</v>
      </c>
      <c r="E847" s="61" t="n">
        <f aca="false">MONTH($B847)</f>
        <v>9</v>
      </c>
      <c r="F847" s="61" t="str">
        <f aca="false">INDEX(Parametros!$I$5:$I$16,$E847)</f>
        <v>Sep</v>
      </c>
      <c r="G847" s="61" t="str">
        <f aca="false">TEXT($C847,"0000")&amp;"-"&amp;TEXT($E847,"00")</f>
        <v>2024-09</v>
      </c>
      <c r="H847" s="61" t="str">
        <f aca="false">INDEX(Parametros!$C$71:$C$91,MATCH(TRIM(INDEX(Datos_Origen!$C$2:$C$2459,$Z847)),Parametros!$B$71:$B$91,0))</f>
        <v>Litoral</v>
      </c>
      <c r="I847" s="61" t="str">
        <f aca="false">IF(TRIM($AD847)="",INDEX(Parametros!$I$20:$I$24,MATCH($H847,Parametros!$H$20:$H$24,0)),TRIM($AD847))</f>
        <v>Rosario</v>
      </c>
      <c r="J847" s="61" t="str">
        <f aca="false">INDEX(Parametros!$C$95:$C$106,MATCH(TRIM(INDEX(Datos_Origen!$E$2:$E$2459,$Z847)),Parametros!$B$95:$B$106,0))</f>
        <v>E-commerce</v>
      </c>
      <c r="K847" s="61" t="str">
        <f aca="false">INDEX(Parametros!$C$48:$C$67,MATCH(TRIM(INDEX(Datos_Origen!$F$2:$F$2459,$Z847)),Parametros!$B$48:$B$67,0))</f>
        <v>Computacion</v>
      </c>
      <c r="L847" s="61" t="str">
        <f aca="false">$K847&amp;" "&amp;$C847</f>
        <v>Computacion 2024</v>
      </c>
      <c r="M847" s="61" t="str">
        <f aca="false">TRIM(INDEX(Datos_Origen!$G$2:$G$2459,$Z847))</f>
        <v>PC Gamer Ryzen</v>
      </c>
      <c r="N847" s="61" t="str">
        <f aca="false">$M847&amp;" "&amp;$C847</f>
        <v>PC Gamer Ryzen 2024</v>
      </c>
      <c r="O847" s="63" t="n">
        <f aca="false">IF(ISTEXT($AC847),VALUE($AC847),$AC847)</f>
        <v>3</v>
      </c>
      <c r="P847" s="64" t="n">
        <f aca="false">INDEX(Datos_Origen!$I$2:$I$2459,$Z847)</f>
        <v>1617</v>
      </c>
      <c r="Q847" s="64" t="n">
        <f aca="false">INDEX(Datos_Origen!$J$2:$J$2459,$Z847)</f>
        <v>1122</v>
      </c>
      <c r="R847" s="65" t="n">
        <f aca="false">ROUND($O847*$P847,2)</f>
        <v>4851</v>
      </c>
      <c r="S847" s="65" t="n">
        <f aca="false">ROUND($O847*$Q847,2)</f>
        <v>3366</v>
      </c>
      <c r="T847" s="65" t="n">
        <f aca="false">ROUND($R847*SUMIFS(Parametros!$E$28:$E$43,Parametros!$B$28:$B$43,$J847,Parametros!$C$28:$C$43,$C847,Parametros!$D$28:$D$43,$D847),2)</f>
        <v>223.15</v>
      </c>
      <c r="U847" s="65" t="n">
        <f aca="false">$R847-$S847-$T847</f>
        <v>1261.85</v>
      </c>
      <c r="V847" s="66" t="n">
        <f aca="false">IFERROR($U847/$R847,0)</f>
        <v>0.260121624407339</v>
      </c>
      <c r="W847" s="67" t="str">
        <f aca="false">IF(AND($V847&gt;=Parametros!$C$8,$R847&gt;=Parametros!$C$12),"Alta rentabilidad",IF(OR($V847&lt;Parametros!$C$11,$R847&lt;Parametros!$C$13),"Revisar","Estandar"))</f>
        <v>Revisar</v>
      </c>
      <c r="X847" s="67" t="str">
        <f aca="false">IF(AND($J847="E-commerce",IFERROR($T847/$R847,0)&gt;Parametros!$C$14),"Alerta","OK")</f>
        <v>OK</v>
      </c>
      <c r="Y847" s="61" t="str">
        <f aca="false">IF($R847&gt;=Parametros!$C$12,"Alto",IF($R847&lt;Parametros!$C$13,"Bajo","Medio"))</f>
        <v>Alto</v>
      </c>
      <c r="Z847" s="61" t="n">
        <v>62</v>
      </c>
      <c r="AA847" s="61" t="str">
        <f aca="false">IF(MATCH($A847,Datos_Origen!$A$2:$A$2459,0)=$Z847,"OK","REVISAR")</f>
        <v>OK</v>
      </c>
      <c r="AB847" s="62" t="n">
        <f aca="false">INDEX(Datos_Origen!$B$2:$B$2459,$Z847)</f>
        <v>45545</v>
      </c>
      <c r="AC847" s="61" t="n">
        <f aca="false">INDEX(Datos_Origen!$H$2:$H$2459,$Z847)</f>
        <v>3</v>
      </c>
      <c r="AD847" s="61" t="str">
        <f aca="false">INDEX(Datos_Origen!$D$2:$D$2459,$Z847)&amp;""</f>
        <v>Rosario</v>
      </c>
    </row>
    <row r="848" customFormat="false" ht="15" hidden="false" customHeight="false" outlineLevel="0" collapsed="false">
      <c r="A848" s="61" t="n">
        <f aca="false">INDEX(Datos_Origen!$A$2:$A$2459,$Z848)</f>
        <v>847</v>
      </c>
      <c r="B848" s="62" t="n">
        <f aca="false">IF(ISNUMBER($AB848),$AB848,IF(MID($AB848,5,1)="-",DATE(VALUE(LEFT($AB848,4)),VALUE(MID($AB848,6,2)),VALUE(RIGHT($AB848,2))),DATE(VALUE(RIGHT($AB848,4)),VALUE(MID($AB848,4,2)),VALUE(LEFT($AB848,2)))))</f>
        <v>45552</v>
      </c>
      <c r="C848" s="61" t="n">
        <f aca="false">YEAR($B848)</f>
        <v>2024</v>
      </c>
      <c r="D848" s="61" t="str">
        <f aca="false">"Q"&amp;ROUNDUP(MONTH($B848)/3,0)</f>
        <v>Q3</v>
      </c>
      <c r="E848" s="61" t="n">
        <f aca="false">MONTH($B848)</f>
        <v>9</v>
      </c>
      <c r="F848" s="61" t="str">
        <f aca="false">INDEX(Parametros!$I$5:$I$16,$E848)</f>
        <v>Sep</v>
      </c>
      <c r="G848" s="61" t="str">
        <f aca="false">TEXT($C848,"0000")&amp;"-"&amp;TEXT($E848,"00")</f>
        <v>2024-09</v>
      </c>
      <c r="H848" s="61" t="str">
        <f aca="false">INDEX(Parametros!$C$71:$C$91,MATCH(TRIM(INDEX(Datos_Origen!$C$2:$C$2459,$Z848)),Parametros!$B$71:$B$91,0))</f>
        <v>Litoral</v>
      </c>
      <c r="I848" s="61" t="str">
        <f aca="false">IF(TRIM($AD848)="",INDEX(Parametros!$I$20:$I$24,MATCH($H848,Parametros!$H$20:$H$24,0)),TRIM($AD848))</f>
        <v>Rosario</v>
      </c>
      <c r="J848" s="61" t="str">
        <f aca="false">INDEX(Parametros!$C$95:$C$106,MATCH(TRIM(INDEX(Datos_Origen!$E$2:$E$2459,$Z848)),Parametros!$B$95:$B$106,0))</f>
        <v>Tienda fisica</v>
      </c>
      <c r="K848" s="61" t="str">
        <f aca="false">INDEX(Parametros!$C$48:$C$67,MATCH(TRIM(INDEX(Datos_Origen!$F$2:$F$2459,$Z848)),Parametros!$B$48:$B$67,0))</f>
        <v>Accesorios</v>
      </c>
      <c r="L848" s="61" t="str">
        <f aca="false">$K848&amp;" "&amp;$C848</f>
        <v>Accesorios 2024</v>
      </c>
      <c r="M848" s="61" t="str">
        <f aca="false">TRIM(INDEX(Datos_Origen!$G$2:$G$2459,$Z848))</f>
        <v>Mouse Inalambrico</v>
      </c>
      <c r="N848" s="61" t="str">
        <f aca="false">$M848&amp;" "&amp;$C848</f>
        <v>Mouse Inalambrico 2024</v>
      </c>
      <c r="O848" s="63" t="n">
        <f aca="false">IF(ISTEXT($AC848),VALUE($AC848),$AC848)</f>
        <v>40</v>
      </c>
      <c r="P848" s="64" t="n">
        <f aca="false">INDEX(Datos_Origen!$I$2:$I$2459,$Z848)</f>
        <v>27.44</v>
      </c>
      <c r="Q848" s="64" t="n">
        <f aca="false">INDEX(Datos_Origen!$J$2:$J$2459,$Z848)</f>
        <v>13.44</v>
      </c>
      <c r="R848" s="65" t="n">
        <f aca="false">ROUND($O848*$P848,2)</f>
        <v>1097.6</v>
      </c>
      <c r="S848" s="65" t="n">
        <f aca="false">ROUND($O848*$Q848,2)</f>
        <v>537.6</v>
      </c>
      <c r="T848" s="65" t="n">
        <f aca="false">ROUND($R848*SUMIFS(Parametros!$E$28:$E$43,Parametros!$B$28:$B$43,$J848,Parametros!$C$28:$C$43,$C848,Parametros!$D$28:$D$43,$D848),2)</f>
        <v>14.27</v>
      </c>
      <c r="U848" s="65" t="n">
        <f aca="false">$R848-$S848-$T848</f>
        <v>545.73</v>
      </c>
      <c r="V848" s="66" t="n">
        <f aca="false">IFERROR($U848/$R848,0)</f>
        <v>0.497202988338192</v>
      </c>
      <c r="W848" s="67" t="str">
        <f aca="false">IF(AND($V848&gt;=Parametros!$C$8,$R848&gt;=Parametros!$C$12),"Alta rentabilidad",IF(OR($V848&lt;Parametros!$C$11,$R848&lt;Parametros!$C$13),"Revisar","Estandar"))</f>
        <v>Estandar</v>
      </c>
      <c r="X848" s="67" t="str">
        <f aca="false">IF(AND($J848="E-commerce",IFERROR($T848/$R848,0)&gt;Parametros!$C$14),"Alerta","OK")</f>
        <v>OK</v>
      </c>
      <c r="Y848" s="61" t="str">
        <f aca="false">IF($R848&gt;=Parametros!$C$12,"Alto",IF($R848&lt;Parametros!$C$13,"Bajo","Medio"))</f>
        <v>Medio</v>
      </c>
      <c r="Z848" s="61" t="n">
        <v>2100</v>
      </c>
      <c r="AA848" s="61" t="str">
        <f aca="false">IF(MATCH($A848,Datos_Origen!$A$2:$A$2459,0)=$Z848,"OK","REVISAR")</f>
        <v>OK</v>
      </c>
      <c r="AB848" s="62" t="n">
        <f aca="false">INDEX(Datos_Origen!$B$2:$B$2459,$Z848)</f>
        <v>45552</v>
      </c>
      <c r="AC848" s="61" t="n">
        <f aca="false">INDEX(Datos_Origen!$H$2:$H$2459,$Z848)</f>
        <v>40</v>
      </c>
      <c r="AD848" s="61" t="str">
        <f aca="false">INDEX(Datos_Origen!$D$2:$D$2459,$Z848)&amp;""</f>
        <v>Rosario</v>
      </c>
    </row>
    <row r="849" customFormat="false" ht="15" hidden="false" customHeight="false" outlineLevel="0" collapsed="false">
      <c r="A849" s="61" t="n">
        <f aca="false">INDEX(Datos_Origen!$A$2:$A$2459,$Z849)</f>
        <v>848</v>
      </c>
      <c r="B849" s="62" t="n">
        <f aca="false">IF(ISNUMBER($AB849),$AB849,IF(MID($AB849,5,1)="-",DATE(VALUE(LEFT($AB849,4)),VALUE(MID($AB849,6,2)),VALUE(RIGHT($AB849,2))),DATE(VALUE(RIGHT($AB849,4)),VALUE(MID($AB849,4,2)),VALUE(LEFT($AB849,2)))))</f>
        <v>45559</v>
      </c>
      <c r="C849" s="61" t="n">
        <f aca="false">YEAR($B849)</f>
        <v>2024</v>
      </c>
      <c r="D849" s="61" t="str">
        <f aca="false">"Q"&amp;ROUNDUP(MONTH($B849)/3,0)</f>
        <v>Q3</v>
      </c>
      <c r="E849" s="61" t="n">
        <f aca="false">MONTH($B849)</f>
        <v>9</v>
      </c>
      <c r="F849" s="61" t="str">
        <f aca="false">INDEX(Parametros!$I$5:$I$16,$E849)</f>
        <v>Sep</v>
      </c>
      <c r="G849" s="61" t="str">
        <f aca="false">TEXT($C849,"0000")&amp;"-"&amp;TEXT($E849,"00")</f>
        <v>2024-09</v>
      </c>
      <c r="H849" s="61" t="str">
        <f aca="false">INDEX(Parametros!$C$71:$C$91,MATCH(TRIM(INDEX(Datos_Origen!$C$2:$C$2459,$Z849)),Parametros!$B$71:$B$91,0))</f>
        <v>Litoral</v>
      </c>
      <c r="I849" s="61" t="str">
        <f aca="false">IF(TRIM($AD849)="",INDEX(Parametros!$I$20:$I$24,MATCH($H849,Parametros!$H$20:$H$24,0)),TRIM($AD849))</f>
        <v>Rosario</v>
      </c>
      <c r="J849" s="61" t="str">
        <f aca="false">INDEX(Parametros!$C$95:$C$106,MATCH(TRIM(INDEX(Datos_Origen!$E$2:$E$2459,$Z849)),Parametros!$B$95:$B$106,0))</f>
        <v>E-commerce</v>
      </c>
      <c r="K849" s="61" t="str">
        <f aca="false">INDEX(Parametros!$C$48:$C$67,MATCH(TRIM(INDEX(Datos_Origen!$F$2:$F$2459,$Z849)),Parametros!$B$48:$B$67,0))</f>
        <v>Accesorios</v>
      </c>
      <c r="L849" s="61" t="str">
        <f aca="false">$K849&amp;" "&amp;$C849</f>
        <v>Accesorios 2024</v>
      </c>
      <c r="M849" s="61" t="str">
        <f aca="false">TRIM(INDEX(Datos_Origen!$G$2:$G$2459,$Z849))</f>
        <v>Mouse Inalambrico</v>
      </c>
      <c r="N849" s="61" t="str">
        <f aca="false">$M849&amp;" "&amp;$C849</f>
        <v>Mouse Inalambrico 2024</v>
      </c>
      <c r="O849" s="63" t="n">
        <f aca="false">IF(ISTEXT($AC849),VALUE($AC849),$AC849)</f>
        <v>16</v>
      </c>
      <c r="P849" s="64" t="n">
        <f aca="false">INDEX(Datos_Origen!$I$2:$I$2459,$Z849)</f>
        <v>27.44</v>
      </c>
      <c r="Q849" s="64" t="n">
        <f aca="false">INDEX(Datos_Origen!$J$2:$J$2459,$Z849)</f>
        <v>13.44</v>
      </c>
      <c r="R849" s="65" t="n">
        <f aca="false">ROUND($O849*$P849,2)</f>
        <v>439.04</v>
      </c>
      <c r="S849" s="65" t="n">
        <f aca="false">ROUND($O849*$Q849,2)</f>
        <v>215.04</v>
      </c>
      <c r="T849" s="65" t="n">
        <f aca="false">ROUND($R849*SUMIFS(Parametros!$E$28:$E$43,Parametros!$B$28:$B$43,$J849,Parametros!$C$28:$C$43,$C849,Parametros!$D$28:$D$43,$D849),2)</f>
        <v>20.2</v>
      </c>
      <c r="U849" s="65" t="n">
        <f aca="false">$R849-$S849-$T849</f>
        <v>203.8</v>
      </c>
      <c r="V849" s="66" t="n">
        <f aca="false">IFERROR($U849/$R849,0)</f>
        <v>0.464194606413994</v>
      </c>
      <c r="W849" s="67" t="str">
        <f aca="false">IF(AND($V849&gt;=Parametros!$C$8,$R849&gt;=Parametros!$C$12),"Alta rentabilidad",IF(OR($V849&lt;Parametros!$C$11,$R849&lt;Parametros!$C$13),"Revisar","Estandar"))</f>
        <v>Estandar</v>
      </c>
      <c r="X849" s="67" t="str">
        <f aca="false">IF(AND($J849="E-commerce",IFERROR($T849/$R849,0)&gt;Parametros!$C$14),"Alerta","OK")</f>
        <v>OK</v>
      </c>
      <c r="Y849" s="61" t="str">
        <f aca="false">IF($R849&gt;=Parametros!$C$12,"Alto",IF($R849&lt;Parametros!$C$13,"Bajo","Medio"))</f>
        <v>Medio</v>
      </c>
      <c r="Z849" s="61" t="n">
        <v>1539</v>
      </c>
      <c r="AA849" s="61" t="str">
        <f aca="false">IF(MATCH($A849,Datos_Origen!$A$2:$A$2459,0)=$Z849,"OK","REVISAR")</f>
        <v>OK</v>
      </c>
      <c r="AB849" s="62" t="n">
        <f aca="false">INDEX(Datos_Origen!$B$2:$B$2459,$Z849)</f>
        <v>45559</v>
      </c>
      <c r="AC849" s="61" t="n">
        <f aca="false">INDEX(Datos_Origen!$H$2:$H$2459,$Z849)</f>
        <v>16</v>
      </c>
      <c r="AD849" s="61" t="str">
        <f aca="false">INDEX(Datos_Origen!$D$2:$D$2459,$Z849)&amp;""</f>
        <v>Rosario</v>
      </c>
    </row>
    <row r="850" customFormat="false" ht="15" hidden="false" customHeight="false" outlineLevel="0" collapsed="false">
      <c r="A850" s="61" t="n">
        <f aca="false">INDEX(Datos_Origen!$A$2:$A$2459,$Z850)</f>
        <v>849</v>
      </c>
      <c r="B850" s="62" t="n">
        <f aca="false">IF(ISNUMBER($AB850),$AB850,IF(MID($AB850,5,1)="-",DATE(VALUE(LEFT($AB850,4)),VALUE(MID($AB850,6,2)),VALUE(RIGHT($AB850,2))),DATE(VALUE(RIGHT($AB850,4)),VALUE(MID($AB850,4,2)),VALUE(LEFT($AB850,2)))))</f>
        <v>45539</v>
      </c>
      <c r="C850" s="61" t="n">
        <f aca="false">YEAR($B850)</f>
        <v>2024</v>
      </c>
      <c r="D850" s="61" t="str">
        <f aca="false">"Q"&amp;ROUNDUP(MONTH($B850)/3,0)</f>
        <v>Q3</v>
      </c>
      <c r="E850" s="61" t="n">
        <f aca="false">MONTH($B850)</f>
        <v>9</v>
      </c>
      <c r="F850" s="61" t="str">
        <f aca="false">INDEX(Parametros!$I$5:$I$16,$E850)</f>
        <v>Sep</v>
      </c>
      <c r="G850" s="61" t="str">
        <f aca="false">TEXT($C850,"0000")&amp;"-"&amp;TEXT($E850,"00")</f>
        <v>2024-09</v>
      </c>
      <c r="H850" s="61" t="str">
        <f aca="false">INDEX(Parametros!$C$71:$C$91,MATCH(TRIM(INDEX(Datos_Origen!$C$2:$C$2459,$Z850)),Parametros!$B$71:$B$91,0))</f>
        <v>Litoral</v>
      </c>
      <c r="I850" s="61" t="str">
        <f aca="false">IF(TRIM($AD850)="",INDEX(Parametros!$I$20:$I$24,MATCH($H850,Parametros!$H$20:$H$24,0)),TRIM($AD850))</f>
        <v>Rosario</v>
      </c>
      <c r="J850" s="61" t="str">
        <f aca="false">INDEX(Parametros!$C$95:$C$106,MATCH(TRIM(INDEX(Datos_Origen!$E$2:$E$2459,$Z850)),Parametros!$B$95:$B$106,0))</f>
        <v>Tienda fisica</v>
      </c>
      <c r="K850" s="61" t="str">
        <f aca="false">INDEX(Parametros!$C$48:$C$67,MATCH(TRIM(INDEX(Datos_Origen!$F$2:$F$2459,$Z850)),Parametros!$B$48:$B$67,0))</f>
        <v>Accesorios</v>
      </c>
      <c r="L850" s="61" t="str">
        <f aca="false">$K850&amp;" "&amp;$C850</f>
        <v>Accesorios 2024</v>
      </c>
      <c r="M850" s="61" t="str">
        <f aca="false">TRIM(INDEX(Datos_Origen!$G$2:$G$2459,$Z850))</f>
        <v>Teclado Mecanico</v>
      </c>
      <c r="N850" s="61" t="str">
        <f aca="false">$M850&amp;" "&amp;$C850</f>
        <v>Teclado Mecanico 2024</v>
      </c>
      <c r="O850" s="63" t="n">
        <f aca="false">IF(ISTEXT($AC850),VALUE($AC850),$AC850)</f>
        <v>47</v>
      </c>
      <c r="P850" s="64" t="n">
        <f aca="false">INDEX(Datos_Origen!$I$2:$I$2459,$Z850)</f>
        <v>93.1</v>
      </c>
      <c r="Q850" s="64" t="n">
        <f aca="false">INDEX(Datos_Origen!$J$2:$J$2459,$Z850)</f>
        <v>47.98</v>
      </c>
      <c r="R850" s="65" t="n">
        <f aca="false">ROUND($O850*$P850,2)</f>
        <v>4375.7</v>
      </c>
      <c r="S850" s="65" t="n">
        <f aca="false">ROUND($O850*$Q850,2)</f>
        <v>2255.06</v>
      </c>
      <c r="T850" s="65" t="n">
        <f aca="false">ROUND($R850*SUMIFS(Parametros!$E$28:$E$43,Parametros!$B$28:$B$43,$J850,Parametros!$C$28:$C$43,$C850,Parametros!$D$28:$D$43,$D850),2)</f>
        <v>56.88</v>
      </c>
      <c r="U850" s="65" t="n">
        <f aca="false">$R850-$S850-$T850</f>
        <v>2063.76</v>
      </c>
      <c r="V850" s="66" t="n">
        <f aca="false">IFERROR($U850/$R850,0)</f>
        <v>0.471641108851155</v>
      </c>
      <c r="W850" s="67" t="str">
        <f aca="false">IF(AND($V850&gt;=Parametros!$C$8,$R850&gt;=Parametros!$C$12),"Alta rentabilidad",IF(OR($V850&lt;Parametros!$C$11,$R850&lt;Parametros!$C$13),"Revisar","Estandar"))</f>
        <v>Alta rentabilidad</v>
      </c>
      <c r="X850" s="67" t="str">
        <f aca="false">IF(AND($J850="E-commerce",IFERROR($T850/$R850,0)&gt;Parametros!$C$14),"Alerta","OK")</f>
        <v>OK</v>
      </c>
      <c r="Y850" s="61" t="str">
        <f aca="false">IF($R850&gt;=Parametros!$C$12,"Alto",IF($R850&lt;Parametros!$C$13,"Bajo","Medio"))</f>
        <v>Alto</v>
      </c>
      <c r="Z850" s="61" t="n">
        <v>1361</v>
      </c>
      <c r="AA850" s="61" t="str">
        <f aca="false">IF(MATCH($A850,Datos_Origen!$A$2:$A$2459,0)=$Z850,"OK","REVISAR")</f>
        <v>OK</v>
      </c>
      <c r="AB850" s="61" t="str">
        <f aca="false">INDEX(Datos_Origen!$B$2:$B$2459,$Z850)</f>
        <v>2024-09-04</v>
      </c>
      <c r="AC850" s="61" t="n">
        <f aca="false">INDEX(Datos_Origen!$H$2:$H$2459,$Z850)</f>
        <v>47</v>
      </c>
      <c r="AD850" s="61" t="str">
        <f aca="false">INDEX(Datos_Origen!$D$2:$D$2459,$Z850)&amp;""</f>
        <v>Rosario</v>
      </c>
    </row>
    <row r="851" customFormat="false" ht="15" hidden="false" customHeight="false" outlineLevel="0" collapsed="false">
      <c r="A851" s="61" t="n">
        <f aca="false">INDEX(Datos_Origen!$A$2:$A$2459,$Z851)</f>
        <v>850</v>
      </c>
      <c r="B851" s="62" t="n">
        <f aca="false">IF(ISNUMBER($AB851),$AB851,IF(MID($AB851,5,1)="-",DATE(VALUE(LEFT($AB851,4)),VALUE(MID($AB851,6,2)),VALUE(RIGHT($AB851,2))),DATE(VALUE(RIGHT($AB851,4)),VALUE(MID($AB851,4,2)),VALUE(LEFT($AB851,2)))))</f>
        <v>45546</v>
      </c>
      <c r="C851" s="61" t="n">
        <f aca="false">YEAR($B851)</f>
        <v>2024</v>
      </c>
      <c r="D851" s="61" t="str">
        <f aca="false">"Q"&amp;ROUNDUP(MONTH($B851)/3,0)</f>
        <v>Q3</v>
      </c>
      <c r="E851" s="61" t="n">
        <f aca="false">MONTH($B851)</f>
        <v>9</v>
      </c>
      <c r="F851" s="61" t="str">
        <f aca="false">INDEX(Parametros!$I$5:$I$16,$E851)</f>
        <v>Sep</v>
      </c>
      <c r="G851" s="61" t="str">
        <f aca="false">TEXT($C851,"0000")&amp;"-"&amp;TEXT($E851,"00")</f>
        <v>2024-09</v>
      </c>
      <c r="H851" s="61" t="str">
        <f aca="false">INDEX(Parametros!$C$71:$C$91,MATCH(TRIM(INDEX(Datos_Origen!$C$2:$C$2459,$Z851)),Parametros!$B$71:$B$91,0))</f>
        <v>Litoral</v>
      </c>
      <c r="I851" s="61" t="str">
        <f aca="false">IF(TRIM($AD851)="",INDEX(Parametros!$I$20:$I$24,MATCH($H851,Parametros!$H$20:$H$24,0)),TRIM($AD851))</f>
        <v>Rosario</v>
      </c>
      <c r="J851" s="61" t="str">
        <f aca="false">INDEX(Parametros!$C$95:$C$106,MATCH(TRIM(INDEX(Datos_Origen!$E$2:$E$2459,$Z851)),Parametros!$B$95:$B$106,0))</f>
        <v>E-commerce</v>
      </c>
      <c r="K851" s="61" t="str">
        <f aca="false">INDEX(Parametros!$C$48:$C$67,MATCH(TRIM(INDEX(Datos_Origen!$F$2:$F$2459,$Z851)),Parametros!$B$48:$B$67,0))</f>
        <v>Accesorios</v>
      </c>
      <c r="L851" s="61" t="str">
        <f aca="false">$K851&amp;" "&amp;$C851</f>
        <v>Accesorios 2024</v>
      </c>
      <c r="M851" s="61" t="str">
        <f aca="false">TRIM(INDEX(Datos_Origen!$G$2:$G$2459,$Z851))</f>
        <v>Teclado Mecanico</v>
      </c>
      <c r="N851" s="61" t="str">
        <f aca="false">$M851&amp;" "&amp;$C851</f>
        <v>Teclado Mecanico 2024</v>
      </c>
      <c r="O851" s="63" t="n">
        <f aca="false">IF(ISTEXT($AC851),VALUE($AC851),$AC851)</f>
        <v>18</v>
      </c>
      <c r="P851" s="64" t="n">
        <f aca="false">INDEX(Datos_Origen!$I$2:$I$2459,$Z851)</f>
        <v>93.1</v>
      </c>
      <c r="Q851" s="64" t="n">
        <f aca="false">INDEX(Datos_Origen!$J$2:$J$2459,$Z851)</f>
        <v>47.98</v>
      </c>
      <c r="R851" s="65" t="n">
        <f aca="false">ROUND($O851*$P851,2)</f>
        <v>1675.8</v>
      </c>
      <c r="S851" s="65" t="n">
        <f aca="false">ROUND($O851*$Q851,2)</f>
        <v>863.64</v>
      </c>
      <c r="T851" s="65" t="n">
        <f aca="false">ROUND($R851*SUMIFS(Parametros!$E$28:$E$43,Parametros!$B$28:$B$43,$J851,Parametros!$C$28:$C$43,$C851,Parametros!$D$28:$D$43,$D851),2)</f>
        <v>77.09</v>
      </c>
      <c r="U851" s="65" t="n">
        <f aca="false">$R851-$S851-$T851</f>
        <v>735.07</v>
      </c>
      <c r="V851" s="66" t="n">
        <f aca="false">IFERROR($U851/$R851,0)</f>
        <v>0.438638262322473</v>
      </c>
      <c r="W851" s="67" t="str">
        <f aca="false">IF(AND($V851&gt;=Parametros!$C$8,$R851&gt;=Parametros!$C$12),"Alta rentabilidad",IF(OR($V851&lt;Parametros!$C$11,$R851&lt;Parametros!$C$13),"Revisar","Estandar"))</f>
        <v>Estandar</v>
      </c>
      <c r="X851" s="67" t="str">
        <f aca="false">IF(AND($J851="E-commerce",IFERROR($T851/$R851,0)&gt;Parametros!$C$14),"Alerta","OK")</f>
        <v>OK</v>
      </c>
      <c r="Y851" s="61" t="str">
        <f aca="false">IF($R851&gt;=Parametros!$C$12,"Alto",IF($R851&lt;Parametros!$C$13,"Bajo","Medio"))</f>
        <v>Medio</v>
      </c>
      <c r="Z851" s="61" t="n">
        <v>1680</v>
      </c>
      <c r="AA851" s="61" t="str">
        <f aca="false">IF(MATCH($A851,Datos_Origen!$A$2:$A$2459,0)=$Z851,"OK","REVISAR")</f>
        <v>OK</v>
      </c>
      <c r="AB851" s="62" t="n">
        <f aca="false">INDEX(Datos_Origen!$B$2:$B$2459,$Z851)</f>
        <v>45546</v>
      </c>
      <c r="AC851" s="61" t="n">
        <f aca="false">INDEX(Datos_Origen!$H$2:$H$2459,$Z851)</f>
        <v>18</v>
      </c>
      <c r="AD851" s="61" t="str">
        <f aca="false">INDEX(Datos_Origen!$D$2:$D$2459,$Z851)&amp;""</f>
        <v>Rosario</v>
      </c>
    </row>
    <row r="852" customFormat="false" ht="15" hidden="false" customHeight="false" outlineLevel="0" collapsed="false">
      <c r="A852" s="61" t="n">
        <f aca="false">INDEX(Datos_Origen!$A$2:$A$2459,$Z852)</f>
        <v>851</v>
      </c>
      <c r="B852" s="62" t="n">
        <f aca="false">IF(ISNUMBER($AB852),$AB852,IF(MID($AB852,5,1)="-",DATE(VALUE(LEFT($AB852,4)),VALUE(MID($AB852,6,2)),VALUE(RIGHT($AB852,2))),DATE(VALUE(RIGHT($AB852,4)),VALUE(MID($AB852,4,2)),VALUE(LEFT($AB852,2)))))</f>
        <v>45553</v>
      </c>
      <c r="C852" s="61" t="n">
        <f aca="false">YEAR($B852)</f>
        <v>2024</v>
      </c>
      <c r="D852" s="61" t="str">
        <f aca="false">"Q"&amp;ROUNDUP(MONTH($B852)/3,0)</f>
        <v>Q3</v>
      </c>
      <c r="E852" s="61" t="n">
        <f aca="false">MONTH($B852)</f>
        <v>9</v>
      </c>
      <c r="F852" s="61" t="str">
        <f aca="false">INDEX(Parametros!$I$5:$I$16,$E852)</f>
        <v>Sep</v>
      </c>
      <c r="G852" s="61" t="str">
        <f aca="false">TEXT($C852,"0000")&amp;"-"&amp;TEXT($E852,"00")</f>
        <v>2024-09</v>
      </c>
      <c r="H852" s="61" t="str">
        <f aca="false">INDEX(Parametros!$C$71:$C$91,MATCH(TRIM(INDEX(Datos_Origen!$C$2:$C$2459,$Z852)),Parametros!$B$71:$B$91,0))</f>
        <v>Litoral</v>
      </c>
      <c r="I852" s="61" t="str">
        <f aca="false">IF(TRIM($AD852)="",INDEX(Parametros!$I$20:$I$24,MATCH($H852,Parametros!$H$20:$H$24,0)),TRIM($AD852))</f>
        <v>Rosario</v>
      </c>
      <c r="J852" s="61" t="str">
        <f aca="false">INDEX(Parametros!$C$95:$C$106,MATCH(TRIM(INDEX(Datos_Origen!$E$2:$E$2459,$Z852)),Parametros!$B$95:$B$106,0))</f>
        <v>Tienda fisica</v>
      </c>
      <c r="K852" s="61" t="str">
        <f aca="false">INDEX(Parametros!$C$48:$C$67,MATCH(TRIM(INDEX(Datos_Origen!$F$2:$F$2459,$Z852)),Parametros!$B$48:$B$67,0))</f>
        <v>Accesorios</v>
      </c>
      <c r="L852" s="61" t="str">
        <f aca="false">$K852&amp;" "&amp;$C852</f>
        <v>Accesorios 2024</v>
      </c>
      <c r="M852" s="61" t="str">
        <f aca="false">TRIM(INDEX(Datos_Origen!$G$2:$G$2459,$Z852))</f>
        <v>Webcam Full HD</v>
      </c>
      <c r="N852" s="61" t="str">
        <f aca="false">$M852&amp;" "&amp;$C852</f>
        <v>Webcam Full HD 2024</v>
      </c>
      <c r="O852" s="63" t="n">
        <f aca="false">IF(ISTEXT($AC852),VALUE($AC852),$AC852)</f>
        <v>46</v>
      </c>
      <c r="P852" s="64" t="n">
        <f aca="false">INDEX(Datos_Origen!$I$2:$I$2459,$Z852)</f>
        <v>63.7</v>
      </c>
      <c r="Q852" s="64" t="n">
        <f aca="false">INDEX(Datos_Origen!$J$2:$J$2459,$Z852)</f>
        <v>35.43</v>
      </c>
      <c r="R852" s="65" t="n">
        <f aca="false">ROUND($O852*$P852,2)</f>
        <v>2930.2</v>
      </c>
      <c r="S852" s="65" t="n">
        <f aca="false">ROUND($O852*$Q852,2)</f>
        <v>1629.78</v>
      </c>
      <c r="T852" s="65" t="n">
        <f aca="false">ROUND($R852*SUMIFS(Parametros!$E$28:$E$43,Parametros!$B$28:$B$43,$J852,Parametros!$C$28:$C$43,$C852,Parametros!$D$28:$D$43,$D852),2)</f>
        <v>38.09</v>
      </c>
      <c r="U852" s="65" t="n">
        <f aca="false">$R852-$S852-$T852</f>
        <v>1262.33</v>
      </c>
      <c r="V852" s="66" t="n">
        <f aca="false">IFERROR($U852/$R852,0)</f>
        <v>0.430799945396219</v>
      </c>
      <c r="W852" s="67" t="str">
        <f aca="false">IF(AND($V852&gt;=Parametros!$C$8,$R852&gt;=Parametros!$C$12),"Alta rentabilidad",IF(OR($V852&lt;Parametros!$C$11,$R852&lt;Parametros!$C$13),"Revisar","Estandar"))</f>
        <v>Estandar</v>
      </c>
      <c r="X852" s="67" t="str">
        <f aca="false">IF(AND($J852="E-commerce",IFERROR($T852/$R852,0)&gt;Parametros!$C$14),"Alerta","OK")</f>
        <v>OK</v>
      </c>
      <c r="Y852" s="61" t="str">
        <f aca="false">IF($R852&gt;=Parametros!$C$12,"Alto",IF($R852&lt;Parametros!$C$13,"Bajo","Medio"))</f>
        <v>Medio</v>
      </c>
      <c r="Z852" s="61" t="n">
        <v>1946</v>
      </c>
      <c r="AA852" s="61" t="str">
        <f aca="false">IF(MATCH($A852,Datos_Origen!$A$2:$A$2459,0)=$Z852,"OK","REVISAR")</f>
        <v>OK</v>
      </c>
      <c r="AB852" s="61" t="str">
        <f aca="false">INDEX(Datos_Origen!$B$2:$B$2459,$Z852)</f>
        <v>18/09/2024</v>
      </c>
      <c r="AC852" s="61" t="n">
        <f aca="false">INDEX(Datos_Origen!$H$2:$H$2459,$Z852)</f>
        <v>46</v>
      </c>
      <c r="AD852" s="61" t="str">
        <f aca="false">INDEX(Datos_Origen!$D$2:$D$2459,$Z852)&amp;""</f>
        <v>Rosario</v>
      </c>
    </row>
    <row r="853" customFormat="false" ht="15" hidden="false" customHeight="false" outlineLevel="0" collapsed="false">
      <c r="A853" s="61" t="n">
        <f aca="false">INDEX(Datos_Origen!$A$2:$A$2459,$Z853)</f>
        <v>852</v>
      </c>
      <c r="B853" s="62" t="n">
        <f aca="false">IF(ISNUMBER($AB853),$AB853,IF(MID($AB853,5,1)="-",DATE(VALUE(LEFT($AB853,4)),VALUE(MID($AB853,6,2)),VALUE(RIGHT($AB853,2))),DATE(VALUE(RIGHT($AB853,4)),VALUE(MID($AB853,4,2)),VALUE(LEFT($AB853,2)))))</f>
        <v>45560</v>
      </c>
      <c r="C853" s="61" t="n">
        <f aca="false">YEAR($B853)</f>
        <v>2024</v>
      </c>
      <c r="D853" s="61" t="str">
        <f aca="false">"Q"&amp;ROUNDUP(MONTH($B853)/3,0)</f>
        <v>Q3</v>
      </c>
      <c r="E853" s="61" t="n">
        <f aca="false">MONTH($B853)</f>
        <v>9</v>
      </c>
      <c r="F853" s="61" t="str">
        <f aca="false">INDEX(Parametros!$I$5:$I$16,$E853)</f>
        <v>Sep</v>
      </c>
      <c r="G853" s="61" t="str">
        <f aca="false">TEXT($C853,"0000")&amp;"-"&amp;TEXT($E853,"00")</f>
        <v>2024-09</v>
      </c>
      <c r="H853" s="61" t="str">
        <f aca="false">INDEX(Parametros!$C$71:$C$91,MATCH(TRIM(INDEX(Datos_Origen!$C$2:$C$2459,$Z853)),Parametros!$B$71:$B$91,0))</f>
        <v>Litoral</v>
      </c>
      <c r="I853" s="61" t="str">
        <f aca="false">IF(TRIM($AD853)="",INDEX(Parametros!$I$20:$I$24,MATCH($H853,Parametros!$H$20:$H$24,0)),TRIM($AD853))</f>
        <v>Rosario</v>
      </c>
      <c r="J853" s="61" t="str">
        <f aca="false">INDEX(Parametros!$C$95:$C$106,MATCH(TRIM(INDEX(Datos_Origen!$E$2:$E$2459,$Z853)),Parametros!$B$95:$B$106,0))</f>
        <v>E-commerce</v>
      </c>
      <c r="K853" s="61" t="str">
        <f aca="false">INDEX(Parametros!$C$48:$C$67,MATCH(TRIM(INDEX(Datos_Origen!$F$2:$F$2459,$Z853)),Parametros!$B$48:$B$67,0))</f>
        <v>Accesorios</v>
      </c>
      <c r="L853" s="61" t="str">
        <f aca="false">$K853&amp;" "&amp;$C853</f>
        <v>Accesorios 2024</v>
      </c>
      <c r="M853" s="61" t="str">
        <f aca="false">TRIM(INDEX(Datos_Origen!$G$2:$G$2459,$Z853))</f>
        <v>Webcam Full HD</v>
      </c>
      <c r="N853" s="61" t="str">
        <f aca="false">$M853&amp;" "&amp;$C853</f>
        <v>Webcam Full HD 2024</v>
      </c>
      <c r="O853" s="63" t="n">
        <f aca="false">IF(ISTEXT($AC853),VALUE($AC853),$AC853)</f>
        <v>18</v>
      </c>
      <c r="P853" s="64" t="n">
        <f aca="false">INDEX(Datos_Origen!$I$2:$I$2459,$Z853)</f>
        <v>63.7</v>
      </c>
      <c r="Q853" s="64" t="n">
        <f aca="false">INDEX(Datos_Origen!$J$2:$J$2459,$Z853)</f>
        <v>35.43</v>
      </c>
      <c r="R853" s="65" t="n">
        <f aca="false">ROUND($O853*$P853,2)</f>
        <v>1146.6</v>
      </c>
      <c r="S853" s="65" t="n">
        <f aca="false">ROUND($O853*$Q853,2)</f>
        <v>637.74</v>
      </c>
      <c r="T853" s="65" t="n">
        <f aca="false">ROUND($R853*SUMIFS(Parametros!$E$28:$E$43,Parametros!$B$28:$B$43,$J853,Parametros!$C$28:$C$43,$C853,Parametros!$D$28:$D$43,$D853),2)</f>
        <v>52.74</v>
      </c>
      <c r="U853" s="65" t="n">
        <f aca="false">$R853-$S853-$T853</f>
        <v>456.12</v>
      </c>
      <c r="V853" s="66" t="n">
        <f aca="false">IFERROR($U853/$R853,0)</f>
        <v>0.397802197802198</v>
      </c>
      <c r="W853" s="67" t="str">
        <f aca="false">IF(AND($V853&gt;=Parametros!$C$8,$R853&gt;=Parametros!$C$12),"Alta rentabilidad",IF(OR($V853&lt;Parametros!$C$11,$R853&lt;Parametros!$C$13),"Revisar","Estandar"))</f>
        <v>Estandar</v>
      </c>
      <c r="X853" s="67" t="str">
        <f aca="false">IF(AND($J853="E-commerce",IFERROR($T853/$R853,0)&gt;Parametros!$C$14),"Alerta","OK")</f>
        <v>OK</v>
      </c>
      <c r="Y853" s="61" t="str">
        <f aca="false">IF($R853&gt;=Parametros!$C$12,"Alto",IF($R853&lt;Parametros!$C$13,"Bajo","Medio"))</f>
        <v>Medio</v>
      </c>
      <c r="Z853" s="61" t="n">
        <v>2198</v>
      </c>
      <c r="AA853" s="61" t="str">
        <f aca="false">IF(MATCH($A853,Datos_Origen!$A$2:$A$2459,0)=$Z853,"OK","REVISAR")</f>
        <v>OK</v>
      </c>
      <c r="AB853" s="61" t="str">
        <f aca="false">INDEX(Datos_Origen!$B$2:$B$2459,$Z853)</f>
        <v>25/09/2024</v>
      </c>
      <c r="AC853" s="61" t="str">
        <f aca="false">INDEX(Datos_Origen!$H$2:$H$2459,$Z853)</f>
        <v>18</v>
      </c>
      <c r="AD853" s="61" t="str">
        <f aca="false">INDEX(Datos_Origen!$D$2:$D$2459,$Z853)&amp;""</f>
        <v>Rosario</v>
      </c>
    </row>
    <row r="854" customFormat="false" ht="15" hidden="false" customHeight="false" outlineLevel="0" collapsed="false">
      <c r="A854" s="61" t="n">
        <f aca="false">INDEX(Datos_Origen!$A$2:$A$2459,$Z854)</f>
        <v>853</v>
      </c>
      <c r="B854" s="62" t="n">
        <f aca="false">IF(ISNUMBER($AB854),$AB854,IF(MID($AB854,5,1)="-",DATE(VALUE(LEFT($AB854,4)),VALUE(MID($AB854,6,2)),VALUE(RIGHT($AB854,2))),DATE(VALUE(RIGHT($AB854,4)),VALUE(MID($AB854,4,2)),VALUE(LEFT($AB854,2)))))</f>
        <v>45540</v>
      </c>
      <c r="C854" s="61" t="n">
        <f aca="false">YEAR($B854)</f>
        <v>2024</v>
      </c>
      <c r="D854" s="61" t="str">
        <f aca="false">"Q"&amp;ROUNDUP(MONTH($B854)/3,0)</f>
        <v>Q3</v>
      </c>
      <c r="E854" s="61" t="n">
        <f aca="false">MONTH($B854)</f>
        <v>9</v>
      </c>
      <c r="F854" s="61" t="str">
        <f aca="false">INDEX(Parametros!$I$5:$I$16,$E854)</f>
        <v>Sep</v>
      </c>
      <c r="G854" s="61" t="str">
        <f aca="false">TEXT($C854,"0000")&amp;"-"&amp;TEXT($E854,"00")</f>
        <v>2024-09</v>
      </c>
      <c r="H854" s="61" t="str">
        <f aca="false">INDEX(Parametros!$C$71:$C$91,MATCH(TRIM(INDEX(Datos_Origen!$C$2:$C$2459,$Z854)),Parametros!$B$71:$B$91,0))</f>
        <v>Litoral</v>
      </c>
      <c r="I854" s="61" t="str">
        <f aca="false">IF(TRIM($AD854)="",INDEX(Parametros!$I$20:$I$24,MATCH($H854,Parametros!$H$20:$H$24,0)),TRIM($AD854))</f>
        <v>Rosario</v>
      </c>
      <c r="J854" s="61" t="str">
        <f aca="false">INDEX(Parametros!$C$95:$C$106,MATCH(TRIM(INDEX(Datos_Origen!$E$2:$E$2459,$Z854)),Parametros!$B$95:$B$106,0))</f>
        <v>Tienda fisica</v>
      </c>
      <c r="K854" s="61" t="str">
        <f aca="false">INDEX(Parametros!$C$48:$C$67,MATCH(TRIM(INDEX(Datos_Origen!$F$2:$F$2459,$Z854)),Parametros!$B$48:$B$67,0))</f>
        <v>Audio</v>
      </c>
      <c r="L854" s="61" t="str">
        <f aca="false">$K854&amp;" "&amp;$C854</f>
        <v>Audio 2024</v>
      </c>
      <c r="M854" s="61" t="str">
        <f aca="false">TRIM(INDEX(Datos_Origen!$G$2:$G$2459,$Z854))</f>
        <v>Auriculares BT Pro</v>
      </c>
      <c r="N854" s="61" t="str">
        <f aca="false">$M854&amp;" "&amp;$C854</f>
        <v>Auriculares BT Pro 2024</v>
      </c>
      <c r="O854" s="63" t="n">
        <f aca="false">IF(ISTEXT($AC854),VALUE($AC854),$AC854)</f>
        <v>20</v>
      </c>
      <c r="P854" s="64" t="n">
        <f aca="false">INDEX(Datos_Origen!$I$2:$I$2459,$Z854)</f>
        <v>117.6</v>
      </c>
      <c r="Q854" s="64" t="n">
        <f aca="false">INDEX(Datos_Origen!$J$2:$J$2459,$Z854)</f>
        <v>63.6</v>
      </c>
      <c r="R854" s="65" t="n">
        <f aca="false">ROUND($O854*$P854,2)</f>
        <v>2352</v>
      </c>
      <c r="S854" s="65" t="n">
        <f aca="false">ROUND($O854*$Q854,2)</f>
        <v>1272</v>
      </c>
      <c r="T854" s="65" t="n">
        <f aca="false">ROUND($R854*SUMIFS(Parametros!$E$28:$E$43,Parametros!$B$28:$B$43,$J854,Parametros!$C$28:$C$43,$C854,Parametros!$D$28:$D$43,$D854),2)</f>
        <v>30.58</v>
      </c>
      <c r="U854" s="65" t="n">
        <f aca="false">$R854-$S854-$T854</f>
        <v>1049.42</v>
      </c>
      <c r="V854" s="66" t="n">
        <f aca="false">IFERROR($U854/$R854,0)</f>
        <v>0.446181972789116</v>
      </c>
      <c r="W854" s="67" t="str">
        <f aca="false">IF(AND($V854&gt;=Parametros!$C$8,$R854&gt;=Parametros!$C$12),"Alta rentabilidad",IF(OR($V854&lt;Parametros!$C$11,$R854&lt;Parametros!$C$13),"Revisar","Estandar"))</f>
        <v>Estandar</v>
      </c>
      <c r="X854" s="67" t="str">
        <f aca="false">IF(AND($J854="E-commerce",IFERROR($T854/$R854,0)&gt;Parametros!$C$14),"Alerta","OK")</f>
        <v>OK</v>
      </c>
      <c r="Y854" s="61" t="str">
        <f aca="false">IF($R854&gt;=Parametros!$C$12,"Alto",IF($R854&lt;Parametros!$C$13,"Bajo","Medio"))</f>
        <v>Medio</v>
      </c>
      <c r="Z854" s="61" t="n">
        <v>1034</v>
      </c>
      <c r="AA854" s="61" t="str">
        <f aca="false">IF(MATCH($A854,Datos_Origen!$A$2:$A$2459,0)=$Z854,"OK","REVISAR")</f>
        <v>OK</v>
      </c>
      <c r="AB854" s="62" t="n">
        <f aca="false">INDEX(Datos_Origen!$B$2:$B$2459,$Z854)</f>
        <v>45540</v>
      </c>
      <c r="AC854" s="61" t="str">
        <f aca="false">INDEX(Datos_Origen!$H$2:$H$2459,$Z854)</f>
        <v>20</v>
      </c>
      <c r="AD854" s="61" t="str">
        <f aca="false">INDEX(Datos_Origen!$D$2:$D$2459,$Z854)&amp;""</f>
        <v/>
      </c>
    </row>
    <row r="855" customFormat="false" ht="15" hidden="false" customHeight="false" outlineLevel="0" collapsed="false">
      <c r="A855" s="61" t="n">
        <f aca="false">INDEX(Datos_Origen!$A$2:$A$2459,$Z855)</f>
        <v>854</v>
      </c>
      <c r="B855" s="62" t="n">
        <f aca="false">IF(ISNUMBER($AB855),$AB855,IF(MID($AB855,5,1)="-",DATE(VALUE(LEFT($AB855,4)),VALUE(MID($AB855,6,2)),VALUE(RIGHT($AB855,2))),DATE(VALUE(RIGHT($AB855,4)),VALUE(MID($AB855,4,2)),VALUE(LEFT($AB855,2)))))</f>
        <v>45547</v>
      </c>
      <c r="C855" s="61" t="n">
        <f aca="false">YEAR($B855)</f>
        <v>2024</v>
      </c>
      <c r="D855" s="61" t="str">
        <f aca="false">"Q"&amp;ROUNDUP(MONTH($B855)/3,0)</f>
        <v>Q3</v>
      </c>
      <c r="E855" s="61" t="n">
        <f aca="false">MONTH($B855)</f>
        <v>9</v>
      </c>
      <c r="F855" s="61" t="str">
        <f aca="false">INDEX(Parametros!$I$5:$I$16,$E855)</f>
        <v>Sep</v>
      </c>
      <c r="G855" s="61" t="str">
        <f aca="false">TEXT($C855,"0000")&amp;"-"&amp;TEXT($E855,"00")</f>
        <v>2024-09</v>
      </c>
      <c r="H855" s="61" t="str">
        <f aca="false">INDEX(Parametros!$C$71:$C$91,MATCH(TRIM(INDEX(Datos_Origen!$C$2:$C$2459,$Z855)),Parametros!$B$71:$B$91,0))</f>
        <v>Litoral</v>
      </c>
      <c r="I855" s="61" t="str">
        <f aca="false">IF(TRIM($AD855)="",INDEX(Parametros!$I$20:$I$24,MATCH($H855,Parametros!$H$20:$H$24,0)),TRIM($AD855))</f>
        <v>Rosario</v>
      </c>
      <c r="J855" s="61" t="str">
        <f aca="false">INDEX(Parametros!$C$95:$C$106,MATCH(TRIM(INDEX(Datos_Origen!$E$2:$E$2459,$Z855)),Parametros!$B$95:$B$106,0))</f>
        <v>E-commerce</v>
      </c>
      <c r="K855" s="61" t="str">
        <f aca="false">INDEX(Parametros!$C$48:$C$67,MATCH(TRIM(INDEX(Datos_Origen!$F$2:$F$2459,$Z855)),Parametros!$B$48:$B$67,0))</f>
        <v>Audio</v>
      </c>
      <c r="L855" s="61" t="str">
        <f aca="false">$K855&amp;" "&amp;$C855</f>
        <v>Audio 2024</v>
      </c>
      <c r="M855" s="61" t="str">
        <f aca="false">TRIM(INDEX(Datos_Origen!$G$2:$G$2459,$Z855))</f>
        <v>Auriculares BT Pro</v>
      </c>
      <c r="N855" s="61" t="str">
        <f aca="false">$M855&amp;" "&amp;$C855</f>
        <v>Auriculares BT Pro 2024</v>
      </c>
      <c r="O855" s="63" t="n">
        <f aca="false">IF(ISTEXT($AC855),VALUE($AC855),$AC855)</f>
        <v>8</v>
      </c>
      <c r="P855" s="64" t="n">
        <f aca="false">INDEX(Datos_Origen!$I$2:$I$2459,$Z855)</f>
        <v>117.6</v>
      </c>
      <c r="Q855" s="64" t="n">
        <f aca="false">INDEX(Datos_Origen!$J$2:$J$2459,$Z855)</f>
        <v>63.6</v>
      </c>
      <c r="R855" s="65" t="n">
        <f aca="false">ROUND($O855*$P855,2)</f>
        <v>940.8</v>
      </c>
      <c r="S855" s="65" t="n">
        <f aca="false">ROUND($O855*$Q855,2)</f>
        <v>508.8</v>
      </c>
      <c r="T855" s="65" t="n">
        <f aca="false">ROUND($R855*SUMIFS(Parametros!$E$28:$E$43,Parametros!$B$28:$B$43,$J855,Parametros!$C$28:$C$43,$C855,Parametros!$D$28:$D$43,$D855),2)</f>
        <v>43.28</v>
      </c>
      <c r="U855" s="65" t="n">
        <f aca="false">$R855-$S855-$T855</f>
        <v>388.72</v>
      </c>
      <c r="V855" s="66" t="n">
        <f aca="false">IFERROR($U855/$R855,0)</f>
        <v>0.413180272108843</v>
      </c>
      <c r="W855" s="67" t="str">
        <f aca="false">IF(AND($V855&gt;=Parametros!$C$8,$R855&gt;=Parametros!$C$12),"Alta rentabilidad",IF(OR($V855&lt;Parametros!$C$11,$R855&lt;Parametros!$C$13),"Revisar","Estandar"))</f>
        <v>Estandar</v>
      </c>
      <c r="X855" s="67" t="str">
        <f aca="false">IF(AND($J855="E-commerce",IFERROR($T855/$R855,0)&gt;Parametros!$C$14),"Alerta","OK")</f>
        <v>OK</v>
      </c>
      <c r="Y855" s="61" t="str">
        <f aca="false">IF($R855&gt;=Parametros!$C$12,"Alto",IF($R855&lt;Parametros!$C$13,"Bajo","Medio"))</f>
        <v>Medio</v>
      </c>
      <c r="Z855" s="61" t="n">
        <v>1659</v>
      </c>
      <c r="AA855" s="61" t="str">
        <f aca="false">IF(MATCH($A855,Datos_Origen!$A$2:$A$2459,0)=$Z855,"OK","REVISAR")</f>
        <v>OK</v>
      </c>
      <c r="AB855" s="62" t="n">
        <f aca="false">INDEX(Datos_Origen!$B$2:$B$2459,$Z855)</f>
        <v>45547</v>
      </c>
      <c r="AC855" s="61" t="n">
        <f aca="false">INDEX(Datos_Origen!$H$2:$H$2459,$Z855)</f>
        <v>8</v>
      </c>
      <c r="AD855" s="61" t="str">
        <f aca="false">INDEX(Datos_Origen!$D$2:$D$2459,$Z855)&amp;""</f>
        <v>Rosario</v>
      </c>
    </row>
    <row r="856" customFormat="false" ht="15" hidden="false" customHeight="false" outlineLevel="0" collapsed="false">
      <c r="A856" s="61" t="n">
        <f aca="false">INDEX(Datos_Origen!$A$2:$A$2459,$Z856)</f>
        <v>855</v>
      </c>
      <c r="B856" s="62" t="n">
        <f aca="false">IF(ISNUMBER($AB856),$AB856,IF(MID($AB856,5,1)="-",DATE(VALUE(LEFT($AB856,4)),VALUE(MID($AB856,6,2)),VALUE(RIGHT($AB856,2))),DATE(VALUE(RIGHT($AB856,4)),VALUE(MID($AB856,4,2)),VALUE(LEFT($AB856,2)))))</f>
        <v>45554</v>
      </c>
      <c r="C856" s="61" t="n">
        <f aca="false">YEAR($B856)</f>
        <v>2024</v>
      </c>
      <c r="D856" s="61" t="str">
        <f aca="false">"Q"&amp;ROUNDUP(MONTH($B856)/3,0)</f>
        <v>Q3</v>
      </c>
      <c r="E856" s="61" t="n">
        <f aca="false">MONTH($B856)</f>
        <v>9</v>
      </c>
      <c r="F856" s="61" t="str">
        <f aca="false">INDEX(Parametros!$I$5:$I$16,$E856)</f>
        <v>Sep</v>
      </c>
      <c r="G856" s="61" t="str">
        <f aca="false">TEXT($C856,"0000")&amp;"-"&amp;TEXT($E856,"00")</f>
        <v>2024-09</v>
      </c>
      <c r="H856" s="61" t="str">
        <f aca="false">INDEX(Parametros!$C$71:$C$91,MATCH(TRIM(INDEX(Datos_Origen!$C$2:$C$2459,$Z856)),Parametros!$B$71:$B$91,0))</f>
        <v>Litoral</v>
      </c>
      <c r="I856" s="61" t="str">
        <f aca="false">IF(TRIM($AD856)="",INDEX(Parametros!$I$20:$I$24,MATCH($H856,Parametros!$H$20:$H$24,0)),TRIM($AD856))</f>
        <v>Rosario</v>
      </c>
      <c r="J856" s="61" t="str">
        <f aca="false">INDEX(Parametros!$C$95:$C$106,MATCH(TRIM(INDEX(Datos_Origen!$E$2:$E$2459,$Z856)),Parametros!$B$95:$B$106,0))</f>
        <v>Tienda fisica</v>
      </c>
      <c r="K856" s="61" t="str">
        <f aca="false">INDEX(Parametros!$C$48:$C$67,MATCH(TRIM(INDEX(Datos_Origen!$F$2:$F$2459,$Z856)),Parametros!$B$48:$B$67,0))</f>
        <v>Audio</v>
      </c>
      <c r="L856" s="61" t="str">
        <f aca="false">$K856&amp;" "&amp;$C856</f>
        <v>Audio 2024</v>
      </c>
      <c r="M856" s="61" t="str">
        <f aca="false">TRIM(INDEX(Datos_Origen!$G$2:$G$2459,$Z856))</f>
        <v>Parlante Bluetooth</v>
      </c>
      <c r="N856" s="61" t="str">
        <f aca="false">$M856&amp;" "&amp;$C856</f>
        <v>Parlante Bluetooth 2024</v>
      </c>
      <c r="O856" s="63" t="n">
        <f aca="false">IF(ISTEXT($AC856),VALUE($AC856),$AC856)</f>
        <v>19</v>
      </c>
      <c r="P856" s="64" t="n">
        <f aca="false">INDEX(Datos_Origen!$I$2:$I$2459,$Z856)</f>
        <v>83.3</v>
      </c>
      <c r="Q856" s="64" t="n">
        <f aca="false">INDEX(Datos_Origen!$J$2:$J$2459,$Z856)</f>
        <v>48.03</v>
      </c>
      <c r="R856" s="65" t="n">
        <f aca="false">ROUND($O856*$P856,2)</f>
        <v>1582.7</v>
      </c>
      <c r="S856" s="65" t="n">
        <f aca="false">ROUND($O856*$Q856,2)</f>
        <v>912.57</v>
      </c>
      <c r="T856" s="65" t="n">
        <f aca="false">ROUND($R856*SUMIFS(Parametros!$E$28:$E$43,Parametros!$B$28:$B$43,$J856,Parametros!$C$28:$C$43,$C856,Parametros!$D$28:$D$43,$D856),2)</f>
        <v>20.58</v>
      </c>
      <c r="U856" s="65" t="n">
        <f aca="false">$R856-$S856-$T856</f>
        <v>649.55</v>
      </c>
      <c r="V856" s="66" t="n">
        <f aca="false">IFERROR($U856/$R856,0)</f>
        <v>0.410406267770266</v>
      </c>
      <c r="W856" s="67" t="str">
        <f aca="false">IF(AND($V856&gt;=Parametros!$C$8,$R856&gt;=Parametros!$C$12),"Alta rentabilidad",IF(OR($V856&lt;Parametros!$C$11,$R856&lt;Parametros!$C$13),"Revisar","Estandar"))</f>
        <v>Estandar</v>
      </c>
      <c r="X856" s="67" t="str">
        <f aca="false">IF(AND($J856="E-commerce",IFERROR($T856/$R856,0)&gt;Parametros!$C$14),"Alerta","OK")</f>
        <v>OK</v>
      </c>
      <c r="Y856" s="61" t="str">
        <f aca="false">IF($R856&gt;=Parametros!$C$12,"Alto",IF($R856&lt;Parametros!$C$13,"Bajo","Medio"))</f>
        <v>Medio</v>
      </c>
      <c r="Z856" s="61" t="n">
        <v>477</v>
      </c>
      <c r="AA856" s="61" t="str">
        <f aca="false">IF(MATCH($A856,Datos_Origen!$A$2:$A$2459,0)=$Z856,"OK","REVISAR")</f>
        <v>OK</v>
      </c>
      <c r="AB856" s="62" t="n">
        <f aca="false">INDEX(Datos_Origen!$B$2:$B$2459,$Z856)</f>
        <v>45554</v>
      </c>
      <c r="AC856" s="61" t="n">
        <f aca="false">INDEX(Datos_Origen!$H$2:$H$2459,$Z856)</f>
        <v>19</v>
      </c>
      <c r="AD856" s="61" t="str">
        <f aca="false">INDEX(Datos_Origen!$D$2:$D$2459,$Z856)&amp;""</f>
        <v>Rosario</v>
      </c>
    </row>
    <row r="857" customFormat="false" ht="15" hidden="false" customHeight="false" outlineLevel="0" collapsed="false">
      <c r="A857" s="61" t="n">
        <f aca="false">INDEX(Datos_Origen!$A$2:$A$2459,$Z857)</f>
        <v>856</v>
      </c>
      <c r="B857" s="62" t="n">
        <f aca="false">IF(ISNUMBER($AB857),$AB857,IF(MID($AB857,5,1)="-",DATE(VALUE(LEFT($AB857,4)),VALUE(MID($AB857,6,2)),VALUE(RIGHT($AB857,2))),DATE(VALUE(RIGHT($AB857,4)),VALUE(MID($AB857,4,2)),VALUE(LEFT($AB857,2)))))</f>
        <v>45561</v>
      </c>
      <c r="C857" s="61" t="n">
        <f aca="false">YEAR($B857)</f>
        <v>2024</v>
      </c>
      <c r="D857" s="61" t="str">
        <f aca="false">"Q"&amp;ROUNDUP(MONTH($B857)/3,0)</f>
        <v>Q3</v>
      </c>
      <c r="E857" s="61" t="n">
        <f aca="false">MONTH($B857)</f>
        <v>9</v>
      </c>
      <c r="F857" s="61" t="str">
        <f aca="false">INDEX(Parametros!$I$5:$I$16,$E857)</f>
        <v>Sep</v>
      </c>
      <c r="G857" s="61" t="str">
        <f aca="false">TEXT($C857,"0000")&amp;"-"&amp;TEXT($E857,"00")</f>
        <v>2024-09</v>
      </c>
      <c r="H857" s="61" t="str">
        <f aca="false">INDEX(Parametros!$C$71:$C$91,MATCH(TRIM(INDEX(Datos_Origen!$C$2:$C$2459,$Z857)),Parametros!$B$71:$B$91,0))</f>
        <v>Litoral</v>
      </c>
      <c r="I857" s="61" t="str">
        <f aca="false">IF(TRIM($AD857)="",INDEX(Parametros!$I$20:$I$24,MATCH($H857,Parametros!$H$20:$H$24,0)),TRIM($AD857))</f>
        <v>Rosario</v>
      </c>
      <c r="J857" s="61" t="str">
        <f aca="false">INDEX(Parametros!$C$95:$C$106,MATCH(TRIM(INDEX(Datos_Origen!$E$2:$E$2459,$Z857)),Parametros!$B$95:$B$106,0))</f>
        <v>E-commerce</v>
      </c>
      <c r="K857" s="61" t="str">
        <f aca="false">INDEX(Parametros!$C$48:$C$67,MATCH(TRIM(INDEX(Datos_Origen!$F$2:$F$2459,$Z857)),Parametros!$B$48:$B$67,0))</f>
        <v>Audio</v>
      </c>
      <c r="L857" s="61" t="str">
        <f aca="false">$K857&amp;" "&amp;$C857</f>
        <v>Audio 2024</v>
      </c>
      <c r="M857" s="61" t="str">
        <f aca="false">TRIM(INDEX(Datos_Origen!$G$2:$G$2459,$Z857))</f>
        <v>Parlante Bluetooth</v>
      </c>
      <c r="N857" s="61" t="str">
        <f aca="false">$M857&amp;" "&amp;$C857</f>
        <v>Parlante Bluetooth 2024</v>
      </c>
      <c r="O857" s="63" t="n">
        <f aca="false">IF(ISTEXT($AC857),VALUE($AC857),$AC857)</f>
        <v>8</v>
      </c>
      <c r="P857" s="64" t="n">
        <f aca="false">INDEX(Datos_Origen!$I$2:$I$2459,$Z857)</f>
        <v>83.3</v>
      </c>
      <c r="Q857" s="64" t="n">
        <f aca="false">INDEX(Datos_Origen!$J$2:$J$2459,$Z857)</f>
        <v>48.03</v>
      </c>
      <c r="R857" s="65" t="n">
        <f aca="false">ROUND($O857*$P857,2)</f>
        <v>666.4</v>
      </c>
      <c r="S857" s="65" t="n">
        <f aca="false">ROUND($O857*$Q857,2)</f>
        <v>384.24</v>
      </c>
      <c r="T857" s="65" t="n">
        <f aca="false">ROUND($R857*SUMIFS(Parametros!$E$28:$E$43,Parametros!$B$28:$B$43,$J857,Parametros!$C$28:$C$43,$C857,Parametros!$D$28:$D$43,$D857),2)</f>
        <v>30.65</v>
      </c>
      <c r="U857" s="65" t="n">
        <f aca="false">$R857-$S857-$T857</f>
        <v>251.51</v>
      </c>
      <c r="V857" s="66" t="n">
        <f aca="false">IFERROR($U857/$R857,0)</f>
        <v>0.377415966386555</v>
      </c>
      <c r="W857" s="67" t="str">
        <f aca="false">IF(AND($V857&gt;=Parametros!$C$8,$R857&gt;=Parametros!$C$12),"Alta rentabilidad",IF(OR($V857&lt;Parametros!$C$11,$R857&lt;Parametros!$C$13),"Revisar","Estandar"))</f>
        <v>Estandar</v>
      </c>
      <c r="X857" s="67" t="str">
        <f aca="false">IF(AND($J857="E-commerce",IFERROR($T857/$R857,0)&gt;Parametros!$C$14),"Alerta","OK")</f>
        <v>OK</v>
      </c>
      <c r="Y857" s="61" t="str">
        <f aca="false">IF($R857&gt;=Parametros!$C$12,"Alto",IF($R857&lt;Parametros!$C$13,"Bajo","Medio"))</f>
        <v>Medio</v>
      </c>
      <c r="Z857" s="61" t="n">
        <v>992</v>
      </c>
      <c r="AA857" s="61" t="str">
        <f aca="false">IF(MATCH($A857,Datos_Origen!$A$2:$A$2459,0)=$Z857,"OK","REVISAR")</f>
        <v>OK</v>
      </c>
      <c r="AB857" s="62" t="n">
        <f aca="false">INDEX(Datos_Origen!$B$2:$B$2459,$Z857)</f>
        <v>45561</v>
      </c>
      <c r="AC857" s="61" t="n">
        <f aca="false">INDEX(Datos_Origen!$H$2:$H$2459,$Z857)</f>
        <v>8</v>
      </c>
      <c r="AD857" s="61" t="str">
        <f aca="false">INDEX(Datos_Origen!$D$2:$D$2459,$Z857)&amp;""</f>
        <v>Rosario</v>
      </c>
    </row>
    <row r="858" customFormat="false" ht="15" hidden="false" customHeight="false" outlineLevel="0" collapsed="false">
      <c r="A858" s="61" t="n">
        <f aca="false">INDEX(Datos_Origen!$A$2:$A$2459,$Z858)</f>
        <v>857</v>
      </c>
      <c r="B858" s="62" t="n">
        <f aca="false">IF(ISNUMBER($AB858),$AB858,IF(MID($AB858,5,1)="-",DATE(VALUE(LEFT($AB858,4)),VALUE(MID($AB858,6,2)),VALUE(RIGHT($AB858,2))),DATE(VALUE(RIGHT($AB858,4)),VALUE(MID($AB858,4,2)),VALUE(LEFT($AB858,2)))))</f>
        <v>45541</v>
      </c>
      <c r="C858" s="61" t="n">
        <f aca="false">YEAR($B858)</f>
        <v>2024</v>
      </c>
      <c r="D858" s="61" t="str">
        <f aca="false">"Q"&amp;ROUNDUP(MONTH($B858)/3,0)</f>
        <v>Q3</v>
      </c>
      <c r="E858" s="61" t="n">
        <f aca="false">MONTH($B858)</f>
        <v>9</v>
      </c>
      <c r="F858" s="61" t="str">
        <f aca="false">INDEX(Parametros!$I$5:$I$16,$E858)</f>
        <v>Sep</v>
      </c>
      <c r="G858" s="61" t="str">
        <f aca="false">TEXT($C858,"0000")&amp;"-"&amp;TEXT($E858,"00")</f>
        <v>2024-09</v>
      </c>
      <c r="H858" s="61" t="str">
        <f aca="false">INDEX(Parametros!$C$71:$C$91,MATCH(TRIM(INDEX(Datos_Origen!$C$2:$C$2459,$Z858)),Parametros!$B$71:$B$91,0))</f>
        <v>Litoral</v>
      </c>
      <c r="I858" s="61" t="str">
        <f aca="false">IF(TRIM($AD858)="",INDEX(Parametros!$I$20:$I$24,MATCH($H858,Parametros!$H$20:$H$24,0)),TRIM($AD858))</f>
        <v>Rosario</v>
      </c>
      <c r="J858" s="61" t="str">
        <f aca="false">INDEX(Parametros!$C$95:$C$106,MATCH(TRIM(INDEX(Datos_Origen!$E$2:$E$2459,$Z858)),Parametros!$B$95:$B$106,0))</f>
        <v>Tienda fisica</v>
      </c>
      <c r="K858" s="61" t="str">
        <f aca="false">INDEX(Parametros!$C$48:$C$67,MATCH(TRIM(INDEX(Datos_Origen!$F$2:$F$2459,$Z858)),Parametros!$B$48:$B$67,0))</f>
        <v>Almacenamiento</v>
      </c>
      <c r="L858" s="61" t="str">
        <f aca="false">$K858&amp;" "&amp;$C858</f>
        <v>Almacenamiento 2024</v>
      </c>
      <c r="M858" s="61" t="str">
        <f aca="false">TRIM(INDEX(Datos_Origen!$G$2:$G$2459,$Z858))</f>
        <v>SSD Externo 1TB</v>
      </c>
      <c r="N858" s="61" t="str">
        <f aca="false">$M858&amp;" "&amp;$C858</f>
        <v>SSD Externo 1TB 2024</v>
      </c>
      <c r="O858" s="63" t="n">
        <f aca="false">IF(ISTEXT($AC858),VALUE($AC858),$AC858)</f>
        <v>21</v>
      </c>
      <c r="P858" s="64" t="n">
        <f aca="false">INDEX(Datos_Origen!$I$2:$I$2459,$Z858)</f>
        <v>127.4</v>
      </c>
      <c r="Q858" s="64" t="n">
        <f aca="false">INDEX(Datos_Origen!$J$2:$J$2459,$Z858)</f>
        <v>76.05</v>
      </c>
      <c r="R858" s="65" t="n">
        <f aca="false">ROUND($O858*$P858,2)</f>
        <v>2675.4</v>
      </c>
      <c r="S858" s="65" t="n">
        <f aca="false">ROUND($O858*$Q858,2)</f>
        <v>1597.05</v>
      </c>
      <c r="T858" s="65" t="n">
        <f aca="false">ROUND($R858*SUMIFS(Parametros!$E$28:$E$43,Parametros!$B$28:$B$43,$J858,Parametros!$C$28:$C$43,$C858,Parametros!$D$28:$D$43,$D858),2)</f>
        <v>34.78</v>
      </c>
      <c r="U858" s="65" t="n">
        <f aca="false">$R858-$S858-$T858</f>
        <v>1043.57</v>
      </c>
      <c r="V858" s="66" t="n">
        <f aca="false">IFERROR($U858/$R858,0)</f>
        <v>0.390061299244973</v>
      </c>
      <c r="W858" s="67" t="str">
        <f aca="false">IF(AND($V858&gt;=Parametros!$C$8,$R858&gt;=Parametros!$C$12),"Alta rentabilidad",IF(OR($V858&lt;Parametros!$C$11,$R858&lt;Parametros!$C$13),"Revisar","Estandar"))</f>
        <v>Estandar</v>
      </c>
      <c r="X858" s="67" t="str">
        <f aca="false">IF(AND($J858="E-commerce",IFERROR($T858/$R858,0)&gt;Parametros!$C$14),"Alerta","OK")</f>
        <v>OK</v>
      </c>
      <c r="Y858" s="61" t="str">
        <f aca="false">IF($R858&gt;=Parametros!$C$12,"Alto",IF($R858&lt;Parametros!$C$13,"Bajo","Medio"))</f>
        <v>Medio</v>
      </c>
      <c r="Z858" s="61" t="n">
        <v>32</v>
      </c>
      <c r="AA858" s="61" t="str">
        <f aca="false">IF(MATCH($A858,Datos_Origen!$A$2:$A$2459,0)=$Z858,"OK","REVISAR")</f>
        <v>OK</v>
      </c>
      <c r="AB858" s="61" t="str">
        <f aca="false">INDEX(Datos_Origen!$B$2:$B$2459,$Z858)</f>
        <v>06/09/2024</v>
      </c>
      <c r="AC858" s="61" t="n">
        <f aca="false">INDEX(Datos_Origen!$H$2:$H$2459,$Z858)</f>
        <v>21</v>
      </c>
      <c r="AD858" s="61" t="str">
        <f aca="false">INDEX(Datos_Origen!$D$2:$D$2459,$Z858)&amp;""</f>
        <v>Rosario</v>
      </c>
    </row>
    <row r="859" customFormat="false" ht="15" hidden="false" customHeight="false" outlineLevel="0" collapsed="false">
      <c r="A859" s="61" t="n">
        <f aca="false">INDEX(Datos_Origen!$A$2:$A$2459,$Z859)</f>
        <v>858</v>
      </c>
      <c r="B859" s="62" t="n">
        <f aca="false">IF(ISNUMBER($AB859),$AB859,IF(MID($AB859,5,1)="-",DATE(VALUE(LEFT($AB859,4)),VALUE(MID($AB859,6,2)),VALUE(RIGHT($AB859,2))),DATE(VALUE(RIGHT($AB859,4)),VALUE(MID($AB859,4,2)),VALUE(LEFT($AB859,2)))))</f>
        <v>45548</v>
      </c>
      <c r="C859" s="61" t="n">
        <f aca="false">YEAR($B859)</f>
        <v>2024</v>
      </c>
      <c r="D859" s="61" t="str">
        <f aca="false">"Q"&amp;ROUNDUP(MONTH($B859)/3,0)</f>
        <v>Q3</v>
      </c>
      <c r="E859" s="61" t="n">
        <f aca="false">MONTH($B859)</f>
        <v>9</v>
      </c>
      <c r="F859" s="61" t="str">
        <f aca="false">INDEX(Parametros!$I$5:$I$16,$E859)</f>
        <v>Sep</v>
      </c>
      <c r="G859" s="61" t="str">
        <f aca="false">TEXT($C859,"0000")&amp;"-"&amp;TEXT($E859,"00")</f>
        <v>2024-09</v>
      </c>
      <c r="H859" s="61" t="str">
        <f aca="false">INDEX(Parametros!$C$71:$C$91,MATCH(TRIM(INDEX(Datos_Origen!$C$2:$C$2459,$Z859)),Parametros!$B$71:$B$91,0))</f>
        <v>Litoral</v>
      </c>
      <c r="I859" s="61" t="str">
        <f aca="false">IF(TRIM($AD859)="",INDEX(Parametros!$I$20:$I$24,MATCH($H859,Parametros!$H$20:$H$24,0)),TRIM($AD859))</f>
        <v>Rosario</v>
      </c>
      <c r="J859" s="61" t="str">
        <f aca="false">INDEX(Parametros!$C$95:$C$106,MATCH(TRIM(INDEX(Datos_Origen!$E$2:$E$2459,$Z859)),Parametros!$B$95:$B$106,0))</f>
        <v>E-commerce</v>
      </c>
      <c r="K859" s="61" t="str">
        <f aca="false">INDEX(Parametros!$C$48:$C$67,MATCH(TRIM(INDEX(Datos_Origen!$F$2:$F$2459,$Z859)),Parametros!$B$48:$B$67,0))</f>
        <v>Almacenamiento</v>
      </c>
      <c r="L859" s="61" t="str">
        <f aca="false">$K859&amp;" "&amp;$C859</f>
        <v>Almacenamiento 2024</v>
      </c>
      <c r="M859" s="61" t="str">
        <f aca="false">TRIM(INDEX(Datos_Origen!$G$2:$G$2459,$Z859))</f>
        <v>SSD Externo 1TB</v>
      </c>
      <c r="N859" s="61" t="str">
        <f aca="false">$M859&amp;" "&amp;$C859</f>
        <v>SSD Externo 1TB 2024</v>
      </c>
      <c r="O859" s="63" t="n">
        <f aca="false">IF(ISTEXT($AC859),VALUE($AC859),$AC859)</f>
        <v>10</v>
      </c>
      <c r="P859" s="64" t="n">
        <f aca="false">INDEX(Datos_Origen!$I$2:$I$2459,$Z859)</f>
        <v>127.4</v>
      </c>
      <c r="Q859" s="64" t="n">
        <f aca="false">INDEX(Datos_Origen!$J$2:$J$2459,$Z859)</f>
        <v>76.05</v>
      </c>
      <c r="R859" s="65" t="n">
        <f aca="false">ROUND($O859*$P859,2)</f>
        <v>1274</v>
      </c>
      <c r="S859" s="65" t="n">
        <f aca="false">ROUND($O859*$Q859,2)</f>
        <v>760.5</v>
      </c>
      <c r="T859" s="65" t="n">
        <f aca="false">ROUND($R859*SUMIFS(Parametros!$E$28:$E$43,Parametros!$B$28:$B$43,$J859,Parametros!$C$28:$C$43,$C859,Parametros!$D$28:$D$43,$D859),2)</f>
        <v>58.6</v>
      </c>
      <c r="U859" s="65" t="n">
        <f aca="false">$R859-$S859-$T859</f>
        <v>454.9</v>
      </c>
      <c r="V859" s="66" t="n">
        <f aca="false">IFERROR($U859/$R859,0)</f>
        <v>0.357064364207221</v>
      </c>
      <c r="W859" s="67" t="str">
        <f aca="false">IF(AND($V859&gt;=Parametros!$C$8,$R859&gt;=Parametros!$C$12),"Alta rentabilidad",IF(OR($V859&lt;Parametros!$C$11,$R859&lt;Parametros!$C$13),"Revisar","Estandar"))</f>
        <v>Estandar</v>
      </c>
      <c r="X859" s="67" t="str">
        <f aca="false">IF(AND($J859="E-commerce",IFERROR($T859/$R859,0)&gt;Parametros!$C$14),"Alerta","OK")</f>
        <v>OK</v>
      </c>
      <c r="Y859" s="61" t="str">
        <f aca="false">IF($R859&gt;=Parametros!$C$12,"Alto",IF($R859&lt;Parametros!$C$13,"Bajo","Medio"))</f>
        <v>Medio</v>
      </c>
      <c r="Z859" s="61" t="n">
        <v>1979</v>
      </c>
      <c r="AA859" s="61" t="str">
        <f aca="false">IF(MATCH($A859,Datos_Origen!$A$2:$A$2459,0)=$Z859,"OK","REVISAR")</f>
        <v>OK</v>
      </c>
      <c r="AB859" s="62" t="n">
        <f aca="false">INDEX(Datos_Origen!$B$2:$B$2459,$Z859)</f>
        <v>45548</v>
      </c>
      <c r="AC859" s="61" t="n">
        <f aca="false">INDEX(Datos_Origen!$H$2:$H$2459,$Z859)</f>
        <v>10</v>
      </c>
      <c r="AD859" s="61" t="str">
        <f aca="false">INDEX(Datos_Origen!$D$2:$D$2459,$Z859)&amp;""</f>
        <v>Rosario</v>
      </c>
    </row>
    <row r="860" customFormat="false" ht="15" hidden="false" customHeight="false" outlineLevel="0" collapsed="false">
      <c r="A860" s="61" t="n">
        <f aca="false">INDEX(Datos_Origen!$A$2:$A$2459,$Z860)</f>
        <v>859</v>
      </c>
      <c r="B860" s="62" t="n">
        <f aca="false">IF(ISNUMBER($AB860),$AB860,IF(MID($AB860,5,1)="-",DATE(VALUE(LEFT($AB860,4)),VALUE(MID($AB860,6,2)),VALUE(RIGHT($AB860,2))),DATE(VALUE(RIGHT($AB860,4)),VALUE(MID($AB860,4,2)),VALUE(LEFT($AB860,2)))))</f>
        <v>45555</v>
      </c>
      <c r="C860" s="61" t="n">
        <f aca="false">YEAR($B860)</f>
        <v>2024</v>
      </c>
      <c r="D860" s="61" t="str">
        <f aca="false">"Q"&amp;ROUNDUP(MONTH($B860)/3,0)</f>
        <v>Q3</v>
      </c>
      <c r="E860" s="61" t="n">
        <f aca="false">MONTH($B860)</f>
        <v>9</v>
      </c>
      <c r="F860" s="61" t="str">
        <f aca="false">INDEX(Parametros!$I$5:$I$16,$E860)</f>
        <v>Sep</v>
      </c>
      <c r="G860" s="61" t="str">
        <f aca="false">TEXT($C860,"0000")&amp;"-"&amp;TEXT($E860,"00")</f>
        <v>2024-09</v>
      </c>
      <c r="H860" s="61" t="str">
        <f aca="false">INDEX(Parametros!$C$71:$C$91,MATCH(TRIM(INDEX(Datos_Origen!$C$2:$C$2459,$Z860)),Parametros!$B$71:$B$91,0))</f>
        <v>Litoral</v>
      </c>
      <c r="I860" s="61" t="str">
        <f aca="false">IF(TRIM($AD860)="",INDEX(Parametros!$I$20:$I$24,MATCH($H860,Parametros!$H$20:$H$24,0)),TRIM($AD860))</f>
        <v>Rosario</v>
      </c>
      <c r="J860" s="61" t="str">
        <f aca="false">INDEX(Parametros!$C$95:$C$106,MATCH(TRIM(INDEX(Datos_Origen!$E$2:$E$2459,$Z860)),Parametros!$B$95:$B$106,0))</f>
        <v>Tienda fisica</v>
      </c>
      <c r="K860" s="61" t="str">
        <f aca="false">INDEX(Parametros!$C$48:$C$67,MATCH(TRIM(INDEX(Datos_Origen!$F$2:$F$2459,$Z860)),Parametros!$B$48:$B$67,0))</f>
        <v>Almacenamiento</v>
      </c>
      <c r="L860" s="61" t="str">
        <f aca="false">$K860&amp;" "&amp;$C860</f>
        <v>Almacenamiento 2024</v>
      </c>
      <c r="M860" s="61" t="str">
        <f aca="false">TRIM(INDEX(Datos_Origen!$G$2:$G$2459,$Z860))</f>
        <v>Pendrive 256GB</v>
      </c>
      <c r="N860" s="61" t="str">
        <f aca="false">$M860&amp;" "&amp;$C860</f>
        <v>Pendrive 256GB 2024</v>
      </c>
      <c r="O860" s="63" t="n">
        <f aca="false">IF(ISTEXT($AC860),VALUE($AC860),$AC860)</f>
        <v>28</v>
      </c>
      <c r="P860" s="64" t="n">
        <f aca="false">INDEX(Datos_Origen!$I$2:$I$2459,$Z860)</f>
        <v>34.3</v>
      </c>
      <c r="Q860" s="64" t="n">
        <f aca="false">INDEX(Datos_Origen!$J$2:$J$2459,$Z860)</f>
        <v>17.85</v>
      </c>
      <c r="R860" s="65" t="n">
        <f aca="false">ROUND($O860*$P860,2)</f>
        <v>960.4</v>
      </c>
      <c r="S860" s="65" t="n">
        <f aca="false">ROUND($O860*$Q860,2)</f>
        <v>499.8</v>
      </c>
      <c r="T860" s="65" t="n">
        <f aca="false">ROUND($R860*SUMIFS(Parametros!$E$28:$E$43,Parametros!$B$28:$B$43,$J860,Parametros!$C$28:$C$43,$C860,Parametros!$D$28:$D$43,$D860),2)</f>
        <v>12.49</v>
      </c>
      <c r="U860" s="65" t="n">
        <f aca="false">$R860-$S860-$T860</f>
        <v>448.11</v>
      </c>
      <c r="V860" s="66" t="n">
        <f aca="false">IFERROR($U860/$R860,0)</f>
        <v>0.46658683881716</v>
      </c>
      <c r="W860" s="67" t="str">
        <f aca="false">IF(AND($V860&gt;=Parametros!$C$8,$R860&gt;=Parametros!$C$12),"Alta rentabilidad",IF(OR($V860&lt;Parametros!$C$11,$R860&lt;Parametros!$C$13),"Revisar","Estandar"))</f>
        <v>Estandar</v>
      </c>
      <c r="X860" s="67" t="str">
        <f aca="false">IF(AND($J860="E-commerce",IFERROR($T860/$R860,0)&gt;Parametros!$C$14),"Alerta","OK")</f>
        <v>OK</v>
      </c>
      <c r="Y860" s="61" t="str">
        <f aca="false">IF($R860&gt;=Parametros!$C$12,"Alto",IF($R860&lt;Parametros!$C$13,"Bajo","Medio"))</f>
        <v>Medio</v>
      </c>
      <c r="Z860" s="61" t="n">
        <v>833</v>
      </c>
      <c r="AA860" s="61" t="str">
        <f aca="false">IF(MATCH($A860,Datos_Origen!$A$2:$A$2459,0)=$Z860,"OK","REVISAR")</f>
        <v>OK</v>
      </c>
      <c r="AB860" s="62" t="n">
        <f aca="false">INDEX(Datos_Origen!$B$2:$B$2459,$Z860)</f>
        <v>45555</v>
      </c>
      <c r="AC860" s="61" t="n">
        <f aca="false">INDEX(Datos_Origen!$H$2:$H$2459,$Z860)</f>
        <v>28</v>
      </c>
      <c r="AD860" s="61" t="str">
        <f aca="false">INDEX(Datos_Origen!$D$2:$D$2459,$Z860)&amp;""</f>
        <v>Rosario</v>
      </c>
    </row>
    <row r="861" customFormat="false" ht="15" hidden="false" customHeight="false" outlineLevel="0" collapsed="false">
      <c r="A861" s="61" t="n">
        <f aca="false">INDEX(Datos_Origen!$A$2:$A$2459,$Z861)</f>
        <v>860</v>
      </c>
      <c r="B861" s="62" t="n">
        <f aca="false">IF(ISNUMBER($AB861),$AB861,IF(MID($AB861,5,1)="-",DATE(VALUE(LEFT($AB861,4)),VALUE(MID($AB861,6,2)),VALUE(RIGHT($AB861,2))),DATE(VALUE(RIGHT($AB861,4)),VALUE(MID($AB861,4,2)),VALUE(LEFT($AB861,2)))))</f>
        <v>45562</v>
      </c>
      <c r="C861" s="61" t="n">
        <f aca="false">YEAR($B861)</f>
        <v>2024</v>
      </c>
      <c r="D861" s="61" t="str">
        <f aca="false">"Q"&amp;ROUNDUP(MONTH($B861)/3,0)</f>
        <v>Q3</v>
      </c>
      <c r="E861" s="61" t="n">
        <f aca="false">MONTH($B861)</f>
        <v>9</v>
      </c>
      <c r="F861" s="61" t="str">
        <f aca="false">INDEX(Parametros!$I$5:$I$16,$E861)</f>
        <v>Sep</v>
      </c>
      <c r="G861" s="61" t="str">
        <f aca="false">TEXT($C861,"0000")&amp;"-"&amp;TEXT($E861,"00")</f>
        <v>2024-09</v>
      </c>
      <c r="H861" s="61" t="str">
        <f aca="false">INDEX(Parametros!$C$71:$C$91,MATCH(TRIM(INDEX(Datos_Origen!$C$2:$C$2459,$Z861)),Parametros!$B$71:$B$91,0))</f>
        <v>Litoral</v>
      </c>
      <c r="I861" s="61" t="str">
        <f aca="false">IF(TRIM($AD861)="",INDEX(Parametros!$I$20:$I$24,MATCH($H861,Parametros!$H$20:$H$24,0)),TRIM($AD861))</f>
        <v>Rosario</v>
      </c>
      <c r="J861" s="61" t="str">
        <f aca="false">INDEX(Parametros!$C$95:$C$106,MATCH(TRIM(INDEX(Datos_Origen!$E$2:$E$2459,$Z861)),Parametros!$B$95:$B$106,0))</f>
        <v>E-commerce</v>
      </c>
      <c r="K861" s="61" t="str">
        <f aca="false">INDEX(Parametros!$C$48:$C$67,MATCH(TRIM(INDEX(Datos_Origen!$F$2:$F$2459,$Z861)),Parametros!$B$48:$B$67,0))</f>
        <v>Almacenamiento</v>
      </c>
      <c r="L861" s="61" t="str">
        <f aca="false">$K861&amp;" "&amp;$C861</f>
        <v>Almacenamiento 2024</v>
      </c>
      <c r="M861" s="61" t="str">
        <f aca="false">TRIM(INDEX(Datos_Origen!$G$2:$G$2459,$Z861))</f>
        <v>Pendrive 256GB</v>
      </c>
      <c r="N861" s="61" t="str">
        <f aca="false">$M861&amp;" "&amp;$C861</f>
        <v>Pendrive 256GB 2024</v>
      </c>
      <c r="O861" s="63" t="n">
        <f aca="false">IF(ISTEXT($AC861),VALUE($AC861),$AC861)</f>
        <v>11</v>
      </c>
      <c r="P861" s="64" t="n">
        <f aca="false">INDEX(Datos_Origen!$I$2:$I$2459,$Z861)</f>
        <v>34.3</v>
      </c>
      <c r="Q861" s="64" t="n">
        <f aca="false">INDEX(Datos_Origen!$J$2:$J$2459,$Z861)</f>
        <v>17.85</v>
      </c>
      <c r="R861" s="65" t="n">
        <f aca="false">ROUND($O861*$P861,2)</f>
        <v>377.3</v>
      </c>
      <c r="S861" s="65" t="n">
        <f aca="false">ROUND($O861*$Q861,2)</f>
        <v>196.35</v>
      </c>
      <c r="T861" s="65" t="n">
        <f aca="false">ROUND($R861*SUMIFS(Parametros!$E$28:$E$43,Parametros!$B$28:$B$43,$J861,Parametros!$C$28:$C$43,$C861,Parametros!$D$28:$D$43,$D861),2)</f>
        <v>17.36</v>
      </c>
      <c r="U861" s="65" t="n">
        <f aca="false">$R861-$S861-$T861</f>
        <v>163.59</v>
      </c>
      <c r="V861" s="66" t="n">
        <f aca="false">IFERROR($U861/$R861,0)</f>
        <v>0.433580705009277</v>
      </c>
      <c r="W861" s="67" t="str">
        <f aca="false">IF(AND($V861&gt;=Parametros!$C$8,$R861&gt;=Parametros!$C$12),"Alta rentabilidad",IF(OR($V861&lt;Parametros!$C$11,$R861&lt;Parametros!$C$13),"Revisar","Estandar"))</f>
        <v>Estandar</v>
      </c>
      <c r="X861" s="67" t="str">
        <f aca="false">IF(AND($J861="E-commerce",IFERROR($T861/$R861,0)&gt;Parametros!$C$14),"Alerta","OK")</f>
        <v>OK</v>
      </c>
      <c r="Y861" s="61" t="str">
        <f aca="false">IF($R861&gt;=Parametros!$C$12,"Alto",IF($R861&lt;Parametros!$C$13,"Bajo","Medio"))</f>
        <v>Medio</v>
      </c>
      <c r="Z861" s="61" t="n">
        <v>731</v>
      </c>
      <c r="AA861" s="61" t="str">
        <f aca="false">IF(MATCH($A861,Datos_Origen!$A$2:$A$2459,0)=$Z861,"OK","REVISAR")</f>
        <v>OK</v>
      </c>
      <c r="AB861" s="61" t="str">
        <f aca="false">INDEX(Datos_Origen!$B$2:$B$2459,$Z861)</f>
        <v>27/09/2024</v>
      </c>
      <c r="AC861" s="61" t="n">
        <f aca="false">INDEX(Datos_Origen!$H$2:$H$2459,$Z861)</f>
        <v>11</v>
      </c>
      <c r="AD861" s="61" t="str">
        <f aca="false">INDEX(Datos_Origen!$D$2:$D$2459,$Z861)&amp;""</f>
        <v>Rosario</v>
      </c>
    </row>
    <row r="862" customFormat="false" ht="15" hidden="false" customHeight="false" outlineLevel="0" collapsed="false">
      <c r="A862" s="61" t="n">
        <f aca="false">INDEX(Datos_Origen!$A$2:$A$2459,$Z862)</f>
        <v>861</v>
      </c>
      <c r="B862" s="62" t="n">
        <f aca="false">IF(ISNUMBER($AB862),$AB862,IF(MID($AB862,5,1)="-",DATE(VALUE(LEFT($AB862,4)),VALUE(MID($AB862,6,2)),VALUE(RIGHT($AB862,2))),DATE(VALUE(RIGHT($AB862,4)),VALUE(MID($AB862,4,2)),VALUE(LEFT($AB862,2)))))</f>
        <v>45542</v>
      </c>
      <c r="C862" s="61" t="n">
        <f aca="false">YEAR($B862)</f>
        <v>2024</v>
      </c>
      <c r="D862" s="61" t="str">
        <f aca="false">"Q"&amp;ROUNDUP(MONTH($B862)/3,0)</f>
        <v>Q3</v>
      </c>
      <c r="E862" s="61" t="n">
        <f aca="false">MONTH($B862)</f>
        <v>9</v>
      </c>
      <c r="F862" s="61" t="str">
        <f aca="false">INDEX(Parametros!$I$5:$I$16,$E862)</f>
        <v>Sep</v>
      </c>
      <c r="G862" s="61" t="str">
        <f aca="false">TEXT($C862,"0000")&amp;"-"&amp;TEXT($E862,"00")</f>
        <v>2024-09</v>
      </c>
      <c r="H862" s="61" t="str">
        <f aca="false">INDEX(Parametros!$C$71:$C$91,MATCH(TRIM(INDEX(Datos_Origen!$C$2:$C$2459,$Z862)),Parametros!$B$71:$B$91,0))</f>
        <v>Cuyo</v>
      </c>
      <c r="I862" s="61" t="str">
        <f aca="false">IF(TRIM($AD862)="",INDEX(Parametros!$I$20:$I$24,MATCH($H862,Parametros!$H$20:$H$24,0)),TRIM($AD862))</f>
        <v>Mendoza</v>
      </c>
      <c r="J862" s="61" t="str">
        <f aca="false">INDEX(Parametros!$C$95:$C$106,MATCH(TRIM(INDEX(Datos_Origen!$E$2:$E$2459,$Z862)),Parametros!$B$95:$B$106,0))</f>
        <v>Tienda fisica</v>
      </c>
      <c r="K862" s="61" t="str">
        <f aca="false">INDEX(Parametros!$C$48:$C$67,MATCH(TRIM(INDEX(Datos_Origen!$F$2:$F$2459,$Z862)),Parametros!$B$48:$B$67,0))</f>
        <v>Computacion</v>
      </c>
      <c r="L862" s="61" t="str">
        <f aca="false">$K862&amp;" "&amp;$C862</f>
        <v>Computacion 2024</v>
      </c>
      <c r="M862" s="61" t="str">
        <f aca="false">TRIM(INDEX(Datos_Origen!$G$2:$G$2459,$Z862))</f>
        <v>Laptop Pro 15</v>
      </c>
      <c r="N862" s="61" t="str">
        <f aca="false">$M862&amp;" "&amp;$C862</f>
        <v>Laptop Pro 15 2024</v>
      </c>
      <c r="O862" s="63" t="n">
        <f aca="false">IF(ISTEXT($AC862),VALUE($AC862),$AC862)</f>
        <v>6</v>
      </c>
      <c r="P862" s="64" t="n">
        <f aca="false">INDEX(Datos_Origen!$I$2:$I$2459,$Z862)</f>
        <v>1176</v>
      </c>
      <c r="Q862" s="64" t="n">
        <f aca="false">INDEX(Datos_Origen!$J$2:$J$2459,$Z862)</f>
        <v>744</v>
      </c>
      <c r="R862" s="65" t="n">
        <f aca="false">ROUND($O862*$P862,2)</f>
        <v>7056</v>
      </c>
      <c r="S862" s="65" t="n">
        <f aca="false">ROUND($O862*$Q862,2)</f>
        <v>4464</v>
      </c>
      <c r="T862" s="65" t="n">
        <f aca="false">ROUND($R862*SUMIFS(Parametros!$E$28:$E$43,Parametros!$B$28:$B$43,$J862,Parametros!$C$28:$C$43,$C862,Parametros!$D$28:$D$43,$D862),2)</f>
        <v>91.73</v>
      </c>
      <c r="U862" s="65" t="n">
        <f aca="false">$R862-$S862-$T862</f>
        <v>2500.27</v>
      </c>
      <c r="V862" s="66" t="n">
        <f aca="false">IFERROR($U862/$R862,0)</f>
        <v>0.354346655328798</v>
      </c>
      <c r="W862" s="67" t="str">
        <f aca="false">IF(AND($V862&gt;=Parametros!$C$8,$R862&gt;=Parametros!$C$12),"Alta rentabilidad",IF(OR($V862&lt;Parametros!$C$11,$R862&lt;Parametros!$C$13),"Revisar","Estandar"))</f>
        <v>Alta rentabilidad</v>
      </c>
      <c r="X862" s="67" t="str">
        <f aca="false">IF(AND($J862="E-commerce",IFERROR($T862/$R862,0)&gt;Parametros!$C$14),"Alerta","OK")</f>
        <v>OK</v>
      </c>
      <c r="Y862" s="61" t="str">
        <f aca="false">IF($R862&gt;=Parametros!$C$12,"Alto",IF($R862&lt;Parametros!$C$13,"Bajo","Medio"))</f>
        <v>Alto</v>
      </c>
      <c r="Z862" s="61" t="n">
        <v>1657</v>
      </c>
      <c r="AA862" s="61" t="str">
        <f aca="false">IF(MATCH($A862,Datos_Origen!$A$2:$A$2459,0)=$Z862,"OK","REVISAR")</f>
        <v>OK</v>
      </c>
      <c r="AB862" s="61" t="str">
        <f aca="false">INDEX(Datos_Origen!$B$2:$B$2459,$Z862)</f>
        <v>07/09/2024</v>
      </c>
      <c r="AC862" s="61" t="n">
        <f aca="false">INDEX(Datos_Origen!$H$2:$H$2459,$Z862)</f>
        <v>6</v>
      </c>
      <c r="AD862" s="61" t="str">
        <f aca="false">INDEX(Datos_Origen!$D$2:$D$2459,$Z862)&amp;""</f>
        <v>Mendoza</v>
      </c>
    </row>
    <row r="863" customFormat="false" ht="15" hidden="false" customHeight="false" outlineLevel="0" collapsed="false">
      <c r="A863" s="61" t="n">
        <f aca="false">INDEX(Datos_Origen!$A$2:$A$2459,$Z863)</f>
        <v>862</v>
      </c>
      <c r="B863" s="62" t="n">
        <f aca="false">IF(ISNUMBER($AB863),$AB863,IF(MID($AB863,5,1)="-",DATE(VALUE(LEFT($AB863,4)),VALUE(MID($AB863,6,2)),VALUE(RIGHT($AB863,2))),DATE(VALUE(RIGHT($AB863,4)),VALUE(MID($AB863,4,2)),VALUE(LEFT($AB863,2)))))</f>
        <v>45549</v>
      </c>
      <c r="C863" s="61" t="n">
        <f aca="false">YEAR($B863)</f>
        <v>2024</v>
      </c>
      <c r="D863" s="61" t="str">
        <f aca="false">"Q"&amp;ROUNDUP(MONTH($B863)/3,0)</f>
        <v>Q3</v>
      </c>
      <c r="E863" s="61" t="n">
        <f aca="false">MONTH($B863)</f>
        <v>9</v>
      </c>
      <c r="F863" s="61" t="str">
        <f aca="false">INDEX(Parametros!$I$5:$I$16,$E863)</f>
        <v>Sep</v>
      </c>
      <c r="G863" s="61" t="str">
        <f aca="false">TEXT($C863,"0000")&amp;"-"&amp;TEXT($E863,"00")</f>
        <v>2024-09</v>
      </c>
      <c r="H863" s="61" t="str">
        <f aca="false">INDEX(Parametros!$C$71:$C$91,MATCH(TRIM(INDEX(Datos_Origen!$C$2:$C$2459,$Z863)),Parametros!$B$71:$B$91,0))</f>
        <v>Cuyo</v>
      </c>
      <c r="I863" s="61" t="str">
        <f aca="false">IF(TRIM($AD863)="",INDEX(Parametros!$I$20:$I$24,MATCH($H863,Parametros!$H$20:$H$24,0)),TRIM($AD863))</f>
        <v>Mendoza</v>
      </c>
      <c r="J863" s="61" t="str">
        <f aca="false">INDEX(Parametros!$C$95:$C$106,MATCH(TRIM(INDEX(Datos_Origen!$E$2:$E$2459,$Z863)),Parametros!$B$95:$B$106,0))</f>
        <v>E-commerce</v>
      </c>
      <c r="K863" s="61" t="str">
        <f aca="false">INDEX(Parametros!$C$48:$C$67,MATCH(TRIM(INDEX(Datos_Origen!$F$2:$F$2459,$Z863)),Parametros!$B$48:$B$67,0))</f>
        <v>Computacion</v>
      </c>
      <c r="L863" s="61" t="str">
        <f aca="false">$K863&amp;" "&amp;$C863</f>
        <v>Computacion 2024</v>
      </c>
      <c r="M863" s="61" t="str">
        <f aca="false">TRIM(INDEX(Datos_Origen!$G$2:$G$2459,$Z863))</f>
        <v>Laptop Pro 15</v>
      </c>
      <c r="N863" s="61" t="str">
        <f aca="false">$M863&amp;" "&amp;$C863</f>
        <v>Laptop Pro 15 2024</v>
      </c>
      <c r="O863" s="63" t="n">
        <f aca="false">IF(ISTEXT($AC863),VALUE($AC863),$AC863)</f>
        <v>2</v>
      </c>
      <c r="P863" s="64" t="n">
        <f aca="false">INDEX(Datos_Origen!$I$2:$I$2459,$Z863)</f>
        <v>1176</v>
      </c>
      <c r="Q863" s="64" t="n">
        <f aca="false">INDEX(Datos_Origen!$J$2:$J$2459,$Z863)</f>
        <v>744</v>
      </c>
      <c r="R863" s="65" t="n">
        <f aca="false">ROUND($O863*$P863,2)</f>
        <v>2352</v>
      </c>
      <c r="S863" s="65" t="n">
        <f aca="false">ROUND($O863*$Q863,2)</f>
        <v>1488</v>
      </c>
      <c r="T863" s="65" t="n">
        <f aca="false">ROUND($R863*SUMIFS(Parametros!$E$28:$E$43,Parametros!$B$28:$B$43,$J863,Parametros!$C$28:$C$43,$C863,Parametros!$D$28:$D$43,$D863),2)</f>
        <v>108.19</v>
      </c>
      <c r="U863" s="65" t="n">
        <f aca="false">$R863-$S863-$T863</f>
        <v>755.81</v>
      </c>
      <c r="V863" s="66" t="n">
        <f aca="false">IFERROR($U863/$R863,0)</f>
        <v>0.321347789115646</v>
      </c>
      <c r="W863" s="67" t="str">
        <f aca="false">IF(AND($V863&gt;=Parametros!$C$8,$R863&gt;=Parametros!$C$12),"Alta rentabilidad",IF(OR($V863&lt;Parametros!$C$11,$R863&lt;Parametros!$C$13),"Revisar","Estandar"))</f>
        <v>Estandar</v>
      </c>
      <c r="X863" s="67" t="str">
        <f aca="false">IF(AND($J863="E-commerce",IFERROR($T863/$R863,0)&gt;Parametros!$C$14),"Alerta","OK")</f>
        <v>OK</v>
      </c>
      <c r="Y863" s="61" t="str">
        <f aca="false">IF($R863&gt;=Parametros!$C$12,"Alto",IF($R863&lt;Parametros!$C$13,"Bajo","Medio"))</f>
        <v>Medio</v>
      </c>
      <c r="Z863" s="61" t="n">
        <v>702</v>
      </c>
      <c r="AA863" s="61" t="str">
        <f aca="false">IF(MATCH($A863,Datos_Origen!$A$2:$A$2459,0)=$Z863,"OK","REVISAR")</f>
        <v>OK</v>
      </c>
      <c r="AB863" s="61" t="str">
        <f aca="false">INDEX(Datos_Origen!$B$2:$B$2459,$Z863)</f>
        <v>2024-09-14</v>
      </c>
      <c r="AC863" s="61" t="n">
        <f aca="false">INDEX(Datos_Origen!$H$2:$H$2459,$Z863)</f>
        <v>2</v>
      </c>
      <c r="AD863" s="61" t="str">
        <f aca="false">INDEX(Datos_Origen!$D$2:$D$2459,$Z863)&amp;""</f>
        <v>Mendoza</v>
      </c>
    </row>
    <row r="864" customFormat="false" ht="15" hidden="false" customHeight="false" outlineLevel="0" collapsed="false">
      <c r="A864" s="61" t="n">
        <f aca="false">INDEX(Datos_Origen!$A$2:$A$2459,$Z864)</f>
        <v>863</v>
      </c>
      <c r="B864" s="62" t="n">
        <f aca="false">IF(ISNUMBER($AB864),$AB864,IF(MID($AB864,5,1)="-",DATE(VALUE(LEFT($AB864,4)),VALUE(MID($AB864,6,2)),VALUE(RIGHT($AB864,2))),DATE(VALUE(RIGHT($AB864,4)),VALUE(MID($AB864,4,2)),VALUE(LEFT($AB864,2)))))</f>
        <v>45556</v>
      </c>
      <c r="C864" s="61" t="n">
        <f aca="false">YEAR($B864)</f>
        <v>2024</v>
      </c>
      <c r="D864" s="61" t="str">
        <f aca="false">"Q"&amp;ROUNDUP(MONTH($B864)/3,0)</f>
        <v>Q3</v>
      </c>
      <c r="E864" s="61" t="n">
        <f aca="false">MONTH($B864)</f>
        <v>9</v>
      </c>
      <c r="F864" s="61" t="str">
        <f aca="false">INDEX(Parametros!$I$5:$I$16,$E864)</f>
        <v>Sep</v>
      </c>
      <c r="G864" s="61" t="str">
        <f aca="false">TEXT($C864,"0000")&amp;"-"&amp;TEXT($E864,"00")</f>
        <v>2024-09</v>
      </c>
      <c r="H864" s="61" t="str">
        <f aca="false">INDEX(Parametros!$C$71:$C$91,MATCH(TRIM(INDEX(Datos_Origen!$C$2:$C$2459,$Z864)),Parametros!$B$71:$B$91,0))</f>
        <v>Cuyo</v>
      </c>
      <c r="I864" s="61" t="str">
        <f aca="false">IF(TRIM($AD864)="",INDEX(Parametros!$I$20:$I$24,MATCH($H864,Parametros!$H$20:$H$24,0)),TRIM($AD864))</f>
        <v>Mendoza</v>
      </c>
      <c r="J864" s="61" t="str">
        <f aca="false">INDEX(Parametros!$C$95:$C$106,MATCH(TRIM(INDEX(Datos_Origen!$E$2:$E$2459,$Z864)),Parametros!$B$95:$B$106,0))</f>
        <v>Tienda fisica</v>
      </c>
      <c r="K864" s="61" t="str">
        <f aca="false">INDEX(Parametros!$C$48:$C$67,MATCH(TRIM(INDEX(Datos_Origen!$F$2:$F$2459,$Z864)),Parametros!$B$48:$B$67,0))</f>
        <v>Computacion</v>
      </c>
      <c r="L864" s="61" t="str">
        <f aca="false">$K864&amp;" "&amp;$C864</f>
        <v>Computacion 2024</v>
      </c>
      <c r="M864" s="61" t="str">
        <f aca="false">TRIM(INDEX(Datos_Origen!$G$2:$G$2459,$Z864))</f>
        <v>Monitor 4K 27</v>
      </c>
      <c r="N864" s="61" t="str">
        <f aca="false">$M864&amp;" "&amp;$C864</f>
        <v>Monitor 4K 27 2024</v>
      </c>
      <c r="O864" s="63" t="n">
        <f aca="false">IF(ISTEXT($AC864),VALUE($AC864),$AC864)</f>
        <v>7</v>
      </c>
      <c r="P864" s="64" t="n">
        <f aca="false">INDEX(Datos_Origen!$I$2:$I$2459,$Z864)</f>
        <v>441</v>
      </c>
      <c r="Q864" s="64" t="n">
        <f aca="false">INDEX(Datos_Origen!$J$2:$J$2459,$Z864)</f>
        <v>272.25</v>
      </c>
      <c r="R864" s="65" t="n">
        <f aca="false">ROUND($O864*$P864,2)</f>
        <v>3087</v>
      </c>
      <c r="S864" s="65" t="n">
        <f aca="false">ROUND($O864*$Q864,2)</f>
        <v>1905.75</v>
      </c>
      <c r="T864" s="65" t="n">
        <f aca="false">ROUND($R864*SUMIFS(Parametros!$E$28:$E$43,Parametros!$B$28:$B$43,$J864,Parametros!$C$28:$C$43,$C864,Parametros!$D$28:$D$43,$D864),2)</f>
        <v>40.13</v>
      </c>
      <c r="U864" s="65" t="n">
        <f aca="false">$R864-$S864-$T864</f>
        <v>1141.12</v>
      </c>
      <c r="V864" s="66" t="n">
        <f aca="false">IFERROR($U864/$R864,0)</f>
        <v>0.369653385163589</v>
      </c>
      <c r="W864" s="67" t="str">
        <f aca="false">IF(AND($V864&gt;=Parametros!$C$8,$R864&gt;=Parametros!$C$12),"Alta rentabilidad",IF(OR($V864&lt;Parametros!$C$11,$R864&lt;Parametros!$C$13),"Revisar","Estandar"))</f>
        <v>Alta rentabilidad</v>
      </c>
      <c r="X864" s="67" t="str">
        <f aca="false">IF(AND($J864="E-commerce",IFERROR($T864/$R864,0)&gt;Parametros!$C$14),"Alerta","OK")</f>
        <v>OK</v>
      </c>
      <c r="Y864" s="61" t="str">
        <f aca="false">IF($R864&gt;=Parametros!$C$12,"Alto",IF($R864&lt;Parametros!$C$13,"Bajo","Medio"))</f>
        <v>Alto</v>
      </c>
      <c r="Z864" s="61" t="n">
        <v>1068</v>
      </c>
      <c r="AA864" s="61" t="str">
        <f aca="false">IF(MATCH($A864,Datos_Origen!$A$2:$A$2459,0)=$Z864,"OK","REVISAR")</f>
        <v>OK</v>
      </c>
      <c r="AB864" s="62" t="n">
        <f aca="false">INDEX(Datos_Origen!$B$2:$B$2459,$Z864)</f>
        <v>45556</v>
      </c>
      <c r="AC864" s="61" t="n">
        <f aca="false">INDEX(Datos_Origen!$H$2:$H$2459,$Z864)</f>
        <v>7</v>
      </c>
      <c r="AD864" s="61" t="str">
        <f aca="false">INDEX(Datos_Origen!$D$2:$D$2459,$Z864)&amp;""</f>
        <v>Mendoza</v>
      </c>
    </row>
    <row r="865" customFormat="false" ht="15" hidden="false" customHeight="false" outlineLevel="0" collapsed="false">
      <c r="A865" s="61" t="n">
        <f aca="false">INDEX(Datos_Origen!$A$2:$A$2459,$Z865)</f>
        <v>864</v>
      </c>
      <c r="B865" s="62" t="n">
        <f aca="false">IF(ISNUMBER($AB865),$AB865,IF(MID($AB865,5,1)="-",DATE(VALUE(LEFT($AB865,4)),VALUE(MID($AB865,6,2)),VALUE(RIGHT($AB865,2))),DATE(VALUE(RIGHT($AB865,4)),VALUE(MID($AB865,4,2)),VALUE(LEFT($AB865,2)))))</f>
        <v>45536</v>
      </c>
      <c r="C865" s="61" t="n">
        <f aca="false">YEAR($B865)</f>
        <v>2024</v>
      </c>
      <c r="D865" s="61" t="str">
        <f aca="false">"Q"&amp;ROUNDUP(MONTH($B865)/3,0)</f>
        <v>Q3</v>
      </c>
      <c r="E865" s="61" t="n">
        <f aca="false">MONTH($B865)</f>
        <v>9</v>
      </c>
      <c r="F865" s="61" t="str">
        <f aca="false">INDEX(Parametros!$I$5:$I$16,$E865)</f>
        <v>Sep</v>
      </c>
      <c r="G865" s="61" t="str">
        <f aca="false">TEXT($C865,"0000")&amp;"-"&amp;TEXT($E865,"00")</f>
        <v>2024-09</v>
      </c>
      <c r="H865" s="61" t="str">
        <f aca="false">INDEX(Parametros!$C$71:$C$91,MATCH(TRIM(INDEX(Datos_Origen!$C$2:$C$2459,$Z865)),Parametros!$B$71:$B$91,0))</f>
        <v>Cuyo</v>
      </c>
      <c r="I865" s="61" t="str">
        <f aca="false">IF(TRIM($AD865)="",INDEX(Parametros!$I$20:$I$24,MATCH($H865,Parametros!$H$20:$H$24,0)),TRIM($AD865))</f>
        <v>Mendoza</v>
      </c>
      <c r="J865" s="61" t="str">
        <f aca="false">INDEX(Parametros!$C$95:$C$106,MATCH(TRIM(INDEX(Datos_Origen!$E$2:$E$2459,$Z865)),Parametros!$B$95:$B$106,0))</f>
        <v>E-commerce</v>
      </c>
      <c r="K865" s="61" t="str">
        <f aca="false">INDEX(Parametros!$C$48:$C$67,MATCH(TRIM(INDEX(Datos_Origen!$F$2:$F$2459,$Z865)),Parametros!$B$48:$B$67,0))</f>
        <v>Computacion</v>
      </c>
      <c r="L865" s="61" t="str">
        <f aca="false">$K865&amp;" "&amp;$C865</f>
        <v>Computacion 2024</v>
      </c>
      <c r="M865" s="61" t="str">
        <f aca="false">TRIM(INDEX(Datos_Origen!$G$2:$G$2459,$Z865))</f>
        <v>Monitor 4K 27</v>
      </c>
      <c r="N865" s="61" t="str">
        <f aca="false">$M865&amp;" "&amp;$C865</f>
        <v>Monitor 4K 27 2024</v>
      </c>
      <c r="O865" s="63" t="n">
        <f aca="false">IF(ISTEXT($AC865),VALUE($AC865),$AC865)</f>
        <v>3</v>
      </c>
      <c r="P865" s="64" t="n">
        <f aca="false">INDEX(Datos_Origen!$I$2:$I$2459,$Z865)</f>
        <v>441</v>
      </c>
      <c r="Q865" s="64" t="n">
        <f aca="false">INDEX(Datos_Origen!$J$2:$J$2459,$Z865)</f>
        <v>272.25</v>
      </c>
      <c r="R865" s="65" t="n">
        <f aca="false">ROUND($O865*$P865,2)</f>
        <v>1323</v>
      </c>
      <c r="S865" s="65" t="n">
        <f aca="false">ROUND($O865*$Q865,2)</f>
        <v>816.75</v>
      </c>
      <c r="T865" s="65" t="n">
        <f aca="false">ROUND($R865*SUMIFS(Parametros!$E$28:$E$43,Parametros!$B$28:$B$43,$J865,Parametros!$C$28:$C$43,$C865,Parametros!$D$28:$D$43,$D865),2)</f>
        <v>60.86</v>
      </c>
      <c r="U865" s="65" t="n">
        <f aca="false">$R865-$S865-$T865</f>
        <v>445.39</v>
      </c>
      <c r="V865" s="66" t="n">
        <f aca="false">IFERROR($U865/$R865,0)</f>
        <v>0.336651549508692</v>
      </c>
      <c r="W865" s="67" t="str">
        <f aca="false">IF(AND($V865&gt;=Parametros!$C$8,$R865&gt;=Parametros!$C$12),"Alta rentabilidad",IF(OR($V865&lt;Parametros!$C$11,$R865&lt;Parametros!$C$13),"Revisar","Estandar"))</f>
        <v>Estandar</v>
      </c>
      <c r="X865" s="67" t="str">
        <f aca="false">IF(AND($J865="E-commerce",IFERROR($T865/$R865,0)&gt;Parametros!$C$14),"Alerta","OK")</f>
        <v>OK</v>
      </c>
      <c r="Y865" s="61" t="str">
        <f aca="false">IF($R865&gt;=Parametros!$C$12,"Alto",IF($R865&lt;Parametros!$C$13,"Bajo","Medio"))</f>
        <v>Medio</v>
      </c>
      <c r="Z865" s="61" t="n">
        <v>800</v>
      </c>
      <c r="AA865" s="61" t="str">
        <f aca="false">IF(MATCH($A865,Datos_Origen!$A$2:$A$2459,0)=$Z865,"OK","REVISAR")</f>
        <v>OK</v>
      </c>
      <c r="AB865" s="62" t="n">
        <f aca="false">INDEX(Datos_Origen!$B$2:$B$2459,$Z865)</f>
        <v>45536</v>
      </c>
      <c r="AC865" s="61" t="n">
        <f aca="false">INDEX(Datos_Origen!$H$2:$H$2459,$Z865)</f>
        <v>3</v>
      </c>
      <c r="AD865" s="61" t="str">
        <f aca="false">INDEX(Datos_Origen!$D$2:$D$2459,$Z865)&amp;""</f>
        <v>Mendoza</v>
      </c>
    </row>
    <row r="866" customFormat="false" ht="15" hidden="false" customHeight="false" outlineLevel="0" collapsed="false">
      <c r="A866" s="61" t="n">
        <f aca="false">INDEX(Datos_Origen!$A$2:$A$2459,$Z866)</f>
        <v>865</v>
      </c>
      <c r="B866" s="62" t="n">
        <f aca="false">IF(ISNUMBER($AB866),$AB866,IF(MID($AB866,5,1)="-",DATE(VALUE(LEFT($AB866,4)),VALUE(MID($AB866,6,2)),VALUE(RIGHT($AB866,2))),DATE(VALUE(RIGHT($AB866,4)),VALUE(MID($AB866,4,2)),VALUE(LEFT($AB866,2)))))</f>
        <v>45543</v>
      </c>
      <c r="C866" s="61" t="n">
        <f aca="false">YEAR($B866)</f>
        <v>2024</v>
      </c>
      <c r="D866" s="61" t="str">
        <f aca="false">"Q"&amp;ROUNDUP(MONTH($B866)/3,0)</f>
        <v>Q3</v>
      </c>
      <c r="E866" s="61" t="n">
        <f aca="false">MONTH($B866)</f>
        <v>9</v>
      </c>
      <c r="F866" s="61" t="str">
        <f aca="false">INDEX(Parametros!$I$5:$I$16,$E866)</f>
        <v>Sep</v>
      </c>
      <c r="G866" s="61" t="str">
        <f aca="false">TEXT($C866,"0000")&amp;"-"&amp;TEXT($E866,"00")</f>
        <v>2024-09</v>
      </c>
      <c r="H866" s="61" t="str">
        <f aca="false">INDEX(Parametros!$C$71:$C$91,MATCH(TRIM(INDEX(Datos_Origen!$C$2:$C$2459,$Z866)),Parametros!$B$71:$B$91,0))</f>
        <v>Cuyo</v>
      </c>
      <c r="I866" s="61" t="str">
        <f aca="false">IF(TRIM($AD866)="",INDEX(Parametros!$I$20:$I$24,MATCH($H866,Parametros!$H$20:$H$24,0)),TRIM($AD866))</f>
        <v>Mendoza</v>
      </c>
      <c r="J866" s="61" t="str">
        <f aca="false">INDEX(Parametros!$C$95:$C$106,MATCH(TRIM(INDEX(Datos_Origen!$E$2:$E$2459,$Z866)),Parametros!$B$95:$B$106,0))</f>
        <v>Tienda fisica</v>
      </c>
      <c r="K866" s="61" t="str">
        <f aca="false">INDEX(Parametros!$C$48:$C$67,MATCH(TRIM(INDEX(Datos_Origen!$F$2:$F$2459,$Z866)),Parametros!$B$48:$B$67,0))</f>
        <v>Computacion</v>
      </c>
      <c r="L866" s="61" t="str">
        <f aca="false">$K866&amp;" "&amp;$C866</f>
        <v>Computacion 2024</v>
      </c>
      <c r="M866" s="61" t="str">
        <f aca="false">TRIM(INDEX(Datos_Origen!$G$2:$G$2459,$Z866))</f>
        <v>PC Gamer Ryzen</v>
      </c>
      <c r="N866" s="61" t="str">
        <f aca="false">$M866&amp;" "&amp;$C866</f>
        <v>PC Gamer Ryzen 2024</v>
      </c>
      <c r="O866" s="63" t="n">
        <f aca="false">IF(ISTEXT($AC866),VALUE($AC866),$AC866)</f>
        <v>8</v>
      </c>
      <c r="P866" s="64" t="n">
        <f aca="false">INDEX(Datos_Origen!$I$2:$I$2459,$Z866)</f>
        <v>1617</v>
      </c>
      <c r="Q866" s="64" t="n">
        <f aca="false">INDEX(Datos_Origen!$J$2:$J$2459,$Z866)</f>
        <v>1122</v>
      </c>
      <c r="R866" s="65" t="n">
        <f aca="false">ROUND($O866*$P866,2)</f>
        <v>12936</v>
      </c>
      <c r="S866" s="65" t="n">
        <f aca="false">ROUND($O866*$Q866,2)</f>
        <v>8976</v>
      </c>
      <c r="T866" s="65" t="n">
        <f aca="false">ROUND($R866*SUMIFS(Parametros!$E$28:$E$43,Parametros!$B$28:$B$43,$J866,Parametros!$C$28:$C$43,$C866,Parametros!$D$28:$D$43,$D866),2)</f>
        <v>168.17</v>
      </c>
      <c r="U866" s="65" t="n">
        <f aca="false">$R866-$S866-$T866</f>
        <v>3791.83</v>
      </c>
      <c r="V866" s="66" t="n">
        <f aca="false">IFERROR($U866/$R866,0)</f>
        <v>0.293122294372294</v>
      </c>
      <c r="W866" s="67" t="str">
        <f aca="false">IF(AND($V866&gt;=Parametros!$C$8,$R866&gt;=Parametros!$C$12),"Alta rentabilidad",IF(OR($V866&lt;Parametros!$C$11,$R866&lt;Parametros!$C$13),"Revisar","Estandar"))</f>
        <v>Estandar</v>
      </c>
      <c r="X866" s="67" t="str">
        <f aca="false">IF(AND($J866="E-commerce",IFERROR($T866/$R866,0)&gt;Parametros!$C$14),"Alerta","OK")</f>
        <v>OK</v>
      </c>
      <c r="Y866" s="61" t="str">
        <f aca="false">IF($R866&gt;=Parametros!$C$12,"Alto",IF($R866&lt;Parametros!$C$13,"Bajo","Medio"))</f>
        <v>Alto</v>
      </c>
      <c r="Z866" s="61" t="n">
        <v>965</v>
      </c>
      <c r="AA866" s="61" t="str">
        <f aca="false">IF(MATCH($A866,Datos_Origen!$A$2:$A$2459,0)=$Z866,"OK","REVISAR")</f>
        <v>OK</v>
      </c>
      <c r="AB866" s="62" t="n">
        <f aca="false">INDEX(Datos_Origen!$B$2:$B$2459,$Z866)</f>
        <v>45543</v>
      </c>
      <c r="AC866" s="61" t="n">
        <f aca="false">INDEX(Datos_Origen!$H$2:$H$2459,$Z866)</f>
        <v>8</v>
      </c>
      <c r="AD866" s="61" t="str">
        <f aca="false">INDEX(Datos_Origen!$D$2:$D$2459,$Z866)&amp;""</f>
        <v>Mendoza</v>
      </c>
    </row>
    <row r="867" customFormat="false" ht="15" hidden="false" customHeight="false" outlineLevel="0" collapsed="false">
      <c r="A867" s="61" t="n">
        <f aca="false">INDEX(Datos_Origen!$A$2:$A$2459,$Z867)</f>
        <v>866</v>
      </c>
      <c r="B867" s="62" t="n">
        <f aca="false">IF(ISNUMBER($AB867),$AB867,IF(MID($AB867,5,1)="-",DATE(VALUE(LEFT($AB867,4)),VALUE(MID($AB867,6,2)),VALUE(RIGHT($AB867,2))),DATE(VALUE(RIGHT($AB867,4)),VALUE(MID($AB867,4,2)),VALUE(LEFT($AB867,2)))))</f>
        <v>45550</v>
      </c>
      <c r="C867" s="61" t="n">
        <f aca="false">YEAR($B867)</f>
        <v>2024</v>
      </c>
      <c r="D867" s="61" t="str">
        <f aca="false">"Q"&amp;ROUNDUP(MONTH($B867)/3,0)</f>
        <v>Q3</v>
      </c>
      <c r="E867" s="61" t="n">
        <f aca="false">MONTH($B867)</f>
        <v>9</v>
      </c>
      <c r="F867" s="61" t="str">
        <f aca="false">INDEX(Parametros!$I$5:$I$16,$E867)</f>
        <v>Sep</v>
      </c>
      <c r="G867" s="61" t="str">
        <f aca="false">TEXT($C867,"0000")&amp;"-"&amp;TEXT($E867,"00")</f>
        <v>2024-09</v>
      </c>
      <c r="H867" s="61" t="str">
        <f aca="false">INDEX(Parametros!$C$71:$C$91,MATCH(TRIM(INDEX(Datos_Origen!$C$2:$C$2459,$Z867)),Parametros!$B$71:$B$91,0))</f>
        <v>Cuyo</v>
      </c>
      <c r="I867" s="61" t="str">
        <f aca="false">IF(TRIM($AD867)="",INDEX(Parametros!$I$20:$I$24,MATCH($H867,Parametros!$H$20:$H$24,0)),TRIM($AD867))</f>
        <v>Mendoza</v>
      </c>
      <c r="J867" s="61" t="str">
        <f aca="false">INDEX(Parametros!$C$95:$C$106,MATCH(TRIM(INDEX(Datos_Origen!$E$2:$E$2459,$Z867)),Parametros!$B$95:$B$106,0))</f>
        <v>E-commerce</v>
      </c>
      <c r="K867" s="61" t="str">
        <f aca="false">INDEX(Parametros!$C$48:$C$67,MATCH(TRIM(INDEX(Datos_Origen!$F$2:$F$2459,$Z867)),Parametros!$B$48:$B$67,0))</f>
        <v>Computacion</v>
      </c>
      <c r="L867" s="61" t="str">
        <f aca="false">$K867&amp;" "&amp;$C867</f>
        <v>Computacion 2024</v>
      </c>
      <c r="M867" s="61" t="str">
        <f aca="false">TRIM(INDEX(Datos_Origen!$G$2:$G$2459,$Z867))</f>
        <v>PC Gamer Ryzen</v>
      </c>
      <c r="N867" s="61" t="str">
        <f aca="false">$M867&amp;" "&amp;$C867</f>
        <v>PC Gamer Ryzen 2024</v>
      </c>
      <c r="O867" s="63" t="n">
        <f aca="false">IF(ISTEXT($AC867),VALUE($AC867),$AC867)</f>
        <v>2</v>
      </c>
      <c r="P867" s="64" t="n">
        <f aca="false">INDEX(Datos_Origen!$I$2:$I$2459,$Z867)</f>
        <v>1617</v>
      </c>
      <c r="Q867" s="64" t="n">
        <f aca="false">INDEX(Datos_Origen!$J$2:$J$2459,$Z867)</f>
        <v>1122</v>
      </c>
      <c r="R867" s="65" t="n">
        <f aca="false">ROUND($O867*$P867,2)</f>
        <v>3234</v>
      </c>
      <c r="S867" s="65" t="n">
        <f aca="false">ROUND($O867*$Q867,2)</f>
        <v>2244</v>
      </c>
      <c r="T867" s="65" t="n">
        <f aca="false">ROUND($R867*SUMIFS(Parametros!$E$28:$E$43,Parametros!$B$28:$B$43,$J867,Parametros!$C$28:$C$43,$C867,Parametros!$D$28:$D$43,$D867),2)</f>
        <v>148.76</v>
      </c>
      <c r="U867" s="65" t="n">
        <f aca="false">$R867-$S867-$T867</f>
        <v>841.24</v>
      </c>
      <c r="V867" s="66" t="n">
        <f aca="false">IFERROR($U867/$R867,0)</f>
        <v>0.260123685837972</v>
      </c>
      <c r="W867" s="67" t="str">
        <f aca="false">IF(AND($V867&gt;=Parametros!$C$8,$R867&gt;=Parametros!$C$12),"Alta rentabilidad",IF(OR($V867&lt;Parametros!$C$11,$R867&lt;Parametros!$C$13),"Revisar","Estandar"))</f>
        <v>Revisar</v>
      </c>
      <c r="X867" s="67" t="str">
        <f aca="false">IF(AND($J867="E-commerce",IFERROR($T867/$R867,0)&gt;Parametros!$C$14),"Alerta","OK")</f>
        <v>OK</v>
      </c>
      <c r="Y867" s="61" t="str">
        <f aca="false">IF($R867&gt;=Parametros!$C$12,"Alto",IF($R867&lt;Parametros!$C$13,"Bajo","Medio"))</f>
        <v>Alto</v>
      </c>
      <c r="Z867" s="61" t="n">
        <v>1768</v>
      </c>
      <c r="AA867" s="61" t="str">
        <f aca="false">IF(MATCH($A867,Datos_Origen!$A$2:$A$2459,0)=$Z867,"OK","REVISAR")</f>
        <v>OK</v>
      </c>
      <c r="AB867" s="61" t="str">
        <f aca="false">INDEX(Datos_Origen!$B$2:$B$2459,$Z867)</f>
        <v>15/09/2024</v>
      </c>
      <c r="AC867" s="61" t="n">
        <f aca="false">INDEX(Datos_Origen!$H$2:$H$2459,$Z867)</f>
        <v>2</v>
      </c>
      <c r="AD867" s="61" t="str">
        <f aca="false">INDEX(Datos_Origen!$D$2:$D$2459,$Z867)&amp;""</f>
        <v/>
      </c>
    </row>
    <row r="868" customFormat="false" ht="15" hidden="false" customHeight="false" outlineLevel="0" collapsed="false">
      <c r="A868" s="61" t="n">
        <f aca="false">INDEX(Datos_Origen!$A$2:$A$2459,$Z868)</f>
        <v>867</v>
      </c>
      <c r="B868" s="62" t="n">
        <f aca="false">IF(ISNUMBER($AB868),$AB868,IF(MID($AB868,5,1)="-",DATE(VALUE(LEFT($AB868,4)),VALUE(MID($AB868,6,2)),VALUE(RIGHT($AB868,2))),DATE(VALUE(RIGHT($AB868,4)),VALUE(MID($AB868,4,2)),VALUE(LEFT($AB868,2)))))</f>
        <v>45557</v>
      </c>
      <c r="C868" s="61" t="n">
        <f aca="false">YEAR($B868)</f>
        <v>2024</v>
      </c>
      <c r="D868" s="61" t="str">
        <f aca="false">"Q"&amp;ROUNDUP(MONTH($B868)/3,0)</f>
        <v>Q3</v>
      </c>
      <c r="E868" s="61" t="n">
        <f aca="false">MONTH($B868)</f>
        <v>9</v>
      </c>
      <c r="F868" s="61" t="str">
        <f aca="false">INDEX(Parametros!$I$5:$I$16,$E868)</f>
        <v>Sep</v>
      </c>
      <c r="G868" s="61" t="str">
        <f aca="false">TEXT($C868,"0000")&amp;"-"&amp;TEXT($E868,"00")</f>
        <v>2024-09</v>
      </c>
      <c r="H868" s="61" t="str">
        <f aca="false">INDEX(Parametros!$C$71:$C$91,MATCH(TRIM(INDEX(Datos_Origen!$C$2:$C$2459,$Z868)),Parametros!$B$71:$B$91,0))</f>
        <v>Cuyo</v>
      </c>
      <c r="I868" s="61" t="str">
        <f aca="false">IF(TRIM($AD868)="",INDEX(Parametros!$I$20:$I$24,MATCH($H868,Parametros!$H$20:$H$24,0)),TRIM($AD868))</f>
        <v>Mendoza</v>
      </c>
      <c r="J868" s="61" t="str">
        <f aca="false">INDEX(Parametros!$C$95:$C$106,MATCH(TRIM(INDEX(Datos_Origen!$E$2:$E$2459,$Z868)),Parametros!$B$95:$B$106,0))</f>
        <v>Tienda fisica</v>
      </c>
      <c r="K868" s="61" t="str">
        <f aca="false">INDEX(Parametros!$C$48:$C$67,MATCH(TRIM(INDEX(Datos_Origen!$F$2:$F$2459,$Z868)),Parametros!$B$48:$B$67,0))</f>
        <v>Accesorios</v>
      </c>
      <c r="L868" s="61" t="str">
        <f aca="false">$K868&amp;" "&amp;$C868</f>
        <v>Accesorios 2024</v>
      </c>
      <c r="M868" s="61" t="str">
        <f aca="false">TRIM(INDEX(Datos_Origen!$G$2:$G$2459,$Z868))</f>
        <v>Mouse Inalambrico</v>
      </c>
      <c r="N868" s="61" t="str">
        <f aca="false">$M868&amp;" "&amp;$C868</f>
        <v>Mouse Inalambrico 2024</v>
      </c>
      <c r="O868" s="63" t="n">
        <f aca="false">IF(ISTEXT($AC868),VALUE($AC868),$AC868)</f>
        <v>27</v>
      </c>
      <c r="P868" s="64" t="n">
        <f aca="false">INDEX(Datos_Origen!$I$2:$I$2459,$Z868)</f>
        <v>27.44</v>
      </c>
      <c r="Q868" s="64" t="n">
        <f aca="false">INDEX(Datos_Origen!$J$2:$J$2459,$Z868)</f>
        <v>13.44</v>
      </c>
      <c r="R868" s="65" t="n">
        <f aca="false">ROUND($O868*$P868,2)</f>
        <v>740.88</v>
      </c>
      <c r="S868" s="65" t="n">
        <f aca="false">ROUND($O868*$Q868,2)</f>
        <v>362.88</v>
      </c>
      <c r="T868" s="65" t="n">
        <f aca="false">ROUND($R868*SUMIFS(Parametros!$E$28:$E$43,Parametros!$B$28:$B$43,$J868,Parametros!$C$28:$C$43,$C868,Parametros!$D$28:$D$43,$D868),2)</f>
        <v>9.63</v>
      </c>
      <c r="U868" s="65" t="n">
        <f aca="false">$R868-$S868-$T868</f>
        <v>368.37</v>
      </c>
      <c r="V868" s="66" t="n">
        <f aca="false">IFERROR($U868/$R868,0)</f>
        <v>0.49720602526725</v>
      </c>
      <c r="W868" s="67" t="str">
        <f aca="false">IF(AND($V868&gt;=Parametros!$C$8,$R868&gt;=Parametros!$C$12),"Alta rentabilidad",IF(OR($V868&lt;Parametros!$C$11,$R868&lt;Parametros!$C$13),"Revisar","Estandar"))</f>
        <v>Estandar</v>
      </c>
      <c r="X868" s="67" t="str">
        <f aca="false">IF(AND($J868="E-commerce",IFERROR($T868/$R868,0)&gt;Parametros!$C$14),"Alerta","OK")</f>
        <v>OK</v>
      </c>
      <c r="Y868" s="61" t="str">
        <f aca="false">IF($R868&gt;=Parametros!$C$12,"Alto",IF($R868&lt;Parametros!$C$13,"Bajo","Medio"))</f>
        <v>Medio</v>
      </c>
      <c r="Z868" s="61" t="n">
        <v>616</v>
      </c>
      <c r="AA868" s="61" t="str">
        <f aca="false">IF(MATCH($A868,Datos_Origen!$A$2:$A$2459,0)=$Z868,"OK","REVISAR")</f>
        <v>OK</v>
      </c>
      <c r="AB868" s="61" t="str">
        <f aca="false">INDEX(Datos_Origen!$B$2:$B$2459,$Z868)</f>
        <v>2024-09-22</v>
      </c>
      <c r="AC868" s="61" t="n">
        <f aca="false">INDEX(Datos_Origen!$H$2:$H$2459,$Z868)</f>
        <v>27</v>
      </c>
      <c r="AD868" s="61" t="str">
        <f aca="false">INDEX(Datos_Origen!$D$2:$D$2459,$Z868)&amp;""</f>
        <v/>
      </c>
    </row>
    <row r="869" customFormat="false" ht="15" hidden="false" customHeight="false" outlineLevel="0" collapsed="false">
      <c r="A869" s="61" t="n">
        <f aca="false">INDEX(Datos_Origen!$A$2:$A$2459,$Z869)</f>
        <v>868</v>
      </c>
      <c r="B869" s="62" t="n">
        <f aca="false">IF(ISNUMBER($AB869),$AB869,IF(MID($AB869,5,1)="-",DATE(VALUE(LEFT($AB869,4)),VALUE(MID($AB869,6,2)),VALUE(RIGHT($AB869,2))),DATE(VALUE(RIGHT($AB869,4)),VALUE(MID($AB869,4,2)),VALUE(LEFT($AB869,2)))))</f>
        <v>45537</v>
      </c>
      <c r="C869" s="61" t="n">
        <f aca="false">YEAR($B869)</f>
        <v>2024</v>
      </c>
      <c r="D869" s="61" t="str">
        <f aca="false">"Q"&amp;ROUNDUP(MONTH($B869)/3,0)</f>
        <v>Q3</v>
      </c>
      <c r="E869" s="61" t="n">
        <f aca="false">MONTH($B869)</f>
        <v>9</v>
      </c>
      <c r="F869" s="61" t="str">
        <f aca="false">INDEX(Parametros!$I$5:$I$16,$E869)</f>
        <v>Sep</v>
      </c>
      <c r="G869" s="61" t="str">
        <f aca="false">TEXT($C869,"0000")&amp;"-"&amp;TEXT($E869,"00")</f>
        <v>2024-09</v>
      </c>
      <c r="H869" s="61" t="str">
        <f aca="false">INDEX(Parametros!$C$71:$C$91,MATCH(TRIM(INDEX(Datos_Origen!$C$2:$C$2459,$Z869)),Parametros!$B$71:$B$91,0))</f>
        <v>Cuyo</v>
      </c>
      <c r="I869" s="61" t="str">
        <f aca="false">IF(TRIM($AD869)="",INDEX(Parametros!$I$20:$I$24,MATCH($H869,Parametros!$H$20:$H$24,0)),TRIM($AD869))</f>
        <v>Mendoza</v>
      </c>
      <c r="J869" s="61" t="str">
        <f aca="false">INDEX(Parametros!$C$95:$C$106,MATCH(TRIM(INDEX(Datos_Origen!$E$2:$E$2459,$Z869)),Parametros!$B$95:$B$106,0))</f>
        <v>E-commerce</v>
      </c>
      <c r="K869" s="61" t="str">
        <f aca="false">INDEX(Parametros!$C$48:$C$67,MATCH(TRIM(INDEX(Datos_Origen!$F$2:$F$2459,$Z869)),Parametros!$B$48:$B$67,0))</f>
        <v>Accesorios</v>
      </c>
      <c r="L869" s="61" t="str">
        <f aca="false">$K869&amp;" "&amp;$C869</f>
        <v>Accesorios 2024</v>
      </c>
      <c r="M869" s="61" t="str">
        <f aca="false">TRIM(INDEX(Datos_Origen!$G$2:$G$2459,$Z869))</f>
        <v>Mouse Inalambrico</v>
      </c>
      <c r="N869" s="61" t="str">
        <f aca="false">$M869&amp;" "&amp;$C869</f>
        <v>Mouse Inalambrico 2024</v>
      </c>
      <c r="O869" s="63" t="n">
        <f aca="false">IF(ISTEXT($AC869),VALUE($AC869),$AC869)</f>
        <v>14</v>
      </c>
      <c r="P869" s="64" t="n">
        <f aca="false">INDEX(Datos_Origen!$I$2:$I$2459,$Z869)</f>
        <v>27.44</v>
      </c>
      <c r="Q869" s="64" t="n">
        <f aca="false">INDEX(Datos_Origen!$J$2:$J$2459,$Z869)</f>
        <v>13.44</v>
      </c>
      <c r="R869" s="65" t="n">
        <f aca="false">ROUND($O869*$P869,2)</f>
        <v>384.16</v>
      </c>
      <c r="S869" s="65" t="n">
        <f aca="false">ROUND($O869*$Q869,2)</f>
        <v>188.16</v>
      </c>
      <c r="T869" s="65" t="n">
        <f aca="false">ROUND($R869*SUMIFS(Parametros!$E$28:$E$43,Parametros!$B$28:$B$43,$J869,Parametros!$C$28:$C$43,$C869,Parametros!$D$28:$D$43,$D869),2)</f>
        <v>17.67</v>
      </c>
      <c r="U869" s="65" t="n">
        <f aca="false">$R869-$S869-$T869</f>
        <v>178.33</v>
      </c>
      <c r="V869" s="66" t="n">
        <f aca="false">IFERROR($U869/$R869,0)</f>
        <v>0.46420762182424</v>
      </c>
      <c r="W869" s="67" t="str">
        <f aca="false">IF(AND($V869&gt;=Parametros!$C$8,$R869&gt;=Parametros!$C$12),"Alta rentabilidad",IF(OR($V869&lt;Parametros!$C$11,$R869&lt;Parametros!$C$13),"Revisar","Estandar"))</f>
        <v>Estandar</v>
      </c>
      <c r="X869" s="67" t="str">
        <f aca="false">IF(AND($J869="E-commerce",IFERROR($T869/$R869,0)&gt;Parametros!$C$14),"Alerta","OK")</f>
        <v>OK</v>
      </c>
      <c r="Y869" s="61" t="str">
        <f aca="false">IF($R869&gt;=Parametros!$C$12,"Alto",IF($R869&lt;Parametros!$C$13,"Bajo","Medio"))</f>
        <v>Medio</v>
      </c>
      <c r="Z869" s="61" t="n">
        <v>2112</v>
      </c>
      <c r="AA869" s="61" t="str">
        <f aca="false">IF(MATCH($A869,Datos_Origen!$A$2:$A$2459,0)=$Z869,"OK","REVISAR")</f>
        <v>OK</v>
      </c>
      <c r="AB869" s="61" t="str">
        <f aca="false">INDEX(Datos_Origen!$B$2:$B$2459,$Z869)</f>
        <v>2024-09-02</v>
      </c>
      <c r="AC869" s="61" t="n">
        <f aca="false">INDEX(Datos_Origen!$H$2:$H$2459,$Z869)</f>
        <v>14</v>
      </c>
      <c r="AD869" s="61" t="str">
        <f aca="false">INDEX(Datos_Origen!$D$2:$D$2459,$Z869)&amp;""</f>
        <v>Mendoza</v>
      </c>
    </row>
    <row r="870" customFormat="false" ht="15" hidden="false" customHeight="false" outlineLevel="0" collapsed="false">
      <c r="A870" s="61" t="n">
        <f aca="false">INDEX(Datos_Origen!$A$2:$A$2459,$Z870)</f>
        <v>869</v>
      </c>
      <c r="B870" s="62" t="n">
        <f aca="false">IF(ISNUMBER($AB870),$AB870,IF(MID($AB870,5,1)="-",DATE(VALUE(LEFT($AB870,4)),VALUE(MID($AB870,6,2)),VALUE(RIGHT($AB870,2))),DATE(VALUE(RIGHT($AB870,4)),VALUE(MID($AB870,4,2)),VALUE(LEFT($AB870,2)))))</f>
        <v>45544</v>
      </c>
      <c r="C870" s="61" t="n">
        <f aca="false">YEAR($B870)</f>
        <v>2024</v>
      </c>
      <c r="D870" s="61" t="str">
        <f aca="false">"Q"&amp;ROUNDUP(MONTH($B870)/3,0)</f>
        <v>Q3</v>
      </c>
      <c r="E870" s="61" t="n">
        <f aca="false">MONTH($B870)</f>
        <v>9</v>
      </c>
      <c r="F870" s="61" t="str">
        <f aca="false">INDEX(Parametros!$I$5:$I$16,$E870)</f>
        <v>Sep</v>
      </c>
      <c r="G870" s="61" t="str">
        <f aca="false">TEXT($C870,"0000")&amp;"-"&amp;TEXT($E870,"00")</f>
        <v>2024-09</v>
      </c>
      <c r="H870" s="61" t="str">
        <f aca="false">INDEX(Parametros!$C$71:$C$91,MATCH(TRIM(INDEX(Datos_Origen!$C$2:$C$2459,$Z870)),Parametros!$B$71:$B$91,0))</f>
        <v>Cuyo</v>
      </c>
      <c r="I870" s="61" t="str">
        <f aca="false">IF(TRIM($AD870)="",INDEX(Parametros!$I$20:$I$24,MATCH($H870,Parametros!$H$20:$H$24,0)),TRIM($AD870))</f>
        <v>Mendoza</v>
      </c>
      <c r="J870" s="61" t="str">
        <f aca="false">INDEX(Parametros!$C$95:$C$106,MATCH(TRIM(INDEX(Datos_Origen!$E$2:$E$2459,$Z870)),Parametros!$B$95:$B$106,0))</f>
        <v>Tienda fisica</v>
      </c>
      <c r="K870" s="61" t="str">
        <f aca="false">INDEX(Parametros!$C$48:$C$67,MATCH(TRIM(INDEX(Datos_Origen!$F$2:$F$2459,$Z870)),Parametros!$B$48:$B$67,0))</f>
        <v>Accesorios</v>
      </c>
      <c r="L870" s="61" t="str">
        <f aca="false">$K870&amp;" "&amp;$C870</f>
        <v>Accesorios 2024</v>
      </c>
      <c r="M870" s="61" t="str">
        <f aca="false">TRIM(INDEX(Datos_Origen!$G$2:$G$2459,$Z870))</f>
        <v>Teclado Mecanico</v>
      </c>
      <c r="N870" s="61" t="str">
        <f aca="false">$M870&amp;" "&amp;$C870</f>
        <v>Teclado Mecanico 2024</v>
      </c>
      <c r="O870" s="63" t="n">
        <f aca="false">IF(ISTEXT($AC870),VALUE($AC870),$AC870)</f>
        <v>26</v>
      </c>
      <c r="P870" s="64" t="n">
        <f aca="false">INDEX(Datos_Origen!$I$2:$I$2459,$Z870)</f>
        <v>93.1</v>
      </c>
      <c r="Q870" s="64" t="n">
        <f aca="false">INDEX(Datos_Origen!$J$2:$J$2459,$Z870)</f>
        <v>47.98</v>
      </c>
      <c r="R870" s="65" t="n">
        <f aca="false">ROUND($O870*$P870,2)</f>
        <v>2420.6</v>
      </c>
      <c r="S870" s="65" t="n">
        <f aca="false">ROUND($O870*$Q870,2)</f>
        <v>1247.48</v>
      </c>
      <c r="T870" s="65" t="n">
        <f aca="false">ROUND($R870*SUMIFS(Parametros!$E$28:$E$43,Parametros!$B$28:$B$43,$J870,Parametros!$C$28:$C$43,$C870,Parametros!$D$28:$D$43,$D870),2)</f>
        <v>31.47</v>
      </c>
      <c r="U870" s="65" t="n">
        <f aca="false">$R870-$S870-$T870</f>
        <v>1141.65</v>
      </c>
      <c r="V870" s="66" t="n">
        <f aca="false">IFERROR($U870/$R870,0)</f>
        <v>0.471639262992646</v>
      </c>
      <c r="W870" s="67" t="str">
        <f aca="false">IF(AND($V870&gt;=Parametros!$C$8,$R870&gt;=Parametros!$C$12),"Alta rentabilidad",IF(OR($V870&lt;Parametros!$C$11,$R870&lt;Parametros!$C$13),"Revisar","Estandar"))</f>
        <v>Estandar</v>
      </c>
      <c r="X870" s="67" t="str">
        <f aca="false">IF(AND($J870="E-commerce",IFERROR($T870/$R870,0)&gt;Parametros!$C$14),"Alerta","OK")</f>
        <v>OK</v>
      </c>
      <c r="Y870" s="61" t="str">
        <f aca="false">IF($R870&gt;=Parametros!$C$12,"Alto",IF($R870&lt;Parametros!$C$13,"Bajo","Medio"))</f>
        <v>Medio</v>
      </c>
      <c r="Z870" s="61" t="n">
        <v>1778</v>
      </c>
      <c r="AA870" s="61" t="str">
        <f aca="false">IF(MATCH($A870,Datos_Origen!$A$2:$A$2459,0)=$Z870,"OK","REVISAR")</f>
        <v>OK</v>
      </c>
      <c r="AB870" s="61" t="str">
        <f aca="false">INDEX(Datos_Origen!$B$2:$B$2459,$Z870)</f>
        <v>2024-09-09</v>
      </c>
      <c r="AC870" s="61" t="n">
        <f aca="false">INDEX(Datos_Origen!$H$2:$H$2459,$Z870)</f>
        <v>26</v>
      </c>
      <c r="AD870" s="61" t="str">
        <f aca="false">INDEX(Datos_Origen!$D$2:$D$2459,$Z870)&amp;""</f>
        <v>Mendoza</v>
      </c>
    </row>
    <row r="871" customFormat="false" ht="15" hidden="false" customHeight="false" outlineLevel="0" collapsed="false">
      <c r="A871" s="61" t="n">
        <f aca="false">INDEX(Datos_Origen!$A$2:$A$2459,$Z871)</f>
        <v>870</v>
      </c>
      <c r="B871" s="62" t="n">
        <f aca="false">IF(ISNUMBER($AB871),$AB871,IF(MID($AB871,5,1)="-",DATE(VALUE(LEFT($AB871,4)),VALUE(MID($AB871,6,2)),VALUE(RIGHT($AB871,2))),DATE(VALUE(RIGHT($AB871,4)),VALUE(MID($AB871,4,2)),VALUE(LEFT($AB871,2)))))</f>
        <v>45551</v>
      </c>
      <c r="C871" s="61" t="n">
        <f aca="false">YEAR($B871)</f>
        <v>2024</v>
      </c>
      <c r="D871" s="61" t="str">
        <f aca="false">"Q"&amp;ROUNDUP(MONTH($B871)/3,0)</f>
        <v>Q3</v>
      </c>
      <c r="E871" s="61" t="n">
        <f aca="false">MONTH($B871)</f>
        <v>9</v>
      </c>
      <c r="F871" s="61" t="str">
        <f aca="false">INDEX(Parametros!$I$5:$I$16,$E871)</f>
        <v>Sep</v>
      </c>
      <c r="G871" s="61" t="str">
        <f aca="false">TEXT($C871,"0000")&amp;"-"&amp;TEXT($E871,"00")</f>
        <v>2024-09</v>
      </c>
      <c r="H871" s="61" t="str">
        <f aca="false">INDEX(Parametros!$C$71:$C$91,MATCH(TRIM(INDEX(Datos_Origen!$C$2:$C$2459,$Z871)),Parametros!$B$71:$B$91,0))</f>
        <v>Cuyo</v>
      </c>
      <c r="I871" s="61" t="str">
        <f aca="false">IF(TRIM($AD871)="",INDEX(Parametros!$I$20:$I$24,MATCH($H871,Parametros!$H$20:$H$24,0)),TRIM($AD871))</f>
        <v>Mendoza</v>
      </c>
      <c r="J871" s="61" t="str">
        <f aca="false">INDEX(Parametros!$C$95:$C$106,MATCH(TRIM(INDEX(Datos_Origen!$E$2:$E$2459,$Z871)),Parametros!$B$95:$B$106,0))</f>
        <v>E-commerce</v>
      </c>
      <c r="K871" s="61" t="str">
        <f aca="false">INDEX(Parametros!$C$48:$C$67,MATCH(TRIM(INDEX(Datos_Origen!$F$2:$F$2459,$Z871)),Parametros!$B$48:$B$67,0))</f>
        <v>Accesorios</v>
      </c>
      <c r="L871" s="61" t="str">
        <f aca="false">$K871&amp;" "&amp;$C871</f>
        <v>Accesorios 2024</v>
      </c>
      <c r="M871" s="61" t="str">
        <f aca="false">TRIM(INDEX(Datos_Origen!$G$2:$G$2459,$Z871))</f>
        <v>Teclado Mecanico</v>
      </c>
      <c r="N871" s="61" t="str">
        <f aca="false">$M871&amp;" "&amp;$C871</f>
        <v>Teclado Mecanico 2024</v>
      </c>
      <c r="O871" s="63" t="n">
        <f aca="false">IF(ISTEXT($AC871),VALUE($AC871),$AC871)</f>
        <v>10</v>
      </c>
      <c r="P871" s="64" t="n">
        <f aca="false">INDEX(Datos_Origen!$I$2:$I$2459,$Z871)</f>
        <v>93.1</v>
      </c>
      <c r="Q871" s="64" t="n">
        <f aca="false">INDEX(Datos_Origen!$J$2:$J$2459,$Z871)</f>
        <v>47.98</v>
      </c>
      <c r="R871" s="65" t="n">
        <f aca="false">ROUND($O871*$P871,2)</f>
        <v>931</v>
      </c>
      <c r="S871" s="65" t="n">
        <f aca="false">ROUND($O871*$Q871,2)</f>
        <v>479.8</v>
      </c>
      <c r="T871" s="65" t="n">
        <f aca="false">ROUND($R871*SUMIFS(Parametros!$E$28:$E$43,Parametros!$B$28:$B$43,$J871,Parametros!$C$28:$C$43,$C871,Parametros!$D$28:$D$43,$D871),2)</f>
        <v>42.83</v>
      </c>
      <c r="U871" s="65" t="n">
        <f aca="false">$R871-$S871-$T871</f>
        <v>408.37</v>
      </c>
      <c r="V871" s="66" t="n">
        <f aca="false">IFERROR($U871/$R871,0)</f>
        <v>0.438635875402793</v>
      </c>
      <c r="W871" s="67" t="str">
        <f aca="false">IF(AND($V871&gt;=Parametros!$C$8,$R871&gt;=Parametros!$C$12),"Alta rentabilidad",IF(OR($V871&lt;Parametros!$C$11,$R871&lt;Parametros!$C$13),"Revisar","Estandar"))</f>
        <v>Estandar</v>
      </c>
      <c r="X871" s="67" t="str">
        <f aca="false">IF(AND($J871="E-commerce",IFERROR($T871/$R871,0)&gt;Parametros!$C$14),"Alerta","OK")</f>
        <v>OK</v>
      </c>
      <c r="Y871" s="61" t="str">
        <f aca="false">IF($R871&gt;=Parametros!$C$12,"Alto",IF($R871&lt;Parametros!$C$13,"Bajo","Medio"))</f>
        <v>Medio</v>
      </c>
      <c r="Z871" s="61" t="n">
        <v>2385</v>
      </c>
      <c r="AA871" s="61" t="str">
        <f aca="false">IF(MATCH($A871,Datos_Origen!$A$2:$A$2459,0)=$Z871,"OK","REVISAR")</f>
        <v>OK</v>
      </c>
      <c r="AB871" s="62" t="n">
        <f aca="false">INDEX(Datos_Origen!$B$2:$B$2459,$Z871)</f>
        <v>45551</v>
      </c>
      <c r="AC871" s="61" t="n">
        <f aca="false">INDEX(Datos_Origen!$H$2:$H$2459,$Z871)</f>
        <v>10</v>
      </c>
      <c r="AD871" s="61" t="str">
        <f aca="false">INDEX(Datos_Origen!$D$2:$D$2459,$Z871)&amp;""</f>
        <v>Mendoza</v>
      </c>
    </row>
    <row r="872" customFormat="false" ht="15" hidden="false" customHeight="false" outlineLevel="0" collapsed="false">
      <c r="A872" s="61" t="n">
        <f aca="false">INDEX(Datos_Origen!$A$2:$A$2459,$Z872)</f>
        <v>871</v>
      </c>
      <c r="B872" s="62" t="n">
        <f aca="false">IF(ISNUMBER($AB872),$AB872,IF(MID($AB872,5,1)="-",DATE(VALUE(LEFT($AB872,4)),VALUE(MID($AB872,6,2)),VALUE(RIGHT($AB872,2))),DATE(VALUE(RIGHT($AB872,4)),VALUE(MID($AB872,4,2)),VALUE(LEFT($AB872,2)))))</f>
        <v>45558</v>
      </c>
      <c r="C872" s="61" t="n">
        <f aca="false">YEAR($B872)</f>
        <v>2024</v>
      </c>
      <c r="D872" s="61" t="str">
        <f aca="false">"Q"&amp;ROUNDUP(MONTH($B872)/3,0)</f>
        <v>Q3</v>
      </c>
      <c r="E872" s="61" t="n">
        <f aca="false">MONTH($B872)</f>
        <v>9</v>
      </c>
      <c r="F872" s="61" t="str">
        <f aca="false">INDEX(Parametros!$I$5:$I$16,$E872)</f>
        <v>Sep</v>
      </c>
      <c r="G872" s="61" t="str">
        <f aca="false">TEXT($C872,"0000")&amp;"-"&amp;TEXT($E872,"00")</f>
        <v>2024-09</v>
      </c>
      <c r="H872" s="61" t="str">
        <f aca="false">INDEX(Parametros!$C$71:$C$91,MATCH(TRIM(INDEX(Datos_Origen!$C$2:$C$2459,$Z872)),Parametros!$B$71:$B$91,0))</f>
        <v>Cuyo</v>
      </c>
      <c r="I872" s="61" t="str">
        <f aca="false">IF(TRIM($AD872)="",INDEX(Parametros!$I$20:$I$24,MATCH($H872,Parametros!$H$20:$H$24,0)),TRIM($AD872))</f>
        <v>Mendoza</v>
      </c>
      <c r="J872" s="61" t="str">
        <f aca="false">INDEX(Parametros!$C$95:$C$106,MATCH(TRIM(INDEX(Datos_Origen!$E$2:$E$2459,$Z872)),Parametros!$B$95:$B$106,0))</f>
        <v>Tienda fisica</v>
      </c>
      <c r="K872" s="61" t="str">
        <f aca="false">INDEX(Parametros!$C$48:$C$67,MATCH(TRIM(INDEX(Datos_Origen!$F$2:$F$2459,$Z872)),Parametros!$B$48:$B$67,0))</f>
        <v>Accesorios</v>
      </c>
      <c r="L872" s="61" t="str">
        <f aca="false">$K872&amp;" "&amp;$C872</f>
        <v>Accesorios 2024</v>
      </c>
      <c r="M872" s="61" t="str">
        <f aca="false">TRIM(INDEX(Datos_Origen!$G$2:$G$2459,$Z872))</f>
        <v>Webcam Full HD</v>
      </c>
      <c r="N872" s="61" t="str">
        <f aca="false">$M872&amp;" "&amp;$C872</f>
        <v>Webcam Full HD 2024</v>
      </c>
      <c r="O872" s="63" t="n">
        <f aca="false">IF(ISTEXT($AC872),VALUE($AC872),$AC872)</f>
        <v>32</v>
      </c>
      <c r="P872" s="64" t="n">
        <f aca="false">INDEX(Datos_Origen!$I$2:$I$2459,$Z872)</f>
        <v>63.7</v>
      </c>
      <c r="Q872" s="64" t="n">
        <f aca="false">INDEX(Datos_Origen!$J$2:$J$2459,$Z872)</f>
        <v>35.43</v>
      </c>
      <c r="R872" s="65" t="n">
        <f aca="false">ROUND($O872*$P872,2)</f>
        <v>2038.4</v>
      </c>
      <c r="S872" s="65" t="n">
        <f aca="false">ROUND($O872*$Q872,2)</f>
        <v>1133.76</v>
      </c>
      <c r="T872" s="65" t="n">
        <f aca="false">ROUND($R872*SUMIFS(Parametros!$E$28:$E$43,Parametros!$B$28:$B$43,$J872,Parametros!$C$28:$C$43,$C872,Parametros!$D$28:$D$43,$D872),2)</f>
        <v>26.5</v>
      </c>
      <c r="U872" s="65" t="n">
        <f aca="false">$R872-$S872-$T872</f>
        <v>878.14</v>
      </c>
      <c r="V872" s="66" t="n">
        <f aca="false">IFERROR($U872/$R872,0)</f>
        <v>0.430798665620094</v>
      </c>
      <c r="W872" s="67" t="str">
        <f aca="false">IF(AND($V872&gt;=Parametros!$C$8,$R872&gt;=Parametros!$C$12),"Alta rentabilidad",IF(OR($V872&lt;Parametros!$C$11,$R872&lt;Parametros!$C$13),"Revisar","Estandar"))</f>
        <v>Estandar</v>
      </c>
      <c r="X872" s="67" t="str">
        <f aca="false">IF(AND($J872="E-commerce",IFERROR($T872/$R872,0)&gt;Parametros!$C$14),"Alerta","OK")</f>
        <v>OK</v>
      </c>
      <c r="Y872" s="61" t="str">
        <f aca="false">IF($R872&gt;=Parametros!$C$12,"Alto",IF($R872&lt;Parametros!$C$13,"Bajo","Medio"))</f>
        <v>Medio</v>
      </c>
      <c r="Z872" s="61" t="n">
        <v>2311</v>
      </c>
      <c r="AA872" s="61" t="str">
        <f aca="false">IF(MATCH($A872,Datos_Origen!$A$2:$A$2459,0)=$Z872,"OK","REVISAR")</f>
        <v>OK</v>
      </c>
      <c r="AB872" s="62" t="n">
        <f aca="false">INDEX(Datos_Origen!$B$2:$B$2459,$Z872)</f>
        <v>45558</v>
      </c>
      <c r="AC872" s="61" t="n">
        <f aca="false">INDEX(Datos_Origen!$H$2:$H$2459,$Z872)</f>
        <v>32</v>
      </c>
      <c r="AD872" s="61" t="str">
        <f aca="false">INDEX(Datos_Origen!$D$2:$D$2459,$Z872)&amp;""</f>
        <v>Mendoza</v>
      </c>
    </row>
    <row r="873" customFormat="false" ht="15" hidden="false" customHeight="false" outlineLevel="0" collapsed="false">
      <c r="A873" s="61" t="n">
        <f aca="false">INDEX(Datos_Origen!$A$2:$A$2459,$Z873)</f>
        <v>872</v>
      </c>
      <c r="B873" s="62" t="n">
        <f aca="false">IF(ISNUMBER($AB873),$AB873,IF(MID($AB873,5,1)="-",DATE(VALUE(LEFT($AB873,4)),VALUE(MID($AB873,6,2)),VALUE(RIGHT($AB873,2))),DATE(VALUE(RIGHT($AB873,4)),VALUE(MID($AB873,4,2)),VALUE(LEFT($AB873,2)))))</f>
        <v>45538</v>
      </c>
      <c r="C873" s="61" t="n">
        <f aca="false">YEAR($B873)</f>
        <v>2024</v>
      </c>
      <c r="D873" s="61" t="str">
        <f aca="false">"Q"&amp;ROUNDUP(MONTH($B873)/3,0)</f>
        <v>Q3</v>
      </c>
      <c r="E873" s="61" t="n">
        <f aca="false">MONTH($B873)</f>
        <v>9</v>
      </c>
      <c r="F873" s="61" t="str">
        <f aca="false">INDEX(Parametros!$I$5:$I$16,$E873)</f>
        <v>Sep</v>
      </c>
      <c r="G873" s="61" t="str">
        <f aca="false">TEXT($C873,"0000")&amp;"-"&amp;TEXT($E873,"00")</f>
        <v>2024-09</v>
      </c>
      <c r="H873" s="61" t="str">
        <f aca="false">INDEX(Parametros!$C$71:$C$91,MATCH(TRIM(INDEX(Datos_Origen!$C$2:$C$2459,$Z873)),Parametros!$B$71:$B$91,0))</f>
        <v>Cuyo</v>
      </c>
      <c r="I873" s="61" t="str">
        <f aca="false">IF(TRIM($AD873)="",INDEX(Parametros!$I$20:$I$24,MATCH($H873,Parametros!$H$20:$H$24,0)),TRIM($AD873))</f>
        <v>Mendoza</v>
      </c>
      <c r="J873" s="61" t="str">
        <f aca="false">INDEX(Parametros!$C$95:$C$106,MATCH(TRIM(INDEX(Datos_Origen!$E$2:$E$2459,$Z873)),Parametros!$B$95:$B$106,0))</f>
        <v>E-commerce</v>
      </c>
      <c r="K873" s="61" t="str">
        <f aca="false">INDEX(Parametros!$C$48:$C$67,MATCH(TRIM(INDEX(Datos_Origen!$F$2:$F$2459,$Z873)),Parametros!$B$48:$B$67,0))</f>
        <v>Accesorios</v>
      </c>
      <c r="L873" s="61" t="str">
        <f aca="false">$K873&amp;" "&amp;$C873</f>
        <v>Accesorios 2024</v>
      </c>
      <c r="M873" s="61" t="str">
        <f aca="false">TRIM(INDEX(Datos_Origen!$G$2:$G$2459,$Z873))</f>
        <v>Webcam Full HD</v>
      </c>
      <c r="N873" s="61" t="str">
        <f aca="false">$M873&amp;" "&amp;$C873</f>
        <v>Webcam Full HD 2024</v>
      </c>
      <c r="O873" s="63" t="n">
        <f aca="false">IF(ISTEXT($AC873),VALUE($AC873),$AC873)</f>
        <v>10</v>
      </c>
      <c r="P873" s="64" t="n">
        <f aca="false">INDEX(Datos_Origen!$I$2:$I$2459,$Z873)</f>
        <v>63.7</v>
      </c>
      <c r="Q873" s="64" t="n">
        <f aca="false">INDEX(Datos_Origen!$J$2:$J$2459,$Z873)</f>
        <v>35.43</v>
      </c>
      <c r="R873" s="65" t="n">
        <f aca="false">ROUND($O873*$P873,2)</f>
        <v>637</v>
      </c>
      <c r="S873" s="65" t="n">
        <f aca="false">ROUND($O873*$Q873,2)</f>
        <v>354.3</v>
      </c>
      <c r="T873" s="65" t="n">
        <f aca="false">ROUND($R873*SUMIFS(Parametros!$E$28:$E$43,Parametros!$B$28:$B$43,$J873,Parametros!$C$28:$C$43,$C873,Parametros!$D$28:$D$43,$D873),2)</f>
        <v>29.3</v>
      </c>
      <c r="U873" s="65" t="n">
        <f aca="false">$R873-$S873-$T873</f>
        <v>253.4</v>
      </c>
      <c r="V873" s="66" t="n">
        <f aca="false">IFERROR($U873/$R873,0)</f>
        <v>0.397802197802198</v>
      </c>
      <c r="W873" s="67" t="str">
        <f aca="false">IF(AND($V873&gt;=Parametros!$C$8,$R873&gt;=Parametros!$C$12),"Alta rentabilidad",IF(OR($V873&lt;Parametros!$C$11,$R873&lt;Parametros!$C$13),"Revisar","Estandar"))</f>
        <v>Estandar</v>
      </c>
      <c r="X873" s="67" t="str">
        <f aca="false">IF(AND($J873="E-commerce",IFERROR($T873/$R873,0)&gt;Parametros!$C$14),"Alerta","OK")</f>
        <v>OK</v>
      </c>
      <c r="Y873" s="61" t="str">
        <f aca="false">IF($R873&gt;=Parametros!$C$12,"Alto",IF($R873&lt;Parametros!$C$13,"Bajo","Medio"))</f>
        <v>Medio</v>
      </c>
      <c r="Z873" s="61" t="n">
        <v>2334</v>
      </c>
      <c r="AA873" s="61" t="str">
        <f aca="false">IF(MATCH($A873,Datos_Origen!$A$2:$A$2459,0)=$Z873,"OK","REVISAR")</f>
        <v>OK</v>
      </c>
      <c r="AB873" s="62" t="n">
        <f aca="false">INDEX(Datos_Origen!$B$2:$B$2459,$Z873)</f>
        <v>45538</v>
      </c>
      <c r="AC873" s="61" t="str">
        <f aca="false">INDEX(Datos_Origen!$H$2:$H$2459,$Z873)</f>
        <v>10</v>
      </c>
      <c r="AD873" s="61" t="str">
        <f aca="false">INDEX(Datos_Origen!$D$2:$D$2459,$Z873)&amp;""</f>
        <v/>
      </c>
    </row>
    <row r="874" customFormat="false" ht="15" hidden="false" customHeight="false" outlineLevel="0" collapsed="false">
      <c r="A874" s="61" t="n">
        <f aca="false">INDEX(Datos_Origen!$A$2:$A$2459,$Z874)</f>
        <v>873</v>
      </c>
      <c r="B874" s="62" t="n">
        <f aca="false">IF(ISNUMBER($AB874),$AB874,IF(MID($AB874,5,1)="-",DATE(VALUE(LEFT($AB874,4)),VALUE(MID($AB874,6,2)),VALUE(RIGHT($AB874,2))),DATE(VALUE(RIGHT($AB874,4)),VALUE(MID($AB874,4,2)),VALUE(LEFT($AB874,2)))))</f>
        <v>45545</v>
      </c>
      <c r="C874" s="61" t="n">
        <f aca="false">YEAR($B874)</f>
        <v>2024</v>
      </c>
      <c r="D874" s="61" t="str">
        <f aca="false">"Q"&amp;ROUNDUP(MONTH($B874)/3,0)</f>
        <v>Q3</v>
      </c>
      <c r="E874" s="61" t="n">
        <f aca="false">MONTH($B874)</f>
        <v>9</v>
      </c>
      <c r="F874" s="61" t="str">
        <f aca="false">INDEX(Parametros!$I$5:$I$16,$E874)</f>
        <v>Sep</v>
      </c>
      <c r="G874" s="61" t="str">
        <f aca="false">TEXT($C874,"0000")&amp;"-"&amp;TEXT($E874,"00")</f>
        <v>2024-09</v>
      </c>
      <c r="H874" s="61" t="str">
        <f aca="false">INDEX(Parametros!$C$71:$C$91,MATCH(TRIM(INDEX(Datos_Origen!$C$2:$C$2459,$Z874)),Parametros!$B$71:$B$91,0))</f>
        <v>Cuyo</v>
      </c>
      <c r="I874" s="61" t="str">
        <f aca="false">IF(TRIM($AD874)="",INDEX(Parametros!$I$20:$I$24,MATCH($H874,Parametros!$H$20:$H$24,0)),TRIM($AD874))</f>
        <v>Mendoza</v>
      </c>
      <c r="J874" s="61" t="str">
        <f aca="false">INDEX(Parametros!$C$95:$C$106,MATCH(TRIM(INDEX(Datos_Origen!$E$2:$E$2459,$Z874)),Parametros!$B$95:$B$106,0))</f>
        <v>Tienda fisica</v>
      </c>
      <c r="K874" s="61" t="str">
        <f aca="false">INDEX(Parametros!$C$48:$C$67,MATCH(TRIM(INDEX(Datos_Origen!$F$2:$F$2459,$Z874)),Parametros!$B$48:$B$67,0))</f>
        <v>Audio</v>
      </c>
      <c r="L874" s="61" t="str">
        <f aca="false">$K874&amp;" "&amp;$C874</f>
        <v>Audio 2024</v>
      </c>
      <c r="M874" s="61" t="str">
        <f aca="false">TRIM(INDEX(Datos_Origen!$G$2:$G$2459,$Z874))</f>
        <v>Auriculares BT Pro</v>
      </c>
      <c r="N874" s="61" t="str">
        <f aca="false">$M874&amp;" "&amp;$C874</f>
        <v>Auriculares BT Pro 2024</v>
      </c>
      <c r="O874" s="63" t="n">
        <f aca="false">IF(ISTEXT($AC874),VALUE($AC874),$AC874)</f>
        <v>13</v>
      </c>
      <c r="P874" s="64" t="n">
        <f aca="false">INDEX(Datos_Origen!$I$2:$I$2459,$Z874)</f>
        <v>117.6</v>
      </c>
      <c r="Q874" s="64" t="n">
        <f aca="false">INDEX(Datos_Origen!$J$2:$J$2459,$Z874)</f>
        <v>63.6</v>
      </c>
      <c r="R874" s="65" t="n">
        <f aca="false">ROUND($O874*$P874,2)</f>
        <v>1528.8</v>
      </c>
      <c r="S874" s="65" t="n">
        <f aca="false">ROUND($O874*$Q874,2)</f>
        <v>826.8</v>
      </c>
      <c r="T874" s="65" t="n">
        <f aca="false">ROUND($R874*SUMIFS(Parametros!$E$28:$E$43,Parametros!$B$28:$B$43,$J874,Parametros!$C$28:$C$43,$C874,Parametros!$D$28:$D$43,$D874),2)</f>
        <v>19.87</v>
      </c>
      <c r="U874" s="65" t="n">
        <f aca="false">$R874-$S874-$T874</f>
        <v>682.13</v>
      </c>
      <c r="V874" s="66" t="n">
        <f aca="false">IFERROR($U874/$R874,0)</f>
        <v>0.446186551543694</v>
      </c>
      <c r="W874" s="67" t="str">
        <f aca="false">IF(AND($V874&gt;=Parametros!$C$8,$R874&gt;=Parametros!$C$12),"Alta rentabilidad",IF(OR($V874&lt;Parametros!$C$11,$R874&lt;Parametros!$C$13),"Revisar","Estandar"))</f>
        <v>Estandar</v>
      </c>
      <c r="X874" s="67" t="str">
        <f aca="false">IF(AND($J874="E-commerce",IFERROR($T874/$R874,0)&gt;Parametros!$C$14),"Alerta","OK")</f>
        <v>OK</v>
      </c>
      <c r="Y874" s="61" t="str">
        <f aca="false">IF($R874&gt;=Parametros!$C$12,"Alto",IF($R874&lt;Parametros!$C$13,"Bajo","Medio"))</f>
        <v>Medio</v>
      </c>
      <c r="Z874" s="61" t="n">
        <v>1524</v>
      </c>
      <c r="AA874" s="61" t="str">
        <f aca="false">IF(MATCH($A874,Datos_Origen!$A$2:$A$2459,0)=$Z874,"OK","REVISAR")</f>
        <v>OK</v>
      </c>
      <c r="AB874" s="62" t="n">
        <f aca="false">INDEX(Datos_Origen!$B$2:$B$2459,$Z874)</f>
        <v>45545</v>
      </c>
      <c r="AC874" s="61" t="n">
        <f aca="false">INDEX(Datos_Origen!$H$2:$H$2459,$Z874)</f>
        <v>13</v>
      </c>
      <c r="AD874" s="61" t="str">
        <f aca="false">INDEX(Datos_Origen!$D$2:$D$2459,$Z874)&amp;""</f>
        <v>Mendoza</v>
      </c>
    </row>
    <row r="875" customFormat="false" ht="15" hidden="false" customHeight="false" outlineLevel="0" collapsed="false">
      <c r="A875" s="61" t="n">
        <f aca="false">INDEX(Datos_Origen!$A$2:$A$2459,$Z875)</f>
        <v>874</v>
      </c>
      <c r="B875" s="62" t="n">
        <f aca="false">IF(ISNUMBER($AB875),$AB875,IF(MID($AB875,5,1)="-",DATE(VALUE(LEFT($AB875,4)),VALUE(MID($AB875,6,2)),VALUE(RIGHT($AB875,2))),DATE(VALUE(RIGHT($AB875,4)),VALUE(MID($AB875,4,2)),VALUE(LEFT($AB875,2)))))</f>
        <v>45552</v>
      </c>
      <c r="C875" s="61" t="n">
        <f aca="false">YEAR($B875)</f>
        <v>2024</v>
      </c>
      <c r="D875" s="61" t="str">
        <f aca="false">"Q"&amp;ROUNDUP(MONTH($B875)/3,0)</f>
        <v>Q3</v>
      </c>
      <c r="E875" s="61" t="n">
        <f aca="false">MONTH($B875)</f>
        <v>9</v>
      </c>
      <c r="F875" s="61" t="str">
        <f aca="false">INDEX(Parametros!$I$5:$I$16,$E875)</f>
        <v>Sep</v>
      </c>
      <c r="G875" s="61" t="str">
        <f aca="false">TEXT($C875,"0000")&amp;"-"&amp;TEXT($E875,"00")</f>
        <v>2024-09</v>
      </c>
      <c r="H875" s="61" t="str">
        <f aca="false">INDEX(Parametros!$C$71:$C$91,MATCH(TRIM(INDEX(Datos_Origen!$C$2:$C$2459,$Z875)),Parametros!$B$71:$B$91,0))</f>
        <v>Cuyo</v>
      </c>
      <c r="I875" s="61" t="str">
        <f aca="false">IF(TRIM($AD875)="",INDEX(Parametros!$I$20:$I$24,MATCH($H875,Parametros!$H$20:$H$24,0)),TRIM($AD875))</f>
        <v>Mendoza</v>
      </c>
      <c r="J875" s="61" t="str">
        <f aca="false">INDEX(Parametros!$C$95:$C$106,MATCH(TRIM(INDEX(Datos_Origen!$E$2:$E$2459,$Z875)),Parametros!$B$95:$B$106,0))</f>
        <v>E-commerce</v>
      </c>
      <c r="K875" s="61" t="str">
        <f aca="false">INDEX(Parametros!$C$48:$C$67,MATCH(TRIM(INDEX(Datos_Origen!$F$2:$F$2459,$Z875)),Parametros!$B$48:$B$67,0))</f>
        <v>Audio</v>
      </c>
      <c r="L875" s="61" t="str">
        <f aca="false">$K875&amp;" "&amp;$C875</f>
        <v>Audio 2024</v>
      </c>
      <c r="M875" s="61" t="str">
        <f aca="false">TRIM(INDEX(Datos_Origen!$G$2:$G$2459,$Z875))</f>
        <v>Auriculares BT Pro</v>
      </c>
      <c r="N875" s="61" t="str">
        <f aca="false">$M875&amp;" "&amp;$C875</f>
        <v>Auriculares BT Pro 2024</v>
      </c>
      <c r="O875" s="63" t="n">
        <f aca="false">IF(ISTEXT($AC875),VALUE($AC875),$AC875)</f>
        <v>6</v>
      </c>
      <c r="P875" s="64" t="n">
        <f aca="false">INDEX(Datos_Origen!$I$2:$I$2459,$Z875)</f>
        <v>117.6</v>
      </c>
      <c r="Q875" s="64" t="n">
        <f aca="false">INDEX(Datos_Origen!$J$2:$J$2459,$Z875)</f>
        <v>63.6</v>
      </c>
      <c r="R875" s="65" t="n">
        <f aca="false">ROUND($O875*$P875,2)</f>
        <v>705.6</v>
      </c>
      <c r="S875" s="65" t="n">
        <f aca="false">ROUND($O875*$Q875,2)</f>
        <v>381.6</v>
      </c>
      <c r="T875" s="65" t="n">
        <f aca="false">ROUND($R875*SUMIFS(Parametros!$E$28:$E$43,Parametros!$B$28:$B$43,$J875,Parametros!$C$28:$C$43,$C875,Parametros!$D$28:$D$43,$D875),2)</f>
        <v>32.46</v>
      </c>
      <c r="U875" s="65" t="n">
        <f aca="false">$R875-$S875-$T875</f>
        <v>291.54</v>
      </c>
      <c r="V875" s="66" t="n">
        <f aca="false">IFERROR($U875/$R875,0)</f>
        <v>0.413180272108844</v>
      </c>
      <c r="W875" s="67" t="str">
        <f aca="false">IF(AND($V875&gt;=Parametros!$C$8,$R875&gt;=Parametros!$C$12),"Alta rentabilidad",IF(OR($V875&lt;Parametros!$C$11,$R875&lt;Parametros!$C$13),"Revisar","Estandar"))</f>
        <v>Estandar</v>
      </c>
      <c r="X875" s="67" t="str">
        <f aca="false">IF(AND($J875="E-commerce",IFERROR($T875/$R875,0)&gt;Parametros!$C$14),"Alerta","OK")</f>
        <v>OK</v>
      </c>
      <c r="Y875" s="61" t="str">
        <f aca="false">IF($R875&gt;=Parametros!$C$12,"Alto",IF($R875&lt;Parametros!$C$13,"Bajo","Medio"))</f>
        <v>Medio</v>
      </c>
      <c r="Z875" s="61" t="n">
        <v>270</v>
      </c>
      <c r="AA875" s="61" t="str">
        <f aca="false">IF(MATCH($A875,Datos_Origen!$A$2:$A$2459,0)=$Z875,"OK","REVISAR")</f>
        <v>OK</v>
      </c>
      <c r="AB875" s="61" t="str">
        <f aca="false">INDEX(Datos_Origen!$B$2:$B$2459,$Z875)</f>
        <v>17/09/2024</v>
      </c>
      <c r="AC875" s="61" t="n">
        <f aca="false">INDEX(Datos_Origen!$H$2:$H$2459,$Z875)</f>
        <v>6</v>
      </c>
      <c r="AD875" s="61" t="str">
        <f aca="false">INDEX(Datos_Origen!$D$2:$D$2459,$Z875)&amp;""</f>
        <v>Mendoza</v>
      </c>
    </row>
    <row r="876" customFormat="false" ht="15" hidden="false" customHeight="false" outlineLevel="0" collapsed="false">
      <c r="A876" s="61" t="n">
        <f aca="false">INDEX(Datos_Origen!$A$2:$A$2459,$Z876)</f>
        <v>875</v>
      </c>
      <c r="B876" s="62" t="n">
        <f aca="false">IF(ISNUMBER($AB876),$AB876,IF(MID($AB876,5,1)="-",DATE(VALUE(LEFT($AB876,4)),VALUE(MID($AB876,6,2)),VALUE(RIGHT($AB876,2))),DATE(VALUE(RIGHT($AB876,4)),VALUE(MID($AB876,4,2)),VALUE(LEFT($AB876,2)))))</f>
        <v>45559</v>
      </c>
      <c r="C876" s="61" t="n">
        <f aca="false">YEAR($B876)</f>
        <v>2024</v>
      </c>
      <c r="D876" s="61" t="str">
        <f aca="false">"Q"&amp;ROUNDUP(MONTH($B876)/3,0)</f>
        <v>Q3</v>
      </c>
      <c r="E876" s="61" t="n">
        <f aca="false">MONTH($B876)</f>
        <v>9</v>
      </c>
      <c r="F876" s="61" t="str">
        <f aca="false">INDEX(Parametros!$I$5:$I$16,$E876)</f>
        <v>Sep</v>
      </c>
      <c r="G876" s="61" t="str">
        <f aca="false">TEXT($C876,"0000")&amp;"-"&amp;TEXT($E876,"00")</f>
        <v>2024-09</v>
      </c>
      <c r="H876" s="61" t="str">
        <f aca="false">INDEX(Parametros!$C$71:$C$91,MATCH(TRIM(INDEX(Datos_Origen!$C$2:$C$2459,$Z876)),Parametros!$B$71:$B$91,0))</f>
        <v>Cuyo</v>
      </c>
      <c r="I876" s="61" t="str">
        <f aca="false">IF(TRIM($AD876)="",INDEX(Parametros!$I$20:$I$24,MATCH($H876,Parametros!$H$20:$H$24,0)),TRIM($AD876))</f>
        <v>Mendoza</v>
      </c>
      <c r="J876" s="61" t="str">
        <f aca="false">INDEX(Parametros!$C$95:$C$106,MATCH(TRIM(INDEX(Datos_Origen!$E$2:$E$2459,$Z876)),Parametros!$B$95:$B$106,0))</f>
        <v>Tienda fisica</v>
      </c>
      <c r="K876" s="61" t="str">
        <f aca="false">INDEX(Parametros!$C$48:$C$67,MATCH(TRIM(INDEX(Datos_Origen!$F$2:$F$2459,$Z876)),Parametros!$B$48:$B$67,0))</f>
        <v>Audio</v>
      </c>
      <c r="L876" s="61" t="str">
        <f aca="false">$K876&amp;" "&amp;$C876</f>
        <v>Audio 2024</v>
      </c>
      <c r="M876" s="61" t="str">
        <f aca="false">TRIM(INDEX(Datos_Origen!$G$2:$G$2459,$Z876))</f>
        <v>Parlante Bluetooth</v>
      </c>
      <c r="N876" s="61" t="str">
        <f aca="false">$M876&amp;" "&amp;$C876</f>
        <v>Parlante Bluetooth 2024</v>
      </c>
      <c r="O876" s="63" t="n">
        <f aca="false">IF(ISTEXT($AC876),VALUE($AC876),$AC876)</f>
        <v>12</v>
      </c>
      <c r="P876" s="64" t="n">
        <f aca="false">INDEX(Datos_Origen!$I$2:$I$2459,$Z876)</f>
        <v>83.3</v>
      </c>
      <c r="Q876" s="64" t="n">
        <f aca="false">INDEX(Datos_Origen!$J$2:$J$2459,$Z876)</f>
        <v>48.03</v>
      </c>
      <c r="R876" s="65" t="n">
        <f aca="false">ROUND($O876*$P876,2)</f>
        <v>999.6</v>
      </c>
      <c r="S876" s="65" t="n">
        <f aca="false">ROUND($O876*$Q876,2)</f>
        <v>576.36</v>
      </c>
      <c r="T876" s="65" t="n">
        <f aca="false">ROUND($R876*SUMIFS(Parametros!$E$28:$E$43,Parametros!$B$28:$B$43,$J876,Parametros!$C$28:$C$43,$C876,Parametros!$D$28:$D$43,$D876),2)</f>
        <v>12.99</v>
      </c>
      <c r="U876" s="65" t="n">
        <f aca="false">$R876-$S876-$T876</f>
        <v>410.25</v>
      </c>
      <c r="V876" s="66" t="n">
        <f aca="false">IFERROR($U876/$R876,0)</f>
        <v>0.410414165666267</v>
      </c>
      <c r="W876" s="67" t="str">
        <f aca="false">IF(AND($V876&gt;=Parametros!$C$8,$R876&gt;=Parametros!$C$12),"Alta rentabilidad",IF(OR($V876&lt;Parametros!$C$11,$R876&lt;Parametros!$C$13),"Revisar","Estandar"))</f>
        <v>Estandar</v>
      </c>
      <c r="X876" s="67" t="str">
        <f aca="false">IF(AND($J876="E-commerce",IFERROR($T876/$R876,0)&gt;Parametros!$C$14),"Alerta","OK")</f>
        <v>OK</v>
      </c>
      <c r="Y876" s="61" t="str">
        <f aca="false">IF($R876&gt;=Parametros!$C$12,"Alto",IF($R876&lt;Parametros!$C$13,"Bajo","Medio"))</f>
        <v>Medio</v>
      </c>
      <c r="Z876" s="61" t="n">
        <v>1830</v>
      </c>
      <c r="AA876" s="61" t="str">
        <f aca="false">IF(MATCH($A876,Datos_Origen!$A$2:$A$2459,0)=$Z876,"OK","REVISAR")</f>
        <v>OK</v>
      </c>
      <c r="AB876" s="62" t="n">
        <f aca="false">INDEX(Datos_Origen!$B$2:$B$2459,$Z876)</f>
        <v>45559</v>
      </c>
      <c r="AC876" s="61" t="str">
        <f aca="false">INDEX(Datos_Origen!$H$2:$H$2459,$Z876)</f>
        <v>12</v>
      </c>
      <c r="AD876" s="61" t="str">
        <f aca="false">INDEX(Datos_Origen!$D$2:$D$2459,$Z876)&amp;""</f>
        <v>Mendoza</v>
      </c>
    </row>
    <row r="877" customFormat="false" ht="15" hidden="false" customHeight="false" outlineLevel="0" collapsed="false">
      <c r="A877" s="61" t="n">
        <f aca="false">INDEX(Datos_Origen!$A$2:$A$2459,$Z877)</f>
        <v>876</v>
      </c>
      <c r="B877" s="62" t="n">
        <f aca="false">IF(ISNUMBER($AB877),$AB877,IF(MID($AB877,5,1)="-",DATE(VALUE(LEFT($AB877,4)),VALUE(MID($AB877,6,2)),VALUE(RIGHT($AB877,2))),DATE(VALUE(RIGHT($AB877,4)),VALUE(MID($AB877,4,2)),VALUE(LEFT($AB877,2)))))</f>
        <v>45539</v>
      </c>
      <c r="C877" s="61" t="n">
        <f aca="false">YEAR($B877)</f>
        <v>2024</v>
      </c>
      <c r="D877" s="61" t="str">
        <f aca="false">"Q"&amp;ROUNDUP(MONTH($B877)/3,0)</f>
        <v>Q3</v>
      </c>
      <c r="E877" s="61" t="n">
        <f aca="false">MONTH($B877)</f>
        <v>9</v>
      </c>
      <c r="F877" s="61" t="str">
        <f aca="false">INDEX(Parametros!$I$5:$I$16,$E877)</f>
        <v>Sep</v>
      </c>
      <c r="G877" s="61" t="str">
        <f aca="false">TEXT($C877,"0000")&amp;"-"&amp;TEXT($E877,"00")</f>
        <v>2024-09</v>
      </c>
      <c r="H877" s="61" t="str">
        <f aca="false">INDEX(Parametros!$C$71:$C$91,MATCH(TRIM(INDEX(Datos_Origen!$C$2:$C$2459,$Z877)),Parametros!$B$71:$B$91,0))</f>
        <v>Cuyo</v>
      </c>
      <c r="I877" s="61" t="str">
        <f aca="false">IF(TRIM($AD877)="",INDEX(Parametros!$I$20:$I$24,MATCH($H877,Parametros!$H$20:$H$24,0)),TRIM($AD877))</f>
        <v>Mendoza</v>
      </c>
      <c r="J877" s="61" t="str">
        <f aca="false">INDEX(Parametros!$C$95:$C$106,MATCH(TRIM(INDEX(Datos_Origen!$E$2:$E$2459,$Z877)),Parametros!$B$95:$B$106,0))</f>
        <v>E-commerce</v>
      </c>
      <c r="K877" s="61" t="str">
        <f aca="false">INDEX(Parametros!$C$48:$C$67,MATCH(TRIM(INDEX(Datos_Origen!$F$2:$F$2459,$Z877)),Parametros!$B$48:$B$67,0))</f>
        <v>Audio</v>
      </c>
      <c r="L877" s="61" t="str">
        <f aca="false">$K877&amp;" "&amp;$C877</f>
        <v>Audio 2024</v>
      </c>
      <c r="M877" s="61" t="str">
        <f aca="false">TRIM(INDEX(Datos_Origen!$G$2:$G$2459,$Z877))</f>
        <v>Parlante Bluetooth</v>
      </c>
      <c r="N877" s="61" t="str">
        <f aca="false">$M877&amp;" "&amp;$C877</f>
        <v>Parlante Bluetooth 2024</v>
      </c>
      <c r="O877" s="63" t="n">
        <f aca="false">IF(ISTEXT($AC877),VALUE($AC877),$AC877)</f>
        <v>5</v>
      </c>
      <c r="P877" s="64" t="n">
        <f aca="false">INDEX(Datos_Origen!$I$2:$I$2459,$Z877)</f>
        <v>83.3</v>
      </c>
      <c r="Q877" s="64" t="n">
        <f aca="false">INDEX(Datos_Origen!$J$2:$J$2459,$Z877)</f>
        <v>48.03</v>
      </c>
      <c r="R877" s="65" t="n">
        <f aca="false">ROUND($O877*$P877,2)</f>
        <v>416.5</v>
      </c>
      <c r="S877" s="65" t="n">
        <f aca="false">ROUND($O877*$Q877,2)</f>
        <v>240.15</v>
      </c>
      <c r="T877" s="65" t="n">
        <f aca="false">ROUND($R877*SUMIFS(Parametros!$E$28:$E$43,Parametros!$B$28:$B$43,$J877,Parametros!$C$28:$C$43,$C877,Parametros!$D$28:$D$43,$D877),2)</f>
        <v>19.16</v>
      </c>
      <c r="U877" s="65" t="n">
        <f aca="false">$R877-$S877-$T877</f>
        <v>157.19</v>
      </c>
      <c r="V877" s="66" t="n">
        <f aca="false">IFERROR($U877/$R877,0)</f>
        <v>0.377406962785114</v>
      </c>
      <c r="W877" s="67" t="str">
        <f aca="false">IF(AND($V877&gt;=Parametros!$C$8,$R877&gt;=Parametros!$C$12),"Alta rentabilidad",IF(OR($V877&lt;Parametros!$C$11,$R877&lt;Parametros!$C$13),"Revisar","Estandar"))</f>
        <v>Estandar</v>
      </c>
      <c r="X877" s="67" t="str">
        <f aca="false">IF(AND($J877="E-commerce",IFERROR($T877/$R877,0)&gt;Parametros!$C$14),"Alerta","OK")</f>
        <v>OK</v>
      </c>
      <c r="Y877" s="61" t="str">
        <f aca="false">IF($R877&gt;=Parametros!$C$12,"Alto",IF($R877&lt;Parametros!$C$13,"Bajo","Medio"))</f>
        <v>Medio</v>
      </c>
      <c r="Z877" s="61" t="n">
        <v>1808</v>
      </c>
      <c r="AA877" s="61" t="str">
        <f aca="false">IF(MATCH($A877,Datos_Origen!$A$2:$A$2459,0)=$Z877,"OK","REVISAR")</f>
        <v>OK</v>
      </c>
      <c r="AB877" s="61" t="str">
        <f aca="false">INDEX(Datos_Origen!$B$2:$B$2459,$Z877)</f>
        <v>2024-09-04</v>
      </c>
      <c r="AC877" s="61" t="n">
        <f aca="false">INDEX(Datos_Origen!$H$2:$H$2459,$Z877)</f>
        <v>5</v>
      </c>
      <c r="AD877" s="61" t="str">
        <f aca="false">INDEX(Datos_Origen!$D$2:$D$2459,$Z877)&amp;""</f>
        <v>Mendoza</v>
      </c>
    </row>
    <row r="878" customFormat="false" ht="15" hidden="false" customHeight="false" outlineLevel="0" collapsed="false">
      <c r="A878" s="61" t="n">
        <f aca="false">INDEX(Datos_Origen!$A$2:$A$2459,$Z878)</f>
        <v>877</v>
      </c>
      <c r="B878" s="62" t="n">
        <f aca="false">IF(ISNUMBER($AB878),$AB878,IF(MID($AB878,5,1)="-",DATE(VALUE(LEFT($AB878,4)),VALUE(MID($AB878,6,2)),VALUE(RIGHT($AB878,2))),DATE(VALUE(RIGHT($AB878,4)),VALUE(MID($AB878,4,2)),VALUE(LEFT($AB878,2)))))</f>
        <v>45546</v>
      </c>
      <c r="C878" s="61" t="n">
        <f aca="false">YEAR($B878)</f>
        <v>2024</v>
      </c>
      <c r="D878" s="61" t="str">
        <f aca="false">"Q"&amp;ROUNDUP(MONTH($B878)/3,0)</f>
        <v>Q3</v>
      </c>
      <c r="E878" s="61" t="n">
        <f aca="false">MONTH($B878)</f>
        <v>9</v>
      </c>
      <c r="F878" s="61" t="str">
        <f aca="false">INDEX(Parametros!$I$5:$I$16,$E878)</f>
        <v>Sep</v>
      </c>
      <c r="G878" s="61" t="str">
        <f aca="false">TEXT($C878,"0000")&amp;"-"&amp;TEXT($E878,"00")</f>
        <v>2024-09</v>
      </c>
      <c r="H878" s="61" t="str">
        <f aca="false">INDEX(Parametros!$C$71:$C$91,MATCH(TRIM(INDEX(Datos_Origen!$C$2:$C$2459,$Z878)),Parametros!$B$71:$B$91,0))</f>
        <v>Cuyo</v>
      </c>
      <c r="I878" s="61" t="str">
        <f aca="false">IF(TRIM($AD878)="",INDEX(Parametros!$I$20:$I$24,MATCH($H878,Parametros!$H$20:$H$24,0)),TRIM($AD878))</f>
        <v>Mendoza</v>
      </c>
      <c r="J878" s="61" t="str">
        <f aca="false">INDEX(Parametros!$C$95:$C$106,MATCH(TRIM(INDEX(Datos_Origen!$E$2:$E$2459,$Z878)),Parametros!$B$95:$B$106,0))</f>
        <v>Tienda fisica</v>
      </c>
      <c r="K878" s="61" t="str">
        <f aca="false">INDEX(Parametros!$C$48:$C$67,MATCH(TRIM(INDEX(Datos_Origen!$F$2:$F$2459,$Z878)),Parametros!$B$48:$B$67,0))</f>
        <v>Almacenamiento</v>
      </c>
      <c r="L878" s="61" t="str">
        <f aca="false">$K878&amp;" "&amp;$C878</f>
        <v>Almacenamiento 2024</v>
      </c>
      <c r="M878" s="61" t="str">
        <f aca="false">TRIM(INDEX(Datos_Origen!$G$2:$G$2459,$Z878))</f>
        <v>SSD Externo 1TB</v>
      </c>
      <c r="N878" s="61" t="str">
        <f aca="false">$M878&amp;" "&amp;$C878</f>
        <v>SSD Externo 1TB 2024</v>
      </c>
      <c r="O878" s="63" t="n">
        <f aca="false">IF(ISTEXT($AC878),VALUE($AC878),$AC878)</f>
        <v>20</v>
      </c>
      <c r="P878" s="64" t="n">
        <f aca="false">INDEX(Datos_Origen!$I$2:$I$2459,$Z878)</f>
        <v>127.4</v>
      </c>
      <c r="Q878" s="64" t="n">
        <f aca="false">INDEX(Datos_Origen!$J$2:$J$2459,$Z878)</f>
        <v>76.05</v>
      </c>
      <c r="R878" s="65" t="n">
        <f aca="false">ROUND($O878*$P878,2)</f>
        <v>2548</v>
      </c>
      <c r="S878" s="65" t="n">
        <f aca="false">ROUND($O878*$Q878,2)</f>
        <v>1521</v>
      </c>
      <c r="T878" s="65" t="n">
        <f aca="false">ROUND($R878*SUMIFS(Parametros!$E$28:$E$43,Parametros!$B$28:$B$43,$J878,Parametros!$C$28:$C$43,$C878,Parametros!$D$28:$D$43,$D878),2)</f>
        <v>33.12</v>
      </c>
      <c r="U878" s="65" t="n">
        <f aca="false">$R878-$S878-$T878</f>
        <v>993.88</v>
      </c>
      <c r="V878" s="66" t="n">
        <f aca="false">IFERROR($U878/$R878,0)</f>
        <v>0.390062794348509</v>
      </c>
      <c r="W878" s="67" t="str">
        <f aca="false">IF(AND($V878&gt;=Parametros!$C$8,$R878&gt;=Parametros!$C$12),"Alta rentabilidad",IF(OR($V878&lt;Parametros!$C$11,$R878&lt;Parametros!$C$13),"Revisar","Estandar"))</f>
        <v>Estandar</v>
      </c>
      <c r="X878" s="67" t="str">
        <f aca="false">IF(AND($J878="E-commerce",IFERROR($T878/$R878,0)&gt;Parametros!$C$14),"Alerta","OK")</f>
        <v>OK</v>
      </c>
      <c r="Y878" s="61" t="str">
        <f aca="false">IF($R878&gt;=Parametros!$C$12,"Alto",IF($R878&lt;Parametros!$C$13,"Bajo","Medio"))</f>
        <v>Medio</v>
      </c>
      <c r="Z878" s="61" t="n">
        <v>2027</v>
      </c>
      <c r="AA878" s="61" t="str">
        <f aca="false">IF(MATCH($A878,Datos_Origen!$A$2:$A$2459,0)=$Z878,"OK","REVISAR")</f>
        <v>OK</v>
      </c>
      <c r="AB878" s="61" t="str">
        <f aca="false">INDEX(Datos_Origen!$B$2:$B$2459,$Z878)</f>
        <v>11/09/2024</v>
      </c>
      <c r="AC878" s="61" t="n">
        <f aca="false">INDEX(Datos_Origen!$H$2:$H$2459,$Z878)</f>
        <v>20</v>
      </c>
      <c r="AD878" s="61" t="str">
        <f aca="false">INDEX(Datos_Origen!$D$2:$D$2459,$Z878)&amp;""</f>
        <v>Mendoza</v>
      </c>
    </row>
    <row r="879" customFormat="false" ht="15" hidden="false" customHeight="false" outlineLevel="0" collapsed="false">
      <c r="A879" s="61" t="n">
        <f aca="false">INDEX(Datos_Origen!$A$2:$A$2459,$Z879)</f>
        <v>878</v>
      </c>
      <c r="B879" s="62" t="n">
        <f aca="false">IF(ISNUMBER($AB879),$AB879,IF(MID($AB879,5,1)="-",DATE(VALUE(LEFT($AB879,4)),VALUE(MID($AB879,6,2)),VALUE(RIGHT($AB879,2))),DATE(VALUE(RIGHT($AB879,4)),VALUE(MID($AB879,4,2)),VALUE(LEFT($AB879,2)))))</f>
        <v>45553</v>
      </c>
      <c r="C879" s="61" t="n">
        <f aca="false">YEAR($B879)</f>
        <v>2024</v>
      </c>
      <c r="D879" s="61" t="str">
        <f aca="false">"Q"&amp;ROUNDUP(MONTH($B879)/3,0)</f>
        <v>Q3</v>
      </c>
      <c r="E879" s="61" t="n">
        <f aca="false">MONTH($B879)</f>
        <v>9</v>
      </c>
      <c r="F879" s="61" t="str">
        <f aca="false">INDEX(Parametros!$I$5:$I$16,$E879)</f>
        <v>Sep</v>
      </c>
      <c r="G879" s="61" t="str">
        <f aca="false">TEXT($C879,"0000")&amp;"-"&amp;TEXT($E879,"00")</f>
        <v>2024-09</v>
      </c>
      <c r="H879" s="61" t="str">
        <f aca="false">INDEX(Parametros!$C$71:$C$91,MATCH(TRIM(INDEX(Datos_Origen!$C$2:$C$2459,$Z879)),Parametros!$B$71:$B$91,0))</f>
        <v>Cuyo</v>
      </c>
      <c r="I879" s="61" t="str">
        <f aca="false">IF(TRIM($AD879)="",INDEX(Parametros!$I$20:$I$24,MATCH($H879,Parametros!$H$20:$H$24,0)),TRIM($AD879))</f>
        <v>Mendoza</v>
      </c>
      <c r="J879" s="61" t="str">
        <f aca="false">INDEX(Parametros!$C$95:$C$106,MATCH(TRIM(INDEX(Datos_Origen!$E$2:$E$2459,$Z879)),Parametros!$B$95:$B$106,0))</f>
        <v>E-commerce</v>
      </c>
      <c r="K879" s="61" t="str">
        <f aca="false">INDEX(Parametros!$C$48:$C$67,MATCH(TRIM(INDEX(Datos_Origen!$F$2:$F$2459,$Z879)),Parametros!$B$48:$B$67,0))</f>
        <v>Almacenamiento</v>
      </c>
      <c r="L879" s="61" t="str">
        <f aca="false">$K879&amp;" "&amp;$C879</f>
        <v>Almacenamiento 2024</v>
      </c>
      <c r="M879" s="61" t="str">
        <f aca="false">TRIM(INDEX(Datos_Origen!$G$2:$G$2459,$Z879))</f>
        <v>SSD Externo 1TB</v>
      </c>
      <c r="N879" s="61" t="str">
        <f aca="false">$M879&amp;" "&amp;$C879</f>
        <v>SSD Externo 1TB 2024</v>
      </c>
      <c r="O879" s="63" t="n">
        <f aca="false">IF(ISTEXT($AC879),VALUE($AC879),$AC879)</f>
        <v>8</v>
      </c>
      <c r="P879" s="64" t="n">
        <f aca="false">INDEX(Datos_Origen!$I$2:$I$2459,$Z879)</f>
        <v>127.4</v>
      </c>
      <c r="Q879" s="64" t="n">
        <f aca="false">INDEX(Datos_Origen!$J$2:$J$2459,$Z879)</f>
        <v>76.05</v>
      </c>
      <c r="R879" s="65" t="n">
        <f aca="false">ROUND($O879*$P879,2)</f>
        <v>1019.2</v>
      </c>
      <c r="S879" s="65" t="n">
        <f aca="false">ROUND($O879*$Q879,2)</f>
        <v>608.4</v>
      </c>
      <c r="T879" s="65" t="n">
        <f aca="false">ROUND($R879*SUMIFS(Parametros!$E$28:$E$43,Parametros!$B$28:$B$43,$J879,Parametros!$C$28:$C$43,$C879,Parametros!$D$28:$D$43,$D879),2)</f>
        <v>46.88</v>
      </c>
      <c r="U879" s="65" t="n">
        <f aca="false">$R879-$S879-$T879</f>
        <v>363.92</v>
      </c>
      <c r="V879" s="66" t="n">
        <f aca="false">IFERROR($U879/$R879,0)</f>
        <v>0.357064364207221</v>
      </c>
      <c r="W879" s="67" t="str">
        <f aca="false">IF(AND($V879&gt;=Parametros!$C$8,$R879&gt;=Parametros!$C$12),"Alta rentabilidad",IF(OR($V879&lt;Parametros!$C$11,$R879&lt;Parametros!$C$13),"Revisar","Estandar"))</f>
        <v>Estandar</v>
      </c>
      <c r="X879" s="67" t="str">
        <f aca="false">IF(AND($J879="E-commerce",IFERROR($T879/$R879,0)&gt;Parametros!$C$14),"Alerta","OK")</f>
        <v>OK</v>
      </c>
      <c r="Y879" s="61" t="str">
        <f aca="false">IF($R879&gt;=Parametros!$C$12,"Alto",IF($R879&lt;Parametros!$C$13,"Bajo","Medio"))</f>
        <v>Medio</v>
      </c>
      <c r="Z879" s="61" t="n">
        <v>340</v>
      </c>
      <c r="AA879" s="61" t="str">
        <f aca="false">IF(MATCH($A879,Datos_Origen!$A$2:$A$2459,0)=$Z879,"OK","REVISAR")</f>
        <v>OK</v>
      </c>
      <c r="AB879" s="61" t="str">
        <f aca="false">INDEX(Datos_Origen!$B$2:$B$2459,$Z879)</f>
        <v>2024-09-18</v>
      </c>
      <c r="AC879" s="61" t="n">
        <f aca="false">INDEX(Datos_Origen!$H$2:$H$2459,$Z879)</f>
        <v>8</v>
      </c>
      <c r="AD879" s="61" t="str">
        <f aca="false">INDEX(Datos_Origen!$D$2:$D$2459,$Z879)&amp;""</f>
        <v>Mendoza</v>
      </c>
    </row>
    <row r="880" customFormat="false" ht="15" hidden="false" customHeight="false" outlineLevel="0" collapsed="false">
      <c r="A880" s="61" t="n">
        <f aca="false">INDEX(Datos_Origen!$A$2:$A$2459,$Z880)</f>
        <v>879</v>
      </c>
      <c r="B880" s="62" t="n">
        <f aca="false">IF(ISNUMBER($AB880),$AB880,IF(MID($AB880,5,1)="-",DATE(VALUE(LEFT($AB880,4)),VALUE(MID($AB880,6,2)),VALUE(RIGHT($AB880,2))),DATE(VALUE(RIGHT($AB880,4)),VALUE(MID($AB880,4,2)),VALUE(LEFT($AB880,2)))))</f>
        <v>45560</v>
      </c>
      <c r="C880" s="61" t="n">
        <f aca="false">YEAR($B880)</f>
        <v>2024</v>
      </c>
      <c r="D880" s="61" t="str">
        <f aca="false">"Q"&amp;ROUNDUP(MONTH($B880)/3,0)</f>
        <v>Q3</v>
      </c>
      <c r="E880" s="61" t="n">
        <f aca="false">MONTH($B880)</f>
        <v>9</v>
      </c>
      <c r="F880" s="61" t="str">
        <f aca="false">INDEX(Parametros!$I$5:$I$16,$E880)</f>
        <v>Sep</v>
      </c>
      <c r="G880" s="61" t="str">
        <f aca="false">TEXT($C880,"0000")&amp;"-"&amp;TEXT($E880,"00")</f>
        <v>2024-09</v>
      </c>
      <c r="H880" s="61" t="str">
        <f aca="false">INDEX(Parametros!$C$71:$C$91,MATCH(TRIM(INDEX(Datos_Origen!$C$2:$C$2459,$Z880)),Parametros!$B$71:$B$91,0))</f>
        <v>Cuyo</v>
      </c>
      <c r="I880" s="61" t="str">
        <f aca="false">IF(TRIM($AD880)="",INDEX(Parametros!$I$20:$I$24,MATCH($H880,Parametros!$H$20:$H$24,0)),TRIM($AD880))</f>
        <v>Mendoza</v>
      </c>
      <c r="J880" s="61" t="str">
        <f aca="false">INDEX(Parametros!$C$95:$C$106,MATCH(TRIM(INDEX(Datos_Origen!$E$2:$E$2459,$Z880)),Parametros!$B$95:$B$106,0))</f>
        <v>Tienda fisica</v>
      </c>
      <c r="K880" s="61" t="str">
        <f aca="false">INDEX(Parametros!$C$48:$C$67,MATCH(TRIM(INDEX(Datos_Origen!$F$2:$F$2459,$Z880)),Parametros!$B$48:$B$67,0))</f>
        <v>Almacenamiento</v>
      </c>
      <c r="L880" s="61" t="str">
        <f aca="false">$K880&amp;" "&amp;$C880</f>
        <v>Almacenamiento 2024</v>
      </c>
      <c r="M880" s="61" t="str">
        <f aca="false">TRIM(INDEX(Datos_Origen!$G$2:$G$2459,$Z880))</f>
        <v>Pendrive 256GB</v>
      </c>
      <c r="N880" s="61" t="str">
        <f aca="false">$M880&amp;" "&amp;$C880</f>
        <v>Pendrive 256GB 2024</v>
      </c>
      <c r="O880" s="63" t="n">
        <f aca="false">IF(ISTEXT($AC880),VALUE($AC880),$AC880)</f>
        <v>18</v>
      </c>
      <c r="P880" s="64" t="n">
        <f aca="false">INDEX(Datos_Origen!$I$2:$I$2459,$Z880)</f>
        <v>34.3</v>
      </c>
      <c r="Q880" s="64" t="n">
        <f aca="false">INDEX(Datos_Origen!$J$2:$J$2459,$Z880)</f>
        <v>17.85</v>
      </c>
      <c r="R880" s="65" t="n">
        <f aca="false">ROUND($O880*$P880,2)</f>
        <v>617.4</v>
      </c>
      <c r="S880" s="65" t="n">
        <f aca="false">ROUND($O880*$Q880,2)</f>
        <v>321.3</v>
      </c>
      <c r="T880" s="65" t="n">
        <f aca="false">ROUND($R880*SUMIFS(Parametros!$E$28:$E$43,Parametros!$B$28:$B$43,$J880,Parametros!$C$28:$C$43,$C880,Parametros!$D$28:$D$43,$D880),2)</f>
        <v>8.03</v>
      </c>
      <c r="U880" s="65" t="n">
        <f aca="false">$R880-$S880-$T880</f>
        <v>288.07</v>
      </c>
      <c r="V880" s="66" t="n">
        <f aca="false">IFERROR($U880/$R880,0)</f>
        <v>0.466585681891804</v>
      </c>
      <c r="W880" s="67" t="str">
        <f aca="false">IF(AND($V880&gt;=Parametros!$C$8,$R880&gt;=Parametros!$C$12),"Alta rentabilidad",IF(OR($V880&lt;Parametros!$C$11,$R880&lt;Parametros!$C$13),"Revisar","Estandar"))</f>
        <v>Estandar</v>
      </c>
      <c r="X880" s="67" t="str">
        <f aca="false">IF(AND($J880="E-commerce",IFERROR($T880/$R880,0)&gt;Parametros!$C$14),"Alerta","OK")</f>
        <v>OK</v>
      </c>
      <c r="Y880" s="61" t="str">
        <f aca="false">IF($R880&gt;=Parametros!$C$12,"Alto",IF($R880&lt;Parametros!$C$13,"Bajo","Medio"))</f>
        <v>Medio</v>
      </c>
      <c r="Z880" s="61" t="n">
        <v>1703</v>
      </c>
      <c r="AA880" s="61" t="str">
        <f aca="false">IF(MATCH($A880,Datos_Origen!$A$2:$A$2459,0)=$Z880,"OK","REVISAR")</f>
        <v>OK</v>
      </c>
      <c r="AB880" s="61" t="str">
        <f aca="false">INDEX(Datos_Origen!$B$2:$B$2459,$Z880)</f>
        <v>2024-09-25</v>
      </c>
      <c r="AC880" s="61" t="n">
        <f aca="false">INDEX(Datos_Origen!$H$2:$H$2459,$Z880)</f>
        <v>18</v>
      </c>
      <c r="AD880" s="61" t="str">
        <f aca="false">INDEX(Datos_Origen!$D$2:$D$2459,$Z880)&amp;""</f>
        <v/>
      </c>
    </row>
    <row r="881" customFormat="false" ht="15" hidden="false" customHeight="false" outlineLevel="0" collapsed="false">
      <c r="A881" s="61" t="n">
        <f aca="false">INDEX(Datos_Origen!$A$2:$A$2459,$Z881)</f>
        <v>880</v>
      </c>
      <c r="B881" s="62" t="n">
        <f aca="false">IF(ISNUMBER($AB881),$AB881,IF(MID($AB881,5,1)="-",DATE(VALUE(LEFT($AB881,4)),VALUE(MID($AB881,6,2)),VALUE(RIGHT($AB881,2))),DATE(VALUE(RIGHT($AB881,4)),VALUE(MID($AB881,4,2)),VALUE(LEFT($AB881,2)))))</f>
        <v>45540</v>
      </c>
      <c r="C881" s="61" t="n">
        <f aca="false">YEAR($B881)</f>
        <v>2024</v>
      </c>
      <c r="D881" s="61" t="str">
        <f aca="false">"Q"&amp;ROUNDUP(MONTH($B881)/3,0)</f>
        <v>Q3</v>
      </c>
      <c r="E881" s="61" t="n">
        <f aca="false">MONTH($B881)</f>
        <v>9</v>
      </c>
      <c r="F881" s="61" t="str">
        <f aca="false">INDEX(Parametros!$I$5:$I$16,$E881)</f>
        <v>Sep</v>
      </c>
      <c r="G881" s="61" t="str">
        <f aca="false">TEXT($C881,"0000")&amp;"-"&amp;TEXT($E881,"00")</f>
        <v>2024-09</v>
      </c>
      <c r="H881" s="61" t="str">
        <f aca="false">INDEX(Parametros!$C$71:$C$91,MATCH(TRIM(INDEX(Datos_Origen!$C$2:$C$2459,$Z881)),Parametros!$B$71:$B$91,0))</f>
        <v>Cuyo</v>
      </c>
      <c r="I881" s="61" t="str">
        <f aca="false">IF(TRIM($AD881)="",INDEX(Parametros!$I$20:$I$24,MATCH($H881,Parametros!$H$20:$H$24,0)),TRIM($AD881))</f>
        <v>Mendoza</v>
      </c>
      <c r="J881" s="61" t="str">
        <f aca="false">INDEX(Parametros!$C$95:$C$106,MATCH(TRIM(INDEX(Datos_Origen!$E$2:$E$2459,$Z881)),Parametros!$B$95:$B$106,0))</f>
        <v>E-commerce</v>
      </c>
      <c r="K881" s="61" t="str">
        <f aca="false">INDEX(Parametros!$C$48:$C$67,MATCH(TRIM(INDEX(Datos_Origen!$F$2:$F$2459,$Z881)),Parametros!$B$48:$B$67,0))</f>
        <v>Almacenamiento</v>
      </c>
      <c r="L881" s="61" t="str">
        <f aca="false">$K881&amp;" "&amp;$C881</f>
        <v>Almacenamiento 2024</v>
      </c>
      <c r="M881" s="61" t="str">
        <f aca="false">TRIM(INDEX(Datos_Origen!$G$2:$G$2459,$Z881))</f>
        <v>Pendrive 256GB</v>
      </c>
      <c r="N881" s="61" t="str">
        <f aca="false">$M881&amp;" "&amp;$C881</f>
        <v>Pendrive 256GB 2024</v>
      </c>
      <c r="O881" s="63" t="n">
        <f aca="false">IF(ISTEXT($AC881),VALUE($AC881),$AC881)</f>
        <v>6</v>
      </c>
      <c r="P881" s="64" t="n">
        <f aca="false">INDEX(Datos_Origen!$I$2:$I$2459,$Z881)</f>
        <v>34.3</v>
      </c>
      <c r="Q881" s="64" t="n">
        <f aca="false">INDEX(Datos_Origen!$J$2:$J$2459,$Z881)</f>
        <v>17.85</v>
      </c>
      <c r="R881" s="65" t="n">
        <f aca="false">ROUND($O881*$P881,2)</f>
        <v>205.8</v>
      </c>
      <c r="S881" s="65" t="n">
        <f aca="false">ROUND($O881*$Q881,2)</f>
        <v>107.1</v>
      </c>
      <c r="T881" s="65" t="n">
        <f aca="false">ROUND($R881*SUMIFS(Parametros!$E$28:$E$43,Parametros!$B$28:$B$43,$J881,Parametros!$C$28:$C$43,$C881,Parametros!$D$28:$D$43,$D881),2)</f>
        <v>9.47</v>
      </c>
      <c r="U881" s="65" t="n">
        <f aca="false">$R881-$S881-$T881</f>
        <v>89.23</v>
      </c>
      <c r="V881" s="66" t="n">
        <f aca="false">IFERROR($U881/$R881,0)</f>
        <v>0.43357628765792</v>
      </c>
      <c r="W881" s="67" t="str">
        <f aca="false">IF(AND($V881&gt;=Parametros!$C$8,$R881&gt;=Parametros!$C$12),"Alta rentabilidad",IF(OR($V881&lt;Parametros!$C$11,$R881&lt;Parametros!$C$13),"Revisar","Estandar"))</f>
        <v>Revisar</v>
      </c>
      <c r="X881" s="67" t="str">
        <f aca="false">IF(AND($J881="E-commerce",IFERROR($T881/$R881,0)&gt;Parametros!$C$14),"Alerta","OK")</f>
        <v>OK</v>
      </c>
      <c r="Y881" s="61" t="str">
        <f aca="false">IF($R881&gt;=Parametros!$C$12,"Alto",IF($R881&lt;Parametros!$C$13,"Bajo","Medio"))</f>
        <v>Bajo</v>
      </c>
      <c r="Z881" s="61" t="n">
        <v>1508</v>
      </c>
      <c r="AA881" s="61" t="str">
        <f aca="false">IF(MATCH($A881,Datos_Origen!$A$2:$A$2459,0)=$Z881,"OK","REVISAR")</f>
        <v>OK</v>
      </c>
      <c r="AB881" s="61" t="str">
        <f aca="false">INDEX(Datos_Origen!$B$2:$B$2459,$Z881)</f>
        <v>05/09/2024</v>
      </c>
      <c r="AC881" s="61" t="n">
        <f aca="false">INDEX(Datos_Origen!$H$2:$H$2459,$Z881)</f>
        <v>6</v>
      </c>
      <c r="AD881" s="61" t="str">
        <f aca="false">INDEX(Datos_Origen!$D$2:$D$2459,$Z881)&amp;""</f>
        <v>Mendoza</v>
      </c>
    </row>
    <row r="882" customFormat="false" ht="15" hidden="false" customHeight="false" outlineLevel="0" collapsed="false">
      <c r="A882" s="61" t="n">
        <f aca="false">INDEX(Datos_Origen!$A$2:$A$2459,$Z882)</f>
        <v>881</v>
      </c>
      <c r="B882" s="62" t="n">
        <f aca="false">IF(ISNUMBER($AB882),$AB882,IF(MID($AB882,5,1)="-",DATE(VALUE(LEFT($AB882,4)),VALUE(MID($AB882,6,2)),VALUE(RIGHT($AB882,2))),DATE(VALUE(RIGHT($AB882,4)),VALUE(MID($AB882,4,2)),VALUE(LEFT($AB882,2)))))</f>
        <v>45547</v>
      </c>
      <c r="C882" s="61" t="n">
        <f aca="false">YEAR($B882)</f>
        <v>2024</v>
      </c>
      <c r="D882" s="61" t="str">
        <f aca="false">"Q"&amp;ROUNDUP(MONTH($B882)/3,0)</f>
        <v>Q3</v>
      </c>
      <c r="E882" s="61" t="n">
        <f aca="false">MONTH($B882)</f>
        <v>9</v>
      </c>
      <c r="F882" s="61" t="str">
        <f aca="false">INDEX(Parametros!$I$5:$I$16,$E882)</f>
        <v>Sep</v>
      </c>
      <c r="G882" s="61" t="str">
        <f aca="false">TEXT($C882,"0000")&amp;"-"&amp;TEXT($E882,"00")</f>
        <v>2024-09</v>
      </c>
      <c r="H882" s="61" t="str">
        <f aca="false">INDEX(Parametros!$C$71:$C$91,MATCH(TRIM(INDEX(Datos_Origen!$C$2:$C$2459,$Z882)),Parametros!$B$71:$B$91,0))</f>
        <v>NOA</v>
      </c>
      <c r="I882" s="61" t="str">
        <f aca="false">IF(TRIM($AD882)="",INDEX(Parametros!$I$20:$I$24,MATCH($H882,Parametros!$H$20:$H$24,0)),TRIM($AD882))</f>
        <v>Tucuman</v>
      </c>
      <c r="J882" s="61" t="str">
        <f aca="false">INDEX(Parametros!$C$95:$C$106,MATCH(TRIM(INDEX(Datos_Origen!$E$2:$E$2459,$Z882)),Parametros!$B$95:$B$106,0))</f>
        <v>Tienda fisica</v>
      </c>
      <c r="K882" s="61" t="str">
        <f aca="false">INDEX(Parametros!$C$48:$C$67,MATCH(TRIM(INDEX(Datos_Origen!$F$2:$F$2459,$Z882)),Parametros!$B$48:$B$67,0))</f>
        <v>Computacion</v>
      </c>
      <c r="L882" s="61" t="str">
        <f aca="false">$K882&amp;" "&amp;$C882</f>
        <v>Computacion 2024</v>
      </c>
      <c r="M882" s="61" t="str">
        <f aca="false">TRIM(INDEX(Datos_Origen!$G$2:$G$2459,$Z882))</f>
        <v>Laptop Pro 15</v>
      </c>
      <c r="N882" s="61" t="str">
        <f aca="false">$M882&amp;" "&amp;$C882</f>
        <v>Laptop Pro 15 2024</v>
      </c>
      <c r="O882" s="63" t="n">
        <f aca="false">IF(ISTEXT($AC882),VALUE($AC882),$AC882)</f>
        <v>6</v>
      </c>
      <c r="P882" s="64" t="n">
        <f aca="false">INDEX(Datos_Origen!$I$2:$I$2459,$Z882)</f>
        <v>1176</v>
      </c>
      <c r="Q882" s="64" t="n">
        <f aca="false">INDEX(Datos_Origen!$J$2:$J$2459,$Z882)</f>
        <v>744</v>
      </c>
      <c r="R882" s="65" t="n">
        <f aca="false">ROUND($O882*$P882,2)</f>
        <v>7056</v>
      </c>
      <c r="S882" s="65" t="n">
        <f aca="false">ROUND($O882*$Q882,2)</f>
        <v>4464</v>
      </c>
      <c r="T882" s="65" t="n">
        <f aca="false">ROUND($R882*SUMIFS(Parametros!$E$28:$E$43,Parametros!$B$28:$B$43,$J882,Parametros!$C$28:$C$43,$C882,Parametros!$D$28:$D$43,$D882),2)</f>
        <v>91.73</v>
      </c>
      <c r="U882" s="65" t="n">
        <f aca="false">$R882-$S882-$T882</f>
        <v>2500.27</v>
      </c>
      <c r="V882" s="66" t="n">
        <f aca="false">IFERROR($U882/$R882,0)</f>
        <v>0.354346655328798</v>
      </c>
      <c r="W882" s="67" t="str">
        <f aca="false">IF(AND($V882&gt;=Parametros!$C$8,$R882&gt;=Parametros!$C$12),"Alta rentabilidad",IF(OR($V882&lt;Parametros!$C$11,$R882&lt;Parametros!$C$13),"Revisar","Estandar"))</f>
        <v>Alta rentabilidad</v>
      </c>
      <c r="X882" s="67" t="str">
        <f aca="false">IF(AND($J882="E-commerce",IFERROR($T882/$R882,0)&gt;Parametros!$C$14),"Alerta","OK")</f>
        <v>OK</v>
      </c>
      <c r="Y882" s="61" t="str">
        <f aca="false">IF($R882&gt;=Parametros!$C$12,"Alto",IF($R882&lt;Parametros!$C$13,"Bajo","Medio"))</f>
        <v>Alto</v>
      </c>
      <c r="Z882" s="61" t="n">
        <v>597</v>
      </c>
      <c r="AA882" s="61" t="str">
        <f aca="false">IF(MATCH($A882,Datos_Origen!$A$2:$A$2459,0)=$Z882,"OK","REVISAR")</f>
        <v>OK</v>
      </c>
      <c r="AB882" s="62" t="n">
        <f aca="false">INDEX(Datos_Origen!$B$2:$B$2459,$Z882)</f>
        <v>45547</v>
      </c>
      <c r="AC882" s="61" t="n">
        <f aca="false">INDEX(Datos_Origen!$H$2:$H$2459,$Z882)</f>
        <v>6</v>
      </c>
      <c r="AD882" s="61" t="str">
        <f aca="false">INDEX(Datos_Origen!$D$2:$D$2459,$Z882)&amp;""</f>
        <v>Tucuman</v>
      </c>
    </row>
    <row r="883" customFormat="false" ht="15" hidden="false" customHeight="false" outlineLevel="0" collapsed="false">
      <c r="A883" s="61" t="n">
        <f aca="false">INDEX(Datos_Origen!$A$2:$A$2459,$Z883)</f>
        <v>882</v>
      </c>
      <c r="B883" s="62" t="n">
        <f aca="false">IF(ISNUMBER($AB883),$AB883,IF(MID($AB883,5,1)="-",DATE(VALUE(LEFT($AB883,4)),VALUE(MID($AB883,6,2)),VALUE(RIGHT($AB883,2))),DATE(VALUE(RIGHT($AB883,4)),VALUE(MID($AB883,4,2)),VALUE(LEFT($AB883,2)))))</f>
        <v>45554</v>
      </c>
      <c r="C883" s="61" t="n">
        <f aca="false">YEAR($B883)</f>
        <v>2024</v>
      </c>
      <c r="D883" s="61" t="str">
        <f aca="false">"Q"&amp;ROUNDUP(MONTH($B883)/3,0)</f>
        <v>Q3</v>
      </c>
      <c r="E883" s="61" t="n">
        <f aca="false">MONTH($B883)</f>
        <v>9</v>
      </c>
      <c r="F883" s="61" t="str">
        <f aca="false">INDEX(Parametros!$I$5:$I$16,$E883)</f>
        <v>Sep</v>
      </c>
      <c r="G883" s="61" t="str">
        <f aca="false">TEXT($C883,"0000")&amp;"-"&amp;TEXT($E883,"00")</f>
        <v>2024-09</v>
      </c>
      <c r="H883" s="61" t="str">
        <f aca="false">INDEX(Parametros!$C$71:$C$91,MATCH(TRIM(INDEX(Datos_Origen!$C$2:$C$2459,$Z883)),Parametros!$B$71:$B$91,0))</f>
        <v>NOA</v>
      </c>
      <c r="I883" s="61" t="str">
        <f aca="false">IF(TRIM($AD883)="",INDEX(Parametros!$I$20:$I$24,MATCH($H883,Parametros!$H$20:$H$24,0)),TRIM($AD883))</f>
        <v>Tucuman</v>
      </c>
      <c r="J883" s="61" t="str">
        <f aca="false">INDEX(Parametros!$C$95:$C$106,MATCH(TRIM(INDEX(Datos_Origen!$E$2:$E$2459,$Z883)),Parametros!$B$95:$B$106,0))</f>
        <v>E-commerce</v>
      </c>
      <c r="K883" s="61" t="str">
        <f aca="false">INDEX(Parametros!$C$48:$C$67,MATCH(TRIM(INDEX(Datos_Origen!$F$2:$F$2459,$Z883)),Parametros!$B$48:$B$67,0))</f>
        <v>Computacion</v>
      </c>
      <c r="L883" s="61" t="str">
        <f aca="false">$K883&amp;" "&amp;$C883</f>
        <v>Computacion 2024</v>
      </c>
      <c r="M883" s="61" t="str">
        <f aca="false">TRIM(INDEX(Datos_Origen!$G$2:$G$2459,$Z883))</f>
        <v>Laptop Pro 15</v>
      </c>
      <c r="N883" s="61" t="str">
        <f aca="false">$M883&amp;" "&amp;$C883</f>
        <v>Laptop Pro 15 2024</v>
      </c>
      <c r="O883" s="63" t="n">
        <f aca="false">IF(ISTEXT($AC883),VALUE($AC883),$AC883)</f>
        <v>3</v>
      </c>
      <c r="P883" s="64" t="n">
        <f aca="false">INDEX(Datos_Origen!$I$2:$I$2459,$Z883)</f>
        <v>1176</v>
      </c>
      <c r="Q883" s="64" t="n">
        <f aca="false">INDEX(Datos_Origen!$J$2:$J$2459,$Z883)</f>
        <v>744</v>
      </c>
      <c r="R883" s="65" t="n">
        <f aca="false">ROUND($O883*$P883,2)</f>
        <v>3528</v>
      </c>
      <c r="S883" s="65" t="n">
        <f aca="false">ROUND($O883*$Q883,2)</f>
        <v>2232</v>
      </c>
      <c r="T883" s="65" t="n">
        <f aca="false">ROUND($R883*SUMIFS(Parametros!$E$28:$E$43,Parametros!$B$28:$B$43,$J883,Parametros!$C$28:$C$43,$C883,Parametros!$D$28:$D$43,$D883),2)</f>
        <v>162.29</v>
      </c>
      <c r="U883" s="65" t="n">
        <f aca="false">$R883-$S883-$T883</f>
        <v>1133.71</v>
      </c>
      <c r="V883" s="66" t="n">
        <f aca="false">IFERROR($U883/$R883,0)</f>
        <v>0.321346371882086</v>
      </c>
      <c r="W883" s="67" t="str">
        <f aca="false">IF(AND($V883&gt;=Parametros!$C$8,$R883&gt;=Parametros!$C$12),"Alta rentabilidad",IF(OR($V883&lt;Parametros!$C$11,$R883&lt;Parametros!$C$13),"Revisar","Estandar"))</f>
        <v>Estandar</v>
      </c>
      <c r="X883" s="67" t="str">
        <f aca="false">IF(AND($J883="E-commerce",IFERROR($T883/$R883,0)&gt;Parametros!$C$14),"Alerta","OK")</f>
        <v>OK</v>
      </c>
      <c r="Y883" s="61" t="str">
        <f aca="false">IF($R883&gt;=Parametros!$C$12,"Alto",IF($R883&lt;Parametros!$C$13,"Bajo","Medio"))</f>
        <v>Alto</v>
      </c>
      <c r="Z883" s="61" t="n">
        <v>377</v>
      </c>
      <c r="AA883" s="61" t="str">
        <f aca="false">IF(MATCH($A883,Datos_Origen!$A$2:$A$2459,0)=$Z883,"OK","REVISAR")</f>
        <v>OK</v>
      </c>
      <c r="AB883" s="62" t="n">
        <f aca="false">INDEX(Datos_Origen!$B$2:$B$2459,$Z883)</f>
        <v>45554</v>
      </c>
      <c r="AC883" s="61" t="n">
        <f aca="false">INDEX(Datos_Origen!$H$2:$H$2459,$Z883)</f>
        <v>3</v>
      </c>
      <c r="AD883" s="61" t="str">
        <f aca="false">INDEX(Datos_Origen!$D$2:$D$2459,$Z883)&amp;""</f>
        <v>Tucuman</v>
      </c>
    </row>
    <row r="884" customFormat="false" ht="15" hidden="false" customHeight="false" outlineLevel="0" collapsed="false">
      <c r="A884" s="61" t="n">
        <f aca="false">INDEX(Datos_Origen!$A$2:$A$2459,$Z884)</f>
        <v>883</v>
      </c>
      <c r="B884" s="62" t="n">
        <f aca="false">IF(ISNUMBER($AB884),$AB884,IF(MID($AB884,5,1)="-",DATE(VALUE(LEFT($AB884,4)),VALUE(MID($AB884,6,2)),VALUE(RIGHT($AB884,2))),DATE(VALUE(RIGHT($AB884,4)),VALUE(MID($AB884,4,2)),VALUE(LEFT($AB884,2)))))</f>
        <v>45561</v>
      </c>
      <c r="C884" s="61" t="n">
        <f aca="false">YEAR($B884)</f>
        <v>2024</v>
      </c>
      <c r="D884" s="61" t="str">
        <f aca="false">"Q"&amp;ROUNDUP(MONTH($B884)/3,0)</f>
        <v>Q3</v>
      </c>
      <c r="E884" s="61" t="n">
        <f aca="false">MONTH($B884)</f>
        <v>9</v>
      </c>
      <c r="F884" s="61" t="str">
        <f aca="false">INDEX(Parametros!$I$5:$I$16,$E884)</f>
        <v>Sep</v>
      </c>
      <c r="G884" s="61" t="str">
        <f aca="false">TEXT($C884,"0000")&amp;"-"&amp;TEXT($E884,"00")</f>
        <v>2024-09</v>
      </c>
      <c r="H884" s="61" t="str">
        <f aca="false">INDEX(Parametros!$C$71:$C$91,MATCH(TRIM(INDEX(Datos_Origen!$C$2:$C$2459,$Z884)),Parametros!$B$71:$B$91,0))</f>
        <v>NOA</v>
      </c>
      <c r="I884" s="61" t="str">
        <f aca="false">IF(TRIM($AD884)="",INDEX(Parametros!$I$20:$I$24,MATCH($H884,Parametros!$H$20:$H$24,0)),TRIM($AD884))</f>
        <v>Tucuman</v>
      </c>
      <c r="J884" s="61" t="str">
        <f aca="false">INDEX(Parametros!$C$95:$C$106,MATCH(TRIM(INDEX(Datos_Origen!$E$2:$E$2459,$Z884)),Parametros!$B$95:$B$106,0))</f>
        <v>Tienda fisica</v>
      </c>
      <c r="K884" s="61" t="str">
        <f aca="false">INDEX(Parametros!$C$48:$C$67,MATCH(TRIM(INDEX(Datos_Origen!$F$2:$F$2459,$Z884)),Parametros!$B$48:$B$67,0))</f>
        <v>Computacion</v>
      </c>
      <c r="L884" s="61" t="str">
        <f aca="false">$K884&amp;" "&amp;$C884</f>
        <v>Computacion 2024</v>
      </c>
      <c r="M884" s="61" t="str">
        <f aca="false">TRIM(INDEX(Datos_Origen!$G$2:$G$2459,$Z884))</f>
        <v>Monitor 4K 27</v>
      </c>
      <c r="N884" s="61" t="str">
        <f aca="false">$M884&amp;" "&amp;$C884</f>
        <v>Monitor 4K 27 2024</v>
      </c>
      <c r="O884" s="63" t="n">
        <f aca="false">IF(ISTEXT($AC884),VALUE($AC884),$AC884)</f>
        <v>7</v>
      </c>
      <c r="P884" s="64" t="n">
        <f aca="false">INDEX(Datos_Origen!$I$2:$I$2459,$Z884)</f>
        <v>441</v>
      </c>
      <c r="Q884" s="64" t="n">
        <f aca="false">INDEX(Datos_Origen!$J$2:$J$2459,$Z884)</f>
        <v>272.25</v>
      </c>
      <c r="R884" s="65" t="n">
        <f aca="false">ROUND($O884*$P884,2)</f>
        <v>3087</v>
      </c>
      <c r="S884" s="65" t="n">
        <f aca="false">ROUND($O884*$Q884,2)</f>
        <v>1905.75</v>
      </c>
      <c r="T884" s="65" t="n">
        <f aca="false">ROUND($R884*SUMIFS(Parametros!$E$28:$E$43,Parametros!$B$28:$B$43,$J884,Parametros!$C$28:$C$43,$C884,Parametros!$D$28:$D$43,$D884),2)</f>
        <v>40.13</v>
      </c>
      <c r="U884" s="65" t="n">
        <f aca="false">$R884-$S884-$T884</f>
        <v>1141.12</v>
      </c>
      <c r="V884" s="66" t="n">
        <f aca="false">IFERROR($U884/$R884,0)</f>
        <v>0.369653385163589</v>
      </c>
      <c r="W884" s="67" t="str">
        <f aca="false">IF(AND($V884&gt;=Parametros!$C$8,$R884&gt;=Parametros!$C$12),"Alta rentabilidad",IF(OR($V884&lt;Parametros!$C$11,$R884&lt;Parametros!$C$13),"Revisar","Estandar"))</f>
        <v>Alta rentabilidad</v>
      </c>
      <c r="X884" s="67" t="str">
        <f aca="false">IF(AND($J884="E-commerce",IFERROR($T884/$R884,0)&gt;Parametros!$C$14),"Alerta","OK")</f>
        <v>OK</v>
      </c>
      <c r="Y884" s="61" t="str">
        <f aca="false">IF($R884&gt;=Parametros!$C$12,"Alto",IF($R884&lt;Parametros!$C$13,"Bajo","Medio"))</f>
        <v>Alto</v>
      </c>
      <c r="Z884" s="61" t="n">
        <v>1274</v>
      </c>
      <c r="AA884" s="61" t="str">
        <f aca="false">IF(MATCH($A884,Datos_Origen!$A$2:$A$2459,0)=$Z884,"OK","REVISAR")</f>
        <v>OK</v>
      </c>
      <c r="AB884" s="61" t="str">
        <f aca="false">INDEX(Datos_Origen!$B$2:$B$2459,$Z884)</f>
        <v>26/09/2024</v>
      </c>
      <c r="AC884" s="61" t="n">
        <f aca="false">INDEX(Datos_Origen!$H$2:$H$2459,$Z884)</f>
        <v>7</v>
      </c>
      <c r="AD884" s="61" t="str">
        <f aca="false">INDEX(Datos_Origen!$D$2:$D$2459,$Z884)&amp;""</f>
        <v>Tucuman</v>
      </c>
    </row>
    <row r="885" customFormat="false" ht="15" hidden="false" customHeight="false" outlineLevel="0" collapsed="false">
      <c r="A885" s="61" t="n">
        <f aca="false">INDEX(Datos_Origen!$A$2:$A$2459,$Z885)</f>
        <v>884</v>
      </c>
      <c r="B885" s="62" t="n">
        <f aca="false">IF(ISNUMBER($AB885),$AB885,IF(MID($AB885,5,1)="-",DATE(VALUE(LEFT($AB885,4)),VALUE(MID($AB885,6,2)),VALUE(RIGHT($AB885,2))),DATE(VALUE(RIGHT($AB885,4)),VALUE(MID($AB885,4,2)),VALUE(LEFT($AB885,2)))))</f>
        <v>45541</v>
      </c>
      <c r="C885" s="61" t="n">
        <f aca="false">YEAR($B885)</f>
        <v>2024</v>
      </c>
      <c r="D885" s="61" t="str">
        <f aca="false">"Q"&amp;ROUNDUP(MONTH($B885)/3,0)</f>
        <v>Q3</v>
      </c>
      <c r="E885" s="61" t="n">
        <f aca="false">MONTH($B885)</f>
        <v>9</v>
      </c>
      <c r="F885" s="61" t="str">
        <f aca="false">INDEX(Parametros!$I$5:$I$16,$E885)</f>
        <v>Sep</v>
      </c>
      <c r="G885" s="61" t="str">
        <f aca="false">TEXT($C885,"0000")&amp;"-"&amp;TEXT($E885,"00")</f>
        <v>2024-09</v>
      </c>
      <c r="H885" s="61" t="str">
        <f aca="false">INDEX(Parametros!$C$71:$C$91,MATCH(TRIM(INDEX(Datos_Origen!$C$2:$C$2459,$Z885)),Parametros!$B$71:$B$91,0))</f>
        <v>NOA</v>
      </c>
      <c r="I885" s="61" t="str">
        <f aca="false">IF(TRIM($AD885)="",INDEX(Parametros!$I$20:$I$24,MATCH($H885,Parametros!$H$20:$H$24,0)),TRIM($AD885))</f>
        <v>Tucuman</v>
      </c>
      <c r="J885" s="61" t="str">
        <f aca="false">INDEX(Parametros!$C$95:$C$106,MATCH(TRIM(INDEX(Datos_Origen!$E$2:$E$2459,$Z885)),Parametros!$B$95:$B$106,0))</f>
        <v>E-commerce</v>
      </c>
      <c r="K885" s="61" t="str">
        <f aca="false">INDEX(Parametros!$C$48:$C$67,MATCH(TRIM(INDEX(Datos_Origen!$F$2:$F$2459,$Z885)),Parametros!$B$48:$B$67,0))</f>
        <v>Computacion</v>
      </c>
      <c r="L885" s="61" t="str">
        <f aca="false">$K885&amp;" "&amp;$C885</f>
        <v>Computacion 2024</v>
      </c>
      <c r="M885" s="61" t="str">
        <f aca="false">TRIM(INDEX(Datos_Origen!$G$2:$G$2459,$Z885))</f>
        <v>Monitor 4K 27</v>
      </c>
      <c r="N885" s="61" t="str">
        <f aca="false">$M885&amp;" "&amp;$C885</f>
        <v>Monitor 4K 27 2024</v>
      </c>
      <c r="O885" s="63" t="n">
        <f aca="false">IF(ISTEXT($AC885),VALUE($AC885),$AC885)</f>
        <v>3</v>
      </c>
      <c r="P885" s="64" t="n">
        <f aca="false">INDEX(Datos_Origen!$I$2:$I$2459,$Z885)</f>
        <v>441</v>
      </c>
      <c r="Q885" s="64" t="n">
        <f aca="false">INDEX(Datos_Origen!$J$2:$J$2459,$Z885)</f>
        <v>272.25</v>
      </c>
      <c r="R885" s="65" t="n">
        <f aca="false">ROUND($O885*$P885,2)</f>
        <v>1323</v>
      </c>
      <c r="S885" s="65" t="n">
        <f aca="false">ROUND($O885*$Q885,2)</f>
        <v>816.75</v>
      </c>
      <c r="T885" s="65" t="n">
        <f aca="false">ROUND($R885*SUMIFS(Parametros!$E$28:$E$43,Parametros!$B$28:$B$43,$J885,Parametros!$C$28:$C$43,$C885,Parametros!$D$28:$D$43,$D885),2)</f>
        <v>60.86</v>
      </c>
      <c r="U885" s="65" t="n">
        <f aca="false">$R885-$S885-$T885</f>
        <v>445.39</v>
      </c>
      <c r="V885" s="66" t="n">
        <f aca="false">IFERROR($U885/$R885,0)</f>
        <v>0.336651549508692</v>
      </c>
      <c r="W885" s="67" t="str">
        <f aca="false">IF(AND($V885&gt;=Parametros!$C$8,$R885&gt;=Parametros!$C$12),"Alta rentabilidad",IF(OR($V885&lt;Parametros!$C$11,$R885&lt;Parametros!$C$13),"Revisar","Estandar"))</f>
        <v>Estandar</v>
      </c>
      <c r="X885" s="67" t="str">
        <f aca="false">IF(AND($J885="E-commerce",IFERROR($T885/$R885,0)&gt;Parametros!$C$14),"Alerta","OK")</f>
        <v>OK</v>
      </c>
      <c r="Y885" s="61" t="str">
        <f aca="false">IF($R885&gt;=Parametros!$C$12,"Alto",IF($R885&lt;Parametros!$C$13,"Bajo","Medio"))</f>
        <v>Medio</v>
      </c>
      <c r="Z885" s="61" t="n">
        <v>1908</v>
      </c>
      <c r="AA885" s="61" t="str">
        <f aca="false">IF(MATCH($A885,Datos_Origen!$A$2:$A$2459,0)=$Z885,"OK","REVISAR")</f>
        <v>OK</v>
      </c>
      <c r="AB885" s="61" t="str">
        <f aca="false">INDEX(Datos_Origen!$B$2:$B$2459,$Z885)</f>
        <v>2024-09-06</v>
      </c>
      <c r="AC885" s="61" t="n">
        <f aca="false">INDEX(Datos_Origen!$H$2:$H$2459,$Z885)</f>
        <v>3</v>
      </c>
      <c r="AD885" s="61" t="str">
        <f aca="false">INDEX(Datos_Origen!$D$2:$D$2459,$Z885)&amp;""</f>
        <v>Tucuman</v>
      </c>
    </row>
    <row r="886" customFormat="false" ht="15" hidden="false" customHeight="false" outlineLevel="0" collapsed="false">
      <c r="A886" s="61" t="n">
        <f aca="false">INDEX(Datos_Origen!$A$2:$A$2459,$Z886)</f>
        <v>885</v>
      </c>
      <c r="B886" s="62" t="n">
        <f aca="false">IF(ISNUMBER($AB886),$AB886,IF(MID($AB886,5,1)="-",DATE(VALUE(LEFT($AB886,4)),VALUE(MID($AB886,6,2)),VALUE(RIGHT($AB886,2))),DATE(VALUE(RIGHT($AB886,4)),VALUE(MID($AB886,4,2)),VALUE(LEFT($AB886,2)))))</f>
        <v>45548</v>
      </c>
      <c r="C886" s="61" t="n">
        <f aca="false">YEAR($B886)</f>
        <v>2024</v>
      </c>
      <c r="D886" s="61" t="str">
        <f aca="false">"Q"&amp;ROUNDUP(MONTH($B886)/3,0)</f>
        <v>Q3</v>
      </c>
      <c r="E886" s="61" t="n">
        <f aca="false">MONTH($B886)</f>
        <v>9</v>
      </c>
      <c r="F886" s="61" t="str">
        <f aca="false">INDEX(Parametros!$I$5:$I$16,$E886)</f>
        <v>Sep</v>
      </c>
      <c r="G886" s="61" t="str">
        <f aca="false">TEXT($C886,"0000")&amp;"-"&amp;TEXT($E886,"00")</f>
        <v>2024-09</v>
      </c>
      <c r="H886" s="61" t="str">
        <f aca="false">INDEX(Parametros!$C$71:$C$91,MATCH(TRIM(INDEX(Datos_Origen!$C$2:$C$2459,$Z886)),Parametros!$B$71:$B$91,0))</f>
        <v>NOA</v>
      </c>
      <c r="I886" s="61" t="str">
        <f aca="false">IF(TRIM($AD886)="",INDEX(Parametros!$I$20:$I$24,MATCH($H886,Parametros!$H$20:$H$24,0)),TRIM($AD886))</f>
        <v>Tucuman</v>
      </c>
      <c r="J886" s="61" t="str">
        <f aca="false">INDEX(Parametros!$C$95:$C$106,MATCH(TRIM(INDEX(Datos_Origen!$E$2:$E$2459,$Z886)),Parametros!$B$95:$B$106,0))</f>
        <v>Tienda fisica</v>
      </c>
      <c r="K886" s="61" t="str">
        <f aca="false">INDEX(Parametros!$C$48:$C$67,MATCH(TRIM(INDEX(Datos_Origen!$F$2:$F$2459,$Z886)),Parametros!$B$48:$B$67,0))</f>
        <v>Computacion</v>
      </c>
      <c r="L886" s="61" t="str">
        <f aca="false">$K886&amp;" "&amp;$C886</f>
        <v>Computacion 2024</v>
      </c>
      <c r="M886" s="61" t="str">
        <f aca="false">TRIM(INDEX(Datos_Origen!$G$2:$G$2459,$Z886))</f>
        <v>PC Gamer Ryzen</v>
      </c>
      <c r="N886" s="61" t="str">
        <f aca="false">$M886&amp;" "&amp;$C886</f>
        <v>PC Gamer Ryzen 2024</v>
      </c>
      <c r="O886" s="63" t="n">
        <f aca="false">IF(ISTEXT($AC886),VALUE($AC886),$AC886)</f>
        <v>6</v>
      </c>
      <c r="P886" s="64" t="n">
        <f aca="false">INDEX(Datos_Origen!$I$2:$I$2459,$Z886)</f>
        <v>1617</v>
      </c>
      <c r="Q886" s="64" t="n">
        <f aca="false">INDEX(Datos_Origen!$J$2:$J$2459,$Z886)</f>
        <v>1122</v>
      </c>
      <c r="R886" s="65" t="n">
        <f aca="false">ROUND($O886*$P886,2)</f>
        <v>9702</v>
      </c>
      <c r="S886" s="65" t="n">
        <f aca="false">ROUND($O886*$Q886,2)</f>
        <v>6732</v>
      </c>
      <c r="T886" s="65" t="n">
        <f aca="false">ROUND($R886*SUMIFS(Parametros!$E$28:$E$43,Parametros!$B$28:$B$43,$J886,Parametros!$C$28:$C$43,$C886,Parametros!$D$28:$D$43,$D886),2)</f>
        <v>126.13</v>
      </c>
      <c r="U886" s="65" t="n">
        <f aca="false">$R886-$S886-$T886</f>
        <v>2843.87</v>
      </c>
      <c r="V886" s="66" t="n">
        <f aca="false">IFERROR($U886/$R886,0)</f>
        <v>0.293122036693465</v>
      </c>
      <c r="W886" s="67" t="str">
        <f aca="false">IF(AND($V886&gt;=Parametros!$C$8,$R886&gt;=Parametros!$C$12),"Alta rentabilidad",IF(OR($V886&lt;Parametros!$C$11,$R886&lt;Parametros!$C$13),"Revisar","Estandar"))</f>
        <v>Estandar</v>
      </c>
      <c r="X886" s="67" t="str">
        <f aca="false">IF(AND($J886="E-commerce",IFERROR($T886/$R886,0)&gt;Parametros!$C$14),"Alerta","OK")</f>
        <v>OK</v>
      </c>
      <c r="Y886" s="61" t="str">
        <f aca="false">IF($R886&gt;=Parametros!$C$12,"Alto",IF($R886&lt;Parametros!$C$13,"Bajo","Medio"))</f>
        <v>Alto</v>
      </c>
      <c r="Z886" s="61" t="n">
        <v>1787</v>
      </c>
      <c r="AA886" s="61" t="str">
        <f aca="false">IF(MATCH($A886,Datos_Origen!$A$2:$A$2459,0)=$Z886,"OK","REVISAR")</f>
        <v>OK</v>
      </c>
      <c r="AB886" s="61" t="str">
        <f aca="false">INDEX(Datos_Origen!$B$2:$B$2459,$Z886)</f>
        <v>2024-09-13</v>
      </c>
      <c r="AC886" s="61" t="n">
        <f aca="false">INDEX(Datos_Origen!$H$2:$H$2459,$Z886)</f>
        <v>6</v>
      </c>
      <c r="AD886" s="61" t="str">
        <f aca="false">INDEX(Datos_Origen!$D$2:$D$2459,$Z886)&amp;""</f>
        <v>Tucuman</v>
      </c>
    </row>
    <row r="887" customFormat="false" ht="15" hidden="false" customHeight="false" outlineLevel="0" collapsed="false">
      <c r="A887" s="61" t="n">
        <f aca="false">INDEX(Datos_Origen!$A$2:$A$2459,$Z887)</f>
        <v>886</v>
      </c>
      <c r="B887" s="62" t="n">
        <f aca="false">IF(ISNUMBER($AB887),$AB887,IF(MID($AB887,5,1)="-",DATE(VALUE(LEFT($AB887,4)),VALUE(MID($AB887,6,2)),VALUE(RIGHT($AB887,2))),DATE(VALUE(RIGHT($AB887,4)),VALUE(MID($AB887,4,2)),VALUE(LEFT($AB887,2)))))</f>
        <v>45555</v>
      </c>
      <c r="C887" s="61" t="n">
        <f aca="false">YEAR($B887)</f>
        <v>2024</v>
      </c>
      <c r="D887" s="61" t="str">
        <f aca="false">"Q"&amp;ROUNDUP(MONTH($B887)/3,0)</f>
        <v>Q3</v>
      </c>
      <c r="E887" s="61" t="n">
        <f aca="false">MONTH($B887)</f>
        <v>9</v>
      </c>
      <c r="F887" s="61" t="str">
        <f aca="false">INDEX(Parametros!$I$5:$I$16,$E887)</f>
        <v>Sep</v>
      </c>
      <c r="G887" s="61" t="str">
        <f aca="false">TEXT($C887,"0000")&amp;"-"&amp;TEXT($E887,"00")</f>
        <v>2024-09</v>
      </c>
      <c r="H887" s="61" t="str">
        <f aca="false">INDEX(Parametros!$C$71:$C$91,MATCH(TRIM(INDEX(Datos_Origen!$C$2:$C$2459,$Z887)),Parametros!$B$71:$B$91,0))</f>
        <v>NOA</v>
      </c>
      <c r="I887" s="61" t="str">
        <f aca="false">IF(TRIM($AD887)="",INDEX(Parametros!$I$20:$I$24,MATCH($H887,Parametros!$H$20:$H$24,0)),TRIM($AD887))</f>
        <v>Tucuman</v>
      </c>
      <c r="J887" s="61" t="str">
        <f aca="false">INDEX(Parametros!$C$95:$C$106,MATCH(TRIM(INDEX(Datos_Origen!$E$2:$E$2459,$Z887)),Parametros!$B$95:$B$106,0))</f>
        <v>E-commerce</v>
      </c>
      <c r="K887" s="61" t="str">
        <f aca="false">INDEX(Parametros!$C$48:$C$67,MATCH(TRIM(INDEX(Datos_Origen!$F$2:$F$2459,$Z887)),Parametros!$B$48:$B$67,0))</f>
        <v>Computacion</v>
      </c>
      <c r="L887" s="61" t="str">
        <f aca="false">$K887&amp;" "&amp;$C887</f>
        <v>Computacion 2024</v>
      </c>
      <c r="M887" s="61" t="str">
        <f aca="false">TRIM(INDEX(Datos_Origen!$G$2:$G$2459,$Z887))</f>
        <v>PC Gamer Ryzen</v>
      </c>
      <c r="N887" s="61" t="str">
        <f aca="false">$M887&amp;" "&amp;$C887</f>
        <v>PC Gamer Ryzen 2024</v>
      </c>
      <c r="O887" s="63" t="n">
        <f aca="false">IF(ISTEXT($AC887),VALUE($AC887),$AC887)</f>
        <v>2</v>
      </c>
      <c r="P887" s="64" t="n">
        <f aca="false">INDEX(Datos_Origen!$I$2:$I$2459,$Z887)</f>
        <v>1617</v>
      </c>
      <c r="Q887" s="64" t="n">
        <f aca="false">INDEX(Datos_Origen!$J$2:$J$2459,$Z887)</f>
        <v>1122</v>
      </c>
      <c r="R887" s="65" t="n">
        <f aca="false">ROUND($O887*$P887,2)</f>
        <v>3234</v>
      </c>
      <c r="S887" s="65" t="n">
        <f aca="false">ROUND($O887*$Q887,2)</f>
        <v>2244</v>
      </c>
      <c r="T887" s="65" t="n">
        <f aca="false">ROUND($R887*SUMIFS(Parametros!$E$28:$E$43,Parametros!$B$28:$B$43,$J887,Parametros!$C$28:$C$43,$C887,Parametros!$D$28:$D$43,$D887),2)</f>
        <v>148.76</v>
      </c>
      <c r="U887" s="65" t="n">
        <f aca="false">$R887-$S887-$T887</f>
        <v>841.24</v>
      </c>
      <c r="V887" s="66" t="n">
        <f aca="false">IFERROR($U887/$R887,0)</f>
        <v>0.260123685837972</v>
      </c>
      <c r="W887" s="67" t="str">
        <f aca="false">IF(AND($V887&gt;=Parametros!$C$8,$R887&gt;=Parametros!$C$12),"Alta rentabilidad",IF(OR($V887&lt;Parametros!$C$11,$R887&lt;Parametros!$C$13),"Revisar","Estandar"))</f>
        <v>Revisar</v>
      </c>
      <c r="X887" s="67" t="str">
        <f aca="false">IF(AND($J887="E-commerce",IFERROR($T887/$R887,0)&gt;Parametros!$C$14),"Alerta","OK")</f>
        <v>OK</v>
      </c>
      <c r="Y887" s="61" t="str">
        <f aca="false">IF($R887&gt;=Parametros!$C$12,"Alto",IF($R887&lt;Parametros!$C$13,"Bajo","Medio"))</f>
        <v>Alto</v>
      </c>
      <c r="Z887" s="61" t="n">
        <v>1572</v>
      </c>
      <c r="AA887" s="61" t="str">
        <f aca="false">IF(MATCH($A887,Datos_Origen!$A$2:$A$2459,0)=$Z887,"OK","REVISAR")</f>
        <v>OK</v>
      </c>
      <c r="AB887" s="62" t="n">
        <f aca="false">INDEX(Datos_Origen!$B$2:$B$2459,$Z887)</f>
        <v>45555</v>
      </c>
      <c r="AC887" s="61" t="n">
        <f aca="false">INDEX(Datos_Origen!$H$2:$H$2459,$Z887)</f>
        <v>2</v>
      </c>
      <c r="AD887" s="61" t="str">
        <f aca="false">INDEX(Datos_Origen!$D$2:$D$2459,$Z887)&amp;""</f>
        <v>Tucuman</v>
      </c>
    </row>
    <row r="888" customFormat="false" ht="15" hidden="false" customHeight="false" outlineLevel="0" collapsed="false">
      <c r="A888" s="61" t="n">
        <f aca="false">INDEX(Datos_Origen!$A$2:$A$2459,$Z888)</f>
        <v>887</v>
      </c>
      <c r="B888" s="62" t="n">
        <f aca="false">IF(ISNUMBER($AB888),$AB888,IF(MID($AB888,5,1)="-",DATE(VALUE(LEFT($AB888,4)),VALUE(MID($AB888,6,2)),VALUE(RIGHT($AB888,2))),DATE(VALUE(RIGHT($AB888,4)),VALUE(MID($AB888,4,2)),VALUE(LEFT($AB888,2)))))</f>
        <v>45562</v>
      </c>
      <c r="C888" s="61" t="n">
        <f aca="false">YEAR($B888)</f>
        <v>2024</v>
      </c>
      <c r="D888" s="61" t="str">
        <f aca="false">"Q"&amp;ROUNDUP(MONTH($B888)/3,0)</f>
        <v>Q3</v>
      </c>
      <c r="E888" s="61" t="n">
        <f aca="false">MONTH($B888)</f>
        <v>9</v>
      </c>
      <c r="F888" s="61" t="str">
        <f aca="false">INDEX(Parametros!$I$5:$I$16,$E888)</f>
        <v>Sep</v>
      </c>
      <c r="G888" s="61" t="str">
        <f aca="false">TEXT($C888,"0000")&amp;"-"&amp;TEXT($E888,"00")</f>
        <v>2024-09</v>
      </c>
      <c r="H888" s="61" t="str">
        <f aca="false">INDEX(Parametros!$C$71:$C$91,MATCH(TRIM(INDEX(Datos_Origen!$C$2:$C$2459,$Z888)),Parametros!$B$71:$B$91,0))</f>
        <v>NOA</v>
      </c>
      <c r="I888" s="61" t="str">
        <f aca="false">IF(TRIM($AD888)="",INDEX(Parametros!$I$20:$I$24,MATCH($H888,Parametros!$H$20:$H$24,0)),TRIM($AD888))</f>
        <v>Tucuman</v>
      </c>
      <c r="J888" s="61" t="str">
        <f aca="false">INDEX(Parametros!$C$95:$C$106,MATCH(TRIM(INDEX(Datos_Origen!$E$2:$E$2459,$Z888)),Parametros!$B$95:$B$106,0))</f>
        <v>Tienda fisica</v>
      </c>
      <c r="K888" s="61" t="str">
        <f aca="false">INDEX(Parametros!$C$48:$C$67,MATCH(TRIM(INDEX(Datos_Origen!$F$2:$F$2459,$Z888)),Parametros!$B$48:$B$67,0))</f>
        <v>Accesorios</v>
      </c>
      <c r="L888" s="61" t="str">
        <f aca="false">$K888&amp;" "&amp;$C888</f>
        <v>Accesorios 2024</v>
      </c>
      <c r="M888" s="61" t="str">
        <f aca="false">TRIM(INDEX(Datos_Origen!$G$2:$G$2459,$Z888))</f>
        <v>Mouse Inalambrico</v>
      </c>
      <c r="N888" s="61" t="str">
        <f aca="false">$M888&amp;" "&amp;$C888</f>
        <v>Mouse Inalambrico 2024</v>
      </c>
      <c r="O888" s="63" t="n">
        <f aca="false">IF(ISTEXT($AC888),VALUE($AC888),$AC888)</f>
        <v>26</v>
      </c>
      <c r="P888" s="64" t="n">
        <f aca="false">INDEX(Datos_Origen!$I$2:$I$2459,$Z888)</f>
        <v>27.44</v>
      </c>
      <c r="Q888" s="64" t="n">
        <f aca="false">INDEX(Datos_Origen!$J$2:$J$2459,$Z888)</f>
        <v>13.44</v>
      </c>
      <c r="R888" s="65" t="n">
        <f aca="false">ROUND($O888*$P888,2)</f>
        <v>713.44</v>
      </c>
      <c r="S888" s="65" t="n">
        <f aca="false">ROUND($O888*$Q888,2)</f>
        <v>349.44</v>
      </c>
      <c r="T888" s="65" t="n">
        <f aca="false">ROUND($R888*SUMIFS(Parametros!$E$28:$E$43,Parametros!$B$28:$B$43,$J888,Parametros!$C$28:$C$43,$C888,Parametros!$D$28:$D$43,$D888),2)</f>
        <v>9.27</v>
      </c>
      <c r="U888" s="65" t="n">
        <f aca="false">$R888-$S888-$T888</f>
        <v>354.73</v>
      </c>
      <c r="V888" s="66" t="n">
        <f aca="false">IFERROR($U888/$R888,0)</f>
        <v>0.4972106974658</v>
      </c>
      <c r="W888" s="67" t="str">
        <f aca="false">IF(AND($V888&gt;=Parametros!$C$8,$R888&gt;=Parametros!$C$12),"Alta rentabilidad",IF(OR($V888&lt;Parametros!$C$11,$R888&lt;Parametros!$C$13),"Revisar","Estandar"))</f>
        <v>Estandar</v>
      </c>
      <c r="X888" s="67" t="str">
        <f aca="false">IF(AND($J888="E-commerce",IFERROR($T888/$R888,0)&gt;Parametros!$C$14),"Alerta","OK")</f>
        <v>OK</v>
      </c>
      <c r="Y888" s="61" t="str">
        <f aca="false">IF($R888&gt;=Parametros!$C$12,"Alto",IF($R888&lt;Parametros!$C$13,"Bajo","Medio"))</f>
        <v>Medio</v>
      </c>
      <c r="Z888" s="61" t="n">
        <v>642</v>
      </c>
      <c r="AA888" s="61" t="str">
        <f aca="false">IF(MATCH($A888,Datos_Origen!$A$2:$A$2459,0)=$Z888,"OK","REVISAR")</f>
        <v>OK</v>
      </c>
      <c r="AB888" s="62" t="n">
        <f aca="false">INDEX(Datos_Origen!$B$2:$B$2459,$Z888)</f>
        <v>45562</v>
      </c>
      <c r="AC888" s="61" t="n">
        <f aca="false">INDEX(Datos_Origen!$H$2:$H$2459,$Z888)</f>
        <v>26</v>
      </c>
      <c r="AD888" s="61" t="str">
        <f aca="false">INDEX(Datos_Origen!$D$2:$D$2459,$Z888)&amp;""</f>
        <v>Tucuman</v>
      </c>
    </row>
    <row r="889" customFormat="false" ht="15" hidden="false" customHeight="false" outlineLevel="0" collapsed="false">
      <c r="A889" s="61" t="n">
        <f aca="false">INDEX(Datos_Origen!$A$2:$A$2459,$Z889)</f>
        <v>888</v>
      </c>
      <c r="B889" s="62" t="n">
        <f aca="false">IF(ISNUMBER($AB889),$AB889,IF(MID($AB889,5,1)="-",DATE(VALUE(LEFT($AB889,4)),VALUE(MID($AB889,6,2)),VALUE(RIGHT($AB889,2))),DATE(VALUE(RIGHT($AB889,4)),VALUE(MID($AB889,4,2)),VALUE(LEFT($AB889,2)))))</f>
        <v>45542</v>
      </c>
      <c r="C889" s="61" t="n">
        <f aca="false">YEAR($B889)</f>
        <v>2024</v>
      </c>
      <c r="D889" s="61" t="str">
        <f aca="false">"Q"&amp;ROUNDUP(MONTH($B889)/3,0)</f>
        <v>Q3</v>
      </c>
      <c r="E889" s="61" t="n">
        <f aca="false">MONTH($B889)</f>
        <v>9</v>
      </c>
      <c r="F889" s="61" t="str">
        <f aca="false">INDEX(Parametros!$I$5:$I$16,$E889)</f>
        <v>Sep</v>
      </c>
      <c r="G889" s="61" t="str">
        <f aca="false">TEXT($C889,"0000")&amp;"-"&amp;TEXT($E889,"00")</f>
        <v>2024-09</v>
      </c>
      <c r="H889" s="61" t="str">
        <f aca="false">INDEX(Parametros!$C$71:$C$91,MATCH(TRIM(INDEX(Datos_Origen!$C$2:$C$2459,$Z889)),Parametros!$B$71:$B$91,0))</f>
        <v>NOA</v>
      </c>
      <c r="I889" s="61" t="str">
        <f aca="false">IF(TRIM($AD889)="",INDEX(Parametros!$I$20:$I$24,MATCH($H889,Parametros!$H$20:$H$24,0)),TRIM($AD889))</f>
        <v>Tucuman</v>
      </c>
      <c r="J889" s="61" t="str">
        <f aca="false">INDEX(Parametros!$C$95:$C$106,MATCH(TRIM(INDEX(Datos_Origen!$E$2:$E$2459,$Z889)),Parametros!$B$95:$B$106,0))</f>
        <v>E-commerce</v>
      </c>
      <c r="K889" s="61" t="str">
        <f aca="false">INDEX(Parametros!$C$48:$C$67,MATCH(TRIM(INDEX(Datos_Origen!$F$2:$F$2459,$Z889)),Parametros!$B$48:$B$67,0))</f>
        <v>Accesorios</v>
      </c>
      <c r="L889" s="61" t="str">
        <f aca="false">$K889&amp;" "&amp;$C889</f>
        <v>Accesorios 2024</v>
      </c>
      <c r="M889" s="61" t="str">
        <f aca="false">TRIM(INDEX(Datos_Origen!$G$2:$G$2459,$Z889))</f>
        <v>Mouse Inalambrico</v>
      </c>
      <c r="N889" s="61" t="str">
        <f aca="false">$M889&amp;" "&amp;$C889</f>
        <v>Mouse Inalambrico 2024</v>
      </c>
      <c r="O889" s="63" t="n">
        <f aca="false">IF(ISTEXT($AC889),VALUE($AC889),$AC889)</f>
        <v>12</v>
      </c>
      <c r="P889" s="64" t="n">
        <f aca="false">INDEX(Datos_Origen!$I$2:$I$2459,$Z889)</f>
        <v>27.44</v>
      </c>
      <c r="Q889" s="64" t="n">
        <f aca="false">INDEX(Datos_Origen!$J$2:$J$2459,$Z889)</f>
        <v>13.44</v>
      </c>
      <c r="R889" s="65" t="n">
        <f aca="false">ROUND($O889*$P889,2)</f>
        <v>329.28</v>
      </c>
      <c r="S889" s="65" t="n">
        <f aca="false">ROUND($O889*$Q889,2)</f>
        <v>161.28</v>
      </c>
      <c r="T889" s="65" t="n">
        <f aca="false">ROUND($R889*SUMIFS(Parametros!$E$28:$E$43,Parametros!$B$28:$B$43,$J889,Parametros!$C$28:$C$43,$C889,Parametros!$D$28:$D$43,$D889),2)</f>
        <v>15.15</v>
      </c>
      <c r="U889" s="65" t="n">
        <f aca="false">$R889-$S889-$T889</f>
        <v>152.85</v>
      </c>
      <c r="V889" s="66" t="n">
        <f aca="false">IFERROR($U889/$R889,0)</f>
        <v>0.464194606413994</v>
      </c>
      <c r="W889" s="67" t="str">
        <f aca="false">IF(AND($V889&gt;=Parametros!$C$8,$R889&gt;=Parametros!$C$12),"Alta rentabilidad",IF(OR($V889&lt;Parametros!$C$11,$R889&lt;Parametros!$C$13),"Revisar","Estandar"))</f>
        <v>Estandar</v>
      </c>
      <c r="X889" s="67" t="str">
        <f aca="false">IF(AND($J889="E-commerce",IFERROR($T889/$R889,0)&gt;Parametros!$C$14),"Alerta","OK")</f>
        <v>OK</v>
      </c>
      <c r="Y889" s="61" t="str">
        <f aca="false">IF($R889&gt;=Parametros!$C$12,"Alto",IF($R889&lt;Parametros!$C$13,"Bajo","Medio"))</f>
        <v>Medio</v>
      </c>
      <c r="Z889" s="61" t="n">
        <v>1560</v>
      </c>
      <c r="AA889" s="61" t="str">
        <f aca="false">IF(MATCH($A889,Datos_Origen!$A$2:$A$2459,0)=$Z889,"OK","REVISAR")</f>
        <v>OK</v>
      </c>
      <c r="AB889" s="62" t="n">
        <f aca="false">INDEX(Datos_Origen!$B$2:$B$2459,$Z889)</f>
        <v>45542</v>
      </c>
      <c r="AC889" s="61" t="n">
        <f aca="false">INDEX(Datos_Origen!$H$2:$H$2459,$Z889)</f>
        <v>12</v>
      </c>
      <c r="AD889" s="61" t="str">
        <f aca="false">INDEX(Datos_Origen!$D$2:$D$2459,$Z889)&amp;""</f>
        <v>Tucuman</v>
      </c>
    </row>
    <row r="890" customFormat="false" ht="15" hidden="false" customHeight="false" outlineLevel="0" collapsed="false">
      <c r="A890" s="61" t="n">
        <f aca="false">INDEX(Datos_Origen!$A$2:$A$2459,$Z890)</f>
        <v>889</v>
      </c>
      <c r="B890" s="62" t="n">
        <f aca="false">IF(ISNUMBER($AB890),$AB890,IF(MID($AB890,5,1)="-",DATE(VALUE(LEFT($AB890,4)),VALUE(MID($AB890,6,2)),VALUE(RIGHT($AB890,2))),DATE(VALUE(RIGHT($AB890,4)),VALUE(MID($AB890,4,2)),VALUE(LEFT($AB890,2)))))</f>
        <v>45549</v>
      </c>
      <c r="C890" s="61" t="n">
        <f aca="false">YEAR($B890)</f>
        <v>2024</v>
      </c>
      <c r="D890" s="61" t="str">
        <f aca="false">"Q"&amp;ROUNDUP(MONTH($B890)/3,0)</f>
        <v>Q3</v>
      </c>
      <c r="E890" s="61" t="n">
        <f aca="false">MONTH($B890)</f>
        <v>9</v>
      </c>
      <c r="F890" s="61" t="str">
        <f aca="false">INDEX(Parametros!$I$5:$I$16,$E890)</f>
        <v>Sep</v>
      </c>
      <c r="G890" s="61" t="str">
        <f aca="false">TEXT($C890,"0000")&amp;"-"&amp;TEXT($E890,"00")</f>
        <v>2024-09</v>
      </c>
      <c r="H890" s="61" t="str">
        <f aca="false">INDEX(Parametros!$C$71:$C$91,MATCH(TRIM(INDEX(Datos_Origen!$C$2:$C$2459,$Z890)),Parametros!$B$71:$B$91,0))</f>
        <v>NOA</v>
      </c>
      <c r="I890" s="61" t="str">
        <f aca="false">IF(TRIM($AD890)="",INDEX(Parametros!$I$20:$I$24,MATCH($H890,Parametros!$H$20:$H$24,0)),TRIM($AD890))</f>
        <v>Tucuman</v>
      </c>
      <c r="J890" s="61" t="str">
        <f aca="false">INDEX(Parametros!$C$95:$C$106,MATCH(TRIM(INDEX(Datos_Origen!$E$2:$E$2459,$Z890)),Parametros!$B$95:$B$106,0))</f>
        <v>Tienda fisica</v>
      </c>
      <c r="K890" s="61" t="str">
        <f aca="false">INDEX(Parametros!$C$48:$C$67,MATCH(TRIM(INDEX(Datos_Origen!$F$2:$F$2459,$Z890)),Parametros!$B$48:$B$67,0))</f>
        <v>Accesorios</v>
      </c>
      <c r="L890" s="61" t="str">
        <f aca="false">$K890&amp;" "&amp;$C890</f>
        <v>Accesorios 2024</v>
      </c>
      <c r="M890" s="61" t="str">
        <f aca="false">TRIM(INDEX(Datos_Origen!$G$2:$G$2459,$Z890))</f>
        <v>Teclado Mecanico</v>
      </c>
      <c r="N890" s="61" t="str">
        <f aca="false">$M890&amp;" "&amp;$C890</f>
        <v>Teclado Mecanico 2024</v>
      </c>
      <c r="O890" s="63" t="n">
        <f aca="false">IF(ISTEXT($AC890),VALUE($AC890),$AC890)</f>
        <v>30</v>
      </c>
      <c r="P890" s="64" t="n">
        <f aca="false">INDEX(Datos_Origen!$I$2:$I$2459,$Z890)</f>
        <v>93.1</v>
      </c>
      <c r="Q890" s="64" t="n">
        <f aca="false">INDEX(Datos_Origen!$J$2:$J$2459,$Z890)</f>
        <v>47.98</v>
      </c>
      <c r="R890" s="65" t="n">
        <f aca="false">ROUND($O890*$P890,2)</f>
        <v>2793</v>
      </c>
      <c r="S890" s="65" t="n">
        <f aca="false">ROUND($O890*$Q890,2)</f>
        <v>1439.4</v>
      </c>
      <c r="T890" s="65" t="n">
        <f aca="false">ROUND($R890*SUMIFS(Parametros!$E$28:$E$43,Parametros!$B$28:$B$43,$J890,Parametros!$C$28:$C$43,$C890,Parametros!$D$28:$D$43,$D890),2)</f>
        <v>36.31</v>
      </c>
      <c r="U890" s="65" t="n">
        <f aca="false">$R890-$S890-$T890</f>
        <v>1317.29</v>
      </c>
      <c r="V890" s="66" t="n">
        <f aca="false">IFERROR($U890/$R890,0)</f>
        <v>0.471639813820265</v>
      </c>
      <c r="W890" s="67" t="str">
        <f aca="false">IF(AND($V890&gt;=Parametros!$C$8,$R890&gt;=Parametros!$C$12),"Alta rentabilidad",IF(OR($V890&lt;Parametros!$C$11,$R890&lt;Parametros!$C$13),"Revisar","Estandar"))</f>
        <v>Estandar</v>
      </c>
      <c r="X890" s="67" t="str">
        <f aca="false">IF(AND($J890="E-commerce",IFERROR($T890/$R890,0)&gt;Parametros!$C$14),"Alerta","OK")</f>
        <v>OK</v>
      </c>
      <c r="Y890" s="61" t="str">
        <f aca="false">IF($R890&gt;=Parametros!$C$12,"Alto",IF($R890&lt;Parametros!$C$13,"Bajo","Medio"))</f>
        <v>Medio</v>
      </c>
      <c r="Z890" s="61" t="n">
        <v>146</v>
      </c>
      <c r="AA890" s="61" t="str">
        <f aca="false">IF(MATCH($A890,Datos_Origen!$A$2:$A$2459,0)=$Z890,"OK","REVISAR")</f>
        <v>OK</v>
      </c>
      <c r="AB890" s="62" t="n">
        <f aca="false">INDEX(Datos_Origen!$B$2:$B$2459,$Z890)</f>
        <v>45549</v>
      </c>
      <c r="AC890" s="61" t="n">
        <f aca="false">INDEX(Datos_Origen!$H$2:$H$2459,$Z890)</f>
        <v>30</v>
      </c>
      <c r="AD890" s="61" t="str">
        <f aca="false">INDEX(Datos_Origen!$D$2:$D$2459,$Z890)&amp;""</f>
        <v>Tucuman</v>
      </c>
    </row>
    <row r="891" customFormat="false" ht="15" hidden="false" customHeight="false" outlineLevel="0" collapsed="false">
      <c r="A891" s="61" t="n">
        <f aca="false">INDEX(Datos_Origen!$A$2:$A$2459,$Z891)</f>
        <v>890</v>
      </c>
      <c r="B891" s="62" t="n">
        <f aca="false">IF(ISNUMBER($AB891),$AB891,IF(MID($AB891,5,1)="-",DATE(VALUE(LEFT($AB891,4)),VALUE(MID($AB891,6,2)),VALUE(RIGHT($AB891,2))),DATE(VALUE(RIGHT($AB891,4)),VALUE(MID($AB891,4,2)),VALUE(LEFT($AB891,2)))))</f>
        <v>45556</v>
      </c>
      <c r="C891" s="61" t="n">
        <f aca="false">YEAR($B891)</f>
        <v>2024</v>
      </c>
      <c r="D891" s="61" t="str">
        <f aca="false">"Q"&amp;ROUNDUP(MONTH($B891)/3,0)</f>
        <v>Q3</v>
      </c>
      <c r="E891" s="61" t="n">
        <f aca="false">MONTH($B891)</f>
        <v>9</v>
      </c>
      <c r="F891" s="61" t="str">
        <f aca="false">INDEX(Parametros!$I$5:$I$16,$E891)</f>
        <v>Sep</v>
      </c>
      <c r="G891" s="61" t="str">
        <f aca="false">TEXT($C891,"0000")&amp;"-"&amp;TEXT($E891,"00")</f>
        <v>2024-09</v>
      </c>
      <c r="H891" s="61" t="str">
        <f aca="false">INDEX(Parametros!$C$71:$C$91,MATCH(TRIM(INDEX(Datos_Origen!$C$2:$C$2459,$Z891)),Parametros!$B$71:$B$91,0))</f>
        <v>NOA</v>
      </c>
      <c r="I891" s="61" t="str">
        <f aca="false">IF(TRIM($AD891)="",INDEX(Parametros!$I$20:$I$24,MATCH($H891,Parametros!$H$20:$H$24,0)),TRIM($AD891))</f>
        <v>Tucuman</v>
      </c>
      <c r="J891" s="61" t="str">
        <f aca="false">INDEX(Parametros!$C$95:$C$106,MATCH(TRIM(INDEX(Datos_Origen!$E$2:$E$2459,$Z891)),Parametros!$B$95:$B$106,0))</f>
        <v>E-commerce</v>
      </c>
      <c r="K891" s="61" t="str">
        <f aca="false">INDEX(Parametros!$C$48:$C$67,MATCH(TRIM(INDEX(Datos_Origen!$F$2:$F$2459,$Z891)),Parametros!$B$48:$B$67,0))</f>
        <v>Accesorios</v>
      </c>
      <c r="L891" s="61" t="str">
        <f aca="false">$K891&amp;" "&amp;$C891</f>
        <v>Accesorios 2024</v>
      </c>
      <c r="M891" s="61" t="str">
        <f aca="false">TRIM(INDEX(Datos_Origen!$G$2:$G$2459,$Z891))</f>
        <v>Teclado Mecanico</v>
      </c>
      <c r="N891" s="61" t="str">
        <f aca="false">$M891&amp;" "&amp;$C891</f>
        <v>Teclado Mecanico 2024</v>
      </c>
      <c r="O891" s="63" t="n">
        <f aca="false">IF(ISTEXT($AC891),VALUE($AC891),$AC891)</f>
        <v>12</v>
      </c>
      <c r="P891" s="64" t="n">
        <f aca="false">INDEX(Datos_Origen!$I$2:$I$2459,$Z891)</f>
        <v>93.1</v>
      </c>
      <c r="Q891" s="64" t="n">
        <f aca="false">INDEX(Datos_Origen!$J$2:$J$2459,$Z891)</f>
        <v>47.98</v>
      </c>
      <c r="R891" s="65" t="n">
        <f aca="false">ROUND($O891*$P891,2)</f>
        <v>1117.2</v>
      </c>
      <c r="S891" s="65" t="n">
        <f aca="false">ROUND($O891*$Q891,2)</f>
        <v>575.76</v>
      </c>
      <c r="T891" s="65" t="n">
        <f aca="false">ROUND($R891*SUMIFS(Parametros!$E$28:$E$43,Parametros!$B$28:$B$43,$J891,Parametros!$C$28:$C$43,$C891,Parametros!$D$28:$D$43,$D891),2)</f>
        <v>51.39</v>
      </c>
      <c r="U891" s="65" t="n">
        <f aca="false">$R891-$S891-$T891</f>
        <v>490.05</v>
      </c>
      <c r="V891" s="66" t="n">
        <f aca="false">IFERROR($U891/$R891,0)</f>
        <v>0.438641245972073</v>
      </c>
      <c r="W891" s="67" t="str">
        <f aca="false">IF(AND($V891&gt;=Parametros!$C$8,$R891&gt;=Parametros!$C$12),"Alta rentabilidad",IF(OR($V891&lt;Parametros!$C$11,$R891&lt;Parametros!$C$13),"Revisar","Estandar"))</f>
        <v>Estandar</v>
      </c>
      <c r="X891" s="67" t="str">
        <f aca="false">IF(AND($J891="E-commerce",IFERROR($T891/$R891,0)&gt;Parametros!$C$14),"Alerta","OK")</f>
        <v>OK</v>
      </c>
      <c r="Y891" s="61" t="str">
        <f aca="false">IF($R891&gt;=Parametros!$C$12,"Alto",IF($R891&lt;Parametros!$C$13,"Bajo","Medio"))</f>
        <v>Medio</v>
      </c>
      <c r="Z891" s="61" t="n">
        <v>1353</v>
      </c>
      <c r="AA891" s="61" t="str">
        <f aca="false">IF(MATCH($A891,Datos_Origen!$A$2:$A$2459,0)=$Z891,"OK","REVISAR")</f>
        <v>OK</v>
      </c>
      <c r="AB891" s="62" t="n">
        <f aca="false">INDEX(Datos_Origen!$B$2:$B$2459,$Z891)</f>
        <v>45556</v>
      </c>
      <c r="AC891" s="61" t="n">
        <f aca="false">INDEX(Datos_Origen!$H$2:$H$2459,$Z891)</f>
        <v>12</v>
      </c>
      <c r="AD891" s="61" t="str">
        <f aca="false">INDEX(Datos_Origen!$D$2:$D$2459,$Z891)&amp;""</f>
        <v>Tucuman</v>
      </c>
    </row>
    <row r="892" customFormat="false" ht="15" hidden="false" customHeight="false" outlineLevel="0" collapsed="false">
      <c r="A892" s="61" t="n">
        <f aca="false">INDEX(Datos_Origen!$A$2:$A$2459,$Z892)</f>
        <v>891</v>
      </c>
      <c r="B892" s="62" t="n">
        <f aca="false">IF(ISNUMBER($AB892),$AB892,IF(MID($AB892,5,1)="-",DATE(VALUE(LEFT($AB892,4)),VALUE(MID($AB892,6,2)),VALUE(RIGHT($AB892,2))),DATE(VALUE(RIGHT($AB892,4)),VALUE(MID($AB892,4,2)),VALUE(LEFT($AB892,2)))))</f>
        <v>45536</v>
      </c>
      <c r="C892" s="61" t="n">
        <f aca="false">YEAR($B892)</f>
        <v>2024</v>
      </c>
      <c r="D892" s="61" t="str">
        <f aca="false">"Q"&amp;ROUNDUP(MONTH($B892)/3,0)</f>
        <v>Q3</v>
      </c>
      <c r="E892" s="61" t="n">
        <f aca="false">MONTH($B892)</f>
        <v>9</v>
      </c>
      <c r="F892" s="61" t="str">
        <f aca="false">INDEX(Parametros!$I$5:$I$16,$E892)</f>
        <v>Sep</v>
      </c>
      <c r="G892" s="61" t="str">
        <f aca="false">TEXT($C892,"0000")&amp;"-"&amp;TEXT($E892,"00")</f>
        <v>2024-09</v>
      </c>
      <c r="H892" s="61" t="str">
        <f aca="false">INDEX(Parametros!$C$71:$C$91,MATCH(TRIM(INDEX(Datos_Origen!$C$2:$C$2459,$Z892)),Parametros!$B$71:$B$91,0))</f>
        <v>NOA</v>
      </c>
      <c r="I892" s="61" t="str">
        <f aca="false">IF(TRIM($AD892)="",INDEX(Parametros!$I$20:$I$24,MATCH($H892,Parametros!$H$20:$H$24,0)),TRIM($AD892))</f>
        <v>Tucuman</v>
      </c>
      <c r="J892" s="61" t="str">
        <f aca="false">INDEX(Parametros!$C$95:$C$106,MATCH(TRIM(INDEX(Datos_Origen!$E$2:$E$2459,$Z892)),Parametros!$B$95:$B$106,0))</f>
        <v>Tienda fisica</v>
      </c>
      <c r="K892" s="61" t="str">
        <f aca="false">INDEX(Parametros!$C$48:$C$67,MATCH(TRIM(INDEX(Datos_Origen!$F$2:$F$2459,$Z892)),Parametros!$B$48:$B$67,0))</f>
        <v>Accesorios</v>
      </c>
      <c r="L892" s="61" t="str">
        <f aca="false">$K892&amp;" "&amp;$C892</f>
        <v>Accesorios 2024</v>
      </c>
      <c r="M892" s="61" t="str">
        <f aca="false">TRIM(INDEX(Datos_Origen!$G$2:$G$2459,$Z892))</f>
        <v>Webcam Full HD</v>
      </c>
      <c r="N892" s="61" t="str">
        <f aca="false">$M892&amp;" "&amp;$C892</f>
        <v>Webcam Full HD 2024</v>
      </c>
      <c r="O892" s="63" t="n">
        <f aca="false">IF(ISTEXT($AC892),VALUE($AC892),$AC892)</f>
        <v>30</v>
      </c>
      <c r="P892" s="64" t="n">
        <f aca="false">INDEX(Datos_Origen!$I$2:$I$2459,$Z892)</f>
        <v>63.7</v>
      </c>
      <c r="Q892" s="64" t="n">
        <f aca="false">INDEX(Datos_Origen!$J$2:$J$2459,$Z892)</f>
        <v>35.43</v>
      </c>
      <c r="R892" s="65" t="n">
        <f aca="false">ROUND($O892*$P892,2)</f>
        <v>1911</v>
      </c>
      <c r="S892" s="65" t="n">
        <f aca="false">ROUND($O892*$Q892,2)</f>
        <v>1062.9</v>
      </c>
      <c r="T892" s="65" t="n">
        <f aca="false">ROUND($R892*SUMIFS(Parametros!$E$28:$E$43,Parametros!$B$28:$B$43,$J892,Parametros!$C$28:$C$43,$C892,Parametros!$D$28:$D$43,$D892),2)</f>
        <v>24.84</v>
      </c>
      <c r="U892" s="65" t="n">
        <f aca="false">$R892-$S892-$T892</f>
        <v>823.26</v>
      </c>
      <c r="V892" s="66" t="n">
        <f aca="false">IFERROR($U892/$R892,0)</f>
        <v>0.430800627943485</v>
      </c>
      <c r="W892" s="67" t="str">
        <f aca="false">IF(AND($V892&gt;=Parametros!$C$8,$R892&gt;=Parametros!$C$12),"Alta rentabilidad",IF(OR($V892&lt;Parametros!$C$11,$R892&lt;Parametros!$C$13),"Revisar","Estandar"))</f>
        <v>Estandar</v>
      </c>
      <c r="X892" s="67" t="str">
        <f aca="false">IF(AND($J892="E-commerce",IFERROR($T892/$R892,0)&gt;Parametros!$C$14),"Alerta","OK")</f>
        <v>OK</v>
      </c>
      <c r="Y892" s="61" t="str">
        <f aca="false">IF($R892&gt;=Parametros!$C$12,"Alto",IF($R892&lt;Parametros!$C$13,"Bajo","Medio"))</f>
        <v>Medio</v>
      </c>
      <c r="Z892" s="61" t="n">
        <v>495</v>
      </c>
      <c r="AA892" s="61" t="str">
        <f aca="false">IF(MATCH($A892,Datos_Origen!$A$2:$A$2459,0)=$Z892,"OK","REVISAR")</f>
        <v>OK</v>
      </c>
      <c r="AB892" s="61" t="str">
        <f aca="false">INDEX(Datos_Origen!$B$2:$B$2459,$Z892)</f>
        <v>01/09/2024</v>
      </c>
      <c r="AC892" s="61" t="n">
        <f aca="false">INDEX(Datos_Origen!$H$2:$H$2459,$Z892)</f>
        <v>30</v>
      </c>
      <c r="AD892" s="61" t="str">
        <f aca="false">INDEX(Datos_Origen!$D$2:$D$2459,$Z892)&amp;""</f>
        <v>Tucuman</v>
      </c>
    </row>
    <row r="893" customFormat="false" ht="15" hidden="false" customHeight="false" outlineLevel="0" collapsed="false">
      <c r="A893" s="61" t="n">
        <f aca="false">INDEX(Datos_Origen!$A$2:$A$2459,$Z893)</f>
        <v>892</v>
      </c>
      <c r="B893" s="62" t="n">
        <f aca="false">IF(ISNUMBER($AB893),$AB893,IF(MID($AB893,5,1)="-",DATE(VALUE(LEFT($AB893,4)),VALUE(MID($AB893,6,2)),VALUE(RIGHT($AB893,2))),DATE(VALUE(RIGHT($AB893,4)),VALUE(MID($AB893,4,2)),VALUE(LEFT($AB893,2)))))</f>
        <v>45543</v>
      </c>
      <c r="C893" s="61" t="n">
        <f aca="false">YEAR($B893)</f>
        <v>2024</v>
      </c>
      <c r="D893" s="61" t="str">
        <f aca="false">"Q"&amp;ROUNDUP(MONTH($B893)/3,0)</f>
        <v>Q3</v>
      </c>
      <c r="E893" s="61" t="n">
        <f aca="false">MONTH($B893)</f>
        <v>9</v>
      </c>
      <c r="F893" s="61" t="str">
        <f aca="false">INDEX(Parametros!$I$5:$I$16,$E893)</f>
        <v>Sep</v>
      </c>
      <c r="G893" s="61" t="str">
        <f aca="false">TEXT($C893,"0000")&amp;"-"&amp;TEXT($E893,"00")</f>
        <v>2024-09</v>
      </c>
      <c r="H893" s="61" t="str">
        <f aca="false">INDEX(Parametros!$C$71:$C$91,MATCH(TRIM(INDEX(Datos_Origen!$C$2:$C$2459,$Z893)),Parametros!$B$71:$B$91,0))</f>
        <v>NOA</v>
      </c>
      <c r="I893" s="61" t="str">
        <f aca="false">IF(TRIM($AD893)="",INDEX(Parametros!$I$20:$I$24,MATCH($H893,Parametros!$H$20:$H$24,0)),TRIM($AD893))</f>
        <v>Tucuman</v>
      </c>
      <c r="J893" s="61" t="str">
        <f aca="false">INDEX(Parametros!$C$95:$C$106,MATCH(TRIM(INDEX(Datos_Origen!$E$2:$E$2459,$Z893)),Parametros!$B$95:$B$106,0))</f>
        <v>E-commerce</v>
      </c>
      <c r="K893" s="61" t="str">
        <f aca="false">INDEX(Parametros!$C$48:$C$67,MATCH(TRIM(INDEX(Datos_Origen!$F$2:$F$2459,$Z893)),Parametros!$B$48:$B$67,0))</f>
        <v>Accesorios</v>
      </c>
      <c r="L893" s="61" t="str">
        <f aca="false">$K893&amp;" "&amp;$C893</f>
        <v>Accesorios 2024</v>
      </c>
      <c r="M893" s="61" t="str">
        <f aca="false">TRIM(INDEX(Datos_Origen!$G$2:$G$2459,$Z893))</f>
        <v>Webcam Full HD</v>
      </c>
      <c r="N893" s="61" t="str">
        <f aca="false">$M893&amp;" "&amp;$C893</f>
        <v>Webcam Full HD 2024</v>
      </c>
      <c r="O893" s="63" t="n">
        <f aca="false">IF(ISTEXT($AC893),VALUE($AC893),$AC893)</f>
        <v>14</v>
      </c>
      <c r="P893" s="64" t="n">
        <f aca="false">INDEX(Datos_Origen!$I$2:$I$2459,$Z893)</f>
        <v>63.7</v>
      </c>
      <c r="Q893" s="64" t="n">
        <f aca="false">INDEX(Datos_Origen!$J$2:$J$2459,$Z893)</f>
        <v>35.43</v>
      </c>
      <c r="R893" s="65" t="n">
        <f aca="false">ROUND($O893*$P893,2)</f>
        <v>891.8</v>
      </c>
      <c r="S893" s="65" t="n">
        <f aca="false">ROUND($O893*$Q893,2)</f>
        <v>496.02</v>
      </c>
      <c r="T893" s="65" t="n">
        <f aca="false">ROUND($R893*SUMIFS(Parametros!$E$28:$E$43,Parametros!$B$28:$B$43,$J893,Parametros!$C$28:$C$43,$C893,Parametros!$D$28:$D$43,$D893),2)</f>
        <v>41.02</v>
      </c>
      <c r="U893" s="65" t="n">
        <f aca="false">$R893-$S893-$T893</f>
        <v>354.76</v>
      </c>
      <c r="V893" s="66" t="n">
        <f aca="false">IFERROR($U893/$R893,0)</f>
        <v>0.397802197802198</v>
      </c>
      <c r="W893" s="67" t="str">
        <f aca="false">IF(AND($V893&gt;=Parametros!$C$8,$R893&gt;=Parametros!$C$12),"Alta rentabilidad",IF(OR($V893&lt;Parametros!$C$11,$R893&lt;Parametros!$C$13),"Revisar","Estandar"))</f>
        <v>Estandar</v>
      </c>
      <c r="X893" s="67" t="str">
        <f aca="false">IF(AND($J893="E-commerce",IFERROR($T893/$R893,0)&gt;Parametros!$C$14),"Alerta","OK")</f>
        <v>OK</v>
      </c>
      <c r="Y893" s="61" t="str">
        <f aca="false">IF($R893&gt;=Parametros!$C$12,"Alto",IF($R893&lt;Parametros!$C$13,"Bajo","Medio"))</f>
        <v>Medio</v>
      </c>
      <c r="Z893" s="61" t="n">
        <v>61</v>
      </c>
      <c r="AA893" s="61" t="str">
        <f aca="false">IF(MATCH($A893,Datos_Origen!$A$2:$A$2459,0)=$Z893,"OK","REVISAR")</f>
        <v>OK</v>
      </c>
      <c r="AB893" s="62" t="n">
        <f aca="false">INDEX(Datos_Origen!$B$2:$B$2459,$Z893)</f>
        <v>45543</v>
      </c>
      <c r="AC893" s="61" t="n">
        <f aca="false">INDEX(Datos_Origen!$H$2:$H$2459,$Z893)</f>
        <v>14</v>
      </c>
      <c r="AD893" s="61" t="str">
        <f aca="false">INDEX(Datos_Origen!$D$2:$D$2459,$Z893)&amp;""</f>
        <v>Tucuman</v>
      </c>
    </row>
    <row r="894" customFormat="false" ht="15" hidden="false" customHeight="false" outlineLevel="0" collapsed="false">
      <c r="A894" s="61" t="n">
        <f aca="false">INDEX(Datos_Origen!$A$2:$A$2459,$Z894)</f>
        <v>893</v>
      </c>
      <c r="B894" s="62" t="n">
        <f aca="false">IF(ISNUMBER($AB894),$AB894,IF(MID($AB894,5,1)="-",DATE(VALUE(LEFT($AB894,4)),VALUE(MID($AB894,6,2)),VALUE(RIGHT($AB894,2))),DATE(VALUE(RIGHT($AB894,4)),VALUE(MID($AB894,4,2)),VALUE(LEFT($AB894,2)))))</f>
        <v>45550</v>
      </c>
      <c r="C894" s="61" t="n">
        <f aca="false">YEAR($B894)</f>
        <v>2024</v>
      </c>
      <c r="D894" s="61" t="str">
        <f aca="false">"Q"&amp;ROUNDUP(MONTH($B894)/3,0)</f>
        <v>Q3</v>
      </c>
      <c r="E894" s="61" t="n">
        <f aca="false">MONTH($B894)</f>
        <v>9</v>
      </c>
      <c r="F894" s="61" t="str">
        <f aca="false">INDEX(Parametros!$I$5:$I$16,$E894)</f>
        <v>Sep</v>
      </c>
      <c r="G894" s="61" t="str">
        <f aca="false">TEXT($C894,"0000")&amp;"-"&amp;TEXT($E894,"00")</f>
        <v>2024-09</v>
      </c>
      <c r="H894" s="61" t="str">
        <f aca="false">INDEX(Parametros!$C$71:$C$91,MATCH(TRIM(INDEX(Datos_Origen!$C$2:$C$2459,$Z894)),Parametros!$B$71:$B$91,0))</f>
        <v>NOA</v>
      </c>
      <c r="I894" s="61" t="str">
        <f aca="false">IF(TRIM($AD894)="",INDEX(Parametros!$I$20:$I$24,MATCH($H894,Parametros!$H$20:$H$24,0)),TRIM($AD894))</f>
        <v>Tucuman</v>
      </c>
      <c r="J894" s="61" t="str">
        <f aca="false">INDEX(Parametros!$C$95:$C$106,MATCH(TRIM(INDEX(Datos_Origen!$E$2:$E$2459,$Z894)),Parametros!$B$95:$B$106,0))</f>
        <v>Tienda fisica</v>
      </c>
      <c r="K894" s="61" t="str">
        <f aca="false">INDEX(Parametros!$C$48:$C$67,MATCH(TRIM(INDEX(Datos_Origen!$F$2:$F$2459,$Z894)),Parametros!$B$48:$B$67,0))</f>
        <v>Audio</v>
      </c>
      <c r="L894" s="61" t="str">
        <f aca="false">$K894&amp;" "&amp;$C894</f>
        <v>Audio 2024</v>
      </c>
      <c r="M894" s="61" t="str">
        <f aca="false">TRIM(INDEX(Datos_Origen!$G$2:$G$2459,$Z894))</f>
        <v>Auriculares BT Pro</v>
      </c>
      <c r="N894" s="61" t="str">
        <f aca="false">$M894&amp;" "&amp;$C894</f>
        <v>Auriculares BT Pro 2024</v>
      </c>
      <c r="O894" s="63" t="n">
        <f aca="false">IF(ISTEXT($AC894),VALUE($AC894),$AC894)</f>
        <v>17</v>
      </c>
      <c r="P894" s="64" t="n">
        <f aca="false">INDEX(Datos_Origen!$I$2:$I$2459,$Z894)</f>
        <v>117.6</v>
      </c>
      <c r="Q894" s="64" t="n">
        <f aca="false">INDEX(Datos_Origen!$J$2:$J$2459,$Z894)</f>
        <v>63.6</v>
      </c>
      <c r="R894" s="65" t="n">
        <f aca="false">ROUND($O894*$P894,2)</f>
        <v>1999.2</v>
      </c>
      <c r="S894" s="65" t="n">
        <f aca="false">ROUND($O894*$Q894,2)</f>
        <v>1081.2</v>
      </c>
      <c r="T894" s="65" t="n">
        <f aca="false">ROUND($R894*SUMIFS(Parametros!$E$28:$E$43,Parametros!$B$28:$B$43,$J894,Parametros!$C$28:$C$43,$C894,Parametros!$D$28:$D$43,$D894),2)</f>
        <v>25.99</v>
      </c>
      <c r="U894" s="65" t="n">
        <f aca="false">$R894-$S894-$T894</f>
        <v>892.01</v>
      </c>
      <c r="V894" s="66" t="n">
        <f aca="false">IFERROR($U894/$R894,0)</f>
        <v>0.446183473389356</v>
      </c>
      <c r="W894" s="67" t="str">
        <f aca="false">IF(AND($V894&gt;=Parametros!$C$8,$R894&gt;=Parametros!$C$12),"Alta rentabilidad",IF(OR($V894&lt;Parametros!$C$11,$R894&lt;Parametros!$C$13),"Revisar","Estandar"))</f>
        <v>Estandar</v>
      </c>
      <c r="X894" s="67" t="str">
        <f aca="false">IF(AND($J894="E-commerce",IFERROR($T894/$R894,0)&gt;Parametros!$C$14),"Alerta","OK")</f>
        <v>OK</v>
      </c>
      <c r="Y894" s="61" t="str">
        <f aca="false">IF($R894&gt;=Parametros!$C$12,"Alto",IF($R894&lt;Parametros!$C$13,"Bajo","Medio"))</f>
        <v>Medio</v>
      </c>
      <c r="Z894" s="61" t="n">
        <v>663</v>
      </c>
      <c r="AA894" s="61" t="str">
        <f aca="false">IF(MATCH($A894,Datos_Origen!$A$2:$A$2459,0)=$Z894,"OK","REVISAR")</f>
        <v>OK</v>
      </c>
      <c r="AB894" s="61" t="str">
        <f aca="false">INDEX(Datos_Origen!$B$2:$B$2459,$Z894)</f>
        <v>2024-09-15</v>
      </c>
      <c r="AC894" s="61" t="n">
        <f aca="false">INDEX(Datos_Origen!$H$2:$H$2459,$Z894)</f>
        <v>17</v>
      </c>
      <c r="AD894" s="61" t="str">
        <f aca="false">INDEX(Datos_Origen!$D$2:$D$2459,$Z894)&amp;""</f>
        <v>Tucuman</v>
      </c>
    </row>
    <row r="895" customFormat="false" ht="15" hidden="false" customHeight="false" outlineLevel="0" collapsed="false">
      <c r="A895" s="61" t="n">
        <f aca="false">INDEX(Datos_Origen!$A$2:$A$2459,$Z895)</f>
        <v>894</v>
      </c>
      <c r="B895" s="62" t="n">
        <f aca="false">IF(ISNUMBER($AB895),$AB895,IF(MID($AB895,5,1)="-",DATE(VALUE(LEFT($AB895,4)),VALUE(MID($AB895,6,2)),VALUE(RIGHT($AB895,2))),DATE(VALUE(RIGHT($AB895,4)),VALUE(MID($AB895,4,2)),VALUE(LEFT($AB895,2)))))</f>
        <v>45557</v>
      </c>
      <c r="C895" s="61" t="n">
        <f aca="false">YEAR($B895)</f>
        <v>2024</v>
      </c>
      <c r="D895" s="61" t="str">
        <f aca="false">"Q"&amp;ROUNDUP(MONTH($B895)/3,0)</f>
        <v>Q3</v>
      </c>
      <c r="E895" s="61" t="n">
        <f aca="false">MONTH($B895)</f>
        <v>9</v>
      </c>
      <c r="F895" s="61" t="str">
        <f aca="false">INDEX(Parametros!$I$5:$I$16,$E895)</f>
        <v>Sep</v>
      </c>
      <c r="G895" s="61" t="str">
        <f aca="false">TEXT($C895,"0000")&amp;"-"&amp;TEXT($E895,"00")</f>
        <v>2024-09</v>
      </c>
      <c r="H895" s="61" t="str">
        <f aca="false">INDEX(Parametros!$C$71:$C$91,MATCH(TRIM(INDEX(Datos_Origen!$C$2:$C$2459,$Z895)),Parametros!$B$71:$B$91,0))</f>
        <v>NOA</v>
      </c>
      <c r="I895" s="61" t="str">
        <f aca="false">IF(TRIM($AD895)="",INDEX(Parametros!$I$20:$I$24,MATCH($H895,Parametros!$H$20:$H$24,0)),TRIM($AD895))</f>
        <v>Tucuman</v>
      </c>
      <c r="J895" s="61" t="str">
        <f aca="false">INDEX(Parametros!$C$95:$C$106,MATCH(TRIM(INDEX(Datos_Origen!$E$2:$E$2459,$Z895)),Parametros!$B$95:$B$106,0))</f>
        <v>E-commerce</v>
      </c>
      <c r="K895" s="61" t="str">
        <f aca="false">INDEX(Parametros!$C$48:$C$67,MATCH(TRIM(INDEX(Datos_Origen!$F$2:$F$2459,$Z895)),Parametros!$B$48:$B$67,0))</f>
        <v>Audio</v>
      </c>
      <c r="L895" s="61" t="str">
        <f aca="false">$K895&amp;" "&amp;$C895</f>
        <v>Audio 2024</v>
      </c>
      <c r="M895" s="61" t="str">
        <f aca="false">TRIM(INDEX(Datos_Origen!$G$2:$G$2459,$Z895))</f>
        <v>Auriculares BT Pro</v>
      </c>
      <c r="N895" s="61" t="str">
        <f aca="false">$M895&amp;" "&amp;$C895</f>
        <v>Auriculares BT Pro 2024</v>
      </c>
      <c r="O895" s="63" t="n">
        <f aca="false">IF(ISTEXT($AC895),VALUE($AC895),$AC895)</f>
        <v>5</v>
      </c>
      <c r="P895" s="64" t="n">
        <f aca="false">INDEX(Datos_Origen!$I$2:$I$2459,$Z895)</f>
        <v>117.6</v>
      </c>
      <c r="Q895" s="64" t="n">
        <f aca="false">INDEX(Datos_Origen!$J$2:$J$2459,$Z895)</f>
        <v>63.6</v>
      </c>
      <c r="R895" s="65" t="n">
        <f aca="false">ROUND($O895*$P895,2)</f>
        <v>588</v>
      </c>
      <c r="S895" s="65" t="n">
        <f aca="false">ROUND($O895*$Q895,2)</f>
        <v>318</v>
      </c>
      <c r="T895" s="65" t="n">
        <f aca="false">ROUND($R895*SUMIFS(Parametros!$E$28:$E$43,Parametros!$B$28:$B$43,$J895,Parametros!$C$28:$C$43,$C895,Parametros!$D$28:$D$43,$D895),2)</f>
        <v>27.05</v>
      </c>
      <c r="U895" s="65" t="n">
        <f aca="false">$R895-$S895-$T895</f>
        <v>242.95</v>
      </c>
      <c r="V895" s="66" t="n">
        <f aca="false">IFERROR($U895/$R895,0)</f>
        <v>0.413180272108844</v>
      </c>
      <c r="W895" s="67" t="str">
        <f aca="false">IF(AND($V895&gt;=Parametros!$C$8,$R895&gt;=Parametros!$C$12),"Alta rentabilidad",IF(OR($V895&lt;Parametros!$C$11,$R895&lt;Parametros!$C$13),"Revisar","Estandar"))</f>
        <v>Estandar</v>
      </c>
      <c r="X895" s="67" t="str">
        <f aca="false">IF(AND($J895="E-commerce",IFERROR($T895/$R895,0)&gt;Parametros!$C$14),"Alerta","OK")</f>
        <v>OK</v>
      </c>
      <c r="Y895" s="61" t="str">
        <f aca="false">IF($R895&gt;=Parametros!$C$12,"Alto",IF($R895&lt;Parametros!$C$13,"Bajo","Medio"))</f>
        <v>Medio</v>
      </c>
      <c r="Z895" s="61" t="n">
        <v>2082</v>
      </c>
      <c r="AA895" s="61" t="str">
        <f aca="false">IF(MATCH($A895,Datos_Origen!$A$2:$A$2459,0)=$Z895,"OK","REVISAR")</f>
        <v>OK</v>
      </c>
      <c r="AB895" s="61" t="str">
        <f aca="false">INDEX(Datos_Origen!$B$2:$B$2459,$Z895)</f>
        <v>22/09/2024</v>
      </c>
      <c r="AC895" s="61" t="n">
        <f aca="false">INDEX(Datos_Origen!$H$2:$H$2459,$Z895)</f>
        <v>5</v>
      </c>
      <c r="AD895" s="61" t="str">
        <f aca="false">INDEX(Datos_Origen!$D$2:$D$2459,$Z895)&amp;""</f>
        <v>Tucuman</v>
      </c>
    </row>
    <row r="896" customFormat="false" ht="15" hidden="false" customHeight="false" outlineLevel="0" collapsed="false">
      <c r="A896" s="61" t="n">
        <f aca="false">INDEX(Datos_Origen!$A$2:$A$2459,$Z896)</f>
        <v>895</v>
      </c>
      <c r="B896" s="62" t="n">
        <f aca="false">IF(ISNUMBER($AB896),$AB896,IF(MID($AB896,5,1)="-",DATE(VALUE(LEFT($AB896,4)),VALUE(MID($AB896,6,2)),VALUE(RIGHT($AB896,2))),DATE(VALUE(RIGHT($AB896,4)),VALUE(MID($AB896,4,2)),VALUE(LEFT($AB896,2)))))</f>
        <v>45537</v>
      </c>
      <c r="C896" s="61" t="n">
        <f aca="false">YEAR($B896)</f>
        <v>2024</v>
      </c>
      <c r="D896" s="61" t="str">
        <f aca="false">"Q"&amp;ROUNDUP(MONTH($B896)/3,0)</f>
        <v>Q3</v>
      </c>
      <c r="E896" s="61" t="n">
        <f aca="false">MONTH($B896)</f>
        <v>9</v>
      </c>
      <c r="F896" s="61" t="str">
        <f aca="false">INDEX(Parametros!$I$5:$I$16,$E896)</f>
        <v>Sep</v>
      </c>
      <c r="G896" s="61" t="str">
        <f aca="false">TEXT($C896,"0000")&amp;"-"&amp;TEXT($E896,"00")</f>
        <v>2024-09</v>
      </c>
      <c r="H896" s="61" t="str">
        <f aca="false">INDEX(Parametros!$C$71:$C$91,MATCH(TRIM(INDEX(Datos_Origen!$C$2:$C$2459,$Z896)),Parametros!$B$71:$B$91,0))</f>
        <v>NOA</v>
      </c>
      <c r="I896" s="61" t="str">
        <f aca="false">IF(TRIM($AD896)="",INDEX(Parametros!$I$20:$I$24,MATCH($H896,Parametros!$H$20:$H$24,0)),TRIM($AD896))</f>
        <v>Tucuman</v>
      </c>
      <c r="J896" s="61" t="str">
        <f aca="false">INDEX(Parametros!$C$95:$C$106,MATCH(TRIM(INDEX(Datos_Origen!$E$2:$E$2459,$Z896)),Parametros!$B$95:$B$106,0))</f>
        <v>Tienda fisica</v>
      </c>
      <c r="K896" s="61" t="str">
        <f aca="false">INDEX(Parametros!$C$48:$C$67,MATCH(TRIM(INDEX(Datos_Origen!$F$2:$F$2459,$Z896)),Parametros!$B$48:$B$67,0))</f>
        <v>Audio</v>
      </c>
      <c r="L896" s="61" t="str">
        <f aca="false">$K896&amp;" "&amp;$C896</f>
        <v>Audio 2024</v>
      </c>
      <c r="M896" s="61" t="str">
        <f aca="false">TRIM(INDEX(Datos_Origen!$G$2:$G$2459,$Z896))</f>
        <v>Parlante Bluetooth</v>
      </c>
      <c r="N896" s="61" t="str">
        <f aca="false">$M896&amp;" "&amp;$C896</f>
        <v>Parlante Bluetooth 2024</v>
      </c>
      <c r="O896" s="63" t="n">
        <f aca="false">IF(ISTEXT($AC896),VALUE($AC896),$AC896)</f>
        <v>12</v>
      </c>
      <c r="P896" s="64" t="n">
        <f aca="false">INDEX(Datos_Origen!$I$2:$I$2459,$Z896)</f>
        <v>83.3</v>
      </c>
      <c r="Q896" s="64" t="n">
        <f aca="false">INDEX(Datos_Origen!$J$2:$J$2459,$Z896)</f>
        <v>48.03</v>
      </c>
      <c r="R896" s="65" t="n">
        <f aca="false">ROUND($O896*$P896,2)</f>
        <v>999.6</v>
      </c>
      <c r="S896" s="65" t="n">
        <f aca="false">ROUND($O896*$Q896,2)</f>
        <v>576.36</v>
      </c>
      <c r="T896" s="65" t="n">
        <f aca="false">ROUND($R896*SUMIFS(Parametros!$E$28:$E$43,Parametros!$B$28:$B$43,$J896,Parametros!$C$28:$C$43,$C896,Parametros!$D$28:$D$43,$D896),2)</f>
        <v>12.99</v>
      </c>
      <c r="U896" s="65" t="n">
        <f aca="false">$R896-$S896-$T896</f>
        <v>410.25</v>
      </c>
      <c r="V896" s="66" t="n">
        <f aca="false">IFERROR($U896/$R896,0)</f>
        <v>0.410414165666267</v>
      </c>
      <c r="W896" s="67" t="str">
        <f aca="false">IF(AND($V896&gt;=Parametros!$C$8,$R896&gt;=Parametros!$C$12),"Alta rentabilidad",IF(OR($V896&lt;Parametros!$C$11,$R896&lt;Parametros!$C$13),"Revisar","Estandar"))</f>
        <v>Estandar</v>
      </c>
      <c r="X896" s="67" t="str">
        <f aca="false">IF(AND($J896="E-commerce",IFERROR($T896/$R896,0)&gt;Parametros!$C$14),"Alerta","OK")</f>
        <v>OK</v>
      </c>
      <c r="Y896" s="61" t="str">
        <f aca="false">IF($R896&gt;=Parametros!$C$12,"Alto",IF($R896&lt;Parametros!$C$13,"Bajo","Medio"))</f>
        <v>Medio</v>
      </c>
      <c r="Z896" s="61" t="n">
        <v>2084</v>
      </c>
      <c r="AA896" s="61" t="str">
        <f aca="false">IF(MATCH($A896,Datos_Origen!$A$2:$A$2459,0)=$Z896,"OK","REVISAR")</f>
        <v>OK</v>
      </c>
      <c r="AB896" s="61" t="str">
        <f aca="false">INDEX(Datos_Origen!$B$2:$B$2459,$Z896)</f>
        <v>02/09/2024</v>
      </c>
      <c r="AC896" s="61" t="n">
        <f aca="false">INDEX(Datos_Origen!$H$2:$H$2459,$Z896)</f>
        <v>12</v>
      </c>
      <c r="AD896" s="61" t="str">
        <f aca="false">INDEX(Datos_Origen!$D$2:$D$2459,$Z896)&amp;""</f>
        <v>Tucuman</v>
      </c>
    </row>
    <row r="897" customFormat="false" ht="15" hidden="false" customHeight="false" outlineLevel="0" collapsed="false">
      <c r="A897" s="61" t="n">
        <f aca="false">INDEX(Datos_Origen!$A$2:$A$2459,$Z897)</f>
        <v>896</v>
      </c>
      <c r="B897" s="62" t="n">
        <f aca="false">IF(ISNUMBER($AB897),$AB897,IF(MID($AB897,5,1)="-",DATE(VALUE(LEFT($AB897,4)),VALUE(MID($AB897,6,2)),VALUE(RIGHT($AB897,2))),DATE(VALUE(RIGHT($AB897,4)),VALUE(MID($AB897,4,2)),VALUE(LEFT($AB897,2)))))</f>
        <v>45544</v>
      </c>
      <c r="C897" s="61" t="n">
        <f aca="false">YEAR($B897)</f>
        <v>2024</v>
      </c>
      <c r="D897" s="61" t="str">
        <f aca="false">"Q"&amp;ROUNDUP(MONTH($B897)/3,0)</f>
        <v>Q3</v>
      </c>
      <c r="E897" s="61" t="n">
        <f aca="false">MONTH($B897)</f>
        <v>9</v>
      </c>
      <c r="F897" s="61" t="str">
        <f aca="false">INDEX(Parametros!$I$5:$I$16,$E897)</f>
        <v>Sep</v>
      </c>
      <c r="G897" s="61" t="str">
        <f aca="false">TEXT($C897,"0000")&amp;"-"&amp;TEXT($E897,"00")</f>
        <v>2024-09</v>
      </c>
      <c r="H897" s="61" t="str">
        <f aca="false">INDEX(Parametros!$C$71:$C$91,MATCH(TRIM(INDEX(Datos_Origen!$C$2:$C$2459,$Z897)),Parametros!$B$71:$B$91,0))</f>
        <v>NOA</v>
      </c>
      <c r="I897" s="61" t="str">
        <f aca="false">IF(TRIM($AD897)="",INDEX(Parametros!$I$20:$I$24,MATCH($H897,Parametros!$H$20:$H$24,0)),TRIM($AD897))</f>
        <v>Tucuman</v>
      </c>
      <c r="J897" s="61" t="str">
        <f aca="false">INDEX(Parametros!$C$95:$C$106,MATCH(TRIM(INDEX(Datos_Origen!$E$2:$E$2459,$Z897)),Parametros!$B$95:$B$106,0))</f>
        <v>E-commerce</v>
      </c>
      <c r="K897" s="61" t="str">
        <f aca="false">INDEX(Parametros!$C$48:$C$67,MATCH(TRIM(INDEX(Datos_Origen!$F$2:$F$2459,$Z897)),Parametros!$B$48:$B$67,0))</f>
        <v>Audio</v>
      </c>
      <c r="L897" s="61" t="str">
        <f aca="false">$K897&amp;" "&amp;$C897</f>
        <v>Audio 2024</v>
      </c>
      <c r="M897" s="61" t="str">
        <f aca="false">TRIM(INDEX(Datos_Origen!$G$2:$G$2459,$Z897))</f>
        <v>Parlante Bluetooth</v>
      </c>
      <c r="N897" s="61" t="str">
        <f aca="false">$M897&amp;" "&amp;$C897</f>
        <v>Parlante Bluetooth 2024</v>
      </c>
      <c r="O897" s="63" t="n">
        <f aca="false">IF(ISTEXT($AC897),VALUE($AC897),$AC897)</f>
        <v>6</v>
      </c>
      <c r="P897" s="64" t="n">
        <f aca="false">INDEX(Datos_Origen!$I$2:$I$2459,$Z897)</f>
        <v>83.3</v>
      </c>
      <c r="Q897" s="64" t="n">
        <f aca="false">INDEX(Datos_Origen!$J$2:$J$2459,$Z897)</f>
        <v>48.03</v>
      </c>
      <c r="R897" s="65" t="n">
        <f aca="false">ROUND($O897*$P897,2)</f>
        <v>499.8</v>
      </c>
      <c r="S897" s="65" t="n">
        <f aca="false">ROUND($O897*$Q897,2)</f>
        <v>288.18</v>
      </c>
      <c r="T897" s="65" t="n">
        <f aca="false">ROUND($R897*SUMIFS(Parametros!$E$28:$E$43,Parametros!$B$28:$B$43,$J897,Parametros!$C$28:$C$43,$C897,Parametros!$D$28:$D$43,$D897),2)</f>
        <v>22.99</v>
      </c>
      <c r="U897" s="65" t="n">
        <f aca="false">$R897-$S897-$T897</f>
        <v>188.63</v>
      </c>
      <c r="V897" s="66" t="n">
        <f aca="false">IFERROR($U897/$R897,0)</f>
        <v>0.377410964385754</v>
      </c>
      <c r="W897" s="67" t="str">
        <f aca="false">IF(AND($V897&gt;=Parametros!$C$8,$R897&gt;=Parametros!$C$12),"Alta rentabilidad",IF(OR($V897&lt;Parametros!$C$11,$R897&lt;Parametros!$C$13),"Revisar","Estandar"))</f>
        <v>Estandar</v>
      </c>
      <c r="X897" s="67" t="str">
        <f aca="false">IF(AND($J897="E-commerce",IFERROR($T897/$R897,0)&gt;Parametros!$C$14),"Alerta","OK")</f>
        <v>OK</v>
      </c>
      <c r="Y897" s="61" t="str">
        <f aca="false">IF($R897&gt;=Parametros!$C$12,"Alto",IF($R897&lt;Parametros!$C$13,"Bajo","Medio"))</f>
        <v>Medio</v>
      </c>
      <c r="Z897" s="61" t="n">
        <v>763</v>
      </c>
      <c r="AA897" s="61" t="str">
        <f aca="false">IF(MATCH($A897,Datos_Origen!$A$2:$A$2459,0)=$Z897,"OK","REVISAR")</f>
        <v>OK</v>
      </c>
      <c r="AB897" s="61" t="str">
        <f aca="false">INDEX(Datos_Origen!$B$2:$B$2459,$Z897)</f>
        <v>09/09/2024</v>
      </c>
      <c r="AC897" s="61" t="n">
        <f aca="false">INDEX(Datos_Origen!$H$2:$H$2459,$Z897)</f>
        <v>6</v>
      </c>
      <c r="AD897" s="61" t="str">
        <f aca="false">INDEX(Datos_Origen!$D$2:$D$2459,$Z897)&amp;""</f>
        <v>Tucuman</v>
      </c>
    </row>
    <row r="898" customFormat="false" ht="15" hidden="false" customHeight="false" outlineLevel="0" collapsed="false">
      <c r="A898" s="61" t="n">
        <f aca="false">INDEX(Datos_Origen!$A$2:$A$2459,$Z898)</f>
        <v>897</v>
      </c>
      <c r="B898" s="62" t="n">
        <f aca="false">IF(ISNUMBER($AB898),$AB898,IF(MID($AB898,5,1)="-",DATE(VALUE(LEFT($AB898,4)),VALUE(MID($AB898,6,2)),VALUE(RIGHT($AB898,2))),DATE(VALUE(RIGHT($AB898,4)),VALUE(MID($AB898,4,2)),VALUE(LEFT($AB898,2)))))</f>
        <v>45551</v>
      </c>
      <c r="C898" s="61" t="n">
        <f aca="false">YEAR($B898)</f>
        <v>2024</v>
      </c>
      <c r="D898" s="61" t="str">
        <f aca="false">"Q"&amp;ROUNDUP(MONTH($B898)/3,0)</f>
        <v>Q3</v>
      </c>
      <c r="E898" s="61" t="n">
        <f aca="false">MONTH($B898)</f>
        <v>9</v>
      </c>
      <c r="F898" s="61" t="str">
        <f aca="false">INDEX(Parametros!$I$5:$I$16,$E898)</f>
        <v>Sep</v>
      </c>
      <c r="G898" s="61" t="str">
        <f aca="false">TEXT($C898,"0000")&amp;"-"&amp;TEXT($E898,"00")</f>
        <v>2024-09</v>
      </c>
      <c r="H898" s="61" t="str">
        <f aca="false">INDEX(Parametros!$C$71:$C$91,MATCH(TRIM(INDEX(Datos_Origen!$C$2:$C$2459,$Z898)),Parametros!$B$71:$B$91,0))</f>
        <v>NOA</v>
      </c>
      <c r="I898" s="61" t="str">
        <f aca="false">IF(TRIM($AD898)="",INDEX(Parametros!$I$20:$I$24,MATCH($H898,Parametros!$H$20:$H$24,0)),TRIM($AD898))</f>
        <v>Tucuman</v>
      </c>
      <c r="J898" s="61" t="str">
        <f aca="false">INDEX(Parametros!$C$95:$C$106,MATCH(TRIM(INDEX(Datos_Origen!$E$2:$E$2459,$Z898)),Parametros!$B$95:$B$106,0))</f>
        <v>Tienda fisica</v>
      </c>
      <c r="K898" s="61" t="str">
        <f aca="false">INDEX(Parametros!$C$48:$C$67,MATCH(TRIM(INDEX(Datos_Origen!$F$2:$F$2459,$Z898)),Parametros!$B$48:$B$67,0))</f>
        <v>Almacenamiento</v>
      </c>
      <c r="L898" s="61" t="str">
        <f aca="false">$K898&amp;" "&amp;$C898</f>
        <v>Almacenamiento 2024</v>
      </c>
      <c r="M898" s="61" t="str">
        <f aca="false">TRIM(INDEX(Datos_Origen!$G$2:$G$2459,$Z898))</f>
        <v>SSD Externo 1TB</v>
      </c>
      <c r="N898" s="61" t="str">
        <f aca="false">$M898&amp;" "&amp;$C898</f>
        <v>SSD Externo 1TB 2024</v>
      </c>
      <c r="O898" s="63" t="n">
        <f aca="false">IF(ISTEXT($AC898),VALUE($AC898),$AC898)</f>
        <v>15</v>
      </c>
      <c r="P898" s="64" t="n">
        <f aca="false">INDEX(Datos_Origen!$I$2:$I$2459,$Z898)</f>
        <v>127.4</v>
      </c>
      <c r="Q898" s="64" t="n">
        <f aca="false">INDEX(Datos_Origen!$J$2:$J$2459,$Z898)</f>
        <v>76.05</v>
      </c>
      <c r="R898" s="65" t="n">
        <f aca="false">ROUND($O898*$P898,2)</f>
        <v>1911</v>
      </c>
      <c r="S898" s="65" t="n">
        <f aca="false">ROUND($O898*$Q898,2)</f>
        <v>1140.75</v>
      </c>
      <c r="T898" s="65" t="n">
        <f aca="false">ROUND($R898*SUMIFS(Parametros!$E$28:$E$43,Parametros!$B$28:$B$43,$J898,Parametros!$C$28:$C$43,$C898,Parametros!$D$28:$D$43,$D898),2)</f>
        <v>24.84</v>
      </c>
      <c r="U898" s="65" t="n">
        <f aca="false">$R898-$S898-$T898</f>
        <v>745.41</v>
      </c>
      <c r="V898" s="66" t="n">
        <f aca="false">IFERROR($U898/$R898,0)</f>
        <v>0.390062794348509</v>
      </c>
      <c r="W898" s="67" t="str">
        <f aca="false">IF(AND($V898&gt;=Parametros!$C$8,$R898&gt;=Parametros!$C$12),"Alta rentabilidad",IF(OR($V898&lt;Parametros!$C$11,$R898&lt;Parametros!$C$13),"Revisar","Estandar"))</f>
        <v>Estandar</v>
      </c>
      <c r="X898" s="67" t="str">
        <f aca="false">IF(AND($J898="E-commerce",IFERROR($T898/$R898,0)&gt;Parametros!$C$14),"Alerta","OK")</f>
        <v>OK</v>
      </c>
      <c r="Y898" s="61" t="str">
        <f aca="false">IF($R898&gt;=Parametros!$C$12,"Alto",IF($R898&lt;Parametros!$C$13,"Bajo","Medio"))</f>
        <v>Medio</v>
      </c>
      <c r="Z898" s="61" t="n">
        <v>1031</v>
      </c>
      <c r="AA898" s="61" t="str">
        <f aca="false">IF(MATCH($A898,Datos_Origen!$A$2:$A$2459,0)=$Z898,"OK","REVISAR")</f>
        <v>OK</v>
      </c>
      <c r="AB898" s="61" t="str">
        <f aca="false">INDEX(Datos_Origen!$B$2:$B$2459,$Z898)</f>
        <v>2024-09-16</v>
      </c>
      <c r="AC898" s="61" t="n">
        <f aca="false">INDEX(Datos_Origen!$H$2:$H$2459,$Z898)</f>
        <v>15</v>
      </c>
      <c r="AD898" s="61" t="str">
        <f aca="false">INDEX(Datos_Origen!$D$2:$D$2459,$Z898)&amp;""</f>
        <v>Tucuman</v>
      </c>
    </row>
    <row r="899" customFormat="false" ht="15" hidden="false" customHeight="false" outlineLevel="0" collapsed="false">
      <c r="A899" s="61" t="n">
        <f aca="false">INDEX(Datos_Origen!$A$2:$A$2459,$Z899)</f>
        <v>898</v>
      </c>
      <c r="B899" s="62" t="n">
        <f aca="false">IF(ISNUMBER($AB899),$AB899,IF(MID($AB899,5,1)="-",DATE(VALUE(LEFT($AB899,4)),VALUE(MID($AB899,6,2)),VALUE(RIGHT($AB899,2))),DATE(VALUE(RIGHT($AB899,4)),VALUE(MID($AB899,4,2)),VALUE(LEFT($AB899,2)))))</f>
        <v>45558</v>
      </c>
      <c r="C899" s="61" t="n">
        <f aca="false">YEAR($B899)</f>
        <v>2024</v>
      </c>
      <c r="D899" s="61" t="str">
        <f aca="false">"Q"&amp;ROUNDUP(MONTH($B899)/3,0)</f>
        <v>Q3</v>
      </c>
      <c r="E899" s="61" t="n">
        <f aca="false">MONTH($B899)</f>
        <v>9</v>
      </c>
      <c r="F899" s="61" t="str">
        <f aca="false">INDEX(Parametros!$I$5:$I$16,$E899)</f>
        <v>Sep</v>
      </c>
      <c r="G899" s="61" t="str">
        <f aca="false">TEXT($C899,"0000")&amp;"-"&amp;TEXT($E899,"00")</f>
        <v>2024-09</v>
      </c>
      <c r="H899" s="61" t="str">
        <f aca="false">INDEX(Parametros!$C$71:$C$91,MATCH(TRIM(INDEX(Datos_Origen!$C$2:$C$2459,$Z899)),Parametros!$B$71:$B$91,0))</f>
        <v>NOA</v>
      </c>
      <c r="I899" s="61" t="str">
        <f aca="false">IF(TRIM($AD899)="",INDEX(Parametros!$I$20:$I$24,MATCH($H899,Parametros!$H$20:$H$24,0)),TRIM($AD899))</f>
        <v>Tucuman</v>
      </c>
      <c r="J899" s="61" t="str">
        <f aca="false">INDEX(Parametros!$C$95:$C$106,MATCH(TRIM(INDEX(Datos_Origen!$E$2:$E$2459,$Z899)),Parametros!$B$95:$B$106,0))</f>
        <v>E-commerce</v>
      </c>
      <c r="K899" s="61" t="str">
        <f aca="false">INDEX(Parametros!$C$48:$C$67,MATCH(TRIM(INDEX(Datos_Origen!$F$2:$F$2459,$Z899)),Parametros!$B$48:$B$67,0))</f>
        <v>Almacenamiento</v>
      </c>
      <c r="L899" s="61" t="str">
        <f aca="false">$K899&amp;" "&amp;$C899</f>
        <v>Almacenamiento 2024</v>
      </c>
      <c r="M899" s="61" t="str">
        <f aca="false">TRIM(INDEX(Datos_Origen!$G$2:$G$2459,$Z899))</f>
        <v>SSD Externo 1TB</v>
      </c>
      <c r="N899" s="61" t="str">
        <f aca="false">$M899&amp;" "&amp;$C899</f>
        <v>SSD Externo 1TB 2024</v>
      </c>
      <c r="O899" s="63" t="n">
        <f aca="false">IF(ISTEXT($AC899),VALUE($AC899),$AC899)</f>
        <v>6</v>
      </c>
      <c r="P899" s="64" t="n">
        <f aca="false">INDEX(Datos_Origen!$I$2:$I$2459,$Z899)</f>
        <v>127.4</v>
      </c>
      <c r="Q899" s="64" t="n">
        <f aca="false">INDEX(Datos_Origen!$J$2:$J$2459,$Z899)</f>
        <v>76.05</v>
      </c>
      <c r="R899" s="65" t="n">
        <f aca="false">ROUND($O899*$P899,2)</f>
        <v>764.4</v>
      </c>
      <c r="S899" s="65" t="n">
        <f aca="false">ROUND($O899*$Q899,2)</f>
        <v>456.3</v>
      </c>
      <c r="T899" s="65" t="n">
        <f aca="false">ROUND($R899*SUMIFS(Parametros!$E$28:$E$43,Parametros!$B$28:$B$43,$J899,Parametros!$C$28:$C$43,$C899,Parametros!$D$28:$D$43,$D899),2)</f>
        <v>35.16</v>
      </c>
      <c r="U899" s="65" t="n">
        <f aca="false">$R899-$S899-$T899</f>
        <v>272.94</v>
      </c>
      <c r="V899" s="66" t="n">
        <f aca="false">IFERROR($U899/$R899,0)</f>
        <v>0.357064364207221</v>
      </c>
      <c r="W899" s="67" t="str">
        <f aca="false">IF(AND($V899&gt;=Parametros!$C$8,$R899&gt;=Parametros!$C$12),"Alta rentabilidad",IF(OR($V899&lt;Parametros!$C$11,$R899&lt;Parametros!$C$13),"Revisar","Estandar"))</f>
        <v>Estandar</v>
      </c>
      <c r="X899" s="67" t="str">
        <f aca="false">IF(AND($J899="E-commerce",IFERROR($T899/$R899,0)&gt;Parametros!$C$14),"Alerta","OK")</f>
        <v>OK</v>
      </c>
      <c r="Y899" s="61" t="str">
        <f aca="false">IF($R899&gt;=Parametros!$C$12,"Alto",IF($R899&lt;Parametros!$C$13,"Bajo","Medio"))</f>
        <v>Medio</v>
      </c>
      <c r="Z899" s="61" t="n">
        <v>958</v>
      </c>
      <c r="AA899" s="61" t="str">
        <f aca="false">IF(MATCH($A899,Datos_Origen!$A$2:$A$2459,0)=$Z899,"OK","REVISAR")</f>
        <v>OK</v>
      </c>
      <c r="AB899" s="62" t="n">
        <f aca="false">INDEX(Datos_Origen!$B$2:$B$2459,$Z899)</f>
        <v>45558</v>
      </c>
      <c r="AC899" s="61" t="n">
        <f aca="false">INDEX(Datos_Origen!$H$2:$H$2459,$Z899)</f>
        <v>6</v>
      </c>
      <c r="AD899" s="61" t="str">
        <f aca="false">INDEX(Datos_Origen!$D$2:$D$2459,$Z899)&amp;""</f>
        <v>Tucuman</v>
      </c>
    </row>
    <row r="900" customFormat="false" ht="15" hidden="false" customHeight="false" outlineLevel="0" collapsed="false">
      <c r="A900" s="61" t="n">
        <f aca="false">INDEX(Datos_Origen!$A$2:$A$2459,$Z900)</f>
        <v>899</v>
      </c>
      <c r="B900" s="62" t="n">
        <f aca="false">IF(ISNUMBER($AB900),$AB900,IF(MID($AB900,5,1)="-",DATE(VALUE(LEFT($AB900,4)),VALUE(MID($AB900,6,2)),VALUE(RIGHT($AB900,2))),DATE(VALUE(RIGHT($AB900,4)),VALUE(MID($AB900,4,2)),VALUE(LEFT($AB900,2)))))</f>
        <v>45538</v>
      </c>
      <c r="C900" s="61" t="n">
        <f aca="false">YEAR($B900)</f>
        <v>2024</v>
      </c>
      <c r="D900" s="61" t="str">
        <f aca="false">"Q"&amp;ROUNDUP(MONTH($B900)/3,0)</f>
        <v>Q3</v>
      </c>
      <c r="E900" s="61" t="n">
        <f aca="false">MONTH($B900)</f>
        <v>9</v>
      </c>
      <c r="F900" s="61" t="str">
        <f aca="false">INDEX(Parametros!$I$5:$I$16,$E900)</f>
        <v>Sep</v>
      </c>
      <c r="G900" s="61" t="str">
        <f aca="false">TEXT($C900,"0000")&amp;"-"&amp;TEXT($E900,"00")</f>
        <v>2024-09</v>
      </c>
      <c r="H900" s="61" t="str">
        <f aca="false">INDEX(Parametros!$C$71:$C$91,MATCH(TRIM(INDEX(Datos_Origen!$C$2:$C$2459,$Z900)),Parametros!$B$71:$B$91,0))</f>
        <v>NOA</v>
      </c>
      <c r="I900" s="61" t="str">
        <f aca="false">IF(TRIM($AD900)="",INDEX(Parametros!$I$20:$I$24,MATCH($H900,Parametros!$H$20:$H$24,0)),TRIM($AD900))</f>
        <v>Tucuman</v>
      </c>
      <c r="J900" s="61" t="str">
        <f aca="false">INDEX(Parametros!$C$95:$C$106,MATCH(TRIM(INDEX(Datos_Origen!$E$2:$E$2459,$Z900)),Parametros!$B$95:$B$106,0))</f>
        <v>Tienda fisica</v>
      </c>
      <c r="K900" s="61" t="str">
        <f aca="false">INDEX(Parametros!$C$48:$C$67,MATCH(TRIM(INDEX(Datos_Origen!$F$2:$F$2459,$Z900)),Parametros!$B$48:$B$67,0))</f>
        <v>Almacenamiento</v>
      </c>
      <c r="L900" s="61" t="str">
        <f aca="false">$K900&amp;" "&amp;$C900</f>
        <v>Almacenamiento 2024</v>
      </c>
      <c r="M900" s="61" t="str">
        <f aca="false">TRIM(INDEX(Datos_Origen!$G$2:$G$2459,$Z900))</f>
        <v>Pendrive 256GB</v>
      </c>
      <c r="N900" s="61" t="str">
        <f aca="false">$M900&amp;" "&amp;$C900</f>
        <v>Pendrive 256GB 2024</v>
      </c>
      <c r="O900" s="63" t="n">
        <f aca="false">IF(ISTEXT($AC900),VALUE($AC900),$AC900)</f>
        <v>18</v>
      </c>
      <c r="P900" s="64" t="n">
        <f aca="false">INDEX(Datos_Origen!$I$2:$I$2459,$Z900)</f>
        <v>34.3</v>
      </c>
      <c r="Q900" s="64" t="n">
        <f aca="false">INDEX(Datos_Origen!$J$2:$J$2459,$Z900)</f>
        <v>17.85</v>
      </c>
      <c r="R900" s="65" t="n">
        <f aca="false">ROUND($O900*$P900,2)</f>
        <v>617.4</v>
      </c>
      <c r="S900" s="65" t="n">
        <f aca="false">ROUND($O900*$Q900,2)</f>
        <v>321.3</v>
      </c>
      <c r="T900" s="65" t="n">
        <f aca="false">ROUND($R900*SUMIFS(Parametros!$E$28:$E$43,Parametros!$B$28:$B$43,$J900,Parametros!$C$28:$C$43,$C900,Parametros!$D$28:$D$43,$D900),2)</f>
        <v>8.03</v>
      </c>
      <c r="U900" s="65" t="n">
        <f aca="false">$R900-$S900-$T900</f>
        <v>288.07</v>
      </c>
      <c r="V900" s="66" t="n">
        <f aca="false">IFERROR($U900/$R900,0)</f>
        <v>0.466585681891804</v>
      </c>
      <c r="W900" s="67" t="str">
        <f aca="false">IF(AND($V900&gt;=Parametros!$C$8,$R900&gt;=Parametros!$C$12),"Alta rentabilidad",IF(OR($V900&lt;Parametros!$C$11,$R900&lt;Parametros!$C$13),"Revisar","Estandar"))</f>
        <v>Estandar</v>
      </c>
      <c r="X900" s="67" t="str">
        <f aca="false">IF(AND($J900="E-commerce",IFERROR($T900/$R900,0)&gt;Parametros!$C$14),"Alerta","OK")</f>
        <v>OK</v>
      </c>
      <c r="Y900" s="61" t="str">
        <f aca="false">IF($R900&gt;=Parametros!$C$12,"Alto",IF($R900&lt;Parametros!$C$13,"Bajo","Medio"))</f>
        <v>Medio</v>
      </c>
      <c r="Z900" s="61" t="n">
        <v>1555</v>
      </c>
      <c r="AA900" s="61" t="str">
        <f aca="false">IF(MATCH($A900,Datos_Origen!$A$2:$A$2459,0)=$Z900,"OK","REVISAR")</f>
        <v>OK</v>
      </c>
      <c r="AB900" s="61" t="str">
        <f aca="false">INDEX(Datos_Origen!$B$2:$B$2459,$Z900)</f>
        <v>03/09/2024</v>
      </c>
      <c r="AC900" s="61" t="n">
        <f aca="false">INDEX(Datos_Origen!$H$2:$H$2459,$Z900)</f>
        <v>18</v>
      </c>
      <c r="AD900" s="61" t="str">
        <f aca="false">INDEX(Datos_Origen!$D$2:$D$2459,$Z900)&amp;""</f>
        <v>Tucuman</v>
      </c>
    </row>
    <row r="901" customFormat="false" ht="15" hidden="false" customHeight="false" outlineLevel="0" collapsed="false">
      <c r="A901" s="61" t="n">
        <f aca="false">INDEX(Datos_Origen!$A$2:$A$2459,$Z901)</f>
        <v>900</v>
      </c>
      <c r="B901" s="62" t="n">
        <f aca="false">IF(ISNUMBER($AB901),$AB901,IF(MID($AB901,5,1)="-",DATE(VALUE(LEFT($AB901,4)),VALUE(MID($AB901,6,2)),VALUE(RIGHT($AB901,2))),DATE(VALUE(RIGHT($AB901,4)),VALUE(MID($AB901,4,2)),VALUE(LEFT($AB901,2)))))</f>
        <v>45545</v>
      </c>
      <c r="C901" s="61" t="n">
        <f aca="false">YEAR($B901)</f>
        <v>2024</v>
      </c>
      <c r="D901" s="61" t="str">
        <f aca="false">"Q"&amp;ROUNDUP(MONTH($B901)/3,0)</f>
        <v>Q3</v>
      </c>
      <c r="E901" s="61" t="n">
        <f aca="false">MONTH($B901)</f>
        <v>9</v>
      </c>
      <c r="F901" s="61" t="str">
        <f aca="false">INDEX(Parametros!$I$5:$I$16,$E901)</f>
        <v>Sep</v>
      </c>
      <c r="G901" s="61" t="str">
        <f aca="false">TEXT($C901,"0000")&amp;"-"&amp;TEXT($E901,"00")</f>
        <v>2024-09</v>
      </c>
      <c r="H901" s="61" t="str">
        <f aca="false">INDEX(Parametros!$C$71:$C$91,MATCH(TRIM(INDEX(Datos_Origen!$C$2:$C$2459,$Z901)),Parametros!$B$71:$B$91,0))</f>
        <v>NOA</v>
      </c>
      <c r="I901" s="61" t="str">
        <f aca="false">IF(TRIM($AD901)="",INDEX(Parametros!$I$20:$I$24,MATCH($H901,Parametros!$H$20:$H$24,0)),TRIM($AD901))</f>
        <v>Tucuman</v>
      </c>
      <c r="J901" s="61" t="str">
        <f aca="false">INDEX(Parametros!$C$95:$C$106,MATCH(TRIM(INDEX(Datos_Origen!$E$2:$E$2459,$Z901)),Parametros!$B$95:$B$106,0))</f>
        <v>E-commerce</v>
      </c>
      <c r="K901" s="61" t="str">
        <f aca="false">INDEX(Parametros!$C$48:$C$67,MATCH(TRIM(INDEX(Datos_Origen!$F$2:$F$2459,$Z901)),Parametros!$B$48:$B$67,0))</f>
        <v>Almacenamiento</v>
      </c>
      <c r="L901" s="61" t="str">
        <f aca="false">$K901&amp;" "&amp;$C901</f>
        <v>Almacenamiento 2024</v>
      </c>
      <c r="M901" s="61" t="str">
        <f aca="false">TRIM(INDEX(Datos_Origen!$G$2:$G$2459,$Z901))</f>
        <v>Pendrive 256GB</v>
      </c>
      <c r="N901" s="61" t="str">
        <f aca="false">$M901&amp;" "&amp;$C901</f>
        <v>Pendrive 256GB 2024</v>
      </c>
      <c r="O901" s="63" t="n">
        <f aca="false">IF(ISTEXT($AC901),VALUE($AC901),$AC901)</f>
        <v>8</v>
      </c>
      <c r="P901" s="64" t="n">
        <f aca="false">INDEX(Datos_Origen!$I$2:$I$2459,$Z901)</f>
        <v>34.3</v>
      </c>
      <c r="Q901" s="64" t="n">
        <f aca="false">INDEX(Datos_Origen!$J$2:$J$2459,$Z901)</f>
        <v>17.85</v>
      </c>
      <c r="R901" s="65" t="n">
        <f aca="false">ROUND($O901*$P901,2)</f>
        <v>274.4</v>
      </c>
      <c r="S901" s="65" t="n">
        <f aca="false">ROUND($O901*$Q901,2)</f>
        <v>142.8</v>
      </c>
      <c r="T901" s="65" t="n">
        <f aca="false">ROUND($R901*SUMIFS(Parametros!$E$28:$E$43,Parametros!$B$28:$B$43,$J901,Parametros!$C$28:$C$43,$C901,Parametros!$D$28:$D$43,$D901),2)</f>
        <v>12.62</v>
      </c>
      <c r="U901" s="65" t="n">
        <f aca="false">$R901-$S901-$T901</f>
        <v>118.98</v>
      </c>
      <c r="V901" s="66" t="n">
        <f aca="false">IFERROR($U901/$R901,0)</f>
        <v>0.433600583090379</v>
      </c>
      <c r="W901" s="67" t="str">
        <f aca="false">IF(AND($V901&gt;=Parametros!$C$8,$R901&gt;=Parametros!$C$12),"Alta rentabilidad",IF(OR($V901&lt;Parametros!$C$11,$R901&lt;Parametros!$C$13),"Revisar","Estandar"))</f>
        <v>Revisar</v>
      </c>
      <c r="X901" s="67" t="str">
        <f aca="false">IF(AND($J901="E-commerce",IFERROR($T901/$R901,0)&gt;Parametros!$C$14),"Alerta","OK")</f>
        <v>OK</v>
      </c>
      <c r="Y901" s="61" t="str">
        <f aca="false">IF($R901&gt;=Parametros!$C$12,"Alto",IF($R901&lt;Parametros!$C$13,"Bajo","Medio"))</f>
        <v>Bajo</v>
      </c>
      <c r="Z901" s="61" t="n">
        <v>195</v>
      </c>
      <c r="AA901" s="61" t="str">
        <f aca="false">IF(MATCH($A901,Datos_Origen!$A$2:$A$2459,0)=$Z901,"OK","REVISAR")</f>
        <v>OK</v>
      </c>
      <c r="AB901" s="62" t="n">
        <f aca="false">INDEX(Datos_Origen!$B$2:$B$2459,$Z901)</f>
        <v>45545</v>
      </c>
      <c r="AC901" s="61" t="n">
        <f aca="false">INDEX(Datos_Origen!$H$2:$H$2459,$Z901)</f>
        <v>8</v>
      </c>
      <c r="AD901" s="61" t="str">
        <f aca="false">INDEX(Datos_Origen!$D$2:$D$2459,$Z901)&amp;""</f>
        <v>Tucuman</v>
      </c>
    </row>
    <row r="902" customFormat="false" ht="15" hidden="false" customHeight="false" outlineLevel="0" collapsed="false">
      <c r="A902" s="61" t="n">
        <f aca="false">INDEX(Datos_Origen!$A$2:$A$2459,$Z902)</f>
        <v>901</v>
      </c>
      <c r="B902" s="62" t="n">
        <f aca="false">IF(ISNUMBER($AB902),$AB902,IF(MID($AB902,5,1)="-",DATE(VALUE(LEFT($AB902,4)),VALUE(MID($AB902,6,2)),VALUE(RIGHT($AB902,2))),DATE(VALUE(RIGHT($AB902,4)),VALUE(MID($AB902,4,2)),VALUE(LEFT($AB902,2)))))</f>
        <v>45582</v>
      </c>
      <c r="C902" s="61" t="n">
        <f aca="false">YEAR($B902)</f>
        <v>2024</v>
      </c>
      <c r="D902" s="61" t="str">
        <f aca="false">"Q"&amp;ROUNDUP(MONTH($B902)/3,0)</f>
        <v>Q4</v>
      </c>
      <c r="E902" s="61" t="n">
        <f aca="false">MONTH($B902)</f>
        <v>10</v>
      </c>
      <c r="F902" s="61" t="str">
        <f aca="false">INDEX(Parametros!$I$5:$I$16,$E902)</f>
        <v>Oct</v>
      </c>
      <c r="G902" s="61" t="str">
        <f aca="false">TEXT($C902,"0000")&amp;"-"&amp;TEXT($E902,"00")</f>
        <v>2024-10</v>
      </c>
      <c r="H902" s="61" t="str">
        <f aca="false">INDEX(Parametros!$C$71:$C$91,MATCH(TRIM(INDEX(Datos_Origen!$C$2:$C$2459,$Z902)),Parametros!$B$71:$B$91,0))</f>
        <v>AMBA</v>
      </c>
      <c r="I902" s="61" t="str">
        <f aca="false">IF(TRIM($AD902)="",INDEX(Parametros!$I$20:$I$24,MATCH($H902,Parametros!$H$20:$H$24,0)),TRIM($AD902))</f>
        <v>Buenos Aires</v>
      </c>
      <c r="J902" s="61" t="str">
        <f aca="false">INDEX(Parametros!$C$95:$C$106,MATCH(TRIM(INDEX(Datos_Origen!$E$2:$E$2459,$Z902)),Parametros!$B$95:$B$106,0))</f>
        <v>Tienda fisica</v>
      </c>
      <c r="K902" s="61" t="str">
        <f aca="false">INDEX(Parametros!$C$48:$C$67,MATCH(TRIM(INDEX(Datos_Origen!$F$2:$F$2459,$Z902)),Parametros!$B$48:$B$67,0))</f>
        <v>Computacion</v>
      </c>
      <c r="L902" s="61" t="str">
        <f aca="false">$K902&amp;" "&amp;$C902</f>
        <v>Computacion 2024</v>
      </c>
      <c r="M902" s="61" t="str">
        <f aca="false">TRIM(INDEX(Datos_Origen!$G$2:$G$2459,$Z902))</f>
        <v>Laptop Pro 15</v>
      </c>
      <c r="N902" s="61" t="str">
        <f aca="false">$M902&amp;" "&amp;$C902</f>
        <v>Laptop Pro 15 2024</v>
      </c>
      <c r="O902" s="63" t="n">
        <f aca="false">IF(ISTEXT($AC902),VALUE($AC902),$AC902)</f>
        <v>23</v>
      </c>
      <c r="P902" s="64" t="n">
        <f aca="false">INDEX(Datos_Origen!$I$2:$I$2459,$Z902)</f>
        <v>1176</v>
      </c>
      <c r="Q902" s="64" t="n">
        <f aca="false">INDEX(Datos_Origen!$J$2:$J$2459,$Z902)</f>
        <v>744</v>
      </c>
      <c r="R902" s="65" t="n">
        <f aca="false">ROUND($O902*$P902,2)</f>
        <v>27048</v>
      </c>
      <c r="S902" s="65" t="n">
        <f aca="false">ROUND($O902*$Q902,2)</f>
        <v>17112</v>
      </c>
      <c r="T902" s="65" t="n">
        <f aca="false">ROUND($R902*SUMIFS(Parametros!$E$28:$E$43,Parametros!$B$28:$B$43,$J902,Parametros!$C$28:$C$43,$C902,Parametros!$D$28:$D$43,$D902),2)</f>
        <v>351.62</v>
      </c>
      <c r="U902" s="65" t="n">
        <f aca="false">$R902-$S902-$T902</f>
        <v>9584.38</v>
      </c>
      <c r="V902" s="66" t="n">
        <f aca="false">IFERROR($U902/$R902,0)</f>
        <v>0.354347086660751</v>
      </c>
      <c r="W902" s="67" t="str">
        <f aca="false">IF(AND($V902&gt;=Parametros!$C$8,$R902&gt;=Parametros!$C$12),"Alta rentabilidad",IF(OR($V902&lt;Parametros!$C$11,$R902&lt;Parametros!$C$13),"Revisar","Estandar"))</f>
        <v>Alta rentabilidad</v>
      </c>
      <c r="X902" s="67" t="str">
        <f aca="false">IF(AND($J902="E-commerce",IFERROR($T902/$R902,0)&gt;Parametros!$C$14),"Alerta","OK")</f>
        <v>OK</v>
      </c>
      <c r="Y902" s="61" t="str">
        <f aca="false">IF($R902&gt;=Parametros!$C$12,"Alto",IF($R902&lt;Parametros!$C$13,"Bajo","Medio"))</f>
        <v>Alto</v>
      </c>
      <c r="Z902" s="61" t="n">
        <v>2316</v>
      </c>
      <c r="AA902" s="61" t="str">
        <f aca="false">IF(MATCH($A902,Datos_Origen!$A$2:$A$2459,0)=$Z902,"OK","REVISAR")</f>
        <v>OK</v>
      </c>
      <c r="AB902" s="62" t="n">
        <f aca="false">INDEX(Datos_Origen!$B$2:$B$2459,$Z902)</f>
        <v>45582</v>
      </c>
      <c r="AC902" s="61" t="n">
        <f aca="false">INDEX(Datos_Origen!$H$2:$H$2459,$Z902)</f>
        <v>23</v>
      </c>
      <c r="AD902" s="61" t="str">
        <f aca="false">INDEX(Datos_Origen!$D$2:$D$2459,$Z902)&amp;""</f>
        <v>Buenos Aires</v>
      </c>
    </row>
    <row r="903" customFormat="false" ht="15" hidden="false" customHeight="false" outlineLevel="0" collapsed="false">
      <c r="A903" s="61" t="n">
        <f aca="false">INDEX(Datos_Origen!$A$2:$A$2459,$Z903)</f>
        <v>902</v>
      </c>
      <c r="B903" s="62" t="n">
        <f aca="false">IF(ISNUMBER($AB903),$AB903,IF(MID($AB903,5,1)="-",DATE(VALUE(LEFT($AB903,4)),VALUE(MID($AB903,6,2)),VALUE(RIGHT($AB903,2))),DATE(VALUE(RIGHT($AB903,4)),VALUE(MID($AB903,4,2)),VALUE(LEFT($AB903,2)))))</f>
        <v>45589</v>
      </c>
      <c r="C903" s="61" t="n">
        <f aca="false">YEAR($B903)</f>
        <v>2024</v>
      </c>
      <c r="D903" s="61" t="str">
        <f aca="false">"Q"&amp;ROUNDUP(MONTH($B903)/3,0)</f>
        <v>Q4</v>
      </c>
      <c r="E903" s="61" t="n">
        <f aca="false">MONTH($B903)</f>
        <v>10</v>
      </c>
      <c r="F903" s="61" t="str">
        <f aca="false">INDEX(Parametros!$I$5:$I$16,$E903)</f>
        <v>Oct</v>
      </c>
      <c r="G903" s="61" t="str">
        <f aca="false">TEXT($C903,"0000")&amp;"-"&amp;TEXT($E903,"00")</f>
        <v>2024-10</v>
      </c>
      <c r="H903" s="61" t="str">
        <f aca="false">INDEX(Parametros!$C$71:$C$91,MATCH(TRIM(INDEX(Datos_Origen!$C$2:$C$2459,$Z903)),Parametros!$B$71:$B$91,0))</f>
        <v>AMBA</v>
      </c>
      <c r="I903" s="61" t="str">
        <f aca="false">IF(TRIM($AD903)="",INDEX(Parametros!$I$20:$I$24,MATCH($H903,Parametros!$H$20:$H$24,0)),TRIM($AD903))</f>
        <v>Buenos Aires</v>
      </c>
      <c r="J903" s="61" t="str">
        <f aca="false">INDEX(Parametros!$C$95:$C$106,MATCH(TRIM(INDEX(Datos_Origen!$E$2:$E$2459,$Z903)),Parametros!$B$95:$B$106,0))</f>
        <v>E-commerce</v>
      </c>
      <c r="K903" s="61" t="str">
        <f aca="false">INDEX(Parametros!$C$48:$C$67,MATCH(TRIM(INDEX(Datos_Origen!$F$2:$F$2459,$Z903)),Parametros!$B$48:$B$67,0))</f>
        <v>Computacion</v>
      </c>
      <c r="L903" s="61" t="str">
        <f aca="false">$K903&amp;" "&amp;$C903</f>
        <v>Computacion 2024</v>
      </c>
      <c r="M903" s="61" t="str">
        <f aca="false">TRIM(INDEX(Datos_Origen!$G$2:$G$2459,$Z903))</f>
        <v>Laptop Pro 15</v>
      </c>
      <c r="N903" s="61" t="str">
        <f aca="false">$M903&amp;" "&amp;$C903</f>
        <v>Laptop Pro 15 2024</v>
      </c>
      <c r="O903" s="63" t="n">
        <f aca="false">IF(ISTEXT($AC903),VALUE($AC903),$AC903)</f>
        <v>9</v>
      </c>
      <c r="P903" s="64" t="n">
        <f aca="false">INDEX(Datos_Origen!$I$2:$I$2459,$Z903)</f>
        <v>1176</v>
      </c>
      <c r="Q903" s="64" t="n">
        <f aca="false">INDEX(Datos_Origen!$J$2:$J$2459,$Z903)</f>
        <v>744</v>
      </c>
      <c r="R903" s="65" t="n">
        <f aca="false">ROUND($O903*$P903,2)</f>
        <v>10584</v>
      </c>
      <c r="S903" s="65" t="n">
        <f aca="false">ROUND($O903*$Q903,2)</f>
        <v>6696</v>
      </c>
      <c r="T903" s="65" t="n">
        <f aca="false">ROUND($R903*SUMIFS(Parametros!$E$28:$E$43,Parametros!$B$28:$B$43,$J903,Parametros!$C$28:$C$43,$C903,Parametros!$D$28:$D$43,$D903),2)</f>
        <v>508.03</v>
      </c>
      <c r="U903" s="65" t="n">
        <f aca="false">$R903-$S903-$T903</f>
        <v>3379.97</v>
      </c>
      <c r="V903" s="66" t="n">
        <f aca="false">IFERROR($U903/$R903,0)</f>
        <v>0.319347127739985</v>
      </c>
      <c r="W903" s="67" t="str">
        <f aca="false">IF(AND($V903&gt;=Parametros!$C$8,$R903&gt;=Parametros!$C$12),"Alta rentabilidad",IF(OR($V903&lt;Parametros!$C$11,$R903&lt;Parametros!$C$13),"Revisar","Estandar"))</f>
        <v>Estandar</v>
      </c>
      <c r="X903" s="67" t="str">
        <f aca="false">IF(AND($J903="E-commerce",IFERROR($T903/$R903,0)&gt;Parametros!$C$14),"Alerta","OK")</f>
        <v>OK</v>
      </c>
      <c r="Y903" s="61" t="str">
        <f aca="false">IF($R903&gt;=Parametros!$C$12,"Alto",IF($R903&lt;Parametros!$C$13,"Bajo","Medio"))</f>
        <v>Alto</v>
      </c>
      <c r="Z903" s="61" t="n">
        <v>2388</v>
      </c>
      <c r="AA903" s="61" t="str">
        <f aca="false">IF(MATCH($A903,Datos_Origen!$A$2:$A$2459,0)=$Z903,"OK","REVISAR")</f>
        <v>OK</v>
      </c>
      <c r="AB903" s="62" t="n">
        <f aca="false">INDEX(Datos_Origen!$B$2:$B$2459,$Z903)</f>
        <v>45589</v>
      </c>
      <c r="AC903" s="61" t="n">
        <f aca="false">INDEX(Datos_Origen!$H$2:$H$2459,$Z903)</f>
        <v>9</v>
      </c>
      <c r="AD903" s="61" t="str">
        <f aca="false">INDEX(Datos_Origen!$D$2:$D$2459,$Z903)&amp;""</f>
        <v>Buenos Aires</v>
      </c>
    </row>
    <row r="904" customFormat="false" ht="15" hidden="false" customHeight="false" outlineLevel="0" collapsed="false">
      <c r="A904" s="61" t="n">
        <f aca="false">INDEX(Datos_Origen!$A$2:$A$2459,$Z904)</f>
        <v>903</v>
      </c>
      <c r="B904" s="62" t="n">
        <f aca="false">IF(ISNUMBER($AB904),$AB904,IF(MID($AB904,5,1)="-",DATE(VALUE(LEFT($AB904,4)),VALUE(MID($AB904,6,2)),VALUE(RIGHT($AB904,2))),DATE(VALUE(RIGHT($AB904,4)),VALUE(MID($AB904,4,2)),VALUE(LEFT($AB904,2)))))</f>
        <v>45569</v>
      </c>
      <c r="C904" s="61" t="n">
        <f aca="false">YEAR($B904)</f>
        <v>2024</v>
      </c>
      <c r="D904" s="61" t="str">
        <f aca="false">"Q"&amp;ROUNDUP(MONTH($B904)/3,0)</f>
        <v>Q4</v>
      </c>
      <c r="E904" s="61" t="n">
        <f aca="false">MONTH($B904)</f>
        <v>10</v>
      </c>
      <c r="F904" s="61" t="str">
        <f aca="false">INDEX(Parametros!$I$5:$I$16,$E904)</f>
        <v>Oct</v>
      </c>
      <c r="G904" s="61" t="str">
        <f aca="false">TEXT($C904,"0000")&amp;"-"&amp;TEXT($E904,"00")</f>
        <v>2024-10</v>
      </c>
      <c r="H904" s="61" t="str">
        <f aca="false">INDEX(Parametros!$C$71:$C$91,MATCH(TRIM(INDEX(Datos_Origen!$C$2:$C$2459,$Z904)),Parametros!$B$71:$B$91,0))</f>
        <v>AMBA</v>
      </c>
      <c r="I904" s="61" t="str">
        <f aca="false">IF(TRIM($AD904)="",INDEX(Parametros!$I$20:$I$24,MATCH($H904,Parametros!$H$20:$H$24,0)),TRIM($AD904))</f>
        <v>Buenos Aires</v>
      </c>
      <c r="J904" s="61" t="str">
        <f aca="false">INDEX(Parametros!$C$95:$C$106,MATCH(TRIM(INDEX(Datos_Origen!$E$2:$E$2459,$Z904)),Parametros!$B$95:$B$106,0))</f>
        <v>Tienda fisica</v>
      </c>
      <c r="K904" s="61" t="str">
        <f aca="false">INDEX(Parametros!$C$48:$C$67,MATCH(TRIM(INDEX(Datos_Origen!$F$2:$F$2459,$Z904)),Parametros!$B$48:$B$67,0))</f>
        <v>Computacion</v>
      </c>
      <c r="L904" s="61" t="str">
        <f aca="false">$K904&amp;" "&amp;$C904</f>
        <v>Computacion 2024</v>
      </c>
      <c r="M904" s="61" t="str">
        <f aca="false">TRIM(INDEX(Datos_Origen!$G$2:$G$2459,$Z904))</f>
        <v>Monitor 4K 27</v>
      </c>
      <c r="N904" s="61" t="str">
        <f aca="false">$M904&amp;" "&amp;$C904</f>
        <v>Monitor 4K 27 2024</v>
      </c>
      <c r="O904" s="63" t="n">
        <f aca="false">IF(ISTEXT($AC904),VALUE($AC904),$AC904)</f>
        <v>19</v>
      </c>
      <c r="P904" s="64" t="n">
        <f aca="false">INDEX(Datos_Origen!$I$2:$I$2459,$Z904)</f>
        <v>441</v>
      </c>
      <c r="Q904" s="64" t="n">
        <f aca="false">INDEX(Datos_Origen!$J$2:$J$2459,$Z904)</f>
        <v>272.25</v>
      </c>
      <c r="R904" s="65" t="n">
        <f aca="false">ROUND($O904*$P904,2)</f>
        <v>8379</v>
      </c>
      <c r="S904" s="65" t="n">
        <f aca="false">ROUND($O904*$Q904,2)</f>
        <v>5172.75</v>
      </c>
      <c r="T904" s="65" t="n">
        <f aca="false">ROUND($R904*SUMIFS(Parametros!$E$28:$E$43,Parametros!$B$28:$B$43,$J904,Parametros!$C$28:$C$43,$C904,Parametros!$D$28:$D$43,$D904),2)</f>
        <v>108.93</v>
      </c>
      <c r="U904" s="65" t="n">
        <f aca="false">$R904-$S904-$T904</f>
        <v>3097.32</v>
      </c>
      <c r="V904" s="66" t="n">
        <f aca="false">IFERROR($U904/$R904,0)</f>
        <v>0.369652703186538</v>
      </c>
      <c r="W904" s="67" t="str">
        <f aca="false">IF(AND($V904&gt;=Parametros!$C$8,$R904&gt;=Parametros!$C$12),"Alta rentabilidad",IF(OR($V904&lt;Parametros!$C$11,$R904&lt;Parametros!$C$13),"Revisar","Estandar"))</f>
        <v>Alta rentabilidad</v>
      </c>
      <c r="X904" s="67" t="str">
        <f aca="false">IF(AND($J904="E-commerce",IFERROR($T904/$R904,0)&gt;Parametros!$C$14),"Alerta","OK")</f>
        <v>OK</v>
      </c>
      <c r="Y904" s="61" t="str">
        <f aca="false">IF($R904&gt;=Parametros!$C$12,"Alto",IF($R904&lt;Parametros!$C$13,"Bajo","Medio"))</f>
        <v>Alto</v>
      </c>
      <c r="Z904" s="61" t="n">
        <v>1779</v>
      </c>
      <c r="AA904" s="61" t="str">
        <f aca="false">IF(MATCH($A904,Datos_Origen!$A$2:$A$2459,0)=$Z904,"OK","REVISAR")</f>
        <v>OK</v>
      </c>
      <c r="AB904" s="62" t="n">
        <f aca="false">INDEX(Datos_Origen!$B$2:$B$2459,$Z904)</f>
        <v>45569</v>
      </c>
      <c r="AC904" s="61" t="n">
        <f aca="false">INDEX(Datos_Origen!$H$2:$H$2459,$Z904)</f>
        <v>19</v>
      </c>
      <c r="AD904" s="61" t="str">
        <f aca="false">INDEX(Datos_Origen!$D$2:$D$2459,$Z904)&amp;""</f>
        <v>Buenos Aires</v>
      </c>
    </row>
    <row r="905" customFormat="false" ht="15" hidden="false" customHeight="false" outlineLevel="0" collapsed="false">
      <c r="A905" s="61" t="n">
        <f aca="false">INDEX(Datos_Origen!$A$2:$A$2459,$Z905)</f>
        <v>904</v>
      </c>
      <c r="B905" s="62" t="n">
        <f aca="false">IF(ISNUMBER($AB905),$AB905,IF(MID($AB905,5,1)="-",DATE(VALUE(LEFT($AB905,4)),VALUE(MID($AB905,6,2)),VALUE(RIGHT($AB905,2))),DATE(VALUE(RIGHT($AB905,4)),VALUE(MID($AB905,4,2)),VALUE(LEFT($AB905,2)))))</f>
        <v>45576</v>
      </c>
      <c r="C905" s="61" t="n">
        <f aca="false">YEAR($B905)</f>
        <v>2024</v>
      </c>
      <c r="D905" s="61" t="str">
        <f aca="false">"Q"&amp;ROUNDUP(MONTH($B905)/3,0)</f>
        <v>Q4</v>
      </c>
      <c r="E905" s="61" t="n">
        <f aca="false">MONTH($B905)</f>
        <v>10</v>
      </c>
      <c r="F905" s="61" t="str">
        <f aca="false">INDEX(Parametros!$I$5:$I$16,$E905)</f>
        <v>Oct</v>
      </c>
      <c r="G905" s="61" t="str">
        <f aca="false">TEXT($C905,"0000")&amp;"-"&amp;TEXT($E905,"00")</f>
        <v>2024-10</v>
      </c>
      <c r="H905" s="61" t="str">
        <f aca="false">INDEX(Parametros!$C$71:$C$91,MATCH(TRIM(INDEX(Datos_Origen!$C$2:$C$2459,$Z905)),Parametros!$B$71:$B$91,0))</f>
        <v>AMBA</v>
      </c>
      <c r="I905" s="61" t="str">
        <f aca="false">IF(TRIM($AD905)="",INDEX(Parametros!$I$20:$I$24,MATCH($H905,Parametros!$H$20:$H$24,0)),TRIM($AD905))</f>
        <v>Buenos Aires</v>
      </c>
      <c r="J905" s="61" t="str">
        <f aca="false">INDEX(Parametros!$C$95:$C$106,MATCH(TRIM(INDEX(Datos_Origen!$E$2:$E$2459,$Z905)),Parametros!$B$95:$B$106,0))</f>
        <v>E-commerce</v>
      </c>
      <c r="K905" s="61" t="str">
        <f aca="false">INDEX(Parametros!$C$48:$C$67,MATCH(TRIM(INDEX(Datos_Origen!$F$2:$F$2459,$Z905)),Parametros!$B$48:$B$67,0))</f>
        <v>Computacion</v>
      </c>
      <c r="L905" s="61" t="str">
        <f aca="false">$K905&amp;" "&amp;$C905</f>
        <v>Computacion 2024</v>
      </c>
      <c r="M905" s="61" t="str">
        <f aca="false">TRIM(INDEX(Datos_Origen!$G$2:$G$2459,$Z905))</f>
        <v>Monitor 4K 27</v>
      </c>
      <c r="N905" s="61" t="str">
        <f aca="false">$M905&amp;" "&amp;$C905</f>
        <v>Monitor 4K 27 2024</v>
      </c>
      <c r="O905" s="63" t="n">
        <f aca="false">IF(ISTEXT($AC905),VALUE($AC905),$AC905)</f>
        <v>8</v>
      </c>
      <c r="P905" s="64" t="n">
        <f aca="false">INDEX(Datos_Origen!$I$2:$I$2459,$Z905)</f>
        <v>441</v>
      </c>
      <c r="Q905" s="64" t="n">
        <f aca="false">INDEX(Datos_Origen!$J$2:$J$2459,$Z905)</f>
        <v>272.25</v>
      </c>
      <c r="R905" s="65" t="n">
        <f aca="false">ROUND($O905*$P905,2)</f>
        <v>3528</v>
      </c>
      <c r="S905" s="65" t="n">
        <f aca="false">ROUND($O905*$Q905,2)</f>
        <v>2178</v>
      </c>
      <c r="T905" s="65" t="n">
        <f aca="false">ROUND($R905*SUMIFS(Parametros!$E$28:$E$43,Parametros!$B$28:$B$43,$J905,Parametros!$C$28:$C$43,$C905,Parametros!$D$28:$D$43,$D905),2)</f>
        <v>169.34</v>
      </c>
      <c r="U905" s="65" t="n">
        <f aca="false">$R905-$S905-$T905</f>
        <v>1180.66</v>
      </c>
      <c r="V905" s="66" t="n">
        <f aca="false">IFERROR($U905/$R905,0)</f>
        <v>0.334654195011338</v>
      </c>
      <c r="W905" s="67" t="str">
        <f aca="false">IF(AND($V905&gt;=Parametros!$C$8,$R905&gt;=Parametros!$C$12),"Alta rentabilidad",IF(OR($V905&lt;Parametros!$C$11,$R905&lt;Parametros!$C$13),"Revisar","Estandar"))</f>
        <v>Estandar</v>
      </c>
      <c r="X905" s="67" t="str">
        <f aca="false">IF(AND($J905="E-commerce",IFERROR($T905/$R905,0)&gt;Parametros!$C$14),"Alerta","OK")</f>
        <v>OK</v>
      </c>
      <c r="Y905" s="61" t="str">
        <f aca="false">IF($R905&gt;=Parametros!$C$12,"Alto",IF($R905&lt;Parametros!$C$13,"Bajo","Medio"))</f>
        <v>Alto</v>
      </c>
      <c r="Z905" s="61" t="n">
        <v>1638</v>
      </c>
      <c r="AA905" s="61" t="str">
        <f aca="false">IF(MATCH($A905,Datos_Origen!$A$2:$A$2459,0)=$Z905,"OK","REVISAR")</f>
        <v>OK</v>
      </c>
      <c r="AB905" s="62" t="n">
        <f aca="false">INDEX(Datos_Origen!$B$2:$B$2459,$Z905)</f>
        <v>45576</v>
      </c>
      <c r="AC905" s="61" t="str">
        <f aca="false">INDEX(Datos_Origen!$H$2:$H$2459,$Z905)</f>
        <v>8</v>
      </c>
      <c r="AD905" s="61" t="str">
        <f aca="false">INDEX(Datos_Origen!$D$2:$D$2459,$Z905)&amp;""</f>
        <v>Buenos Aires</v>
      </c>
    </row>
    <row r="906" customFormat="false" ht="15" hidden="false" customHeight="false" outlineLevel="0" collapsed="false">
      <c r="A906" s="61" t="n">
        <f aca="false">INDEX(Datos_Origen!$A$2:$A$2459,$Z906)</f>
        <v>905</v>
      </c>
      <c r="B906" s="62" t="n">
        <f aca="false">IF(ISNUMBER($AB906),$AB906,IF(MID($AB906,5,1)="-",DATE(VALUE(LEFT($AB906,4)),VALUE(MID($AB906,6,2)),VALUE(RIGHT($AB906,2))),DATE(VALUE(RIGHT($AB906,4)),VALUE(MID($AB906,4,2)),VALUE(LEFT($AB906,2)))))</f>
        <v>45583</v>
      </c>
      <c r="C906" s="61" t="n">
        <f aca="false">YEAR($B906)</f>
        <v>2024</v>
      </c>
      <c r="D906" s="61" t="str">
        <f aca="false">"Q"&amp;ROUNDUP(MONTH($B906)/3,0)</f>
        <v>Q4</v>
      </c>
      <c r="E906" s="61" t="n">
        <f aca="false">MONTH($B906)</f>
        <v>10</v>
      </c>
      <c r="F906" s="61" t="str">
        <f aca="false">INDEX(Parametros!$I$5:$I$16,$E906)</f>
        <v>Oct</v>
      </c>
      <c r="G906" s="61" t="str">
        <f aca="false">TEXT($C906,"0000")&amp;"-"&amp;TEXT($E906,"00")</f>
        <v>2024-10</v>
      </c>
      <c r="H906" s="61" t="str">
        <f aca="false">INDEX(Parametros!$C$71:$C$91,MATCH(TRIM(INDEX(Datos_Origen!$C$2:$C$2459,$Z906)),Parametros!$B$71:$B$91,0))</f>
        <v>AMBA</v>
      </c>
      <c r="I906" s="61" t="str">
        <f aca="false">IF(TRIM($AD906)="",INDEX(Parametros!$I$20:$I$24,MATCH($H906,Parametros!$H$20:$H$24,0)),TRIM($AD906))</f>
        <v>Buenos Aires</v>
      </c>
      <c r="J906" s="61" t="str">
        <f aca="false">INDEX(Parametros!$C$95:$C$106,MATCH(TRIM(INDEX(Datos_Origen!$E$2:$E$2459,$Z906)),Parametros!$B$95:$B$106,0))</f>
        <v>Tienda fisica</v>
      </c>
      <c r="K906" s="61" t="str">
        <f aca="false">INDEX(Parametros!$C$48:$C$67,MATCH(TRIM(INDEX(Datos_Origen!$F$2:$F$2459,$Z906)),Parametros!$B$48:$B$67,0))</f>
        <v>Computacion</v>
      </c>
      <c r="L906" s="61" t="str">
        <f aca="false">$K906&amp;" "&amp;$C906</f>
        <v>Computacion 2024</v>
      </c>
      <c r="M906" s="61" t="str">
        <f aca="false">TRIM(INDEX(Datos_Origen!$G$2:$G$2459,$Z906))</f>
        <v>PC Gamer Ryzen</v>
      </c>
      <c r="N906" s="61" t="str">
        <f aca="false">$M906&amp;" "&amp;$C906</f>
        <v>PC Gamer Ryzen 2024</v>
      </c>
      <c r="O906" s="63" t="n">
        <f aca="false">IF(ISTEXT($AC906),VALUE($AC906),$AC906)</f>
        <v>21</v>
      </c>
      <c r="P906" s="64" t="n">
        <f aca="false">INDEX(Datos_Origen!$I$2:$I$2459,$Z906)</f>
        <v>1617</v>
      </c>
      <c r="Q906" s="64" t="n">
        <f aca="false">INDEX(Datos_Origen!$J$2:$J$2459,$Z906)</f>
        <v>1122</v>
      </c>
      <c r="R906" s="65" t="n">
        <f aca="false">ROUND($O906*$P906,2)</f>
        <v>33957</v>
      </c>
      <c r="S906" s="65" t="n">
        <f aca="false">ROUND($O906*$Q906,2)</f>
        <v>23562</v>
      </c>
      <c r="T906" s="65" t="n">
        <f aca="false">ROUND($R906*SUMIFS(Parametros!$E$28:$E$43,Parametros!$B$28:$B$43,$J906,Parametros!$C$28:$C$43,$C906,Parametros!$D$28:$D$43,$D906),2)</f>
        <v>441.44</v>
      </c>
      <c r="U906" s="65" t="n">
        <f aca="false">$R906-$S906-$T906</f>
        <v>9953.56</v>
      </c>
      <c r="V906" s="66" t="n">
        <f aca="false">IFERROR($U906/$R906,0)</f>
        <v>0.293122478428601</v>
      </c>
      <c r="W906" s="67" t="str">
        <f aca="false">IF(AND($V906&gt;=Parametros!$C$8,$R906&gt;=Parametros!$C$12),"Alta rentabilidad",IF(OR($V906&lt;Parametros!$C$11,$R906&lt;Parametros!$C$13),"Revisar","Estandar"))</f>
        <v>Estandar</v>
      </c>
      <c r="X906" s="67" t="str">
        <f aca="false">IF(AND($J906="E-commerce",IFERROR($T906/$R906,0)&gt;Parametros!$C$14),"Alerta","OK")</f>
        <v>OK</v>
      </c>
      <c r="Y906" s="61" t="str">
        <f aca="false">IF($R906&gt;=Parametros!$C$12,"Alto",IF($R906&lt;Parametros!$C$13,"Bajo","Medio"))</f>
        <v>Alto</v>
      </c>
      <c r="Z906" s="61" t="n">
        <v>1105</v>
      </c>
      <c r="AA906" s="61" t="str">
        <f aca="false">IF(MATCH($A906,Datos_Origen!$A$2:$A$2459,0)=$Z906,"OK","REVISAR")</f>
        <v>OK</v>
      </c>
      <c r="AB906" s="61" t="str">
        <f aca="false">INDEX(Datos_Origen!$B$2:$B$2459,$Z906)</f>
        <v>2024-10-18</v>
      </c>
      <c r="AC906" s="61" t="n">
        <f aca="false">INDEX(Datos_Origen!$H$2:$H$2459,$Z906)</f>
        <v>21</v>
      </c>
      <c r="AD906" s="61" t="str">
        <f aca="false">INDEX(Datos_Origen!$D$2:$D$2459,$Z906)&amp;""</f>
        <v>Buenos Aires</v>
      </c>
    </row>
    <row r="907" customFormat="false" ht="15" hidden="false" customHeight="false" outlineLevel="0" collapsed="false">
      <c r="A907" s="61" t="n">
        <f aca="false">INDEX(Datos_Origen!$A$2:$A$2459,$Z907)</f>
        <v>906</v>
      </c>
      <c r="B907" s="62" t="n">
        <f aca="false">IF(ISNUMBER($AB907),$AB907,IF(MID($AB907,5,1)="-",DATE(VALUE(LEFT($AB907,4)),VALUE(MID($AB907,6,2)),VALUE(RIGHT($AB907,2))),DATE(VALUE(RIGHT($AB907,4)),VALUE(MID($AB907,4,2)),VALUE(LEFT($AB907,2)))))</f>
        <v>45590</v>
      </c>
      <c r="C907" s="61" t="n">
        <f aca="false">YEAR($B907)</f>
        <v>2024</v>
      </c>
      <c r="D907" s="61" t="str">
        <f aca="false">"Q"&amp;ROUNDUP(MONTH($B907)/3,0)</f>
        <v>Q4</v>
      </c>
      <c r="E907" s="61" t="n">
        <f aca="false">MONTH($B907)</f>
        <v>10</v>
      </c>
      <c r="F907" s="61" t="str">
        <f aca="false">INDEX(Parametros!$I$5:$I$16,$E907)</f>
        <v>Oct</v>
      </c>
      <c r="G907" s="61" t="str">
        <f aca="false">TEXT($C907,"0000")&amp;"-"&amp;TEXT($E907,"00")</f>
        <v>2024-10</v>
      </c>
      <c r="H907" s="61" t="str">
        <f aca="false">INDEX(Parametros!$C$71:$C$91,MATCH(TRIM(INDEX(Datos_Origen!$C$2:$C$2459,$Z907)),Parametros!$B$71:$B$91,0))</f>
        <v>AMBA</v>
      </c>
      <c r="I907" s="61" t="str">
        <f aca="false">IF(TRIM($AD907)="",INDEX(Parametros!$I$20:$I$24,MATCH($H907,Parametros!$H$20:$H$24,0)),TRIM($AD907))</f>
        <v>Buenos Aires</v>
      </c>
      <c r="J907" s="61" t="str">
        <f aca="false">INDEX(Parametros!$C$95:$C$106,MATCH(TRIM(INDEX(Datos_Origen!$E$2:$E$2459,$Z907)),Parametros!$B$95:$B$106,0))</f>
        <v>E-commerce</v>
      </c>
      <c r="K907" s="61" t="str">
        <f aca="false">INDEX(Parametros!$C$48:$C$67,MATCH(TRIM(INDEX(Datos_Origen!$F$2:$F$2459,$Z907)),Parametros!$B$48:$B$67,0))</f>
        <v>Computacion</v>
      </c>
      <c r="L907" s="61" t="str">
        <f aca="false">$K907&amp;" "&amp;$C907</f>
        <v>Computacion 2024</v>
      </c>
      <c r="M907" s="61" t="str">
        <f aca="false">TRIM(INDEX(Datos_Origen!$G$2:$G$2459,$Z907))</f>
        <v>PC Gamer Ryzen</v>
      </c>
      <c r="N907" s="61" t="str">
        <f aca="false">$M907&amp;" "&amp;$C907</f>
        <v>PC Gamer Ryzen 2024</v>
      </c>
      <c r="O907" s="63" t="n">
        <f aca="false">IF(ISTEXT($AC907),VALUE($AC907),$AC907)</f>
        <v>9</v>
      </c>
      <c r="P907" s="64" t="n">
        <f aca="false">INDEX(Datos_Origen!$I$2:$I$2459,$Z907)</f>
        <v>1617</v>
      </c>
      <c r="Q907" s="64" t="n">
        <f aca="false">INDEX(Datos_Origen!$J$2:$J$2459,$Z907)</f>
        <v>1122</v>
      </c>
      <c r="R907" s="65" t="n">
        <f aca="false">ROUND($O907*$P907,2)</f>
        <v>14553</v>
      </c>
      <c r="S907" s="65" t="n">
        <f aca="false">ROUND($O907*$Q907,2)</f>
        <v>10098</v>
      </c>
      <c r="T907" s="65" t="n">
        <f aca="false">ROUND($R907*SUMIFS(Parametros!$E$28:$E$43,Parametros!$B$28:$B$43,$J907,Parametros!$C$28:$C$43,$C907,Parametros!$D$28:$D$43,$D907),2)</f>
        <v>698.54</v>
      </c>
      <c r="U907" s="65" t="n">
        <f aca="false">$R907-$S907-$T907</f>
        <v>3756.46</v>
      </c>
      <c r="V907" s="66" t="n">
        <f aca="false">IFERROR($U907/$R907,0)</f>
        <v>0.25812272383701</v>
      </c>
      <c r="W907" s="67" t="str">
        <f aca="false">IF(AND($V907&gt;=Parametros!$C$8,$R907&gt;=Parametros!$C$12),"Alta rentabilidad",IF(OR($V907&lt;Parametros!$C$11,$R907&lt;Parametros!$C$13),"Revisar","Estandar"))</f>
        <v>Revisar</v>
      </c>
      <c r="X907" s="67" t="str">
        <f aca="false">IF(AND($J907="E-commerce",IFERROR($T907/$R907,0)&gt;Parametros!$C$14),"Alerta","OK")</f>
        <v>OK</v>
      </c>
      <c r="Y907" s="61" t="str">
        <f aca="false">IF($R907&gt;=Parametros!$C$12,"Alto",IF($R907&lt;Parametros!$C$13,"Bajo","Medio"))</f>
        <v>Alto</v>
      </c>
      <c r="Z907" s="61" t="n">
        <v>1197</v>
      </c>
      <c r="AA907" s="61" t="str">
        <f aca="false">IF(MATCH($A907,Datos_Origen!$A$2:$A$2459,0)=$Z907,"OK","REVISAR")</f>
        <v>OK</v>
      </c>
      <c r="AB907" s="61" t="str">
        <f aca="false">INDEX(Datos_Origen!$B$2:$B$2459,$Z907)</f>
        <v>25/10/2024</v>
      </c>
      <c r="AC907" s="61" t="n">
        <f aca="false">INDEX(Datos_Origen!$H$2:$H$2459,$Z907)</f>
        <v>9</v>
      </c>
      <c r="AD907" s="61" t="str">
        <f aca="false">INDEX(Datos_Origen!$D$2:$D$2459,$Z907)&amp;""</f>
        <v>Buenos Aires</v>
      </c>
    </row>
    <row r="908" customFormat="false" ht="15" hidden="false" customHeight="false" outlineLevel="0" collapsed="false">
      <c r="A908" s="61" t="n">
        <f aca="false">INDEX(Datos_Origen!$A$2:$A$2459,$Z908)</f>
        <v>907</v>
      </c>
      <c r="B908" s="62" t="n">
        <f aca="false">IF(ISNUMBER($AB908),$AB908,IF(MID($AB908,5,1)="-",DATE(VALUE(LEFT($AB908,4)),VALUE(MID($AB908,6,2)),VALUE(RIGHT($AB908,2))),DATE(VALUE(RIGHT($AB908,4)),VALUE(MID($AB908,4,2)),VALUE(LEFT($AB908,2)))))</f>
        <v>45570</v>
      </c>
      <c r="C908" s="61" t="n">
        <f aca="false">YEAR($B908)</f>
        <v>2024</v>
      </c>
      <c r="D908" s="61" t="str">
        <f aca="false">"Q"&amp;ROUNDUP(MONTH($B908)/3,0)</f>
        <v>Q4</v>
      </c>
      <c r="E908" s="61" t="n">
        <f aca="false">MONTH($B908)</f>
        <v>10</v>
      </c>
      <c r="F908" s="61" t="str">
        <f aca="false">INDEX(Parametros!$I$5:$I$16,$E908)</f>
        <v>Oct</v>
      </c>
      <c r="G908" s="61" t="str">
        <f aca="false">TEXT($C908,"0000")&amp;"-"&amp;TEXT($E908,"00")</f>
        <v>2024-10</v>
      </c>
      <c r="H908" s="61" t="str">
        <f aca="false">INDEX(Parametros!$C$71:$C$91,MATCH(TRIM(INDEX(Datos_Origen!$C$2:$C$2459,$Z908)),Parametros!$B$71:$B$91,0))</f>
        <v>AMBA</v>
      </c>
      <c r="I908" s="61" t="str">
        <f aca="false">IF(TRIM($AD908)="",INDEX(Parametros!$I$20:$I$24,MATCH($H908,Parametros!$H$20:$H$24,0)),TRIM($AD908))</f>
        <v>Buenos Aires</v>
      </c>
      <c r="J908" s="61" t="str">
        <f aca="false">INDEX(Parametros!$C$95:$C$106,MATCH(TRIM(INDEX(Datos_Origen!$E$2:$E$2459,$Z908)),Parametros!$B$95:$B$106,0))</f>
        <v>Tienda fisica</v>
      </c>
      <c r="K908" s="61" t="str">
        <f aca="false">INDEX(Parametros!$C$48:$C$67,MATCH(TRIM(INDEX(Datos_Origen!$F$2:$F$2459,$Z908)),Parametros!$B$48:$B$67,0))</f>
        <v>Accesorios</v>
      </c>
      <c r="L908" s="61" t="str">
        <f aca="false">$K908&amp;" "&amp;$C908</f>
        <v>Accesorios 2024</v>
      </c>
      <c r="M908" s="61" t="str">
        <f aca="false">TRIM(INDEX(Datos_Origen!$G$2:$G$2459,$Z908))</f>
        <v>Mouse Inalambrico</v>
      </c>
      <c r="N908" s="61" t="str">
        <f aca="false">$M908&amp;" "&amp;$C908</f>
        <v>Mouse Inalambrico 2024</v>
      </c>
      <c r="O908" s="63" t="n">
        <f aca="false">IF(ISTEXT($AC908),VALUE($AC908),$AC908)</f>
        <v>105</v>
      </c>
      <c r="P908" s="64" t="n">
        <f aca="false">INDEX(Datos_Origen!$I$2:$I$2459,$Z908)</f>
        <v>27.44</v>
      </c>
      <c r="Q908" s="64" t="n">
        <f aca="false">INDEX(Datos_Origen!$J$2:$J$2459,$Z908)</f>
        <v>13.44</v>
      </c>
      <c r="R908" s="65" t="n">
        <f aca="false">ROUND($O908*$P908,2)</f>
        <v>2881.2</v>
      </c>
      <c r="S908" s="65" t="n">
        <f aca="false">ROUND($O908*$Q908,2)</f>
        <v>1411.2</v>
      </c>
      <c r="T908" s="65" t="n">
        <f aca="false">ROUND($R908*SUMIFS(Parametros!$E$28:$E$43,Parametros!$B$28:$B$43,$J908,Parametros!$C$28:$C$43,$C908,Parametros!$D$28:$D$43,$D908),2)</f>
        <v>37.46</v>
      </c>
      <c r="U908" s="65" t="n">
        <f aca="false">$R908-$S908-$T908</f>
        <v>1432.54</v>
      </c>
      <c r="V908" s="66" t="n">
        <f aca="false">IFERROR($U908/$R908,0)</f>
        <v>0.497202554491184</v>
      </c>
      <c r="W908" s="67" t="str">
        <f aca="false">IF(AND($V908&gt;=Parametros!$C$8,$R908&gt;=Parametros!$C$12),"Alta rentabilidad",IF(OR($V908&lt;Parametros!$C$11,$R908&lt;Parametros!$C$13),"Revisar","Estandar"))</f>
        <v>Estandar</v>
      </c>
      <c r="X908" s="67" t="str">
        <f aca="false">IF(AND($J908="E-commerce",IFERROR($T908/$R908,0)&gt;Parametros!$C$14),"Alerta","OK")</f>
        <v>OK</v>
      </c>
      <c r="Y908" s="61" t="str">
        <f aca="false">IF($R908&gt;=Parametros!$C$12,"Alto",IF($R908&lt;Parametros!$C$13,"Bajo","Medio"))</f>
        <v>Medio</v>
      </c>
      <c r="Z908" s="61" t="n">
        <v>115</v>
      </c>
      <c r="AA908" s="61" t="str">
        <f aca="false">IF(MATCH($A908,Datos_Origen!$A$2:$A$2459,0)=$Z908,"OK","REVISAR")</f>
        <v>OK</v>
      </c>
      <c r="AB908" s="62" t="n">
        <f aca="false">INDEX(Datos_Origen!$B$2:$B$2459,$Z908)</f>
        <v>45570</v>
      </c>
      <c r="AC908" s="61" t="n">
        <f aca="false">INDEX(Datos_Origen!$H$2:$H$2459,$Z908)</f>
        <v>105</v>
      </c>
      <c r="AD908" s="61" t="str">
        <f aca="false">INDEX(Datos_Origen!$D$2:$D$2459,$Z908)&amp;""</f>
        <v>Buenos Aires</v>
      </c>
    </row>
    <row r="909" customFormat="false" ht="15" hidden="false" customHeight="false" outlineLevel="0" collapsed="false">
      <c r="A909" s="61" t="n">
        <f aca="false">INDEX(Datos_Origen!$A$2:$A$2459,$Z909)</f>
        <v>908</v>
      </c>
      <c r="B909" s="62" t="n">
        <f aca="false">IF(ISNUMBER($AB909),$AB909,IF(MID($AB909,5,1)="-",DATE(VALUE(LEFT($AB909,4)),VALUE(MID($AB909,6,2)),VALUE(RIGHT($AB909,2))),DATE(VALUE(RIGHT($AB909,4)),VALUE(MID($AB909,4,2)),VALUE(LEFT($AB909,2)))))</f>
        <v>45577</v>
      </c>
      <c r="C909" s="61" t="n">
        <f aca="false">YEAR($B909)</f>
        <v>2024</v>
      </c>
      <c r="D909" s="61" t="str">
        <f aca="false">"Q"&amp;ROUNDUP(MONTH($B909)/3,0)</f>
        <v>Q4</v>
      </c>
      <c r="E909" s="61" t="n">
        <f aca="false">MONTH($B909)</f>
        <v>10</v>
      </c>
      <c r="F909" s="61" t="str">
        <f aca="false">INDEX(Parametros!$I$5:$I$16,$E909)</f>
        <v>Oct</v>
      </c>
      <c r="G909" s="61" t="str">
        <f aca="false">TEXT($C909,"0000")&amp;"-"&amp;TEXT($E909,"00")</f>
        <v>2024-10</v>
      </c>
      <c r="H909" s="61" t="str">
        <f aca="false">INDEX(Parametros!$C$71:$C$91,MATCH(TRIM(INDEX(Datos_Origen!$C$2:$C$2459,$Z909)),Parametros!$B$71:$B$91,0))</f>
        <v>AMBA</v>
      </c>
      <c r="I909" s="61" t="str">
        <f aca="false">IF(TRIM($AD909)="",INDEX(Parametros!$I$20:$I$24,MATCH($H909,Parametros!$H$20:$H$24,0)),TRIM($AD909))</f>
        <v>Buenos Aires</v>
      </c>
      <c r="J909" s="61" t="str">
        <f aca="false">INDEX(Parametros!$C$95:$C$106,MATCH(TRIM(INDEX(Datos_Origen!$E$2:$E$2459,$Z909)),Parametros!$B$95:$B$106,0))</f>
        <v>E-commerce</v>
      </c>
      <c r="K909" s="61" t="str">
        <f aca="false">INDEX(Parametros!$C$48:$C$67,MATCH(TRIM(INDEX(Datos_Origen!$F$2:$F$2459,$Z909)),Parametros!$B$48:$B$67,0))</f>
        <v>Accesorios</v>
      </c>
      <c r="L909" s="61" t="str">
        <f aca="false">$K909&amp;" "&amp;$C909</f>
        <v>Accesorios 2024</v>
      </c>
      <c r="M909" s="61" t="str">
        <f aca="false">TRIM(INDEX(Datos_Origen!$G$2:$G$2459,$Z909))</f>
        <v>Mouse Inalambrico</v>
      </c>
      <c r="N909" s="61" t="str">
        <f aca="false">$M909&amp;" "&amp;$C909</f>
        <v>Mouse Inalambrico 2024</v>
      </c>
      <c r="O909" s="63" t="n">
        <f aca="false">IF(ISTEXT($AC909),VALUE($AC909),$AC909)</f>
        <v>38</v>
      </c>
      <c r="P909" s="64" t="n">
        <f aca="false">INDEX(Datos_Origen!$I$2:$I$2459,$Z909)</f>
        <v>27.44</v>
      </c>
      <c r="Q909" s="64" t="n">
        <f aca="false">INDEX(Datos_Origen!$J$2:$J$2459,$Z909)</f>
        <v>13.44</v>
      </c>
      <c r="R909" s="65" t="n">
        <f aca="false">ROUND($O909*$P909,2)</f>
        <v>1042.72</v>
      </c>
      <c r="S909" s="65" t="n">
        <f aca="false">ROUND($O909*$Q909,2)</f>
        <v>510.72</v>
      </c>
      <c r="T909" s="65" t="n">
        <f aca="false">ROUND($R909*SUMIFS(Parametros!$E$28:$E$43,Parametros!$B$28:$B$43,$J909,Parametros!$C$28:$C$43,$C909,Parametros!$D$28:$D$43,$D909),2)</f>
        <v>50.05</v>
      </c>
      <c r="U909" s="65" t="n">
        <f aca="false">$R909-$S909-$T909</f>
        <v>481.95</v>
      </c>
      <c r="V909" s="66" t="n">
        <f aca="false">IFERROR($U909/$R909,0)</f>
        <v>0.462204618689581</v>
      </c>
      <c r="W909" s="67" t="str">
        <f aca="false">IF(AND($V909&gt;=Parametros!$C$8,$R909&gt;=Parametros!$C$12),"Alta rentabilidad",IF(OR($V909&lt;Parametros!$C$11,$R909&lt;Parametros!$C$13),"Revisar","Estandar"))</f>
        <v>Estandar</v>
      </c>
      <c r="X909" s="67" t="str">
        <f aca="false">IF(AND($J909="E-commerce",IFERROR($T909/$R909,0)&gt;Parametros!$C$14),"Alerta","OK")</f>
        <v>OK</v>
      </c>
      <c r="Y909" s="61" t="str">
        <f aca="false">IF($R909&gt;=Parametros!$C$12,"Alto",IF($R909&lt;Parametros!$C$13,"Bajo","Medio"))</f>
        <v>Medio</v>
      </c>
      <c r="Z909" s="61" t="n">
        <v>1516</v>
      </c>
      <c r="AA909" s="61" t="str">
        <f aca="false">IF(MATCH($A909,Datos_Origen!$A$2:$A$2459,0)=$Z909,"OK","REVISAR")</f>
        <v>OK</v>
      </c>
      <c r="AB909" s="62" t="n">
        <f aca="false">INDEX(Datos_Origen!$B$2:$B$2459,$Z909)</f>
        <v>45577</v>
      </c>
      <c r="AC909" s="61" t="n">
        <f aca="false">INDEX(Datos_Origen!$H$2:$H$2459,$Z909)</f>
        <v>38</v>
      </c>
      <c r="AD909" s="61" t="str">
        <f aca="false">INDEX(Datos_Origen!$D$2:$D$2459,$Z909)&amp;""</f>
        <v>Buenos Aires</v>
      </c>
    </row>
    <row r="910" customFormat="false" ht="15" hidden="false" customHeight="false" outlineLevel="0" collapsed="false">
      <c r="A910" s="61" t="n">
        <f aca="false">INDEX(Datos_Origen!$A$2:$A$2459,$Z910)</f>
        <v>909</v>
      </c>
      <c r="B910" s="62" t="n">
        <f aca="false">IF(ISNUMBER($AB910),$AB910,IF(MID($AB910,5,1)="-",DATE(VALUE(LEFT($AB910,4)),VALUE(MID($AB910,6,2)),VALUE(RIGHT($AB910,2))),DATE(VALUE(RIGHT($AB910,4)),VALUE(MID($AB910,4,2)),VALUE(LEFT($AB910,2)))))</f>
        <v>45584</v>
      </c>
      <c r="C910" s="61" t="n">
        <f aca="false">YEAR($B910)</f>
        <v>2024</v>
      </c>
      <c r="D910" s="61" t="str">
        <f aca="false">"Q"&amp;ROUNDUP(MONTH($B910)/3,0)</f>
        <v>Q4</v>
      </c>
      <c r="E910" s="61" t="n">
        <f aca="false">MONTH($B910)</f>
        <v>10</v>
      </c>
      <c r="F910" s="61" t="str">
        <f aca="false">INDEX(Parametros!$I$5:$I$16,$E910)</f>
        <v>Oct</v>
      </c>
      <c r="G910" s="61" t="str">
        <f aca="false">TEXT($C910,"0000")&amp;"-"&amp;TEXT($E910,"00")</f>
        <v>2024-10</v>
      </c>
      <c r="H910" s="61" t="str">
        <f aca="false">INDEX(Parametros!$C$71:$C$91,MATCH(TRIM(INDEX(Datos_Origen!$C$2:$C$2459,$Z910)),Parametros!$B$71:$B$91,0))</f>
        <v>AMBA</v>
      </c>
      <c r="I910" s="61" t="str">
        <f aca="false">IF(TRIM($AD910)="",INDEX(Parametros!$I$20:$I$24,MATCH($H910,Parametros!$H$20:$H$24,0)),TRIM($AD910))</f>
        <v>Buenos Aires</v>
      </c>
      <c r="J910" s="61" t="str">
        <f aca="false">INDEX(Parametros!$C$95:$C$106,MATCH(TRIM(INDEX(Datos_Origen!$E$2:$E$2459,$Z910)),Parametros!$B$95:$B$106,0))</f>
        <v>Tienda fisica</v>
      </c>
      <c r="K910" s="61" t="str">
        <f aca="false">INDEX(Parametros!$C$48:$C$67,MATCH(TRIM(INDEX(Datos_Origen!$F$2:$F$2459,$Z910)),Parametros!$B$48:$B$67,0))</f>
        <v>Accesorios</v>
      </c>
      <c r="L910" s="61" t="str">
        <f aca="false">$K910&amp;" "&amp;$C910</f>
        <v>Accesorios 2024</v>
      </c>
      <c r="M910" s="61" t="str">
        <f aca="false">TRIM(INDEX(Datos_Origen!$G$2:$G$2459,$Z910))</f>
        <v>Teclado Mecanico</v>
      </c>
      <c r="N910" s="61" t="str">
        <f aca="false">$M910&amp;" "&amp;$C910</f>
        <v>Teclado Mecanico 2024</v>
      </c>
      <c r="O910" s="63" t="n">
        <f aca="false">IF(ISTEXT($AC910),VALUE($AC910),$AC910)</f>
        <v>110</v>
      </c>
      <c r="P910" s="64" t="n">
        <f aca="false">INDEX(Datos_Origen!$I$2:$I$2459,$Z910)</f>
        <v>93.1</v>
      </c>
      <c r="Q910" s="64" t="n">
        <f aca="false">INDEX(Datos_Origen!$J$2:$J$2459,$Z910)</f>
        <v>47.98</v>
      </c>
      <c r="R910" s="65" t="n">
        <f aca="false">ROUND($O910*$P910,2)</f>
        <v>10241</v>
      </c>
      <c r="S910" s="65" t="n">
        <f aca="false">ROUND($O910*$Q910,2)</f>
        <v>5277.8</v>
      </c>
      <c r="T910" s="65" t="n">
        <f aca="false">ROUND($R910*SUMIFS(Parametros!$E$28:$E$43,Parametros!$B$28:$B$43,$J910,Parametros!$C$28:$C$43,$C910,Parametros!$D$28:$D$43,$D910),2)</f>
        <v>133.13</v>
      </c>
      <c r="U910" s="65" t="n">
        <f aca="false">$R910-$S910-$T910</f>
        <v>4830.07</v>
      </c>
      <c r="V910" s="66" t="n">
        <f aca="false">IFERROR($U910/$R910,0)</f>
        <v>0.47164046479836</v>
      </c>
      <c r="W910" s="67" t="str">
        <f aca="false">IF(AND($V910&gt;=Parametros!$C$8,$R910&gt;=Parametros!$C$12),"Alta rentabilidad",IF(OR($V910&lt;Parametros!$C$11,$R910&lt;Parametros!$C$13),"Revisar","Estandar"))</f>
        <v>Alta rentabilidad</v>
      </c>
      <c r="X910" s="67" t="str">
        <f aca="false">IF(AND($J910="E-commerce",IFERROR($T910/$R910,0)&gt;Parametros!$C$14),"Alerta","OK")</f>
        <v>OK</v>
      </c>
      <c r="Y910" s="61" t="str">
        <f aca="false">IF($R910&gt;=Parametros!$C$12,"Alto",IF($R910&lt;Parametros!$C$13,"Bajo","Medio"))</f>
        <v>Alto</v>
      </c>
      <c r="Z910" s="61" t="n">
        <v>923</v>
      </c>
      <c r="AA910" s="61" t="str">
        <f aca="false">IF(MATCH($A910,Datos_Origen!$A$2:$A$2459,0)=$Z910,"OK","REVISAR")</f>
        <v>OK</v>
      </c>
      <c r="AB910" s="62" t="n">
        <f aca="false">INDEX(Datos_Origen!$B$2:$B$2459,$Z910)</f>
        <v>45584</v>
      </c>
      <c r="AC910" s="61" t="n">
        <f aca="false">INDEX(Datos_Origen!$H$2:$H$2459,$Z910)</f>
        <v>110</v>
      </c>
      <c r="AD910" s="61" t="str">
        <f aca="false">INDEX(Datos_Origen!$D$2:$D$2459,$Z910)&amp;""</f>
        <v>Buenos Aires</v>
      </c>
    </row>
    <row r="911" customFormat="false" ht="15" hidden="false" customHeight="false" outlineLevel="0" collapsed="false">
      <c r="A911" s="61" t="n">
        <f aca="false">INDEX(Datos_Origen!$A$2:$A$2459,$Z911)</f>
        <v>910</v>
      </c>
      <c r="B911" s="62" t="n">
        <f aca="false">IF(ISNUMBER($AB911),$AB911,IF(MID($AB911,5,1)="-",DATE(VALUE(LEFT($AB911,4)),VALUE(MID($AB911,6,2)),VALUE(RIGHT($AB911,2))),DATE(VALUE(RIGHT($AB911,4)),VALUE(MID($AB911,4,2)),VALUE(LEFT($AB911,2)))))</f>
        <v>45591</v>
      </c>
      <c r="C911" s="61" t="n">
        <f aca="false">YEAR($B911)</f>
        <v>2024</v>
      </c>
      <c r="D911" s="61" t="str">
        <f aca="false">"Q"&amp;ROUNDUP(MONTH($B911)/3,0)</f>
        <v>Q4</v>
      </c>
      <c r="E911" s="61" t="n">
        <f aca="false">MONTH($B911)</f>
        <v>10</v>
      </c>
      <c r="F911" s="61" t="str">
        <f aca="false">INDEX(Parametros!$I$5:$I$16,$E911)</f>
        <v>Oct</v>
      </c>
      <c r="G911" s="61" t="str">
        <f aca="false">TEXT($C911,"0000")&amp;"-"&amp;TEXT($E911,"00")</f>
        <v>2024-10</v>
      </c>
      <c r="H911" s="61" t="str">
        <f aca="false">INDEX(Parametros!$C$71:$C$91,MATCH(TRIM(INDEX(Datos_Origen!$C$2:$C$2459,$Z911)),Parametros!$B$71:$B$91,0))</f>
        <v>AMBA</v>
      </c>
      <c r="I911" s="61" t="str">
        <f aca="false">IF(TRIM($AD911)="",INDEX(Parametros!$I$20:$I$24,MATCH($H911,Parametros!$H$20:$H$24,0)),TRIM($AD911))</f>
        <v>Buenos Aires</v>
      </c>
      <c r="J911" s="61" t="str">
        <f aca="false">INDEX(Parametros!$C$95:$C$106,MATCH(TRIM(INDEX(Datos_Origen!$E$2:$E$2459,$Z911)),Parametros!$B$95:$B$106,0))</f>
        <v>E-commerce</v>
      </c>
      <c r="K911" s="61" t="str">
        <f aca="false">INDEX(Parametros!$C$48:$C$67,MATCH(TRIM(INDEX(Datos_Origen!$F$2:$F$2459,$Z911)),Parametros!$B$48:$B$67,0))</f>
        <v>Accesorios</v>
      </c>
      <c r="L911" s="61" t="str">
        <f aca="false">$K911&amp;" "&amp;$C911</f>
        <v>Accesorios 2024</v>
      </c>
      <c r="M911" s="61" t="str">
        <f aca="false">TRIM(INDEX(Datos_Origen!$G$2:$G$2459,$Z911))</f>
        <v>Teclado Mecanico</v>
      </c>
      <c r="N911" s="61" t="str">
        <f aca="false">$M911&amp;" "&amp;$C911</f>
        <v>Teclado Mecanico 2024</v>
      </c>
      <c r="O911" s="63" t="n">
        <f aca="false">IF(ISTEXT($AC911),VALUE($AC911),$AC911)</f>
        <v>43</v>
      </c>
      <c r="P911" s="64" t="n">
        <f aca="false">INDEX(Datos_Origen!$I$2:$I$2459,$Z911)</f>
        <v>93.1</v>
      </c>
      <c r="Q911" s="64" t="n">
        <f aca="false">INDEX(Datos_Origen!$J$2:$J$2459,$Z911)</f>
        <v>47.98</v>
      </c>
      <c r="R911" s="65" t="n">
        <f aca="false">ROUND($O911*$P911,2)</f>
        <v>4003.3</v>
      </c>
      <c r="S911" s="65" t="n">
        <f aca="false">ROUND($O911*$Q911,2)</f>
        <v>2063.14</v>
      </c>
      <c r="T911" s="65" t="n">
        <f aca="false">ROUND($R911*SUMIFS(Parametros!$E$28:$E$43,Parametros!$B$28:$B$43,$J911,Parametros!$C$28:$C$43,$C911,Parametros!$D$28:$D$43,$D911),2)</f>
        <v>192.16</v>
      </c>
      <c r="U911" s="65" t="n">
        <f aca="false">$R911-$S911-$T911</f>
        <v>1748</v>
      </c>
      <c r="V911" s="66" t="n">
        <f aca="false">IFERROR($U911/$R911,0)</f>
        <v>0.436639772187945</v>
      </c>
      <c r="W911" s="67" t="str">
        <f aca="false">IF(AND($V911&gt;=Parametros!$C$8,$R911&gt;=Parametros!$C$12),"Alta rentabilidad",IF(OR($V911&lt;Parametros!$C$11,$R911&lt;Parametros!$C$13),"Revisar","Estandar"))</f>
        <v>Alta rentabilidad</v>
      </c>
      <c r="X911" s="67" t="str">
        <f aca="false">IF(AND($J911="E-commerce",IFERROR($T911/$R911,0)&gt;Parametros!$C$14),"Alerta","OK")</f>
        <v>OK</v>
      </c>
      <c r="Y911" s="61" t="str">
        <f aca="false">IF($R911&gt;=Parametros!$C$12,"Alto",IF($R911&lt;Parametros!$C$13,"Bajo","Medio"))</f>
        <v>Alto</v>
      </c>
      <c r="Z911" s="61" t="n">
        <v>2053</v>
      </c>
      <c r="AA911" s="61" t="str">
        <f aca="false">IF(MATCH($A911,Datos_Origen!$A$2:$A$2459,0)=$Z911,"OK","REVISAR")</f>
        <v>OK</v>
      </c>
      <c r="AB911" s="62" t="n">
        <f aca="false">INDEX(Datos_Origen!$B$2:$B$2459,$Z911)</f>
        <v>45591</v>
      </c>
      <c r="AC911" s="61" t="n">
        <f aca="false">INDEX(Datos_Origen!$H$2:$H$2459,$Z911)</f>
        <v>43</v>
      </c>
      <c r="AD911" s="61" t="str">
        <f aca="false">INDEX(Datos_Origen!$D$2:$D$2459,$Z911)&amp;""</f>
        <v>Buenos Aires</v>
      </c>
    </row>
    <row r="912" customFormat="false" ht="15" hidden="false" customHeight="false" outlineLevel="0" collapsed="false">
      <c r="A912" s="61" t="n">
        <f aca="false">INDEX(Datos_Origen!$A$2:$A$2459,$Z912)</f>
        <v>911</v>
      </c>
      <c r="B912" s="62" t="n">
        <f aca="false">IF(ISNUMBER($AB912),$AB912,IF(MID($AB912,5,1)="-",DATE(VALUE(LEFT($AB912,4)),VALUE(MID($AB912,6,2)),VALUE(RIGHT($AB912,2))),DATE(VALUE(RIGHT($AB912,4)),VALUE(MID($AB912,4,2)),VALUE(LEFT($AB912,2)))))</f>
        <v>45571</v>
      </c>
      <c r="C912" s="61" t="n">
        <f aca="false">YEAR($B912)</f>
        <v>2024</v>
      </c>
      <c r="D912" s="61" t="str">
        <f aca="false">"Q"&amp;ROUNDUP(MONTH($B912)/3,0)</f>
        <v>Q4</v>
      </c>
      <c r="E912" s="61" t="n">
        <f aca="false">MONTH($B912)</f>
        <v>10</v>
      </c>
      <c r="F912" s="61" t="str">
        <f aca="false">INDEX(Parametros!$I$5:$I$16,$E912)</f>
        <v>Oct</v>
      </c>
      <c r="G912" s="61" t="str">
        <f aca="false">TEXT($C912,"0000")&amp;"-"&amp;TEXT($E912,"00")</f>
        <v>2024-10</v>
      </c>
      <c r="H912" s="61" t="str">
        <f aca="false">INDEX(Parametros!$C$71:$C$91,MATCH(TRIM(INDEX(Datos_Origen!$C$2:$C$2459,$Z912)),Parametros!$B$71:$B$91,0))</f>
        <v>AMBA</v>
      </c>
      <c r="I912" s="61" t="str">
        <f aca="false">IF(TRIM($AD912)="",INDEX(Parametros!$I$20:$I$24,MATCH($H912,Parametros!$H$20:$H$24,0)),TRIM($AD912))</f>
        <v>Buenos Aires</v>
      </c>
      <c r="J912" s="61" t="str">
        <f aca="false">INDEX(Parametros!$C$95:$C$106,MATCH(TRIM(INDEX(Datos_Origen!$E$2:$E$2459,$Z912)),Parametros!$B$95:$B$106,0))</f>
        <v>Tienda fisica</v>
      </c>
      <c r="K912" s="61" t="str">
        <f aca="false">INDEX(Parametros!$C$48:$C$67,MATCH(TRIM(INDEX(Datos_Origen!$F$2:$F$2459,$Z912)),Parametros!$B$48:$B$67,0))</f>
        <v>Accesorios</v>
      </c>
      <c r="L912" s="61" t="str">
        <f aca="false">$K912&amp;" "&amp;$C912</f>
        <v>Accesorios 2024</v>
      </c>
      <c r="M912" s="61" t="str">
        <f aca="false">TRIM(INDEX(Datos_Origen!$G$2:$G$2459,$Z912))</f>
        <v>Webcam Full HD</v>
      </c>
      <c r="N912" s="61" t="str">
        <f aca="false">$M912&amp;" "&amp;$C912</f>
        <v>Webcam Full HD 2024</v>
      </c>
      <c r="O912" s="63" t="n">
        <f aca="false">IF(ISTEXT($AC912),VALUE($AC912),$AC912)</f>
        <v>115</v>
      </c>
      <c r="P912" s="64" t="n">
        <f aca="false">INDEX(Datos_Origen!$I$2:$I$2459,$Z912)</f>
        <v>63.7</v>
      </c>
      <c r="Q912" s="64" t="n">
        <f aca="false">INDEX(Datos_Origen!$J$2:$J$2459,$Z912)</f>
        <v>35.43</v>
      </c>
      <c r="R912" s="65" t="n">
        <f aca="false">ROUND($O912*$P912,2)</f>
        <v>7325.5</v>
      </c>
      <c r="S912" s="65" t="n">
        <f aca="false">ROUND($O912*$Q912,2)</f>
        <v>4074.45</v>
      </c>
      <c r="T912" s="65" t="n">
        <f aca="false">ROUND($R912*SUMIFS(Parametros!$E$28:$E$43,Parametros!$B$28:$B$43,$J912,Parametros!$C$28:$C$43,$C912,Parametros!$D$28:$D$43,$D912),2)</f>
        <v>95.23</v>
      </c>
      <c r="U912" s="65" t="n">
        <f aca="false">$R912-$S912-$T912</f>
        <v>3155.82</v>
      </c>
      <c r="V912" s="66" t="n">
        <f aca="false">IFERROR($U912/$R912,0)</f>
        <v>0.430799262848952</v>
      </c>
      <c r="W912" s="67" t="str">
        <f aca="false">IF(AND($V912&gt;=Parametros!$C$8,$R912&gt;=Parametros!$C$12),"Alta rentabilidad",IF(OR($V912&lt;Parametros!$C$11,$R912&lt;Parametros!$C$13),"Revisar","Estandar"))</f>
        <v>Alta rentabilidad</v>
      </c>
      <c r="X912" s="67" t="str">
        <f aca="false">IF(AND($J912="E-commerce",IFERROR($T912/$R912,0)&gt;Parametros!$C$14),"Alerta","OK")</f>
        <v>OK</v>
      </c>
      <c r="Y912" s="61" t="str">
        <f aca="false">IF($R912&gt;=Parametros!$C$12,"Alto",IF($R912&lt;Parametros!$C$13,"Bajo","Medio"))</f>
        <v>Alto</v>
      </c>
      <c r="Z912" s="61" t="n">
        <v>1672</v>
      </c>
      <c r="AA912" s="61" t="str">
        <f aca="false">IF(MATCH($A912,Datos_Origen!$A$2:$A$2459,0)=$Z912,"OK","REVISAR")</f>
        <v>OK</v>
      </c>
      <c r="AB912" s="62" t="n">
        <f aca="false">INDEX(Datos_Origen!$B$2:$B$2459,$Z912)</f>
        <v>45571</v>
      </c>
      <c r="AC912" s="61" t="n">
        <f aca="false">INDEX(Datos_Origen!$H$2:$H$2459,$Z912)</f>
        <v>115</v>
      </c>
      <c r="AD912" s="61" t="str">
        <f aca="false">INDEX(Datos_Origen!$D$2:$D$2459,$Z912)&amp;""</f>
        <v>Buenos Aires</v>
      </c>
    </row>
    <row r="913" customFormat="false" ht="15" hidden="false" customHeight="false" outlineLevel="0" collapsed="false">
      <c r="A913" s="61" t="n">
        <f aca="false">INDEX(Datos_Origen!$A$2:$A$2459,$Z913)</f>
        <v>912</v>
      </c>
      <c r="B913" s="62" t="n">
        <f aca="false">IF(ISNUMBER($AB913),$AB913,IF(MID($AB913,5,1)="-",DATE(VALUE(LEFT($AB913,4)),VALUE(MID($AB913,6,2)),VALUE(RIGHT($AB913,2))),DATE(VALUE(RIGHT($AB913,4)),VALUE(MID($AB913,4,2)),VALUE(LEFT($AB913,2)))))</f>
        <v>45578</v>
      </c>
      <c r="C913" s="61" t="n">
        <f aca="false">YEAR($B913)</f>
        <v>2024</v>
      </c>
      <c r="D913" s="61" t="str">
        <f aca="false">"Q"&amp;ROUNDUP(MONTH($B913)/3,0)</f>
        <v>Q4</v>
      </c>
      <c r="E913" s="61" t="n">
        <f aca="false">MONTH($B913)</f>
        <v>10</v>
      </c>
      <c r="F913" s="61" t="str">
        <f aca="false">INDEX(Parametros!$I$5:$I$16,$E913)</f>
        <v>Oct</v>
      </c>
      <c r="G913" s="61" t="str">
        <f aca="false">TEXT($C913,"0000")&amp;"-"&amp;TEXT($E913,"00")</f>
        <v>2024-10</v>
      </c>
      <c r="H913" s="61" t="str">
        <f aca="false">INDEX(Parametros!$C$71:$C$91,MATCH(TRIM(INDEX(Datos_Origen!$C$2:$C$2459,$Z913)),Parametros!$B$71:$B$91,0))</f>
        <v>AMBA</v>
      </c>
      <c r="I913" s="61" t="str">
        <f aca="false">IF(TRIM($AD913)="",INDEX(Parametros!$I$20:$I$24,MATCH($H913,Parametros!$H$20:$H$24,0)),TRIM($AD913))</f>
        <v>Buenos Aires</v>
      </c>
      <c r="J913" s="61" t="str">
        <f aca="false">INDEX(Parametros!$C$95:$C$106,MATCH(TRIM(INDEX(Datos_Origen!$E$2:$E$2459,$Z913)),Parametros!$B$95:$B$106,0))</f>
        <v>E-commerce</v>
      </c>
      <c r="K913" s="61" t="str">
        <f aca="false">INDEX(Parametros!$C$48:$C$67,MATCH(TRIM(INDEX(Datos_Origen!$F$2:$F$2459,$Z913)),Parametros!$B$48:$B$67,0))</f>
        <v>Accesorios</v>
      </c>
      <c r="L913" s="61" t="str">
        <f aca="false">$K913&amp;" "&amp;$C913</f>
        <v>Accesorios 2024</v>
      </c>
      <c r="M913" s="61" t="str">
        <f aca="false">TRIM(INDEX(Datos_Origen!$G$2:$G$2459,$Z913))</f>
        <v>Webcam Full HD</v>
      </c>
      <c r="N913" s="61" t="str">
        <f aca="false">$M913&amp;" "&amp;$C913</f>
        <v>Webcam Full HD 2024</v>
      </c>
      <c r="O913" s="63" t="n">
        <f aca="false">IF(ISTEXT($AC913),VALUE($AC913),$AC913)</f>
        <v>38</v>
      </c>
      <c r="P913" s="64" t="n">
        <f aca="false">INDEX(Datos_Origen!$I$2:$I$2459,$Z913)</f>
        <v>63.7</v>
      </c>
      <c r="Q913" s="64" t="n">
        <f aca="false">INDEX(Datos_Origen!$J$2:$J$2459,$Z913)</f>
        <v>35.43</v>
      </c>
      <c r="R913" s="65" t="n">
        <f aca="false">ROUND($O913*$P913,2)</f>
        <v>2420.6</v>
      </c>
      <c r="S913" s="65" t="n">
        <f aca="false">ROUND($O913*$Q913,2)</f>
        <v>1346.34</v>
      </c>
      <c r="T913" s="65" t="n">
        <f aca="false">ROUND($R913*SUMIFS(Parametros!$E$28:$E$43,Parametros!$B$28:$B$43,$J913,Parametros!$C$28:$C$43,$C913,Parametros!$D$28:$D$43,$D913),2)</f>
        <v>116.19</v>
      </c>
      <c r="U913" s="65" t="n">
        <f aca="false">$R913-$S913-$T913</f>
        <v>958.07</v>
      </c>
      <c r="V913" s="66" t="n">
        <f aca="false">IFERROR($U913/$R913,0)</f>
        <v>0.395798562339916</v>
      </c>
      <c r="W913" s="67" t="str">
        <f aca="false">IF(AND($V913&gt;=Parametros!$C$8,$R913&gt;=Parametros!$C$12),"Alta rentabilidad",IF(OR($V913&lt;Parametros!$C$11,$R913&lt;Parametros!$C$13),"Revisar","Estandar"))</f>
        <v>Estandar</v>
      </c>
      <c r="X913" s="67" t="str">
        <f aca="false">IF(AND($J913="E-commerce",IFERROR($T913/$R913,0)&gt;Parametros!$C$14),"Alerta","OK")</f>
        <v>OK</v>
      </c>
      <c r="Y913" s="61" t="str">
        <f aca="false">IF($R913&gt;=Parametros!$C$12,"Alto",IF($R913&lt;Parametros!$C$13,"Bajo","Medio"))</f>
        <v>Medio</v>
      </c>
      <c r="Z913" s="61" t="n">
        <v>742</v>
      </c>
      <c r="AA913" s="61" t="str">
        <f aca="false">IF(MATCH($A913,Datos_Origen!$A$2:$A$2459,0)=$Z913,"OK","REVISAR")</f>
        <v>OK</v>
      </c>
      <c r="AB913" s="62" t="n">
        <f aca="false">INDEX(Datos_Origen!$B$2:$B$2459,$Z913)</f>
        <v>45578</v>
      </c>
      <c r="AC913" s="61" t="str">
        <f aca="false">INDEX(Datos_Origen!$H$2:$H$2459,$Z913)</f>
        <v>38</v>
      </c>
      <c r="AD913" s="61" t="str">
        <f aca="false">INDEX(Datos_Origen!$D$2:$D$2459,$Z913)&amp;""</f>
        <v>Buenos Aires</v>
      </c>
    </row>
    <row r="914" customFormat="false" ht="15" hidden="false" customHeight="false" outlineLevel="0" collapsed="false">
      <c r="A914" s="61" t="n">
        <f aca="false">INDEX(Datos_Origen!$A$2:$A$2459,$Z914)</f>
        <v>913</v>
      </c>
      <c r="B914" s="62" t="n">
        <f aca="false">IF(ISNUMBER($AB914),$AB914,IF(MID($AB914,5,1)="-",DATE(VALUE(LEFT($AB914,4)),VALUE(MID($AB914,6,2)),VALUE(RIGHT($AB914,2))),DATE(VALUE(RIGHT($AB914,4)),VALUE(MID($AB914,4,2)),VALUE(LEFT($AB914,2)))))</f>
        <v>45585</v>
      </c>
      <c r="C914" s="61" t="n">
        <f aca="false">YEAR($B914)</f>
        <v>2024</v>
      </c>
      <c r="D914" s="61" t="str">
        <f aca="false">"Q"&amp;ROUNDUP(MONTH($B914)/3,0)</f>
        <v>Q4</v>
      </c>
      <c r="E914" s="61" t="n">
        <f aca="false">MONTH($B914)</f>
        <v>10</v>
      </c>
      <c r="F914" s="61" t="str">
        <f aca="false">INDEX(Parametros!$I$5:$I$16,$E914)</f>
        <v>Oct</v>
      </c>
      <c r="G914" s="61" t="str">
        <f aca="false">TEXT($C914,"0000")&amp;"-"&amp;TEXT($E914,"00")</f>
        <v>2024-10</v>
      </c>
      <c r="H914" s="61" t="str">
        <f aca="false">INDEX(Parametros!$C$71:$C$91,MATCH(TRIM(INDEX(Datos_Origen!$C$2:$C$2459,$Z914)),Parametros!$B$71:$B$91,0))</f>
        <v>AMBA</v>
      </c>
      <c r="I914" s="61" t="str">
        <f aca="false">IF(TRIM($AD914)="",INDEX(Parametros!$I$20:$I$24,MATCH($H914,Parametros!$H$20:$H$24,0)),TRIM($AD914))</f>
        <v>Buenos Aires</v>
      </c>
      <c r="J914" s="61" t="str">
        <f aca="false">INDEX(Parametros!$C$95:$C$106,MATCH(TRIM(INDEX(Datos_Origen!$E$2:$E$2459,$Z914)),Parametros!$B$95:$B$106,0))</f>
        <v>Tienda fisica</v>
      </c>
      <c r="K914" s="61" t="str">
        <f aca="false">INDEX(Parametros!$C$48:$C$67,MATCH(TRIM(INDEX(Datos_Origen!$F$2:$F$2459,$Z914)),Parametros!$B$48:$B$67,0))</f>
        <v>Audio</v>
      </c>
      <c r="L914" s="61" t="str">
        <f aca="false">$K914&amp;" "&amp;$C914</f>
        <v>Audio 2024</v>
      </c>
      <c r="M914" s="61" t="str">
        <f aca="false">TRIM(INDEX(Datos_Origen!$G$2:$G$2459,$Z914))</f>
        <v>Auriculares BT Pro</v>
      </c>
      <c r="N914" s="61" t="str">
        <f aca="false">$M914&amp;" "&amp;$C914</f>
        <v>Auriculares BT Pro 2024</v>
      </c>
      <c r="O914" s="63" t="n">
        <f aca="false">IF(ISTEXT($AC914),VALUE($AC914),$AC914)</f>
        <v>43</v>
      </c>
      <c r="P914" s="64" t="n">
        <f aca="false">INDEX(Datos_Origen!$I$2:$I$2459,$Z914)</f>
        <v>117.6</v>
      </c>
      <c r="Q914" s="64" t="n">
        <f aca="false">INDEX(Datos_Origen!$J$2:$J$2459,$Z914)</f>
        <v>63.6</v>
      </c>
      <c r="R914" s="65" t="n">
        <f aca="false">ROUND($O914*$P914,2)</f>
        <v>5056.8</v>
      </c>
      <c r="S914" s="65" t="n">
        <f aca="false">ROUND($O914*$Q914,2)</f>
        <v>2734.8</v>
      </c>
      <c r="T914" s="65" t="n">
        <f aca="false">ROUND($R914*SUMIFS(Parametros!$E$28:$E$43,Parametros!$B$28:$B$43,$J914,Parametros!$C$28:$C$43,$C914,Parametros!$D$28:$D$43,$D914),2)</f>
        <v>65.74</v>
      </c>
      <c r="U914" s="65" t="n">
        <f aca="false">$R914-$S914-$T914</f>
        <v>2256.26</v>
      </c>
      <c r="V914" s="66" t="n">
        <f aca="false">IFERROR($U914/$R914,0)</f>
        <v>0.446183357063756</v>
      </c>
      <c r="W914" s="67" t="str">
        <f aca="false">IF(AND($V914&gt;=Parametros!$C$8,$R914&gt;=Parametros!$C$12),"Alta rentabilidad",IF(OR($V914&lt;Parametros!$C$11,$R914&lt;Parametros!$C$13),"Revisar","Estandar"))</f>
        <v>Alta rentabilidad</v>
      </c>
      <c r="X914" s="67" t="str">
        <f aca="false">IF(AND($J914="E-commerce",IFERROR($T914/$R914,0)&gt;Parametros!$C$14),"Alerta","OK")</f>
        <v>OK</v>
      </c>
      <c r="Y914" s="61" t="str">
        <f aca="false">IF($R914&gt;=Parametros!$C$12,"Alto",IF($R914&lt;Parametros!$C$13,"Bajo","Medio"))</f>
        <v>Alto</v>
      </c>
      <c r="Z914" s="61" t="n">
        <v>563</v>
      </c>
      <c r="AA914" s="61" t="str">
        <f aca="false">IF(MATCH($A914,Datos_Origen!$A$2:$A$2459,0)=$Z914,"OK","REVISAR")</f>
        <v>OK</v>
      </c>
      <c r="AB914" s="62" t="n">
        <f aca="false">INDEX(Datos_Origen!$B$2:$B$2459,$Z914)</f>
        <v>45585</v>
      </c>
      <c r="AC914" s="61" t="n">
        <f aca="false">INDEX(Datos_Origen!$H$2:$H$2459,$Z914)</f>
        <v>43</v>
      </c>
      <c r="AD914" s="61" t="str">
        <f aca="false">INDEX(Datos_Origen!$D$2:$D$2459,$Z914)&amp;""</f>
        <v>Buenos Aires</v>
      </c>
    </row>
    <row r="915" customFormat="false" ht="15" hidden="false" customHeight="false" outlineLevel="0" collapsed="false">
      <c r="A915" s="61" t="n">
        <f aca="false">INDEX(Datos_Origen!$A$2:$A$2459,$Z915)</f>
        <v>914</v>
      </c>
      <c r="B915" s="62" t="n">
        <f aca="false">IF(ISNUMBER($AB915),$AB915,IF(MID($AB915,5,1)="-",DATE(VALUE(LEFT($AB915,4)),VALUE(MID($AB915,6,2)),VALUE(RIGHT($AB915,2))),DATE(VALUE(RIGHT($AB915,4)),VALUE(MID($AB915,4,2)),VALUE(LEFT($AB915,2)))))</f>
        <v>45592</v>
      </c>
      <c r="C915" s="61" t="n">
        <f aca="false">YEAR($B915)</f>
        <v>2024</v>
      </c>
      <c r="D915" s="61" t="str">
        <f aca="false">"Q"&amp;ROUNDUP(MONTH($B915)/3,0)</f>
        <v>Q4</v>
      </c>
      <c r="E915" s="61" t="n">
        <f aca="false">MONTH($B915)</f>
        <v>10</v>
      </c>
      <c r="F915" s="61" t="str">
        <f aca="false">INDEX(Parametros!$I$5:$I$16,$E915)</f>
        <v>Oct</v>
      </c>
      <c r="G915" s="61" t="str">
        <f aca="false">TEXT($C915,"0000")&amp;"-"&amp;TEXT($E915,"00")</f>
        <v>2024-10</v>
      </c>
      <c r="H915" s="61" t="str">
        <f aca="false">INDEX(Parametros!$C$71:$C$91,MATCH(TRIM(INDEX(Datos_Origen!$C$2:$C$2459,$Z915)),Parametros!$B$71:$B$91,0))</f>
        <v>AMBA</v>
      </c>
      <c r="I915" s="61" t="str">
        <f aca="false">IF(TRIM($AD915)="",INDEX(Parametros!$I$20:$I$24,MATCH($H915,Parametros!$H$20:$H$24,0)),TRIM($AD915))</f>
        <v>Buenos Aires</v>
      </c>
      <c r="J915" s="61" t="str">
        <f aca="false">INDEX(Parametros!$C$95:$C$106,MATCH(TRIM(INDEX(Datos_Origen!$E$2:$E$2459,$Z915)),Parametros!$B$95:$B$106,0))</f>
        <v>E-commerce</v>
      </c>
      <c r="K915" s="61" t="str">
        <f aca="false">INDEX(Parametros!$C$48:$C$67,MATCH(TRIM(INDEX(Datos_Origen!$F$2:$F$2459,$Z915)),Parametros!$B$48:$B$67,0))</f>
        <v>Audio</v>
      </c>
      <c r="L915" s="61" t="str">
        <f aca="false">$K915&amp;" "&amp;$C915</f>
        <v>Audio 2024</v>
      </c>
      <c r="M915" s="61" t="str">
        <f aca="false">TRIM(INDEX(Datos_Origen!$G$2:$G$2459,$Z915))</f>
        <v>Auriculares BT Pro</v>
      </c>
      <c r="N915" s="61" t="str">
        <f aca="false">$M915&amp;" "&amp;$C915</f>
        <v>Auriculares BT Pro 2024</v>
      </c>
      <c r="O915" s="63" t="n">
        <f aca="false">IF(ISTEXT($AC915),VALUE($AC915),$AC915)</f>
        <v>17</v>
      </c>
      <c r="P915" s="64" t="n">
        <f aca="false">INDEX(Datos_Origen!$I$2:$I$2459,$Z915)</f>
        <v>117.6</v>
      </c>
      <c r="Q915" s="64" t="n">
        <f aca="false">INDEX(Datos_Origen!$J$2:$J$2459,$Z915)</f>
        <v>63.6</v>
      </c>
      <c r="R915" s="65" t="n">
        <f aca="false">ROUND($O915*$P915,2)</f>
        <v>1999.2</v>
      </c>
      <c r="S915" s="65" t="n">
        <f aca="false">ROUND($O915*$Q915,2)</f>
        <v>1081.2</v>
      </c>
      <c r="T915" s="65" t="n">
        <f aca="false">ROUND($R915*SUMIFS(Parametros!$E$28:$E$43,Parametros!$B$28:$B$43,$J915,Parametros!$C$28:$C$43,$C915,Parametros!$D$28:$D$43,$D915),2)</f>
        <v>95.96</v>
      </c>
      <c r="U915" s="65" t="n">
        <f aca="false">$R915-$S915-$T915</f>
        <v>822.04</v>
      </c>
      <c r="V915" s="66" t="n">
        <f aca="false">IFERROR($U915/$R915,0)</f>
        <v>0.411184473789516</v>
      </c>
      <c r="W915" s="67" t="str">
        <f aca="false">IF(AND($V915&gt;=Parametros!$C$8,$R915&gt;=Parametros!$C$12),"Alta rentabilidad",IF(OR($V915&lt;Parametros!$C$11,$R915&lt;Parametros!$C$13),"Revisar","Estandar"))</f>
        <v>Estandar</v>
      </c>
      <c r="X915" s="67" t="str">
        <f aca="false">IF(AND($J915="E-commerce",IFERROR($T915/$R915,0)&gt;Parametros!$C$14),"Alerta","OK")</f>
        <v>OK</v>
      </c>
      <c r="Y915" s="61" t="str">
        <f aca="false">IF($R915&gt;=Parametros!$C$12,"Alto",IF($R915&lt;Parametros!$C$13,"Bajo","Medio"))</f>
        <v>Medio</v>
      </c>
      <c r="Z915" s="61" t="n">
        <v>1304</v>
      </c>
      <c r="AA915" s="61" t="str">
        <f aca="false">IF(MATCH($A915,Datos_Origen!$A$2:$A$2459,0)=$Z915,"OK","REVISAR")</f>
        <v>OK</v>
      </c>
      <c r="AB915" s="61" t="str">
        <f aca="false">INDEX(Datos_Origen!$B$2:$B$2459,$Z915)</f>
        <v>27/10/2024</v>
      </c>
      <c r="AC915" s="61" t="n">
        <f aca="false">INDEX(Datos_Origen!$H$2:$H$2459,$Z915)</f>
        <v>17</v>
      </c>
      <c r="AD915" s="61" t="str">
        <f aca="false">INDEX(Datos_Origen!$D$2:$D$2459,$Z915)&amp;""</f>
        <v>Buenos Aires</v>
      </c>
    </row>
    <row r="916" customFormat="false" ht="15" hidden="false" customHeight="false" outlineLevel="0" collapsed="false">
      <c r="A916" s="61" t="n">
        <f aca="false">INDEX(Datos_Origen!$A$2:$A$2459,$Z916)</f>
        <v>915</v>
      </c>
      <c r="B916" s="62" t="n">
        <f aca="false">IF(ISNUMBER($AB916),$AB916,IF(MID($AB916,5,1)="-",DATE(VALUE(LEFT($AB916,4)),VALUE(MID($AB916,6,2)),VALUE(RIGHT($AB916,2))),DATE(VALUE(RIGHT($AB916,4)),VALUE(MID($AB916,4,2)),VALUE(LEFT($AB916,2)))))</f>
        <v>45572</v>
      </c>
      <c r="C916" s="61" t="n">
        <f aca="false">YEAR($B916)</f>
        <v>2024</v>
      </c>
      <c r="D916" s="61" t="str">
        <f aca="false">"Q"&amp;ROUNDUP(MONTH($B916)/3,0)</f>
        <v>Q4</v>
      </c>
      <c r="E916" s="61" t="n">
        <f aca="false">MONTH($B916)</f>
        <v>10</v>
      </c>
      <c r="F916" s="61" t="str">
        <f aca="false">INDEX(Parametros!$I$5:$I$16,$E916)</f>
        <v>Oct</v>
      </c>
      <c r="G916" s="61" t="str">
        <f aca="false">TEXT($C916,"0000")&amp;"-"&amp;TEXT($E916,"00")</f>
        <v>2024-10</v>
      </c>
      <c r="H916" s="61" t="str">
        <f aca="false">INDEX(Parametros!$C$71:$C$91,MATCH(TRIM(INDEX(Datos_Origen!$C$2:$C$2459,$Z916)),Parametros!$B$71:$B$91,0))</f>
        <v>AMBA</v>
      </c>
      <c r="I916" s="61" t="str">
        <f aca="false">IF(TRIM($AD916)="",INDEX(Parametros!$I$20:$I$24,MATCH($H916,Parametros!$H$20:$H$24,0)),TRIM($AD916))</f>
        <v>Buenos Aires</v>
      </c>
      <c r="J916" s="61" t="str">
        <f aca="false">INDEX(Parametros!$C$95:$C$106,MATCH(TRIM(INDEX(Datos_Origen!$E$2:$E$2459,$Z916)),Parametros!$B$95:$B$106,0))</f>
        <v>Tienda fisica</v>
      </c>
      <c r="K916" s="61" t="str">
        <f aca="false">INDEX(Parametros!$C$48:$C$67,MATCH(TRIM(INDEX(Datos_Origen!$F$2:$F$2459,$Z916)),Parametros!$B$48:$B$67,0))</f>
        <v>Audio</v>
      </c>
      <c r="L916" s="61" t="str">
        <f aca="false">$K916&amp;" "&amp;$C916</f>
        <v>Audio 2024</v>
      </c>
      <c r="M916" s="61" t="str">
        <f aca="false">TRIM(INDEX(Datos_Origen!$G$2:$G$2459,$Z916))</f>
        <v>Parlante Bluetooth</v>
      </c>
      <c r="N916" s="61" t="str">
        <f aca="false">$M916&amp;" "&amp;$C916</f>
        <v>Parlante Bluetooth 2024</v>
      </c>
      <c r="O916" s="63" t="n">
        <f aca="false">IF(ISTEXT($AC916),VALUE($AC916),$AC916)</f>
        <v>43</v>
      </c>
      <c r="P916" s="64" t="n">
        <f aca="false">INDEX(Datos_Origen!$I$2:$I$2459,$Z916)</f>
        <v>83.3</v>
      </c>
      <c r="Q916" s="64" t="n">
        <f aca="false">INDEX(Datos_Origen!$J$2:$J$2459,$Z916)</f>
        <v>48.03</v>
      </c>
      <c r="R916" s="65" t="n">
        <f aca="false">ROUND($O916*$P916,2)</f>
        <v>3581.9</v>
      </c>
      <c r="S916" s="65" t="n">
        <f aca="false">ROUND($O916*$Q916,2)</f>
        <v>2065.29</v>
      </c>
      <c r="T916" s="65" t="n">
        <f aca="false">ROUND($R916*SUMIFS(Parametros!$E$28:$E$43,Parametros!$B$28:$B$43,$J916,Parametros!$C$28:$C$43,$C916,Parametros!$D$28:$D$43,$D916),2)</f>
        <v>46.56</v>
      </c>
      <c r="U916" s="65" t="n">
        <f aca="false">$R916-$S916-$T916</f>
        <v>1470.05</v>
      </c>
      <c r="V916" s="66" t="n">
        <f aca="false">IFERROR($U916/$R916,0)</f>
        <v>0.410410675898266</v>
      </c>
      <c r="W916" s="67" t="str">
        <f aca="false">IF(AND($V916&gt;=Parametros!$C$8,$R916&gt;=Parametros!$C$12),"Alta rentabilidad",IF(OR($V916&lt;Parametros!$C$11,$R916&lt;Parametros!$C$13),"Revisar","Estandar"))</f>
        <v>Alta rentabilidad</v>
      </c>
      <c r="X916" s="67" t="str">
        <f aca="false">IF(AND($J916="E-commerce",IFERROR($T916/$R916,0)&gt;Parametros!$C$14),"Alerta","OK")</f>
        <v>OK</v>
      </c>
      <c r="Y916" s="61" t="str">
        <f aca="false">IF($R916&gt;=Parametros!$C$12,"Alto",IF($R916&lt;Parametros!$C$13,"Bajo","Medio"))</f>
        <v>Alto</v>
      </c>
      <c r="Z916" s="61" t="n">
        <v>1996</v>
      </c>
      <c r="AA916" s="61" t="str">
        <f aca="false">IF(MATCH($A916,Datos_Origen!$A$2:$A$2459,0)=$Z916,"OK","REVISAR")</f>
        <v>OK</v>
      </c>
      <c r="AB916" s="62" t="n">
        <f aca="false">INDEX(Datos_Origen!$B$2:$B$2459,$Z916)</f>
        <v>45572</v>
      </c>
      <c r="AC916" s="61" t="n">
        <f aca="false">INDEX(Datos_Origen!$H$2:$H$2459,$Z916)</f>
        <v>43</v>
      </c>
      <c r="AD916" s="61" t="str">
        <f aca="false">INDEX(Datos_Origen!$D$2:$D$2459,$Z916)&amp;""</f>
        <v>Buenos Aires</v>
      </c>
    </row>
    <row r="917" customFormat="false" ht="15" hidden="false" customHeight="false" outlineLevel="0" collapsed="false">
      <c r="A917" s="61" t="n">
        <f aca="false">INDEX(Datos_Origen!$A$2:$A$2459,$Z917)</f>
        <v>916</v>
      </c>
      <c r="B917" s="62" t="n">
        <f aca="false">IF(ISNUMBER($AB917),$AB917,IF(MID($AB917,5,1)="-",DATE(VALUE(LEFT($AB917,4)),VALUE(MID($AB917,6,2)),VALUE(RIGHT($AB917,2))),DATE(VALUE(RIGHT($AB917,4)),VALUE(MID($AB917,4,2)),VALUE(LEFT($AB917,2)))))</f>
        <v>45579</v>
      </c>
      <c r="C917" s="61" t="n">
        <f aca="false">YEAR($B917)</f>
        <v>2024</v>
      </c>
      <c r="D917" s="61" t="str">
        <f aca="false">"Q"&amp;ROUNDUP(MONTH($B917)/3,0)</f>
        <v>Q4</v>
      </c>
      <c r="E917" s="61" t="n">
        <f aca="false">MONTH($B917)</f>
        <v>10</v>
      </c>
      <c r="F917" s="61" t="str">
        <f aca="false">INDEX(Parametros!$I$5:$I$16,$E917)</f>
        <v>Oct</v>
      </c>
      <c r="G917" s="61" t="str">
        <f aca="false">TEXT($C917,"0000")&amp;"-"&amp;TEXT($E917,"00")</f>
        <v>2024-10</v>
      </c>
      <c r="H917" s="61" t="str">
        <f aca="false">INDEX(Parametros!$C$71:$C$91,MATCH(TRIM(INDEX(Datos_Origen!$C$2:$C$2459,$Z917)),Parametros!$B$71:$B$91,0))</f>
        <v>AMBA</v>
      </c>
      <c r="I917" s="61" t="str">
        <f aca="false">IF(TRIM($AD917)="",INDEX(Parametros!$I$20:$I$24,MATCH($H917,Parametros!$H$20:$H$24,0)),TRIM($AD917))</f>
        <v>Buenos Aires</v>
      </c>
      <c r="J917" s="61" t="str">
        <f aca="false">INDEX(Parametros!$C$95:$C$106,MATCH(TRIM(INDEX(Datos_Origen!$E$2:$E$2459,$Z917)),Parametros!$B$95:$B$106,0))</f>
        <v>E-commerce</v>
      </c>
      <c r="K917" s="61" t="str">
        <f aca="false">INDEX(Parametros!$C$48:$C$67,MATCH(TRIM(INDEX(Datos_Origen!$F$2:$F$2459,$Z917)),Parametros!$B$48:$B$67,0))</f>
        <v>Audio</v>
      </c>
      <c r="L917" s="61" t="str">
        <f aca="false">$K917&amp;" "&amp;$C917</f>
        <v>Audio 2024</v>
      </c>
      <c r="M917" s="61" t="str">
        <f aca="false">TRIM(INDEX(Datos_Origen!$G$2:$G$2459,$Z917))</f>
        <v>Parlante Bluetooth</v>
      </c>
      <c r="N917" s="61" t="str">
        <f aca="false">$M917&amp;" "&amp;$C917</f>
        <v>Parlante Bluetooth 2024</v>
      </c>
      <c r="O917" s="63" t="n">
        <f aca="false">IF(ISTEXT($AC917),VALUE($AC917),$AC917)</f>
        <v>17</v>
      </c>
      <c r="P917" s="64" t="n">
        <f aca="false">INDEX(Datos_Origen!$I$2:$I$2459,$Z917)</f>
        <v>83.3</v>
      </c>
      <c r="Q917" s="64" t="n">
        <f aca="false">INDEX(Datos_Origen!$J$2:$J$2459,$Z917)</f>
        <v>48.03</v>
      </c>
      <c r="R917" s="65" t="n">
        <f aca="false">ROUND($O917*$P917,2)</f>
        <v>1416.1</v>
      </c>
      <c r="S917" s="65" t="n">
        <f aca="false">ROUND($O917*$Q917,2)</f>
        <v>816.51</v>
      </c>
      <c r="T917" s="65" t="n">
        <f aca="false">ROUND($R917*SUMIFS(Parametros!$E$28:$E$43,Parametros!$B$28:$B$43,$J917,Parametros!$C$28:$C$43,$C917,Parametros!$D$28:$D$43,$D917),2)</f>
        <v>67.97</v>
      </c>
      <c r="U917" s="65" t="n">
        <f aca="false">$R917-$S917-$T917</f>
        <v>531.62</v>
      </c>
      <c r="V917" s="66" t="n">
        <f aca="false">IFERROR($U917/$R917,0)</f>
        <v>0.375411341006991</v>
      </c>
      <c r="W917" s="67" t="str">
        <f aca="false">IF(AND($V917&gt;=Parametros!$C$8,$R917&gt;=Parametros!$C$12),"Alta rentabilidad",IF(OR($V917&lt;Parametros!$C$11,$R917&lt;Parametros!$C$13),"Revisar","Estandar"))</f>
        <v>Estandar</v>
      </c>
      <c r="X917" s="67" t="str">
        <f aca="false">IF(AND($J917="E-commerce",IFERROR($T917/$R917,0)&gt;Parametros!$C$14),"Alerta","OK")</f>
        <v>OK</v>
      </c>
      <c r="Y917" s="61" t="str">
        <f aca="false">IF($R917&gt;=Parametros!$C$12,"Alto",IF($R917&lt;Parametros!$C$13,"Bajo","Medio"))</f>
        <v>Medio</v>
      </c>
      <c r="Z917" s="61" t="n">
        <v>910</v>
      </c>
      <c r="AA917" s="61" t="str">
        <f aca="false">IF(MATCH($A917,Datos_Origen!$A$2:$A$2459,0)=$Z917,"OK","REVISAR")</f>
        <v>OK</v>
      </c>
      <c r="AB917" s="62" t="n">
        <f aca="false">INDEX(Datos_Origen!$B$2:$B$2459,$Z917)</f>
        <v>45579</v>
      </c>
      <c r="AC917" s="61" t="n">
        <f aca="false">INDEX(Datos_Origen!$H$2:$H$2459,$Z917)</f>
        <v>17</v>
      </c>
      <c r="AD917" s="61" t="str">
        <f aca="false">INDEX(Datos_Origen!$D$2:$D$2459,$Z917)&amp;""</f>
        <v/>
      </c>
    </row>
    <row r="918" customFormat="false" ht="15" hidden="false" customHeight="false" outlineLevel="0" collapsed="false">
      <c r="A918" s="61" t="n">
        <f aca="false">INDEX(Datos_Origen!$A$2:$A$2459,$Z918)</f>
        <v>917</v>
      </c>
      <c r="B918" s="62" t="n">
        <f aca="false">IF(ISNUMBER($AB918),$AB918,IF(MID($AB918,5,1)="-",DATE(VALUE(LEFT($AB918,4)),VALUE(MID($AB918,6,2)),VALUE(RIGHT($AB918,2))),DATE(VALUE(RIGHT($AB918,4)),VALUE(MID($AB918,4,2)),VALUE(LEFT($AB918,2)))))</f>
        <v>45586</v>
      </c>
      <c r="C918" s="61" t="n">
        <f aca="false">YEAR($B918)</f>
        <v>2024</v>
      </c>
      <c r="D918" s="61" t="str">
        <f aca="false">"Q"&amp;ROUNDUP(MONTH($B918)/3,0)</f>
        <v>Q4</v>
      </c>
      <c r="E918" s="61" t="n">
        <f aca="false">MONTH($B918)</f>
        <v>10</v>
      </c>
      <c r="F918" s="61" t="str">
        <f aca="false">INDEX(Parametros!$I$5:$I$16,$E918)</f>
        <v>Oct</v>
      </c>
      <c r="G918" s="61" t="str">
        <f aca="false">TEXT($C918,"0000")&amp;"-"&amp;TEXT($E918,"00")</f>
        <v>2024-10</v>
      </c>
      <c r="H918" s="61" t="str">
        <f aca="false">INDEX(Parametros!$C$71:$C$91,MATCH(TRIM(INDEX(Datos_Origen!$C$2:$C$2459,$Z918)),Parametros!$B$71:$B$91,0))</f>
        <v>AMBA</v>
      </c>
      <c r="I918" s="61" t="str">
        <f aca="false">IF(TRIM($AD918)="",INDEX(Parametros!$I$20:$I$24,MATCH($H918,Parametros!$H$20:$H$24,0)),TRIM($AD918))</f>
        <v>Buenos Aires</v>
      </c>
      <c r="J918" s="61" t="str">
        <f aca="false">INDEX(Parametros!$C$95:$C$106,MATCH(TRIM(INDEX(Datos_Origen!$E$2:$E$2459,$Z918)),Parametros!$B$95:$B$106,0))</f>
        <v>Tienda fisica</v>
      </c>
      <c r="K918" s="61" t="str">
        <f aca="false">INDEX(Parametros!$C$48:$C$67,MATCH(TRIM(INDEX(Datos_Origen!$F$2:$F$2459,$Z918)),Parametros!$B$48:$B$67,0))</f>
        <v>Almacenamiento</v>
      </c>
      <c r="L918" s="61" t="str">
        <f aca="false">$K918&amp;" "&amp;$C918</f>
        <v>Almacenamiento 2024</v>
      </c>
      <c r="M918" s="61" t="str">
        <f aca="false">TRIM(INDEX(Datos_Origen!$G$2:$G$2459,$Z918))</f>
        <v>SSD Externo 1TB</v>
      </c>
      <c r="N918" s="61" t="str">
        <f aca="false">$M918&amp;" "&amp;$C918</f>
        <v>SSD Externo 1TB 2024</v>
      </c>
      <c r="O918" s="63" t="n">
        <f aca="false">IF(ISTEXT($AC918),VALUE($AC918),$AC918)</f>
        <v>67</v>
      </c>
      <c r="P918" s="64" t="n">
        <f aca="false">INDEX(Datos_Origen!$I$2:$I$2459,$Z918)</f>
        <v>127.4</v>
      </c>
      <c r="Q918" s="64" t="n">
        <f aca="false">INDEX(Datos_Origen!$J$2:$J$2459,$Z918)</f>
        <v>76.05</v>
      </c>
      <c r="R918" s="65" t="n">
        <f aca="false">ROUND($O918*$P918,2)</f>
        <v>8535.8</v>
      </c>
      <c r="S918" s="65" t="n">
        <f aca="false">ROUND($O918*$Q918,2)</f>
        <v>5095.35</v>
      </c>
      <c r="T918" s="65" t="n">
        <f aca="false">ROUND($R918*SUMIFS(Parametros!$E$28:$E$43,Parametros!$B$28:$B$43,$J918,Parametros!$C$28:$C$43,$C918,Parametros!$D$28:$D$43,$D918),2)</f>
        <v>110.97</v>
      </c>
      <c r="U918" s="65" t="n">
        <f aca="false">$R918-$S918-$T918</f>
        <v>3329.48</v>
      </c>
      <c r="V918" s="66" t="n">
        <f aca="false">IFERROR($U918/$R918,0)</f>
        <v>0.390060685583074</v>
      </c>
      <c r="W918" s="67" t="str">
        <f aca="false">IF(AND($V918&gt;=Parametros!$C$8,$R918&gt;=Parametros!$C$12),"Alta rentabilidad",IF(OR($V918&lt;Parametros!$C$11,$R918&lt;Parametros!$C$13),"Revisar","Estandar"))</f>
        <v>Alta rentabilidad</v>
      </c>
      <c r="X918" s="67" t="str">
        <f aca="false">IF(AND($J918="E-commerce",IFERROR($T918/$R918,0)&gt;Parametros!$C$14),"Alerta","OK")</f>
        <v>OK</v>
      </c>
      <c r="Y918" s="61" t="str">
        <f aca="false">IF($R918&gt;=Parametros!$C$12,"Alto",IF($R918&lt;Parametros!$C$13,"Bajo","Medio"))</f>
        <v>Alto</v>
      </c>
      <c r="Z918" s="61" t="n">
        <v>1525</v>
      </c>
      <c r="AA918" s="61" t="str">
        <f aca="false">IF(MATCH($A918,Datos_Origen!$A$2:$A$2459,0)=$Z918,"OK","REVISAR")</f>
        <v>OK</v>
      </c>
      <c r="AB918" s="61" t="str">
        <f aca="false">INDEX(Datos_Origen!$B$2:$B$2459,$Z918)</f>
        <v>21/10/2024</v>
      </c>
      <c r="AC918" s="61" t="n">
        <f aca="false">INDEX(Datos_Origen!$H$2:$H$2459,$Z918)</f>
        <v>67</v>
      </c>
      <c r="AD918" s="61" t="str">
        <f aca="false">INDEX(Datos_Origen!$D$2:$D$2459,$Z918)&amp;""</f>
        <v>Buenos Aires</v>
      </c>
    </row>
    <row r="919" customFormat="false" ht="15" hidden="false" customHeight="false" outlineLevel="0" collapsed="false">
      <c r="A919" s="61" t="n">
        <f aca="false">INDEX(Datos_Origen!$A$2:$A$2459,$Z919)</f>
        <v>918</v>
      </c>
      <c r="B919" s="62" t="n">
        <f aca="false">IF(ISNUMBER($AB919),$AB919,IF(MID($AB919,5,1)="-",DATE(VALUE(LEFT($AB919,4)),VALUE(MID($AB919,6,2)),VALUE(RIGHT($AB919,2))),DATE(VALUE(RIGHT($AB919,4)),VALUE(MID($AB919,4,2)),VALUE(LEFT($AB919,2)))))</f>
        <v>45566</v>
      </c>
      <c r="C919" s="61" t="n">
        <f aca="false">YEAR($B919)</f>
        <v>2024</v>
      </c>
      <c r="D919" s="61" t="str">
        <f aca="false">"Q"&amp;ROUNDUP(MONTH($B919)/3,0)</f>
        <v>Q4</v>
      </c>
      <c r="E919" s="61" t="n">
        <f aca="false">MONTH($B919)</f>
        <v>10</v>
      </c>
      <c r="F919" s="61" t="str">
        <f aca="false">INDEX(Parametros!$I$5:$I$16,$E919)</f>
        <v>Oct</v>
      </c>
      <c r="G919" s="61" t="str">
        <f aca="false">TEXT($C919,"0000")&amp;"-"&amp;TEXT($E919,"00")</f>
        <v>2024-10</v>
      </c>
      <c r="H919" s="61" t="str">
        <f aca="false">INDEX(Parametros!$C$71:$C$91,MATCH(TRIM(INDEX(Datos_Origen!$C$2:$C$2459,$Z919)),Parametros!$B$71:$B$91,0))</f>
        <v>AMBA</v>
      </c>
      <c r="I919" s="61" t="str">
        <f aca="false">IF(TRIM($AD919)="",INDEX(Parametros!$I$20:$I$24,MATCH($H919,Parametros!$H$20:$H$24,0)),TRIM($AD919))</f>
        <v>Buenos Aires</v>
      </c>
      <c r="J919" s="61" t="str">
        <f aca="false">INDEX(Parametros!$C$95:$C$106,MATCH(TRIM(INDEX(Datos_Origen!$E$2:$E$2459,$Z919)),Parametros!$B$95:$B$106,0))</f>
        <v>E-commerce</v>
      </c>
      <c r="K919" s="61" t="str">
        <f aca="false">INDEX(Parametros!$C$48:$C$67,MATCH(TRIM(INDEX(Datos_Origen!$F$2:$F$2459,$Z919)),Parametros!$B$48:$B$67,0))</f>
        <v>Almacenamiento</v>
      </c>
      <c r="L919" s="61" t="str">
        <f aca="false">$K919&amp;" "&amp;$C919</f>
        <v>Almacenamiento 2024</v>
      </c>
      <c r="M919" s="61" t="str">
        <f aca="false">TRIM(INDEX(Datos_Origen!$G$2:$G$2459,$Z919))</f>
        <v>SSD Externo 1TB</v>
      </c>
      <c r="N919" s="61" t="str">
        <f aca="false">$M919&amp;" "&amp;$C919</f>
        <v>SSD Externo 1TB 2024</v>
      </c>
      <c r="O919" s="63" t="n">
        <f aca="false">IF(ISTEXT($AC919),VALUE($AC919),$AC919)</f>
        <v>25</v>
      </c>
      <c r="P919" s="64" t="n">
        <f aca="false">INDEX(Datos_Origen!$I$2:$I$2459,$Z919)</f>
        <v>127.4</v>
      </c>
      <c r="Q919" s="64" t="n">
        <f aca="false">INDEX(Datos_Origen!$J$2:$J$2459,$Z919)</f>
        <v>76.05</v>
      </c>
      <c r="R919" s="65" t="n">
        <f aca="false">ROUND($O919*$P919,2)</f>
        <v>3185</v>
      </c>
      <c r="S919" s="65" t="n">
        <f aca="false">ROUND($O919*$Q919,2)</f>
        <v>1901.25</v>
      </c>
      <c r="T919" s="65" t="n">
        <f aca="false">ROUND($R919*SUMIFS(Parametros!$E$28:$E$43,Parametros!$B$28:$B$43,$J919,Parametros!$C$28:$C$43,$C919,Parametros!$D$28:$D$43,$D919),2)</f>
        <v>152.88</v>
      </c>
      <c r="U919" s="65" t="n">
        <f aca="false">$R919-$S919-$T919</f>
        <v>1130.87</v>
      </c>
      <c r="V919" s="66" t="n">
        <f aca="false">IFERROR($U919/$R919,0)</f>
        <v>0.355061224489796</v>
      </c>
      <c r="W919" s="67" t="str">
        <f aca="false">IF(AND($V919&gt;=Parametros!$C$8,$R919&gt;=Parametros!$C$12),"Alta rentabilidad",IF(OR($V919&lt;Parametros!$C$11,$R919&lt;Parametros!$C$13),"Revisar","Estandar"))</f>
        <v>Alta rentabilidad</v>
      </c>
      <c r="X919" s="67" t="str">
        <f aca="false">IF(AND($J919="E-commerce",IFERROR($T919/$R919,0)&gt;Parametros!$C$14),"Alerta","OK")</f>
        <v>OK</v>
      </c>
      <c r="Y919" s="61" t="str">
        <f aca="false">IF($R919&gt;=Parametros!$C$12,"Alto",IF($R919&lt;Parametros!$C$13,"Bajo","Medio"))</f>
        <v>Alto</v>
      </c>
      <c r="Z919" s="61" t="n">
        <v>568</v>
      </c>
      <c r="AA919" s="61" t="str">
        <f aca="false">IF(MATCH($A919,Datos_Origen!$A$2:$A$2459,0)=$Z919,"OK","REVISAR")</f>
        <v>OK</v>
      </c>
      <c r="AB919" s="62" t="n">
        <f aca="false">INDEX(Datos_Origen!$B$2:$B$2459,$Z919)</f>
        <v>45566</v>
      </c>
      <c r="AC919" s="61" t="n">
        <f aca="false">INDEX(Datos_Origen!$H$2:$H$2459,$Z919)</f>
        <v>25</v>
      </c>
      <c r="AD919" s="61" t="str">
        <f aca="false">INDEX(Datos_Origen!$D$2:$D$2459,$Z919)&amp;""</f>
        <v>Buenos Aires</v>
      </c>
    </row>
    <row r="920" customFormat="false" ht="15" hidden="false" customHeight="false" outlineLevel="0" collapsed="false">
      <c r="A920" s="61" t="n">
        <f aca="false">INDEX(Datos_Origen!$A$2:$A$2459,$Z920)</f>
        <v>919</v>
      </c>
      <c r="B920" s="62" t="n">
        <f aca="false">IF(ISNUMBER($AB920),$AB920,IF(MID($AB920,5,1)="-",DATE(VALUE(LEFT($AB920,4)),VALUE(MID($AB920,6,2)),VALUE(RIGHT($AB920,2))),DATE(VALUE(RIGHT($AB920,4)),VALUE(MID($AB920,4,2)),VALUE(LEFT($AB920,2)))))</f>
        <v>45573</v>
      </c>
      <c r="C920" s="61" t="n">
        <f aca="false">YEAR($B920)</f>
        <v>2024</v>
      </c>
      <c r="D920" s="61" t="str">
        <f aca="false">"Q"&amp;ROUNDUP(MONTH($B920)/3,0)</f>
        <v>Q4</v>
      </c>
      <c r="E920" s="61" t="n">
        <f aca="false">MONTH($B920)</f>
        <v>10</v>
      </c>
      <c r="F920" s="61" t="str">
        <f aca="false">INDEX(Parametros!$I$5:$I$16,$E920)</f>
        <v>Oct</v>
      </c>
      <c r="G920" s="61" t="str">
        <f aca="false">TEXT($C920,"0000")&amp;"-"&amp;TEXT($E920,"00")</f>
        <v>2024-10</v>
      </c>
      <c r="H920" s="61" t="str">
        <f aca="false">INDEX(Parametros!$C$71:$C$91,MATCH(TRIM(INDEX(Datos_Origen!$C$2:$C$2459,$Z920)),Parametros!$B$71:$B$91,0))</f>
        <v>AMBA</v>
      </c>
      <c r="I920" s="61" t="str">
        <f aca="false">IF(TRIM($AD920)="",INDEX(Parametros!$I$20:$I$24,MATCH($H920,Parametros!$H$20:$H$24,0)),TRIM($AD920))</f>
        <v>Buenos Aires</v>
      </c>
      <c r="J920" s="61" t="str">
        <f aca="false">INDEX(Parametros!$C$95:$C$106,MATCH(TRIM(INDEX(Datos_Origen!$E$2:$E$2459,$Z920)),Parametros!$B$95:$B$106,0))</f>
        <v>Tienda fisica</v>
      </c>
      <c r="K920" s="61" t="str">
        <f aca="false">INDEX(Parametros!$C$48:$C$67,MATCH(TRIM(INDEX(Datos_Origen!$F$2:$F$2459,$Z920)),Parametros!$B$48:$B$67,0))</f>
        <v>Almacenamiento</v>
      </c>
      <c r="L920" s="61" t="str">
        <f aca="false">$K920&amp;" "&amp;$C920</f>
        <v>Almacenamiento 2024</v>
      </c>
      <c r="M920" s="61" t="str">
        <f aca="false">TRIM(INDEX(Datos_Origen!$G$2:$G$2459,$Z920))</f>
        <v>Pendrive 256GB</v>
      </c>
      <c r="N920" s="61" t="str">
        <f aca="false">$M920&amp;" "&amp;$C920</f>
        <v>Pendrive 256GB 2024</v>
      </c>
      <c r="O920" s="63" t="n">
        <f aca="false">IF(ISTEXT($AC920),VALUE($AC920),$AC920)</f>
        <v>66</v>
      </c>
      <c r="P920" s="64" t="n">
        <f aca="false">INDEX(Datos_Origen!$I$2:$I$2459,$Z920)</f>
        <v>34.3</v>
      </c>
      <c r="Q920" s="64" t="n">
        <f aca="false">INDEX(Datos_Origen!$J$2:$J$2459,$Z920)</f>
        <v>17.85</v>
      </c>
      <c r="R920" s="65" t="n">
        <f aca="false">ROUND($O920*$P920,2)</f>
        <v>2263.8</v>
      </c>
      <c r="S920" s="65" t="n">
        <f aca="false">ROUND($O920*$Q920,2)</f>
        <v>1178.1</v>
      </c>
      <c r="T920" s="65" t="n">
        <f aca="false">ROUND($R920*SUMIFS(Parametros!$E$28:$E$43,Parametros!$B$28:$B$43,$J920,Parametros!$C$28:$C$43,$C920,Parametros!$D$28:$D$43,$D920),2)</f>
        <v>29.43</v>
      </c>
      <c r="U920" s="65" t="n">
        <f aca="false">$R920-$S920-$T920</f>
        <v>1056.27</v>
      </c>
      <c r="V920" s="66" t="n">
        <f aca="false">IFERROR($U920/$R920,0)</f>
        <v>0.466591571693613</v>
      </c>
      <c r="W920" s="67" t="str">
        <f aca="false">IF(AND($V920&gt;=Parametros!$C$8,$R920&gt;=Parametros!$C$12),"Alta rentabilidad",IF(OR($V920&lt;Parametros!$C$11,$R920&lt;Parametros!$C$13),"Revisar","Estandar"))</f>
        <v>Estandar</v>
      </c>
      <c r="X920" s="67" t="str">
        <f aca="false">IF(AND($J920="E-commerce",IFERROR($T920/$R920,0)&gt;Parametros!$C$14),"Alerta","OK")</f>
        <v>OK</v>
      </c>
      <c r="Y920" s="61" t="str">
        <f aca="false">IF($R920&gt;=Parametros!$C$12,"Alto",IF($R920&lt;Parametros!$C$13,"Bajo","Medio"))</f>
        <v>Medio</v>
      </c>
      <c r="Z920" s="61" t="n">
        <v>676</v>
      </c>
      <c r="AA920" s="61" t="str">
        <f aca="false">IF(MATCH($A920,Datos_Origen!$A$2:$A$2459,0)=$Z920,"OK","REVISAR")</f>
        <v>OK</v>
      </c>
      <c r="AB920" s="61" t="str">
        <f aca="false">INDEX(Datos_Origen!$B$2:$B$2459,$Z920)</f>
        <v>08/10/2024</v>
      </c>
      <c r="AC920" s="61" t="str">
        <f aca="false">INDEX(Datos_Origen!$H$2:$H$2459,$Z920)</f>
        <v>66</v>
      </c>
      <c r="AD920" s="61" t="str">
        <f aca="false">INDEX(Datos_Origen!$D$2:$D$2459,$Z920)&amp;""</f>
        <v>Buenos Aires</v>
      </c>
    </row>
    <row r="921" customFormat="false" ht="15" hidden="false" customHeight="false" outlineLevel="0" collapsed="false">
      <c r="A921" s="61" t="n">
        <f aca="false">INDEX(Datos_Origen!$A$2:$A$2459,$Z921)</f>
        <v>920</v>
      </c>
      <c r="B921" s="62" t="n">
        <f aca="false">IF(ISNUMBER($AB921),$AB921,IF(MID($AB921,5,1)="-",DATE(VALUE(LEFT($AB921,4)),VALUE(MID($AB921,6,2)),VALUE(RIGHT($AB921,2))),DATE(VALUE(RIGHT($AB921,4)),VALUE(MID($AB921,4,2)),VALUE(LEFT($AB921,2)))))</f>
        <v>45580</v>
      </c>
      <c r="C921" s="61" t="n">
        <f aca="false">YEAR($B921)</f>
        <v>2024</v>
      </c>
      <c r="D921" s="61" t="str">
        <f aca="false">"Q"&amp;ROUNDUP(MONTH($B921)/3,0)</f>
        <v>Q4</v>
      </c>
      <c r="E921" s="61" t="n">
        <f aca="false">MONTH($B921)</f>
        <v>10</v>
      </c>
      <c r="F921" s="61" t="str">
        <f aca="false">INDEX(Parametros!$I$5:$I$16,$E921)</f>
        <v>Oct</v>
      </c>
      <c r="G921" s="61" t="str">
        <f aca="false">TEXT($C921,"0000")&amp;"-"&amp;TEXT($E921,"00")</f>
        <v>2024-10</v>
      </c>
      <c r="H921" s="61" t="str">
        <f aca="false">INDEX(Parametros!$C$71:$C$91,MATCH(TRIM(INDEX(Datos_Origen!$C$2:$C$2459,$Z921)),Parametros!$B$71:$B$91,0))</f>
        <v>AMBA</v>
      </c>
      <c r="I921" s="61" t="str">
        <f aca="false">IF(TRIM($AD921)="",INDEX(Parametros!$I$20:$I$24,MATCH($H921,Parametros!$H$20:$H$24,0)),TRIM($AD921))</f>
        <v>Buenos Aires</v>
      </c>
      <c r="J921" s="61" t="str">
        <f aca="false">INDEX(Parametros!$C$95:$C$106,MATCH(TRIM(INDEX(Datos_Origen!$E$2:$E$2459,$Z921)),Parametros!$B$95:$B$106,0))</f>
        <v>E-commerce</v>
      </c>
      <c r="K921" s="61" t="str">
        <f aca="false">INDEX(Parametros!$C$48:$C$67,MATCH(TRIM(INDEX(Datos_Origen!$F$2:$F$2459,$Z921)),Parametros!$B$48:$B$67,0))</f>
        <v>Almacenamiento</v>
      </c>
      <c r="L921" s="61" t="str">
        <f aca="false">$K921&amp;" "&amp;$C921</f>
        <v>Almacenamiento 2024</v>
      </c>
      <c r="M921" s="61" t="str">
        <f aca="false">TRIM(INDEX(Datos_Origen!$G$2:$G$2459,$Z921))</f>
        <v>Pendrive 256GB</v>
      </c>
      <c r="N921" s="61" t="str">
        <f aca="false">$M921&amp;" "&amp;$C921</f>
        <v>Pendrive 256GB 2024</v>
      </c>
      <c r="O921" s="63" t="n">
        <f aca="false">IF(ISTEXT($AC921),VALUE($AC921),$AC921)</f>
        <v>25</v>
      </c>
      <c r="P921" s="64" t="n">
        <f aca="false">INDEX(Datos_Origen!$I$2:$I$2459,$Z921)</f>
        <v>34.3</v>
      </c>
      <c r="Q921" s="64" t="n">
        <f aca="false">INDEX(Datos_Origen!$J$2:$J$2459,$Z921)</f>
        <v>17.85</v>
      </c>
      <c r="R921" s="65" t="n">
        <f aca="false">ROUND($O921*$P921,2)</f>
        <v>857.5</v>
      </c>
      <c r="S921" s="65" t="n">
        <f aca="false">ROUND($O921*$Q921,2)</f>
        <v>446.25</v>
      </c>
      <c r="T921" s="65" t="n">
        <f aca="false">ROUND($R921*SUMIFS(Parametros!$E$28:$E$43,Parametros!$B$28:$B$43,$J921,Parametros!$C$28:$C$43,$C921,Parametros!$D$28:$D$43,$D921),2)</f>
        <v>41.16</v>
      </c>
      <c r="U921" s="65" t="n">
        <f aca="false">$R921-$S921-$T921</f>
        <v>370.09</v>
      </c>
      <c r="V921" s="66" t="n">
        <f aca="false">IFERROR($U921/$R921,0)</f>
        <v>0.431591836734694</v>
      </c>
      <c r="W921" s="67" t="str">
        <f aca="false">IF(AND($V921&gt;=Parametros!$C$8,$R921&gt;=Parametros!$C$12),"Alta rentabilidad",IF(OR($V921&lt;Parametros!$C$11,$R921&lt;Parametros!$C$13),"Revisar","Estandar"))</f>
        <v>Estandar</v>
      </c>
      <c r="X921" s="67" t="str">
        <f aca="false">IF(AND($J921="E-commerce",IFERROR($T921/$R921,0)&gt;Parametros!$C$14),"Alerta","OK")</f>
        <v>OK</v>
      </c>
      <c r="Y921" s="61" t="str">
        <f aca="false">IF($R921&gt;=Parametros!$C$12,"Alto",IF($R921&lt;Parametros!$C$13,"Bajo","Medio"))</f>
        <v>Medio</v>
      </c>
      <c r="Z921" s="61" t="n">
        <v>871</v>
      </c>
      <c r="AA921" s="61" t="str">
        <f aca="false">IF(MATCH($A921,Datos_Origen!$A$2:$A$2459,0)=$Z921,"OK","REVISAR")</f>
        <v>OK</v>
      </c>
      <c r="AB921" s="62" t="n">
        <f aca="false">INDEX(Datos_Origen!$B$2:$B$2459,$Z921)</f>
        <v>45580</v>
      </c>
      <c r="AC921" s="61" t="n">
        <f aca="false">INDEX(Datos_Origen!$H$2:$H$2459,$Z921)</f>
        <v>25</v>
      </c>
      <c r="AD921" s="61" t="str">
        <f aca="false">INDEX(Datos_Origen!$D$2:$D$2459,$Z921)&amp;""</f>
        <v>Buenos Aires</v>
      </c>
    </row>
    <row r="922" customFormat="false" ht="15" hidden="false" customHeight="false" outlineLevel="0" collapsed="false">
      <c r="A922" s="61" t="n">
        <f aca="false">INDEX(Datos_Origen!$A$2:$A$2459,$Z922)</f>
        <v>921</v>
      </c>
      <c r="B922" s="62" t="n">
        <f aca="false">IF(ISNUMBER($AB922),$AB922,IF(MID($AB922,5,1)="-",DATE(VALUE(LEFT($AB922,4)),VALUE(MID($AB922,6,2)),VALUE(RIGHT($AB922,2))),DATE(VALUE(RIGHT($AB922,4)),VALUE(MID($AB922,4,2)),VALUE(LEFT($AB922,2)))))</f>
        <v>45587</v>
      </c>
      <c r="C922" s="61" t="n">
        <f aca="false">YEAR($B922)</f>
        <v>2024</v>
      </c>
      <c r="D922" s="61" t="str">
        <f aca="false">"Q"&amp;ROUNDUP(MONTH($B922)/3,0)</f>
        <v>Q4</v>
      </c>
      <c r="E922" s="61" t="n">
        <f aca="false">MONTH($B922)</f>
        <v>10</v>
      </c>
      <c r="F922" s="61" t="str">
        <f aca="false">INDEX(Parametros!$I$5:$I$16,$E922)</f>
        <v>Oct</v>
      </c>
      <c r="G922" s="61" t="str">
        <f aca="false">TEXT($C922,"0000")&amp;"-"&amp;TEXT($E922,"00")</f>
        <v>2024-10</v>
      </c>
      <c r="H922" s="61" t="str">
        <f aca="false">INDEX(Parametros!$C$71:$C$91,MATCH(TRIM(INDEX(Datos_Origen!$C$2:$C$2459,$Z922)),Parametros!$B$71:$B$91,0))</f>
        <v>Centro</v>
      </c>
      <c r="I922" s="61" t="str">
        <f aca="false">IF(TRIM($AD922)="",INDEX(Parametros!$I$20:$I$24,MATCH($H922,Parametros!$H$20:$H$24,0)),TRIM($AD922))</f>
        <v>Cordoba</v>
      </c>
      <c r="J922" s="61" t="str">
        <f aca="false">INDEX(Parametros!$C$95:$C$106,MATCH(TRIM(INDEX(Datos_Origen!$E$2:$E$2459,$Z922)),Parametros!$B$95:$B$106,0))</f>
        <v>Tienda fisica</v>
      </c>
      <c r="K922" s="61" t="str">
        <f aca="false">INDEX(Parametros!$C$48:$C$67,MATCH(TRIM(INDEX(Datos_Origen!$F$2:$F$2459,$Z922)),Parametros!$B$48:$B$67,0))</f>
        <v>Computacion</v>
      </c>
      <c r="L922" s="61" t="str">
        <f aca="false">$K922&amp;" "&amp;$C922</f>
        <v>Computacion 2024</v>
      </c>
      <c r="M922" s="61" t="str">
        <f aca="false">TRIM(INDEX(Datos_Origen!$G$2:$G$2459,$Z922))</f>
        <v>Laptop Pro 15</v>
      </c>
      <c r="N922" s="61" t="str">
        <f aca="false">$M922&amp;" "&amp;$C922</f>
        <v>Laptop Pro 15 2024</v>
      </c>
      <c r="O922" s="63" t="n">
        <f aca="false">IF(ISTEXT($AC922),VALUE($AC922),$AC922)</f>
        <v>11</v>
      </c>
      <c r="P922" s="64" t="n">
        <f aca="false">INDEX(Datos_Origen!$I$2:$I$2459,$Z922)</f>
        <v>1176</v>
      </c>
      <c r="Q922" s="64" t="n">
        <f aca="false">INDEX(Datos_Origen!$J$2:$J$2459,$Z922)</f>
        <v>744</v>
      </c>
      <c r="R922" s="65" t="n">
        <f aca="false">ROUND($O922*$P922,2)</f>
        <v>12936</v>
      </c>
      <c r="S922" s="65" t="n">
        <f aca="false">ROUND($O922*$Q922,2)</f>
        <v>8184</v>
      </c>
      <c r="T922" s="65" t="n">
        <f aca="false">ROUND($R922*SUMIFS(Parametros!$E$28:$E$43,Parametros!$B$28:$B$43,$J922,Parametros!$C$28:$C$43,$C922,Parametros!$D$28:$D$43,$D922),2)</f>
        <v>168.17</v>
      </c>
      <c r="U922" s="65" t="n">
        <f aca="false">$R922-$S922-$T922</f>
        <v>4583.83</v>
      </c>
      <c r="V922" s="66" t="n">
        <f aca="false">IFERROR($U922/$R922,0)</f>
        <v>0.354346784168213</v>
      </c>
      <c r="W922" s="67" t="str">
        <f aca="false">IF(AND($V922&gt;=Parametros!$C$8,$R922&gt;=Parametros!$C$12),"Alta rentabilidad",IF(OR($V922&lt;Parametros!$C$11,$R922&lt;Parametros!$C$13),"Revisar","Estandar"))</f>
        <v>Alta rentabilidad</v>
      </c>
      <c r="X922" s="67" t="str">
        <f aca="false">IF(AND($J922="E-commerce",IFERROR($T922/$R922,0)&gt;Parametros!$C$14),"Alerta","OK")</f>
        <v>OK</v>
      </c>
      <c r="Y922" s="61" t="str">
        <f aca="false">IF($R922&gt;=Parametros!$C$12,"Alto",IF($R922&lt;Parametros!$C$13,"Bajo","Medio"))</f>
        <v>Alto</v>
      </c>
      <c r="Z922" s="61" t="n">
        <v>2337</v>
      </c>
      <c r="AA922" s="61" t="str">
        <f aca="false">IF(MATCH($A922,Datos_Origen!$A$2:$A$2459,0)=$Z922,"OK","REVISAR")</f>
        <v>OK</v>
      </c>
      <c r="AB922" s="62" t="n">
        <f aca="false">INDEX(Datos_Origen!$B$2:$B$2459,$Z922)</f>
        <v>45587</v>
      </c>
      <c r="AC922" s="61" t="n">
        <f aca="false">INDEX(Datos_Origen!$H$2:$H$2459,$Z922)</f>
        <v>11</v>
      </c>
      <c r="AD922" s="61" t="str">
        <f aca="false">INDEX(Datos_Origen!$D$2:$D$2459,$Z922)&amp;""</f>
        <v>Cordoba</v>
      </c>
    </row>
    <row r="923" customFormat="false" ht="15" hidden="false" customHeight="false" outlineLevel="0" collapsed="false">
      <c r="A923" s="61" t="n">
        <f aca="false">INDEX(Datos_Origen!$A$2:$A$2459,$Z923)</f>
        <v>922</v>
      </c>
      <c r="B923" s="62" t="n">
        <f aca="false">IF(ISNUMBER($AB923),$AB923,IF(MID($AB923,5,1)="-",DATE(VALUE(LEFT($AB923,4)),VALUE(MID($AB923,6,2)),VALUE(RIGHT($AB923,2))),DATE(VALUE(RIGHT($AB923,4)),VALUE(MID($AB923,4,2)),VALUE(LEFT($AB923,2)))))</f>
        <v>45567</v>
      </c>
      <c r="C923" s="61" t="n">
        <f aca="false">YEAR($B923)</f>
        <v>2024</v>
      </c>
      <c r="D923" s="61" t="str">
        <f aca="false">"Q"&amp;ROUNDUP(MONTH($B923)/3,0)</f>
        <v>Q4</v>
      </c>
      <c r="E923" s="61" t="n">
        <f aca="false">MONTH($B923)</f>
        <v>10</v>
      </c>
      <c r="F923" s="61" t="str">
        <f aca="false">INDEX(Parametros!$I$5:$I$16,$E923)</f>
        <v>Oct</v>
      </c>
      <c r="G923" s="61" t="str">
        <f aca="false">TEXT($C923,"0000")&amp;"-"&amp;TEXT($E923,"00")</f>
        <v>2024-10</v>
      </c>
      <c r="H923" s="61" t="str">
        <f aca="false">INDEX(Parametros!$C$71:$C$91,MATCH(TRIM(INDEX(Datos_Origen!$C$2:$C$2459,$Z923)),Parametros!$B$71:$B$91,0))</f>
        <v>Centro</v>
      </c>
      <c r="I923" s="61" t="str">
        <f aca="false">IF(TRIM($AD923)="",INDEX(Parametros!$I$20:$I$24,MATCH($H923,Parametros!$H$20:$H$24,0)),TRIM($AD923))</f>
        <v>Cordoba</v>
      </c>
      <c r="J923" s="61" t="str">
        <f aca="false">INDEX(Parametros!$C$95:$C$106,MATCH(TRIM(INDEX(Datos_Origen!$E$2:$E$2459,$Z923)),Parametros!$B$95:$B$106,0))</f>
        <v>E-commerce</v>
      </c>
      <c r="K923" s="61" t="str">
        <f aca="false">INDEX(Parametros!$C$48:$C$67,MATCH(TRIM(INDEX(Datos_Origen!$F$2:$F$2459,$Z923)),Parametros!$B$48:$B$67,0))</f>
        <v>Computacion</v>
      </c>
      <c r="L923" s="61" t="str">
        <f aca="false">$K923&amp;" "&amp;$C923</f>
        <v>Computacion 2024</v>
      </c>
      <c r="M923" s="61" t="str">
        <f aca="false">TRIM(INDEX(Datos_Origen!$G$2:$G$2459,$Z923))</f>
        <v>Laptop Pro 15</v>
      </c>
      <c r="N923" s="61" t="str">
        <f aca="false">$M923&amp;" "&amp;$C923</f>
        <v>Laptop Pro 15 2024</v>
      </c>
      <c r="O923" s="63" t="n">
        <f aca="false">IF(ISTEXT($AC923),VALUE($AC923),$AC923)</f>
        <v>5</v>
      </c>
      <c r="P923" s="64" t="n">
        <f aca="false">INDEX(Datos_Origen!$I$2:$I$2459,$Z923)</f>
        <v>1176</v>
      </c>
      <c r="Q923" s="64" t="n">
        <f aca="false">INDEX(Datos_Origen!$J$2:$J$2459,$Z923)</f>
        <v>744</v>
      </c>
      <c r="R923" s="65" t="n">
        <f aca="false">ROUND($O923*$P923,2)</f>
        <v>5880</v>
      </c>
      <c r="S923" s="65" t="n">
        <f aca="false">ROUND($O923*$Q923,2)</f>
        <v>3720</v>
      </c>
      <c r="T923" s="65" t="n">
        <f aca="false">ROUND($R923*SUMIFS(Parametros!$E$28:$E$43,Parametros!$B$28:$B$43,$J923,Parametros!$C$28:$C$43,$C923,Parametros!$D$28:$D$43,$D923),2)</f>
        <v>282.24</v>
      </c>
      <c r="U923" s="65" t="n">
        <f aca="false">$R923-$S923-$T923</f>
        <v>1877.76</v>
      </c>
      <c r="V923" s="66" t="n">
        <f aca="false">IFERROR($U923/$R923,0)</f>
        <v>0.31934693877551</v>
      </c>
      <c r="W923" s="67" t="str">
        <f aca="false">IF(AND($V923&gt;=Parametros!$C$8,$R923&gt;=Parametros!$C$12),"Alta rentabilidad",IF(OR($V923&lt;Parametros!$C$11,$R923&lt;Parametros!$C$13),"Revisar","Estandar"))</f>
        <v>Estandar</v>
      </c>
      <c r="X923" s="67" t="str">
        <f aca="false">IF(AND($J923="E-commerce",IFERROR($T923/$R923,0)&gt;Parametros!$C$14),"Alerta","OK")</f>
        <v>OK</v>
      </c>
      <c r="Y923" s="61" t="str">
        <f aca="false">IF($R923&gt;=Parametros!$C$12,"Alto",IF($R923&lt;Parametros!$C$13,"Bajo","Medio"))</f>
        <v>Alto</v>
      </c>
      <c r="Z923" s="61" t="n">
        <v>31</v>
      </c>
      <c r="AA923" s="61" t="str">
        <f aca="false">IF(MATCH($A923,Datos_Origen!$A$2:$A$2459,0)=$Z923,"OK","REVISAR")</f>
        <v>OK</v>
      </c>
      <c r="AB923" s="62" t="n">
        <f aca="false">INDEX(Datos_Origen!$B$2:$B$2459,$Z923)</f>
        <v>45567</v>
      </c>
      <c r="AC923" s="61" t="n">
        <f aca="false">INDEX(Datos_Origen!$H$2:$H$2459,$Z923)</f>
        <v>5</v>
      </c>
      <c r="AD923" s="61" t="str">
        <f aca="false">INDEX(Datos_Origen!$D$2:$D$2459,$Z923)&amp;""</f>
        <v>Cordoba</v>
      </c>
    </row>
    <row r="924" customFormat="false" ht="15" hidden="false" customHeight="false" outlineLevel="0" collapsed="false">
      <c r="A924" s="61" t="n">
        <f aca="false">INDEX(Datos_Origen!$A$2:$A$2459,$Z924)</f>
        <v>923</v>
      </c>
      <c r="B924" s="62" t="n">
        <f aca="false">IF(ISNUMBER($AB924),$AB924,IF(MID($AB924,5,1)="-",DATE(VALUE(LEFT($AB924,4)),VALUE(MID($AB924,6,2)),VALUE(RIGHT($AB924,2))),DATE(VALUE(RIGHT($AB924,4)),VALUE(MID($AB924,4,2)),VALUE(LEFT($AB924,2)))))</f>
        <v>45574</v>
      </c>
      <c r="C924" s="61" t="n">
        <f aca="false">YEAR($B924)</f>
        <v>2024</v>
      </c>
      <c r="D924" s="61" t="str">
        <f aca="false">"Q"&amp;ROUNDUP(MONTH($B924)/3,0)</f>
        <v>Q4</v>
      </c>
      <c r="E924" s="61" t="n">
        <f aca="false">MONTH($B924)</f>
        <v>10</v>
      </c>
      <c r="F924" s="61" t="str">
        <f aca="false">INDEX(Parametros!$I$5:$I$16,$E924)</f>
        <v>Oct</v>
      </c>
      <c r="G924" s="61" t="str">
        <f aca="false">TEXT($C924,"0000")&amp;"-"&amp;TEXT($E924,"00")</f>
        <v>2024-10</v>
      </c>
      <c r="H924" s="61" t="str">
        <f aca="false">INDEX(Parametros!$C$71:$C$91,MATCH(TRIM(INDEX(Datos_Origen!$C$2:$C$2459,$Z924)),Parametros!$B$71:$B$91,0))</f>
        <v>Centro</v>
      </c>
      <c r="I924" s="61" t="str">
        <f aca="false">IF(TRIM($AD924)="",INDEX(Parametros!$I$20:$I$24,MATCH($H924,Parametros!$H$20:$H$24,0)),TRIM($AD924))</f>
        <v>Cordoba</v>
      </c>
      <c r="J924" s="61" t="str">
        <f aca="false">INDEX(Parametros!$C$95:$C$106,MATCH(TRIM(INDEX(Datos_Origen!$E$2:$E$2459,$Z924)),Parametros!$B$95:$B$106,0))</f>
        <v>Tienda fisica</v>
      </c>
      <c r="K924" s="61" t="str">
        <f aca="false">INDEX(Parametros!$C$48:$C$67,MATCH(TRIM(INDEX(Datos_Origen!$F$2:$F$2459,$Z924)),Parametros!$B$48:$B$67,0))</f>
        <v>Computacion</v>
      </c>
      <c r="L924" s="61" t="str">
        <f aca="false">$K924&amp;" "&amp;$C924</f>
        <v>Computacion 2024</v>
      </c>
      <c r="M924" s="61" t="str">
        <f aca="false">TRIM(INDEX(Datos_Origen!$G$2:$G$2459,$Z924))</f>
        <v>Monitor 4K 27</v>
      </c>
      <c r="N924" s="61" t="str">
        <f aca="false">$M924&amp;" "&amp;$C924</f>
        <v>Monitor 4K 27 2024</v>
      </c>
      <c r="O924" s="63" t="n">
        <f aca="false">IF(ISTEXT($AC924),VALUE($AC924),$AC924)</f>
        <v>14</v>
      </c>
      <c r="P924" s="64" t="n">
        <f aca="false">INDEX(Datos_Origen!$I$2:$I$2459,$Z924)</f>
        <v>441</v>
      </c>
      <c r="Q924" s="64" t="n">
        <f aca="false">INDEX(Datos_Origen!$J$2:$J$2459,$Z924)</f>
        <v>272.25</v>
      </c>
      <c r="R924" s="65" t="n">
        <f aca="false">ROUND($O924*$P924,2)</f>
        <v>6174</v>
      </c>
      <c r="S924" s="65" t="n">
        <f aca="false">ROUND($O924*$Q924,2)</f>
        <v>3811.5</v>
      </c>
      <c r="T924" s="65" t="n">
        <f aca="false">ROUND($R924*SUMIFS(Parametros!$E$28:$E$43,Parametros!$B$28:$B$43,$J924,Parametros!$C$28:$C$43,$C924,Parametros!$D$28:$D$43,$D924),2)</f>
        <v>80.26</v>
      </c>
      <c r="U924" s="65" t="n">
        <f aca="false">$R924-$S924-$T924</f>
        <v>2282.24</v>
      </c>
      <c r="V924" s="66" t="n">
        <f aca="false">IFERROR($U924/$R924,0)</f>
        <v>0.369653385163589</v>
      </c>
      <c r="W924" s="67" t="str">
        <f aca="false">IF(AND($V924&gt;=Parametros!$C$8,$R924&gt;=Parametros!$C$12),"Alta rentabilidad",IF(OR($V924&lt;Parametros!$C$11,$R924&lt;Parametros!$C$13),"Revisar","Estandar"))</f>
        <v>Alta rentabilidad</v>
      </c>
      <c r="X924" s="67" t="str">
        <f aca="false">IF(AND($J924="E-commerce",IFERROR($T924/$R924,0)&gt;Parametros!$C$14),"Alerta","OK")</f>
        <v>OK</v>
      </c>
      <c r="Y924" s="61" t="str">
        <f aca="false">IF($R924&gt;=Parametros!$C$12,"Alto",IF($R924&lt;Parametros!$C$13,"Bajo","Medio"))</f>
        <v>Alto</v>
      </c>
      <c r="Z924" s="61" t="n">
        <v>571</v>
      </c>
      <c r="AA924" s="61" t="str">
        <f aca="false">IF(MATCH($A924,Datos_Origen!$A$2:$A$2459,0)=$Z924,"OK","REVISAR")</f>
        <v>OK</v>
      </c>
      <c r="AB924" s="62" t="n">
        <f aca="false">INDEX(Datos_Origen!$B$2:$B$2459,$Z924)</f>
        <v>45574</v>
      </c>
      <c r="AC924" s="61" t="n">
        <f aca="false">INDEX(Datos_Origen!$H$2:$H$2459,$Z924)</f>
        <v>14</v>
      </c>
      <c r="AD924" s="61" t="str">
        <f aca="false">INDEX(Datos_Origen!$D$2:$D$2459,$Z924)&amp;""</f>
        <v>Cordoba</v>
      </c>
    </row>
    <row r="925" customFormat="false" ht="15" hidden="false" customHeight="false" outlineLevel="0" collapsed="false">
      <c r="A925" s="61" t="n">
        <f aca="false">INDEX(Datos_Origen!$A$2:$A$2459,$Z925)</f>
        <v>924</v>
      </c>
      <c r="B925" s="62" t="n">
        <f aca="false">IF(ISNUMBER($AB925),$AB925,IF(MID($AB925,5,1)="-",DATE(VALUE(LEFT($AB925,4)),VALUE(MID($AB925,6,2)),VALUE(RIGHT($AB925,2))),DATE(VALUE(RIGHT($AB925,4)),VALUE(MID($AB925,4,2)),VALUE(LEFT($AB925,2)))))</f>
        <v>45581</v>
      </c>
      <c r="C925" s="61" t="n">
        <f aca="false">YEAR($B925)</f>
        <v>2024</v>
      </c>
      <c r="D925" s="61" t="str">
        <f aca="false">"Q"&amp;ROUNDUP(MONTH($B925)/3,0)</f>
        <v>Q4</v>
      </c>
      <c r="E925" s="61" t="n">
        <f aca="false">MONTH($B925)</f>
        <v>10</v>
      </c>
      <c r="F925" s="61" t="str">
        <f aca="false">INDEX(Parametros!$I$5:$I$16,$E925)</f>
        <v>Oct</v>
      </c>
      <c r="G925" s="61" t="str">
        <f aca="false">TEXT($C925,"0000")&amp;"-"&amp;TEXT($E925,"00")</f>
        <v>2024-10</v>
      </c>
      <c r="H925" s="61" t="str">
        <f aca="false">INDEX(Parametros!$C$71:$C$91,MATCH(TRIM(INDEX(Datos_Origen!$C$2:$C$2459,$Z925)),Parametros!$B$71:$B$91,0))</f>
        <v>Centro</v>
      </c>
      <c r="I925" s="61" t="str">
        <f aca="false">IF(TRIM($AD925)="",INDEX(Parametros!$I$20:$I$24,MATCH($H925,Parametros!$H$20:$H$24,0)),TRIM($AD925))</f>
        <v>Cordoba</v>
      </c>
      <c r="J925" s="61" t="str">
        <f aca="false">INDEX(Parametros!$C$95:$C$106,MATCH(TRIM(INDEX(Datos_Origen!$E$2:$E$2459,$Z925)),Parametros!$B$95:$B$106,0))</f>
        <v>E-commerce</v>
      </c>
      <c r="K925" s="61" t="str">
        <f aca="false">INDEX(Parametros!$C$48:$C$67,MATCH(TRIM(INDEX(Datos_Origen!$F$2:$F$2459,$Z925)),Parametros!$B$48:$B$67,0))</f>
        <v>Computacion</v>
      </c>
      <c r="L925" s="61" t="str">
        <f aca="false">$K925&amp;" "&amp;$C925</f>
        <v>Computacion 2024</v>
      </c>
      <c r="M925" s="61" t="str">
        <f aca="false">TRIM(INDEX(Datos_Origen!$G$2:$G$2459,$Z925))</f>
        <v>Monitor 4K 27</v>
      </c>
      <c r="N925" s="61" t="str">
        <f aca="false">$M925&amp;" "&amp;$C925</f>
        <v>Monitor 4K 27 2024</v>
      </c>
      <c r="O925" s="63" t="n">
        <f aca="false">IF(ISTEXT($AC925),VALUE($AC925),$AC925)</f>
        <v>5</v>
      </c>
      <c r="P925" s="64" t="n">
        <f aca="false">INDEX(Datos_Origen!$I$2:$I$2459,$Z925)</f>
        <v>441</v>
      </c>
      <c r="Q925" s="64" t="n">
        <f aca="false">INDEX(Datos_Origen!$J$2:$J$2459,$Z925)</f>
        <v>272.25</v>
      </c>
      <c r="R925" s="65" t="n">
        <f aca="false">ROUND($O925*$P925,2)</f>
        <v>2205</v>
      </c>
      <c r="S925" s="65" t="n">
        <f aca="false">ROUND($O925*$Q925,2)</f>
        <v>1361.25</v>
      </c>
      <c r="T925" s="65" t="n">
        <f aca="false">ROUND($R925*SUMIFS(Parametros!$E$28:$E$43,Parametros!$B$28:$B$43,$J925,Parametros!$C$28:$C$43,$C925,Parametros!$D$28:$D$43,$D925),2)</f>
        <v>105.84</v>
      </c>
      <c r="U925" s="65" t="n">
        <f aca="false">$R925-$S925-$T925</f>
        <v>737.91</v>
      </c>
      <c r="V925" s="66" t="n">
        <f aca="false">IFERROR($U925/$R925,0)</f>
        <v>0.33465306122449</v>
      </c>
      <c r="W925" s="67" t="str">
        <f aca="false">IF(AND($V925&gt;=Parametros!$C$8,$R925&gt;=Parametros!$C$12),"Alta rentabilidad",IF(OR($V925&lt;Parametros!$C$11,$R925&lt;Parametros!$C$13),"Revisar","Estandar"))</f>
        <v>Estandar</v>
      </c>
      <c r="X925" s="67" t="str">
        <f aca="false">IF(AND($J925="E-commerce",IFERROR($T925/$R925,0)&gt;Parametros!$C$14),"Alerta","OK")</f>
        <v>OK</v>
      </c>
      <c r="Y925" s="61" t="str">
        <f aca="false">IF($R925&gt;=Parametros!$C$12,"Alto",IF($R925&lt;Parametros!$C$13,"Bajo","Medio"))</f>
        <v>Medio</v>
      </c>
      <c r="Z925" s="61" t="n">
        <v>1528</v>
      </c>
      <c r="AA925" s="61" t="str">
        <f aca="false">IF(MATCH($A925,Datos_Origen!$A$2:$A$2459,0)=$Z925,"OK","REVISAR")</f>
        <v>OK</v>
      </c>
      <c r="AB925" s="62" t="n">
        <f aca="false">INDEX(Datos_Origen!$B$2:$B$2459,$Z925)</f>
        <v>45581</v>
      </c>
      <c r="AC925" s="61" t="str">
        <f aca="false">INDEX(Datos_Origen!$H$2:$H$2459,$Z925)</f>
        <v>5</v>
      </c>
      <c r="AD925" s="61" t="str">
        <f aca="false">INDEX(Datos_Origen!$D$2:$D$2459,$Z925)&amp;""</f>
        <v>Cordoba</v>
      </c>
    </row>
    <row r="926" customFormat="false" ht="15" hidden="false" customHeight="false" outlineLevel="0" collapsed="false">
      <c r="A926" s="61" t="n">
        <f aca="false">INDEX(Datos_Origen!$A$2:$A$2459,$Z926)</f>
        <v>925</v>
      </c>
      <c r="B926" s="62" t="n">
        <f aca="false">IF(ISNUMBER($AB926),$AB926,IF(MID($AB926,5,1)="-",DATE(VALUE(LEFT($AB926,4)),VALUE(MID($AB926,6,2)),VALUE(RIGHT($AB926,2))),DATE(VALUE(RIGHT($AB926,4)),VALUE(MID($AB926,4,2)),VALUE(LEFT($AB926,2)))))</f>
        <v>45588</v>
      </c>
      <c r="C926" s="61" t="n">
        <f aca="false">YEAR($B926)</f>
        <v>2024</v>
      </c>
      <c r="D926" s="61" t="str">
        <f aca="false">"Q"&amp;ROUNDUP(MONTH($B926)/3,0)</f>
        <v>Q4</v>
      </c>
      <c r="E926" s="61" t="n">
        <f aca="false">MONTH($B926)</f>
        <v>10</v>
      </c>
      <c r="F926" s="61" t="str">
        <f aca="false">INDEX(Parametros!$I$5:$I$16,$E926)</f>
        <v>Oct</v>
      </c>
      <c r="G926" s="61" t="str">
        <f aca="false">TEXT($C926,"0000")&amp;"-"&amp;TEXT($E926,"00")</f>
        <v>2024-10</v>
      </c>
      <c r="H926" s="61" t="str">
        <f aca="false">INDEX(Parametros!$C$71:$C$91,MATCH(TRIM(INDEX(Datos_Origen!$C$2:$C$2459,$Z926)),Parametros!$B$71:$B$91,0))</f>
        <v>Centro</v>
      </c>
      <c r="I926" s="61" t="str">
        <f aca="false">IF(TRIM($AD926)="",INDEX(Parametros!$I$20:$I$24,MATCH($H926,Parametros!$H$20:$H$24,0)),TRIM($AD926))</f>
        <v>Cordoba</v>
      </c>
      <c r="J926" s="61" t="str">
        <f aca="false">INDEX(Parametros!$C$95:$C$106,MATCH(TRIM(INDEX(Datos_Origen!$E$2:$E$2459,$Z926)),Parametros!$B$95:$B$106,0))</f>
        <v>Tienda fisica</v>
      </c>
      <c r="K926" s="61" t="str">
        <f aca="false">INDEX(Parametros!$C$48:$C$67,MATCH(TRIM(INDEX(Datos_Origen!$F$2:$F$2459,$Z926)),Parametros!$B$48:$B$67,0))</f>
        <v>Computacion</v>
      </c>
      <c r="L926" s="61" t="str">
        <f aca="false">$K926&amp;" "&amp;$C926</f>
        <v>Computacion 2024</v>
      </c>
      <c r="M926" s="61" t="str">
        <f aca="false">TRIM(INDEX(Datos_Origen!$G$2:$G$2459,$Z926))</f>
        <v>PC Gamer Ryzen</v>
      </c>
      <c r="N926" s="61" t="str">
        <f aca="false">$M926&amp;" "&amp;$C926</f>
        <v>PC Gamer Ryzen 2024</v>
      </c>
      <c r="O926" s="63" t="n">
        <f aca="false">IF(ISTEXT($AC926),VALUE($AC926),$AC926)</f>
        <v>12</v>
      </c>
      <c r="P926" s="64" t="n">
        <f aca="false">INDEX(Datos_Origen!$I$2:$I$2459,$Z926)</f>
        <v>1617</v>
      </c>
      <c r="Q926" s="64" t="n">
        <f aca="false">INDEX(Datos_Origen!$J$2:$J$2459,$Z926)</f>
        <v>1122</v>
      </c>
      <c r="R926" s="65" t="n">
        <f aca="false">ROUND($O926*$P926,2)</f>
        <v>19404</v>
      </c>
      <c r="S926" s="65" t="n">
        <f aca="false">ROUND($O926*$Q926,2)</f>
        <v>13464</v>
      </c>
      <c r="T926" s="65" t="n">
        <f aca="false">ROUND($R926*SUMIFS(Parametros!$E$28:$E$43,Parametros!$B$28:$B$43,$J926,Parametros!$C$28:$C$43,$C926,Parametros!$D$28:$D$43,$D926),2)</f>
        <v>252.25</v>
      </c>
      <c r="U926" s="65" t="n">
        <f aca="false">$R926-$S926-$T926</f>
        <v>5687.75</v>
      </c>
      <c r="V926" s="66" t="n">
        <f aca="false">IFERROR($U926/$R926,0)</f>
        <v>0.293122552051124</v>
      </c>
      <c r="W926" s="67" t="str">
        <f aca="false">IF(AND($V926&gt;=Parametros!$C$8,$R926&gt;=Parametros!$C$12),"Alta rentabilidad",IF(OR($V926&lt;Parametros!$C$11,$R926&lt;Parametros!$C$13),"Revisar","Estandar"))</f>
        <v>Estandar</v>
      </c>
      <c r="X926" s="67" t="str">
        <f aca="false">IF(AND($J926="E-commerce",IFERROR($T926/$R926,0)&gt;Parametros!$C$14),"Alerta","OK")</f>
        <v>OK</v>
      </c>
      <c r="Y926" s="61" t="str">
        <f aca="false">IF($R926&gt;=Parametros!$C$12,"Alto",IF($R926&lt;Parametros!$C$13,"Bajo","Medio"))</f>
        <v>Alto</v>
      </c>
      <c r="Z926" s="61" t="n">
        <v>2217</v>
      </c>
      <c r="AA926" s="61" t="str">
        <f aca="false">IF(MATCH($A926,Datos_Origen!$A$2:$A$2459,0)=$Z926,"OK","REVISAR")</f>
        <v>OK</v>
      </c>
      <c r="AB926" s="62" t="n">
        <f aca="false">INDEX(Datos_Origen!$B$2:$B$2459,$Z926)</f>
        <v>45588</v>
      </c>
      <c r="AC926" s="61" t="n">
        <f aca="false">INDEX(Datos_Origen!$H$2:$H$2459,$Z926)</f>
        <v>12</v>
      </c>
      <c r="AD926" s="61" t="str">
        <f aca="false">INDEX(Datos_Origen!$D$2:$D$2459,$Z926)&amp;""</f>
        <v>Cordoba</v>
      </c>
    </row>
    <row r="927" customFormat="false" ht="15" hidden="false" customHeight="false" outlineLevel="0" collapsed="false">
      <c r="A927" s="61" t="n">
        <f aca="false">INDEX(Datos_Origen!$A$2:$A$2459,$Z927)</f>
        <v>926</v>
      </c>
      <c r="B927" s="62" t="n">
        <f aca="false">IF(ISNUMBER($AB927),$AB927,IF(MID($AB927,5,1)="-",DATE(VALUE(LEFT($AB927,4)),VALUE(MID($AB927,6,2)),VALUE(RIGHT($AB927,2))),DATE(VALUE(RIGHT($AB927,4)),VALUE(MID($AB927,4,2)),VALUE(LEFT($AB927,2)))))</f>
        <v>45568</v>
      </c>
      <c r="C927" s="61" t="n">
        <f aca="false">YEAR($B927)</f>
        <v>2024</v>
      </c>
      <c r="D927" s="61" t="str">
        <f aca="false">"Q"&amp;ROUNDUP(MONTH($B927)/3,0)</f>
        <v>Q4</v>
      </c>
      <c r="E927" s="61" t="n">
        <f aca="false">MONTH($B927)</f>
        <v>10</v>
      </c>
      <c r="F927" s="61" t="str">
        <f aca="false">INDEX(Parametros!$I$5:$I$16,$E927)</f>
        <v>Oct</v>
      </c>
      <c r="G927" s="61" t="str">
        <f aca="false">TEXT($C927,"0000")&amp;"-"&amp;TEXT($E927,"00")</f>
        <v>2024-10</v>
      </c>
      <c r="H927" s="61" t="str">
        <f aca="false">INDEX(Parametros!$C$71:$C$91,MATCH(TRIM(INDEX(Datos_Origen!$C$2:$C$2459,$Z927)),Parametros!$B$71:$B$91,0))</f>
        <v>Centro</v>
      </c>
      <c r="I927" s="61" t="str">
        <f aca="false">IF(TRIM($AD927)="",INDEX(Parametros!$I$20:$I$24,MATCH($H927,Parametros!$H$20:$H$24,0)),TRIM($AD927))</f>
        <v>Cordoba</v>
      </c>
      <c r="J927" s="61" t="str">
        <f aca="false">INDEX(Parametros!$C$95:$C$106,MATCH(TRIM(INDEX(Datos_Origen!$E$2:$E$2459,$Z927)),Parametros!$B$95:$B$106,0))</f>
        <v>E-commerce</v>
      </c>
      <c r="K927" s="61" t="str">
        <f aca="false">INDEX(Parametros!$C$48:$C$67,MATCH(TRIM(INDEX(Datos_Origen!$F$2:$F$2459,$Z927)),Parametros!$B$48:$B$67,0))</f>
        <v>Computacion</v>
      </c>
      <c r="L927" s="61" t="str">
        <f aca="false">$K927&amp;" "&amp;$C927</f>
        <v>Computacion 2024</v>
      </c>
      <c r="M927" s="61" t="str">
        <f aca="false">TRIM(INDEX(Datos_Origen!$G$2:$G$2459,$Z927))</f>
        <v>PC Gamer Ryzen</v>
      </c>
      <c r="N927" s="61" t="str">
        <f aca="false">$M927&amp;" "&amp;$C927</f>
        <v>PC Gamer Ryzen 2024</v>
      </c>
      <c r="O927" s="63" t="n">
        <f aca="false">IF(ISTEXT($AC927),VALUE($AC927),$AC927)</f>
        <v>5</v>
      </c>
      <c r="P927" s="64" t="n">
        <f aca="false">INDEX(Datos_Origen!$I$2:$I$2459,$Z927)</f>
        <v>1617</v>
      </c>
      <c r="Q927" s="64" t="n">
        <f aca="false">INDEX(Datos_Origen!$J$2:$J$2459,$Z927)</f>
        <v>1122</v>
      </c>
      <c r="R927" s="65" t="n">
        <f aca="false">ROUND($O927*$P927,2)</f>
        <v>8085</v>
      </c>
      <c r="S927" s="65" t="n">
        <f aca="false">ROUND($O927*$Q927,2)</f>
        <v>5610</v>
      </c>
      <c r="T927" s="65" t="n">
        <f aca="false">ROUND($R927*SUMIFS(Parametros!$E$28:$E$43,Parametros!$B$28:$B$43,$J927,Parametros!$C$28:$C$43,$C927,Parametros!$D$28:$D$43,$D927),2)</f>
        <v>388.08</v>
      </c>
      <c r="U927" s="65" t="n">
        <f aca="false">$R927-$S927-$T927</f>
        <v>2086.92</v>
      </c>
      <c r="V927" s="66" t="n">
        <f aca="false">IFERROR($U927/$R927,0)</f>
        <v>0.258122448979592</v>
      </c>
      <c r="W927" s="67" t="str">
        <f aca="false">IF(AND($V927&gt;=Parametros!$C$8,$R927&gt;=Parametros!$C$12),"Alta rentabilidad",IF(OR($V927&lt;Parametros!$C$11,$R927&lt;Parametros!$C$13),"Revisar","Estandar"))</f>
        <v>Revisar</v>
      </c>
      <c r="X927" s="67" t="str">
        <f aca="false">IF(AND($J927="E-commerce",IFERROR($T927/$R927,0)&gt;Parametros!$C$14),"Alerta","OK")</f>
        <v>OK</v>
      </c>
      <c r="Y927" s="61" t="str">
        <f aca="false">IF($R927&gt;=Parametros!$C$12,"Alto",IF($R927&lt;Parametros!$C$13,"Bajo","Medio"))</f>
        <v>Alto</v>
      </c>
      <c r="Z927" s="61" t="n">
        <v>1487</v>
      </c>
      <c r="AA927" s="61" t="str">
        <f aca="false">IF(MATCH($A927,Datos_Origen!$A$2:$A$2459,0)=$Z927,"OK","REVISAR")</f>
        <v>OK</v>
      </c>
      <c r="AB927" s="62" t="n">
        <f aca="false">INDEX(Datos_Origen!$B$2:$B$2459,$Z927)</f>
        <v>45568</v>
      </c>
      <c r="AC927" s="61" t="n">
        <f aca="false">INDEX(Datos_Origen!$H$2:$H$2459,$Z927)</f>
        <v>5</v>
      </c>
      <c r="AD927" s="61" t="str">
        <f aca="false">INDEX(Datos_Origen!$D$2:$D$2459,$Z927)&amp;""</f>
        <v>Cordoba</v>
      </c>
    </row>
    <row r="928" customFormat="false" ht="15" hidden="false" customHeight="false" outlineLevel="0" collapsed="false">
      <c r="A928" s="61" t="n">
        <f aca="false">INDEX(Datos_Origen!$A$2:$A$2459,$Z928)</f>
        <v>927</v>
      </c>
      <c r="B928" s="62" t="n">
        <f aca="false">IF(ISNUMBER($AB928),$AB928,IF(MID($AB928,5,1)="-",DATE(VALUE(LEFT($AB928,4)),VALUE(MID($AB928,6,2)),VALUE(RIGHT($AB928,2))),DATE(VALUE(RIGHT($AB928,4)),VALUE(MID($AB928,4,2)),VALUE(LEFT($AB928,2)))))</f>
        <v>45575</v>
      </c>
      <c r="C928" s="61" t="n">
        <f aca="false">YEAR($B928)</f>
        <v>2024</v>
      </c>
      <c r="D928" s="61" t="str">
        <f aca="false">"Q"&amp;ROUNDUP(MONTH($B928)/3,0)</f>
        <v>Q4</v>
      </c>
      <c r="E928" s="61" t="n">
        <f aca="false">MONTH($B928)</f>
        <v>10</v>
      </c>
      <c r="F928" s="61" t="str">
        <f aca="false">INDEX(Parametros!$I$5:$I$16,$E928)</f>
        <v>Oct</v>
      </c>
      <c r="G928" s="61" t="str">
        <f aca="false">TEXT($C928,"0000")&amp;"-"&amp;TEXT($E928,"00")</f>
        <v>2024-10</v>
      </c>
      <c r="H928" s="61" t="str">
        <f aca="false">INDEX(Parametros!$C$71:$C$91,MATCH(TRIM(INDEX(Datos_Origen!$C$2:$C$2459,$Z928)),Parametros!$B$71:$B$91,0))</f>
        <v>Centro</v>
      </c>
      <c r="I928" s="61" t="str">
        <f aca="false">IF(TRIM($AD928)="",INDEX(Parametros!$I$20:$I$24,MATCH($H928,Parametros!$H$20:$H$24,0)),TRIM($AD928))</f>
        <v>Cordoba</v>
      </c>
      <c r="J928" s="61" t="str">
        <f aca="false">INDEX(Parametros!$C$95:$C$106,MATCH(TRIM(INDEX(Datos_Origen!$E$2:$E$2459,$Z928)),Parametros!$B$95:$B$106,0))</f>
        <v>Tienda fisica</v>
      </c>
      <c r="K928" s="61" t="str">
        <f aca="false">INDEX(Parametros!$C$48:$C$67,MATCH(TRIM(INDEX(Datos_Origen!$F$2:$F$2459,$Z928)),Parametros!$B$48:$B$67,0))</f>
        <v>Accesorios</v>
      </c>
      <c r="L928" s="61" t="str">
        <f aca="false">$K928&amp;" "&amp;$C928</f>
        <v>Accesorios 2024</v>
      </c>
      <c r="M928" s="61" t="str">
        <f aca="false">TRIM(INDEX(Datos_Origen!$G$2:$G$2459,$Z928))</f>
        <v>Mouse Inalambrico</v>
      </c>
      <c r="N928" s="61" t="str">
        <f aca="false">$M928&amp;" "&amp;$C928</f>
        <v>Mouse Inalambrico 2024</v>
      </c>
      <c r="O928" s="63" t="n">
        <f aca="false">IF(ISTEXT($AC928),VALUE($AC928),$AC928)</f>
        <v>51</v>
      </c>
      <c r="P928" s="64" t="n">
        <f aca="false">INDEX(Datos_Origen!$I$2:$I$2459,$Z928)</f>
        <v>27.44</v>
      </c>
      <c r="Q928" s="64" t="n">
        <f aca="false">INDEX(Datos_Origen!$J$2:$J$2459,$Z928)</f>
        <v>13.44</v>
      </c>
      <c r="R928" s="65" t="n">
        <f aca="false">ROUND($O928*$P928,2)</f>
        <v>1399.44</v>
      </c>
      <c r="S928" s="65" t="n">
        <f aca="false">ROUND($O928*$Q928,2)</f>
        <v>685.44</v>
      </c>
      <c r="T928" s="65" t="n">
        <f aca="false">ROUND($R928*SUMIFS(Parametros!$E$28:$E$43,Parametros!$B$28:$B$43,$J928,Parametros!$C$28:$C$43,$C928,Parametros!$D$28:$D$43,$D928),2)</f>
        <v>18.19</v>
      </c>
      <c r="U928" s="65" t="n">
        <f aca="false">$R928-$S928-$T928</f>
        <v>695.81</v>
      </c>
      <c r="V928" s="66" t="n">
        <f aca="false">IFERROR($U928/$R928,0)</f>
        <v>0.49720602526725</v>
      </c>
      <c r="W928" s="67" t="str">
        <f aca="false">IF(AND($V928&gt;=Parametros!$C$8,$R928&gt;=Parametros!$C$12),"Alta rentabilidad",IF(OR($V928&lt;Parametros!$C$11,$R928&lt;Parametros!$C$13),"Revisar","Estandar"))</f>
        <v>Estandar</v>
      </c>
      <c r="X928" s="67" t="str">
        <f aca="false">IF(AND($J928="E-commerce",IFERROR($T928/$R928,0)&gt;Parametros!$C$14),"Alerta","OK")</f>
        <v>OK</v>
      </c>
      <c r="Y928" s="61" t="str">
        <f aca="false">IF($R928&gt;=Parametros!$C$12,"Alto",IF($R928&lt;Parametros!$C$13,"Bajo","Medio"))</f>
        <v>Medio</v>
      </c>
      <c r="Z928" s="61" t="n">
        <v>1987</v>
      </c>
      <c r="AA928" s="61" t="str">
        <f aca="false">IF(MATCH($A928,Datos_Origen!$A$2:$A$2459,0)=$Z928,"OK","REVISAR")</f>
        <v>OK</v>
      </c>
      <c r="AB928" s="62" t="n">
        <f aca="false">INDEX(Datos_Origen!$B$2:$B$2459,$Z928)</f>
        <v>45575</v>
      </c>
      <c r="AC928" s="61" t="n">
        <f aca="false">INDEX(Datos_Origen!$H$2:$H$2459,$Z928)</f>
        <v>51</v>
      </c>
      <c r="AD928" s="61" t="str">
        <f aca="false">INDEX(Datos_Origen!$D$2:$D$2459,$Z928)&amp;""</f>
        <v/>
      </c>
    </row>
    <row r="929" customFormat="false" ht="15" hidden="false" customHeight="false" outlineLevel="0" collapsed="false">
      <c r="A929" s="61" t="n">
        <f aca="false">INDEX(Datos_Origen!$A$2:$A$2459,$Z929)</f>
        <v>928</v>
      </c>
      <c r="B929" s="62" t="n">
        <f aca="false">IF(ISNUMBER($AB929),$AB929,IF(MID($AB929,5,1)="-",DATE(VALUE(LEFT($AB929,4)),VALUE(MID($AB929,6,2)),VALUE(RIGHT($AB929,2))),DATE(VALUE(RIGHT($AB929,4)),VALUE(MID($AB929,4,2)),VALUE(LEFT($AB929,2)))))</f>
        <v>45582</v>
      </c>
      <c r="C929" s="61" t="n">
        <f aca="false">YEAR($B929)</f>
        <v>2024</v>
      </c>
      <c r="D929" s="61" t="str">
        <f aca="false">"Q"&amp;ROUNDUP(MONTH($B929)/3,0)</f>
        <v>Q4</v>
      </c>
      <c r="E929" s="61" t="n">
        <f aca="false">MONTH($B929)</f>
        <v>10</v>
      </c>
      <c r="F929" s="61" t="str">
        <f aca="false">INDEX(Parametros!$I$5:$I$16,$E929)</f>
        <v>Oct</v>
      </c>
      <c r="G929" s="61" t="str">
        <f aca="false">TEXT($C929,"0000")&amp;"-"&amp;TEXT($E929,"00")</f>
        <v>2024-10</v>
      </c>
      <c r="H929" s="61" t="str">
        <f aca="false">INDEX(Parametros!$C$71:$C$91,MATCH(TRIM(INDEX(Datos_Origen!$C$2:$C$2459,$Z929)),Parametros!$B$71:$B$91,0))</f>
        <v>Centro</v>
      </c>
      <c r="I929" s="61" t="str">
        <f aca="false">IF(TRIM($AD929)="",INDEX(Parametros!$I$20:$I$24,MATCH($H929,Parametros!$H$20:$H$24,0)),TRIM($AD929))</f>
        <v>Cordoba</v>
      </c>
      <c r="J929" s="61" t="str">
        <f aca="false">INDEX(Parametros!$C$95:$C$106,MATCH(TRIM(INDEX(Datos_Origen!$E$2:$E$2459,$Z929)),Parametros!$B$95:$B$106,0))</f>
        <v>E-commerce</v>
      </c>
      <c r="K929" s="61" t="str">
        <f aca="false">INDEX(Parametros!$C$48:$C$67,MATCH(TRIM(INDEX(Datos_Origen!$F$2:$F$2459,$Z929)),Parametros!$B$48:$B$67,0))</f>
        <v>Accesorios</v>
      </c>
      <c r="L929" s="61" t="str">
        <f aca="false">$K929&amp;" "&amp;$C929</f>
        <v>Accesorios 2024</v>
      </c>
      <c r="M929" s="61" t="str">
        <f aca="false">TRIM(INDEX(Datos_Origen!$G$2:$G$2459,$Z929))</f>
        <v>Mouse Inalambrico</v>
      </c>
      <c r="N929" s="61" t="str">
        <f aca="false">$M929&amp;" "&amp;$C929</f>
        <v>Mouse Inalambrico 2024</v>
      </c>
      <c r="O929" s="63" t="n">
        <f aca="false">IF(ISTEXT($AC929),VALUE($AC929),$AC929)</f>
        <v>23</v>
      </c>
      <c r="P929" s="64" t="n">
        <f aca="false">INDEX(Datos_Origen!$I$2:$I$2459,$Z929)</f>
        <v>27.44</v>
      </c>
      <c r="Q929" s="64" t="n">
        <f aca="false">INDEX(Datos_Origen!$J$2:$J$2459,$Z929)</f>
        <v>13.44</v>
      </c>
      <c r="R929" s="65" t="n">
        <f aca="false">ROUND($O929*$P929,2)</f>
        <v>631.12</v>
      </c>
      <c r="S929" s="65" t="n">
        <f aca="false">ROUND($O929*$Q929,2)</f>
        <v>309.12</v>
      </c>
      <c r="T929" s="65" t="n">
        <f aca="false">ROUND($R929*SUMIFS(Parametros!$E$28:$E$43,Parametros!$B$28:$B$43,$J929,Parametros!$C$28:$C$43,$C929,Parametros!$D$28:$D$43,$D929),2)</f>
        <v>30.29</v>
      </c>
      <c r="U929" s="65" t="n">
        <f aca="false">$R929-$S929-$T929</f>
        <v>291.71</v>
      </c>
      <c r="V929" s="66" t="n">
        <f aca="false">IFERROR($U929/$R929,0)</f>
        <v>0.462210039295221</v>
      </c>
      <c r="W929" s="67" t="str">
        <f aca="false">IF(AND($V929&gt;=Parametros!$C$8,$R929&gt;=Parametros!$C$12),"Alta rentabilidad",IF(OR($V929&lt;Parametros!$C$11,$R929&lt;Parametros!$C$13),"Revisar","Estandar"))</f>
        <v>Estandar</v>
      </c>
      <c r="X929" s="67" t="str">
        <f aca="false">IF(AND($J929="E-commerce",IFERROR($T929/$R929,0)&gt;Parametros!$C$14),"Alerta","OK")</f>
        <v>OK</v>
      </c>
      <c r="Y929" s="61" t="str">
        <f aca="false">IF($R929&gt;=Parametros!$C$12,"Alto",IF($R929&lt;Parametros!$C$13,"Bajo","Medio"))</f>
        <v>Medio</v>
      </c>
      <c r="Z929" s="61" t="n">
        <v>2029</v>
      </c>
      <c r="AA929" s="61" t="str">
        <f aca="false">IF(MATCH($A929,Datos_Origen!$A$2:$A$2459,0)=$Z929,"OK","REVISAR")</f>
        <v>OK</v>
      </c>
      <c r="AB929" s="61" t="str">
        <f aca="false">INDEX(Datos_Origen!$B$2:$B$2459,$Z929)</f>
        <v>17/10/2024</v>
      </c>
      <c r="AC929" s="61" t="n">
        <f aca="false">INDEX(Datos_Origen!$H$2:$H$2459,$Z929)</f>
        <v>23</v>
      </c>
      <c r="AD929" s="61" t="str">
        <f aca="false">INDEX(Datos_Origen!$D$2:$D$2459,$Z929)&amp;""</f>
        <v>Cordoba</v>
      </c>
    </row>
    <row r="930" customFormat="false" ht="15" hidden="false" customHeight="false" outlineLevel="0" collapsed="false">
      <c r="A930" s="61" t="n">
        <f aca="false">INDEX(Datos_Origen!$A$2:$A$2459,$Z930)</f>
        <v>929</v>
      </c>
      <c r="B930" s="62" t="n">
        <f aca="false">IF(ISNUMBER($AB930),$AB930,IF(MID($AB930,5,1)="-",DATE(VALUE(LEFT($AB930,4)),VALUE(MID($AB930,6,2)),VALUE(RIGHT($AB930,2))),DATE(VALUE(RIGHT($AB930,4)),VALUE(MID($AB930,4,2)),VALUE(LEFT($AB930,2)))))</f>
        <v>45589</v>
      </c>
      <c r="C930" s="61" t="n">
        <f aca="false">YEAR($B930)</f>
        <v>2024</v>
      </c>
      <c r="D930" s="61" t="str">
        <f aca="false">"Q"&amp;ROUNDUP(MONTH($B930)/3,0)</f>
        <v>Q4</v>
      </c>
      <c r="E930" s="61" t="n">
        <f aca="false">MONTH($B930)</f>
        <v>10</v>
      </c>
      <c r="F930" s="61" t="str">
        <f aca="false">INDEX(Parametros!$I$5:$I$16,$E930)</f>
        <v>Oct</v>
      </c>
      <c r="G930" s="61" t="str">
        <f aca="false">TEXT($C930,"0000")&amp;"-"&amp;TEXT($E930,"00")</f>
        <v>2024-10</v>
      </c>
      <c r="H930" s="61" t="str">
        <f aca="false">INDEX(Parametros!$C$71:$C$91,MATCH(TRIM(INDEX(Datos_Origen!$C$2:$C$2459,$Z930)),Parametros!$B$71:$B$91,0))</f>
        <v>Centro</v>
      </c>
      <c r="I930" s="61" t="str">
        <f aca="false">IF(TRIM($AD930)="",INDEX(Parametros!$I$20:$I$24,MATCH($H930,Parametros!$H$20:$H$24,0)),TRIM($AD930))</f>
        <v>Cordoba</v>
      </c>
      <c r="J930" s="61" t="str">
        <f aca="false">INDEX(Parametros!$C$95:$C$106,MATCH(TRIM(INDEX(Datos_Origen!$E$2:$E$2459,$Z930)),Parametros!$B$95:$B$106,0))</f>
        <v>Tienda fisica</v>
      </c>
      <c r="K930" s="61" t="str">
        <f aca="false">INDEX(Parametros!$C$48:$C$67,MATCH(TRIM(INDEX(Datos_Origen!$F$2:$F$2459,$Z930)),Parametros!$B$48:$B$67,0))</f>
        <v>Accesorios</v>
      </c>
      <c r="L930" s="61" t="str">
        <f aca="false">$K930&amp;" "&amp;$C930</f>
        <v>Accesorios 2024</v>
      </c>
      <c r="M930" s="61" t="str">
        <f aca="false">TRIM(INDEX(Datos_Origen!$G$2:$G$2459,$Z930))</f>
        <v>Teclado Mecanico</v>
      </c>
      <c r="N930" s="61" t="str">
        <f aca="false">$M930&amp;" "&amp;$C930</f>
        <v>Teclado Mecanico 2024</v>
      </c>
      <c r="O930" s="63" t="n">
        <f aca="false">IF(ISTEXT($AC930),VALUE($AC930),$AC930)</f>
        <v>56</v>
      </c>
      <c r="P930" s="64" t="n">
        <f aca="false">INDEX(Datos_Origen!$I$2:$I$2459,$Z930)</f>
        <v>93.1</v>
      </c>
      <c r="Q930" s="64" t="n">
        <f aca="false">INDEX(Datos_Origen!$J$2:$J$2459,$Z930)</f>
        <v>47.98</v>
      </c>
      <c r="R930" s="65" t="n">
        <f aca="false">ROUND($O930*$P930,2)</f>
        <v>5213.6</v>
      </c>
      <c r="S930" s="65" t="n">
        <f aca="false">ROUND($O930*$Q930,2)</f>
        <v>2686.88</v>
      </c>
      <c r="T930" s="65" t="n">
        <f aca="false">ROUND($R930*SUMIFS(Parametros!$E$28:$E$43,Parametros!$B$28:$B$43,$J930,Parametros!$C$28:$C$43,$C930,Parametros!$D$28:$D$43,$D930),2)</f>
        <v>67.78</v>
      </c>
      <c r="U930" s="65" t="n">
        <f aca="false">$R930-$S930-$T930</f>
        <v>2458.94</v>
      </c>
      <c r="V930" s="66" t="n">
        <f aca="false">IFERROR($U930/$R930,0)</f>
        <v>0.471639558078871</v>
      </c>
      <c r="W930" s="67" t="str">
        <f aca="false">IF(AND($V930&gt;=Parametros!$C$8,$R930&gt;=Parametros!$C$12),"Alta rentabilidad",IF(OR($V930&lt;Parametros!$C$11,$R930&lt;Parametros!$C$13),"Revisar","Estandar"))</f>
        <v>Alta rentabilidad</v>
      </c>
      <c r="X930" s="67" t="str">
        <f aca="false">IF(AND($J930="E-commerce",IFERROR($T930/$R930,0)&gt;Parametros!$C$14),"Alerta","OK")</f>
        <v>OK</v>
      </c>
      <c r="Y930" s="61" t="str">
        <f aca="false">IF($R930&gt;=Parametros!$C$12,"Alto",IF($R930&lt;Parametros!$C$13,"Bajo","Medio"))</f>
        <v>Alto</v>
      </c>
      <c r="Z930" s="61" t="n">
        <v>1317</v>
      </c>
      <c r="AA930" s="61" t="str">
        <f aca="false">IF(MATCH($A930,Datos_Origen!$A$2:$A$2459,0)=$Z930,"OK","REVISAR")</f>
        <v>OK</v>
      </c>
      <c r="AB930" s="61" t="str">
        <f aca="false">INDEX(Datos_Origen!$B$2:$B$2459,$Z930)</f>
        <v>2024-10-24</v>
      </c>
      <c r="AC930" s="61" t="n">
        <f aca="false">INDEX(Datos_Origen!$H$2:$H$2459,$Z930)</f>
        <v>56</v>
      </c>
      <c r="AD930" s="61" t="str">
        <f aca="false">INDEX(Datos_Origen!$D$2:$D$2459,$Z930)&amp;""</f>
        <v>Cordoba</v>
      </c>
    </row>
    <row r="931" customFormat="false" ht="15" hidden="false" customHeight="false" outlineLevel="0" collapsed="false">
      <c r="A931" s="61" t="n">
        <f aca="false">INDEX(Datos_Origen!$A$2:$A$2459,$Z931)</f>
        <v>930</v>
      </c>
      <c r="B931" s="62" t="n">
        <f aca="false">IF(ISNUMBER($AB931),$AB931,IF(MID($AB931,5,1)="-",DATE(VALUE(LEFT($AB931,4)),VALUE(MID($AB931,6,2)),VALUE(RIGHT($AB931,2))),DATE(VALUE(RIGHT($AB931,4)),VALUE(MID($AB931,4,2)),VALUE(LEFT($AB931,2)))))</f>
        <v>45569</v>
      </c>
      <c r="C931" s="61" t="n">
        <f aca="false">YEAR($B931)</f>
        <v>2024</v>
      </c>
      <c r="D931" s="61" t="str">
        <f aca="false">"Q"&amp;ROUNDUP(MONTH($B931)/3,0)</f>
        <v>Q4</v>
      </c>
      <c r="E931" s="61" t="n">
        <f aca="false">MONTH($B931)</f>
        <v>10</v>
      </c>
      <c r="F931" s="61" t="str">
        <f aca="false">INDEX(Parametros!$I$5:$I$16,$E931)</f>
        <v>Oct</v>
      </c>
      <c r="G931" s="61" t="str">
        <f aca="false">TEXT($C931,"0000")&amp;"-"&amp;TEXT($E931,"00")</f>
        <v>2024-10</v>
      </c>
      <c r="H931" s="61" t="str">
        <f aca="false">INDEX(Parametros!$C$71:$C$91,MATCH(TRIM(INDEX(Datos_Origen!$C$2:$C$2459,$Z931)),Parametros!$B$71:$B$91,0))</f>
        <v>Centro</v>
      </c>
      <c r="I931" s="61" t="str">
        <f aca="false">IF(TRIM($AD931)="",INDEX(Parametros!$I$20:$I$24,MATCH($H931,Parametros!$H$20:$H$24,0)),TRIM($AD931))</f>
        <v>Cordoba</v>
      </c>
      <c r="J931" s="61" t="str">
        <f aca="false">INDEX(Parametros!$C$95:$C$106,MATCH(TRIM(INDEX(Datos_Origen!$E$2:$E$2459,$Z931)),Parametros!$B$95:$B$106,0))</f>
        <v>E-commerce</v>
      </c>
      <c r="K931" s="61" t="str">
        <f aca="false">INDEX(Parametros!$C$48:$C$67,MATCH(TRIM(INDEX(Datos_Origen!$F$2:$F$2459,$Z931)),Parametros!$B$48:$B$67,0))</f>
        <v>Accesorios</v>
      </c>
      <c r="L931" s="61" t="str">
        <f aca="false">$K931&amp;" "&amp;$C931</f>
        <v>Accesorios 2024</v>
      </c>
      <c r="M931" s="61" t="str">
        <f aca="false">TRIM(INDEX(Datos_Origen!$G$2:$G$2459,$Z931))</f>
        <v>Teclado Mecanico</v>
      </c>
      <c r="N931" s="61" t="str">
        <f aca="false">$M931&amp;" "&amp;$C931</f>
        <v>Teclado Mecanico 2024</v>
      </c>
      <c r="O931" s="63" t="n">
        <f aca="false">IF(ISTEXT($AC931),VALUE($AC931),$AC931)</f>
        <v>27</v>
      </c>
      <c r="P931" s="64" t="n">
        <f aca="false">INDEX(Datos_Origen!$I$2:$I$2459,$Z931)</f>
        <v>93.1</v>
      </c>
      <c r="Q931" s="64" t="n">
        <f aca="false">INDEX(Datos_Origen!$J$2:$J$2459,$Z931)</f>
        <v>47.98</v>
      </c>
      <c r="R931" s="65" t="n">
        <f aca="false">ROUND($O931*$P931,2)</f>
        <v>2513.7</v>
      </c>
      <c r="S931" s="65" t="n">
        <f aca="false">ROUND($O931*$Q931,2)</f>
        <v>1295.46</v>
      </c>
      <c r="T931" s="65" t="n">
        <f aca="false">ROUND($R931*SUMIFS(Parametros!$E$28:$E$43,Parametros!$B$28:$B$43,$J931,Parametros!$C$28:$C$43,$C931,Parametros!$D$28:$D$43,$D931),2)</f>
        <v>120.66</v>
      </c>
      <c r="U931" s="65" t="n">
        <f aca="false">$R931-$S931-$T931</f>
        <v>1097.58</v>
      </c>
      <c r="V931" s="66" t="n">
        <f aca="false">IFERROR($U931/$R931,0)</f>
        <v>0.436639217090345</v>
      </c>
      <c r="W931" s="67" t="str">
        <f aca="false">IF(AND($V931&gt;=Parametros!$C$8,$R931&gt;=Parametros!$C$12),"Alta rentabilidad",IF(OR($V931&lt;Parametros!$C$11,$R931&lt;Parametros!$C$13),"Revisar","Estandar"))</f>
        <v>Estandar</v>
      </c>
      <c r="X931" s="67" t="str">
        <f aca="false">IF(AND($J931="E-commerce",IFERROR($T931/$R931,0)&gt;Parametros!$C$14),"Alerta","OK")</f>
        <v>OK</v>
      </c>
      <c r="Y931" s="61" t="str">
        <f aca="false">IF($R931&gt;=Parametros!$C$12,"Alto",IF($R931&lt;Parametros!$C$13,"Bajo","Medio"))</f>
        <v>Medio</v>
      </c>
      <c r="Z931" s="61" t="n">
        <v>2244</v>
      </c>
      <c r="AA931" s="61" t="str">
        <f aca="false">IF(MATCH($A931,Datos_Origen!$A$2:$A$2459,0)=$Z931,"OK","REVISAR")</f>
        <v>OK</v>
      </c>
      <c r="AB931" s="62" t="n">
        <f aca="false">INDEX(Datos_Origen!$B$2:$B$2459,$Z931)</f>
        <v>45569</v>
      </c>
      <c r="AC931" s="61" t="n">
        <f aca="false">INDEX(Datos_Origen!$H$2:$H$2459,$Z931)</f>
        <v>27</v>
      </c>
      <c r="AD931" s="61" t="str">
        <f aca="false">INDEX(Datos_Origen!$D$2:$D$2459,$Z931)&amp;""</f>
        <v>Cordoba</v>
      </c>
    </row>
    <row r="932" customFormat="false" ht="15" hidden="false" customHeight="false" outlineLevel="0" collapsed="false">
      <c r="A932" s="61" t="n">
        <f aca="false">INDEX(Datos_Origen!$A$2:$A$2459,$Z932)</f>
        <v>931</v>
      </c>
      <c r="B932" s="62" t="n">
        <f aca="false">IF(ISNUMBER($AB932),$AB932,IF(MID($AB932,5,1)="-",DATE(VALUE(LEFT($AB932,4)),VALUE(MID($AB932,6,2)),VALUE(RIGHT($AB932,2))),DATE(VALUE(RIGHT($AB932,4)),VALUE(MID($AB932,4,2)),VALUE(LEFT($AB932,2)))))</f>
        <v>45576</v>
      </c>
      <c r="C932" s="61" t="n">
        <f aca="false">YEAR($B932)</f>
        <v>2024</v>
      </c>
      <c r="D932" s="61" t="str">
        <f aca="false">"Q"&amp;ROUNDUP(MONTH($B932)/3,0)</f>
        <v>Q4</v>
      </c>
      <c r="E932" s="61" t="n">
        <f aca="false">MONTH($B932)</f>
        <v>10</v>
      </c>
      <c r="F932" s="61" t="str">
        <f aca="false">INDEX(Parametros!$I$5:$I$16,$E932)</f>
        <v>Oct</v>
      </c>
      <c r="G932" s="61" t="str">
        <f aca="false">TEXT($C932,"0000")&amp;"-"&amp;TEXT($E932,"00")</f>
        <v>2024-10</v>
      </c>
      <c r="H932" s="61" t="str">
        <f aca="false">INDEX(Parametros!$C$71:$C$91,MATCH(TRIM(INDEX(Datos_Origen!$C$2:$C$2459,$Z932)),Parametros!$B$71:$B$91,0))</f>
        <v>Centro</v>
      </c>
      <c r="I932" s="61" t="str">
        <f aca="false">IF(TRIM($AD932)="",INDEX(Parametros!$I$20:$I$24,MATCH($H932,Parametros!$H$20:$H$24,0)),TRIM($AD932))</f>
        <v>Cordoba</v>
      </c>
      <c r="J932" s="61" t="str">
        <f aca="false">INDEX(Parametros!$C$95:$C$106,MATCH(TRIM(INDEX(Datos_Origen!$E$2:$E$2459,$Z932)),Parametros!$B$95:$B$106,0))</f>
        <v>Tienda fisica</v>
      </c>
      <c r="K932" s="61" t="str">
        <f aca="false">INDEX(Parametros!$C$48:$C$67,MATCH(TRIM(INDEX(Datos_Origen!$F$2:$F$2459,$Z932)),Parametros!$B$48:$B$67,0))</f>
        <v>Accesorios</v>
      </c>
      <c r="L932" s="61" t="str">
        <f aca="false">$K932&amp;" "&amp;$C932</f>
        <v>Accesorios 2024</v>
      </c>
      <c r="M932" s="61" t="str">
        <f aca="false">TRIM(INDEX(Datos_Origen!$G$2:$G$2459,$Z932))</f>
        <v>Webcam Full HD</v>
      </c>
      <c r="N932" s="61" t="str">
        <f aca="false">$M932&amp;" "&amp;$C932</f>
        <v>Webcam Full HD 2024</v>
      </c>
      <c r="O932" s="63" t="n">
        <f aca="false">IF(ISTEXT($AC932),VALUE($AC932),$AC932)</f>
        <v>65</v>
      </c>
      <c r="P932" s="64" t="n">
        <f aca="false">INDEX(Datos_Origen!$I$2:$I$2459,$Z932)</f>
        <v>63.7</v>
      </c>
      <c r="Q932" s="64" t="n">
        <f aca="false">INDEX(Datos_Origen!$J$2:$J$2459,$Z932)</f>
        <v>35.43</v>
      </c>
      <c r="R932" s="65" t="n">
        <f aca="false">ROUND($O932*$P932,2)</f>
        <v>4140.5</v>
      </c>
      <c r="S932" s="65" t="n">
        <f aca="false">ROUND($O932*$Q932,2)</f>
        <v>2302.95</v>
      </c>
      <c r="T932" s="65" t="n">
        <f aca="false">ROUND($R932*SUMIFS(Parametros!$E$28:$E$43,Parametros!$B$28:$B$43,$J932,Parametros!$C$28:$C$43,$C932,Parametros!$D$28:$D$43,$D932),2)</f>
        <v>53.83</v>
      </c>
      <c r="U932" s="65" t="n">
        <f aca="false">$R932-$S932-$T932</f>
        <v>1783.72</v>
      </c>
      <c r="V932" s="66" t="n">
        <f aca="false">IFERROR($U932/$R932,0)</f>
        <v>0.430798212776235</v>
      </c>
      <c r="W932" s="67" t="str">
        <f aca="false">IF(AND($V932&gt;=Parametros!$C$8,$R932&gt;=Parametros!$C$12),"Alta rentabilidad",IF(OR($V932&lt;Parametros!$C$11,$R932&lt;Parametros!$C$13),"Revisar","Estandar"))</f>
        <v>Alta rentabilidad</v>
      </c>
      <c r="X932" s="67" t="str">
        <f aca="false">IF(AND($J932="E-commerce",IFERROR($T932/$R932,0)&gt;Parametros!$C$14),"Alerta","OK")</f>
        <v>OK</v>
      </c>
      <c r="Y932" s="61" t="str">
        <f aca="false">IF($R932&gt;=Parametros!$C$12,"Alto",IF($R932&lt;Parametros!$C$13,"Bajo","Medio"))</f>
        <v>Alto</v>
      </c>
      <c r="Z932" s="61" t="n">
        <v>1176</v>
      </c>
      <c r="AA932" s="61" t="str">
        <f aca="false">IF(MATCH($A932,Datos_Origen!$A$2:$A$2459,0)=$Z932,"OK","REVISAR")</f>
        <v>OK</v>
      </c>
      <c r="AB932" s="62" t="n">
        <f aca="false">INDEX(Datos_Origen!$B$2:$B$2459,$Z932)</f>
        <v>45576</v>
      </c>
      <c r="AC932" s="61" t="n">
        <f aca="false">INDEX(Datos_Origen!$H$2:$H$2459,$Z932)</f>
        <v>65</v>
      </c>
      <c r="AD932" s="61" t="str">
        <f aca="false">INDEX(Datos_Origen!$D$2:$D$2459,$Z932)&amp;""</f>
        <v>Cordoba</v>
      </c>
    </row>
    <row r="933" customFormat="false" ht="15" hidden="false" customHeight="false" outlineLevel="0" collapsed="false">
      <c r="A933" s="61" t="n">
        <f aca="false">INDEX(Datos_Origen!$A$2:$A$2459,$Z933)</f>
        <v>932</v>
      </c>
      <c r="B933" s="62" t="n">
        <f aca="false">IF(ISNUMBER($AB933),$AB933,IF(MID($AB933,5,1)="-",DATE(VALUE(LEFT($AB933,4)),VALUE(MID($AB933,6,2)),VALUE(RIGHT($AB933,2))),DATE(VALUE(RIGHT($AB933,4)),VALUE(MID($AB933,4,2)),VALUE(LEFT($AB933,2)))))</f>
        <v>45583</v>
      </c>
      <c r="C933" s="61" t="n">
        <f aca="false">YEAR($B933)</f>
        <v>2024</v>
      </c>
      <c r="D933" s="61" t="str">
        <f aca="false">"Q"&amp;ROUNDUP(MONTH($B933)/3,0)</f>
        <v>Q4</v>
      </c>
      <c r="E933" s="61" t="n">
        <f aca="false">MONTH($B933)</f>
        <v>10</v>
      </c>
      <c r="F933" s="61" t="str">
        <f aca="false">INDEX(Parametros!$I$5:$I$16,$E933)</f>
        <v>Oct</v>
      </c>
      <c r="G933" s="61" t="str">
        <f aca="false">TEXT($C933,"0000")&amp;"-"&amp;TEXT($E933,"00")</f>
        <v>2024-10</v>
      </c>
      <c r="H933" s="61" t="str">
        <f aca="false">INDEX(Parametros!$C$71:$C$91,MATCH(TRIM(INDEX(Datos_Origen!$C$2:$C$2459,$Z933)),Parametros!$B$71:$B$91,0))</f>
        <v>Centro</v>
      </c>
      <c r="I933" s="61" t="str">
        <f aca="false">IF(TRIM($AD933)="",INDEX(Parametros!$I$20:$I$24,MATCH($H933,Parametros!$H$20:$H$24,0)),TRIM($AD933))</f>
        <v>Cordoba</v>
      </c>
      <c r="J933" s="61" t="str">
        <f aca="false">INDEX(Parametros!$C$95:$C$106,MATCH(TRIM(INDEX(Datos_Origen!$E$2:$E$2459,$Z933)),Parametros!$B$95:$B$106,0))</f>
        <v>E-commerce</v>
      </c>
      <c r="K933" s="61" t="str">
        <f aca="false">INDEX(Parametros!$C$48:$C$67,MATCH(TRIM(INDEX(Datos_Origen!$F$2:$F$2459,$Z933)),Parametros!$B$48:$B$67,0))</f>
        <v>Accesorios</v>
      </c>
      <c r="L933" s="61" t="str">
        <f aca="false">$K933&amp;" "&amp;$C933</f>
        <v>Accesorios 2024</v>
      </c>
      <c r="M933" s="61" t="str">
        <f aca="false">TRIM(INDEX(Datos_Origen!$G$2:$G$2459,$Z933))</f>
        <v>Webcam Full HD</v>
      </c>
      <c r="N933" s="61" t="str">
        <f aca="false">$M933&amp;" "&amp;$C933</f>
        <v>Webcam Full HD 2024</v>
      </c>
      <c r="O933" s="63" t="n">
        <f aca="false">IF(ISTEXT($AC933),VALUE($AC933),$AC933)</f>
        <v>21</v>
      </c>
      <c r="P933" s="64" t="n">
        <f aca="false">INDEX(Datos_Origen!$I$2:$I$2459,$Z933)</f>
        <v>63.7</v>
      </c>
      <c r="Q933" s="64" t="n">
        <f aca="false">INDEX(Datos_Origen!$J$2:$J$2459,$Z933)</f>
        <v>35.43</v>
      </c>
      <c r="R933" s="65" t="n">
        <f aca="false">ROUND($O933*$P933,2)</f>
        <v>1337.7</v>
      </c>
      <c r="S933" s="65" t="n">
        <f aca="false">ROUND($O933*$Q933,2)</f>
        <v>744.03</v>
      </c>
      <c r="T933" s="65" t="n">
        <f aca="false">ROUND($R933*SUMIFS(Parametros!$E$28:$E$43,Parametros!$B$28:$B$43,$J933,Parametros!$C$28:$C$43,$C933,Parametros!$D$28:$D$43,$D933),2)</f>
        <v>64.21</v>
      </c>
      <c r="U933" s="65" t="n">
        <f aca="false">$R933-$S933-$T933</f>
        <v>529.46</v>
      </c>
      <c r="V933" s="66" t="n">
        <f aca="false">IFERROR($U933/$R933,0)</f>
        <v>0.395798759064065</v>
      </c>
      <c r="W933" s="67" t="str">
        <f aca="false">IF(AND($V933&gt;=Parametros!$C$8,$R933&gt;=Parametros!$C$12),"Alta rentabilidad",IF(OR($V933&lt;Parametros!$C$11,$R933&lt;Parametros!$C$13),"Revisar","Estandar"))</f>
        <v>Estandar</v>
      </c>
      <c r="X933" s="67" t="str">
        <f aca="false">IF(AND($J933="E-commerce",IFERROR($T933/$R933,0)&gt;Parametros!$C$14),"Alerta","OK")</f>
        <v>OK</v>
      </c>
      <c r="Y933" s="61" t="str">
        <f aca="false">IF($R933&gt;=Parametros!$C$12,"Alto",IF($R933&lt;Parametros!$C$13,"Bajo","Medio"))</f>
        <v>Medio</v>
      </c>
      <c r="Z933" s="61" t="n">
        <v>2200</v>
      </c>
      <c r="AA933" s="61" t="str">
        <f aca="false">IF(MATCH($A933,Datos_Origen!$A$2:$A$2459,0)=$Z933,"OK","REVISAR")</f>
        <v>OK</v>
      </c>
      <c r="AB933" s="61" t="str">
        <f aca="false">INDEX(Datos_Origen!$B$2:$B$2459,$Z933)</f>
        <v>18/10/2024</v>
      </c>
      <c r="AC933" s="61" t="n">
        <f aca="false">INDEX(Datos_Origen!$H$2:$H$2459,$Z933)</f>
        <v>21</v>
      </c>
      <c r="AD933" s="61" t="str">
        <f aca="false">INDEX(Datos_Origen!$D$2:$D$2459,$Z933)&amp;""</f>
        <v>Cordoba</v>
      </c>
    </row>
    <row r="934" customFormat="false" ht="15" hidden="false" customHeight="false" outlineLevel="0" collapsed="false">
      <c r="A934" s="61" t="n">
        <f aca="false">INDEX(Datos_Origen!$A$2:$A$2459,$Z934)</f>
        <v>933</v>
      </c>
      <c r="B934" s="62" t="n">
        <f aca="false">IF(ISNUMBER($AB934),$AB934,IF(MID($AB934,5,1)="-",DATE(VALUE(LEFT($AB934,4)),VALUE(MID($AB934,6,2)),VALUE(RIGHT($AB934,2))),DATE(VALUE(RIGHT($AB934,4)),VALUE(MID($AB934,4,2)),VALUE(LEFT($AB934,2)))))</f>
        <v>45590</v>
      </c>
      <c r="C934" s="61" t="n">
        <f aca="false">YEAR($B934)</f>
        <v>2024</v>
      </c>
      <c r="D934" s="61" t="str">
        <f aca="false">"Q"&amp;ROUNDUP(MONTH($B934)/3,0)</f>
        <v>Q4</v>
      </c>
      <c r="E934" s="61" t="n">
        <f aca="false">MONTH($B934)</f>
        <v>10</v>
      </c>
      <c r="F934" s="61" t="str">
        <f aca="false">INDEX(Parametros!$I$5:$I$16,$E934)</f>
        <v>Oct</v>
      </c>
      <c r="G934" s="61" t="str">
        <f aca="false">TEXT($C934,"0000")&amp;"-"&amp;TEXT($E934,"00")</f>
        <v>2024-10</v>
      </c>
      <c r="H934" s="61" t="str">
        <f aca="false">INDEX(Parametros!$C$71:$C$91,MATCH(TRIM(INDEX(Datos_Origen!$C$2:$C$2459,$Z934)),Parametros!$B$71:$B$91,0))</f>
        <v>Centro</v>
      </c>
      <c r="I934" s="61" t="str">
        <f aca="false">IF(TRIM($AD934)="",INDEX(Parametros!$I$20:$I$24,MATCH($H934,Parametros!$H$20:$H$24,0)),TRIM($AD934))</f>
        <v>Cordoba</v>
      </c>
      <c r="J934" s="61" t="str">
        <f aca="false">INDEX(Parametros!$C$95:$C$106,MATCH(TRIM(INDEX(Datos_Origen!$E$2:$E$2459,$Z934)),Parametros!$B$95:$B$106,0))</f>
        <v>Tienda fisica</v>
      </c>
      <c r="K934" s="61" t="str">
        <f aca="false">INDEX(Parametros!$C$48:$C$67,MATCH(TRIM(INDEX(Datos_Origen!$F$2:$F$2459,$Z934)),Parametros!$B$48:$B$67,0))</f>
        <v>Audio</v>
      </c>
      <c r="L934" s="61" t="str">
        <f aca="false">$K934&amp;" "&amp;$C934</f>
        <v>Audio 2024</v>
      </c>
      <c r="M934" s="61" t="str">
        <f aca="false">TRIM(INDEX(Datos_Origen!$G$2:$G$2459,$Z934))</f>
        <v>Auriculares BT Pro</v>
      </c>
      <c r="N934" s="61" t="str">
        <f aca="false">$M934&amp;" "&amp;$C934</f>
        <v>Auriculares BT Pro 2024</v>
      </c>
      <c r="O934" s="63" t="n">
        <f aca="false">IF(ISTEXT($AC934),VALUE($AC934),$AC934)</f>
        <v>27</v>
      </c>
      <c r="P934" s="64" t="n">
        <f aca="false">INDEX(Datos_Origen!$I$2:$I$2459,$Z934)</f>
        <v>117.6</v>
      </c>
      <c r="Q934" s="64" t="n">
        <f aca="false">INDEX(Datos_Origen!$J$2:$J$2459,$Z934)</f>
        <v>63.6</v>
      </c>
      <c r="R934" s="65" t="n">
        <f aca="false">ROUND($O934*$P934,2)</f>
        <v>3175.2</v>
      </c>
      <c r="S934" s="65" t="n">
        <f aca="false">ROUND($O934*$Q934,2)</f>
        <v>1717.2</v>
      </c>
      <c r="T934" s="65" t="n">
        <f aca="false">ROUND($R934*SUMIFS(Parametros!$E$28:$E$43,Parametros!$B$28:$B$43,$J934,Parametros!$C$28:$C$43,$C934,Parametros!$D$28:$D$43,$D934),2)</f>
        <v>41.28</v>
      </c>
      <c r="U934" s="65" t="n">
        <f aca="false">$R934-$S934-$T934</f>
        <v>1416.72</v>
      </c>
      <c r="V934" s="66" t="n">
        <f aca="false">IFERROR($U934/$R934,0)</f>
        <v>0.446182917611489</v>
      </c>
      <c r="W934" s="67" t="str">
        <f aca="false">IF(AND($V934&gt;=Parametros!$C$8,$R934&gt;=Parametros!$C$12),"Alta rentabilidad",IF(OR($V934&lt;Parametros!$C$11,$R934&lt;Parametros!$C$13),"Revisar","Estandar"))</f>
        <v>Alta rentabilidad</v>
      </c>
      <c r="X934" s="67" t="str">
        <f aca="false">IF(AND($J934="E-commerce",IFERROR($T934/$R934,0)&gt;Parametros!$C$14),"Alerta","OK")</f>
        <v>OK</v>
      </c>
      <c r="Y934" s="61" t="str">
        <f aca="false">IF($R934&gt;=Parametros!$C$12,"Alto",IF($R934&lt;Parametros!$C$13,"Bajo","Medio"))</f>
        <v>Alto</v>
      </c>
      <c r="Z934" s="61" t="n">
        <v>1174</v>
      </c>
      <c r="AA934" s="61" t="str">
        <f aca="false">IF(MATCH($A934,Datos_Origen!$A$2:$A$2459,0)=$Z934,"OK","REVISAR")</f>
        <v>OK</v>
      </c>
      <c r="AB934" s="62" t="n">
        <f aca="false">INDEX(Datos_Origen!$B$2:$B$2459,$Z934)</f>
        <v>45590</v>
      </c>
      <c r="AC934" s="61" t="n">
        <f aca="false">INDEX(Datos_Origen!$H$2:$H$2459,$Z934)</f>
        <v>27</v>
      </c>
      <c r="AD934" s="61" t="str">
        <f aca="false">INDEX(Datos_Origen!$D$2:$D$2459,$Z934)&amp;""</f>
        <v>Cordoba</v>
      </c>
    </row>
    <row r="935" customFormat="false" ht="15" hidden="false" customHeight="false" outlineLevel="0" collapsed="false">
      <c r="A935" s="61" t="n">
        <f aca="false">INDEX(Datos_Origen!$A$2:$A$2459,$Z935)</f>
        <v>934</v>
      </c>
      <c r="B935" s="62" t="n">
        <f aca="false">IF(ISNUMBER($AB935),$AB935,IF(MID($AB935,5,1)="-",DATE(VALUE(LEFT($AB935,4)),VALUE(MID($AB935,6,2)),VALUE(RIGHT($AB935,2))),DATE(VALUE(RIGHT($AB935,4)),VALUE(MID($AB935,4,2)),VALUE(LEFT($AB935,2)))))</f>
        <v>45570</v>
      </c>
      <c r="C935" s="61" t="n">
        <f aca="false">YEAR($B935)</f>
        <v>2024</v>
      </c>
      <c r="D935" s="61" t="str">
        <f aca="false">"Q"&amp;ROUNDUP(MONTH($B935)/3,0)</f>
        <v>Q4</v>
      </c>
      <c r="E935" s="61" t="n">
        <f aca="false">MONTH($B935)</f>
        <v>10</v>
      </c>
      <c r="F935" s="61" t="str">
        <f aca="false">INDEX(Parametros!$I$5:$I$16,$E935)</f>
        <v>Oct</v>
      </c>
      <c r="G935" s="61" t="str">
        <f aca="false">TEXT($C935,"0000")&amp;"-"&amp;TEXT($E935,"00")</f>
        <v>2024-10</v>
      </c>
      <c r="H935" s="61" t="str">
        <f aca="false">INDEX(Parametros!$C$71:$C$91,MATCH(TRIM(INDEX(Datos_Origen!$C$2:$C$2459,$Z935)),Parametros!$B$71:$B$91,0))</f>
        <v>Centro</v>
      </c>
      <c r="I935" s="61" t="str">
        <f aca="false">IF(TRIM($AD935)="",INDEX(Parametros!$I$20:$I$24,MATCH($H935,Parametros!$H$20:$H$24,0)),TRIM($AD935))</f>
        <v>Cordoba</v>
      </c>
      <c r="J935" s="61" t="str">
        <f aca="false">INDEX(Parametros!$C$95:$C$106,MATCH(TRIM(INDEX(Datos_Origen!$E$2:$E$2459,$Z935)),Parametros!$B$95:$B$106,0))</f>
        <v>E-commerce</v>
      </c>
      <c r="K935" s="61" t="str">
        <f aca="false">INDEX(Parametros!$C$48:$C$67,MATCH(TRIM(INDEX(Datos_Origen!$F$2:$F$2459,$Z935)),Parametros!$B$48:$B$67,0))</f>
        <v>Audio</v>
      </c>
      <c r="L935" s="61" t="str">
        <f aca="false">$K935&amp;" "&amp;$C935</f>
        <v>Audio 2024</v>
      </c>
      <c r="M935" s="61" t="str">
        <f aca="false">TRIM(INDEX(Datos_Origen!$G$2:$G$2459,$Z935))</f>
        <v>Auriculares BT Pro</v>
      </c>
      <c r="N935" s="61" t="str">
        <f aca="false">$M935&amp;" "&amp;$C935</f>
        <v>Auriculares BT Pro 2024</v>
      </c>
      <c r="O935" s="63" t="n">
        <f aca="false">IF(ISTEXT($AC935),VALUE($AC935),$AC935)</f>
        <v>12</v>
      </c>
      <c r="P935" s="64" t="n">
        <f aca="false">INDEX(Datos_Origen!$I$2:$I$2459,$Z935)</f>
        <v>117.6</v>
      </c>
      <c r="Q935" s="64" t="n">
        <f aca="false">INDEX(Datos_Origen!$J$2:$J$2459,$Z935)</f>
        <v>63.6</v>
      </c>
      <c r="R935" s="65" t="n">
        <f aca="false">ROUND($O935*$P935,2)</f>
        <v>1411.2</v>
      </c>
      <c r="S935" s="65" t="n">
        <f aca="false">ROUND($O935*$Q935,2)</f>
        <v>763.2</v>
      </c>
      <c r="T935" s="65" t="n">
        <f aca="false">ROUND($R935*SUMIFS(Parametros!$E$28:$E$43,Parametros!$B$28:$B$43,$J935,Parametros!$C$28:$C$43,$C935,Parametros!$D$28:$D$43,$D935),2)</f>
        <v>67.74</v>
      </c>
      <c r="U935" s="65" t="n">
        <f aca="false">$R935-$S935-$T935</f>
        <v>580.26</v>
      </c>
      <c r="V935" s="66" t="n">
        <f aca="false">IFERROR($U935/$R935,0)</f>
        <v>0.411181972789116</v>
      </c>
      <c r="W935" s="67" t="str">
        <f aca="false">IF(AND($V935&gt;=Parametros!$C$8,$R935&gt;=Parametros!$C$12),"Alta rentabilidad",IF(OR($V935&lt;Parametros!$C$11,$R935&lt;Parametros!$C$13),"Revisar","Estandar"))</f>
        <v>Estandar</v>
      </c>
      <c r="X935" s="67" t="str">
        <f aca="false">IF(AND($J935="E-commerce",IFERROR($T935/$R935,0)&gt;Parametros!$C$14),"Alerta","OK")</f>
        <v>OK</v>
      </c>
      <c r="Y935" s="61" t="str">
        <f aca="false">IF($R935&gt;=Parametros!$C$12,"Alto",IF($R935&lt;Parametros!$C$13,"Bajo","Medio"))</f>
        <v>Medio</v>
      </c>
      <c r="Z935" s="61" t="n">
        <v>1897</v>
      </c>
      <c r="AA935" s="61" t="str">
        <f aca="false">IF(MATCH($A935,Datos_Origen!$A$2:$A$2459,0)=$Z935,"OK","REVISAR")</f>
        <v>OK</v>
      </c>
      <c r="AB935" s="62" t="n">
        <f aca="false">INDEX(Datos_Origen!$B$2:$B$2459,$Z935)</f>
        <v>45570</v>
      </c>
      <c r="AC935" s="61" t="n">
        <f aca="false">INDEX(Datos_Origen!$H$2:$H$2459,$Z935)</f>
        <v>12</v>
      </c>
      <c r="AD935" s="61" t="str">
        <f aca="false">INDEX(Datos_Origen!$D$2:$D$2459,$Z935)&amp;""</f>
        <v>Cordoba</v>
      </c>
    </row>
    <row r="936" customFormat="false" ht="15" hidden="false" customHeight="false" outlineLevel="0" collapsed="false">
      <c r="A936" s="61" t="n">
        <f aca="false">INDEX(Datos_Origen!$A$2:$A$2459,$Z936)</f>
        <v>935</v>
      </c>
      <c r="B936" s="62" t="n">
        <f aca="false">IF(ISNUMBER($AB936),$AB936,IF(MID($AB936,5,1)="-",DATE(VALUE(LEFT($AB936,4)),VALUE(MID($AB936,6,2)),VALUE(RIGHT($AB936,2))),DATE(VALUE(RIGHT($AB936,4)),VALUE(MID($AB936,4,2)),VALUE(LEFT($AB936,2)))))</f>
        <v>45577</v>
      </c>
      <c r="C936" s="61" t="n">
        <f aca="false">YEAR($B936)</f>
        <v>2024</v>
      </c>
      <c r="D936" s="61" t="str">
        <f aca="false">"Q"&amp;ROUNDUP(MONTH($B936)/3,0)</f>
        <v>Q4</v>
      </c>
      <c r="E936" s="61" t="n">
        <f aca="false">MONTH($B936)</f>
        <v>10</v>
      </c>
      <c r="F936" s="61" t="str">
        <f aca="false">INDEX(Parametros!$I$5:$I$16,$E936)</f>
        <v>Oct</v>
      </c>
      <c r="G936" s="61" t="str">
        <f aca="false">TEXT($C936,"0000")&amp;"-"&amp;TEXT($E936,"00")</f>
        <v>2024-10</v>
      </c>
      <c r="H936" s="61" t="str">
        <f aca="false">INDEX(Parametros!$C$71:$C$91,MATCH(TRIM(INDEX(Datos_Origen!$C$2:$C$2459,$Z936)),Parametros!$B$71:$B$91,0))</f>
        <v>Centro</v>
      </c>
      <c r="I936" s="61" t="str">
        <f aca="false">IF(TRIM($AD936)="",INDEX(Parametros!$I$20:$I$24,MATCH($H936,Parametros!$H$20:$H$24,0)),TRIM($AD936))</f>
        <v>Cordoba</v>
      </c>
      <c r="J936" s="61" t="str">
        <f aca="false">INDEX(Parametros!$C$95:$C$106,MATCH(TRIM(INDEX(Datos_Origen!$E$2:$E$2459,$Z936)),Parametros!$B$95:$B$106,0))</f>
        <v>Tienda fisica</v>
      </c>
      <c r="K936" s="61" t="str">
        <f aca="false">INDEX(Parametros!$C$48:$C$67,MATCH(TRIM(INDEX(Datos_Origen!$F$2:$F$2459,$Z936)),Parametros!$B$48:$B$67,0))</f>
        <v>Audio</v>
      </c>
      <c r="L936" s="61" t="str">
        <f aca="false">$K936&amp;" "&amp;$C936</f>
        <v>Audio 2024</v>
      </c>
      <c r="M936" s="61" t="str">
        <f aca="false">TRIM(INDEX(Datos_Origen!$G$2:$G$2459,$Z936))</f>
        <v>Parlante Bluetooth</v>
      </c>
      <c r="N936" s="61" t="str">
        <f aca="false">$M936&amp;" "&amp;$C936</f>
        <v>Parlante Bluetooth 2024</v>
      </c>
      <c r="O936" s="63" t="n">
        <f aca="false">IF(ISTEXT($AC936),VALUE($AC936),$AC936)</f>
        <v>26</v>
      </c>
      <c r="P936" s="64" t="n">
        <f aca="false">INDEX(Datos_Origen!$I$2:$I$2459,$Z936)</f>
        <v>83.3</v>
      </c>
      <c r="Q936" s="64" t="n">
        <f aca="false">INDEX(Datos_Origen!$J$2:$J$2459,$Z936)</f>
        <v>48.03</v>
      </c>
      <c r="R936" s="65" t="n">
        <f aca="false">ROUND($O936*$P936,2)</f>
        <v>2165.8</v>
      </c>
      <c r="S936" s="65" t="n">
        <f aca="false">ROUND($O936*$Q936,2)</f>
        <v>1248.78</v>
      </c>
      <c r="T936" s="65" t="n">
        <f aca="false">ROUND($R936*SUMIFS(Parametros!$E$28:$E$43,Parametros!$B$28:$B$43,$J936,Parametros!$C$28:$C$43,$C936,Parametros!$D$28:$D$43,$D936),2)</f>
        <v>28.16</v>
      </c>
      <c r="U936" s="65" t="n">
        <f aca="false">$R936-$S936-$T936</f>
        <v>888.86</v>
      </c>
      <c r="V936" s="66" t="n">
        <f aca="false">IFERROR($U936/$R936,0)</f>
        <v>0.410407239819005</v>
      </c>
      <c r="W936" s="67" t="str">
        <f aca="false">IF(AND($V936&gt;=Parametros!$C$8,$R936&gt;=Parametros!$C$12),"Alta rentabilidad",IF(OR($V936&lt;Parametros!$C$11,$R936&lt;Parametros!$C$13),"Revisar","Estandar"))</f>
        <v>Estandar</v>
      </c>
      <c r="X936" s="67" t="str">
        <f aca="false">IF(AND($J936="E-commerce",IFERROR($T936/$R936,0)&gt;Parametros!$C$14),"Alerta","OK")</f>
        <v>OK</v>
      </c>
      <c r="Y936" s="61" t="str">
        <f aca="false">IF($R936&gt;=Parametros!$C$12,"Alto",IF($R936&lt;Parametros!$C$13,"Bajo","Medio"))</f>
        <v>Medio</v>
      </c>
      <c r="Z936" s="61" t="n">
        <v>1722</v>
      </c>
      <c r="AA936" s="61" t="str">
        <f aca="false">IF(MATCH($A936,Datos_Origen!$A$2:$A$2459,0)=$Z936,"OK","REVISAR")</f>
        <v>OK</v>
      </c>
      <c r="AB936" s="61" t="str">
        <f aca="false">INDEX(Datos_Origen!$B$2:$B$2459,$Z936)</f>
        <v>2024-10-12</v>
      </c>
      <c r="AC936" s="61" t="n">
        <f aca="false">INDEX(Datos_Origen!$H$2:$H$2459,$Z936)</f>
        <v>26</v>
      </c>
      <c r="AD936" s="61" t="str">
        <f aca="false">INDEX(Datos_Origen!$D$2:$D$2459,$Z936)&amp;""</f>
        <v>Cordoba</v>
      </c>
    </row>
    <row r="937" customFormat="false" ht="15" hidden="false" customHeight="false" outlineLevel="0" collapsed="false">
      <c r="A937" s="61" t="n">
        <f aca="false">INDEX(Datos_Origen!$A$2:$A$2459,$Z937)</f>
        <v>936</v>
      </c>
      <c r="B937" s="62" t="n">
        <f aca="false">IF(ISNUMBER($AB937),$AB937,IF(MID($AB937,5,1)="-",DATE(VALUE(LEFT($AB937,4)),VALUE(MID($AB937,6,2)),VALUE(RIGHT($AB937,2))),DATE(VALUE(RIGHT($AB937,4)),VALUE(MID($AB937,4,2)),VALUE(LEFT($AB937,2)))))</f>
        <v>45584</v>
      </c>
      <c r="C937" s="61" t="n">
        <f aca="false">YEAR($B937)</f>
        <v>2024</v>
      </c>
      <c r="D937" s="61" t="str">
        <f aca="false">"Q"&amp;ROUNDUP(MONTH($B937)/3,0)</f>
        <v>Q4</v>
      </c>
      <c r="E937" s="61" t="n">
        <f aca="false">MONTH($B937)</f>
        <v>10</v>
      </c>
      <c r="F937" s="61" t="str">
        <f aca="false">INDEX(Parametros!$I$5:$I$16,$E937)</f>
        <v>Oct</v>
      </c>
      <c r="G937" s="61" t="str">
        <f aca="false">TEXT($C937,"0000")&amp;"-"&amp;TEXT($E937,"00")</f>
        <v>2024-10</v>
      </c>
      <c r="H937" s="61" t="str">
        <f aca="false">INDEX(Parametros!$C$71:$C$91,MATCH(TRIM(INDEX(Datos_Origen!$C$2:$C$2459,$Z937)),Parametros!$B$71:$B$91,0))</f>
        <v>Centro</v>
      </c>
      <c r="I937" s="61" t="str">
        <f aca="false">IF(TRIM($AD937)="",INDEX(Parametros!$I$20:$I$24,MATCH($H937,Parametros!$H$20:$H$24,0)),TRIM($AD937))</f>
        <v>Cordoba</v>
      </c>
      <c r="J937" s="61" t="str">
        <f aca="false">INDEX(Parametros!$C$95:$C$106,MATCH(TRIM(INDEX(Datos_Origen!$E$2:$E$2459,$Z937)),Parametros!$B$95:$B$106,0))</f>
        <v>E-commerce</v>
      </c>
      <c r="K937" s="61" t="str">
        <f aca="false">INDEX(Parametros!$C$48:$C$67,MATCH(TRIM(INDEX(Datos_Origen!$F$2:$F$2459,$Z937)),Parametros!$B$48:$B$67,0))</f>
        <v>Audio</v>
      </c>
      <c r="L937" s="61" t="str">
        <f aca="false">$K937&amp;" "&amp;$C937</f>
        <v>Audio 2024</v>
      </c>
      <c r="M937" s="61" t="str">
        <f aca="false">TRIM(INDEX(Datos_Origen!$G$2:$G$2459,$Z937))</f>
        <v>Parlante Bluetooth</v>
      </c>
      <c r="N937" s="61" t="str">
        <f aca="false">$M937&amp;" "&amp;$C937</f>
        <v>Parlante Bluetooth 2024</v>
      </c>
      <c r="O937" s="63" t="n">
        <f aca="false">IF(ISTEXT($AC937),VALUE($AC937),$AC937)</f>
        <v>10</v>
      </c>
      <c r="P937" s="64" t="n">
        <f aca="false">INDEX(Datos_Origen!$I$2:$I$2459,$Z937)</f>
        <v>83.3</v>
      </c>
      <c r="Q937" s="64" t="n">
        <f aca="false">INDEX(Datos_Origen!$J$2:$J$2459,$Z937)</f>
        <v>48.03</v>
      </c>
      <c r="R937" s="65" t="n">
        <f aca="false">ROUND($O937*$P937,2)</f>
        <v>833</v>
      </c>
      <c r="S937" s="65" t="n">
        <f aca="false">ROUND($O937*$Q937,2)</f>
        <v>480.3</v>
      </c>
      <c r="T937" s="65" t="n">
        <f aca="false">ROUND($R937*SUMIFS(Parametros!$E$28:$E$43,Parametros!$B$28:$B$43,$J937,Parametros!$C$28:$C$43,$C937,Parametros!$D$28:$D$43,$D937),2)</f>
        <v>39.98</v>
      </c>
      <c r="U937" s="65" t="n">
        <f aca="false">$R937-$S937-$T937</f>
        <v>312.72</v>
      </c>
      <c r="V937" s="66" t="n">
        <f aca="false">IFERROR($U937/$R937,0)</f>
        <v>0.375414165666266</v>
      </c>
      <c r="W937" s="67" t="str">
        <f aca="false">IF(AND($V937&gt;=Parametros!$C$8,$R937&gt;=Parametros!$C$12),"Alta rentabilidad",IF(OR($V937&lt;Parametros!$C$11,$R937&lt;Parametros!$C$13),"Revisar","Estandar"))</f>
        <v>Estandar</v>
      </c>
      <c r="X937" s="67" t="str">
        <f aca="false">IF(AND($J937="E-commerce",IFERROR($T937/$R937,0)&gt;Parametros!$C$14),"Alerta","OK")</f>
        <v>OK</v>
      </c>
      <c r="Y937" s="61" t="str">
        <f aca="false">IF($R937&gt;=Parametros!$C$12,"Alto",IF($R937&lt;Parametros!$C$13,"Bajo","Medio"))</f>
        <v>Medio</v>
      </c>
      <c r="Z937" s="61" t="n">
        <v>175</v>
      </c>
      <c r="AA937" s="61" t="str">
        <f aca="false">IF(MATCH($A937,Datos_Origen!$A$2:$A$2459,0)=$Z937,"OK","REVISAR")</f>
        <v>OK</v>
      </c>
      <c r="AB937" s="61" t="str">
        <f aca="false">INDEX(Datos_Origen!$B$2:$B$2459,$Z937)</f>
        <v>2024-10-19</v>
      </c>
      <c r="AC937" s="61" t="n">
        <f aca="false">INDEX(Datos_Origen!$H$2:$H$2459,$Z937)</f>
        <v>10</v>
      </c>
      <c r="AD937" s="61" t="str">
        <f aca="false">INDEX(Datos_Origen!$D$2:$D$2459,$Z937)&amp;""</f>
        <v>Cordoba</v>
      </c>
    </row>
    <row r="938" customFormat="false" ht="15" hidden="false" customHeight="false" outlineLevel="0" collapsed="false">
      <c r="A938" s="61" t="n">
        <f aca="false">INDEX(Datos_Origen!$A$2:$A$2459,$Z938)</f>
        <v>937</v>
      </c>
      <c r="B938" s="62" t="n">
        <f aca="false">IF(ISNUMBER($AB938),$AB938,IF(MID($AB938,5,1)="-",DATE(VALUE(LEFT($AB938,4)),VALUE(MID($AB938,6,2)),VALUE(RIGHT($AB938,2))),DATE(VALUE(RIGHT($AB938,4)),VALUE(MID($AB938,4,2)),VALUE(LEFT($AB938,2)))))</f>
        <v>45591</v>
      </c>
      <c r="C938" s="61" t="n">
        <f aca="false">YEAR($B938)</f>
        <v>2024</v>
      </c>
      <c r="D938" s="61" t="str">
        <f aca="false">"Q"&amp;ROUNDUP(MONTH($B938)/3,0)</f>
        <v>Q4</v>
      </c>
      <c r="E938" s="61" t="n">
        <f aca="false">MONTH($B938)</f>
        <v>10</v>
      </c>
      <c r="F938" s="61" t="str">
        <f aca="false">INDEX(Parametros!$I$5:$I$16,$E938)</f>
        <v>Oct</v>
      </c>
      <c r="G938" s="61" t="str">
        <f aca="false">TEXT($C938,"0000")&amp;"-"&amp;TEXT($E938,"00")</f>
        <v>2024-10</v>
      </c>
      <c r="H938" s="61" t="str">
        <f aca="false">INDEX(Parametros!$C$71:$C$91,MATCH(TRIM(INDEX(Datos_Origen!$C$2:$C$2459,$Z938)),Parametros!$B$71:$B$91,0))</f>
        <v>Centro</v>
      </c>
      <c r="I938" s="61" t="str">
        <f aca="false">IF(TRIM($AD938)="",INDEX(Parametros!$I$20:$I$24,MATCH($H938,Parametros!$H$20:$H$24,0)),TRIM($AD938))</f>
        <v>Cordoba</v>
      </c>
      <c r="J938" s="61" t="str">
        <f aca="false">INDEX(Parametros!$C$95:$C$106,MATCH(TRIM(INDEX(Datos_Origen!$E$2:$E$2459,$Z938)),Parametros!$B$95:$B$106,0))</f>
        <v>Tienda fisica</v>
      </c>
      <c r="K938" s="61" t="str">
        <f aca="false">INDEX(Parametros!$C$48:$C$67,MATCH(TRIM(INDEX(Datos_Origen!$F$2:$F$2459,$Z938)),Parametros!$B$48:$B$67,0))</f>
        <v>Almacenamiento</v>
      </c>
      <c r="L938" s="61" t="str">
        <f aca="false">$K938&amp;" "&amp;$C938</f>
        <v>Almacenamiento 2024</v>
      </c>
      <c r="M938" s="61" t="str">
        <f aca="false">TRIM(INDEX(Datos_Origen!$G$2:$G$2459,$Z938))</f>
        <v>SSD Externo 1TB</v>
      </c>
      <c r="N938" s="61" t="str">
        <f aca="false">$M938&amp;" "&amp;$C938</f>
        <v>SSD Externo 1TB 2024</v>
      </c>
      <c r="O938" s="63" t="n">
        <f aca="false">IF(ISTEXT($AC938),VALUE($AC938),$AC938)</f>
        <v>37</v>
      </c>
      <c r="P938" s="64" t="n">
        <f aca="false">INDEX(Datos_Origen!$I$2:$I$2459,$Z938)</f>
        <v>127.4</v>
      </c>
      <c r="Q938" s="64" t="n">
        <f aca="false">INDEX(Datos_Origen!$J$2:$J$2459,$Z938)</f>
        <v>76.05</v>
      </c>
      <c r="R938" s="65" t="n">
        <f aca="false">ROUND($O938*$P938,2)</f>
        <v>4713.8</v>
      </c>
      <c r="S938" s="65" t="n">
        <f aca="false">ROUND($O938*$Q938,2)</f>
        <v>2813.85</v>
      </c>
      <c r="T938" s="65" t="n">
        <f aca="false">ROUND($R938*SUMIFS(Parametros!$E$28:$E$43,Parametros!$B$28:$B$43,$J938,Parametros!$C$28:$C$43,$C938,Parametros!$D$28:$D$43,$D938),2)</f>
        <v>61.28</v>
      </c>
      <c r="U938" s="65" t="n">
        <f aca="false">$R938-$S938-$T938</f>
        <v>1838.67</v>
      </c>
      <c r="V938" s="66" t="n">
        <f aca="false">IFERROR($U938/$R938,0)</f>
        <v>0.390061097203954</v>
      </c>
      <c r="W938" s="67" t="str">
        <f aca="false">IF(AND($V938&gt;=Parametros!$C$8,$R938&gt;=Parametros!$C$12),"Alta rentabilidad",IF(OR($V938&lt;Parametros!$C$11,$R938&lt;Parametros!$C$13),"Revisar","Estandar"))</f>
        <v>Alta rentabilidad</v>
      </c>
      <c r="X938" s="67" t="str">
        <f aca="false">IF(AND($J938="E-commerce",IFERROR($T938/$R938,0)&gt;Parametros!$C$14),"Alerta","OK")</f>
        <v>OK</v>
      </c>
      <c r="Y938" s="61" t="str">
        <f aca="false">IF($R938&gt;=Parametros!$C$12,"Alto",IF($R938&lt;Parametros!$C$13,"Bajo","Medio"))</f>
        <v>Alto</v>
      </c>
      <c r="Z938" s="61" t="n">
        <v>265</v>
      </c>
      <c r="AA938" s="61" t="str">
        <f aca="false">IF(MATCH($A938,Datos_Origen!$A$2:$A$2459,0)=$Z938,"OK","REVISAR")</f>
        <v>OK</v>
      </c>
      <c r="AB938" s="62" t="n">
        <f aca="false">INDEX(Datos_Origen!$B$2:$B$2459,$Z938)</f>
        <v>45591</v>
      </c>
      <c r="AC938" s="61" t="n">
        <f aca="false">INDEX(Datos_Origen!$H$2:$H$2459,$Z938)</f>
        <v>37</v>
      </c>
      <c r="AD938" s="61" t="str">
        <f aca="false">INDEX(Datos_Origen!$D$2:$D$2459,$Z938)&amp;""</f>
        <v>Cordoba</v>
      </c>
    </row>
    <row r="939" customFormat="false" ht="15" hidden="false" customHeight="false" outlineLevel="0" collapsed="false">
      <c r="A939" s="61" t="n">
        <f aca="false">INDEX(Datos_Origen!$A$2:$A$2459,$Z939)</f>
        <v>938</v>
      </c>
      <c r="B939" s="62" t="n">
        <f aca="false">IF(ISNUMBER($AB939),$AB939,IF(MID($AB939,5,1)="-",DATE(VALUE(LEFT($AB939,4)),VALUE(MID($AB939,6,2)),VALUE(RIGHT($AB939,2))),DATE(VALUE(RIGHT($AB939,4)),VALUE(MID($AB939,4,2)),VALUE(LEFT($AB939,2)))))</f>
        <v>45571</v>
      </c>
      <c r="C939" s="61" t="n">
        <f aca="false">YEAR($B939)</f>
        <v>2024</v>
      </c>
      <c r="D939" s="61" t="str">
        <f aca="false">"Q"&amp;ROUNDUP(MONTH($B939)/3,0)</f>
        <v>Q4</v>
      </c>
      <c r="E939" s="61" t="n">
        <f aca="false">MONTH($B939)</f>
        <v>10</v>
      </c>
      <c r="F939" s="61" t="str">
        <f aca="false">INDEX(Parametros!$I$5:$I$16,$E939)</f>
        <v>Oct</v>
      </c>
      <c r="G939" s="61" t="str">
        <f aca="false">TEXT($C939,"0000")&amp;"-"&amp;TEXT($E939,"00")</f>
        <v>2024-10</v>
      </c>
      <c r="H939" s="61" t="str">
        <f aca="false">INDEX(Parametros!$C$71:$C$91,MATCH(TRIM(INDEX(Datos_Origen!$C$2:$C$2459,$Z939)),Parametros!$B$71:$B$91,0))</f>
        <v>Centro</v>
      </c>
      <c r="I939" s="61" t="str">
        <f aca="false">IF(TRIM($AD939)="",INDEX(Parametros!$I$20:$I$24,MATCH($H939,Parametros!$H$20:$H$24,0)),TRIM($AD939))</f>
        <v>Cordoba</v>
      </c>
      <c r="J939" s="61" t="str">
        <f aca="false">INDEX(Parametros!$C$95:$C$106,MATCH(TRIM(INDEX(Datos_Origen!$E$2:$E$2459,$Z939)),Parametros!$B$95:$B$106,0))</f>
        <v>E-commerce</v>
      </c>
      <c r="K939" s="61" t="str">
        <f aca="false">INDEX(Parametros!$C$48:$C$67,MATCH(TRIM(INDEX(Datos_Origen!$F$2:$F$2459,$Z939)),Parametros!$B$48:$B$67,0))</f>
        <v>Almacenamiento</v>
      </c>
      <c r="L939" s="61" t="str">
        <f aca="false">$K939&amp;" "&amp;$C939</f>
        <v>Almacenamiento 2024</v>
      </c>
      <c r="M939" s="61" t="str">
        <f aca="false">TRIM(INDEX(Datos_Origen!$G$2:$G$2459,$Z939))</f>
        <v>SSD Externo 1TB</v>
      </c>
      <c r="N939" s="61" t="str">
        <f aca="false">$M939&amp;" "&amp;$C939</f>
        <v>SSD Externo 1TB 2024</v>
      </c>
      <c r="O939" s="63" t="n">
        <f aca="false">IF(ISTEXT($AC939),VALUE($AC939),$AC939)</f>
        <v>15</v>
      </c>
      <c r="P939" s="64" t="n">
        <f aca="false">INDEX(Datos_Origen!$I$2:$I$2459,$Z939)</f>
        <v>127.4</v>
      </c>
      <c r="Q939" s="64" t="n">
        <f aca="false">INDEX(Datos_Origen!$J$2:$J$2459,$Z939)</f>
        <v>76.05</v>
      </c>
      <c r="R939" s="65" t="n">
        <f aca="false">ROUND($O939*$P939,2)</f>
        <v>1911</v>
      </c>
      <c r="S939" s="65" t="n">
        <f aca="false">ROUND($O939*$Q939,2)</f>
        <v>1140.75</v>
      </c>
      <c r="T939" s="65" t="n">
        <f aca="false">ROUND($R939*SUMIFS(Parametros!$E$28:$E$43,Parametros!$B$28:$B$43,$J939,Parametros!$C$28:$C$43,$C939,Parametros!$D$28:$D$43,$D939),2)</f>
        <v>91.73</v>
      </c>
      <c r="U939" s="65" t="n">
        <f aca="false">$R939-$S939-$T939</f>
        <v>678.52</v>
      </c>
      <c r="V939" s="66" t="n">
        <f aca="false">IFERROR($U939/$R939,0)</f>
        <v>0.355060177917321</v>
      </c>
      <c r="W939" s="67" t="str">
        <f aca="false">IF(AND($V939&gt;=Parametros!$C$8,$R939&gt;=Parametros!$C$12),"Alta rentabilidad",IF(OR($V939&lt;Parametros!$C$11,$R939&lt;Parametros!$C$13),"Revisar","Estandar"))</f>
        <v>Estandar</v>
      </c>
      <c r="X939" s="67" t="str">
        <f aca="false">IF(AND($J939="E-commerce",IFERROR($T939/$R939,0)&gt;Parametros!$C$14),"Alerta","OK")</f>
        <v>OK</v>
      </c>
      <c r="Y939" s="61" t="str">
        <f aca="false">IF($R939&gt;=Parametros!$C$12,"Alto",IF($R939&lt;Parametros!$C$13,"Bajo","Medio"))</f>
        <v>Medio</v>
      </c>
      <c r="Z939" s="61" t="n">
        <v>735</v>
      </c>
      <c r="AA939" s="61" t="str">
        <f aca="false">IF(MATCH($A939,Datos_Origen!$A$2:$A$2459,0)=$Z939,"OK","REVISAR")</f>
        <v>OK</v>
      </c>
      <c r="AB939" s="62" t="n">
        <f aca="false">INDEX(Datos_Origen!$B$2:$B$2459,$Z939)</f>
        <v>45571</v>
      </c>
      <c r="AC939" s="61" t="n">
        <f aca="false">INDEX(Datos_Origen!$H$2:$H$2459,$Z939)</f>
        <v>15</v>
      </c>
      <c r="AD939" s="61" t="str">
        <f aca="false">INDEX(Datos_Origen!$D$2:$D$2459,$Z939)&amp;""</f>
        <v>Cordoba</v>
      </c>
    </row>
    <row r="940" customFormat="false" ht="15" hidden="false" customHeight="false" outlineLevel="0" collapsed="false">
      <c r="A940" s="61" t="n">
        <f aca="false">INDEX(Datos_Origen!$A$2:$A$2459,$Z940)</f>
        <v>939</v>
      </c>
      <c r="B940" s="62" t="n">
        <f aca="false">IF(ISNUMBER($AB940),$AB940,IF(MID($AB940,5,1)="-",DATE(VALUE(LEFT($AB940,4)),VALUE(MID($AB940,6,2)),VALUE(RIGHT($AB940,2))),DATE(VALUE(RIGHT($AB940,4)),VALUE(MID($AB940,4,2)),VALUE(LEFT($AB940,2)))))</f>
        <v>45578</v>
      </c>
      <c r="C940" s="61" t="n">
        <f aca="false">YEAR($B940)</f>
        <v>2024</v>
      </c>
      <c r="D940" s="61" t="str">
        <f aca="false">"Q"&amp;ROUNDUP(MONTH($B940)/3,0)</f>
        <v>Q4</v>
      </c>
      <c r="E940" s="61" t="n">
        <f aca="false">MONTH($B940)</f>
        <v>10</v>
      </c>
      <c r="F940" s="61" t="str">
        <f aca="false">INDEX(Parametros!$I$5:$I$16,$E940)</f>
        <v>Oct</v>
      </c>
      <c r="G940" s="61" t="str">
        <f aca="false">TEXT($C940,"0000")&amp;"-"&amp;TEXT($E940,"00")</f>
        <v>2024-10</v>
      </c>
      <c r="H940" s="61" t="str">
        <f aca="false">INDEX(Parametros!$C$71:$C$91,MATCH(TRIM(INDEX(Datos_Origen!$C$2:$C$2459,$Z940)),Parametros!$B$71:$B$91,0))</f>
        <v>Centro</v>
      </c>
      <c r="I940" s="61" t="str">
        <f aca="false">IF(TRIM($AD940)="",INDEX(Parametros!$I$20:$I$24,MATCH($H940,Parametros!$H$20:$H$24,0)),TRIM($AD940))</f>
        <v>Cordoba</v>
      </c>
      <c r="J940" s="61" t="str">
        <f aca="false">INDEX(Parametros!$C$95:$C$106,MATCH(TRIM(INDEX(Datos_Origen!$E$2:$E$2459,$Z940)),Parametros!$B$95:$B$106,0))</f>
        <v>Tienda fisica</v>
      </c>
      <c r="K940" s="61" t="str">
        <f aca="false">INDEX(Parametros!$C$48:$C$67,MATCH(TRIM(INDEX(Datos_Origen!$F$2:$F$2459,$Z940)),Parametros!$B$48:$B$67,0))</f>
        <v>Almacenamiento</v>
      </c>
      <c r="L940" s="61" t="str">
        <f aca="false">$K940&amp;" "&amp;$C940</f>
        <v>Almacenamiento 2024</v>
      </c>
      <c r="M940" s="61" t="str">
        <f aca="false">TRIM(INDEX(Datos_Origen!$G$2:$G$2459,$Z940))</f>
        <v>Pendrive 256GB</v>
      </c>
      <c r="N940" s="61" t="str">
        <f aca="false">$M940&amp;" "&amp;$C940</f>
        <v>Pendrive 256GB 2024</v>
      </c>
      <c r="O940" s="63" t="n">
        <f aca="false">IF(ISTEXT($AC940),VALUE($AC940),$AC940)</f>
        <v>33</v>
      </c>
      <c r="P940" s="64" t="n">
        <f aca="false">INDEX(Datos_Origen!$I$2:$I$2459,$Z940)</f>
        <v>34.3</v>
      </c>
      <c r="Q940" s="64" t="n">
        <f aca="false">INDEX(Datos_Origen!$J$2:$J$2459,$Z940)</f>
        <v>17.85</v>
      </c>
      <c r="R940" s="65" t="n">
        <f aca="false">ROUND($O940*$P940,2)</f>
        <v>1131.9</v>
      </c>
      <c r="S940" s="65" t="n">
        <f aca="false">ROUND($O940*$Q940,2)</f>
        <v>589.05</v>
      </c>
      <c r="T940" s="65" t="n">
        <f aca="false">ROUND($R940*SUMIFS(Parametros!$E$28:$E$43,Parametros!$B$28:$B$43,$J940,Parametros!$C$28:$C$43,$C940,Parametros!$D$28:$D$43,$D940),2)</f>
        <v>14.71</v>
      </c>
      <c r="U940" s="65" t="n">
        <f aca="false">$R940-$S940-$T940</f>
        <v>528.14</v>
      </c>
      <c r="V940" s="66" t="n">
        <f aca="false">IFERROR($U940/$R940,0)</f>
        <v>0.466595989044969</v>
      </c>
      <c r="W940" s="67" t="str">
        <f aca="false">IF(AND($V940&gt;=Parametros!$C$8,$R940&gt;=Parametros!$C$12),"Alta rentabilidad",IF(OR($V940&lt;Parametros!$C$11,$R940&lt;Parametros!$C$13),"Revisar","Estandar"))</f>
        <v>Estandar</v>
      </c>
      <c r="X940" s="67" t="str">
        <f aca="false">IF(AND($J940="E-commerce",IFERROR($T940/$R940,0)&gt;Parametros!$C$14),"Alerta","OK")</f>
        <v>OK</v>
      </c>
      <c r="Y940" s="61" t="str">
        <f aca="false">IF($R940&gt;=Parametros!$C$12,"Alto",IF($R940&lt;Parametros!$C$13,"Bajo","Medio"))</f>
        <v>Medio</v>
      </c>
      <c r="Z940" s="61" t="n">
        <v>328</v>
      </c>
      <c r="AA940" s="61" t="str">
        <f aca="false">IF(MATCH($A940,Datos_Origen!$A$2:$A$2459,0)=$Z940,"OK","REVISAR")</f>
        <v>OK</v>
      </c>
      <c r="AB940" s="61" t="str">
        <f aca="false">INDEX(Datos_Origen!$B$2:$B$2459,$Z940)</f>
        <v>13/10/2024</v>
      </c>
      <c r="AC940" s="61" t="str">
        <f aca="false">INDEX(Datos_Origen!$H$2:$H$2459,$Z940)</f>
        <v>33</v>
      </c>
      <c r="AD940" s="61" t="str">
        <f aca="false">INDEX(Datos_Origen!$D$2:$D$2459,$Z940)&amp;""</f>
        <v>Cordoba</v>
      </c>
    </row>
    <row r="941" customFormat="false" ht="15" hidden="false" customHeight="false" outlineLevel="0" collapsed="false">
      <c r="A941" s="61" t="n">
        <f aca="false">INDEX(Datos_Origen!$A$2:$A$2459,$Z941)</f>
        <v>940</v>
      </c>
      <c r="B941" s="62" t="n">
        <f aca="false">IF(ISNUMBER($AB941),$AB941,IF(MID($AB941,5,1)="-",DATE(VALUE(LEFT($AB941,4)),VALUE(MID($AB941,6,2)),VALUE(RIGHT($AB941,2))),DATE(VALUE(RIGHT($AB941,4)),VALUE(MID($AB941,4,2)),VALUE(LEFT($AB941,2)))))</f>
        <v>45585</v>
      </c>
      <c r="C941" s="61" t="n">
        <f aca="false">YEAR($B941)</f>
        <v>2024</v>
      </c>
      <c r="D941" s="61" t="str">
        <f aca="false">"Q"&amp;ROUNDUP(MONTH($B941)/3,0)</f>
        <v>Q4</v>
      </c>
      <c r="E941" s="61" t="n">
        <f aca="false">MONTH($B941)</f>
        <v>10</v>
      </c>
      <c r="F941" s="61" t="str">
        <f aca="false">INDEX(Parametros!$I$5:$I$16,$E941)</f>
        <v>Oct</v>
      </c>
      <c r="G941" s="61" t="str">
        <f aca="false">TEXT($C941,"0000")&amp;"-"&amp;TEXT($E941,"00")</f>
        <v>2024-10</v>
      </c>
      <c r="H941" s="61" t="str">
        <f aca="false">INDEX(Parametros!$C$71:$C$91,MATCH(TRIM(INDEX(Datos_Origen!$C$2:$C$2459,$Z941)),Parametros!$B$71:$B$91,0))</f>
        <v>Centro</v>
      </c>
      <c r="I941" s="61" t="str">
        <f aca="false">IF(TRIM($AD941)="",INDEX(Parametros!$I$20:$I$24,MATCH($H941,Parametros!$H$20:$H$24,0)),TRIM($AD941))</f>
        <v>Cordoba</v>
      </c>
      <c r="J941" s="61" t="str">
        <f aca="false">INDEX(Parametros!$C$95:$C$106,MATCH(TRIM(INDEX(Datos_Origen!$E$2:$E$2459,$Z941)),Parametros!$B$95:$B$106,0))</f>
        <v>E-commerce</v>
      </c>
      <c r="K941" s="61" t="str">
        <f aca="false">INDEX(Parametros!$C$48:$C$67,MATCH(TRIM(INDEX(Datos_Origen!$F$2:$F$2459,$Z941)),Parametros!$B$48:$B$67,0))</f>
        <v>Almacenamiento</v>
      </c>
      <c r="L941" s="61" t="str">
        <f aca="false">$K941&amp;" "&amp;$C941</f>
        <v>Almacenamiento 2024</v>
      </c>
      <c r="M941" s="61" t="str">
        <f aca="false">TRIM(INDEX(Datos_Origen!$G$2:$G$2459,$Z941))</f>
        <v>Pendrive 256GB</v>
      </c>
      <c r="N941" s="61" t="str">
        <f aca="false">$M941&amp;" "&amp;$C941</f>
        <v>Pendrive 256GB 2024</v>
      </c>
      <c r="O941" s="63" t="n">
        <f aca="false">IF(ISTEXT($AC941),VALUE($AC941),$AC941)</f>
        <v>13</v>
      </c>
      <c r="P941" s="64" t="n">
        <f aca="false">INDEX(Datos_Origen!$I$2:$I$2459,$Z941)</f>
        <v>34.3</v>
      </c>
      <c r="Q941" s="64" t="n">
        <f aca="false">INDEX(Datos_Origen!$J$2:$J$2459,$Z941)</f>
        <v>17.85</v>
      </c>
      <c r="R941" s="65" t="n">
        <f aca="false">ROUND($O941*$P941,2)</f>
        <v>445.9</v>
      </c>
      <c r="S941" s="65" t="n">
        <f aca="false">ROUND($O941*$Q941,2)</f>
        <v>232.05</v>
      </c>
      <c r="T941" s="65" t="n">
        <f aca="false">ROUND($R941*SUMIFS(Parametros!$E$28:$E$43,Parametros!$B$28:$B$43,$J941,Parametros!$C$28:$C$43,$C941,Parametros!$D$28:$D$43,$D941),2)</f>
        <v>21.4</v>
      </c>
      <c r="U941" s="65" t="n">
        <f aca="false">$R941-$S941-$T941</f>
        <v>192.45</v>
      </c>
      <c r="V941" s="66" t="n">
        <f aca="false">IFERROR($U941/$R941,0)</f>
        <v>0.431599013231666</v>
      </c>
      <c r="W941" s="67" t="str">
        <f aca="false">IF(AND($V941&gt;=Parametros!$C$8,$R941&gt;=Parametros!$C$12),"Alta rentabilidad",IF(OR($V941&lt;Parametros!$C$11,$R941&lt;Parametros!$C$13),"Revisar","Estandar"))</f>
        <v>Estandar</v>
      </c>
      <c r="X941" s="67" t="str">
        <f aca="false">IF(AND($J941="E-commerce",IFERROR($T941/$R941,0)&gt;Parametros!$C$14),"Alerta","OK")</f>
        <v>OK</v>
      </c>
      <c r="Y941" s="61" t="str">
        <f aca="false">IF($R941&gt;=Parametros!$C$12,"Alto",IF($R941&lt;Parametros!$C$13,"Bajo","Medio"))</f>
        <v>Medio</v>
      </c>
      <c r="Z941" s="61" t="n">
        <v>1375</v>
      </c>
      <c r="AA941" s="61" t="str">
        <f aca="false">IF(MATCH($A941,Datos_Origen!$A$2:$A$2459,0)=$Z941,"OK","REVISAR")</f>
        <v>OK</v>
      </c>
      <c r="AB941" s="62" t="n">
        <f aca="false">INDEX(Datos_Origen!$B$2:$B$2459,$Z941)</f>
        <v>45585</v>
      </c>
      <c r="AC941" s="61" t="n">
        <f aca="false">INDEX(Datos_Origen!$H$2:$H$2459,$Z941)</f>
        <v>13</v>
      </c>
      <c r="AD941" s="61" t="str">
        <f aca="false">INDEX(Datos_Origen!$D$2:$D$2459,$Z941)&amp;""</f>
        <v>Cordoba</v>
      </c>
    </row>
    <row r="942" customFormat="false" ht="15" hidden="false" customHeight="false" outlineLevel="0" collapsed="false">
      <c r="A942" s="61" t="n">
        <f aca="false">INDEX(Datos_Origen!$A$2:$A$2459,$Z942)</f>
        <v>941</v>
      </c>
      <c r="B942" s="62" t="n">
        <f aca="false">IF(ISNUMBER($AB942),$AB942,IF(MID($AB942,5,1)="-",DATE(VALUE(LEFT($AB942,4)),VALUE(MID($AB942,6,2)),VALUE(RIGHT($AB942,2))),DATE(VALUE(RIGHT($AB942,4)),VALUE(MID($AB942,4,2)),VALUE(LEFT($AB942,2)))))</f>
        <v>45592</v>
      </c>
      <c r="C942" s="61" t="n">
        <f aca="false">YEAR($B942)</f>
        <v>2024</v>
      </c>
      <c r="D942" s="61" t="str">
        <f aca="false">"Q"&amp;ROUNDUP(MONTH($B942)/3,0)</f>
        <v>Q4</v>
      </c>
      <c r="E942" s="61" t="n">
        <f aca="false">MONTH($B942)</f>
        <v>10</v>
      </c>
      <c r="F942" s="61" t="str">
        <f aca="false">INDEX(Parametros!$I$5:$I$16,$E942)</f>
        <v>Oct</v>
      </c>
      <c r="G942" s="61" t="str">
        <f aca="false">TEXT($C942,"0000")&amp;"-"&amp;TEXT($E942,"00")</f>
        <v>2024-10</v>
      </c>
      <c r="H942" s="61" t="str">
        <f aca="false">INDEX(Parametros!$C$71:$C$91,MATCH(TRIM(INDEX(Datos_Origen!$C$2:$C$2459,$Z942)),Parametros!$B$71:$B$91,0))</f>
        <v>Litoral</v>
      </c>
      <c r="I942" s="61" t="str">
        <f aca="false">IF(TRIM($AD942)="",INDEX(Parametros!$I$20:$I$24,MATCH($H942,Parametros!$H$20:$H$24,0)),TRIM($AD942))</f>
        <v>Rosario</v>
      </c>
      <c r="J942" s="61" t="str">
        <f aca="false">INDEX(Parametros!$C$95:$C$106,MATCH(TRIM(INDEX(Datos_Origen!$E$2:$E$2459,$Z942)),Parametros!$B$95:$B$106,0))</f>
        <v>Tienda fisica</v>
      </c>
      <c r="K942" s="61" t="str">
        <f aca="false">INDEX(Parametros!$C$48:$C$67,MATCH(TRIM(INDEX(Datos_Origen!$F$2:$F$2459,$Z942)),Parametros!$B$48:$B$67,0))</f>
        <v>Computacion</v>
      </c>
      <c r="L942" s="61" t="str">
        <f aca="false">$K942&amp;" "&amp;$C942</f>
        <v>Computacion 2024</v>
      </c>
      <c r="M942" s="61" t="str">
        <f aca="false">TRIM(INDEX(Datos_Origen!$G$2:$G$2459,$Z942))</f>
        <v>Laptop Pro 15</v>
      </c>
      <c r="N942" s="61" t="str">
        <f aca="false">$M942&amp;" "&amp;$C942</f>
        <v>Laptop Pro 15 2024</v>
      </c>
      <c r="O942" s="63" t="n">
        <f aca="false">IF(ISTEXT($AC942),VALUE($AC942),$AC942)</f>
        <v>9</v>
      </c>
      <c r="P942" s="64" t="n">
        <f aca="false">INDEX(Datos_Origen!$I$2:$I$2459,$Z942)</f>
        <v>1176</v>
      </c>
      <c r="Q942" s="64" t="n">
        <f aca="false">INDEX(Datos_Origen!$J$2:$J$2459,$Z942)</f>
        <v>744</v>
      </c>
      <c r="R942" s="65" t="n">
        <f aca="false">ROUND($O942*$P942,2)</f>
        <v>10584</v>
      </c>
      <c r="S942" s="65" t="n">
        <f aca="false">ROUND($O942*$Q942,2)</f>
        <v>6696</v>
      </c>
      <c r="T942" s="65" t="n">
        <f aca="false">ROUND($R942*SUMIFS(Parametros!$E$28:$E$43,Parametros!$B$28:$B$43,$J942,Parametros!$C$28:$C$43,$C942,Parametros!$D$28:$D$43,$D942),2)</f>
        <v>137.59</v>
      </c>
      <c r="U942" s="65" t="n">
        <f aca="false">$R942-$S942-$T942</f>
        <v>3750.41</v>
      </c>
      <c r="V942" s="66" t="n">
        <f aca="false">IFERROR($U942/$R942,0)</f>
        <v>0.354347127739985</v>
      </c>
      <c r="W942" s="67" t="str">
        <f aca="false">IF(AND($V942&gt;=Parametros!$C$8,$R942&gt;=Parametros!$C$12),"Alta rentabilidad",IF(OR($V942&lt;Parametros!$C$11,$R942&lt;Parametros!$C$13),"Revisar","Estandar"))</f>
        <v>Alta rentabilidad</v>
      </c>
      <c r="X942" s="67" t="str">
        <f aca="false">IF(AND($J942="E-commerce",IFERROR($T942/$R942,0)&gt;Parametros!$C$14),"Alerta","OK")</f>
        <v>OK</v>
      </c>
      <c r="Y942" s="61" t="str">
        <f aca="false">IF($R942&gt;=Parametros!$C$12,"Alto",IF($R942&lt;Parametros!$C$13,"Bajo","Medio"))</f>
        <v>Alto</v>
      </c>
      <c r="Z942" s="61" t="n">
        <v>1608</v>
      </c>
      <c r="AA942" s="61" t="str">
        <f aca="false">IF(MATCH($A942,Datos_Origen!$A$2:$A$2459,0)=$Z942,"OK","REVISAR")</f>
        <v>OK</v>
      </c>
      <c r="AB942" s="62" t="n">
        <f aca="false">INDEX(Datos_Origen!$B$2:$B$2459,$Z942)</f>
        <v>45592</v>
      </c>
      <c r="AC942" s="61" t="n">
        <f aca="false">INDEX(Datos_Origen!$H$2:$H$2459,$Z942)</f>
        <v>9</v>
      </c>
      <c r="AD942" s="61" t="str">
        <f aca="false">INDEX(Datos_Origen!$D$2:$D$2459,$Z942)&amp;""</f>
        <v>Rosario</v>
      </c>
    </row>
    <row r="943" customFormat="false" ht="15" hidden="false" customHeight="false" outlineLevel="0" collapsed="false">
      <c r="A943" s="61" t="n">
        <f aca="false">INDEX(Datos_Origen!$A$2:$A$2459,$Z943)</f>
        <v>942</v>
      </c>
      <c r="B943" s="62" t="n">
        <f aca="false">IF(ISNUMBER($AB943),$AB943,IF(MID($AB943,5,1)="-",DATE(VALUE(LEFT($AB943,4)),VALUE(MID($AB943,6,2)),VALUE(RIGHT($AB943,2))),DATE(VALUE(RIGHT($AB943,4)),VALUE(MID($AB943,4,2)),VALUE(LEFT($AB943,2)))))</f>
        <v>45572</v>
      </c>
      <c r="C943" s="61" t="n">
        <f aca="false">YEAR($B943)</f>
        <v>2024</v>
      </c>
      <c r="D943" s="61" t="str">
        <f aca="false">"Q"&amp;ROUNDUP(MONTH($B943)/3,0)</f>
        <v>Q4</v>
      </c>
      <c r="E943" s="61" t="n">
        <f aca="false">MONTH($B943)</f>
        <v>10</v>
      </c>
      <c r="F943" s="61" t="str">
        <f aca="false">INDEX(Parametros!$I$5:$I$16,$E943)</f>
        <v>Oct</v>
      </c>
      <c r="G943" s="61" t="str">
        <f aca="false">TEXT($C943,"0000")&amp;"-"&amp;TEXT($E943,"00")</f>
        <v>2024-10</v>
      </c>
      <c r="H943" s="61" t="str">
        <f aca="false">INDEX(Parametros!$C$71:$C$91,MATCH(TRIM(INDEX(Datos_Origen!$C$2:$C$2459,$Z943)),Parametros!$B$71:$B$91,0))</f>
        <v>Litoral</v>
      </c>
      <c r="I943" s="61" t="str">
        <f aca="false">IF(TRIM($AD943)="",INDEX(Parametros!$I$20:$I$24,MATCH($H943,Parametros!$H$20:$H$24,0)),TRIM($AD943))</f>
        <v>Rosario</v>
      </c>
      <c r="J943" s="61" t="str">
        <f aca="false">INDEX(Parametros!$C$95:$C$106,MATCH(TRIM(INDEX(Datos_Origen!$E$2:$E$2459,$Z943)),Parametros!$B$95:$B$106,0))</f>
        <v>E-commerce</v>
      </c>
      <c r="K943" s="61" t="str">
        <f aca="false">INDEX(Parametros!$C$48:$C$67,MATCH(TRIM(INDEX(Datos_Origen!$F$2:$F$2459,$Z943)),Parametros!$B$48:$B$67,0))</f>
        <v>Computacion</v>
      </c>
      <c r="L943" s="61" t="str">
        <f aca="false">$K943&amp;" "&amp;$C943</f>
        <v>Computacion 2024</v>
      </c>
      <c r="M943" s="61" t="str">
        <f aca="false">TRIM(INDEX(Datos_Origen!$G$2:$G$2459,$Z943))</f>
        <v>Laptop Pro 15</v>
      </c>
      <c r="N943" s="61" t="str">
        <f aca="false">$M943&amp;" "&amp;$C943</f>
        <v>Laptop Pro 15 2024</v>
      </c>
      <c r="O943" s="63" t="n">
        <f aca="false">IF(ISTEXT($AC943),VALUE($AC943),$AC943)</f>
        <v>3</v>
      </c>
      <c r="P943" s="64" t="n">
        <f aca="false">INDEX(Datos_Origen!$I$2:$I$2459,$Z943)</f>
        <v>1176</v>
      </c>
      <c r="Q943" s="64" t="n">
        <f aca="false">INDEX(Datos_Origen!$J$2:$J$2459,$Z943)</f>
        <v>744</v>
      </c>
      <c r="R943" s="65" t="n">
        <f aca="false">ROUND($O943*$P943,2)</f>
        <v>3528</v>
      </c>
      <c r="S943" s="65" t="n">
        <f aca="false">ROUND($O943*$Q943,2)</f>
        <v>2232</v>
      </c>
      <c r="T943" s="65" t="n">
        <f aca="false">ROUND($R943*SUMIFS(Parametros!$E$28:$E$43,Parametros!$B$28:$B$43,$J943,Parametros!$C$28:$C$43,$C943,Parametros!$D$28:$D$43,$D943),2)</f>
        <v>169.34</v>
      </c>
      <c r="U943" s="65" t="n">
        <f aca="false">$R943-$S943-$T943</f>
        <v>1126.66</v>
      </c>
      <c r="V943" s="66" t="n">
        <f aca="false">IFERROR($U943/$R943,0)</f>
        <v>0.319348072562358</v>
      </c>
      <c r="W943" s="67" t="str">
        <f aca="false">IF(AND($V943&gt;=Parametros!$C$8,$R943&gt;=Parametros!$C$12),"Alta rentabilidad",IF(OR($V943&lt;Parametros!$C$11,$R943&lt;Parametros!$C$13),"Revisar","Estandar"))</f>
        <v>Estandar</v>
      </c>
      <c r="X943" s="67" t="str">
        <f aca="false">IF(AND($J943="E-commerce",IFERROR($T943/$R943,0)&gt;Parametros!$C$14),"Alerta","OK")</f>
        <v>OK</v>
      </c>
      <c r="Y943" s="61" t="str">
        <f aca="false">IF($R943&gt;=Parametros!$C$12,"Alto",IF($R943&lt;Parametros!$C$13,"Bajo","Medio"))</f>
        <v>Alto</v>
      </c>
      <c r="Z943" s="61" t="n">
        <v>2371</v>
      </c>
      <c r="AA943" s="61" t="str">
        <f aca="false">IF(MATCH($A943,Datos_Origen!$A$2:$A$2459,0)=$Z943,"OK","REVISAR")</f>
        <v>OK</v>
      </c>
      <c r="AB943" s="62" t="n">
        <f aca="false">INDEX(Datos_Origen!$B$2:$B$2459,$Z943)</f>
        <v>45572</v>
      </c>
      <c r="AC943" s="61" t="n">
        <f aca="false">INDEX(Datos_Origen!$H$2:$H$2459,$Z943)</f>
        <v>3</v>
      </c>
      <c r="AD943" s="61" t="str">
        <f aca="false">INDEX(Datos_Origen!$D$2:$D$2459,$Z943)&amp;""</f>
        <v>Rosario</v>
      </c>
    </row>
    <row r="944" customFormat="false" ht="15" hidden="false" customHeight="false" outlineLevel="0" collapsed="false">
      <c r="A944" s="61" t="n">
        <f aca="false">INDEX(Datos_Origen!$A$2:$A$2459,$Z944)</f>
        <v>943</v>
      </c>
      <c r="B944" s="62" t="n">
        <f aca="false">IF(ISNUMBER($AB944),$AB944,IF(MID($AB944,5,1)="-",DATE(VALUE(LEFT($AB944,4)),VALUE(MID($AB944,6,2)),VALUE(RIGHT($AB944,2))),DATE(VALUE(RIGHT($AB944,4)),VALUE(MID($AB944,4,2)),VALUE(LEFT($AB944,2)))))</f>
        <v>45579</v>
      </c>
      <c r="C944" s="61" t="n">
        <f aca="false">YEAR($B944)</f>
        <v>2024</v>
      </c>
      <c r="D944" s="61" t="str">
        <f aca="false">"Q"&amp;ROUNDUP(MONTH($B944)/3,0)</f>
        <v>Q4</v>
      </c>
      <c r="E944" s="61" t="n">
        <f aca="false">MONTH($B944)</f>
        <v>10</v>
      </c>
      <c r="F944" s="61" t="str">
        <f aca="false">INDEX(Parametros!$I$5:$I$16,$E944)</f>
        <v>Oct</v>
      </c>
      <c r="G944" s="61" t="str">
        <f aca="false">TEXT($C944,"0000")&amp;"-"&amp;TEXT($E944,"00")</f>
        <v>2024-10</v>
      </c>
      <c r="H944" s="61" t="str">
        <f aca="false">INDEX(Parametros!$C$71:$C$91,MATCH(TRIM(INDEX(Datos_Origen!$C$2:$C$2459,$Z944)),Parametros!$B$71:$B$91,0))</f>
        <v>Litoral</v>
      </c>
      <c r="I944" s="61" t="str">
        <f aca="false">IF(TRIM($AD944)="",INDEX(Parametros!$I$20:$I$24,MATCH($H944,Parametros!$H$20:$H$24,0)),TRIM($AD944))</f>
        <v>Rosario</v>
      </c>
      <c r="J944" s="61" t="str">
        <f aca="false">INDEX(Parametros!$C$95:$C$106,MATCH(TRIM(INDEX(Datos_Origen!$E$2:$E$2459,$Z944)),Parametros!$B$95:$B$106,0))</f>
        <v>Tienda fisica</v>
      </c>
      <c r="K944" s="61" t="str">
        <f aca="false">INDEX(Parametros!$C$48:$C$67,MATCH(TRIM(INDEX(Datos_Origen!$F$2:$F$2459,$Z944)),Parametros!$B$48:$B$67,0))</f>
        <v>Computacion</v>
      </c>
      <c r="L944" s="61" t="str">
        <f aca="false">$K944&amp;" "&amp;$C944</f>
        <v>Computacion 2024</v>
      </c>
      <c r="M944" s="61" t="str">
        <f aca="false">TRIM(INDEX(Datos_Origen!$G$2:$G$2459,$Z944))</f>
        <v>Monitor 4K 27</v>
      </c>
      <c r="N944" s="61" t="str">
        <f aca="false">$M944&amp;" "&amp;$C944</f>
        <v>Monitor 4K 27 2024</v>
      </c>
      <c r="O944" s="63" t="n">
        <f aca="false">IF(ISTEXT($AC944),VALUE($AC944),$AC944)</f>
        <v>8</v>
      </c>
      <c r="P944" s="64" t="n">
        <f aca="false">INDEX(Datos_Origen!$I$2:$I$2459,$Z944)</f>
        <v>441</v>
      </c>
      <c r="Q944" s="64" t="n">
        <f aca="false">INDEX(Datos_Origen!$J$2:$J$2459,$Z944)</f>
        <v>272.25</v>
      </c>
      <c r="R944" s="65" t="n">
        <f aca="false">ROUND($O944*$P944,2)</f>
        <v>3528</v>
      </c>
      <c r="S944" s="65" t="n">
        <f aca="false">ROUND($O944*$Q944,2)</f>
        <v>2178</v>
      </c>
      <c r="T944" s="65" t="n">
        <f aca="false">ROUND($R944*SUMIFS(Parametros!$E$28:$E$43,Parametros!$B$28:$B$43,$J944,Parametros!$C$28:$C$43,$C944,Parametros!$D$28:$D$43,$D944),2)</f>
        <v>45.86</v>
      </c>
      <c r="U944" s="65" t="n">
        <f aca="false">$R944-$S944-$T944</f>
        <v>1304.14</v>
      </c>
      <c r="V944" s="66" t="n">
        <f aca="false">IFERROR($U944/$R944,0)</f>
        <v>0.369654195011338</v>
      </c>
      <c r="W944" s="67" t="str">
        <f aca="false">IF(AND($V944&gt;=Parametros!$C$8,$R944&gt;=Parametros!$C$12),"Alta rentabilidad",IF(OR($V944&lt;Parametros!$C$11,$R944&lt;Parametros!$C$13),"Revisar","Estandar"))</f>
        <v>Alta rentabilidad</v>
      </c>
      <c r="X944" s="67" t="str">
        <f aca="false">IF(AND($J944="E-commerce",IFERROR($T944/$R944,0)&gt;Parametros!$C$14),"Alerta","OK")</f>
        <v>OK</v>
      </c>
      <c r="Y944" s="61" t="str">
        <f aca="false">IF($R944&gt;=Parametros!$C$12,"Alto",IF($R944&lt;Parametros!$C$13,"Bajo","Medio"))</f>
        <v>Alto</v>
      </c>
      <c r="Z944" s="61" t="n">
        <v>1404</v>
      </c>
      <c r="AA944" s="61" t="str">
        <f aca="false">IF(MATCH($A944,Datos_Origen!$A$2:$A$2459,0)=$Z944,"OK","REVISAR")</f>
        <v>OK</v>
      </c>
      <c r="AB944" s="61" t="str">
        <f aca="false">INDEX(Datos_Origen!$B$2:$B$2459,$Z944)</f>
        <v>2024-10-14</v>
      </c>
      <c r="AC944" s="61" t="str">
        <f aca="false">INDEX(Datos_Origen!$H$2:$H$2459,$Z944)</f>
        <v>8</v>
      </c>
      <c r="AD944" s="61" t="str">
        <f aca="false">INDEX(Datos_Origen!$D$2:$D$2459,$Z944)&amp;""</f>
        <v>Rosario</v>
      </c>
    </row>
    <row r="945" customFormat="false" ht="15" hidden="false" customHeight="false" outlineLevel="0" collapsed="false">
      <c r="A945" s="61" t="n">
        <f aca="false">INDEX(Datos_Origen!$A$2:$A$2459,$Z945)</f>
        <v>944</v>
      </c>
      <c r="B945" s="62" t="n">
        <f aca="false">IF(ISNUMBER($AB945),$AB945,IF(MID($AB945,5,1)="-",DATE(VALUE(LEFT($AB945,4)),VALUE(MID($AB945,6,2)),VALUE(RIGHT($AB945,2))),DATE(VALUE(RIGHT($AB945,4)),VALUE(MID($AB945,4,2)),VALUE(LEFT($AB945,2)))))</f>
        <v>45586</v>
      </c>
      <c r="C945" s="61" t="n">
        <f aca="false">YEAR($B945)</f>
        <v>2024</v>
      </c>
      <c r="D945" s="61" t="str">
        <f aca="false">"Q"&amp;ROUNDUP(MONTH($B945)/3,0)</f>
        <v>Q4</v>
      </c>
      <c r="E945" s="61" t="n">
        <f aca="false">MONTH($B945)</f>
        <v>10</v>
      </c>
      <c r="F945" s="61" t="str">
        <f aca="false">INDEX(Parametros!$I$5:$I$16,$E945)</f>
        <v>Oct</v>
      </c>
      <c r="G945" s="61" t="str">
        <f aca="false">TEXT($C945,"0000")&amp;"-"&amp;TEXT($E945,"00")</f>
        <v>2024-10</v>
      </c>
      <c r="H945" s="61" t="str">
        <f aca="false">INDEX(Parametros!$C$71:$C$91,MATCH(TRIM(INDEX(Datos_Origen!$C$2:$C$2459,$Z945)),Parametros!$B$71:$B$91,0))</f>
        <v>Litoral</v>
      </c>
      <c r="I945" s="61" t="str">
        <f aca="false">IF(TRIM($AD945)="",INDEX(Parametros!$I$20:$I$24,MATCH($H945,Parametros!$H$20:$H$24,0)),TRIM($AD945))</f>
        <v>Rosario</v>
      </c>
      <c r="J945" s="61" t="str">
        <f aca="false">INDEX(Parametros!$C$95:$C$106,MATCH(TRIM(INDEX(Datos_Origen!$E$2:$E$2459,$Z945)),Parametros!$B$95:$B$106,0))</f>
        <v>E-commerce</v>
      </c>
      <c r="K945" s="61" t="str">
        <f aca="false">INDEX(Parametros!$C$48:$C$67,MATCH(TRIM(INDEX(Datos_Origen!$F$2:$F$2459,$Z945)),Parametros!$B$48:$B$67,0))</f>
        <v>Computacion</v>
      </c>
      <c r="L945" s="61" t="str">
        <f aca="false">$K945&amp;" "&amp;$C945</f>
        <v>Computacion 2024</v>
      </c>
      <c r="M945" s="61" t="str">
        <f aca="false">TRIM(INDEX(Datos_Origen!$G$2:$G$2459,$Z945))</f>
        <v>Monitor 4K 27</v>
      </c>
      <c r="N945" s="61" t="str">
        <f aca="false">$M945&amp;" "&amp;$C945</f>
        <v>Monitor 4K 27 2024</v>
      </c>
      <c r="O945" s="63" t="n">
        <f aca="false">IF(ISTEXT($AC945),VALUE($AC945),$AC945)</f>
        <v>3</v>
      </c>
      <c r="P945" s="64" t="n">
        <f aca="false">INDEX(Datos_Origen!$I$2:$I$2459,$Z945)</f>
        <v>441</v>
      </c>
      <c r="Q945" s="64" t="n">
        <f aca="false">INDEX(Datos_Origen!$J$2:$J$2459,$Z945)</f>
        <v>272.25</v>
      </c>
      <c r="R945" s="65" t="n">
        <f aca="false">ROUND($O945*$P945,2)</f>
        <v>1323</v>
      </c>
      <c r="S945" s="65" t="n">
        <f aca="false">ROUND($O945*$Q945,2)</f>
        <v>816.75</v>
      </c>
      <c r="T945" s="65" t="n">
        <f aca="false">ROUND($R945*SUMIFS(Parametros!$E$28:$E$43,Parametros!$B$28:$B$43,$J945,Parametros!$C$28:$C$43,$C945,Parametros!$D$28:$D$43,$D945),2)</f>
        <v>63.5</v>
      </c>
      <c r="U945" s="65" t="n">
        <f aca="false">$R945-$S945-$T945</f>
        <v>442.75</v>
      </c>
      <c r="V945" s="66" t="n">
        <f aca="false">IFERROR($U945/$R945,0)</f>
        <v>0.334656084656085</v>
      </c>
      <c r="W945" s="67" t="str">
        <f aca="false">IF(AND($V945&gt;=Parametros!$C$8,$R945&gt;=Parametros!$C$12),"Alta rentabilidad",IF(OR($V945&lt;Parametros!$C$11,$R945&lt;Parametros!$C$13),"Revisar","Estandar"))</f>
        <v>Estandar</v>
      </c>
      <c r="X945" s="67" t="str">
        <f aca="false">IF(AND($J945="E-commerce",IFERROR($T945/$R945,0)&gt;Parametros!$C$14),"Alerta","OK")</f>
        <v>OK</v>
      </c>
      <c r="Y945" s="61" t="str">
        <f aca="false">IF($R945&gt;=Parametros!$C$12,"Alto",IF($R945&lt;Parametros!$C$13,"Bajo","Medio"))</f>
        <v>Medio</v>
      </c>
      <c r="Z945" s="61" t="n">
        <v>2321</v>
      </c>
      <c r="AA945" s="61" t="str">
        <f aca="false">IF(MATCH($A945,Datos_Origen!$A$2:$A$2459,0)=$Z945,"OK","REVISAR")</f>
        <v>OK</v>
      </c>
      <c r="AB945" s="62" t="n">
        <f aca="false">INDEX(Datos_Origen!$B$2:$B$2459,$Z945)</f>
        <v>45586</v>
      </c>
      <c r="AC945" s="61" t="n">
        <f aca="false">INDEX(Datos_Origen!$H$2:$H$2459,$Z945)</f>
        <v>3</v>
      </c>
      <c r="AD945" s="61" t="str">
        <f aca="false">INDEX(Datos_Origen!$D$2:$D$2459,$Z945)&amp;""</f>
        <v>Rosario</v>
      </c>
    </row>
    <row r="946" customFormat="false" ht="15" hidden="false" customHeight="false" outlineLevel="0" collapsed="false">
      <c r="A946" s="61" t="n">
        <f aca="false">INDEX(Datos_Origen!$A$2:$A$2459,$Z946)</f>
        <v>945</v>
      </c>
      <c r="B946" s="62" t="n">
        <f aca="false">IF(ISNUMBER($AB946),$AB946,IF(MID($AB946,5,1)="-",DATE(VALUE(LEFT($AB946,4)),VALUE(MID($AB946,6,2)),VALUE(RIGHT($AB946,2))),DATE(VALUE(RIGHT($AB946,4)),VALUE(MID($AB946,4,2)),VALUE(LEFT($AB946,2)))))</f>
        <v>45566</v>
      </c>
      <c r="C946" s="61" t="n">
        <f aca="false">YEAR($B946)</f>
        <v>2024</v>
      </c>
      <c r="D946" s="61" t="str">
        <f aca="false">"Q"&amp;ROUNDUP(MONTH($B946)/3,0)</f>
        <v>Q4</v>
      </c>
      <c r="E946" s="61" t="n">
        <f aca="false">MONTH($B946)</f>
        <v>10</v>
      </c>
      <c r="F946" s="61" t="str">
        <f aca="false">INDEX(Parametros!$I$5:$I$16,$E946)</f>
        <v>Oct</v>
      </c>
      <c r="G946" s="61" t="str">
        <f aca="false">TEXT($C946,"0000")&amp;"-"&amp;TEXT($E946,"00")</f>
        <v>2024-10</v>
      </c>
      <c r="H946" s="61" t="str">
        <f aca="false">INDEX(Parametros!$C$71:$C$91,MATCH(TRIM(INDEX(Datos_Origen!$C$2:$C$2459,$Z946)),Parametros!$B$71:$B$91,0))</f>
        <v>Litoral</v>
      </c>
      <c r="I946" s="61" t="str">
        <f aca="false">IF(TRIM($AD946)="",INDEX(Parametros!$I$20:$I$24,MATCH($H946,Parametros!$H$20:$H$24,0)),TRIM($AD946))</f>
        <v>Rosario</v>
      </c>
      <c r="J946" s="61" t="str">
        <f aca="false">INDEX(Parametros!$C$95:$C$106,MATCH(TRIM(INDEX(Datos_Origen!$E$2:$E$2459,$Z946)),Parametros!$B$95:$B$106,0))</f>
        <v>Tienda fisica</v>
      </c>
      <c r="K946" s="61" t="str">
        <f aca="false">INDEX(Parametros!$C$48:$C$67,MATCH(TRIM(INDEX(Datos_Origen!$F$2:$F$2459,$Z946)),Parametros!$B$48:$B$67,0))</f>
        <v>Computacion</v>
      </c>
      <c r="L946" s="61" t="str">
        <f aca="false">$K946&amp;" "&amp;$C946</f>
        <v>Computacion 2024</v>
      </c>
      <c r="M946" s="61" t="str">
        <f aca="false">TRIM(INDEX(Datos_Origen!$G$2:$G$2459,$Z946))</f>
        <v>PC Gamer Ryzen</v>
      </c>
      <c r="N946" s="61" t="str">
        <f aca="false">$M946&amp;" "&amp;$C946</f>
        <v>PC Gamer Ryzen 2024</v>
      </c>
      <c r="O946" s="63" t="n">
        <f aca="false">IF(ISTEXT($AC946),VALUE($AC946),$AC946)</f>
        <v>9</v>
      </c>
      <c r="P946" s="64" t="n">
        <f aca="false">INDEX(Datos_Origen!$I$2:$I$2459,$Z946)</f>
        <v>1617</v>
      </c>
      <c r="Q946" s="64" t="n">
        <f aca="false">INDEX(Datos_Origen!$J$2:$J$2459,$Z946)</f>
        <v>1122</v>
      </c>
      <c r="R946" s="65" t="n">
        <f aca="false">ROUND($O946*$P946,2)</f>
        <v>14553</v>
      </c>
      <c r="S946" s="65" t="n">
        <f aca="false">ROUND($O946*$Q946,2)</f>
        <v>10098</v>
      </c>
      <c r="T946" s="65" t="n">
        <f aca="false">ROUND($R946*SUMIFS(Parametros!$E$28:$E$43,Parametros!$B$28:$B$43,$J946,Parametros!$C$28:$C$43,$C946,Parametros!$D$28:$D$43,$D946),2)</f>
        <v>189.19</v>
      </c>
      <c r="U946" s="65" t="n">
        <f aca="false">$R946-$S946-$T946</f>
        <v>4265.81</v>
      </c>
      <c r="V946" s="66" t="n">
        <f aca="false">IFERROR($U946/$R946,0)</f>
        <v>0.293122380265237</v>
      </c>
      <c r="W946" s="67" t="str">
        <f aca="false">IF(AND($V946&gt;=Parametros!$C$8,$R946&gt;=Parametros!$C$12),"Alta rentabilidad",IF(OR($V946&lt;Parametros!$C$11,$R946&lt;Parametros!$C$13),"Revisar","Estandar"))</f>
        <v>Estandar</v>
      </c>
      <c r="X946" s="67" t="str">
        <f aca="false">IF(AND($J946="E-commerce",IFERROR($T946/$R946,0)&gt;Parametros!$C$14),"Alerta","OK")</f>
        <v>OK</v>
      </c>
      <c r="Y946" s="61" t="str">
        <f aca="false">IF($R946&gt;=Parametros!$C$12,"Alto",IF($R946&lt;Parametros!$C$13,"Bajo","Medio"))</f>
        <v>Alto</v>
      </c>
      <c r="Z946" s="61" t="n">
        <v>1017</v>
      </c>
      <c r="AA946" s="61" t="str">
        <f aca="false">IF(MATCH($A946,Datos_Origen!$A$2:$A$2459,0)=$Z946,"OK","REVISAR")</f>
        <v>OK</v>
      </c>
      <c r="AB946" s="61" t="str">
        <f aca="false">INDEX(Datos_Origen!$B$2:$B$2459,$Z946)</f>
        <v>2024-10-01</v>
      </c>
      <c r="AC946" s="61" t="n">
        <f aca="false">INDEX(Datos_Origen!$H$2:$H$2459,$Z946)</f>
        <v>9</v>
      </c>
      <c r="AD946" s="61" t="str">
        <f aca="false">INDEX(Datos_Origen!$D$2:$D$2459,$Z946)&amp;""</f>
        <v>Rosario</v>
      </c>
    </row>
    <row r="947" customFormat="false" ht="15" hidden="false" customHeight="false" outlineLevel="0" collapsed="false">
      <c r="A947" s="61" t="n">
        <f aca="false">INDEX(Datos_Origen!$A$2:$A$2459,$Z947)</f>
        <v>946</v>
      </c>
      <c r="B947" s="62" t="n">
        <f aca="false">IF(ISNUMBER($AB947),$AB947,IF(MID($AB947,5,1)="-",DATE(VALUE(LEFT($AB947,4)),VALUE(MID($AB947,6,2)),VALUE(RIGHT($AB947,2))),DATE(VALUE(RIGHT($AB947,4)),VALUE(MID($AB947,4,2)),VALUE(LEFT($AB947,2)))))</f>
        <v>45573</v>
      </c>
      <c r="C947" s="61" t="n">
        <f aca="false">YEAR($B947)</f>
        <v>2024</v>
      </c>
      <c r="D947" s="61" t="str">
        <f aca="false">"Q"&amp;ROUNDUP(MONTH($B947)/3,0)</f>
        <v>Q4</v>
      </c>
      <c r="E947" s="61" t="n">
        <f aca="false">MONTH($B947)</f>
        <v>10</v>
      </c>
      <c r="F947" s="61" t="str">
        <f aca="false">INDEX(Parametros!$I$5:$I$16,$E947)</f>
        <v>Oct</v>
      </c>
      <c r="G947" s="61" t="str">
        <f aca="false">TEXT($C947,"0000")&amp;"-"&amp;TEXT($E947,"00")</f>
        <v>2024-10</v>
      </c>
      <c r="H947" s="61" t="str">
        <f aca="false">INDEX(Parametros!$C$71:$C$91,MATCH(TRIM(INDEX(Datos_Origen!$C$2:$C$2459,$Z947)),Parametros!$B$71:$B$91,0))</f>
        <v>Litoral</v>
      </c>
      <c r="I947" s="61" t="str">
        <f aca="false">IF(TRIM($AD947)="",INDEX(Parametros!$I$20:$I$24,MATCH($H947,Parametros!$H$20:$H$24,0)),TRIM($AD947))</f>
        <v>Rosario</v>
      </c>
      <c r="J947" s="61" t="str">
        <f aca="false">INDEX(Parametros!$C$95:$C$106,MATCH(TRIM(INDEX(Datos_Origen!$E$2:$E$2459,$Z947)),Parametros!$B$95:$B$106,0))</f>
        <v>E-commerce</v>
      </c>
      <c r="K947" s="61" t="str">
        <f aca="false">INDEX(Parametros!$C$48:$C$67,MATCH(TRIM(INDEX(Datos_Origen!$F$2:$F$2459,$Z947)),Parametros!$B$48:$B$67,0))</f>
        <v>Computacion</v>
      </c>
      <c r="L947" s="61" t="str">
        <f aca="false">$K947&amp;" "&amp;$C947</f>
        <v>Computacion 2024</v>
      </c>
      <c r="M947" s="61" t="str">
        <f aca="false">TRIM(INDEX(Datos_Origen!$G$2:$G$2459,$Z947))</f>
        <v>PC Gamer Ryzen</v>
      </c>
      <c r="N947" s="61" t="str">
        <f aca="false">$M947&amp;" "&amp;$C947</f>
        <v>PC Gamer Ryzen 2024</v>
      </c>
      <c r="O947" s="63" t="n">
        <f aca="false">IF(ISTEXT($AC947),VALUE($AC947),$AC947)</f>
        <v>3</v>
      </c>
      <c r="P947" s="64" t="n">
        <f aca="false">INDEX(Datos_Origen!$I$2:$I$2459,$Z947)</f>
        <v>1617</v>
      </c>
      <c r="Q947" s="64" t="n">
        <f aca="false">INDEX(Datos_Origen!$J$2:$J$2459,$Z947)</f>
        <v>1122</v>
      </c>
      <c r="R947" s="65" t="n">
        <f aca="false">ROUND($O947*$P947,2)</f>
        <v>4851</v>
      </c>
      <c r="S947" s="65" t="n">
        <f aca="false">ROUND($O947*$Q947,2)</f>
        <v>3366</v>
      </c>
      <c r="T947" s="65" t="n">
        <f aca="false">ROUND($R947*SUMIFS(Parametros!$E$28:$E$43,Parametros!$B$28:$B$43,$J947,Parametros!$C$28:$C$43,$C947,Parametros!$D$28:$D$43,$D947),2)</f>
        <v>232.85</v>
      </c>
      <c r="U947" s="65" t="n">
        <f aca="false">$R947-$S947-$T947</f>
        <v>1252.15</v>
      </c>
      <c r="V947" s="66" t="n">
        <f aca="false">IFERROR($U947/$R947,0)</f>
        <v>0.258122036693465</v>
      </c>
      <c r="W947" s="67" t="str">
        <f aca="false">IF(AND($V947&gt;=Parametros!$C$8,$R947&gt;=Parametros!$C$12),"Alta rentabilidad",IF(OR($V947&lt;Parametros!$C$11,$R947&lt;Parametros!$C$13),"Revisar","Estandar"))</f>
        <v>Revisar</v>
      </c>
      <c r="X947" s="67" t="str">
        <f aca="false">IF(AND($J947="E-commerce",IFERROR($T947/$R947,0)&gt;Parametros!$C$14),"Alerta","OK")</f>
        <v>OK</v>
      </c>
      <c r="Y947" s="61" t="str">
        <f aca="false">IF($R947&gt;=Parametros!$C$12,"Alto",IF($R947&lt;Parametros!$C$13,"Bajo","Medio"))</f>
        <v>Alto</v>
      </c>
      <c r="Z947" s="61" t="n">
        <v>1440</v>
      </c>
      <c r="AA947" s="61" t="str">
        <f aca="false">IF(MATCH($A947,Datos_Origen!$A$2:$A$2459,0)=$Z947,"OK","REVISAR")</f>
        <v>OK</v>
      </c>
      <c r="AB947" s="61" t="str">
        <f aca="false">INDEX(Datos_Origen!$B$2:$B$2459,$Z947)</f>
        <v>08/10/2024</v>
      </c>
      <c r="AC947" s="61" t="n">
        <f aca="false">INDEX(Datos_Origen!$H$2:$H$2459,$Z947)</f>
        <v>3</v>
      </c>
      <c r="AD947" s="61" t="str">
        <f aca="false">INDEX(Datos_Origen!$D$2:$D$2459,$Z947)&amp;""</f>
        <v>Rosario</v>
      </c>
    </row>
    <row r="948" customFormat="false" ht="15" hidden="false" customHeight="false" outlineLevel="0" collapsed="false">
      <c r="A948" s="61" t="n">
        <f aca="false">INDEX(Datos_Origen!$A$2:$A$2459,$Z948)</f>
        <v>947</v>
      </c>
      <c r="B948" s="62" t="n">
        <f aca="false">IF(ISNUMBER($AB948),$AB948,IF(MID($AB948,5,1)="-",DATE(VALUE(LEFT($AB948,4)),VALUE(MID($AB948,6,2)),VALUE(RIGHT($AB948,2))),DATE(VALUE(RIGHT($AB948,4)),VALUE(MID($AB948,4,2)),VALUE(LEFT($AB948,2)))))</f>
        <v>45580</v>
      </c>
      <c r="C948" s="61" t="n">
        <f aca="false">YEAR($B948)</f>
        <v>2024</v>
      </c>
      <c r="D948" s="61" t="str">
        <f aca="false">"Q"&amp;ROUNDUP(MONTH($B948)/3,0)</f>
        <v>Q4</v>
      </c>
      <c r="E948" s="61" t="n">
        <f aca="false">MONTH($B948)</f>
        <v>10</v>
      </c>
      <c r="F948" s="61" t="str">
        <f aca="false">INDEX(Parametros!$I$5:$I$16,$E948)</f>
        <v>Oct</v>
      </c>
      <c r="G948" s="61" t="str">
        <f aca="false">TEXT($C948,"0000")&amp;"-"&amp;TEXT($E948,"00")</f>
        <v>2024-10</v>
      </c>
      <c r="H948" s="61" t="str">
        <f aca="false">INDEX(Parametros!$C$71:$C$91,MATCH(TRIM(INDEX(Datos_Origen!$C$2:$C$2459,$Z948)),Parametros!$B$71:$B$91,0))</f>
        <v>Litoral</v>
      </c>
      <c r="I948" s="61" t="str">
        <f aca="false">IF(TRIM($AD948)="",INDEX(Parametros!$I$20:$I$24,MATCH($H948,Parametros!$H$20:$H$24,0)),TRIM($AD948))</f>
        <v>Rosario</v>
      </c>
      <c r="J948" s="61" t="str">
        <f aca="false">INDEX(Parametros!$C$95:$C$106,MATCH(TRIM(INDEX(Datos_Origen!$E$2:$E$2459,$Z948)),Parametros!$B$95:$B$106,0))</f>
        <v>Tienda fisica</v>
      </c>
      <c r="K948" s="61" t="str">
        <f aca="false">INDEX(Parametros!$C$48:$C$67,MATCH(TRIM(INDEX(Datos_Origen!$F$2:$F$2459,$Z948)),Parametros!$B$48:$B$67,0))</f>
        <v>Accesorios</v>
      </c>
      <c r="L948" s="61" t="str">
        <f aca="false">$K948&amp;" "&amp;$C948</f>
        <v>Accesorios 2024</v>
      </c>
      <c r="M948" s="61" t="str">
        <f aca="false">TRIM(INDEX(Datos_Origen!$G$2:$G$2459,$Z948))</f>
        <v>Mouse Inalambrico</v>
      </c>
      <c r="N948" s="61" t="str">
        <f aca="false">$M948&amp;" "&amp;$C948</f>
        <v>Mouse Inalambrico 2024</v>
      </c>
      <c r="O948" s="63" t="n">
        <f aca="false">IF(ISTEXT($AC948),VALUE($AC948),$AC948)</f>
        <v>43</v>
      </c>
      <c r="P948" s="64" t="n">
        <f aca="false">INDEX(Datos_Origen!$I$2:$I$2459,$Z948)</f>
        <v>27.44</v>
      </c>
      <c r="Q948" s="64" t="n">
        <f aca="false">INDEX(Datos_Origen!$J$2:$J$2459,$Z948)</f>
        <v>13.44</v>
      </c>
      <c r="R948" s="65" t="n">
        <f aca="false">ROUND($O948*$P948,2)</f>
        <v>1179.92</v>
      </c>
      <c r="S948" s="65" t="n">
        <f aca="false">ROUND($O948*$Q948,2)</f>
        <v>577.92</v>
      </c>
      <c r="T948" s="65" t="n">
        <f aca="false">ROUND($R948*SUMIFS(Parametros!$E$28:$E$43,Parametros!$B$28:$B$43,$J948,Parametros!$C$28:$C$43,$C948,Parametros!$D$28:$D$43,$D948),2)</f>
        <v>15.34</v>
      </c>
      <c r="U948" s="65" t="n">
        <f aca="false">$R948-$S948-$T948</f>
        <v>586.66</v>
      </c>
      <c r="V948" s="66" t="n">
        <f aca="false">IFERROR($U948/$R948,0)</f>
        <v>0.497203200216964</v>
      </c>
      <c r="W948" s="67" t="str">
        <f aca="false">IF(AND($V948&gt;=Parametros!$C$8,$R948&gt;=Parametros!$C$12),"Alta rentabilidad",IF(OR($V948&lt;Parametros!$C$11,$R948&lt;Parametros!$C$13),"Revisar","Estandar"))</f>
        <v>Estandar</v>
      </c>
      <c r="X948" s="67" t="str">
        <f aca="false">IF(AND($J948="E-commerce",IFERROR($T948/$R948,0)&gt;Parametros!$C$14),"Alerta","OK")</f>
        <v>OK</v>
      </c>
      <c r="Y948" s="61" t="str">
        <f aca="false">IF($R948&gt;=Parametros!$C$12,"Alto",IF($R948&lt;Parametros!$C$13,"Bajo","Medio"))</f>
        <v>Medio</v>
      </c>
      <c r="Z948" s="61" t="n">
        <v>1357</v>
      </c>
      <c r="AA948" s="61" t="str">
        <f aca="false">IF(MATCH($A948,Datos_Origen!$A$2:$A$2459,0)=$Z948,"OK","REVISAR")</f>
        <v>OK</v>
      </c>
      <c r="AB948" s="62" t="n">
        <f aca="false">INDEX(Datos_Origen!$B$2:$B$2459,$Z948)</f>
        <v>45580</v>
      </c>
      <c r="AC948" s="61" t="n">
        <f aca="false">INDEX(Datos_Origen!$H$2:$H$2459,$Z948)</f>
        <v>43</v>
      </c>
      <c r="AD948" s="61" t="str">
        <f aca="false">INDEX(Datos_Origen!$D$2:$D$2459,$Z948)&amp;""</f>
        <v>Rosario</v>
      </c>
    </row>
    <row r="949" customFormat="false" ht="15" hidden="false" customHeight="false" outlineLevel="0" collapsed="false">
      <c r="A949" s="61" t="n">
        <f aca="false">INDEX(Datos_Origen!$A$2:$A$2459,$Z949)</f>
        <v>948</v>
      </c>
      <c r="B949" s="62" t="n">
        <f aca="false">IF(ISNUMBER($AB949),$AB949,IF(MID($AB949,5,1)="-",DATE(VALUE(LEFT($AB949,4)),VALUE(MID($AB949,6,2)),VALUE(RIGHT($AB949,2))),DATE(VALUE(RIGHT($AB949,4)),VALUE(MID($AB949,4,2)),VALUE(LEFT($AB949,2)))))</f>
        <v>45587</v>
      </c>
      <c r="C949" s="61" t="n">
        <f aca="false">YEAR($B949)</f>
        <v>2024</v>
      </c>
      <c r="D949" s="61" t="str">
        <f aca="false">"Q"&amp;ROUNDUP(MONTH($B949)/3,0)</f>
        <v>Q4</v>
      </c>
      <c r="E949" s="61" t="n">
        <f aca="false">MONTH($B949)</f>
        <v>10</v>
      </c>
      <c r="F949" s="61" t="str">
        <f aca="false">INDEX(Parametros!$I$5:$I$16,$E949)</f>
        <v>Oct</v>
      </c>
      <c r="G949" s="61" t="str">
        <f aca="false">TEXT($C949,"0000")&amp;"-"&amp;TEXT($E949,"00")</f>
        <v>2024-10</v>
      </c>
      <c r="H949" s="61" t="str">
        <f aca="false">INDEX(Parametros!$C$71:$C$91,MATCH(TRIM(INDEX(Datos_Origen!$C$2:$C$2459,$Z949)),Parametros!$B$71:$B$91,0))</f>
        <v>Litoral</v>
      </c>
      <c r="I949" s="61" t="str">
        <f aca="false">IF(TRIM($AD949)="",INDEX(Parametros!$I$20:$I$24,MATCH($H949,Parametros!$H$20:$H$24,0)),TRIM($AD949))</f>
        <v>Rosario</v>
      </c>
      <c r="J949" s="61" t="str">
        <f aca="false">INDEX(Parametros!$C$95:$C$106,MATCH(TRIM(INDEX(Datos_Origen!$E$2:$E$2459,$Z949)),Parametros!$B$95:$B$106,0))</f>
        <v>E-commerce</v>
      </c>
      <c r="K949" s="61" t="str">
        <f aca="false">INDEX(Parametros!$C$48:$C$67,MATCH(TRIM(INDEX(Datos_Origen!$F$2:$F$2459,$Z949)),Parametros!$B$48:$B$67,0))</f>
        <v>Accesorios</v>
      </c>
      <c r="L949" s="61" t="str">
        <f aca="false">$K949&amp;" "&amp;$C949</f>
        <v>Accesorios 2024</v>
      </c>
      <c r="M949" s="61" t="str">
        <f aca="false">TRIM(INDEX(Datos_Origen!$G$2:$G$2459,$Z949))</f>
        <v>Mouse Inalambrico</v>
      </c>
      <c r="N949" s="61" t="str">
        <f aca="false">$M949&amp;" "&amp;$C949</f>
        <v>Mouse Inalambrico 2024</v>
      </c>
      <c r="O949" s="63" t="n">
        <f aca="false">IF(ISTEXT($AC949),VALUE($AC949),$AC949)</f>
        <v>19</v>
      </c>
      <c r="P949" s="64" t="n">
        <f aca="false">INDEX(Datos_Origen!$I$2:$I$2459,$Z949)</f>
        <v>27.44</v>
      </c>
      <c r="Q949" s="64" t="n">
        <f aca="false">INDEX(Datos_Origen!$J$2:$J$2459,$Z949)</f>
        <v>13.44</v>
      </c>
      <c r="R949" s="65" t="n">
        <f aca="false">ROUND($O949*$P949,2)</f>
        <v>521.36</v>
      </c>
      <c r="S949" s="65" t="n">
        <f aca="false">ROUND($O949*$Q949,2)</f>
        <v>255.36</v>
      </c>
      <c r="T949" s="65" t="n">
        <f aca="false">ROUND($R949*SUMIFS(Parametros!$E$28:$E$43,Parametros!$B$28:$B$43,$J949,Parametros!$C$28:$C$43,$C949,Parametros!$D$28:$D$43,$D949),2)</f>
        <v>25.03</v>
      </c>
      <c r="U949" s="65" t="n">
        <f aca="false">$R949-$S949-$T949</f>
        <v>240.97</v>
      </c>
      <c r="V949" s="66" t="n">
        <f aca="false">IFERROR($U949/$R949,0)</f>
        <v>0.462195028387295</v>
      </c>
      <c r="W949" s="67" t="str">
        <f aca="false">IF(AND($V949&gt;=Parametros!$C$8,$R949&gt;=Parametros!$C$12),"Alta rentabilidad",IF(OR($V949&lt;Parametros!$C$11,$R949&lt;Parametros!$C$13),"Revisar","Estandar"))</f>
        <v>Estandar</v>
      </c>
      <c r="X949" s="67" t="str">
        <f aca="false">IF(AND($J949="E-commerce",IFERROR($T949/$R949,0)&gt;Parametros!$C$14),"Alerta","OK")</f>
        <v>OK</v>
      </c>
      <c r="Y949" s="61" t="str">
        <f aca="false">IF($R949&gt;=Parametros!$C$12,"Alto",IF($R949&lt;Parametros!$C$13,"Bajo","Medio"))</f>
        <v>Medio</v>
      </c>
      <c r="Z949" s="61" t="n">
        <v>629</v>
      </c>
      <c r="AA949" s="61" t="str">
        <f aca="false">IF(MATCH($A949,Datos_Origen!$A$2:$A$2459,0)=$Z949,"OK","REVISAR")</f>
        <v>OK</v>
      </c>
      <c r="AB949" s="62" t="n">
        <f aca="false">INDEX(Datos_Origen!$B$2:$B$2459,$Z949)</f>
        <v>45587</v>
      </c>
      <c r="AC949" s="61" t="n">
        <f aca="false">INDEX(Datos_Origen!$H$2:$H$2459,$Z949)</f>
        <v>19</v>
      </c>
      <c r="AD949" s="61" t="str">
        <f aca="false">INDEX(Datos_Origen!$D$2:$D$2459,$Z949)&amp;""</f>
        <v>Rosario</v>
      </c>
    </row>
    <row r="950" customFormat="false" ht="15" hidden="false" customHeight="false" outlineLevel="0" collapsed="false">
      <c r="A950" s="61" t="n">
        <f aca="false">INDEX(Datos_Origen!$A$2:$A$2459,$Z950)</f>
        <v>949</v>
      </c>
      <c r="B950" s="62" t="n">
        <f aca="false">IF(ISNUMBER($AB950),$AB950,IF(MID($AB950,5,1)="-",DATE(VALUE(LEFT($AB950,4)),VALUE(MID($AB950,6,2)),VALUE(RIGHT($AB950,2))),DATE(VALUE(RIGHT($AB950,4)),VALUE(MID($AB950,4,2)),VALUE(LEFT($AB950,2)))))</f>
        <v>45567</v>
      </c>
      <c r="C950" s="61" t="n">
        <f aca="false">YEAR($B950)</f>
        <v>2024</v>
      </c>
      <c r="D950" s="61" t="str">
        <f aca="false">"Q"&amp;ROUNDUP(MONTH($B950)/3,0)</f>
        <v>Q4</v>
      </c>
      <c r="E950" s="61" t="n">
        <f aca="false">MONTH($B950)</f>
        <v>10</v>
      </c>
      <c r="F950" s="61" t="str">
        <f aca="false">INDEX(Parametros!$I$5:$I$16,$E950)</f>
        <v>Oct</v>
      </c>
      <c r="G950" s="61" t="str">
        <f aca="false">TEXT($C950,"0000")&amp;"-"&amp;TEXT($E950,"00")</f>
        <v>2024-10</v>
      </c>
      <c r="H950" s="61" t="str">
        <f aca="false">INDEX(Parametros!$C$71:$C$91,MATCH(TRIM(INDEX(Datos_Origen!$C$2:$C$2459,$Z950)),Parametros!$B$71:$B$91,0))</f>
        <v>Litoral</v>
      </c>
      <c r="I950" s="61" t="str">
        <f aca="false">IF(TRIM($AD950)="",INDEX(Parametros!$I$20:$I$24,MATCH($H950,Parametros!$H$20:$H$24,0)),TRIM($AD950))</f>
        <v>Rosario</v>
      </c>
      <c r="J950" s="61" t="str">
        <f aca="false">INDEX(Parametros!$C$95:$C$106,MATCH(TRIM(INDEX(Datos_Origen!$E$2:$E$2459,$Z950)),Parametros!$B$95:$B$106,0))</f>
        <v>Tienda fisica</v>
      </c>
      <c r="K950" s="61" t="str">
        <f aca="false">INDEX(Parametros!$C$48:$C$67,MATCH(TRIM(INDEX(Datos_Origen!$F$2:$F$2459,$Z950)),Parametros!$B$48:$B$67,0))</f>
        <v>Accesorios</v>
      </c>
      <c r="L950" s="61" t="str">
        <f aca="false">$K950&amp;" "&amp;$C950</f>
        <v>Accesorios 2024</v>
      </c>
      <c r="M950" s="61" t="str">
        <f aca="false">TRIM(INDEX(Datos_Origen!$G$2:$G$2459,$Z950))</f>
        <v>Teclado Mecanico</v>
      </c>
      <c r="N950" s="61" t="str">
        <f aca="false">$M950&amp;" "&amp;$C950</f>
        <v>Teclado Mecanico 2024</v>
      </c>
      <c r="O950" s="63" t="n">
        <f aca="false">IF(ISTEXT($AC950),VALUE($AC950),$AC950)</f>
        <v>47</v>
      </c>
      <c r="P950" s="64" t="n">
        <f aca="false">INDEX(Datos_Origen!$I$2:$I$2459,$Z950)</f>
        <v>93.1</v>
      </c>
      <c r="Q950" s="64" t="n">
        <f aca="false">INDEX(Datos_Origen!$J$2:$J$2459,$Z950)</f>
        <v>47.98</v>
      </c>
      <c r="R950" s="65" t="n">
        <f aca="false">ROUND($O950*$P950,2)</f>
        <v>4375.7</v>
      </c>
      <c r="S950" s="65" t="n">
        <f aca="false">ROUND($O950*$Q950,2)</f>
        <v>2255.06</v>
      </c>
      <c r="T950" s="65" t="n">
        <f aca="false">ROUND($R950*SUMIFS(Parametros!$E$28:$E$43,Parametros!$B$28:$B$43,$J950,Parametros!$C$28:$C$43,$C950,Parametros!$D$28:$D$43,$D950),2)</f>
        <v>56.88</v>
      </c>
      <c r="U950" s="65" t="n">
        <f aca="false">$R950-$S950-$T950</f>
        <v>2063.76</v>
      </c>
      <c r="V950" s="66" t="n">
        <f aca="false">IFERROR($U950/$R950,0)</f>
        <v>0.471641108851155</v>
      </c>
      <c r="W950" s="67" t="str">
        <f aca="false">IF(AND($V950&gt;=Parametros!$C$8,$R950&gt;=Parametros!$C$12),"Alta rentabilidad",IF(OR($V950&lt;Parametros!$C$11,$R950&lt;Parametros!$C$13),"Revisar","Estandar"))</f>
        <v>Alta rentabilidad</v>
      </c>
      <c r="X950" s="67" t="str">
        <f aca="false">IF(AND($J950="E-commerce",IFERROR($T950/$R950,0)&gt;Parametros!$C$14),"Alerta","OK")</f>
        <v>OK</v>
      </c>
      <c r="Y950" s="61" t="str">
        <f aca="false">IF($R950&gt;=Parametros!$C$12,"Alto",IF($R950&lt;Parametros!$C$13,"Bajo","Medio"))</f>
        <v>Alto</v>
      </c>
      <c r="Z950" s="61" t="n">
        <v>114</v>
      </c>
      <c r="AA950" s="61" t="str">
        <f aca="false">IF(MATCH($A950,Datos_Origen!$A$2:$A$2459,0)=$Z950,"OK","REVISAR")</f>
        <v>OK</v>
      </c>
      <c r="AB950" s="62" t="n">
        <f aca="false">INDEX(Datos_Origen!$B$2:$B$2459,$Z950)</f>
        <v>45567</v>
      </c>
      <c r="AC950" s="61" t="n">
        <f aca="false">INDEX(Datos_Origen!$H$2:$H$2459,$Z950)</f>
        <v>47</v>
      </c>
      <c r="AD950" s="61" t="str">
        <f aca="false">INDEX(Datos_Origen!$D$2:$D$2459,$Z950)&amp;""</f>
        <v/>
      </c>
    </row>
    <row r="951" customFormat="false" ht="15" hidden="false" customHeight="false" outlineLevel="0" collapsed="false">
      <c r="A951" s="61" t="n">
        <f aca="false">INDEX(Datos_Origen!$A$2:$A$2459,$Z951)</f>
        <v>950</v>
      </c>
      <c r="B951" s="62" t="n">
        <f aca="false">IF(ISNUMBER($AB951),$AB951,IF(MID($AB951,5,1)="-",DATE(VALUE(LEFT($AB951,4)),VALUE(MID($AB951,6,2)),VALUE(RIGHT($AB951,2))),DATE(VALUE(RIGHT($AB951,4)),VALUE(MID($AB951,4,2)),VALUE(LEFT($AB951,2)))))</f>
        <v>45574</v>
      </c>
      <c r="C951" s="61" t="n">
        <f aca="false">YEAR($B951)</f>
        <v>2024</v>
      </c>
      <c r="D951" s="61" t="str">
        <f aca="false">"Q"&amp;ROUNDUP(MONTH($B951)/3,0)</f>
        <v>Q4</v>
      </c>
      <c r="E951" s="61" t="n">
        <f aca="false">MONTH($B951)</f>
        <v>10</v>
      </c>
      <c r="F951" s="61" t="str">
        <f aca="false">INDEX(Parametros!$I$5:$I$16,$E951)</f>
        <v>Oct</v>
      </c>
      <c r="G951" s="61" t="str">
        <f aca="false">TEXT($C951,"0000")&amp;"-"&amp;TEXT($E951,"00")</f>
        <v>2024-10</v>
      </c>
      <c r="H951" s="61" t="str">
        <f aca="false">INDEX(Parametros!$C$71:$C$91,MATCH(TRIM(INDEX(Datos_Origen!$C$2:$C$2459,$Z951)),Parametros!$B$71:$B$91,0))</f>
        <v>Litoral</v>
      </c>
      <c r="I951" s="61" t="str">
        <f aca="false">IF(TRIM($AD951)="",INDEX(Parametros!$I$20:$I$24,MATCH($H951,Parametros!$H$20:$H$24,0)),TRIM($AD951))</f>
        <v>Rosario</v>
      </c>
      <c r="J951" s="61" t="str">
        <f aca="false">INDEX(Parametros!$C$95:$C$106,MATCH(TRIM(INDEX(Datos_Origen!$E$2:$E$2459,$Z951)),Parametros!$B$95:$B$106,0))</f>
        <v>E-commerce</v>
      </c>
      <c r="K951" s="61" t="str">
        <f aca="false">INDEX(Parametros!$C$48:$C$67,MATCH(TRIM(INDEX(Datos_Origen!$F$2:$F$2459,$Z951)),Parametros!$B$48:$B$67,0))</f>
        <v>Accesorios</v>
      </c>
      <c r="L951" s="61" t="str">
        <f aca="false">$K951&amp;" "&amp;$C951</f>
        <v>Accesorios 2024</v>
      </c>
      <c r="M951" s="61" t="str">
        <f aca="false">TRIM(INDEX(Datos_Origen!$G$2:$G$2459,$Z951))</f>
        <v>Teclado Mecanico</v>
      </c>
      <c r="N951" s="61" t="str">
        <f aca="false">$M951&amp;" "&amp;$C951</f>
        <v>Teclado Mecanico 2024</v>
      </c>
      <c r="O951" s="63" t="n">
        <f aca="false">IF(ISTEXT($AC951),VALUE($AC951),$AC951)</f>
        <v>19</v>
      </c>
      <c r="P951" s="64" t="n">
        <f aca="false">INDEX(Datos_Origen!$I$2:$I$2459,$Z951)</f>
        <v>93.1</v>
      </c>
      <c r="Q951" s="64" t="n">
        <f aca="false">INDEX(Datos_Origen!$J$2:$J$2459,$Z951)</f>
        <v>47.98</v>
      </c>
      <c r="R951" s="65" t="n">
        <f aca="false">ROUND($O951*$P951,2)</f>
        <v>1768.9</v>
      </c>
      <c r="S951" s="65" t="n">
        <f aca="false">ROUND($O951*$Q951,2)</f>
        <v>911.62</v>
      </c>
      <c r="T951" s="65" t="n">
        <f aca="false">ROUND($R951*SUMIFS(Parametros!$E$28:$E$43,Parametros!$B$28:$B$43,$J951,Parametros!$C$28:$C$43,$C951,Parametros!$D$28:$D$43,$D951),2)</f>
        <v>84.91</v>
      </c>
      <c r="U951" s="65" t="n">
        <f aca="false">$R951-$S951-$T951</f>
        <v>772.37</v>
      </c>
      <c r="V951" s="66" t="n">
        <f aca="false">IFERROR($U951/$R951,0)</f>
        <v>0.436638588953587</v>
      </c>
      <c r="W951" s="67" t="str">
        <f aca="false">IF(AND($V951&gt;=Parametros!$C$8,$R951&gt;=Parametros!$C$12),"Alta rentabilidad",IF(OR($V951&lt;Parametros!$C$11,$R951&lt;Parametros!$C$13),"Revisar","Estandar"))</f>
        <v>Estandar</v>
      </c>
      <c r="X951" s="67" t="str">
        <f aca="false">IF(AND($J951="E-commerce",IFERROR($T951/$R951,0)&gt;Parametros!$C$14),"Alerta","OK")</f>
        <v>OK</v>
      </c>
      <c r="Y951" s="61" t="str">
        <f aca="false">IF($R951&gt;=Parametros!$C$12,"Alto",IF($R951&lt;Parametros!$C$13,"Bajo","Medio"))</f>
        <v>Medio</v>
      </c>
      <c r="Z951" s="61" t="n">
        <v>1426</v>
      </c>
      <c r="AA951" s="61" t="str">
        <f aca="false">IF(MATCH($A951,Datos_Origen!$A$2:$A$2459,0)=$Z951,"OK","REVISAR")</f>
        <v>OK</v>
      </c>
      <c r="AB951" s="62" t="n">
        <f aca="false">INDEX(Datos_Origen!$B$2:$B$2459,$Z951)</f>
        <v>45574</v>
      </c>
      <c r="AC951" s="61" t="n">
        <f aca="false">INDEX(Datos_Origen!$H$2:$H$2459,$Z951)</f>
        <v>19</v>
      </c>
      <c r="AD951" s="61" t="str">
        <f aca="false">INDEX(Datos_Origen!$D$2:$D$2459,$Z951)&amp;""</f>
        <v>Rosario</v>
      </c>
    </row>
    <row r="952" customFormat="false" ht="15" hidden="false" customHeight="false" outlineLevel="0" collapsed="false">
      <c r="A952" s="61" t="n">
        <f aca="false">INDEX(Datos_Origen!$A$2:$A$2459,$Z952)</f>
        <v>951</v>
      </c>
      <c r="B952" s="62" t="n">
        <f aca="false">IF(ISNUMBER($AB952),$AB952,IF(MID($AB952,5,1)="-",DATE(VALUE(LEFT($AB952,4)),VALUE(MID($AB952,6,2)),VALUE(RIGHT($AB952,2))),DATE(VALUE(RIGHT($AB952,4)),VALUE(MID($AB952,4,2)),VALUE(LEFT($AB952,2)))))</f>
        <v>45581</v>
      </c>
      <c r="C952" s="61" t="n">
        <f aca="false">YEAR($B952)</f>
        <v>2024</v>
      </c>
      <c r="D952" s="61" t="str">
        <f aca="false">"Q"&amp;ROUNDUP(MONTH($B952)/3,0)</f>
        <v>Q4</v>
      </c>
      <c r="E952" s="61" t="n">
        <f aca="false">MONTH($B952)</f>
        <v>10</v>
      </c>
      <c r="F952" s="61" t="str">
        <f aca="false">INDEX(Parametros!$I$5:$I$16,$E952)</f>
        <v>Oct</v>
      </c>
      <c r="G952" s="61" t="str">
        <f aca="false">TEXT($C952,"0000")&amp;"-"&amp;TEXT($E952,"00")</f>
        <v>2024-10</v>
      </c>
      <c r="H952" s="61" t="str">
        <f aca="false">INDEX(Parametros!$C$71:$C$91,MATCH(TRIM(INDEX(Datos_Origen!$C$2:$C$2459,$Z952)),Parametros!$B$71:$B$91,0))</f>
        <v>Litoral</v>
      </c>
      <c r="I952" s="61" t="str">
        <f aca="false">IF(TRIM($AD952)="",INDEX(Parametros!$I$20:$I$24,MATCH($H952,Parametros!$H$20:$H$24,0)),TRIM($AD952))</f>
        <v>Rosario</v>
      </c>
      <c r="J952" s="61" t="str">
        <f aca="false">INDEX(Parametros!$C$95:$C$106,MATCH(TRIM(INDEX(Datos_Origen!$E$2:$E$2459,$Z952)),Parametros!$B$95:$B$106,0))</f>
        <v>Tienda fisica</v>
      </c>
      <c r="K952" s="61" t="str">
        <f aca="false">INDEX(Parametros!$C$48:$C$67,MATCH(TRIM(INDEX(Datos_Origen!$F$2:$F$2459,$Z952)),Parametros!$B$48:$B$67,0))</f>
        <v>Accesorios</v>
      </c>
      <c r="L952" s="61" t="str">
        <f aca="false">$K952&amp;" "&amp;$C952</f>
        <v>Accesorios 2024</v>
      </c>
      <c r="M952" s="61" t="str">
        <f aca="false">TRIM(INDEX(Datos_Origen!$G$2:$G$2459,$Z952))</f>
        <v>Webcam Full HD</v>
      </c>
      <c r="N952" s="61" t="str">
        <f aca="false">$M952&amp;" "&amp;$C952</f>
        <v>Webcam Full HD 2024</v>
      </c>
      <c r="O952" s="63" t="n">
        <f aca="false">IF(ISTEXT($AC952),VALUE($AC952),$AC952)</f>
        <v>48</v>
      </c>
      <c r="P952" s="64" t="n">
        <f aca="false">INDEX(Datos_Origen!$I$2:$I$2459,$Z952)</f>
        <v>63.7</v>
      </c>
      <c r="Q952" s="64" t="n">
        <f aca="false">INDEX(Datos_Origen!$J$2:$J$2459,$Z952)</f>
        <v>35.43</v>
      </c>
      <c r="R952" s="65" t="n">
        <f aca="false">ROUND($O952*$P952,2)</f>
        <v>3057.6</v>
      </c>
      <c r="S952" s="65" t="n">
        <f aca="false">ROUND($O952*$Q952,2)</f>
        <v>1700.64</v>
      </c>
      <c r="T952" s="65" t="n">
        <f aca="false">ROUND($R952*SUMIFS(Parametros!$E$28:$E$43,Parametros!$B$28:$B$43,$J952,Parametros!$C$28:$C$43,$C952,Parametros!$D$28:$D$43,$D952),2)</f>
        <v>39.75</v>
      </c>
      <c r="U952" s="65" t="n">
        <f aca="false">$R952-$S952-$T952</f>
        <v>1317.21</v>
      </c>
      <c r="V952" s="66" t="n">
        <f aca="false">IFERROR($U952/$R952,0)</f>
        <v>0.430798665620094</v>
      </c>
      <c r="W952" s="67" t="str">
        <f aca="false">IF(AND($V952&gt;=Parametros!$C$8,$R952&gt;=Parametros!$C$12),"Alta rentabilidad",IF(OR($V952&lt;Parametros!$C$11,$R952&lt;Parametros!$C$13),"Revisar","Estandar"))</f>
        <v>Alta rentabilidad</v>
      </c>
      <c r="X952" s="67" t="str">
        <f aca="false">IF(AND($J952="E-commerce",IFERROR($T952/$R952,0)&gt;Parametros!$C$14),"Alerta","OK")</f>
        <v>OK</v>
      </c>
      <c r="Y952" s="61" t="str">
        <f aca="false">IF($R952&gt;=Parametros!$C$12,"Alto",IF($R952&lt;Parametros!$C$13,"Bajo","Medio"))</f>
        <v>Alto</v>
      </c>
      <c r="Z952" s="61" t="n">
        <v>1178</v>
      </c>
      <c r="AA952" s="61" t="str">
        <f aca="false">IF(MATCH($A952,Datos_Origen!$A$2:$A$2459,0)=$Z952,"OK","REVISAR")</f>
        <v>OK</v>
      </c>
      <c r="AB952" s="61" t="str">
        <f aca="false">INDEX(Datos_Origen!$B$2:$B$2459,$Z952)</f>
        <v>2024-10-16</v>
      </c>
      <c r="AC952" s="61" t="n">
        <f aca="false">INDEX(Datos_Origen!$H$2:$H$2459,$Z952)</f>
        <v>48</v>
      </c>
      <c r="AD952" s="61" t="str">
        <f aca="false">INDEX(Datos_Origen!$D$2:$D$2459,$Z952)&amp;""</f>
        <v>Rosario</v>
      </c>
    </row>
    <row r="953" customFormat="false" ht="15" hidden="false" customHeight="false" outlineLevel="0" collapsed="false">
      <c r="A953" s="61" t="n">
        <f aca="false">INDEX(Datos_Origen!$A$2:$A$2459,$Z953)</f>
        <v>952</v>
      </c>
      <c r="B953" s="62" t="n">
        <f aca="false">IF(ISNUMBER($AB953),$AB953,IF(MID($AB953,5,1)="-",DATE(VALUE(LEFT($AB953,4)),VALUE(MID($AB953,6,2)),VALUE(RIGHT($AB953,2))),DATE(VALUE(RIGHT($AB953,4)),VALUE(MID($AB953,4,2)),VALUE(LEFT($AB953,2)))))</f>
        <v>45588</v>
      </c>
      <c r="C953" s="61" t="n">
        <f aca="false">YEAR($B953)</f>
        <v>2024</v>
      </c>
      <c r="D953" s="61" t="str">
        <f aca="false">"Q"&amp;ROUNDUP(MONTH($B953)/3,0)</f>
        <v>Q4</v>
      </c>
      <c r="E953" s="61" t="n">
        <f aca="false">MONTH($B953)</f>
        <v>10</v>
      </c>
      <c r="F953" s="61" t="str">
        <f aca="false">INDEX(Parametros!$I$5:$I$16,$E953)</f>
        <v>Oct</v>
      </c>
      <c r="G953" s="61" t="str">
        <f aca="false">TEXT($C953,"0000")&amp;"-"&amp;TEXT($E953,"00")</f>
        <v>2024-10</v>
      </c>
      <c r="H953" s="61" t="str">
        <f aca="false">INDEX(Parametros!$C$71:$C$91,MATCH(TRIM(INDEX(Datos_Origen!$C$2:$C$2459,$Z953)),Parametros!$B$71:$B$91,0))</f>
        <v>Litoral</v>
      </c>
      <c r="I953" s="61" t="str">
        <f aca="false">IF(TRIM($AD953)="",INDEX(Parametros!$I$20:$I$24,MATCH($H953,Parametros!$H$20:$H$24,0)),TRIM($AD953))</f>
        <v>Rosario</v>
      </c>
      <c r="J953" s="61" t="str">
        <f aca="false">INDEX(Parametros!$C$95:$C$106,MATCH(TRIM(INDEX(Datos_Origen!$E$2:$E$2459,$Z953)),Parametros!$B$95:$B$106,0))</f>
        <v>E-commerce</v>
      </c>
      <c r="K953" s="61" t="str">
        <f aca="false">INDEX(Parametros!$C$48:$C$67,MATCH(TRIM(INDEX(Datos_Origen!$F$2:$F$2459,$Z953)),Parametros!$B$48:$B$67,0))</f>
        <v>Accesorios</v>
      </c>
      <c r="L953" s="61" t="str">
        <f aca="false">$K953&amp;" "&amp;$C953</f>
        <v>Accesorios 2024</v>
      </c>
      <c r="M953" s="61" t="str">
        <f aca="false">TRIM(INDEX(Datos_Origen!$G$2:$G$2459,$Z953))</f>
        <v>Webcam Full HD</v>
      </c>
      <c r="N953" s="61" t="str">
        <f aca="false">$M953&amp;" "&amp;$C953</f>
        <v>Webcam Full HD 2024</v>
      </c>
      <c r="O953" s="63" t="n">
        <f aca="false">IF(ISTEXT($AC953),VALUE($AC953),$AC953)</f>
        <v>17</v>
      </c>
      <c r="P953" s="64" t="n">
        <f aca="false">INDEX(Datos_Origen!$I$2:$I$2459,$Z953)</f>
        <v>63.7</v>
      </c>
      <c r="Q953" s="64" t="n">
        <f aca="false">INDEX(Datos_Origen!$J$2:$J$2459,$Z953)</f>
        <v>35.43</v>
      </c>
      <c r="R953" s="65" t="n">
        <f aca="false">ROUND($O953*$P953,2)</f>
        <v>1082.9</v>
      </c>
      <c r="S953" s="65" t="n">
        <f aca="false">ROUND($O953*$Q953,2)</f>
        <v>602.31</v>
      </c>
      <c r="T953" s="65" t="n">
        <f aca="false">ROUND($R953*SUMIFS(Parametros!$E$28:$E$43,Parametros!$B$28:$B$43,$J953,Parametros!$C$28:$C$43,$C953,Parametros!$D$28:$D$43,$D953),2)</f>
        <v>51.98</v>
      </c>
      <c r="U953" s="65" t="n">
        <f aca="false">$R953-$S953-$T953</f>
        <v>428.61</v>
      </c>
      <c r="V953" s="66" t="n">
        <f aca="false">IFERROR($U953/$R953,0)</f>
        <v>0.395798319327731</v>
      </c>
      <c r="W953" s="67" t="str">
        <f aca="false">IF(AND($V953&gt;=Parametros!$C$8,$R953&gt;=Parametros!$C$12),"Alta rentabilidad",IF(OR($V953&lt;Parametros!$C$11,$R953&lt;Parametros!$C$13),"Revisar","Estandar"))</f>
        <v>Estandar</v>
      </c>
      <c r="X953" s="67" t="str">
        <f aca="false">IF(AND($J953="E-commerce",IFERROR($T953/$R953,0)&gt;Parametros!$C$14),"Alerta","OK")</f>
        <v>OK</v>
      </c>
      <c r="Y953" s="61" t="str">
        <f aca="false">IF($R953&gt;=Parametros!$C$12,"Alto",IF($R953&lt;Parametros!$C$13,"Bajo","Medio"))</f>
        <v>Medio</v>
      </c>
      <c r="Z953" s="61" t="n">
        <v>525</v>
      </c>
      <c r="AA953" s="61" t="str">
        <f aca="false">IF(MATCH($A953,Datos_Origen!$A$2:$A$2459,0)=$Z953,"OK","REVISAR")</f>
        <v>OK</v>
      </c>
      <c r="AB953" s="62" t="n">
        <f aca="false">INDEX(Datos_Origen!$B$2:$B$2459,$Z953)</f>
        <v>45588</v>
      </c>
      <c r="AC953" s="61" t="n">
        <f aca="false">INDEX(Datos_Origen!$H$2:$H$2459,$Z953)</f>
        <v>17</v>
      </c>
      <c r="AD953" s="61" t="str">
        <f aca="false">INDEX(Datos_Origen!$D$2:$D$2459,$Z953)&amp;""</f>
        <v>Rosario</v>
      </c>
    </row>
    <row r="954" customFormat="false" ht="15" hidden="false" customHeight="false" outlineLevel="0" collapsed="false">
      <c r="A954" s="61" t="n">
        <f aca="false">INDEX(Datos_Origen!$A$2:$A$2459,$Z954)</f>
        <v>953</v>
      </c>
      <c r="B954" s="62" t="n">
        <f aca="false">IF(ISNUMBER($AB954),$AB954,IF(MID($AB954,5,1)="-",DATE(VALUE(LEFT($AB954,4)),VALUE(MID($AB954,6,2)),VALUE(RIGHT($AB954,2))),DATE(VALUE(RIGHT($AB954,4)),VALUE(MID($AB954,4,2)),VALUE(LEFT($AB954,2)))))</f>
        <v>45568</v>
      </c>
      <c r="C954" s="61" t="n">
        <f aca="false">YEAR($B954)</f>
        <v>2024</v>
      </c>
      <c r="D954" s="61" t="str">
        <f aca="false">"Q"&amp;ROUNDUP(MONTH($B954)/3,0)</f>
        <v>Q4</v>
      </c>
      <c r="E954" s="61" t="n">
        <f aca="false">MONTH($B954)</f>
        <v>10</v>
      </c>
      <c r="F954" s="61" t="str">
        <f aca="false">INDEX(Parametros!$I$5:$I$16,$E954)</f>
        <v>Oct</v>
      </c>
      <c r="G954" s="61" t="str">
        <f aca="false">TEXT($C954,"0000")&amp;"-"&amp;TEXT($E954,"00")</f>
        <v>2024-10</v>
      </c>
      <c r="H954" s="61" t="str">
        <f aca="false">INDEX(Parametros!$C$71:$C$91,MATCH(TRIM(INDEX(Datos_Origen!$C$2:$C$2459,$Z954)),Parametros!$B$71:$B$91,0))</f>
        <v>Litoral</v>
      </c>
      <c r="I954" s="61" t="str">
        <f aca="false">IF(TRIM($AD954)="",INDEX(Parametros!$I$20:$I$24,MATCH($H954,Parametros!$H$20:$H$24,0)),TRIM($AD954))</f>
        <v>Rosario</v>
      </c>
      <c r="J954" s="61" t="str">
        <f aca="false">INDEX(Parametros!$C$95:$C$106,MATCH(TRIM(INDEX(Datos_Origen!$E$2:$E$2459,$Z954)),Parametros!$B$95:$B$106,0))</f>
        <v>Tienda fisica</v>
      </c>
      <c r="K954" s="61" t="str">
        <f aca="false">INDEX(Parametros!$C$48:$C$67,MATCH(TRIM(INDEX(Datos_Origen!$F$2:$F$2459,$Z954)),Parametros!$B$48:$B$67,0))</f>
        <v>Audio</v>
      </c>
      <c r="L954" s="61" t="str">
        <f aca="false">$K954&amp;" "&amp;$C954</f>
        <v>Audio 2024</v>
      </c>
      <c r="M954" s="61" t="str">
        <f aca="false">TRIM(INDEX(Datos_Origen!$G$2:$G$2459,$Z954))</f>
        <v>Auriculares BT Pro</v>
      </c>
      <c r="N954" s="61" t="str">
        <f aca="false">$M954&amp;" "&amp;$C954</f>
        <v>Auriculares BT Pro 2024</v>
      </c>
      <c r="O954" s="63" t="n">
        <f aca="false">IF(ISTEXT($AC954),VALUE($AC954),$AC954)</f>
        <v>18</v>
      </c>
      <c r="P954" s="64" t="n">
        <f aca="false">INDEX(Datos_Origen!$I$2:$I$2459,$Z954)</f>
        <v>117.6</v>
      </c>
      <c r="Q954" s="64" t="n">
        <f aca="false">INDEX(Datos_Origen!$J$2:$J$2459,$Z954)</f>
        <v>63.6</v>
      </c>
      <c r="R954" s="65" t="n">
        <f aca="false">ROUND($O954*$P954,2)</f>
        <v>2116.8</v>
      </c>
      <c r="S954" s="65" t="n">
        <f aca="false">ROUND($O954*$Q954,2)</f>
        <v>1144.8</v>
      </c>
      <c r="T954" s="65" t="n">
        <f aca="false">ROUND($R954*SUMIFS(Parametros!$E$28:$E$43,Parametros!$B$28:$B$43,$J954,Parametros!$C$28:$C$43,$C954,Parametros!$D$28:$D$43,$D954),2)</f>
        <v>27.52</v>
      </c>
      <c r="U954" s="65" t="n">
        <f aca="false">$R954-$S954-$T954</f>
        <v>944.48</v>
      </c>
      <c r="V954" s="66" t="n">
        <f aca="false">IFERROR($U954/$R954,0)</f>
        <v>0.446182917611489</v>
      </c>
      <c r="W954" s="67" t="str">
        <f aca="false">IF(AND($V954&gt;=Parametros!$C$8,$R954&gt;=Parametros!$C$12),"Alta rentabilidad",IF(OR($V954&lt;Parametros!$C$11,$R954&lt;Parametros!$C$13),"Revisar","Estandar"))</f>
        <v>Estandar</v>
      </c>
      <c r="X954" s="67" t="str">
        <f aca="false">IF(AND($J954="E-commerce",IFERROR($T954/$R954,0)&gt;Parametros!$C$14),"Alerta","OK")</f>
        <v>OK</v>
      </c>
      <c r="Y954" s="61" t="str">
        <f aca="false">IF($R954&gt;=Parametros!$C$12,"Alto",IF($R954&lt;Parametros!$C$13,"Bajo","Medio"))</f>
        <v>Medio</v>
      </c>
      <c r="Z954" s="61" t="n">
        <v>459</v>
      </c>
      <c r="AA954" s="61" t="str">
        <f aca="false">IF(MATCH($A954,Datos_Origen!$A$2:$A$2459,0)=$Z954,"OK","REVISAR")</f>
        <v>OK</v>
      </c>
      <c r="AB954" s="62" t="n">
        <f aca="false">INDEX(Datos_Origen!$B$2:$B$2459,$Z954)</f>
        <v>45568</v>
      </c>
      <c r="AC954" s="61" t="n">
        <f aca="false">INDEX(Datos_Origen!$H$2:$H$2459,$Z954)</f>
        <v>18</v>
      </c>
      <c r="AD954" s="61" t="str">
        <f aca="false">INDEX(Datos_Origen!$D$2:$D$2459,$Z954)&amp;""</f>
        <v>Rosario</v>
      </c>
    </row>
    <row r="955" customFormat="false" ht="15" hidden="false" customHeight="false" outlineLevel="0" collapsed="false">
      <c r="A955" s="61" t="n">
        <f aca="false">INDEX(Datos_Origen!$A$2:$A$2459,$Z955)</f>
        <v>954</v>
      </c>
      <c r="B955" s="62" t="n">
        <f aca="false">IF(ISNUMBER($AB955),$AB955,IF(MID($AB955,5,1)="-",DATE(VALUE(LEFT($AB955,4)),VALUE(MID($AB955,6,2)),VALUE(RIGHT($AB955,2))),DATE(VALUE(RIGHT($AB955,4)),VALUE(MID($AB955,4,2)),VALUE(LEFT($AB955,2)))))</f>
        <v>45575</v>
      </c>
      <c r="C955" s="61" t="n">
        <f aca="false">YEAR($B955)</f>
        <v>2024</v>
      </c>
      <c r="D955" s="61" t="str">
        <f aca="false">"Q"&amp;ROUNDUP(MONTH($B955)/3,0)</f>
        <v>Q4</v>
      </c>
      <c r="E955" s="61" t="n">
        <f aca="false">MONTH($B955)</f>
        <v>10</v>
      </c>
      <c r="F955" s="61" t="str">
        <f aca="false">INDEX(Parametros!$I$5:$I$16,$E955)</f>
        <v>Oct</v>
      </c>
      <c r="G955" s="61" t="str">
        <f aca="false">TEXT($C955,"0000")&amp;"-"&amp;TEXT($E955,"00")</f>
        <v>2024-10</v>
      </c>
      <c r="H955" s="61" t="str">
        <f aca="false">INDEX(Parametros!$C$71:$C$91,MATCH(TRIM(INDEX(Datos_Origen!$C$2:$C$2459,$Z955)),Parametros!$B$71:$B$91,0))</f>
        <v>Litoral</v>
      </c>
      <c r="I955" s="61" t="str">
        <f aca="false">IF(TRIM($AD955)="",INDEX(Parametros!$I$20:$I$24,MATCH($H955,Parametros!$H$20:$H$24,0)),TRIM($AD955))</f>
        <v>Rosario</v>
      </c>
      <c r="J955" s="61" t="str">
        <f aca="false">INDEX(Parametros!$C$95:$C$106,MATCH(TRIM(INDEX(Datos_Origen!$E$2:$E$2459,$Z955)),Parametros!$B$95:$B$106,0))</f>
        <v>E-commerce</v>
      </c>
      <c r="K955" s="61" t="str">
        <f aca="false">INDEX(Parametros!$C$48:$C$67,MATCH(TRIM(INDEX(Datos_Origen!$F$2:$F$2459,$Z955)),Parametros!$B$48:$B$67,0))</f>
        <v>Audio</v>
      </c>
      <c r="L955" s="61" t="str">
        <f aca="false">$K955&amp;" "&amp;$C955</f>
        <v>Audio 2024</v>
      </c>
      <c r="M955" s="61" t="str">
        <f aca="false">TRIM(INDEX(Datos_Origen!$G$2:$G$2459,$Z955))</f>
        <v>Auriculares BT Pro</v>
      </c>
      <c r="N955" s="61" t="str">
        <f aca="false">$M955&amp;" "&amp;$C955</f>
        <v>Auriculares BT Pro 2024</v>
      </c>
      <c r="O955" s="63" t="n">
        <f aca="false">IF(ISTEXT($AC955),VALUE($AC955),$AC955)</f>
        <v>7</v>
      </c>
      <c r="P955" s="64" t="n">
        <f aca="false">INDEX(Datos_Origen!$I$2:$I$2459,$Z955)</f>
        <v>117.6</v>
      </c>
      <c r="Q955" s="64" t="n">
        <f aca="false">INDEX(Datos_Origen!$J$2:$J$2459,$Z955)</f>
        <v>63.6</v>
      </c>
      <c r="R955" s="65" t="n">
        <f aca="false">ROUND($O955*$P955,2)</f>
        <v>823.2</v>
      </c>
      <c r="S955" s="65" t="n">
        <f aca="false">ROUND($O955*$Q955,2)</f>
        <v>445.2</v>
      </c>
      <c r="T955" s="65" t="n">
        <f aca="false">ROUND($R955*SUMIFS(Parametros!$E$28:$E$43,Parametros!$B$28:$B$43,$J955,Parametros!$C$28:$C$43,$C955,Parametros!$D$28:$D$43,$D955),2)</f>
        <v>39.51</v>
      </c>
      <c r="U955" s="65" t="n">
        <f aca="false">$R955-$S955-$T955</f>
        <v>338.49</v>
      </c>
      <c r="V955" s="66" t="n">
        <f aca="false">IFERROR($U955/$R955,0)</f>
        <v>0.41118804664723</v>
      </c>
      <c r="W955" s="67" t="str">
        <f aca="false">IF(AND($V955&gt;=Parametros!$C$8,$R955&gt;=Parametros!$C$12),"Alta rentabilidad",IF(OR($V955&lt;Parametros!$C$11,$R955&lt;Parametros!$C$13),"Revisar","Estandar"))</f>
        <v>Estandar</v>
      </c>
      <c r="X955" s="67" t="str">
        <f aca="false">IF(AND($J955="E-commerce",IFERROR($T955/$R955,0)&gt;Parametros!$C$14),"Alerta","OK")</f>
        <v>OK</v>
      </c>
      <c r="Y955" s="61" t="str">
        <f aca="false">IF($R955&gt;=Parametros!$C$12,"Alto",IF($R955&lt;Parametros!$C$13,"Bajo","Medio"))</f>
        <v>Medio</v>
      </c>
      <c r="Z955" s="61" t="n">
        <v>25</v>
      </c>
      <c r="AA955" s="61" t="str">
        <f aca="false">IF(MATCH($A955,Datos_Origen!$A$2:$A$2459,0)=$Z955,"OK","REVISAR")</f>
        <v>OK</v>
      </c>
      <c r="AB955" s="62" t="n">
        <f aca="false">INDEX(Datos_Origen!$B$2:$B$2459,$Z955)</f>
        <v>45575</v>
      </c>
      <c r="AC955" s="61" t="n">
        <f aca="false">INDEX(Datos_Origen!$H$2:$H$2459,$Z955)</f>
        <v>7</v>
      </c>
      <c r="AD955" s="61" t="str">
        <f aca="false">INDEX(Datos_Origen!$D$2:$D$2459,$Z955)&amp;""</f>
        <v>Rosario</v>
      </c>
    </row>
    <row r="956" customFormat="false" ht="15" hidden="false" customHeight="false" outlineLevel="0" collapsed="false">
      <c r="A956" s="61" t="n">
        <f aca="false">INDEX(Datos_Origen!$A$2:$A$2459,$Z956)</f>
        <v>955</v>
      </c>
      <c r="B956" s="62" t="n">
        <f aca="false">IF(ISNUMBER($AB956),$AB956,IF(MID($AB956,5,1)="-",DATE(VALUE(LEFT($AB956,4)),VALUE(MID($AB956,6,2)),VALUE(RIGHT($AB956,2))),DATE(VALUE(RIGHT($AB956,4)),VALUE(MID($AB956,4,2)),VALUE(LEFT($AB956,2)))))</f>
        <v>45582</v>
      </c>
      <c r="C956" s="61" t="n">
        <f aca="false">YEAR($B956)</f>
        <v>2024</v>
      </c>
      <c r="D956" s="61" t="str">
        <f aca="false">"Q"&amp;ROUNDUP(MONTH($B956)/3,0)</f>
        <v>Q4</v>
      </c>
      <c r="E956" s="61" t="n">
        <f aca="false">MONTH($B956)</f>
        <v>10</v>
      </c>
      <c r="F956" s="61" t="str">
        <f aca="false">INDEX(Parametros!$I$5:$I$16,$E956)</f>
        <v>Oct</v>
      </c>
      <c r="G956" s="61" t="str">
        <f aca="false">TEXT($C956,"0000")&amp;"-"&amp;TEXT($E956,"00")</f>
        <v>2024-10</v>
      </c>
      <c r="H956" s="61" t="str">
        <f aca="false">INDEX(Parametros!$C$71:$C$91,MATCH(TRIM(INDEX(Datos_Origen!$C$2:$C$2459,$Z956)),Parametros!$B$71:$B$91,0))</f>
        <v>Litoral</v>
      </c>
      <c r="I956" s="61" t="str">
        <f aca="false">IF(TRIM($AD956)="",INDEX(Parametros!$I$20:$I$24,MATCH($H956,Parametros!$H$20:$H$24,0)),TRIM($AD956))</f>
        <v>Rosario</v>
      </c>
      <c r="J956" s="61" t="str">
        <f aca="false">INDEX(Parametros!$C$95:$C$106,MATCH(TRIM(INDEX(Datos_Origen!$E$2:$E$2459,$Z956)),Parametros!$B$95:$B$106,0))</f>
        <v>Tienda fisica</v>
      </c>
      <c r="K956" s="61" t="str">
        <f aca="false">INDEX(Parametros!$C$48:$C$67,MATCH(TRIM(INDEX(Datos_Origen!$F$2:$F$2459,$Z956)),Parametros!$B$48:$B$67,0))</f>
        <v>Audio</v>
      </c>
      <c r="L956" s="61" t="str">
        <f aca="false">$K956&amp;" "&amp;$C956</f>
        <v>Audio 2024</v>
      </c>
      <c r="M956" s="61" t="str">
        <f aca="false">TRIM(INDEX(Datos_Origen!$G$2:$G$2459,$Z956))</f>
        <v>Parlante Bluetooth</v>
      </c>
      <c r="N956" s="61" t="str">
        <f aca="false">$M956&amp;" "&amp;$C956</f>
        <v>Parlante Bluetooth 2024</v>
      </c>
      <c r="O956" s="63" t="n">
        <f aca="false">IF(ISTEXT($AC956),VALUE($AC956),$AC956)</f>
        <v>23</v>
      </c>
      <c r="P956" s="64" t="n">
        <f aca="false">INDEX(Datos_Origen!$I$2:$I$2459,$Z956)</f>
        <v>83.3</v>
      </c>
      <c r="Q956" s="64" t="n">
        <f aca="false">INDEX(Datos_Origen!$J$2:$J$2459,$Z956)</f>
        <v>48.03</v>
      </c>
      <c r="R956" s="65" t="n">
        <f aca="false">ROUND($O956*$P956,2)</f>
        <v>1915.9</v>
      </c>
      <c r="S956" s="65" t="n">
        <f aca="false">ROUND($O956*$Q956,2)</f>
        <v>1104.69</v>
      </c>
      <c r="T956" s="65" t="n">
        <f aca="false">ROUND($R956*SUMIFS(Parametros!$E$28:$E$43,Parametros!$B$28:$B$43,$J956,Parametros!$C$28:$C$43,$C956,Parametros!$D$28:$D$43,$D956),2)</f>
        <v>24.91</v>
      </c>
      <c r="U956" s="65" t="n">
        <f aca="false">$R956-$S956-$T956</f>
        <v>786.3</v>
      </c>
      <c r="V956" s="66" t="n">
        <f aca="false">IFERROR($U956/$R956,0)</f>
        <v>0.410407641317397</v>
      </c>
      <c r="W956" s="67" t="str">
        <f aca="false">IF(AND($V956&gt;=Parametros!$C$8,$R956&gt;=Parametros!$C$12),"Alta rentabilidad",IF(OR($V956&lt;Parametros!$C$11,$R956&lt;Parametros!$C$13),"Revisar","Estandar"))</f>
        <v>Estandar</v>
      </c>
      <c r="X956" s="67" t="str">
        <f aca="false">IF(AND($J956="E-commerce",IFERROR($T956/$R956,0)&gt;Parametros!$C$14),"Alerta","OK")</f>
        <v>OK</v>
      </c>
      <c r="Y956" s="61" t="str">
        <f aca="false">IF($R956&gt;=Parametros!$C$12,"Alto",IF($R956&lt;Parametros!$C$13,"Bajo","Medio"))</f>
        <v>Medio</v>
      </c>
      <c r="Z956" s="61" t="n">
        <v>2162</v>
      </c>
      <c r="AA956" s="61" t="str">
        <f aca="false">IF(MATCH($A956,Datos_Origen!$A$2:$A$2459,0)=$Z956,"OK","REVISAR")</f>
        <v>OK</v>
      </c>
      <c r="AB956" s="61" t="str">
        <f aca="false">INDEX(Datos_Origen!$B$2:$B$2459,$Z956)</f>
        <v>2024-10-17</v>
      </c>
      <c r="AC956" s="61" t="n">
        <f aca="false">INDEX(Datos_Origen!$H$2:$H$2459,$Z956)</f>
        <v>23</v>
      </c>
      <c r="AD956" s="61" t="str">
        <f aca="false">INDEX(Datos_Origen!$D$2:$D$2459,$Z956)&amp;""</f>
        <v>Rosario</v>
      </c>
    </row>
    <row r="957" customFormat="false" ht="15" hidden="false" customHeight="false" outlineLevel="0" collapsed="false">
      <c r="A957" s="61" t="n">
        <f aca="false">INDEX(Datos_Origen!$A$2:$A$2459,$Z957)</f>
        <v>956</v>
      </c>
      <c r="B957" s="62" t="n">
        <f aca="false">IF(ISNUMBER($AB957),$AB957,IF(MID($AB957,5,1)="-",DATE(VALUE(LEFT($AB957,4)),VALUE(MID($AB957,6,2)),VALUE(RIGHT($AB957,2))),DATE(VALUE(RIGHT($AB957,4)),VALUE(MID($AB957,4,2)),VALUE(LEFT($AB957,2)))))</f>
        <v>45589</v>
      </c>
      <c r="C957" s="61" t="n">
        <f aca="false">YEAR($B957)</f>
        <v>2024</v>
      </c>
      <c r="D957" s="61" t="str">
        <f aca="false">"Q"&amp;ROUNDUP(MONTH($B957)/3,0)</f>
        <v>Q4</v>
      </c>
      <c r="E957" s="61" t="n">
        <f aca="false">MONTH($B957)</f>
        <v>10</v>
      </c>
      <c r="F957" s="61" t="str">
        <f aca="false">INDEX(Parametros!$I$5:$I$16,$E957)</f>
        <v>Oct</v>
      </c>
      <c r="G957" s="61" t="str">
        <f aca="false">TEXT($C957,"0000")&amp;"-"&amp;TEXT($E957,"00")</f>
        <v>2024-10</v>
      </c>
      <c r="H957" s="61" t="str">
        <f aca="false">INDEX(Parametros!$C$71:$C$91,MATCH(TRIM(INDEX(Datos_Origen!$C$2:$C$2459,$Z957)),Parametros!$B$71:$B$91,0))</f>
        <v>Litoral</v>
      </c>
      <c r="I957" s="61" t="str">
        <f aca="false">IF(TRIM($AD957)="",INDEX(Parametros!$I$20:$I$24,MATCH($H957,Parametros!$H$20:$H$24,0)),TRIM($AD957))</f>
        <v>Rosario</v>
      </c>
      <c r="J957" s="61" t="str">
        <f aca="false">INDEX(Parametros!$C$95:$C$106,MATCH(TRIM(INDEX(Datos_Origen!$E$2:$E$2459,$Z957)),Parametros!$B$95:$B$106,0))</f>
        <v>E-commerce</v>
      </c>
      <c r="K957" s="61" t="str">
        <f aca="false">INDEX(Parametros!$C$48:$C$67,MATCH(TRIM(INDEX(Datos_Origen!$F$2:$F$2459,$Z957)),Parametros!$B$48:$B$67,0))</f>
        <v>Audio</v>
      </c>
      <c r="L957" s="61" t="str">
        <f aca="false">$K957&amp;" "&amp;$C957</f>
        <v>Audio 2024</v>
      </c>
      <c r="M957" s="61" t="str">
        <f aca="false">TRIM(INDEX(Datos_Origen!$G$2:$G$2459,$Z957))</f>
        <v>Parlante Bluetooth</v>
      </c>
      <c r="N957" s="61" t="str">
        <f aca="false">$M957&amp;" "&amp;$C957</f>
        <v>Parlante Bluetooth 2024</v>
      </c>
      <c r="O957" s="63" t="n">
        <f aca="false">IF(ISTEXT($AC957),VALUE($AC957),$AC957)</f>
        <v>8</v>
      </c>
      <c r="P957" s="64" t="n">
        <f aca="false">INDEX(Datos_Origen!$I$2:$I$2459,$Z957)</f>
        <v>83.3</v>
      </c>
      <c r="Q957" s="64" t="n">
        <f aca="false">INDEX(Datos_Origen!$J$2:$J$2459,$Z957)</f>
        <v>48.03</v>
      </c>
      <c r="R957" s="65" t="n">
        <f aca="false">ROUND($O957*$P957,2)</f>
        <v>666.4</v>
      </c>
      <c r="S957" s="65" t="n">
        <f aca="false">ROUND($O957*$Q957,2)</f>
        <v>384.24</v>
      </c>
      <c r="T957" s="65" t="n">
        <f aca="false">ROUND($R957*SUMIFS(Parametros!$E$28:$E$43,Parametros!$B$28:$B$43,$J957,Parametros!$C$28:$C$43,$C957,Parametros!$D$28:$D$43,$D957),2)</f>
        <v>31.99</v>
      </c>
      <c r="U957" s="65" t="n">
        <f aca="false">$R957-$S957-$T957</f>
        <v>250.17</v>
      </c>
      <c r="V957" s="66" t="n">
        <f aca="false">IFERROR($U957/$R957,0)</f>
        <v>0.375405162064826</v>
      </c>
      <c r="W957" s="67" t="str">
        <f aca="false">IF(AND($V957&gt;=Parametros!$C$8,$R957&gt;=Parametros!$C$12),"Alta rentabilidad",IF(OR($V957&lt;Parametros!$C$11,$R957&lt;Parametros!$C$13),"Revisar","Estandar"))</f>
        <v>Estandar</v>
      </c>
      <c r="X957" s="67" t="str">
        <f aca="false">IF(AND($J957="E-commerce",IFERROR($T957/$R957,0)&gt;Parametros!$C$14),"Alerta","OK")</f>
        <v>OK</v>
      </c>
      <c r="Y957" s="61" t="str">
        <f aca="false">IF($R957&gt;=Parametros!$C$12,"Alto",IF($R957&lt;Parametros!$C$13,"Bajo","Medio"))</f>
        <v>Medio</v>
      </c>
      <c r="Z957" s="61" t="n">
        <v>1486</v>
      </c>
      <c r="AA957" s="61" t="str">
        <f aca="false">IF(MATCH($A957,Datos_Origen!$A$2:$A$2459,0)=$Z957,"OK","REVISAR")</f>
        <v>OK</v>
      </c>
      <c r="AB957" s="62" t="n">
        <f aca="false">INDEX(Datos_Origen!$B$2:$B$2459,$Z957)</f>
        <v>45589</v>
      </c>
      <c r="AC957" s="61" t="n">
        <f aca="false">INDEX(Datos_Origen!$H$2:$H$2459,$Z957)</f>
        <v>8</v>
      </c>
      <c r="AD957" s="61" t="str">
        <f aca="false">INDEX(Datos_Origen!$D$2:$D$2459,$Z957)&amp;""</f>
        <v>Rosario</v>
      </c>
    </row>
    <row r="958" customFormat="false" ht="15" hidden="false" customHeight="false" outlineLevel="0" collapsed="false">
      <c r="A958" s="61" t="n">
        <f aca="false">INDEX(Datos_Origen!$A$2:$A$2459,$Z958)</f>
        <v>957</v>
      </c>
      <c r="B958" s="62" t="n">
        <f aca="false">IF(ISNUMBER($AB958),$AB958,IF(MID($AB958,5,1)="-",DATE(VALUE(LEFT($AB958,4)),VALUE(MID($AB958,6,2)),VALUE(RIGHT($AB958,2))),DATE(VALUE(RIGHT($AB958,4)),VALUE(MID($AB958,4,2)),VALUE(LEFT($AB958,2)))))</f>
        <v>45569</v>
      </c>
      <c r="C958" s="61" t="n">
        <f aca="false">YEAR($B958)</f>
        <v>2024</v>
      </c>
      <c r="D958" s="61" t="str">
        <f aca="false">"Q"&amp;ROUNDUP(MONTH($B958)/3,0)</f>
        <v>Q4</v>
      </c>
      <c r="E958" s="61" t="n">
        <f aca="false">MONTH($B958)</f>
        <v>10</v>
      </c>
      <c r="F958" s="61" t="str">
        <f aca="false">INDEX(Parametros!$I$5:$I$16,$E958)</f>
        <v>Oct</v>
      </c>
      <c r="G958" s="61" t="str">
        <f aca="false">TEXT($C958,"0000")&amp;"-"&amp;TEXT($E958,"00")</f>
        <v>2024-10</v>
      </c>
      <c r="H958" s="61" t="str">
        <f aca="false">INDEX(Parametros!$C$71:$C$91,MATCH(TRIM(INDEX(Datos_Origen!$C$2:$C$2459,$Z958)),Parametros!$B$71:$B$91,0))</f>
        <v>Litoral</v>
      </c>
      <c r="I958" s="61" t="str">
        <f aca="false">IF(TRIM($AD958)="",INDEX(Parametros!$I$20:$I$24,MATCH($H958,Parametros!$H$20:$H$24,0)),TRIM($AD958))</f>
        <v>Rosario</v>
      </c>
      <c r="J958" s="61" t="str">
        <f aca="false">INDEX(Parametros!$C$95:$C$106,MATCH(TRIM(INDEX(Datos_Origen!$E$2:$E$2459,$Z958)),Parametros!$B$95:$B$106,0))</f>
        <v>Tienda fisica</v>
      </c>
      <c r="K958" s="61" t="str">
        <f aca="false">INDEX(Parametros!$C$48:$C$67,MATCH(TRIM(INDEX(Datos_Origen!$F$2:$F$2459,$Z958)),Parametros!$B$48:$B$67,0))</f>
        <v>Almacenamiento</v>
      </c>
      <c r="L958" s="61" t="str">
        <f aca="false">$K958&amp;" "&amp;$C958</f>
        <v>Almacenamiento 2024</v>
      </c>
      <c r="M958" s="61" t="str">
        <f aca="false">TRIM(INDEX(Datos_Origen!$G$2:$G$2459,$Z958))</f>
        <v>SSD Externo 1TB</v>
      </c>
      <c r="N958" s="61" t="str">
        <f aca="false">$M958&amp;" "&amp;$C958</f>
        <v>SSD Externo 1TB 2024</v>
      </c>
      <c r="O958" s="63" t="n">
        <f aca="false">IF(ISTEXT($AC958),VALUE($AC958),$AC958)</f>
        <v>26</v>
      </c>
      <c r="P958" s="64" t="n">
        <f aca="false">INDEX(Datos_Origen!$I$2:$I$2459,$Z958)</f>
        <v>127.4</v>
      </c>
      <c r="Q958" s="64" t="n">
        <f aca="false">INDEX(Datos_Origen!$J$2:$J$2459,$Z958)</f>
        <v>76.05</v>
      </c>
      <c r="R958" s="65" t="n">
        <f aca="false">ROUND($O958*$P958,2)</f>
        <v>3312.4</v>
      </c>
      <c r="S958" s="65" t="n">
        <f aca="false">ROUND($O958*$Q958,2)</f>
        <v>1977.3</v>
      </c>
      <c r="T958" s="65" t="n">
        <f aca="false">ROUND($R958*SUMIFS(Parametros!$E$28:$E$43,Parametros!$B$28:$B$43,$J958,Parametros!$C$28:$C$43,$C958,Parametros!$D$28:$D$43,$D958),2)</f>
        <v>43.06</v>
      </c>
      <c r="U958" s="65" t="n">
        <f aca="false">$R958-$S958-$T958</f>
        <v>1292.04</v>
      </c>
      <c r="V958" s="66" t="n">
        <f aca="false">IFERROR($U958/$R958,0)</f>
        <v>0.390061586764884</v>
      </c>
      <c r="W958" s="67" t="str">
        <f aca="false">IF(AND($V958&gt;=Parametros!$C$8,$R958&gt;=Parametros!$C$12),"Alta rentabilidad",IF(OR($V958&lt;Parametros!$C$11,$R958&lt;Parametros!$C$13),"Revisar","Estandar"))</f>
        <v>Alta rentabilidad</v>
      </c>
      <c r="X958" s="67" t="str">
        <f aca="false">IF(AND($J958="E-commerce",IFERROR($T958/$R958,0)&gt;Parametros!$C$14),"Alerta","OK")</f>
        <v>OK</v>
      </c>
      <c r="Y958" s="61" t="str">
        <f aca="false">IF($R958&gt;=Parametros!$C$12,"Alto",IF($R958&lt;Parametros!$C$13,"Bajo","Medio"))</f>
        <v>Alto</v>
      </c>
      <c r="Z958" s="61" t="n">
        <v>91</v>
      </c>
      <c r="AA958" s="61" t="str">
        <f aca="false">IF(MATCH($A958,Datos_Origen!$A$2:$A$2459,0)=$Z958,"OK","REVISAR")</f>
        <v>OK</v>
      </c>
      <c r="AB958" s="61" t="str">
        <f aca="false">INDEX(Datos_Origen!$B$2:$B$2459,$Z958)</f>
        <v>04/10/2024</v>
      </c>
      <c r="AC958" s="61" t="n">
        <f aca="false">INDEX(Datos_Origen!$H$2:$H$2459,$Z958)</f>
        <v>26</v>
      </c>
      <c r="AD958" s="61" t="str">
        <f aca="false">INDEX(Datos_Origen!$D$2:$D$2459,$Z958)&amp;""</f>
        <v>Rosario</v>
      </c>
    </row>
    <row r="959" customFormat="false" ht="15" hidden="false" customHeight="false" outlineLevel="0" collapsed="false">
      <c r="A959" s="61" t="n">
        <f aca="false">INDEX(Datos_Origen!$A$2:$A$2459,$Z959)</f>
        <v>958</v>
      </c>
      <c r="B959" s="62" t="n">
        <f aca="false">IF(ISNUMBER($AB959),$AB959,IF(MID($AB959,5,1)="-",DATE(VALUE(LEFT($AB959,4)),VALUE(MID($AB959,6,2)),VALUE(RIGHT($AB959,2))),DATE(VALUE(RIGHT($AB959,4)),VALUE(MID($AB959,4,2)),VALUE(LEFT($AB959,2)))))</f>
        <v>45576</v>
      </c>
      <c r="C959" s="61" t="n">
        <f aca="false">YEAR($B959)</f>
        <v>2024</v>
      </c>
      <c r="D959" s="61" t="str">
        <f aca="false">"Q"&amp;ROUNDUP(MONTH($B959)/3,0)</f>
        <v>Q4</v>
      </c>
      <c r="E959" s="61" t="n">
        <f aca="false">MONTH($B959)</f>
        <v>10</v>
      </c>
      <c r="F959" s="61" t="str">
        <f aca="false">INDEX(Parametros!$I$5:$I$16,$E959)</f>
        <v>Oct</v>
      </c>
      <c r="G959" s="61" t="str">
        <f aca="false">TEXT($C959,"0000")&amp;"-"&amp;TEXT($E959,"00")</f>
        <v>2024-10</v>
      </c>
      <c r="H959" s="61" t="str">
        <f aca="false">INDEX(Parametros!$C$71:$C$91,MATCH(TRIM(INDEX(Datos_Origen!$C$2:$C$2459,$Z959)),Parametros!$B$71:$B$91,0))</f>
        <v>Litoral</v>
      </c>
      <c r="I959" s="61" t="str">
        <f aca="false">IF(TRIM($AD959)="",INDEX(Parametros!$I$20:$I$24,MATCH($H959,Parametros!$H$20:$H$24,0)),TRIM($AD959))</f>
        <v>Rosario</v>
      </c>
      <c r="J959" s="61" t="str">
        <f aca="false">INDEX(Parametros!$C$95:$C$106,MATCH(TRIM(INDEX(Datos_Origen!$E$2:$E$2459,$Z959)),Parametros!$B$95:$B$106,0))</f>
        <v>E-commerce</v>
      </c>
      <c r="K959" s="61" t="str">
        <f aca="false">INDEX(Parametros!$C$48:$C$67,MATCH(TRIM(INDEX(Datos_Origen!$F$2:$F$2459,$Z959)),Parametros!$B$48:$B$67,0))</f>
        <v>Almacenamiento</v>
      </c>
      <c r="L959" s="61" t="str">
        <f aca="false">$K959&amp;" "&amp;$C959</f>
        <v>Almacenamiento 2024</v>
      </c>
      <c r="M959" s="61" t="str">
        <f aca="false">TRIM(INDEX(Datos_Origen!$G$2:$G$2459,$Z959))</f>
        <v>SSD Externo 1TB</v>
      </c>
      <c r="N959" s="61" t="str">
        <f aca="false">$M959&amp;" "&amp;$C959</f>
        <v>SSD Externo 1TB 2024</v>
      </c>
      <c r="O959" s="63" t="n">
        <f aca="false">IF(ISTEXT($AC959),VALUE($AC959),$AC959)</f>
        <v>9</v>
      </c>
      <c r="P959" s="64" t="n">
        <f aca="false">INDEX(Datos_Origen!$I$2:$I$2459,$Z959)</f>
        <v>127.4</v>
      </c>
      <c r="Q959" s="64" t="n">
        <f aca="false">INDEX(Datos_Origen!$J$2:$J$2459,$Z959)</f>
        <v>76.05</v>
      </c>
      <c r="R959" s="65" t="n">
        <f aca="false">ROUND($O959*$P959,2)</f>
        <v>1146.6</v>
      </c>
      <c r="S959" s="65" t="n">
        <f aca="false">ROUND($O959*$Q959,2)</f>
        <v>684.45</v>
      </c>
      <c r="T959" s="65" t="n">
        <f aca="false">ROUND($R959*SUMIFS(Parametros!$E$28:$E$43,Parametros!$B$28:$B$43,$J959,Parametros!$C$28:$C$43,$C959,Parametros!$D$28:$D$43,$D959),2)</f>
        <v>55.04</v>
      </c>
      <c r="U959" s="65" t="n">
        <f aca="false">$R959-$S959-$T959</f>
        <v>407.11</v>
      </c>
      <c r="V959" s="66" t="n">
        <f aca="false">IFERROR($U959/$R959,0)</f>
        <v>0.355058433629862</v>
      </c>
      <c r="W959" s="67" t="str">
        <f aca="false">IF(AND($V959&gt;=Parametros!$C$8,$R959&gt;=Parametros!$C$12),"Alta rentabilidad",IF(OR($V959&lt;Parametros!$C$11,$R959&lt;Parametros!$C$13),"Revisar","Estandar"))</f>
        <v>Estandar</v>
      </c>
      <c r="X959" s="67" t="str">
        <f aca="false">IF(AND($J959="E-commerce",IFERROR($T959/$R959,0)&gt;Parametros!$C$14),"Alerta","OK")</f>
        <v>OK</v>
      </c>
      <c r="Y959" s="61" t="str">
        <f aca="false">IF($R959&gt;=Parametros!$C$12,"Alto",IF($R959&lt;Parametros!$C$13,"Bajo","Medio"))</f>
        <v>Medio</v>
      </c>
      <c r="Z959" s="61" t="n">
        <v>2409</v>
      </c>
      <c r="AA959" s="61" t="str">
        <f aca="false">IF(MATCH($A959,Datos_Origen!$A$2:$A$2459,0)=$Z959,"OK","REVISAR")</f>
        <v>OK</v>
      </c>
      <c r="AB959" s="62" t="n">
        <f aca="false">INDEX(Datos_Origen!$B$2:$B$2459,$Z959)</f>
        <v>45576</v>
      </c>
      <c r="AC959" s="61" t="str">
        <f aca="false">INDEX(Datos_Origen!$H$2:$H$2459,$Z959)</f>
        <v>9</v>
      </c>
      <c r="AD959" s="61" t="str">
        <f aca="false">INDEX(Datos_Origen!$D$2:$D$2459,$Z959)&amp;""</f>
        <v>Rosario</v>
      </c>
    </row>
    <row r="960" customFormat="false" ht="15" hidden="false" customHeight="false" outlineLevel="0" collapsed="false">
      <c r="A960" s="61" t="n">
        <f aca="false">INDEX(Datos_Origen!$A$2:$A$2459,$Z960)</f>
        <v>959</v>
      </c>
      <c r="B960" s="62" t="n">
        <f aca="false">IF(ISNUMBER($AB960),$AB960,IF(MID($AB960,5,1)="-",DATE(VALUE(LEFT($AB960,4)),VALUE(MID($AB960,6,2)),VALUE(RIGHT($AB960,2))),DATE(VALUE(RIGHT($AB960,4)),VALUE(MID($AB960,4,2)),VALUE(LEFT($AB960,2)))))</f>
        <v>45583</v>
      </c>
      <c r="C960" s="61" t="n">
        <f aca="false">YEAR($B960)</f>
        <v>2024</v>
      </c>
      <c r="D960" s="61" t="str">
        <f aca="false">"Q"&amp;ROUNDUP(MONTH($B960)/3,0)</f>
        <v>Q4</v>
      </c>
      <c r="E960" s="61" t="n">
        <f aca="false">MONTH($B960)</f>
        <v>10</v>
      </c>
      <c r="F960" s="61" t="str">
        <f aca="false">INDEX(Parametros!$I$5:$I$16,$E960)</f>
        <v>Oct</v>
      </c>
      <c r="G960" s="61" t="str">
        <f aca="false">TEXT($C960,"0000")&amp;"-"&amp;TEXT($E960,"00")</f>
        <v>2024-10</v>
      </c>
      <c r="H960" s="61" t="str">
        <f aca="false">INDEX(Parametros!$C$71:$C$91,MATCH(TRIM(INDEX(Datos_Origen!$C$2:$C$2459,$Z960)),Parametros!$B$71:$B$91,0))</f>
        <v>Litoral</v>
      </c>
      <c r="I960" s="61" t="str">
        <f aca="false">IF(TRIM($AD960)="",INDEX(Parametros!$I$20:$I$24,MATCH($H960,Parametros!$H$20:$H$24,0)),TRIM($AD960))</f>
        <v>Rosario</v>
      </c>
      <c r="J960" s="61" t="str">
        <f aca="false">INDEX(Parametros!$C$95:$C$106,MATCH(TRIM(INDEX(Datos_Origen!$E$2:$E$2459,$Z960)),Parametros!$B$95:$B$106,0))</f>
        <v>Tienda fisica</v>
      </c>
      <c r="K960" s="61" t="str">
        <f aca="false">INDEX(Parametros!$C$48:$C$67,MATCH(TRIM(INDEX(Datos_Origen!$F$2:$F$2459,$Z960)),Parametros!$B$48:$B$67,0))</f>
        <v>Almacenamiento</v>
      </c>
      <c r="L960" s="61" t="str">
        <f aca="false">$K960&amp;" "&amp;$C960</f>
        <v>Almacenamiento 2024</v>
      </c>
      <c r="M960" s="61" t="str">
        <f aca="false">TRIM(INDEX(Datos_Origen!$G$2:$G$2459,$Z960))</f>
        <v>Pendrive 256GB</v>
      </c>
      <c r="N960" s="61" t="str">
        <f aca="false">$M960&amp;" "&amp;$C960</f>
        <v>Pendrive 256GB 2024</v>
      </c>
      <c r="O960" s="63" t="n">
        <f aca="false">IF(ISTEXT($AC960),VALUE($AC960),$AC960)</f>
        <v>24</v>
      </c>
      <c r="P960" s="64" t="n">
        <f aca="false">INDEX(Datos_Origen!$I$2:$I$2459,$Z960)</f>
        <v>34.3</v>
      </c>
      <c r="Q960" s="64" t="n">
        <f aca="false">INDEX(Datos_Origen!$J$2:$J$2459,$Z960)</f>
        <v>17.85</v>
      </c>
      <c r="R960" s="65" t="n">
        <f aca="false">ROUND($O960*$P960,2)</f>
        <v>823.2</v>
      </c>
      <c r="S960" s="65" t="n">
        <f aca="false">ROUND($O960*$Q960,2)</f>
        <v>428.4</v>
      </c>
      <c r="T960" s="65" t="n">
        <f aca="false">ROUND($R960*SUMIFS(Parametros!$E$28:$E$43,Parametros!$B$28:$B$43,$J960,Parametros!$C$28:$C$43,$C960,Parametros!$D$28:$D$43,$D960),2)</f>
        <v>10.7</v>
      </c>
      <c r="U960" s="65" t="n">
        <f aca="false">$R960-$S960-$T960</f>
        <v>384.1</v>
      </c>
      <c r="V960" s="66" t="n">
        <f aca="false">IFERROR($U960/$R960,0)</f>
        <v>0.466593780369291</v>
      </c>
      <c r="W960" s="67" t="str">
        <f aca="false">IF(AND($V960&gt;=Parametros!$C$8,$R960&gt;=Parametros!$C$12),"Alta rentabilidad",IF(OR($V960&lt;Parametros!$C$11,$R960&lt;Parametros!$C$13),"Revisar","Estandar"))</f>
        <v>Estandar</v>
      </c>
      <c r="X960" s="67" t="str">
        <f aca="false">IF(AND($J960="E-commerce",IFERROR($T960/$R960,0)&gt;Parametros!$C$14),"Alerta","OK")</f>
        <v>OK</v>
      </c>
      <c r="Y960" s="61" t="str">
        <f aca="false">IF($R960&gt;=Parametros!$C$12,"Alto",IF($R960&lt;Parametros!$C$13,"Bajo","Medio"))</f>
        <v>Medio</v>
      </c>
      <c r="Z960" s="61" t="n">
        <v>48</v>
      </c>
      <c r="AA960" s="61" t="str">
        <f aca="false">IF(MATCH($A960,Datos_Origen!$A$2:$A$2459,0)=$Z960,"OK","REVISAR")</f>
        <v>OK</v>
      </c>
      <c r="AB960" s="62" t="n">
        <f aca="false">INDEX(Datos_Origen!$B$2:$B$2459,$Z960)</f>
        <v>45583</v>
      </c>
      <c r="AC960" s="61" t="n">
        <f aca="false">INDEX(Datos_Origen!$H$2:$H$2459,$Z960)</f>
        <v>24</v>
      </c>
      <c r="AD960" s="61" t="str">
        <f aca="false">INDEX(Datos_Origen!$D$2:$D$2459,$Z960)&amp;""</f>
        <v>Rosario</v>
      </c>
    </row>
    <row r="961" customFormat="false" ht="15" hidden="false" customHeight="false" outlineLevel="0" collapsed="false">
      <c r="A961" s="61" t="n">
        <f aca="false">INDEX(Datos_Origen!$A$2:$A$2459,$Z961)</f>
        <v>960</v>
      </c>
      <c r="B961" s="62" t="n">
        <f aca="false">IF(ISNUMBER($AB961),$AB961,IF(MID($AB961,5,1)="-",DATE(VALUE(LEFT($AB961,4)),VALUE(MID($AB961,6,2)),VALUE(RIGHT($AB961,2))),DATE(VALUE(RIGHT($AB961,4)),VALUE(MID($AB961,4,2)),VALUE(LEFT($AB961,2)))))</f>
        <v>45590</v>
      </c>
      <c r="C961" s="61" t="n">
        <f aca="false">YEAR($B961)</f>
        <v>2024</v>
      </c>
      <c r="D961" s="61" t="str">
        <f aca="false">"Q"&amp;ROUNDUP(MONTH($B961)/3,0)</f>
        <v>Q4</v>
      </c>
      <c r="E961" s="61" t="n">
        <f aca="false">MONTH($B961)</f>
        <v>10</v>
      </c>
      <c r="F961" s="61" t="str">
        <f aca="false">INDEX(Parametros!$I$5:$I$16,$E961)</f>
        <v>Oct</v>
      </c>
      <c r="G961" s="61" t="str">
        <f aca="false">TEXT($C961,"0000")&amp;"-"&amp;TEXT($E961,"00")</f>
        <v>2024-10</v>
      </c>
      <c r="H961" s="61" t="str">
        <f aca="false">INDEX(Parametros!$C$71:$C$91,MATCH(TRIM(INDEX(Datos_Origen!$C$2:$C$2459,$Z961)),Parametros!$B$71:$B$91,0))</f>
        <v>Litoral</v>
      </c>
      <c r="I961" s="61" t="str">
        <f aca="false">IF(TRIM($AD961)="",INDEX(Parametros!$I$20:$I$24,MATCH($H961,Parametros!$H$20:$H$24,0)),TRIM($AD961))</f>
        <v>Rosario</v>
      </c>
      <c r="J961" s="61" t="str">
        <f aca="false">INDEX(Parametros!$C$95:$C$106,MATCH(TRIM(INDEX(Datos_Origen!$E$2:$E$2459,$Z961)),Parametros!$B$95:$B$106,0))</f>
        <v>E-commerce</v>
      </c>
      <c r="K961" s="61" t="str">
        <f aca="false">INDEX(Parametros!$C$48:$C$67,MATCH(TRIM(INDEX(Datos_Origen!$F$2:$F$2459,$Z961)),Parametros!$B$48:$B$67,0))</f>
        <v>Almacenamiento</v>
      </c>
      <c r="L961" s="61" t="str">
        <f aca="false">$K961&amp;" "&amp;$C961</f>
        <v>Almacenamiento 2024</v>
      </c>
      <c r="M961" s="61" t="str">
        <f aca="false">TRIM(INDEX(Datos_Origen!$G$2:$G$2459,$Z961))</f>
        <v>Pendrive 256GB</v>
      </c>
      <c r="N961" s="61" t="str">
        <f aca="false">$M961&amp;" "&amp;$C961</f>
        <v>Pendrive 256GB 2024</v>
      </c>
      <c r="O961" s="63" t="n">
        <f aca="false">IF(ISTEXT($AC961),VALUE($AC961),$AC961)</f>
        <v>9</v>
      </c>
      <c r="P961" s="64" t="n">
        <f aca="false">INDEX(Datos_Origen!$I$2:$I$2459,$Z961)</f>
        <v>34.3</v>
      </c>
      <c r="Q961" s="64" t="n">
        <f aca="false">INDEX(Datos_Origen!$J$2:$J$2459,$Z961)</f>
        <v>17.85</v>
      </c>
      <c r="R961" s="65" t="n">
        <f aca="false">ROUND($O961*$P961,2)</f>
        <v>308.7</v>
      </c>
      <c r="S961" s="65" t="n">
        <f aca="false">ROUND($O961*$Q961,2)</f>
        <v>160.65</v>
      </c>
      <c r="T961" s="65" t="n">
        <f aca="false">ROUND($R961*SUMIFS(Parametros!$E$28:$E$43,Parametros!$B$28:$B$43,$J961,Parametros!$C$28:$C$43,$C961,Parametros!$D$28:$D$43,$D961),2)</f>
        <v>14.82</v>
      </c>
      <c r="U961" s="65" t="n">
        <f aca="false">$R961-$S961-$T961</f>
        <v>133.23</v>
      </c>
      <c r="V961" s="66" t="n">
        <f aca="false">IFERROR($U961/$R961,0)</f>
        <v>0.431584062196307</v>
      </c>
      <c r="W961" s="67" t="str">
        <f aca="false">IF(AND($V961&gt;=Parametros!$C$8,$R961&gt;=Parametros!$C$12),"Alta rentabilidad",IF(OR($V961&lt;Parametros!$C$11,$R961&lt;Parametros!$C$13),"Revisar","Estandar"))</f>
        <v>Estandar</v>
      </c>
      <c r="X961" s="67" t="str">
        <f aca="false">IF(AND($J961="E-commerce",IFERROR($T961/$R961,0)&gt;Parametros!$C$14),"Alerta","OK")</f>
        <v>OK</v>
      </c>
      <c r="Y961" s="61" t="str">
        <f aca="false">IF($R961&gt;=Parametros!$C$12,"Alto",IF($R961&lt;Parametros!$C$13,"Bajo","Medio"))</f>
        <v>Medio</v>
      </c>
      <c r="Z961" s="61" t="n">
        <v>1253</v>
      </c>
      <c r="AA961" s="61" t="str">
        <f aca="false">IF(MATCH($A961,Datos_Origen!$A$2:$A$2459,0)=$Z961,"OK","REVISAR")</f>
        <v>OK</v>
      </c>
      <c r="AB961" s="61" t="str">
        <f aca="false">INDEX(Datos_Origen!$B$2:$B$2459,$Z961)</f>
        <v>2024-10-25</v>
      </c>
      <c r="AC961" s="61" t="n">
        <f aca="false">INDEX(Datos_Origen!$H$2:$H$2459,$Z961)</f>
        <v>9</v>
      </c>
      <c r="AD961" s="61" t="str">
        <f aca="false">INDEX(Datos_Origen!$D$2:$D$2459,$Z961)&amp;""</f>
        <v>Rosario</v>
      </c>
    </row>
    <row r="962" customFormat="false" ht="15" hidden="false" customHeight="false" outlineLevel="0" collapsed="false">
      <c r="A962" s="61" t="n">
        <f aca="false">INDEX(Datos_Origen!$A$2:$A$2459,$Z962)</f>
        <v>961</v>
      </c>
      <c r="B962" s="62" t="n">
        <f aca="false">IF(ISNUMBER($AB962),$AB962,IF(MID($AB962,5,1)="-",DATE(VALUE(LEFT($AB962,4)),VALUE(MID($AB962,6,2)),VALUE(RIGHT($AB962,2))),DATE(VALUE(RIGHT($AB962,4)),VALUE(MID($AB962,4,2)),VALUE(LEFT($AB962,2)))))</f>
        <v>45570</v>
      </c>
      <c r="C962" s="61" t="n">
        <f aca="false">YEAR($B962)</f>
        <v>2024</v>
      </c>
      <c r="D962" s="61" t="str">
        <f aca="false">"Q"&amp;ROUNDUP(MONTH($B962)/3,0)</f>
        <v>Q4</v>
      </c>
      <c r="E962" s="61" t="n">
        <f aca="false">MONTH($B962)</f>
        <v>10</v>
      </c>
      <c r="F962" s="61" t="str">
        <f aca="false">INDEX(Parametros!$I$5:$I$16,$E962)</f>
        <v>Oct</v>
      </c>
      <c r="G962" s="61" t="str">
        <f aca="false">TEXT($C962,"0000")&amp;"-"&amp;TEXT($E962,"00")</f>
        <v>2024-10</v>
      </c>
      <c r="H962" s="61" t="str">
        <f aca="false">INDEX(Parametros!$C$71:$C$91,MATCH(TRIM(INDEX(Datos_Origen!$C$2:$C$2459,$Z962)),Parametros!$B$71:$B$91,0))</f>
        <v>Cuyo</v>
      </c>
      <c r="I962" s="61" t="str">
        <f aca="false">IF(TRIM($AD962)="",INDEX(Parametros!$I$20:$I$24,MATCH($H962,Parametros!$H$20:$H$24,0)),TRIM($AD962))</f>
        <v>Mendoza</v>
      </c>
      <c r="J962" s="61" t="str">
        <f aca="false">INDEX(Parametros!$C$95:$C$106,MATCH(TRIM(INDEX(Datos_Origen!$E$2:$E$2459,$Z962)),Parametros!$B$95:$B$106,0))</f>
        <v>Tienda fisica</v>
      </c>
      <c r="K962" s="61" t="str">
        <f aca="false">INDEX(Parametros!$C$48:$C$67,MATCH(TRIM(INDEX(Datos_Origen!$F$2:$F$2459,$Z962)),Parametros!$B$48:$B$67,0))</f>
        <v>Computacion</v>
      </c>
      <c r="L962" s="61" t="str">
        <f aca="false">$K962&amp;" "&amp;$C962</f>
        <v>Computacion 2024</v>
      </c>
      <c r="M962" s="61" t="str">
        <f aca="false">TRIM(INDEX(Datos_Origen!$G$2:$G$2459,$Z962))</f>
        <v>Laptop Pro 15</v>
      </c>
      <c r="N962" s="61" t="str">
        <f aca="false">$M962&amp;" "&amp;$C962</f>
        <v>Laptop Pro 15 2024</v>
      </c>
      <c r="O962" s="63" t="n">
        <f aca="false">IF(ISTEXT($AC962),VALUE($AC962),$AC962)</f>
        <v>7</v>
      </c>
      <c r="P962" s="64" t="n">
        <f aca="false">INDEX(Datos_Origen!$I$2:$I$2459,$Z962)</f>
        <v>1176</v>
      </c>
      <c r="Q962" s="64" t="n">
        <f aca="false">INDEX(Datos_Origen!$J$2:$J$2459,$Z962)</f>
        <v>744</v>
      </c>
      <c r="R962" s="65" t="n">
        <f aca="false">ROUND($O962*$P962,2)</f>
        <v>8232</v>
      </c>
      <c r="S962" s="65" t="n">
        <f aca="false">ROUND($O962*$Q962,2)</f>
        <v>5208</v>
      </c>
      <c r="T962" s="65" t="n">
        <f aca="false">ROUND($R962*SUMIFS(Parametros!$E$28:$E$43,Parametros!$B$28:$B$43,$J962,Parametros!$C$28:$C$43,$C962,Parametros!$D$28:$D$43,$D962),2)</f>
        <v>107.02</v>
      </c>
      <c r="U962" s="65" t="n">
        <f aca="false">$R962-$S962-$T962</f>
        <v>2916.98</v>
      </c>
      <c r="V962" s="66" t="n">
        <f aca="false">IFERROR($U962/$R962,0)</f>
        <v>0.354346452866861</v>
      </c>
      <c r="W962" s="67" t="str">
        <f aca="false">IF(AND($V962&gt;=Parametros!$C$8,$R962&gt;=Parametros!$C$12),"Alta rentabilidad",IF(OR($V962&lt;Parametros!$C$11,$R962&lt;Parametros!$C$13),"Revisar","Estandar"))</f>
        <v>Alta rentabilidad</v>
      </c>
      <c r="X962" s="67" t="str">
        <f aca="false">IF(AND($J962="E-commerce",IFERROR($T962/$R962,0)&gt;Parametros!$C$14),"Alerta","OK")</f>
        <v>OK</v>
      </c>
      <c r="Y962" s="61" t="str">
        <f aca="false">IF($R962&gt;=Parametros!$C$12,"Alto",IF($R962&lt;Parametros!$C$13,"Bajo","Medio"))</f>
        <v>Alto</v>
      </c>
      <c r="Z962" s="61" t="n">
        <v>2342</v>
      </c>
      <c r="AA962" s="61" t="str">
        <f aca="false">IF(MATCH($A962,Datos_Origen!$A$2:$A$2459,0)=$Z962,"OK","REVISAR")</f>
        <v>OK</v>
      </c>
      <c r="AB962" s="62" t="n">
        <f aca="false">INDEX(Datos_Origen!$B$2:$B$2459,$Z962)</f>
        <v>45570</v>
      </c>
      <c r="AC962" s="61" t="str">
        <f aca="false">INDEX(Datos_Origen!$H$2:$H$2459,$Z962)</f>
        <v>7</v>
      </c>
      <c r="AD962" s="61" t="str">
        <f aca="false">INDEX(Datos_Origen!$D$2:$D$2459,$Z962)&amp;""</f>
        <v>Mendoza</v>
      </c>
    </row>
    <row r="963" customFormat="false" ht="15" hidden="false" customHeight="false" outlineLevel="0" collapsed="false">
      <c r="A963" s="61" t="n">
        <f aca="false">INDEX(Datos_Origen!$A$2:$A$2459,$Z963)</f>
        <v>962</v>
      </c>
      <c r="B963" s="62" t="n">
        <f aca="false">IF(ISNUMBER($AB963),$AB963,IF(MID($AB963,5,1)="-",DATE(VALUE(LEFT($AB963,4)),VALUE(MID($AB963,6,2)),VALUE(RIGHT($AB963,2))),DATE(VALUE(RIGHT($AB963,4)),VALUE(MID($AB963,4,2)),VALUE(LEFT($AB963,2)))))</f>
        <v>45577</v>
      </c>
      <c r="C963" s="61" t="n">
        <f aca="false">YEAR($B963)</f>
        <v>2024</v>
      </c>
      <c r="D963" s="61" t="str">
        <f aca="false">"Q"&amp;ROUNDUP(MONTH($B963)/3,0)</f>
        <v>Q4</v>
      </c>
      <c r="E963" s="61" t="n">
        <f aca="false">MONTH($B963)</f>
        <v>10</v>
      </c>
      <c r="F963" s="61" t="str">
        <f aca="false">INDEX(Parametros!$I$5:$I$16,$E963)</f>
        <v>Oct</v>
      </c>
      <c r="G963" s="61" t="str">
        <f aca="false">TEXT($C963,"0000")&amp;"-"&amp;TEXT($E963,"00")</f>
        <v>2024-10</v>
      </c>
      <c r="H963" s="61" t="str">
        <f aca="false">INDEX(Parametros!$C$71:$C$91,MATCH(TRIM(INDEX(Datos_Origen!$C$2:$C$2459,$Z963)),Parametros!$B$71:$B$91,0))</f>
        <v>Cuyo</v>
      </c>
      <c r="I963" s="61" t="str">
        <f aca="false">IF(TRIM($AD963)="",INDEX(Parametros!$I$20:$I$24,MATCH($H963,Parametros!$H$20:$H$24,0)),TRIM($AD963))</f>
        <v>Mendoza</v>
      </c>
      <c r="J963" s="61" t="str">
        <f aca="false">INDEX(Parametros!$C$95:$C$106,MATCH(TRIM(INDEX(Datos_Origen!$E$2:$E$2459,$Z963)),Parametros!$B$95:$B$106,0))</f>
        <v>E-commerce</v>
      </c>
      <c r="K963" s="61" t="str">
        <f aca="false">INDEX(Parametros!$C$48:$C$67,MATCH(TRIM(INDEX(Datos_Origen!$F$2:$F$2459,$Z963)),Parametros!$B$48:$B$67,0))</f>
        <v>Computacion</v>
      </c>
      <c r="L963" s="61" t="str">
        <f aca="false">$K963&amp;" "&amp;$C963</f>
        <v>Computacion 2024</v>
      </c>
      <c r="M963" s="61" t="str">
        <f aca="false">TRIM(INDEX(Datos_Origen!$G$2:$G$2459,$Z963))</f>
        <v>Laptop Pro 15</v>
      </c>
      <c r="N963" s="61" t="str">
        <f aca="false">$M963&amp;" "&amp;$C963</f>
        <v>Laptop Pro 15 2024</v>
      </c>
      <c r="O963" s="63" t="n">
        <f aca="false">IF(ISTEXT($AC963),VALUE($AC963),$AC963)</f>
        <v>2</v>
      </c>
      <c r="P963" s="64" t="n">
        <f aca="false">INDEX(Datos_Origen!$I$2:$I$2459,$Z963)</f>
        <v>1176</v>
      </c>
      <c r="Q963" s="64" t="n">
        <f aca="false">INDEX(Datos_Origen!$J$2:$J$2459,$Z963)</f>
        <v>744</v>
      </c>
      <c r="R963" s="65" t="n">
        <f aca="false">ROUND($O963*$P963,2)</f>
        <v>2352</v>
      </c>
      <c r="S963" s="65" t="n">
        <f aca="false">ROUND($O963*$Q963,2)</f>
        <v>1488</v>
      </c>
      <c r="T963" s="65" t="n">
        <f aca="false">ROUND($R963*SUMIFS(Parametros!$E$28:$E$43,Parametros!$B$28:$B$43,$J963,Parametros!$C$28:$C$43,$C963,Parametros!$D$28:$D$43,$D963),2)</f>
        <v>112.9</v>
      </c>
      <c r="U963" s="65" t="n">
        <f aca="false">$R963-$S963-$T963</f>
        <v>751.1</v>
      </c>
      <c r="V963" s="66" t="n">
        <f aca="false">IFERROR($U963/$R963,0)</f>
        <v>0.319345238095238</v>
      </c>
      <c r="W963" s="67" t="str">
        <f aca="false">IF(AND($V963&gt;=Parametros!$C$8,$R963&gt;=Parametros!$C$12),"Alta rentabilidad",IF(OR($V963&lt;Parametros!$C$11,$R963&lt;Parametros!$C$13),"Revisar","Estandar"))</f>
        <v>Estandar</v>
      </c>
      <c r="X963" s="67" t="str">
        <f aca="false">IF(AND($J963="E-commerce",IFERROR($T963/$R963,0)&gt;Parametros!$C$14),"Alerta","OK")</f>
        <v>OK</v>
      </c>
      <c r="Y963" s="61" t="str">
        <f aca="false">IF($R963&gt;=Parametros!$C$12,"Alto",IF($R963&lt;Parametros!$C$13,"Bajo","Medio"))</f>
        <v>Medio</v>
      </c>
      <c r="Z963" s="61" t="n">
        <v>2361</v>
      </c>
      <c r="AA963" s="61" t="str">
        <f aca="false">IF(MATCH($A963,Datos_Origen!$A$2:$A$2459,0)=$Z963,"OK","REVISAR")</f>
        <v>OK</v>
      </c>
      <c r="AB963" s="62" t="n">
        <f aca="false">INDEX(Datos_Origen!$B$2:$B$2459,$Z963)</f>
        <v>45577</v>
      </c>
      <c r="AC963" s="61" t="n">
        <f aca="false">INDEX(Datos_Origen!$H$2:$H$2459,$Z963)</f>
        <v>2</v>
      </c>
      <c r="AD963" s="61" t="str">
        <f aca="false">INDEX(Datos_Origen!$D$2:$D$2459,$Z963)&amp;""</f>
        <v>Mendoza</v>
      </c>
    </row>
    <row r="964" customFormat="false" ht="15" hidden="false" customHeight="false" outlineLevel="0" collapsed="false">
      <c r="A964" s="61" t="n">
        <f aca="false">INDEX(Datos_Origen!$A$2:$A$2459,$Z964)</f>
        <v>963</v>
      </c>
      <c r="B964" s="62" t="n">
        <f aca="false">IF(ISNUMBER($AB964),$AB964,IF(MID($AB964,5,1)="-",DATE(VALUE(LEFT($AB964,4)),VALUE(MID($AB964,6,2)),VALUE(RIGHT($AB964,2))),DATE(VALUE(RIGHT($AB964,4)),VALUE(MID($AB964,4,2)),VALUE(LEFT($AB964,2)))))</f>
        <v>45584</v>
      </c>
      <c r="C964" s="61" t="n">
        <f aca="false">YEAR($B964)</f>
        <v>2024</v>
      </c>
      <c r="D964" s="61" t="str">
        <f aca="false">"Q"&amp;ROUNDUP(MONTH($B964)/3,0)</f>
        <v>Q4</v>
      </c>
      <c r="E964" s="61" t="n">
        <f aca="false">MONTH($B964)</f>
        <v>10</v>
      </c>
      <c r="F964" s="61" t="str">
        <f aca="false">INDEX(Parametros!$I$5:$I$16,$E964)</f>
        <v>Oct</v>
      </c>
      <c r="G964" s="61" t="str">
        <f aca="false">TEXT($C964,"0000")&amp;"-"&amp;TEXT($E964,"00")</f>
        <v>2024-10</v>
      </c>
      <c r="H964" s="61" t="str">
        <f aca="false">INDEX(Parametros!$C$71:$C$91,MATCH(TRIM(INDEX(Datos_Origen!$C$2:$C$2459,$Z964)),Parametros!$B$71:$B$91,0))</f>
        <v>Cuyo</v>
      </c>
      <c r="I964" s="61" t="str">
        <f aca="false">IF(TRIM($AD964)="",INDEX(Parametros!$I$20:$I$24,MATCH($H964,Parametros!$H$20:$H$24,0)),TRIM($AD964))</f>
        <v>Mendoza</v>
      </c>
      <c r="J964" s="61" t="str">
        <f aca="false">INDEX(Parametros!$C$95:$C$106,MATCH(TRIM(INDEX(Datos_Origen!$E$2:$E$2459,$Z964)),Parametros!$B$95:$B$106,0))</f>
        <v>Tienda fisica</v>
      </c>
      <c r="K964" s="61" t="str">
        <f aca="false">INDEX(Parametros!$C$48:$C$67,MATCH(TRIM(INDEX(Datos_Origen!$F$2:$F$2459,$Z964)),Parametros!$B$48:$B$67,0))</f>
        <v>Computacion</v>
      </c>
      <c r="L964" s="61" t="str">
        <f aca="false">$K964&amp;" "&amp;$C964</f>
        <v>Computacion 2024</v>
      </c>
      <c r="M964" s="61" t="str">
        <f aca="false">TRIM(INDEX(Datos_Origen!$G$2:$G$2459,$Z964))</f>
        <v>Monitor 4K 27</v>
      </c>
      <c r="N964" s="61" t="str">
        <f aca="false">$M964&amp;" "&amp;$C964</f>
        <v>Monitor 4K 27 2024</v>
      </c>
      <c r="O964" s="63" t="n">
        <f aca="false">IF(ISTEXT($AC964),VALUE($AC964),$AC964)</f>
        <v>6</v>
      </c>
      <c r="P964" s="64" t="n">
        <f aca="false">INDEX(Datos_Origen!$I$2:$I$2459,$Z964)</f>
        <v>441</v>
      </c>
      <c r="Q964" s="64" t="n">
        <f aca="false">INDEX(Datos_Origen!$J$2:$J$2459,$Z964)</f>
        <v>272.25</v>
      </c>
      <c r="R964" s="65" t="n">
        <f aca="false">ROUND($O964*$P964,2)</f>
        <v>2646</v>
      </c>
      <c r="S964" s="65" t="n">
        <f aca="false">ROUND($O964*$Q964,2)</f>
        <v>1633.5</v>
      </c>
      <c r="T964" s="65" t="n">
        <f aca="false">ROUND($R964*SUMIFS(Parametros!$E$28:$E$43,Parametros!$B$28:$B$43,$J964,Parametros!$C$28:$C$43,$C964,Parametros!$D$28:$D$43,$D964),2)</f>
        <v>34.4</v>
      </c>
      <c r="U964" s="65" t="n">
        <f aca="false">$R964-$S964-$T964</f>
        <v>978.1</v>
      </c>
      <c r="V964" s="66" t="n">
        <f aca="false">IFERROR($U964/$R964,0)</f>
        <v>0.369652305366591</v>
      </c>
      <c r="W964" s="67" t="str">
        <f aca="false">IF(AND($V964&gt;=Parametros!$C$8,$R964&gt;=Parametros!$C$12),"Alta rentabilidad",IF(OR($V964&lt;Parametros!$C$11,$R964&lt;Parametros!$C$13),"Revisar","Estandar"))</f>
        <v>Estandar</v>
      </c>
      <c r="X964" s="67" t="str">
        <f aca="false">IF(AND($J964="E-commerce",IFERROR($T964/$R964,0)&gt;Parametros!$C$14),"Alerta","OK")</f>
        <v>OK</v>
      </c>
      <c r="Y964" s="61" t="str">
        <f aca="false">IF($R964&gt;=Parametros!$C$12,"Alto",IF($R964&lt;Parametros!$C$13,"Bajo","Medio"))</f>
        <v>Medio</v>
      </c>
      <c r="Z964" s="61" t="n">
        <v>1218</v>
      </c>
      <c r="AA964" s="61" t="str">
        <f aca="false">IF(MATCH($A964,Datos_Origen!$A$2:$A$2459,0)=$Z964,"OK","REVISAR")</f>
        <v>OK</v>
      </c>
      <c r="AB964" s="62" t="n">
        <f aca="false">INDEX(Datos_Origen!$B$2:$B$2459,$Z964)</f>
        <v>45584</v>
      </c>
      <c r="AC964" s="61" t="n">
        <f aca="false">INDEX(Datos_Origen!$H$2:$H$2459,$Z964)</f>
        <v>6</v>
      </c>
      <c r="AD964" s="61" t="str">
        <f aca="false">INDEX(Datos_Origen!$D$2:$D$2459,$Z964)&amp;""</f>
        <v>Mendoza</v>
      </c>
    </row>
    <row r="965" customFormat="false" ht="15" hidden="false" customHeight="false" outlineLevel="0" collapsed="false">
      <c r="A965" s="61" t="n">
        <f aca="false">INDEX(Datos_Origen!$A$2:$A$2459,$Z965)</f>
        <v>964</v>
      </c>
      <c r="B965" s="62" t="n">
        <f aca="false">IF(ISNUMBER($AB965),$AB965,IF(MID($AB965,5,1)="-",DATE(VALUE(LEFT($AB965,4)),VALUE(MID($AB965,6,2)),VALUE(RIGHT($AB965,2))),DATE(VALUE(RIGHT($AB965,4)),VALUE(MID($AB965,4,2)),VALUE(LEFT($AB965,2)))))</f>
        <v>45591</v>
      </c>
      <c r="C965" s="61" t="n">
        <f aca="false">YEAR($B965)</f>
        <v>2024</v>
      </c>
      <c r="D965" s="61" t="str">
        <f aca="false">"Q"&amp;ROUNDUP(MONTH($B965)/3,0)</f>
        <v>Q4</v>
      </c>
      <c r="E965" s="61" t="n">
        <f aca="false">MONTH($B965)</f>
        <v>10</v>
      </c>
      <c r="F965" s="61" t="str">
        <f aca="false">INDEX(Parametros!$I$5:$I$16,$E965)</f>
        <v>Oct</v>
      </c>
      <c r="G965" s="61" t="str">
        <f aca="false">TEXT($C965,"0000")&amp;"-"&amp;TEXT($E965,"00")</f>
        <v>2024-10</v>
      </c>
      <c r="H965" s="61" t="str">
        <f aca="false">INDEX(Parametros!$C$71:$C$91,MATCH(TRIM(INDEX(Datos_Origen!$C$2:$C$2459,$Z965)),Parametros!$B$71:$B$91,0))</f>
        <v>Cuyo</v>
      </c>
      <c r="I965" s="61" t="str">
        <f aca="false">IF(TRIM($AD965)="",INDEX(Parametros!$I$20:$I$24,MATCH($H965,Parametros!$H$20:$H$24,0)),TRIM($AD965))</f>
        <v>Mendoza</v>
      </c>
      <c r="J965" s="61" t="str">
        <f aca="false">INDEX(Parametros!$C$95:$C$106,MATCH(TRIM(INDEX(Datos_Origen!$E$2:$E$2459,$Z965)),Parametros!$B$95:$B$106,0))</f>
        <v>E-commerce</v>
      </c>
      <c r="K965" s="61" t="str">
        <f aca="false">INDEX(Parametros!$C$48:$C$67,MATCH(TRIM(INDEX(Datos_Origen!$F$2:$F$2459,$Z965)),Parametros!$B$48:$B$67,0))</f>
        <v>Computacion</v>
      </c>
      <c r="L965" s="61" t="str">
        <f aca="false">$K965&amp;" "&amp;$C965</f>
        <v>Computacion 2024</v>
      </c>
      <c r="M965" s="61" t="str">
        <f aca="false">TRIM(INDEX(Datos_Origen!$G$2:$G$2459,$Z965))</f>
        <v>Monitor 4K 27</v>
      </c>
      <c r="N965" s="61" t="str">
        <f aca="false">$M965&amp;" "&amp;$C965</f>
        <v>Monitor 4K 27 2024</v>
      </c>
      <c r="O965" s="63" t="n">
        <f aca="false">IF(ISTEXT($AC965),VALUE($AC965),$AC965)</f>
        <v>3</v>
      </c>
      <c r="P965" s="64" t="n">
        <f aca="false">INDEX(Datos_Origen!$I$2:$I$2459,$Z965)</f>
        <v>441</v>
      </c>
      <c r="Q965" s="64" t="n">
        <f aca="false">INDEX(Datos_Origen!$J$2:$J$2459,$Z965)</f>
        <v>272.25</v>
      </c>
      <c r="R965" s="65" t="n">
        <f aca="false">ROUND($O965*$P965,2)</f>
        <v>1323</v>
      </c>
      <c r="S965" s="65" t="n">
        <f aca="false">ROUND($O965*$Q965,2)</f>
        <v>816.75</v>
      </c>
      <c r="T965" s="65" t="n">
        <f aca="false">ROUND($R965*SUMIFS(Parametros!$E$28:$E$43,Parametros!$B$28:$B$43,$J965,Parametros!$C$28:$C$43,$C965,Parametros!$D$28:$D$43,$D965),2)</f>
        <v>63.5</v>
      </c>
      <c r="U965" s="65" t="n">
        <f aca="false">$R965-$S965-$T965</f>
        <v>442.75</v>
      </c>
      <c r="V965" s="66" t="n">
        <f aca="false">IFERROR($U965/$R965,0)</f>
        <v>0.334656084656085</v>
      </c>
      <c r="W965" s="67" t="str">
        <f aca="false">IF(AND($V965&gt;=Parametros!$C$8,$R965&gt;=Parametros!$C$12),"Alta rentabilidad",IF(OR($V965&lt;Parametros!$C$11,$R965&lt;Parametros!$C$13),"Revisar","Estandar"))</f>
        <v>Estandar</v>
      </c>
      <c r="X965" s="67" t="str">
        <f aca="false">IF(AND($J965="E-commerce",IFERROR($T965/$R965,0)&gt;Parametros!$C$14),"Alerta","OK")</f>
        <v>OK</v>
      </c>
      <c r="Y965" s="61" t="str">
        <f aca="false">IF($R965&gt;=Parametros!$C$12,"Alto",IF($R965&lt;Parametros!$C$13,"Bajo","Medio"))</f>
        <v>Medio</v>
      </c>
      <c r="Z965" s="61" t="n">
        <v>140</v>
      </c>
      <c r="AA965" s="61" t="str">
        <f aca="false">IF(MATCH($A965,Datos_Origen!$A$2:$A$2459,0)=$Z965,"OK","REVISAR")</f>
        <v>OK</v>
      </c>
      <c r="AB965" s="62" t="n">
        <f aca="false">INDEX(Datos_Origen!$B$2:$B$2459,$Z965)</f>
        <v>45591</v>
      </c>
      <c r="AC965" s="61" t="n">
        <f aca="false">INDEX(Datos_Origen!$H$2:$H$2459,$Z965)</f>
        <v>3</v>
      </c>
      <c r="AD965" s="61" t="str">
        <f aca="false">INDEX(Datos_Origen!$D$2:$D$2459,$Z965)&amp;""</f>
        <v>Mendoza</v>
      </c>
    </row>
    <row r="966" customFormat="false" ht="15" hidden="false" customHeight="false" outlineLevel="0" collapsed="false">
      <c r="A966" s="61" t="n">
        <f aca="false">INDEX(Datos_Origen!$A$2:$A$2459,$Z966)</f>
        <v>965</v>
      </c>
      <c r="B966" s="62" t="n">
        <f aca="false">IF(ISNUMBER($AB966),$AB966,IF(MID($AB966,5,1)="-",DATE(VALUE(LEFT($AB966,4)),VALUE(MID($AB966,6,2)),VALUE(RIGHT($AB966,2))),DATE(VALUE(RIGHT($AB966,4)),VALUE(MID($AB966,4,2)),VALUE(LEFT($AB966,2)))))</f>
        <v>45571</v>
      </c>
      <c r="C966" s="61" t="n">
        <f aca="false">YEAR($B966)</f>
        <v>2024</v>
      </c>
      <c r="D966" s="61" t="str">
        <f aca="false">"Q"&amp;ROUNDUP(MONTH($B966)/3,0)</f>
        <v>Q4</v>
      </c>
      <c r="E966" s="61" t="n">
        <f aca="false">MONTH($B966)</f>
        <v>10</v>
      </c>
      <c r="F966" s="61" t="str">
        <f aca="false">INDEX(Parametros!$I$5:$I$16,$E966)</f>
        <v>Oct</v>
      </c>
      <c r="G966" s="61" t="str">
        <f aca="false">TEXT($C966,"0000")&amp;"-"&amp;TEXT($E966,"00")</f>
        <v>2024-10</v>
      </c>
      <c r="H966" s="61" t="str">
        <f aca="false">INDEX(Parametros!$C$71:$C$91,MATCH(TRIM(INDEX(Datos_Origen!$C$2:$C$2459,$Z966)),Parametros!$B$71:$B$91,0))</f>
        <v>Cuyo</v>
      </c>
      <c r="I966" s="61" t="str">
        <f aca="false">IF(TRIM($AD966)="",INDEX(Parametros!$I$20:$I$24,MATCH($H966,Parametros!$H$20:$H$24,0)),TRIM($AD966))</f>
        <v>Mendoza</v>
      </c>
      <c r="J966" s="61" t="str">
        <f aca="false">INDEX(Parametros!$C$95:$C$106,MATCH(TRIM(INDEX(Datos_Origen!$E$2:$E$2459,$Z966)),Parametros!$B$95:$B$106,0))</f>
        <v>Tienda fisica</v>
      </c>
      <c r="K966" s="61" t="str">
        <f aca="false">INDEX(Parametros!$C$48:$C$67,MATCH(TRIM(INDEX(Datos_Origen!$F$2:$F$2459,$Z966)),Parametros!$B$48:$B$67,0))</f>
        <v>Computacion</v>
      </c>
      <c r="L966" s="61" t="str">
        <f aca="false">$K966&amp;" "&amp;$C966</f>
        <v>Computacion 2024</v>
      </c>
      <c r="M966" s="61" t="str">
        <f aca="false">TRIM(INDEX(Datos_Origen!$G$2:$G$2459,$Z966))</f>
        <v>PC Gamer Ryzen</v>
      </c>
      <c r="N966" s="61" t="str">
        <f aca="false">$M966&amp;" "&amp;$C966</f>
        <v>PC Gamer Ryzen 2024</v>
      </c>
      <c r="O966" s="63" t="n">
        <f aca="false">IF(ISTEXT($AC966),VALUE($AC966),$AC966)</f>
        <v>8</v>
      </c>
      <c r="P966" s="64" t="n">
        <f aca="false">INDEX(Datos_Origen!$I$2:$I$2459,$Z966)</f>
        <v>1617</v>
      </c>
      <c r="Q966" s="64" t="n">
        <f aca="false">INDEX(Datos_Origen!$J$2:$J$2459,$Z966)</f>
        <v>1122</v>
      </c>
      <c r="R966" s="65" t="n">
        <f aca="false">ROUND($O966*$P966,2)</f>
        <v>12936</v>
      </c>
      <c r="S966" s="65" t="n">
        <f aca="false">ROUND($O966*$Q966,2)</f>
        <v>8976</v>
      </c>
      <c r="T966" s="65" t="n">
        <f aca="false">ROUND($R966*SUMIFS(Parametros!$E$28:$E$43,Parametros!$B$28:$B$43,$J966,Parametros!$C$28:$C$43,$C966,Parametros!$D$28:$D$43,$D966),2)</f>
        <v>168.17</v>
      </c>
      <c r="U966" s="65" t="n">
        <f aca="false">$R966-$S966-$T966</f>
        <v>3791.83</v>
      </c>
      <c r="V966" s="66" t="n">
        <f aca="false">IFERROR($U966/$R966,0)</f>
        <v>0.293122294372294</v>
      </c>
      <c r="W966" s="67" t="str">
        <f aca="false">IF(AND($V966&gt;=Parametros!$C$8,$R966&gt;=Parametros!$C$12),"Alta rentabilidad",IF(OR($V966&lt;Parametros!$C$11,$R966&lt;Parametros!$C$13),"Revisar","Estandar"))</f>
        <v>Estandar</v>
      </c>
      <c r="X966" s="67" t="str">
        <f aca="false">IF(AND($J966="E-commerce",IFERROR($T966/$R966,0)&gt;Parametros!$C$14),"Alerta","OK")</f>
        <v>OK</v>
      </c>
      <c r="Y966" s="61" t="str">
        <f aca="false">IF($R966&gt;=Parametros!$C$12,"Alto",IF($R966&lt;Parametros!$C$13,"Bajo","Medio"))</f>
        <v>Alto</v>
      </c>
      <c r="Z966" s="61" t="n">
        <v>969</v>
      </c>
      <c r="AA966" s="61" t="str">
        <f aca="false">IF(MATCH($A966,Datos_Origen!$A$2:$A$2459,0)=$Z966,"OK","REVISAR")</f>
        <v>OK</v>
      </c>
      <c r="AB966" s="62" t="n">
        <f aca="false">INDEX(Datos_Origen!$B$2:$B$2459,$Z966)</f>
        <v>45571</v>
      </c>
      <c r="AC966" s="61" t="n">
        <f aca="false">INDEX(Datos_Origen!$H$2:$H$2459,$Z966)</f>
        <v>8</v>
      </c>
      <c r="AD966" s="61" t="str">
        <f aca="false">INDEX(Datos_Origen!$D$2:$D$2459,$Z966)&amp;""</f>
        <v>Mendoza</v>
      </c>
    </row>
    <row r="967" customFormat="false" ht="15" hidden="false" customHeight="false" outlineLevel="0" collapsed="false">
      <c r="A967" s="61" t="n">
        <f aca="false">INDEX(Datos_Origen!$A$2:$A$2459,$Z967)</f>
        <v>966</v>
      </c>
      <c r="B967" s="62" t="n">
        <f aca="false">IF(ISNUMBER($AB967),$AB967,IF(MID($AB967,5,1)="-",DATE(VALUE(LEFT($AB967,4)),VALUE(MID($AB967,6,2)),VALUE(RIGHT($AB967,2))),DATE(VALUE(RIGHT($AB967,4)),VALUE(MID($AB967,4,2)),VALUE(LEFT($AB967,2)))))</f>
        <v>45578</v>
      </c>
      <c r="C967" s="61" t="n">
        <f aca="false">YEAR($B967)</f>
        <v>2024</v>
      </c>
      <c r="D967" s="61" t="str">
        <f aca="false">"Q"&amp;ROUNDUP(MONTH($B967)/3,0)</f>
        <v>Q4</v>
      </c>
      <c r="E967" s="61" t="n">
        <f aca="false">MONTH($B967)</f>
        <v>10</v>
      </c>
      <c r="F967" s="61" t="str">
        <f aca="false">INDEX(Parametros!$I$5:$I$16,$E967)</f>
        <v>Oct</v>
      </c>
      <c r="G967" s="61" t="str">
        <f aca="false">TEXT($C967,"0000")&amp;"-"&amp;TEXT($E967,"00")</f>
        <v>2024-10</v>
      </c>
      <c r="H967" s="61" t="str">
        <f aca="false">INDEX(Parametros!$C$71:$C$91,MATCH(TRIM(INDEX(Datos_Origen!$C$2:$C$2459,$Z967)),Parametros!$B$71:$B$91,0))</f>
        <v>Cuyo</v>
      </c>
      <c r="I967" s="61" t="str">
        <f aca="false">IF(TRIM($AD967)="",INDEX(Parametros!$I$20:$I$24,MATCH($H967,Parametros!$H$20:$H$24,0)),TRIM($AD967))</f>
        <v>Mendoza</v>
      </c>
      <c r="J967" s="61" t="str">
        <f aca="false">INDEX(Parametros!$C$95:$C$106,MATCH(TRIM(INDEX(Datos_Origen!$E$2:$E$2459,$Z967)),Parametros!$B$95:$B$106,0))</f>
        <v>E-commerce</v>
      </c>
      <c r="K967" s="61" t="str">
        <f aca="false">INDEX(Parametros!$C$48:$C$67,MATCH(TRIM(INDEX(Datos_Origen!$F$2:$F$2459,$Z967)),Parametros!$B$48:$B$67,0))</f>
        <v>Computacion</v>
      </c>
      <c r="L967" s="61" t="str">
        <f aca="false">$K967&amp;" "&amp;$C967</f>
        <v>Computacion 2024</v>
      </c>
      <c r="M967" s="61" t="str">
        <f aca="false">TRIM(INDEX(Datos_Origen!$G$2:$G$2459,$Z967))</f>
        <v>PC Gamer Ryzen</v>
      </c>
      <c r="N967" s="61" t="str">
        <f aca="false">$M967&amp;" "&amp;$C967</f>
        <v>PC Gamer Ryzen 2024</v>
      </c>
      <c r="O967" s="63" t="n">
        <f aca="false">IF(ISTEXT($AC967),VALUE($AC967),$AC967)</f>
        <v>3</v>
      </c>
      <c r="P967" s="64" t="n">
        <f aca="false">INDEX(Datos_Origen!$I$2:$I$2459,$Z967)</f>
        <v>1617</v>
      </c>
      <c r="Q967" s="64" t="n">
        <f aca="false">INDEX(Datos_Origen!$J$2:$J$2459,$Z967)</f>
        <v>1122</v>
      </c>
      <c r="R967" s="65" t="n">
        <f aca="false">ROUND($O967*$P967,2)</f>
        <v>4851</v>
      </c>
      <c r="S967" s="65" t="n">
        <f aca="false">ROUND($O967*$Q967,2)</f>
        <v>3366</v>
      </c>
      <c r="T967" s="65" t="n">
        <f aca="false">ROUND($R967*SUMIFS(Parametros!$E$28:$E$43,Parametros!$B$28:$B$43,$J967,Parametros!$C$28:$C$43,$C967,Parametros!$D$28:$D$43,$D967),2)</f>
        <v>232.85</v>
      </c>
      <c r="U967" s="65" t="n">
        <f aca="false">$R967-$S967-$T967</f>
        <v>1252.15</v>
      </c>
      <c r="V967" s="66" t="n">
        <f aca="false">IFERROR($U967/$R967,0)</f>
        <v>0.258122036693465</v>
      </c>
      <c r="W967" s="67" t="str">
        <f aca="false">IF(AND($V967&gt;=Parametros!$C$8,$R967&gt;=Parametros!$C$12),"Alta rentabilidad",IF(OR($V967&lt;Parametros!$C$11,$R967&lt;Parametros!$C$13),"Revisar","Estandar"))</f>
        <v>Revisar</v>
      </c>
      <c r="X967" s="67" t="str">
        <f aca="false">IF(AND($J967="E-commerce",IFERROR($T967/$R967,0)&gt;Parametros!$C$14),"Alerta","OK")</f>
        <v>OK</v>
      </c>
      <c r="Y967" s="61" t="str">
        <f aca="false">IF($R967&gt;=Parametros!$C$12,"Alto",IF($R967&lt;Parametros!$C$13,"Bajo","Medio"))</f>
        <v>Alto</v>
      </c>
      <c r="Z967" s="61" t="n">
        <v>1926</v>
      </c>
      <c r="AA967" s="61" t="str">
        <f aca="false">IF(MATCH($A967,Datos_Origen!$A$2:$A$2459,0)=$Z967,"OK","REVISAR")</f>
        <v>OK</v>
      </c>
      <c r="AB967" s="62" t="n">
        <f aca="false">INDEX(Datos_Origen!$B$2:$B$2459,$Z967)</f>
        <v>45578</v>
      </c>
      <c r="AC967" s="61" t="n">
        <f aca="false">INDEX(Datos_Origen!$H$2:$H$2459,$Z967)</f>
        <v>3</v>
      </c>
      <c r="AD967" s="61" t="str">
        <f aca="false">INDEX(Datos_Origen!$D$2:$D$2459,$Z967)&amp;""</f>
        <v>Mendoza</v>
      </c>
    </row>
    <row r="968" customFormat="false" ht="15" hidden="false" customHeight="false" outlineLevel="0" collapsed="false">
      <c r="A968" s="61" t="n">
        <f aca="false">INDEX(Datos_Origen!$A$2:$A$2459,$Z968)</f>
        <v>967</v>
      </c>
      <c r="B968" s="62" t="n">
        <f aca="false">IF(ISNUMBER($AB968),$AB968,IF(MID($AB968,5,1)="-",DATE(VALUE(LEFT($AB968,4)),VALUE(MID($AB968,6,2)),VALUE(RIGHT($AB968,2))),DATE(VALUE(RIGHT($AB968,4)),VALUE(MID($AB968,4,2)),VALUE(LEFT($AB968,2)))))</f>
        <v>45585</v>
      </c>
      <c r="C968" s="61" t="n">
        <f aca="false">YEAR($B968)</f>
        <v>2024</v>
      </c>
      <c r="D968" s="61" t="str">
        <f aca="false">"Q"&amp;ROUNDUP(MONTH($B968)/3,0)</f>
        <v>Q4</v>
      </c>
      <c r="E968" s="61" t="n">
        <f aca="false">MONTH($B968)</f>
        <v>10</v>
      </c>
      <c r="F968" s="61" t="str">
        <f aca="false">INDEX(Parametros!$I$5:$I$16,$E968)</f>
        <v>Oct</v>
      </c>
      <c r="G968" s="61" t="str">
        <f aca="false">TEXT($C968,"0000")&amp;"-"&amp;TEXT($E968,"00")</f>
        <v>2024-10</v>
      </c>
      <c r="H968" s="61" t="str">
        <f aca="false">INDEX(Parametros!$C$71:$C$91,MATCH(TRIM(INDEX(Datos_Origen!$C$2:$C$2459,$Z968)),Parametros!$B$71:$B$91,0))</f>
        <v>Cuyo</v>
      </c>
      <c r="I968" s="61" t="str">
        <f aca="false">IF(TRIM($AD968)="",INDEX(Parametros!$I$20:$I$24,MATCH($H968,Parametros!$H$20:$H$24,0)),TRIM($AD968))</f>
        <v>Mendoza</v>
      </c>
      <c r="J968" s="61" t="str">
        <f aca="false">INDEX(Parametros!$C$95:$C$106,MATCH(TRIM(INDEX(Datos_Origen!$E$2:$E$2459,$Z968)),Parametros!$B$95:$B$106,0))</f>
        <v>Tienda fisica</v>
      </c>
      <c r="K968" s="61" t="str">
        <f aca="false">INDEX(Parametros!$C$48:$C$67,MATCH(TRIM(INDEX(Datos_Origen!$F$2:$F$2459,$Z968)),Parametros!$B$48:$B$67,0))</f>
        <v>Accesorios</v>
      </c>
      <c r="L968" s="61" t="str">
        <f aca="false">$K968&amp;" "&amp;$C968</f>
        <v>Accesorios 2024</v>
      </c>
      <c r="M968" s="61" t="str">
        <f aca="false">TRIM(INDEX(Datos_Origen!$G$2:$G$2459,$Z968))</f>
        <v>Mouse Inalambrico</v>
      </c>
      <c r="N968" s="61" t="str">
        <f aca="false">$M968&amp;" "&amp;$C968</f>
        <v>Mouse Inalambrico 2024</v>
      </c>
      <c r="O968" s="63" t="n">
        <f aca="false">IF(ISTEXT($AC968),VALUE($AC968),$AC968)</f>
        <v>32</v>
      </c>
      <c r="P968" s="64" t="n">
        <f aca="false">INDEX(Datos_Origen!$I$2:$I$2459,$Z968)</f>
        <v>27.44</v>
      </c>
      <c r="Q968" s="64" t="n">
        <f aca="false">INDEX(Datos_Origen!$J$2:$J$2459,$Z968)</f>
        <v>13.44</v>
      </c>
      <c r="R968" s="65" t="n">
        <f aca="false">ROUND($O968*$P968,2)</f>
        <v>878.08</v>
      </c>
      <c r="S968" s="65" t="n">
        <f aca="false">ROUND($O968*$Q968,2)</f>
        <v>430.08</v>
      </c>
      <c r="T968" s="65" t="n">
        <f aca="false">ROUND($R968*SUMIFS(Parametros!$E$28:$E$43,Parametros!$B$28:$B$43,$J968,Parametros!$C$28:$C$43,$C968,Parametros!$D$28:$D$43,$D968),2)</f>
        <v>11.42</v>
      </c>
      <c r="U968" s="65" t="n">
        <f aca="false">$R968-$S968-$T968</f>
        <v>436.58</v>
      </c>
      <c r="V968" s="66" t="n">
        <f aca="false">IFERROR($U968/$R968,0)</f>
        <v>0.497198432944606</v>
      </c>
      <c r="W968" s="67" t="str">
        <f aca="false">IF(AND($V968&gt;=Parametros!$C$8,$R968&gt;=Parametros!$C$12),"Alta rentabilidad",IF(OR($V968&lt;Parametros!$C$11,$R968&lt;Parametros!$C$13),"Revisar","Estandar"))</f>
        <v>Estandar</v>
      </c>
      <c r="X968" s="67" t="str">
        <f aca="false">IF(AND($J968="E-commerce",IFERROR($T968/$R968,0)&gt;Parametros!$C$14),"Alerta","OK")</f>
        <v>OK</v>
      </c>
      <c r="Y968" s="61" t="str">
        <f aca="false">IF($R968&gt;=Parametros!$C$12,"Alto",IF($R968&lt;Parametros!$C$13,"Bajo","Medio"))</f>
        <v>Medio</v>
      </c>
      <c r="Z968" s="61" t="n">
        <v>1999</v>
      </c>
      <c r="AA968" s="61" t="str">
        <f aca="false">IF(MATCH($A968,Datos_Origen!$A$2:$A$2459,0)=$Z968,"OK","REVISAR")</f>
        <v>OK</v>
      </c>
      <c r="AB968" s="62" t="n">
        <f aca="false">INDEX(Datos_Origen!$B$2:$B$2459,$Z968)</f>
        <v>45585</v>
      </c>
      <c r="AC968" s="61" t="n">
        <f aca="false">INDEX(Datos_Origen!$H$2:$H$2459,$Z968)</f>
        <v>32</v>
      </c>
      <c r="AD968" s="61" t="str">
        <f aca="false">INDEX(Datos_Origen!$D$2:$D$2459,$Z968)&amp;""</f>
        <v/>
      </c>
    </row>
    <row r="969" customFormat="false" ht="15" hidden="false" customHeight="false" outlineLevel="0" collapsed="false">
      <c r="A969" s="61" t="n">
        <f aca="false">INDEX(Datos_Origen!$A$2:$A$2459,$Z969)</f>
        <v>968</v>
      </c>
      <c r="B969" s="62" t="n">
        <f aca="false">IF(ISNUMBER($AB969),$AB969,IF(MID($AB969,5,1)="-",DATE(VALUE(LEFT($AB969,4)),VALUE(MID($AB969,6,2)),VALUE(RIGHT($AB969,2))),DATE(VALUE(RIGHT($AB969,4)),VALUE(MID($AB969,4,2)),VALUE(LEFT($AB969,2)))))</f>
        <v>45592</v>
      </c>
      <c r="C969" s="61" t="n">
        <f aca="false">YEAR($B969)</f>
        <v>2024</v>
      </c>
      <c r="D969" s="61" t="str">
        <f aca="false">"Q"&amp;ROUNDUP(MONTH($B969)/3,0)</f>
        <v>Q4</v>
      </c>
      <c r="E969" s="61" t="n">
        <f aca="false">MONTH($B969)</f>
        <v>10</v>
      </c>
      <c r="F969" s="61" t="str">
        <f aca="false">INDEX(Parametros!$I$5:$I$16,$E969)</f>
        <v>Oct</v>
      </c>
      <c r="G969" s="61" t="str">
        <f aca="false">TEXT($C969,"0000")&amp;"-"&amp;TEXT($E969,"00")</f>
        <v>2024-10</v>
      </c>
      <c r="H969" s="61" t="str">
        <f aca="false">INDEX(Parametros!$C$71:$C$91,MATCH(TRIM(INDEX(Datos_Origen!$C$2:$C$2459,$Z969)),Parametros!$B$71:$B$91,0))</f>
        <v>Cuyo</v>
      </c>
      <c r="I969" s="61" t="str">
        <f aca="false">IF(TRIM($AD969)="",INDEX(Parametros!$I$20:$I$24,MATCH($H969,Parametros!$H$20:$H$24,0)),TRIM($AD969))</f>
        <v>Mendoza</v>
      </c>
      <c r="J969" s="61" t="str">
        <f aca="false">INDEX(Parametros!$C$95:$C$106,MATCH(TRIM(INDEX(Datos_Origen!$E$2:$E$2459,$Z969)),Parametros!$B$95:$B$106,0))</f>
        <v>E-commerce</v>
      </c>
      <c r="K969" s="61" t="str">
        <f aca="false">INDEX(Parametros!$C$48:$C$67,MATCH(TRIM(INDEX(Datos_Origen!$F$2:$F$2459,$Z969)),Parametros!$B$48:$B$67,0))</f>
        <v>Accesorios</v>
      </c>
      <c r="L969" s="61" t="str">
        <f aca="false">$K969&amp;" "&amp;$C969</f>
        <v>Accesorios 2024</v>
      </c>
      <c r="M969" s="61" t="str">
        <f aca="false">TRIM(INDEX(Datos_Origen!$G$2:$G$2459,$Z969))</f>
        <v>Mouse Inalambrico</v>
      </c>
      <c r="N969" s="61" t="str">
        <f aca="false">$M969&amp;" "&amp;$C969</f>
        <v>Mouse Inalambrico 2024</v>
      </c>
      <c r="O969" s="63" t="n">
        <f aca="false">IF(ISTEXT($AC969),VALUE($AC969),$AC969)</f>
        <v>11</v>
      </c>
      <c r="P969" s="64" t="n">
        <f aca="false">INDEX(Datos_Origen!$I$2:$I$2459,$Z969)</f>
        <v>27.44</v>
      </c>
      <c r="Q969" s="64" t="n">
        <f aca="false">INDEX(Datos_Origen!$J$2:$J$2459,$Z969)</f>
        <v>13.44</v>
      </c>
      <c r="R969" s="65" t="n">
        <f aca="false">ROUND($O969*$P969,2)</f>
        <v>301.84</v>
      </c>
      <c r="S969" s="65" t="n">
        <f aca="false">ROUND($O969*$Q969,2)</f>
        <v>147.84</v>
      </c>
      <c r="T969" s="65" t="n">
        <f aca="false">ROUND($R969*SUMIFS(Parametros!$E$28:$E$43,Parametros!$B$28:$B$43,$J969,Parametros!$C$28:$C$43,$C969,Parametros!$D$28:$D$43,$D969),2)</f>
        <v>14.49</v>
      </c>
      <c r="U969" s="65" t="n">
        <f aca="false">$R969-$S969-$T969</f>
        <v>139.51</v>
      </c>
      <c r="V969" s="66" t="n">
        <f aca="false">IFERROR($U969/$R969,0)</f>
        <v>0.462198515769944</v>
      </c>
      <c r="W969" s="67" t="str">
        <f aca="false">IF(AND($V969&gt;=Parametros!$C$8,$R969&gt;=Parametros!$C$12),"Alta rentabilidad",IF(OR($V969&lt;Parametros!$C$11,$R969&lt;Parametros!$C$13),"Revisar","Estandar"))</f>
        <v>Estandar</v>
      </c>
      <c r="X969" s="67" t="str">
        <f aca="false">IF(AND($J969="E-commerce",IFERROR($T969/$R969,0)&gt;Parametros!$C$14),"Alerta","OK")</f>
        <v>OK</v>
      </c>
      <c r="Y969" s="61" t="str">
        <f aca="false">IF($R969&gt;=Parametros!$C$12,"Alto",IF($R969&lt;Parametros!$C$13,"Bajo","Medio"))</f>
        <v>Medio</v>
      </c>
      <c r="Z969" s="61" t="n">
        <v>1710</v>
      </c>
      <c r="AA969" s="61" t="str">
        <f aca="false">IF(MATCH($A969,Datos_Origen!$A$2:$A$2459,0)=$Z969,"OK","REVISAR")</f>
        <v>OK</v>
      </c>
      <c r="AB969" s="62" t="n">
        <f aca="false">INDEX(Datos_Origen!$B$2:$B$2459,$Z969)</f>
        <v>45592</v>
      </c>
      <c r="AC969" s="61" t="n">
        <f aca="false">INDEX(Datos_Origen!$H$2:$H$2459,$Z969)</f>
        <v>11</v>
      </c>
      <c r="AD969" s="61" t="str">
        <f aca="false">INDEX(Datos_Origen!$D$2:$D$2459,$Z969)&amp;""</f>
        <v>Mendoza</v>
      </c>
    </row>
    <row r="970" customFormat="false" ht="15" hidden="false" customHeight="false" outlineLevel="0" collapsed="false">
      <c r="A970" s="61" t="n">
        <f aca="false">INDEX(Datos_Origen!$A$2:$A$2459,$Z970)</f>
        <v>969</v>
      </c>
      <c r="B970" s="62" t="n">
        <f aca="false">IF(ISNUMBER($AB970),$AB970,IF(MID($AB970,5,1)="-",DATE(VALUE(LEFT($AB970,4)),VALUE(MID($AB970,6,2)),VALUE(RIGHT($AB970,2))),DATE(VALUE(RIGHT($AB970,4)),VALUE(MID($AB970,4,2)),VALUE(LEFT($AB970,2)))))</f>
        <v>45572</v>
      </c>
      <c r="C970" s="61" t="n">
        <f aca="false">YEAR($B970)</f>
        <v>2024</v>
      </c>
      <c r="D970" s="61" t="str">
        <f aca="false">"Q"&amp;ROUNDUP(MONTH($B970)/3,0)</f>
        <v>Q4</v>
      </c>
      <c r="E970" s="61" t="n">
        <f aca="false">MONTH($B970)</f>
        <v>10</v>
      </c>
      <c r="F970" s="61" t="str">
        <f aca="false">INDEX(Parametros!$I$5:$I$16,$E970)</f>
        <v>Oct</v>
      </c>
      <c r="G970" s="61" t="str">
        <f aca="false">TEXT($C970,"0000")&amp;"-"&amp;TEXT($E970,"00")</f>
        <v>2024-10</v>
      </c>
      <c r="H970" s="61" t="str">
        <f aca="false">INDEX(Parametros!$C$71:$C$91,MATCH(TRIM(INDEX(Datos_Origen!$C$2:$C$2459,$Z970)),Parametros!$B$71:$B$91,0))</f>
        <v>Cuyo</v>
      </c>
      <c r="I970" s="61" t="str">
        <f aca="false">IF(TRIM($AD970)="",INDEX(Parametros!$I$20:$I$24,MATCH($H970,Parametros!$H$20:$H$24,0)),TRIM($AD970))</f>
        <v>Mendoza</v>
      </c>
      <c r="J970" s="61" t="str">
        <f aca="false">INDEX(Parametros!$C$95:$C$106,MATCH(TRIM(INDEX(Datos_Origen!$E$2:$E$2459,$Z970)),Parametros!$B$95:$B$106,0))</f>
        <v>Tienda fisica</v>
      </c>
      <c r="K970" s="61" t="str">
        <f aca="false">INDEX(Parametros!$C$48:$C$67,MATCH(TRIM(INDEX(Datos_Origen!$F$2:$F$2459,$Z970)),Parametros!$B$48:$B$67,0))</f>
        <v>Accesorios</v>
      </c>
      <c r="L970" s="61" t="str">
        <f aca="false">$K970&amp;" "&amp;$C970</f>
        <v>Accesorios 2024</v>
      </c>
      <c r="M970" s="61" t="str">
        <f aca="false">TRIM(INDEX(Datos_Origen!$G$2:$G$2459,$Z970))</f>
        <v>Teclado Mecanico</v>
      </c>
      <c r="N970" s="61" t="str">
        <f aca="false">$M970&amp;" "&amp;$C970</f>
        <v>Teclado Mecanico 2024</v>
      </c>
      <c r="O970" s="63" t="n">
        <f aca="false">IF(ISTEXT($AC970),VALUE($AC970),$AC970)</f>
        <v>34</v>
      </c>
      <c r="P970" s="64" t="n">
        <f aca="false">INDEX(Datos_Origen!$I$2:$I$2459,$Z970)</f>
        <v>93.1</v>
      </c>
      <c r="Q970" s="64" t="n">
        <f aca="false">INDEX(Datos_Origen!$J$2:$J$2459,$Z970)</f>
        <v>47.98</v>
      </c>
      <c r="R970" s="65" t="n">
        <f aca="false">ROUND($O970*$P970,2)</f>
        <v>3165.4</v>
      </c>
      <c r="S970" s="65" t="n">
        <f aca="false">ROUND($O970*$Q970,2)</f>
        <v>1631.32</v>
      </c>
      <c r="T970" s="65" t="n">
        <f aca="false">ROUND($R970*SUMIFS(Parametros!$E$28:$E$43,Parametros!$B$28:$B$43,$J970,Parametros!$C$28:$C$43,$C970,Parametros!$D$28:$D$43,$D970),2)</f>
        <v>41.15</v>
      </c>
      <c r="U970" s="65" t="n">
        <f aca="false">$R970-$S970-$T970</f>
        <v>1492.93</v>
      </c>
      <c r="V970" s="66" t="n">
        <f aca="false">IFERROR($U970/$R970,0)</f>
        <v>0.471640235041385</v>
      </c>
      <c r="W970" s="67" t="str">
        <f aca="false">IF(AND($V970&gt;=Parametros!$C$8,$R970&gt;=Parametros!$C$12),"Alta rentabilidad",IF(OR($V970&lt;Parametros!$C$11,$R970&lt;Parametros!$C$13),"Revisar","Estandar"))</f>
        <v>Alta rentabilidad</v>
      </c>
      <c r="X970" s="67" t="str">
        <f aca="false">IF(AND($J970="E-commerce",IFERROR($T970/$R970,0)&gt;Parametros!$C$14),"Alerta","OK")</f>
        <v>OK</v>
      </c>
      <c r="Y970" s="61" t="str">
        <f aca="false">IF($R970&gt;=Parametros!$C$12,"Alto",IF($R970&lt;Parametros!$C$13,"Bajo","Medio"))</f>
        <v>Alto</v>
      </c>
      <c r="Z970" s="61" t="n">
        <v>1100</v>
      </c>
      <c r="AA970" s="61" t="str">
        <f aca="false">IF(MATCH($A970,Datos_Origen!$A$2:$A$2459,0)=$Z970,"OK","REVISAR")</f>
        <v>OK</v>
      </c>
      <c r="AB970" s="61" t="str">
        <f aca="false">INDEX(Datos_Origen!$B$2:$B$2459,$Z970)</f>
        <v>07/10/2024</v>
      </c>
      <c r="AC970" s="61" t="n">
        <f aca="false">INDEX(Datos_Origen!$H$2:$H$2459,$Z970)</f>
        <v>34</v>
      </c>
      <c r="AD970" s="61" t="str">
        <f aca="false">INDEX(Datos_Origen!$D$2:$D$2459,$Z970)&amp;""</f>
        <v>Mendoza</v>
      </c>
    </row>
    <row r="971" customFormat="false" ht="15" hidden="false" customHeight="false" outlineLevel="0" collapsed="false">
      <c r="A971" s="61" t="n">
        <f aca="false">INDEX(Datos_Origen!$A$2:$A$2459,$Z971)</f>
        <v>970</v>
      </c>
      <c r="B971" s="62" t="n">
        <f aca="false">IF(ISNUMBER($AB971),$AB971,IF(MID($AB971,5,1)="-",DATE(VALUE(LEFT($AB971,4)),VALUE(MID($AB971,6,2)),VALUE(RIGHT($AB971,2))),DATE(VALUE(RIGHT($AB971,4)),VALUE(MID($AB971,4,2)),VALUE(LEFT($AB971,2)))))</f>
        <v>45579</v>
      </c>
      <c r="C971" s="61" t="n">
        <f aca="false">YEAR($B971)</f>
        <v>2024</v>
      </c>
      <c r="D971" s="61" t="str">
        <f aca="false">"Q"&amp;ROUNDUP(MONTH($B971)/3,0)</f>
        <v>Q4</v>
      </c>
      <c r="E971" s="61" t="n">
        <f aca="false">MONTH($B971)</f>
        <v>10</v>
      </c>
      <c r="F971" s="61" t="str">
        <f aca="false">INDEX(Parametros!$I$5:$I$16,$E971)</f>
        <v>Oct</v>
      </c>
      <c r="G971" s="61" t="str">
        <f aca="false">TEXT($C971,"0000")&amp;"-"&amp;TEXT($E971,"00")</f>
        <v>2024-10</v>
      </c>
      <c r="H971" s="61" t="str">
        <f aca="false">INDEX(Parametros!$C$71:$C$91,MATCH(TRIM(INDEX(Datos_Origen!$C$2:$C$2459,$Z971)),Parametros!$B$71:$B$91,0))</f>
        <v>Cuyo</v>
      </c>
      <c r="I971" s="61" t="str">
        <f aca="false">IF(TRIM($AD971)="",INDEX(Parametros!$I$20:$I$24,MATCH($H971,Parametros!$H$20:$H$24,0)),TRIM($AD971))</f>
        <v>Mendoza</v>
      </c>
      <c r="J971" s="61" t="str">
        <f aca="false">INDEX(Parametros!$C$95:$C$106,MATCH(TRIM(INDEX(Datos_Origen!$E$2:$E$2459,$Z971)),Parametros!$B$95:$B$106,0))</f>
        <v>E-commerce</v>
      </c>
      <c r="K971" s="61" t="str">
        <f aca="false">INDEX(Parametros!$C$48:$C$67,MATCH(TRIM(INDEX(Datos_Origen!$F$2:$F$2459,$Z971)),Parametros!$B$48:$B$67,0))</f>
        <v>Accesorios</v>
      </c>
      <c r="L971" s="61" t="str">
        <f aca="false">$K971&amp;" "&amp;$C971</f>
        <v>Accesorios 2024</v>
      </c>
      <c r="M971" s="61" t="str">
        <f aca="false">TRIM(INDEX(Datos_Origen!$G$2:$G$2459,$Z971))</f>
        <v>Teclado Mecanico</v>
      </c>
      <c r="N971" s="61" t="str">
        <f aca="false">$M971&amp;" "&amp;$C971</f>
        <v>Teclado Mecanico 2024</v>
      </c>
      <c r="O971" s="63" t="n">
        <f aca="false">IF(ISTEXT($AC971),VALUE($AC971),$AC971)</f>
        <v>13</v>
      </c>
      <c r="P971" s="64" t="n">
        <f aca="false">INDEX(Datos_Origen!$I$2:$I$2459,$Z971)</f>
        <v>93.1</v>
      </c>
      <c r="Q971" s="64" t="n">
        <f aca="false">INDEX(Datos_Origen!$J$2:$J$2459,$Z971)</f>
        <v>47.98</v>
      </c>
      <c r="R971" s="65" t="n">
        <f aca="false">ROUND($O971*$P971,2)</f>
        <v>1210.3</v>
      </c>
      <c r="S971" s="65" t="n">
        <f aca="false">ROUND($O971*$Q971,2)</f>
        <v>623.74</v>
      </c>
      <c r="T971" s="65" t="n">
        <f aca="false">ROUND($R971*SUMIFS(Parametros!$E$28:$E$43,Parametros!$B$28:$B$43,$J971,Parametros!$C$28:$C$43,$C971,Parametros!$D$28:$D$43,$D971),2)</f>
        <v>58.09</v>
      </c>
      <c r="U971" s="65" t="n">
        <f aca="false">$R971-$S971-$T971</f>
        <v>528.47</v>
      </c>
      <c r="V971" s="66" t="n">
        <f aca="false">IFERROR($U971/$R971,0)</f>
        <v>0.436643807320499</v>
      </c>
      <c r="W971" s="67" t="str">
        <f aca="false">IF(AND($V971&gt;=Parametros!$C$8,$R971&gt;=Parametros!$C$12),"Alta rentabilidad",IF(OR($V971&lt;Parametros!$C$11,$R971&lt;Parametros!$C$13),"Revisar","Estandar"))</f>
        <v>Estandar</v>
      </c>
      <c r="X971" s="67" t="str">
        <f aca="false">IF(AND($J971="E-commerce",IFERROR($T971/$R971,0)&gt;Parametros!$C$14),"Alerta","OK")</f>
        <v>OK</v>
      </c>
      <c r="Y971" s="61" t="str">
        <f aca="false">IF($R971&gt;=Parametros!$C$12,"Alto",IF($R971&lt;Parametros!$C$13,"Bajo","Medio"))</f>
        <v>Medio</v>
      </c>
      <c r="Z971" s="61" t="n">
        <v>1148</v>
      </c>
      <c r="AA971" s="61" t="str">
        <f aca="false">IF(MATCH($A971,Datos_Origen!$A$2:$A$2459,0)=$Z971,"OK","REVISAR")</f>
        <v>OK</v>
      </c>
      <c r="AB971" s="62" t="n">
        <f aca="false">INDEX(Datos_Origen!$B$2:$B$2459,$Z971)</f>
        <v>45579</v>
      </c>
      <c r="AC971" s="61" t="n">
        <f aca="false">INDEX(Datos_Origen!$H$2:$H$2459,$Z971)</f>
        <v>13</v>
      </c>
      <c r="AD971" s="61" t="str">
        <f aca="false">INDEX(Datos_Origen!$D$2:$D$2459,$Z971)&amp;""</f>
        <v>Mendoza</v>
      </c>
    </row>
    <row r="972" customFormat="false" ht="15" hidden="false" customHeight="false" outlineLevel="0" collapsed="false">
      <c r="A972" s="61" t="n">
        <f aca="false">INDEX(Datos_Origen!$A$2:$A$2459,$Z972)</f>
        <v>971</v>
      </c>
      <c r="B972" s="62" t="n">
        <f aca="false">IF(ISNUMBER($AB972),$AB972,IF(MID($AB972,5,1)="-",DATE(VALUE(LEFT($AB972,4)),VALUE(MID($AB972,6,2)),VALUE(RIGHT($AB972,2))),DATE(VALUE(RIGHT($AB972,4)),VALUE(MID($AB972,4,2)),VALUE(LEFT($AB972,2)))))</f>
        <v>45586</v>
      </c>
      <c r="C972" s="61" t="n">
        <f aca="false">YEAR($B972)</f>
        <v>2024</v>
      </c>
      <c r="D972" s="61" t="str">
        <f aca="false">"Q"&amp;ROUNDUP(MONTH($B972)/3,0)</f>
        <v>Q4</v>
      </c>
      <c r="E972" s="61" t="n">
        <f aca="false">MONTH($B972)</f>
        <v>10</v>
      </c>
      <c r="F972" s="61" t="str">
        <f aca="false">INDEX(Parametros!$I$5:$I$16,$E972)</f>
        <v>Oct</v>
      </c>
      <c r="G972" s="61" t="str">
        <f aca="false">TEXT($C972,"0000")&amp;"-"&amp;TEXT($E972,"00")</f>
        <v>2024-10</v>
      </c>
      <c r="H972" s="61" t="str">
        <f aca="false">INDEX(Parametros!$C$71:$C$91,MATCH(TRIM(INDEX(Datos_Origen!$C$2:$C$2459,$Z972)),Parametros!$B$71:$B$91,0))</f>
        <v>Cuyo</v>
      </c>
      <c r="I972" s="61" t="str">
        <f aca="false">IF(TRIM($AD972)="",INDEX(Parametros!$I$20:$I$24,MATCH($H972,Parametros!$H$20:$H$24,0)),TRIM($AD972))</f>
        <v>Mendoza</v>
      </c>
      <c r="J972" s="61" t="str">
        <f aca="false">INDEX(Parametros!$C$95:$C$106,MATCH(TRIM(INDEX(Datos_Origen!$E$2:$E$2459,$Z972)),Parametros!$B$95:$B$106,0))</f>
        <v>Tienda fisica</v>
      </c>
      <c r="K972" s="61" t="str">
        <f aca="false">INDEX(Parametros!$C$48:$C$67,MATCH(TRIM(INDEX(Datos_Origen!$F$2:$F$2459,$Z972)),Parametros!$B$48:$B$67,0))</f>
        <v>Accesorios</v>
      </c>
      <c r="L972" s="61" t="str">
        <f aca="false">$K972&amp;" "&amp;$C972</f>
        <v>Accesorios 2024</v>
      </c>
      <c r="M972" s="61" t="str">
        <f aca="false">TRIM(INDEX(Datos_Origen!$G$2:$G$2459,$Z972))</f>
        <v>Webcam Full HD</v>
      </c>
      <c r="N972" s="61" t="str">
        <f aca="false">$M972&amp;" "&amp;$C972</f>
        <v>Webcam Full HD 2024</v>
      </c>
      <c r="O972" s="63" t="n">
        <f aca="false">IF(ISTEXT($AC972),VALUE($AC972),$AC972)</f>
        <v>34</v>
      </c>
      <c r="P972" s="64" t="n">
        <f aca="false">INDEX(Datos_Origen!$I$2:$I$2459,$Z972)</f>
        <v>63.7</v>
      </c>
      <c r="Q972" s="64" t="n">
        <f aca="false">INDEX(Datos_Origen!$J$2:$J$2459,$Z972)</f>
        <v>35.43</v>
      </c>
      <c r="R972" s="65" t="n">
        <f aca="false">ROUND($O972*$P972,2)</f>
        <v>2165.8</v>
      </c>
      <c r="S972" s="65" t="n">
        <f aca="false">ROUND($O972*$Q972,2)</f>
        <v>1204.62</v>
      </c>
      <c r="T972" s="65" t="n">
        <f aca="false">ROUND($R972*SUMIFS(Parametros!$E$28:$E$43,Parametros!$B$28:$B$43,$J972,Parametros!$C$28:$C$43,$C972,Parametros!$D$28:$D$43,$D972),2)</f>
        <v>28.16</v>
      </c>
      <c r="U972" s="65" t="n">
        <f aca="false">$R972-$S972-$T972</f>
        <v>933.02</v>
      </c>
      <c r="V972" s="66" t="n">
        <f aca="false">IFERROR($U972/$R972,0)</f>
        <v>0.430796934158279</v>
      </c>
      <c r="W972" s="67" t="str">
        <f aca="false">IF(AND($V972&gt;=Parametros!$C$8,$R972&gt;=Parametros!$C$12),"Alta rentabilidad",IF(OR($V972&lt;Parametros!$C$11,$R972&lt;Parametros!$C$13),"Revisar","Estandar"))</f>
        <v>Estandar</v>
      </c>
      <c r="X972" s="67" t="str">
        <f aca="false">IF(AND($J972="E-commerce",IFERROR($T972/$R972,0)&gt;Parametros!$C$14),"Alerta","OK")</f>
        <v>OK</v>
      </c>
      <c r="Y972" s="61" t="str">
        <f aca="false">IF($R972&gt;=Parametros!$C$12,"Alto",IF($R972&lt;Parametros!$C$13,"Bajo","Medio"))</f>
        <v>Medio</v>
      </c>
      <c r="Z972" s="61" t="n">
        <v>384</v>
      </c>
      <c r="AA972" s="61" t="str">
        <f aca="false">IF(MATCH($A972,Datos_Origen!$A$2:$A$2459,0)=$Z972,"OK","REVISAR")</f>
        <v>OK</v>
      </c>
      <c r="AB972" s="62" t="n">
        <f aca="false">INDEX(Datos_Origen!$B$2:$B$2459,$Z972)</f>
        <v>45586</v>
      </c>
      <c r="AC972" s="61" t="n">
        <f aca="false">INDEX(Datos_Origen!$H$2:$H$2459,$Z972)</f>
        <v>34</v>
      </c>
      <c r="AD972" s="61" t="str">
        <f aca="false">INDEX(Datos_Origen!$D$2:$D$2459,$Z972)&amp;""</f>
        <v>Mendoza</v>
      </c>
    </row>
    <row r="973" customFormat="false" ht="15" hidden="false" customHeight="false" outlineLevel="0" collapsed="false">
      <c r="A973" s="61" t="n">
        <f aca="false">INDEX(Datos_Origen!$A$2:$A$2459,$Z973)</f>
        <v>972</v>
      </c>
      <c r="B973" s="62" t="n">
        <f aca="false">IF(ISNUMBER($AB973),$AB973,IF(MID($AB973,5,1)="-",DATE(VALUE(LEFT($AB973,4)),VALUE(MID($AB973,6,2)),VALUE(RIGHT($AB973,2))),DATE(VALUE(RIGHT($AB973,4)),VALUE(MID($AB973,4,2)),VALUE(LEFT($AB973,2)))))</f>
        <v>45566</v>
      </c>
      <c r="C973" s="61" t="n">
        <f aca="false">YEAR($B973)</f>
        <v>2024</v>
      </c>
      <c r="D973" s="61" t="str">
        <f aca="false">"Q"&amp;ROUNDUP(MONTH($B973)/3,0)</f>
        <v>Q4</v>
      </c>
      <c r="E973" s="61" t="n">
        <f aca="false">MONTH($B973)</f>
        <v>10</v>
      </c>
      <c r="F973" s="61" t="str">
        <f aca="false">INDEX(Parametros!$I$5:$I$16,$E973)</f>
        <v>Oct</v>
      </c>
      <c r="G973" s="61" t="str">
        <f aca="false">TEXT($C973,"0000")&amp;"-"&amp;TEXT($E973,"00")</f>
        <v>2024-10</v>
      </c>
      <c r="H973" s="61" t="str">
        <f aca="false">INDEX(Parametros!$C$71:$C$91,MATCH(TRIM(INDEX(Datos_Origen!$C$2:$C$2459,$Z973)),Parametros!$B$71:$B$91,0))</f>
        <v>Cuyo</v>
      </c>
      <c r="I973" s="61" t="str">
        <f aca="false">IF(TRIM($AD973)="",INDEX(Parametros!$I$20:$I$24,MATCH($H973,Parametros!$H$20:$H$24,0)),TRIM($AD973))</f>
        <v>Mendoza</v>
      </c>
      <c r="J973" s="61" t="str">
        <f aca="false">INDEX(Parametros!$C$95:$C$106,MATCH(TRIM(INDEX(Datos_Origen!$E$2:$E$2459,$Z973)),Parametros!$B$95:$B$106,0))</f>
        <v>E-commerce</v>
      </c>
      <c r="K973" s="61" t="str">
        <f aca="false">INDEX(Parametros!$C$48:$C$67,MATCH(TRIM(INDEX(Datos_Origen!$F$2:$F$2459,$Z973)),Parametros!$B$48:$B$67,0))</f>
        <v>Accesorios</v>
      </c>
      <c r="L973" s="61" t="str">
        <f aca="false">$K973&amp;" "&amp;$C973</f>
        <v>Accesorios 2024</v>
      </c>
      <c r="M973" s="61" t="str">
        <f aca="false">TRIM(INDEX(Datos_Origen!$G$2:$G$2459,$Z973))</f>
        <v>Webcam Full HD</v>
      </c>
      <c r="N973" s="61" t="str">
        <f aca="false">$M973&amp;" "&amp;$C973</f>
        <v>Webcam Full HD 2024</v>
      </c>
      <c r="O973" s="63" t="n">
        <f aca="false">IF(ISTEXT($AC973),VALUE($AC973),$AC973)</f>
        <v>13</v>
      </c>
      <c r="P973" s="64" t="n">
        <f aca="false">INDEX(Datos_Origen!$I$2:$I$2459,$Z973)</f>
        <v>63.7</v>
      </c>
      <c r="Q973" s="64" t="n">
        <f aca="false">INDEX(Datos_Origen!$J$2:$J$2459,$Z973)</f>
        <v>35.43</v>
      </c>
      <c r="R973" s="65" t="n">
        <f aca="false">ROUND($O973*$P973,2)</f>
        <v>828.1</v>
      </c>
      <c r="S973" s="65" t="n">
        <f aca="false">ROUND($O973*$Q973,2)</f>
        <v>460.59</v>
      </c>
      <c r="T973" s="65" t="n">
        <f aca="false">ROUND($R973*SUMIFS(Parametros!$E$28:$E$43,Parametros!$B$28:$B$43,$J973,Parametros!$C$28:$C$43,$C973,Parametros!$D$28:$D$43,$D973),2)</f>
        <v>39.75</v>
      </c>
      <c r="U973" s="65" t="n">
        <f aca="false">$R973-$S973-$T973</f>
        <v>327.76</v>
      </c>
      <c r="V973" s="66" t="n">
        <f aca="false">IFERROR($U973/$R973,0)</f>
        <v>0.395797608984422</v>
      </c>
      <c r="W973" s="67" t="str">
        <f aca="false">IF(AND($V973&gt;=Parametros!$C$8,$R973&gt;=Parametros!$C$12),"Alta rentabilidad",IF(OR($V973&lt;Parametros!$C$11,$R973&lt;Parametros!$C$13),"Revisar","Estandar"))</f>
        <v>Estandar</v>
      </c>
      <c r="X973" s="67" t="str">
        <f aca="false">IF(AND($J973="E-commerce",IFERROR($T973/$R973,0)&gt;Parametros!$C$14),"Alerta","OK")</f>
        <v>OK</v>
      </c>
      <c r="Y973" s="61" t="str">
        <f aca="false">IF($R973&gt;=Parametros!$C$12,"Alto",IF($R973&lt;Parametros!$C$13,"Bajo","Medio"))</f>
        <v>Medio</v>
      </c>
      <c r="Z973" s="61" t="n">
        <v>259</v>
      </c>
      <c r="AA973" s="61" t="str">
        <f aca="false">IF(MATCH($A973,Datos_Origen!$A$2:$A$2459,0)=$Z973,"OK","REVISAR")</f>
        <v>OK</v>
      </c>
      <c r="AB973" s="62" t="n">
        <f aca="false">INDEX(Datos_Origen!$B$2:$B$2459,$Z973)</f>
        <v>45566</v>
      </c>
      <c r="AC973" s="61" t="n">
        <f aca="false">INDEX(Datos_Origen!$H$2:$H$2459,$Z973)</f>
        <v>13</v>
      </c>
      <c r="AD973" s="61" t="str">
        <f aca="false">INDEX(Datos_Origen!$D$2:$D$2459,$Z973)&amp;""</f>
        <v>Mendoza</v>
      </c>
    </row>
    <row r="974" customFormat="false" ht="15" hidden="false" customHeight="false" outlineLevel="0" collapsed="false">
      <c r="A974" s="61" t="n">
        <f aca="false">INDEX(Datos_Origen!$A$2:$A$2459,$Z974)</f>
        <v>973</v>
      </c>
      <c r="B974" s="62" t="n">
        <f aca="false">IF(ISNUMBER($AB974),$AB974,IF(MID($AB974,5,1)="-",DATE(VALUE(LEFT($AB974,4)),VALUE(MID($AB974,6,2)),VALUE(RIGHT($AB974,2))),DATE(VALUE(RIGHT($AB974,4)),VALUE(MID($AB974,4,2)),VALUE(LEFT($AB974,2)))))</f>
        <v>45573</v>
      </c>
      <c r="C974" s="61" t="n">
        <f aca="false">YEAR($B974)</f>
        <v>2024</v>
      </c>
      <c r="D974" s="61" t="str">
        <f aca="false">"Q"&amp;ROUNDUP(MONTH($B974)/3,0)</f>
        <v>Q4</v>
      </c>
      <c r="E974" s="61" t="n">
        <f aca="false">MONTH($B974)</f>
        <v>10</v>
      </c>
      <c r="F974" s="61" t="str">
        <f aca="false">INDEX(Parametros!$I$5:$I$16,$E974)</f>
        <v>Oct</v>
      </c>
      <c r="G974" s="61" t="str">
        <f aca="false">TEXT($C974,"0000")&amp;"-"&amp;TEXT($E974,"00")</f>
        <v>2024-10</v>
      </c>
      <c r="H974" s="61" t="str">
        <f aca="false">INDEX(Parametros!$C$71:$C$91,MATCH(TRIM(INDEX(Datos_Origen!$C$2:$C$2459,$Z974)),Parametros!$B$71:$B$91,0))</f>
        <v>Cuyo</v>
      </c>
      <c r="I974" s="61" t="str">
        <f aca="false">IF(TRIM($AD974)="",INDEX(Parametros!$I$20:$I$24,MATCH($H974,Parametros!$H$20:$H$24,0)),TRIM($AD974))</f>
        <v>Mendoza</v>
      </c>
      <c r="J974" s="61" t="str">
        <f aca="false">INDEX(Parametros!$C$95:$C$106,MATCH(TRIM(INDEX(Datos_Origen!$E$2:$E$2459,$Z974)),Parametros!$B$95:$B$106,0))</f>
        <v>Tienda fisica</v>
      </c>
      <c r="K974" s="61" t="str">
        <f aca="false">INDEX(Parametros!$C$48:$C$67,MATCH(TRIM(INDEX(Datos_Origen!$F$2:$F$2459,$Z974)),Parametros!$B$48:$B$67,0))</f>
        <v>Audio</v>
      </c>
      <c r="L974" s="61" t="str">
        <f aca="false">$K974&amp;" "&amp;$C974</f>
        <v>Audio 2024</v>
      </c>
      <c r="M974" s="61" t="str">
        <f aca="false">TRIM(INDEX(Datos_Origen!$G$2:$G$2459,$Z974))</f>
        <v>Auriculares BT Pro</v>
      </c>
      <c r="N974" s="61" t="str">
        <f aca="false">$M974&amp;" "&amp;$C974</f>
        <v>Auriculares BT Pro 2024</v>
      </c>
      <c r="O974" s="63" t="n">
        <f aca="false">IF(ISTEXT($AC974),VALUE($AC974),$AC974)</f>
        <v>13</v>
      </c>
      <c r="P974" s="64" t="n">
        <f aca="false">INDEX(Datos_Origen!$I$2:$I$2459,$Z974)</f>
        <v>117.6</v>
      </c>
      <c r="Q974" s="64" t="n">
        <f aca="false">INDEX(Datos_Origen!$J$2:$J$2459,$Z974)</f>
        <v>63.6</v>
      </c>
      <c r="R974" s="65" t="n">
        <f aca="false">ROUND($O974*$P974,2)</f>
        <v>1528.8</v>
      </c>
      <c r="S974" s="65" t="n">
        <f aca="false">ROUND($O974*$Q974,2)</f>
        <v>826.8</v>
      </c>
      <c r="T974" s="65" t="n">
        <f aca="false">ROUND($R974*SUMIFS(Parametros!$E$28:$E$43,Parametros!$B$28:$B$43,$J974,Parametros!$C$28:$C$43,$C974,Parametros!$D$28:$D$43,$D974),2)</f>
        <v>19.87</v>
      </c>
      <c r="U974" s="65" t="n">
        <f aca="false">$R974-$S974-$T974</f>
        <v>682.13</v>
      </c>
      <c r="V974" s="66" t="n">
        <f aca="false">IFERROR($U974/$R974,0)</f>
        <v>0.446186551543694</v>
      </c>
      <c r="W974" s="67" t="str">
        <f aca="false">IF(AND($V974&gt;=Parametros!$C$8,$R974&gt;=Parametros!$C$12),"Alta rentabilidad",IF(OR($V974&lt;Parametros!$C$11,$R974&lt;Parametros!$C$13),"Revisar","Estandar"))</f>
        <v>Estandar</v>
      </c>
      <c r="X974" s="67" t="str">
        <f aca="false">IF(AND($J974="E-commerce",IFERROR($T974/$R974,0)&gt;Parametros!$C$14),"Alerta","OK")</f>
        <v>OK</v>
      </c>
      <c r="Y974" s="61" t="str">
        <f aca="false">IF($R974&gt;=Parametros!$C$12,"Alto",IF($R974&lt;Parametros!$C$13,"Bajo","Medio"))</f>
        <v>Medio</v>
      </c>
      <c r="Z974" s="61" t="n">
        <v>619</v>
      </c>
      <c r="AA974" s="61" t="str">
        <f aca="false">IF(MATCH($A974,Datos_Origen!$A$2:$A$2459,0)=$Z974,"OK","REVISAR")</f>
        <v>OK</v>
      </c>
      <c r="AB974" s="61" t="str">
        <f aca="false">INDEX(Datos_Origen!$B$2:$B$2459,$Z974)</f>
        <v>2024-10-08</v>
      </c>
      <c r="AC974" s="61" t="n">
        <f aca="false">INDEX(Datos_Origen!$H$2:$H$2459,$Z974)</f>
        <v>13</v>
      </c>
      <c r="AD974" s="61" t="str">
        <f aca="false">INDEX(Datos_Origen!$D$2:$D$2459,$Z974)&amp;""</f>
        <v>Mendoza</v>
      </c>
    </row>
    <row r="975" customFormat="false" ht="15" hidden="false" customHeight="false" outlineLevel="0" collapsed="false">
      <c r="A975" s="61" t="n">
        <f aca="false">INDEX(Datos_Origen!$A$2:$A$2459,$Z975)</f>
        <v>974</v>
      </c>
      <c r="B975" s="62" t="n">
        <f aca="false">IF(ISNUMBER($AB975),$AB975,IF(MID($AB975,5,1)="-",DATE(VALUE(LEFT($AB975,4)),VALUE(MID($AB975,6,2)),VALUE(RIGHT($AB975,2))),DATE(VALUE(RIGHT($AB975,4)),VALUE(MID($AB975,4,2)),VALUE(LEFT($AB975,2)))))</f>
        <v>45580</v>
      </c>
      <c r="C975" s="61" t="n">
        <f aca="false">YEAR($B975)</f>
        <v>2024</v>
      </c>
      <c r="D975" s="61" t="str">
        <f aca="false">"Q"&amp;ROUNDUP(MONTH($B975)/3,0)</f>
        <v>Q4</v>
      </c>
      <c r="E975" s="61" t="n">
        <f aca="false">MONTH($B975)</f>
        <v>10</v>
      </c>
      <c r="F975" s="61" t="str">
        <f aca="false">INDEX(Parametros!$I$5:$I$16,$E975)</f>
        <v>Oct</v>
      </c>
      <c r="G975" s="61" t="str">
        <f aca="false">TEXT($C975,"0000")&amp;"-"&amp;TEXT($E975,"00")</f>
        <v>2024-10</v>
      </c>
      <c r="H975" s="61" t="str">
        <f aca="false">INDEX(Parametros!$C$71:$C$91,MATCH(TRIM(INDEX(Datos_Origen!$C$2:$C$2459,$Z975)),Parametros!$B$71:$B$91,0))</f>
        <v>Cuyo</v>
      </c>
      <c r="I975" s="61" t="str">
        <f aca="false">IF(TRIM($AD975)="",INDEX(Parametros!$I$20:$I$24,MATCH($H975,Parametros!$H$20:$H$24,0)),TRIM($AD975))</f>
        <v>Mendoza</v>
      </c>
      <c r="J975" s="61" t="str">
        <f aca="false">INDEX(Parametros!$C$95:$C$106,MATCH(TRIM(INDEX(Datos_Origen!$E$2:$E$2459,$Z975)),Parametros!$B$95:$B$106,0))</f>
        <v>E-commerce</v>
      </c>
      <c r="K975" s="61" t="str">
        <f aca="false">INDEX(Parametros!$C$48:$C$67,MATCH(TRIM(INDEX(Datos_Origen!$F$2:$F$2459,$Z975)),Parametros!$B$48:$B$67,0))</f>
        <v>Audio</v>
      </c>
      <c r="L975" s="61" t="str">
        <f aca="false">$K975&amp;" "&amp;$C975</f>
        <v>Audio 2024</v>
      </c>
      <c r="M975" s="61" t="str">
        <f aca="false">TRIM(INDEX(Datos_Origen!$G$2:$G$2459,$Z975))</f>
        <v>Auriculares BT Pro</v>
      </c>
      <c r="N975" s="61" t="str">
        <f aca="false">$M975&amp;" "&amp;$C975</f>
        <v>Auriculares BT Pro 2024</v>
      </c>
      <c r="O975" s="63" t="n">
        <f aca="false">IF(ISTEXT($AC975),VALUE($AC975),$AC975)</f>
        <v>6</v>
      </c>
      <c r="P975" s="64" t="n">
        <f aca="false">INDEX(Datos_Origen!$I$2:$I$2459,$Z975)</f>
        <v>117.6</v>
      </c>
      <c r="Q975" s="64" t="n">
        <f aca="false">INDEX(Datos_Origen!$J$2:$J$2459,$Z975)</f>
        <v>63.6</v>
      </c>
      <c r="R975" s="65" t="n">
        <f aca="false">ROUND($O975*$P975,2)</f>
        <v>705.6</v>
      </c>
      <c r="S975" s="65" t="n">
        <f aca="false">ROUND($O975*$Q975,2)</f>
        <v>381.6</v>
      </c>
      <c r="T975" s="65" t="n">
        <f aca="false">ROUND($R975*SUMIFS(Parametros!$E$28:$E$43,Parametros!$B$28:$B$43,$J975,Parametros!$C$28:$C$43,$C975,Parametros!$D$28:$D$43,$D975),2)</f>
        <v>33.87</v>
      </c>
      <c r="U975" s="65" t="n">
        <f aca="false">$R975-$S975-$T975</f>
        <v>290.13</v>
      </c>
      <c r="V975" s="66" t="n">
        <f aca="false">IFERROR($U975/$R975,0)</f>
        <v>0.411181972789116</v>
      </c>
      <c r="W975" s="67" t="str">
        <f aca="false">IF(AND($V975&gt;=Parametros!$C$8,$R975&gt;=Parametros!$C$12),"Alta rentabilidad",IF(OR($V975&lt;Parametros!$C$11,$R975&lt;Parametros!$C$13),"Revisar","Estandar"))</f>
        <v>Estandar</v>
      </c>
      <c r="X975" s="67" t="str">
        <f aca="false">IF(AND($J975="E-commerce",IFERROR($T975/$R975,0)&gt;Parametros!$C$14),"Alerta","OK")</f>
        <v>OK</v>
      </c>
      <c r="Y975" s="61" t="str">
        <f aca="false">IF($R975&gt;=Parametros!$C$12,"Alto",IF($R975&lt;Parametros!$C$13,"Bajo","Medio"))</f>
        <v>Medio</v>
      </c>
      <c r="Z975" s="61" t="n">
        <v>1615</v>
      </c>
      <c r="AA975" s="61" t="str">
        <f aca="false">IF(MATCH($A975,Datos_Origen!$A$2:$A$2459,0)=$Z975,"OK","REVISAR")</f>
        <v>OK</v>
      </c>
      <c r="AB975" s="62" t="n">
        <f aca="false">INDEX(Datos_Origen!$B$2:$B$2459,$Z975)</f>
        <v>45580</v>
      </c>
      <c r="AC975" s="61" t="n">
        <f aca="false">INDEX(Datos_Origen!$H$2:$H$2459,$Z975)</f>
        <v>6</v>
      </c>
      <c r="AD975" s="61" t="str">
        <f aca="false">INDEX(Datos_Origen!$D$2:$D$2459,$Z975)&amp;""</f>
        <v/>
      </c>
    </row>
    <row r="976" customFormat="false" ht="15" hidden="false" customHeight="false" outlineLevel="0" collapsed="false">
      <c r="A976" s="61" t="n">
        <f aca="false">INDEX(Datos_Origen!$A$2:$A$2459,$Z976)</f>
        <v>975</v>
      </c>
      <c r="B976" s="62" t="n">
        <f aca="false">IF(ISNUMBER($AB976),$AB976,IF(MID($AB976,5,1)="-",DATE(VALUE(LEFT($AB976,4)),VALUE(MID($AB976,6,2)),VALUE(RIGHT($AB976,2))),DATE(VALUE(RIGHT($AB976,4)),VALUE(MID($AB976,4,2)),VALUE(LEFT($AB976,2)))))</f>
        <v>45587</v>
      </c>
      <c r="C976" s="61" t="n">
        <f aca="false">YEAR($B976)</f>
        <v>2024</v>
      </c>
      <c r="D976" s="61" t="str">
        <f aca="false">"Q"&amp;ROUNDUP(MONTH($B976)/3,0)</f>
        <v>Q4</v>
      </c>
      <c r="E976" s="61" t="n">
        <f aca="false">MONTH($B976)</f>
        <v>10</v>
      </c>
      <c r="F976" s="61" t="str">
        <f aca="false">INDEX(Parametros!$I$5:$I$16,$E976)</f>
        <v>Oct</v>
      </c>
      <c r="G976" s="61" t="str">
        <f aca="false">TEXT($C976,"0000")&amp;"-"&amp;TEXT($E976,"00")</f>
        <v>2024-10</v>
      </c>
      <c r="H976" s="61" t="str">
        <f aca="false">INDEX(Parametros!$C$71:$C$91,MATCH(TRIM(INDEX(Datos_Origen!$C$2:$C$2459,$Z976)),Parametros!$B$71:$B$91,0))</f>
        <v>Cuyo</v>
      </c>
      <c r="I976" s="61" t="str">
        <f aca="false">IF(TRIM($AD976)="",INDEX(Parametros!$I$20:$I$24,MATCH($H976,Parametros!$H$20:$H$24,0)),TRIM($AD976))</f>
        <v>Mendoza</v>
      </c>
      <c r="J976" s="61" t="str">
        <f aca="false">INDEX(Parametros!$C$95:$C$106,MATCH(TRIM(INDEX(Datos_Origen!$E$2:$E$2459,$Z976)),Parametros!$B$95:$B$106,0))</f>
        <v>Tienda fisica</v>
      </c>
      <c r="K976" s="61" t="str">
        <f aca="false">INDEX(Parametros!$C$48:$C$67,MATCH(TRIM(INDEX(Datos_Origen!$F$2:$F$2459,$Z976)),Parametros!$B$48:$B$67,0))</f>
        <v>Audio</v>
      </c>
      <c r="L976" s="61" t="str">
        <f aca="false">$K976&amp;" "&amp;$C976</f>
        <v>Audio 2024</v>
      </c>
      <c r="M976" s="61" t="str">
        <f aca="false">TRIM(INDEX(Datos_Origen!$G$2:$G$2459,$Z976))</f>
        <v>Parlante Bluetooth</v>
      </c>
      <c r="N976" s="61" t="str">
        <f aca="false">$M976&amp;" "&amp;$C976</f>
        <v>Parlante Bluetooth 2024</v>
      </c>
      <c r="O976" s="63" t="n">
        <f aca="false">IF(ISTEXT($AC976),VALUE($AC976),$AC976)</f>
        <v>14</v>
      </c>
      <c r="P976" s="64" t="n">
        <f aca="false">INDEX(Datos_Origen!$I$2:$I$2459,$Z976)</f>
        <v>83.3</v>
      </c>
      <c r="Q976" s="64" t="n">
        <f aca="false">INDEX(Datos_Origen!$J$2:$J$2459,$Z976)</f>
        <v>48.03</v>
      </c>
      <c r="R976" s="65" t="n">
        <f aca="false">ROUND($O976*$P976,2)</f>
        <v>1166.2</v>
      </c>
      <c r="S976" s="65" t="n">
        <f aca="false">ROUND($O976*$Q976,2)</f>
        <v>672.42</v>
      </c>
      <c r="T976" s="65" t="n">
        <f aca="false">ROUND($R976*SUMIFS(Parametros!$E$28:$E$43,Parametros!$B$28:$B$43,$J976,Parametros!$C$28:$C$43,$C976,Parametros!$D$28:$D$43,$D976),2)</f>
        <v>15.16</v>
      </c>
      <c r="U976" s="65" t="n">
        <f aca="false">$R976-$S976-$T976</f>
        <v>478.62</v>
      </c>
      <c r="V976" s="66" t="n">
        <f aca="false">IFERROR($U976/$R976,0)</f>
        <v>0.410409878237009</v>
      </c>
      <c r="W976" s="67" t="str">
        <f aca="false">IF(AND($V976&gt;=Parametros!$C$8,$R976&gt;=Parametros!$C$12),"Alta rentabilidad",IF(OR($V976&lt;Parametros!$C$11,$R976&lt;Parametros!$C$13),"Revisar","Estandar"))</f>
        <v>Estandar</v>
      </c>
      <c r="X976" s="67" t="str">
        <f aca="false">IF(AND($J976="E-commerce",IFERROR($T976/$R976,0)&gt;Parametros!$C$14),"Alerta","OK")</f>
        <v>OK</v>
      </c>
      <c r="Y976" s="61" t="str">
        <f aca="false">IF($R976&gt;=Parametros!$C$12,"Alto",IF($R976&lt;Parametros!$C$13,"Bajo","Medio"))</f>
        <v>Medio</v>
      </c>
      <c r="Z976" s="61" t="n">
        <v>1182</v>
      </c>
      <c r="AA976" s="61" t="str">
        <f aca="false">IF(MATCH($A976,Datos_Origen!$A$2:$A$2459,0)=$Z976,"OK","REVISAR")</f>
        <v>OK</v>
      </c>
      <c r="AB976" s="61" t="str">
        <f aca="false">INDEX(Datos_Origen!$B$2:$B$2459,$Z976)</f>
        <v>22/10/2024</v>
      </c>
      <c r="AC976" s="61" t="n">
        <f aca="false">INDEX(Datos_Origen!$H$2:$H$2459,$Z976)</f>
        <v>14</v>
      </c>
      <c r="AD976" s="61" t="str">
        <f aca="false">INDEX(Datos_Origen!$D$2:$D$2459,$Z976)&amp;""</f>
        <v>Mendoza</v>
      </c>
    </row>
    <row r="977" customFormat="false" ht="15" hidden="false" customHeight="false" outlineLevel="0" collapsed="false">
      <c r="A977" s="61" t="n">
        <f aca="false">INDEX(Datos_Origen!$A$2:$A$2459,$Z977)</f>
        <v>976</v>
      </c>
      <c r="B977" s="62" t="n">
        <f aca="false">IF(ISNUMBER($AB977),$AB977,IF(MID($AB977,5,1)="-",DATE(VALUE(LEFT($AB977,4)),VALUE(MID($AB977,6,2)),VALUE(RIGHT($AB977,2))),DATE(VALUE(RIGHT($AB977,4)),VALUE(MID($AB977,4,2)),VALUE(LEFT($AB977,2)))))</f>
        <v>45567</v>
      </c>
      <c r="C977" s="61" t="n">
        <f aca="false">YEAR($B977)</f>
        <v>2024</v>
      </c>
      <c r="D977" s="61" t="str">
        <f aca="false">"Q"&amp;ROUNDUP(MONTH($B977)/3,0)</f>
        <v>Q4</v>
      </c>
      <c r="E977" s="61" t="n">
        <f aca="false">MONTH($B977)</f>
        <v>10</v>
      </c>
      <c r="F977" s="61" t="str">
        <f aca="false">INDEX(Parametros!$I$5:$I$16,$E977)</f>
        <v>Oct</v>
      </c>
      <c r="G977" s="61" t="str">
        <f aca="false">TEXT($C977,"0000")&amp;"-"&amp;TEXT($E977,"00")</f>
        <v>2024-10</v>
      </c>
      <c r="H977" s="61" t="str">
        <f aca="false">INDEX(Parametros!$C$71:$C$91,MATCH(TRIM(INDEX(Datos_Origen!$C$2:$C$2459,$Z977)),Parametros!$B$71:$B$91,0))</f>
        <v>Cuyo</v>
      </c>
      <c r="I977" s="61" t="str">
        <f aca="false">IF(TRIM($AD977)="",INDEX(Parametros!$I$20:$I$24,MATCH($H977,Parametros!$H$20:$H$24,0)),TRIM($AD977))</f>
        <v>Mendoza</v>
      </c>
      <c r="J977" s="61" t="str">
        <f aca="false">INDEX(Parametros!$C$95:$C$106,MATCH(TRIM(INDEX(Datos_Origen!$E$2:$E$2459,$Z977)),Parametros!$B$95:$B$106,0))</f>
        <v>E-commerce</v>
      </c>
      <c r="K977" s="61" t="str">
        <f aca="false">INDEX(Parametros!$C$48:$C$67,MATCH(TRIM(INDEX(Datos_Origen!$F$2:$F$2459,$Z977)),Parametros!$B$48:$B$67,0))</f>
        <v>Audio</v>
      </c>
      <c r="L977" s="61" t="str">
        <f aca="false">$K977&amp;" "&amp;$C977</f>
        <v>Audio 2024</v>
      </c>
      <c r="M977" s="61" t="str">
        <f aca="false">TRIM(INDEX(Datos_Origen!$G$2:$G$2459,$Z977))</f>
        <v>Parlante Bluetooth</v>
      </c>
      <c r="N977" s="61" t="str">
        <f aca="false">$M977&amp;" "&amp;$C977</f>
        <v>Parlante Bluetooth 2024</v>
      </c>
      <c r="O977" s="63" t="n">
        <f aca="false">IF(ISTEXT($AC977),VALUE($AC977),$AC977)</f>
        <v>5</v>
      </c>
      <c r="P977" s="64" t="n">
        <f aca="false">INDEX(Datos_Origen!$I$2:$I$2459,$Z977)</f>
        <v>83.3</v>
      </c>
      <c r="Q977" s="64" t="n">
        <f aca="false">INDEX(Datos_Origen!$J$2:$J$2459,$Z977)</f>
        <v>48.03</v>
      </c>
      <c r="R977" s="65" t="n">
        <f aca="false">ROUND($O977*$P977,2)</f>
        <v>416.5</v>
      </c>
      <c r="S977" s="65" t="n">
        <f aca="false">ROUND($O977*$Q977,2)</f>
        <v>240.15</v>
      </c>
      <c r="T977" s="65" t="n">
        <f aca="false">ROUND($R977*SUMIFS(Parametros!$E$28:$E$43,Parametros!$B$28:$B$43,$J977,Parametros!$C$28:$C$43,$C977,Parametros!$D$28:$D$43,$D977),2)</f>
        <v>19.99</v>
      </c>
      <c r="U977" s="65" t="n">
        <f aca="false">$R977-$S977-$T977</f>
        <v>156.36</v>
      </c>
      <c r="V977" s="66" t="n">
        <f aca="false">IFERROR($U977/$R977,0)</f>
        <v>0.375414165666266</v>
      </c>
      <c r="W977" s="67" t="str">
        <f aca="false">IF(AND($V977&gt;=Parametros!$C$8,$R977&gt;=Parametros!$C$12),"Alta rentabilidad",IF(OR($V977&lt;Parametros!$C$11,$R977&lt;Parametros!$C$13),"Revisar","Estandar"))</f>
        <v>Estandar</v>
      </c>
      <c r="X977" s="67" t="str">
        <f aca="false">IF(AND($J977="E-commerce",IFERROR($T977/$R977,0)&gt;Parametros!$C$14),"Alerta","OK")</f>
        <v>OK</v>
      </c>
      <c r="Y977" s="61" t="str">
        <f aca="false">IF($R977&gt;=Parametros!$C$12,"Alto",IF($R977&lt;Parametros!$C$13,"Bajo","Medio"))</f>
        <v>Medio</v>
      </c>
      <c r="Z977" s="61" t="n">
        <v>243</v>
      </c>
      <c r="AA977" s="61" t="str">
        <f aca="false">IF(MATCH($A977,Datos_Origen!$A$2:$A$2459,0)=$Z977,"OK","REVISAR")</f>
        <v>OK</v>
      </c>
      <c r="AB977" s="62" t="n">
        <f aca="false">INDEX(Datos_Origen!$B$2:$B$2459,$Z977)</f>
        <v>45567</v>
      </c>
      <c r="AC977" s="61" t="n">
        <f aca="false">INDEX(Datos_Origen!$H$2:$H$2459,$Z977)</f>
        <v>5</v>
      </c>
      <c r="AD977" s="61" t="str">
        <f aca="false">INDEX(Datos_Origen!$D$2:$D$2459,$Z977)&amp;""</f>
        <v>Mendoza</v>
      </c>
    </row>
    <row r="978" customFormat="false" ht="15" hidden="false" customHeight="false" outlineLevel="0" collapsed="false">
      <c r="A978" s="61" t="n">
        <f aca="false">INDEX(Datos_Origen!$A$2:$A$2459,$Z978)</f>
        <v>977</v>
      </c>
      <c r="B978" s="62" t="n">
        <f aca="false">IF(ISNUMBER($AB978),$AB978,IF(MID($AB978,5,1)="-",DATE(VALUE(LEFT($AB978,4)),VALUE(MID($AB978,6,2)),VALUE(RIGHT($AB978,2))),DATE(VALUE(RIGHT($AB978,4)),VALUE(MID($AB978,4,2)),VALUE(LEFT($AB978,2)))))</f>
        <v>45574</v>
      </c>
      <c r="C978" s="61" t="n">
        <f aca="false">YEAR($B978)</f>
        <v>2024</v>
      </c>
      <c r="D978" s="61" t="str">
        <f aca="false">"Q"&amp;ROUNDUP(MONTH($B978)/3,0)</f>
        <v>Q4</v>
      </c>
      <c r="E978" s="61" t="n">
        <f aca="false">MONTH($B978)</f>
        <v>10</v>
      </c>
      <c r="F978" s="61" t="str">
        <f aca="false">INDEX(Parametros!$I$5:$I$16,$E978)</f>
        <v>Oct</v>
      </c>
      <c r="G978" s="61" t="str">
        <f aca="false">TEXT($C978,"0000")&amp;"-"&amp;TEXT($E978,"00")</f>
        <v>2024-10</v>
      </c>
      <c r="H978" s="61" t="str">
        <f aca="false">INDEX(Parametros!$C$71:$C$91,MATCH(TRIM(INDEX(Datos_Origen!$C$2:$C$2459,$Z978)),Parametros!$B$71:$B$91,0))</f>
        <v>Cuyo</v>
      </c>
      <c r="I978" s="61" t="str">
        <f aca="false">IF(TRIM($AD978)="",INDEX(Parametros!$I$20:$I$24,MATCH($H978,Parametros!$H$20:$H$24,0)),TRIM($AD978))</f>
        <v>Mendoza</v>
      </c>
      <c r="J978" s="61" t="str">
        <f aca="false">INDEX(Parametros!$C$95:$C$106,MATCH(TRIM(INDEX(Datos_Origen!$E$2:$E$2459,$Z978)),Parametros!$B$95:$B$106,0))</f>
        <v>Tienda fisica</v>
      </c>
      <c r="K978" s="61" t="str">
        <f aca="false">INDEX(Parametros!$C$48:$C$67,MATCH(TRIM(INDEX(Datos_Origen!$F$2:$F$2459,$Z978)),Parametros!$B$48:$B$67,0))</f>
        <v>Almacenamiento</v>
      </c>
      <c r="L978" s="61" t="str">
        <f aca="false">$K978&amp;" "&amp;$C978</f>
        <v>Almacenamiento 2024</v>
      </c>
      <c r="M978" s="61" t="str">
        <f aca="false">TRIM(INDEX(Datos_Origen!$G$2:$G$2459,$Z978))</f>
        <v>SSD Externo 1TB</v>
      </c>
      <c r="N978" s="61" t="str">
        <f aca="false">$M978&amp;" "&amp;$C978</f>
        <v>SSD Externo 1TB 2024</v>
      </c>
      <c r="O978" s="63" t="n">
        <f aca="false">IF(ISTEXT($AC978),VALUE($AC978),$AC978)</f>
        <v>22</v>
      </c>
      <c r="P978" s="64" t="n">
        <f aca="false">INDEX(Datos_Origen!$I$2:$I$2459,$Z978)</f>
        <v>127.4</v>
      </c>
      <c r="Q978" s="64" t="n">
        <f aca="false">INDEX(Datos_Origen!$J$2:$J$2459,$Z978)</f>
        <v>76.05</v>
      </c>
      <c r="R978" s="65" t="n">
        <f aca="false">ROUND($O978*$P978,2)</f>
        <v>2802.8</v>
      </c>
      <c r="S978" s="65" t="n">
        <f aca="false">ROUND($O978*$Q978,2)</f>
        <v>1673.1</v>
      </c>
      <c r="T978" s="65" t="n">
        <f aca="false">ROUND($R978*SUMIFS(Parametros!$E$28:$E$43,Parametros!$B$28:$B$43,$J978,Parametros!$C$28:$C$43,$C978,Parametros!$D$28:$D$43,$D978),2)</f>
        <v>36.44</v>
      </c>
      <c r="U978" s="65" t="n">
        <f aca="false">$R978-$S978-$T978</f>
        <v>1093.26</v>
      </c>
      <c r="V978" s="66" t="n">
        <f aca="false">IFERROR($U978/$R978,0)</f>
        <v>0.39005994005994</v>
      </c>
      <c r="W978" s="67" t="str">
        <f aca="false">IF(AND($V978&gt;=Parametros!$C$8,$R978&gt;=Parametros!$C$12),"Alta rentabilidad",IF(OR($V978&lt;Parametros!$C$11,$R978&lt;Parametros!$C$13),"Revisar","Estandar"))</f>
        <v>Estandar</v>
      </c>
      <c r="X978" s="67" t="str">
        <f aca="false">IF(AND($J978="E-commerce",IFERROR($T978/$R978,0)&gt;Parametros!$C$14),"Alerta","OK")</f>
        <v>OK</v>
      </c>
      <c r="Y978" s="61" t="str">
        <f aca="false">IF($R978&gt;=Parametros!$C$12,"Alto",IF($R978&lt;Parametros!$C$13,"Bajo","Medio"))</f>
        <v>Medio</v>
      </c>
      <c r="Z978" s="61" t="n">
        <v>453</v>
      </c>
      <c r="AA978" s="61" t="str">
        <f aca="false">IF(MATCH($A978,Datos_Origen!$A$2:$A$2459,0)=$Z978,"OK","REVISAR")</f>
        <v>OK</v>
      </c>
      <c r="AB978" s="62" t="n">
        <f aca="false">INDEX(Datos_Origen!$B$2:$B$2459,$Z978)</f>
        <v>45574</v>
      </c>
      <c r="AC978" s="61" t="n">
        <f aca="false">INDEX(Datos_Origen!$H$2:$H$2459,$Z978)</f>
        <v>22</v>
      </c>
      <c r="AD978" s="61" t="str">
        <f aca="false">INDEX(Datos_Origen!$D$2:$D$2459,$Z978)&amp;""</f>
        <v>Mendoza</v>
      </c>
    </row>
    <row r="979" customFormat="false" ht="15" hidden="false" customHeight="false" outlineLevel="0" collapsed="false">
      <c r="A979" s="61" t="n">
        <f aca="false">INDEX(Datos_Origen!$A$2:$A$2459,$Z979)</f>
        <v>978</v>
      </c>
      <c r="B979" s="62" t="n">
        <f aca="false">IF(ISNUMBER($AB979),$AB979,IF(MID($AB979,5,1)="-",DATE(VALUE(LEFT($AB979,4)),VALUE(MID($AB979,6,2)),VALUE(RIGHT($AB979,2))),DATE(VALUE(RIGHT($AB979,4)),VALUE(MID($AB979,4,2)),VALUE(LEFT($AB979,2)))))</f>
        <v>45581</v>
      </c>
      <c r="C979" s="61" t="n">
        <f aca="false">YEAR($B979)</f>
        <v>2024</v>
      </c>
      <c r="D979" s="61" t="str">
        <f aca="false">"Q"&amp;ROUNDUP(MONTH($B979)/3,0)</f>
        <v>Q4</v>
      </c>
      <c r="E979" s="61" t="n">
        <f aca="false">MONTH($B979)</f>
        <v>10</v>
      </c>
      <c r="F979" s="61" t="str">
        <f aca="false">INDEX(Parametros!$I$5:$I$16,$E979)</f>
        <v>Oct</v>
      </c>
      <c r="G979" s="61" t="str">
        <f aca="false">TEXT($C979,"0000")&amp;"-"&amp;TEXT($E979,"00")</f>
        <v>2024-10</v>
      </c>
      <c r="H979" s="61" t="str">
        <f aca="false">INDEX(Parametros!$C$71:$C$91,MATCH(TRIM(INDEX(Datos_Origen!$C$2:$C$2459,$Z979)),Parametros!$B$71:$B$91,0))</f>
        <v>Cuyo</v>
      </c>
      <c r="I979" s="61" t="str">
        <f aca="false">IF(TRIM($AD979)="",INDEX(Parametros!$I$20:$I$24,MATCH($H979,Parametros!$H$20:$H$24,0)),TRIM($AD979))</f>
        <v>Mendoza</v>
      </c>
      <c r="J979" s="61" t="str">
        <f aca="false">INDEX(Parametros!$C$95:$C$106,MATCH(TRIM(INDEX(Datos_Origen!$E$2:$E$2459,$Z979)),Parametros!$B$95:$B$106,0))</f>
        <v>E-commerce</v>
      </c>
      <c r="K979" s="61" t="str">
        <f aca="false">INDEX(Parametros!$C$48:$C$67,MATCH(TRIM(INDEX(Datos_Origen!$F$2:$F$2459,$Z979)),Parametros!$B$48:$B$67,0))</f>
        <v>Almacenamiento</v>
      </c>
      <c r="L979" s="61" t="str">
        <f aca="false">$K979&amp;" "&amp;$C979</f>
        <v>Almacenamiento 2024</v>
      </c>
      <c r="M979" s="61" t="str">
        <f aca="false">TRIM(INDEX(Datos_Origen!$G$2:$G$2459,$Z979))</f>
        <v>SSD Externo 1TB</v>
      </c>
      <c r="N979" s="61" t="str">
        <f aca="false">$M979&amp;" "&amp;$C979</f>
        <v>SSD Externo 1TB 2024</v>
      </c>
      <c r="O979" s="63" t="n">
        <f aca="false">IF(ISTEXT($AC979),VALUE($AC979),$AC979)</f>
        <v>7</v>
      </c>
      <c r="P979" s="64" t="n">
        <f aca="false">INDEX(Datos_Origen!$I$2:$I$2459,$Z979)</f>
        <v>127.4</v>
      </c>
      <c r="Q979" s="64" t="n">
        <f aca="false">INDEX(Datos_Origen!$J$2:$J$2459,$Z979)</f>
        <v>76.05</v>
      </c>
      <c r="R979" s="65" t="n">
        <f aca="false">ROUND($O979*$P979,2)</f>
        <v>891.8</v>
      </c>
      <c r="S979" s="65" t="n">
        <f aca="false">ROUND($O979*$Q979,2)</f>
        <v>532.35</v>
      </c>
      <c r="T979" s="65" t="n">
        <f aca="false">ROUND($R979*SUMIFS(Parametros!$E$28:$E$43,Parametros!$B$28:$B$43,$J979,Parametros!$C$28:$C$43,$C979,Parametros!$D$28:$D$43,$D979),2)</f>
        <v>42.81</v>
      </c>
      <c r="U979" s="65" t="n">
        <f aca="false">$R979-$S979-$T979</f>
        <v>316.64</v>
      </c>
      <c r="V979" s="66" t="n">
        <f aca="false">IFERROR($U979/$R979,0)</f>
        <v>0.355057187710249</v>
      </c>
      <c r="W979" s="67" t="str">
        <f aca="false">IF(AND($V979&gt;=Parametros!$C$8,$R979&gt;=Parametros!$C$12),"Alta rentabilidad",IF(OR($V979&lt;Parametros!$C$11,$R979&lt;Parametros!$C$13),"Revisar","Estandar"))</f>
        <v>Estandar</v>
      </c>
      <c r="X979" s="67" t="str">
        <f aca="false">IF(AND($J979="E-commerce",IFERROR($T979/$R979,0)&gt;Parametros!$C$14),"Alerta","OK")</f>
        <v>OK</v>
      </c>
      <c r="Y979" s="61" t="str">
        <f aca="false">IF($R979&gt;=Parametros!$C$12,"Alto",IF($R979&lt;Parametros!$C$13,"Bajo","Medio"))</f>
        <v>Medio</v>
      </c>
      <c r="Z979" s="61" t="n">
        <v>332</v>
      </c>
      <c r="AA979" s="61" t="str">
        <f aca="false">IF(MATCH($A979,Datos_Origen!$A$2:$A$2459,0)=$Z979,"OK","REVISAR")</f>
        <v>OK</v>
      </c>
      <c r="AB979" s="62" t="n">
        <f aca="false">INDEX(Datos_Origen!$B$2:$B$2459,$Z979)</f>
        <v>45581</v>
      </c>
      <c r="AC979" s="61" t="str">
        <f aca="false">INDEX(Datos_Origen!$H$2:$H$2459,$Z979)</f>
        <v>7</v>
      </c>
      <c r="AD979" s="61" t="str">
        <f aca="false">INDEX(Datos_Origen!$D$2:$D$2459,$Z979)&amp;""</f>
        <v>Mendoza</v>
      </c>
    </row>
    <row r="980" customFormat="false" ht="15" hidden="false" customHeight="false" outlineLevel="0" collapsed="false">
      <c r="A980" s="61" t="n">
        <f aca="false">INDEX(Datos_Origen!$A$2:$A$2459,$Z980)</f>
        <v>979</v>
      </c>
      <c r="B980" s="62" t="n">
        <f aca="false">IF(ISNUMBER($AB980),$AB980,IF(MID($AB980,5,1)="-",DATE(VALUE(LEFT($AB980,4)),VALUE(MID($AB980,6,2)),VALUE(RIGHT($AB980,2))),DATE(VALUE(RIGHT($AB980,4)),VALUE(MID($AB980,4,2)),VALUE(LEFT($AB980,2)))))</f>
        <v>45588</v>
      </c>
      <c r="C980" s="61" t="n">
        <f aca="false">YEAR($B980)</f>
        <v>2024</v>
      </c>
      <c r="D980" s="61" t="str">
        <f aca="false">"Q"&amp;ROUNDUP(MONTH($B980)/3,0)</f>
        <v>Q4</v>
      </c>
      <c r="E980" s="61" t="n">
        <f aca="false">MONTH($B980)</f>
        <v>10</v>
      </c>
      <c r="F980" s="61" t="str">
        <f aca="false">INDEX(Parametros!$I$5:$I$16,$E980)</f>
        <v>Oct</v>
      </c>
      <c r="G980" s="61" t="str">
        <f aca="false">TEXT($C980,"0000")&amp;"-"&amp;TEXT($E980,"00")</f>
        <v>2024-10</v>
      </c>
      <c r="H980" s="61" t="str">
        <f aca="false">INDEX(Parametros!$C$71:$C$91,MATCH(TRIM(INDEX(Datos_Origen!$C$2:$C$2459,$Z980)),Parametros!$B$71:$B$91,0))</f>
        <v>Cuyo</v>
      </c>
      <c r="I980" s="61" t="str">
        <f aca="false">IF(TRIM($AD980)="",INDEX(Parametros!$I$20:$I$24,MATCH($H980,Parametros!$H$20:$H$24,0)),TRIM($AD980))</f>
        <v>Mendoza</v>
      </c>
      <c r="J980" s="61" t="str">
        <f aca="false">INDEX(Parametros!$C$95:$C$106,MATCH(TRIM(INDEX(Datos_Origen!$E$2:$E$2459,$Z980)),Parametros!$B$95:$B$106,0))</f>
        <v>Tienda fisica</v>
      </c>
      <c r="K980" s="61" t="str">
        <f aca="false">INDEX(Parametros!$C$48:$C$67,MATCH(TRIM(INDEX(Datos_Origen!$F$2:$F$2459,$Z980)),Parametros!$B$48:$B$67,0))</f>
        <v>Almacenamiento</v>
      </c>
      <c r="L980" s="61" t="str">
        <f aca="false">$K980&amp;" "&amp;$C980</f>
        <v>Almacenamiento 2024</v>
      </c>
      <c r="M980" s="61" t="str">
        <f aca="false">TRIM(INDEX(Datos_Origen!$G$2:$G$2459,$Z980))</f>
        <v>Pendrive 256GB</v>
      </c>
      <c r="N980" s="61" t="str">
        <f aca="false">$M980&amp;" "&amp;$C980</f>
        <v>Pendrive 256GB 2024</v>
      </c>
      <c r="O980" s="63" t="n">
        <f aca="false">IF(ISTEXT($AC980),VALUE($AC980),$AC980)</f>
        <v>21</v>
      </c>
      <c r="P980" s="64" t="n">
        <f aca="false">INDEX(Datos_Origen!$I$2:$I$2459,$Z980)</f>
        <v>34.3</v>
      </c>
      <c r="Q980" s="64" t="n">
        <f aca="false">INDEX(Datos_Origen!$J$2:$J$2459,$Z980)</f>
        <v>17.85</v>
      </c>
      <c r="R980" s="65" t="n">
        <f aca="false">ROUND($O980*$P980,2)</f>
        <v>720.3</v>
      </c>
      <c r="S980" s="65" t="n">
        <f aca="false">ROUND($O980*$Q980,2)</f>
        <v>374.85</v>
      </c>
      <c r="T980" s="65" t="n">
        <f aca="false">ROUND($R980*SUMIFS(Parametros!$E$28:$E$43,Parametros!$B$28:$B$43,$J980,Parametros!$C$28:$C$43,$C980,Parametros!$D$28:$D$43,$D980),2)</f>
        <v>9.36</v>
      </c>
      <c r="U980" s="65" t="n">
        <f aca="false">$R980-$S980-$T980</f>
        <v>336.09</v>
      </c>
      <c r="V980" s="66" t="n">
        <f aca="false">IFERROR($U980/$R980,0)</f>
        <v>0.466597251145356</v>
      </c>
      <c r="W980" s="67" t="str">
        <f aca="false">IF(AND($V980&gt;=Parametros!$C$8,$R980&gt;=Parametros!$C$12),"Alta rentabilidad",IF(OR($V980&lt;Parametros!$C$11,$R980&lt;Parametros!$C$13),"Revisar","Estandar"))</f>
        <v>Estandar</v>
      </c>
      <c r="X980" s="67" t="str">
        <f aca="false">IF(AND($J980="E-commerce",IFERROR($T980/$R980,0)&gt;Parametros!$C$14),"Alerta","OK")</f>
        <v>OK</v>
      </c>
      <c r="Y980" s="61" t="str">
        <f aca="false">IF($R980&gt;=Parametros!$C$12,"Alto",IF($R980&lt;Parametros!$C$13,"Bajo","Medio"))</f>
        <v>Medio</v>
      </c>
      <c r="Z980" s="61" t="n">
        <v>2237</v>
      </c>
      <c r="AA980" s="61" t="str">
        <f aca="false">IF(MATCH($A980,Datos_Origen!$A$2:$A$2459,0)=$Z980,"OK","REVISAR")</f>
        <v>OK</v>
      </c>
      <c r="AB980" s="62" t="n">
        <f aca="false">INDEX(Datos_Origen!$B$2:$B$2459,$Z980)</f>
        <v>45588</v>
      </c>
      <c r="AC980" s="61" t="n">
        <f aca="false">INDEX(Datos_Origen!$H$2:$H$2459,$Z980)</f>
        <v>21</v>
      </c>
      <c r="AD980" s="61" t="str">
        <f aca="false">INDEX(Datos_Origen!$D$2:$D$2459,$Z980)&amp;""</f>
        <v>Mendoza</v>
      </c>
    </row>
    <row r="981" customFormat="false" ht="15" hidden="false" customHeight="false" outlineLevel="0" collapsed="false">
      <c r="A981" s="61" t="n">
        <f aca="false">INDEX(Datos_Origen!$A$2:$A$2459,$Z981)</f>
        <v>980</v>
      </c>
      <c r="B981" s="62" t="n">
        <f aca="false">IF(ISNUMBER($AB981),$AB981,IF(MID($AB981,5,1)="-",DATE(VALUE(LEFT($AB981,4)),VALUE(MID($AB981,6,2)),VALUE(RIGHT($AB981,2))),DATE(VALUE(RIGHT($AB981,4)),VALUE(MID($AB981,4,2)),VALUE(LEFT($AB981,2)))))</f>
        <v>45568</v>
      </c>
      <c r="C981" s="61" t="n">
        <f aca="false">YEAR($B981)</f>
        <v>2024</v>
      </c>
      <c r="D981" s="61" t="str">
        <f aca="false">"Q"&amp;ROUNDUP(MONTH($B981)/3,0)</f>
        <v>Q4</v>
      </c>
      <c r="E981" s="61" t="n">
        <f aca="false">MONTH($B981)</f>
        <v>10</v>
      </c>
      <c r="F981" s="61" t="str">
        <f aca="false">INDEX(Parametros!$I$5:$I$16,$E981)</f>
        <v>Oct</v>
      </c>
      <c r="G981" s="61" t="str">
        <f aca="false">TEXT($C981,"0000")&amp;"-"&amp;TEXT($E981,"00")</f>
        <v>2024-10</v>
      </c>
      <c r="H981" s="61" t="str">
        <f aca="false">INDEX(Parametros!$C$71:$C$91,MATCH(TRIM(INDEX(Datos_Origen!$C$2:$C$2459,$Z981)),Parametros!$B$71:$B$91,0))</f>
        <v>Cuyo</v>
      </c>
      <c r="I981" s="61" t="str">
        <f aca="false">IF(TRIM($AD981)="",INDEX(Parametros!$I$20:$I$24,MATCH($H981,Parametros!$H$20:$H$24,0)),TRIM($AD981))</f>
        <v>Mendoza</v>
      </c>
      <c r="J981" s="61" t="str">
        <f aca="false">INDEX(Parametros!$C$95:$C$106,MATCH(TRIM(INDEX(Datos_Origen!$E$2:$E$2459,$Z981)),Parametros!$B$95:$B$106,0))</f>
        <v>E-commerce</v>
      </c>
      <c r="K981" s="61" t="str">
        <f aca="false">INDEX(Parametros!$C$48:$C$67,MATCH(TRIM(INDEX(Datos_Origen!$F$2:$F$2459,$Z981)),Parametros!$B$48:$B$67,0))</f>
        <v>Almacenamiento</v>
      </c>
      <c r="L981" s="61" t="str">
        <f aca="false">$K981&amp;" "&amp;$C981</f>
        <v>Almacenamiento 2024</v>
      </c>
      <c r="M981" s="61" t="str">
        <f aca="false">TRIM(INDEX(Datos_Origen!$G$2:$G$2459,$Z981))</f>
        <v>Pendrive 256GB</v>
      </c>
      <c r="N981" s="61" t="str">
        <f aca="false">$M981&amp;" "&amp;$C981</f>
        <v>Pendrive 256GB 2024</v>
      </c>
      <c r="O981" s="63" t="n">
        <f aca="false">IF(ISTEXT($AC981),VALUE($AC981),$AC981)</f>
        <v>8</v>
      </c>
      <c r="P981" s="64" t="n">
        <f aca="false">INDEX(Datos_Origen!$I$2:$I$2459,$Z981)</f>
        <v>34.3</v>
      </c>
      <c r="Q981" s="64" t="n">
        <f aca="false">INDEX(Datos_Origen!$J$2:$J$2459,$Z981)</f>
        <v>17.85</v>
      </c>
      <c r="R981" s="65" t="n">
        <f aca="false">ROUND($O981*$P981,2)</f>
        <v>274.4</v>
      </c>
      <c r="S981" s="65" t="n">
        <f aca="false">ROUND($O981*$Q981,2)</f>
        <v>142.8</v>
      </c>
      <c r="T981" s="65" t="n">
        <f aca="false">ROUND($R981*SUMIFS(Parametros!$E$28:$E$43,Parametros!$B$28:$B$43,$J981,Parametros!$C$28:$C$43,$C981,Parametros!$D$28:$D$43,$D981),2)</f>
        <v>13.17</v>
      </c>
      <c r="U981" s="65" t="n">
        <f aca="false">$R981-$S981-$T981</f>
        <v>118.43</v>
      </c>
      <c r="V981" s="66" t="n">
        <f aca="false">IFERROR($U981/$R981,0)</f>
        <v>0.431596209912536</v>
      </c>
      <c r="W981" s="67" t="str">
        <f aca="false">IF(AND($V981&gt;=Parametros!$C$8,$R981&gt;=Parametros!$C$12),"Alta rentabilidad",IF(OR($V981&lt;Parametros!$C$11,$R981&lt;Parametros!$C$13),"Revisar","Estandar"))</f>
        <v>Revisar</v>
      </c>
      <c r="X981" s="67" t="str">
        <f aca="false">IF(AND($J981="E-commerce",IFERROR($T981/$R981,0)&gt;Parametros!$C$14),"Alerta","OK")</f>
        <v>OK</v>
      </c>
      <c r="Y981" s="61" t="str">
        <f aca="false">IF($R981&gt;=Parametros!$C$12,"Alto",IF($R981&lt;Parametros!$C$13,"Bajo","Medio"))</f>
        <v>Bajo</v>
      </c>
      <c r="Z981" s="61" t="n">
        <v>262</v>
      </c>
      <c r="AA981" s="61" t="str">
        <f aca="false">IF(MATCH($A981,Datos_Origen!$A$2:$A$2459,0)=$Z981,"OK","REVISAR")</f>
        <v>OK</v>
      </c>
      <c r="AB981" s="61" t="str">
        <f aca="false">INDEX(Datos_Origen!$B$2:$B$2459,$Z981)</f>
        <v>03/10/2024</v>
      </c>
      <c r="AC981" s="61" t="n">
        <f aca="false">INDEX(Datos_Origen!$H$2:$H$2459,$Z981)</f>
        <v>8</v>
      </c>
      <c r="AD981" s="61" t="str">
        <f aca="false">INDEX(Datos_Origen!$D$2:$D$2459,$Z981)&amp;""</f>
        <v>Mendoza</v>
      </c>
    </row>
    <row r="982" customFormat="false" ht="15" hidden="false" customHeight="false" outlineLevel="0" collapsed="false">
      <c r="A982" s="61" t="n">
        <f aca="false">INDEX(Datos_Origen!$A$2:$A$2459,$Z982)</f>
        <v>981</v>
      </c>
      <c r="B982" s="62" t="n">
        <f aca="false">IF(ISNUMBER($AB982),$AB982,IF(MID($AB982,5,1)="-",DATE(VALUE(LEFT($AB982,4)),VALUE(MID($AB982,6,2)),VALUE(RIGHT($AB982,2))),DATE(VALUE(RIGHT($AB982,4)),VALUE(MID($AB982,4,2)),VALUE(LEFT($AB982,2)))))</f>
        <v>45575</v>
      </c>
      <c r="C982" s="61" t="n">
        <f aca="false">YEAR($B982)</f>
        <v>2024</v>
      </c>
      <c r="D982" s="61" t="str">
        <f aca="false">"Q"&amp;ROUNDUP(MONTH($B982)/3,0)</f>
        <v>Q4</v>
      </c>
      <c r="E982" s="61" t="n">
        <f aca="false">MONTH($B982)</f>
        <v>10</v>
      </c>
      <c r="F982" s="61" t="str">
        <f aca="false">INDEX(Parametros!$I$5:$I$16,$E982)</f>
        <v>Oct</v>
      </c>
      <c r="G982" s="61" t="str">
        <f aca="false">TEXT($C982,"0000")&amp;"-"&amp;TEXT($E982,"00")</f>
        <v>2024-10</v>
      </c>
      <c r="H982" s="61" t="str">
        <f aca="false">INDEX(Parametros!$C$71:$C$91,MATCH(TRIM(INDEX(Datos_Origen!$C$2:$C$2459,$Z982)),Parametros!$B$71:$B$91,0))</f>
        <v>NOA</v>
      </c>
      <c r="I982" s="61" t="str">
        <f aca="false">IF(TRIM($AD982)="",INDEX(Parametros!$I$20:$I$24,MATCH($H982,Parametros!$H$20:$H$24,0)),TRIM($AD982))</f>
        <v>Tucuman</v>
      </c>
      <c r="J982" s="61" t="str">
        <f aca="false">INDEX(Parametros!$C$95:$C$106,MATCH(TRIM(INDEX(Datos_Origen!$E$2:$E$2459,$Z982)),Parametros!$B$95:$B$106,0))</f>
        <v>Tienda fisica</v>
      </c>
      <c r="K982" s="61" t="str">
        <f aca="false">INDEX(Parametros!$C$48:$C$67,MATCH(TRIM(INDEX(Datos_Origen!$F$2:$F$2459,$Z982)),Parametros!$B$48:$B$67,0))</f>
        <v>Computacion</v>
      </c>
      <c r="L982" s="61" t="str">
        <f aca="false">$K982&amp;" "&amp;$C982</f>
        <v>Computacion 2024</v>
      </c>
      <c r="M982" s="61" t="str">
        <f aca="false">TRIM(INDEX(Datos_Origen!$G$2:$G$2459,$Z982))</f>
        <v>Laptop Pro 15</v>
      </c>
      <c r="N982" s="61" t="str">
        <f aca="false">$M982&amp;" "&amp;$C982</f>
        <v>Laptop Pro 15 2024</v>
      </c>
      <c r="O982" s="63" t="n">
        <f aca="false">IF(ISTEXT($AC982),VALUE($AC982),$AC982)</f>
        <v>8</v>
      </c>
      <c r="P982" s="64" t="n">
        <f aca="false">INDEX(Datos_Origen!$I$2:$I$2459,$Z982)</f>
        <v>1176</v>
      </c>
      <c r="Q982" s="64" t="n">
        <f aca="false">INDEX(Datos_Origen!$J$2:$J$2459,$Z982)</f>
        <v>744</v>
      </c>
      <c r="R982" s="65" t="n">
        <f aca="false">ROUND($O982*$P982,2)</f>
        <v>9408</v>
      </c>
      <c r="S982" s="65" t="n">
        <f aca="false">ROUND($O982*$Q982,2)</f>
        <v>5952</v>
      </c>
      <c r="T982" s="65" t="n">
        <f aca="false">ROUND($R982*SUMIFS(Parametros!$E$28:$E$43,Parametros!$B$28:$B$43,$J982,Parametros!$C$28:$C$43,$C982,Parametros!$D$28:$D$43,$D982),2)</f>
        <v>122.3</v>
      </c>
      <c r="U982" s="65" t="n">
        <f aca="false">$R982-$S982-$T982</f>
        <v>3333.7</v>
      </c>
      <c r="V982" s="66" t="n">
        <f aca="false">IFERROR($U982/$R982,0)</f>
        <v>0.354347363945578</v>
      </c>
      <c r="W982" s="67" t="str">
        <f aca="false">IF(AND($V982&gt;=Parametros!$C$8,$R982&gt;=Parametros!$C$12),"Alta rentabilidad",IF(OR($V982&lt;Parametros!$C$11,$R982&lt;Parametros!$C$13),"Revisar","Estandar"))</f>
        <v>Alta rentabilidad</v>
      </c>
      <c r="X982" s="67" t="str">
        <f aca="false">IF(AND($J982="E-commerce",IFERROR($T982/$R982,0)&gt;Parametros!$C$14),"Alerta","OK")</f>
        <v>OK</v>
      </c>
      <c r="Y982" s="61" t="str">
        <f aca="false">IF($R982&gt;=Parametros!$C$12,"Alto",IF($R982&lt;Parametros!$C$13,"Bajo","Medio"))</f>
        <v>Alto</v>
      </c>
      <c r="Z982" s="61" t="n">
        <v>936</v>
      </c>
      <c r="AA982" s="61" t="str">
        <f aca="false">IF(MATCH($A982,Datos_Origen!$A$2:$A$2459,0)=$Z982,"OK","REVISAR")</f>
        <v>OK</v>
      </c>
      <c r="AB982" s="61" t="str">
        <f aca="false">INDEX(Datos_Origen!$B$2:$B$2459,$Z982)</f>
        <v>2024-10-10</v>
      </c>
      <c r="AC982" s="61" t="n">
        <f aca="false">INDEX(Datos_Origen!$H$2:$H$2459,$Z982)</f>
        <v>8</v>
      </c>
      <c r="AD982" s="61" t="str">
        <f aca="false">INDEX(Datos_Origen!$D$2:$D$2459,$Z982)&amp;""</f>
        <v/>
      </c>
    </row>
    <row r="983" customFormat="false" ht="15" hidden="false" customHeight="false" outlineLevel="0" collapsed="false">
      <c r="A983" s="61" t="n">
        <f aca="false">INDEX(Datos_Origen!$A$2:$A$2459,$Z983)</f>
        <v>982</v>
      </c>
      <c r="B983" s="62" t="n">
        <f aca="false">IF(ISNUMBER($AB983),$AB983,IF(MID($AB983,5,1)="-",DATE(VALUE(LEFT($AB983,4)),VALUE(MID($AB983,6,2)),VALUE(RIGHT($AB983,2))),DATE(VALUE(RIGHT($AB983,4)),VALUE(MID($AB983,4,2)),VALUE(LEFT($AB983,2)))))</f>
        <v>45582</v>
      </c>
      <c r="C983" s="61" t="n">
        <f aca="false">YEAR($B983)</f>
        <v>2024</v>
      </c>
      <c r="D983" s="61" t="str">
        <f aca="false">"Q"&amp;ROUNDUP(MONTH($B983)/3,0)</f>
        <v>Q4</v>
      </c>
      <c r="E983" s="61" t="n">
        <f aca="false">MONTH($B983)</f>
        <v>10</v>
      </c>
      <c r="F983" s="61" t="str">
        <f aca="false">INDEX(Parametros!$I$5:$I$16,$E983)</f>
        <v>Oct</v>
      </c>
      <c r="G983" s="61" t="str">
        <f aca="false">TEXT($C983,"0000")&amp;"-"&amp;TEXT($E983,"00")</f>
        <v>2024-10</v>
      </c>
      <c r="H983" s="61" t="str">
        <f aca="false">INDEX(Parametros!$C$71:$C$91,MATCH(TRIM(INDEX(Datos_Origen!$C$2:$C$2459,$Z983)),Parametros!$B$71:$B$91,0))</f>
        <v>NOA</v>
      </c>
      <c r="I983" s="61" t="str">
        <f aca="false">IF(TRIM($AD983)="",INDEX(Parametros!$I$20:$I$24,MATCH($H983,Parametros!$H$20:$H$24,0)),TRIM($AD983))</f>
        <v>Tucuman</v>
      </c>
      <c r="J983" s="61" t="str">
        <f aca="false">INDEX(Parametros!$C$95:$C$106,MATCH(TRIM(INDEX(Datos_Origen!$E$2:$E$2459,$Z983)),Parametros!$B$95:$B$106,0))</f>
        <v>E-commerce</v>
      </c>
      <c r="K983" s="61" t="str">
        <f aca="false">INDEX(Parametros!$C$48:$C$67,MATCH(TRIM(INDEX(Datos_Origen!$F$2:$F$2459,$Z983)),Parametros!$B$48:$B$67,0))</f>
        <v>Computacion</v>
      </c>
      <c r="L983" s="61" t="str">
        <f aca="false">$K983&amp;" "&amp;$C983</f>
        <v>Computacion 2024</v>
      </c>
      <c r="M983" s="61" t="str">
        <f aca="false">TRIM(INDEX(Datos_Origen!$G$2:$G$2459,$Z983))</f>
        <v>Laptop Pro 15</v>
      </c>
      <c r="N983" s="61" t="str">
        <f aca="false">$M983&amp;" "&amp;$C983</f>
        <v>Laptop Pro 15 2024</v>
      </c>
      <c r="O983" s="63" t="n">
        <f aca="false">IF(ISTEXT($AC983),VALUE($AC983),$AC983)</f>
        <v>3</v>
      </c>
      <c r="P983" s="64" t="n">
        <f aca="false">INDEX(Datos_Origen!$I$2:$I$2459,$Z983)</f>
        <v>1176</v>
      </c>
      <c r="Q983" s="64" t="n">
        <f aca="false">INDEX(Datos_Origen!$J$2:$J$2459,$Z983)</f>
        <v>744</v>
      </c>
      <c r="R983" s="65" t="n">
        <f aca="false">ROUND($O983*$P983,2)</f>
        <v>3528</v>
      </c>
      <c r="S983" s="65" t="n">
        <f aca="false">ROUND($O983*$Q983,2)</f>
        <v>2232</v>
      </c>
      <c r="T983" s="65" t="n">
        <f aca="false">ROUND($R983*SUMIFS(Parametros!$E$28:$E$43,Parametros!$B$28:$B$43,$J983,Parametros!$C$28:$C$43,$C983,Parametros!$D$28:$D$43,$D983),2)</f>
        <v>169.34</v>
      </c>
      <c r="U983" s="65" t="n">
        <f aca="false">$R983-$S983-$T983</f>
        <v>1126.66</v>
      </c>
      <c r="V983" s="66" t="n">
        <f aca="false">IFERROR($U983/$R983,0)</f>
        <v>0.319348072562358</v>
      </c>
      <c r="W983" s="67" t="str">
        <f aca="false">IF(AND($V983&gt;=Parametros!$C$8,$R983&gt;=Parametros!$C$12),"Alta rentabilidad",IF(OR($V983&lt;Parametros!$C$11,$R983&lt;Parametros!$C$13),"Revisar","Estandar"))</f>
        <v>Estandar</v>
      </c>
      <c r="X983" s="67" t="str">
        <f aca="false">IF(AND($J983="E-commerce",IFERROR($T983/$R983,0)&gt;Parametros!$C$14),"Alerta","OK")</f>
        <v>OK</v>
      </c>
      <c r="Y983" s="61" t="str">
        <f aca="false">IF($R983&gt;=Parametros!$C$12,"Alto",IF($R983&lt;Parametros!$C$13,"Bajo","Medio"))</f>
        <v>Alto</v>
      </c>
      <c r="Z983" s="61" t="n">
        <v>1815</v>
      </c>
      <c r="AA983" s="61" t="str">
        <f aca="false">IF(MATCH($A983,Datos_Origen!$A$2:$A$2459,0)=$Z983,"OK","REVISAR")</f>
        <v>OK</v>
      </c>
      <c r="AB983" s="62" t="n">
        <f aca="false">INDEX(Datos_Origen!$B$2:$B$2459,$Z983)</f>
        <v>45582</v>
      </c>
      <c r="AC983" s="61" t="n">
        <f aca="false">INDEX(Datos_Origen!$H$2:$H$2459,$Z983)</f>
        <v>3</v>
      </c>
      <c r="AD983" s="61" t="str">
        <f aca="false">INDEX(Datos_Origen!$D$2:$D$2459,$Z983)&amp;""</f>
        <v>Tucuman</v>
      </c>
    </row>
    <row r="984" customFormat="false" ht="15" hidden="false" customHeight="false" outlineLevel="0" collapsed="false">
      <c r="A984" s="61" t="n">
        <f aca="false">INDEX(Datos_Origen!$A$2:$A$2459,$Z984)</f>
        <v>983</v>
      </c>
      <c r="B984" s="62" t="n">
        <f aca="false">IF(ISNUMBER($AB984),$AB984,IF(MID($AB984,5,1)="-",DATE(VALUE(LEFT($AB984,4)),VALUE(MID($AB984,6,2)),VALUE(RIGHT($AB984,2))),DATE(VALUE(RIGHT($AB984,4)),VALUE(MID($AB984,4,2)),VALUE(LEFT($AB984,2)))))</f>
        <v>45589</v>
      </c>
      <c r="C984" s="61" t="n">
        <f aca="false">YEAR($B984)</f>
        <v>2024</v>
      </c>
      <c r="D984" s="61" t="str">
        <f aca="false">"Q"&amp;ROUNDUP(MONTH($B984)/3,0)</f>
        <v>Q4</v>
      </c>
      <c r="E984" s="61" t="n">
        <f aca="false">MONTH($B984)</f>
        <v>10</v>
      </c>
      <c r="F984" s="61" t="str">
        <f aca="false">INDEX(Parametros!$I$5:$I$16,$E984)</f>
        <v>Oct</v>
      </c>
      <c r="G984" s="61" t="str">
        <f aca="false">TEXT($C984,"0000")&amp;"-"&amp;TEXT($E984,"00")</f>
        <v>2024-10</v>
      </c>
      <c r="H984" s="61" t="str">
        <f aca="false">INDEX(Parametros!$C$71:$C$91,MATCH(TRIM(INDEX(Datos_Origen!$C$2:$C$2459,$Z984)),Parametros!$B$71:$B$91,0))</f>
        <v>NOA</v>
      </c>
      <c r="I984" s="61" t="str">
        <f aca="false">IF(TRIM($AD984)="",INDEX(Parametros!$I$20:$I$24,MATCH($H984,Parametros!$H$20:$H$24,0)),TRIM($AD984))</f>
        <v>Tucuman</v>
      </c>
      <c r="J984" s="61" t="str">
        <f aca="false">INDEX(Parametros!$C$95:$C$106,MATCH(TRIM(INDEX(Datos_Origen!$E$2:$E$2459,$Z984)),Parametros!$B$95:$B$106,0))</f>
        <v>Tienda fisica</v>
      </c>
      <c r="K984" s="61" t="str">
        <f aca="false">INDEX(Parametros!$C$48:$C$67,MATCH(TRIM(INDEX(Datos_Origen!$F$2:$F$2459,$Z984)),Parametros!$B$48:$B$67,0))</f>
        <v>Computacion</v>
      </c>
      <c r="L984" s="61" t="str">
        <f aca="false">$K984&amp;" "&amp;$C984</f>
        <v>Computacion 2024</v>
      </c>
      <c r="M984" s="61" t="str">
        <f aca="false">TRIM(INDEX(Datos_Origen!$G$2:$G$2459,$Z984))</f>
        <v>Monitor 4K 27</v>
      </c>
      <c r="N984" s="61" t="str">
        <f aca="false">$M984&amp;" "&amp;$C984</f>
        <v>Monitor 4K 27 2024</v>
      </c>
      <c r="O984" s="63" t="n">
        <f aca="false">IF(ISTEXT($AC984),VALUE($AC984),$AC984)</f>
        <v>7</v>
      </c>
      <c r="P984" s="64" t="n">
        <f aca="false">INDEX(Datos_Origen!$I$2:$I$2459,$Z984)</f>
        <v>441</v>
      </c>
      <c r="Q984" s="64" t="n">
        <f aca="false">INDEX(Datos_Origen!$J$2:$J$2459,$Z984)</f>
        <v>272.25</v>
      </c>
      <c r="R984" s="65" t="n">
        <f aca="false">ROUND($O984*$P984,2)</f>
        <v>3087</v>
      </c>
      <c r="S984" s="65" t="n">
        <f aca="false">ROUND($O984*$Q984,2)</f>
        <v>1905.75</v>
      </c>
      <c r="T984" s="65" t="n">
        <f aca="false">ROUND($R984*SUMIFS(Parametros!$E$28:$E$43,Parametros!$B$28:$B$43,$J984,Parametros!$C$28:$C$43,$C984,Parametros!$D$28:$D$43,$D984),2)</f>
        <v>40.13</v>
      </c>
      <c r="U984" s="65" t="n">
        <f aca="false">$R984-$S984-$T984</f>
        <v>1141.12</v>
      </c>
      <c r="V984" s="66" t="n">
        <f aca="false">IFERROR($U984/$R984,0)</f>
        <v>0.369653385163589</v>
      </c>
      <c r="W984" s="67" t="str">
        <f aca="false">IF(AND($V984&gt;=Parametros!$C$8,$R984&gt;=Parametros!$C$12),"Alta rentabilidad",IF(OR($V984&lt;Parametros!$C$11,$R984&lt;Parametros!$C$13),"Revisar","Estandar"))</f>
        <v>Alta rentabilidad</v>
      </c>
      <c r="X984" s="67" t="str">
        <f aca="false">IF(AND($J984="E-commerce",IFERROR($T984/$R984,0)&gt;Parametros!$C$14),"Alerta","OK")</f>
        <v>OK</v>
      </c>
      <c r="Y984" s="61" t="str">
        <f aca="false">IF($R984&gt;=Parametros!$C$12,"Alto",IF($R984&lt;Parametros!$C$13,"Bajo","Medio"))</f>
        <v>Alto</v>
      </c>
      <c r="Z984" s="61" t="n">
        <v>718</v>
      </c>
      <c r="AA984" s="61" t="str">
        <f aca="false">IF(MATCH($A984,Datos_Origen!$A$2:$A$2459,0)=$Z984,"OK","REVISAR")</f>
        <v>OK</v>
      </c>
      <c r="AB984" s="61" t="str">
        <f aca="false">INDEX(Datos_Origen!$B$2:$B$2459,$Z984)</f>
        <v>2024-10-24</v>
      </c>
      <c r="AC984" s="61" t="n">
        <f aca="false">INDEX(Datos_Origen!$H$2:$H$2459,$Z984)</f>
        <v>7</v>
      </c>
      <c r="AD984" s="61" t="str">
        <f aca="false">INDEX(Datos_Origen!$D$2:$D$2459,$Z984)&amp;""</f>
        <v>Tucuman</v>
      </c>
    </row>
    <row r="985" customFormat="false" ht="15" hidden="false" customHeight="false" outlineLevel="0" collapsed="false">
      <c r="A985" s="61" t="n">
        <f aca="false">INDEX(Datos_Origen!$A$2:$A$2459,$Z985)</f>
        <v>984</v>
      </c>
      <c r="B985" s="62" t="n">
        <f aca="false">IF(ISNUMBER($AB985),$AB985,IF(MID($AB985,5,1)="-",DATE(VALUE(LEFT($AB985,4)),VALUE(MID($AB985,6,2)),VALUE(RIGHT($AB985,2))),DATE(VALUE(RIGHT($AB985,4)),VALUE(MID($AB985,4,2)),VALUE(LEFT($AB985,2)))))</f>
        <v>45569</v>
      </c>
      <c r="C985" s="61" t="n">
        <f aca="false">YEAR($B985)</f>
        <v>2024</v>
      </c>
      <c r="D985" s="61" t="str">
        <f aca="false">"Q"&amp;ROUNDUP(MONTH($B985)/3,0)</f>
        <v>Q4</v>
      </c>
      <c r="E985" s="61" t="n">
        <f aca="false">MONTH($B985)</f>
        <v>10</v>
      </c>
      <c r="F985" s="61" t="str">
        <f aca="false">INDEX(Parametros!$I$5:$I$16,$E985)</f>
        <v>Oct</v>
      </c>
      <c r="G985" s="61" t="str">
        <f aca="false">TEXT($C985,"0000")&amp;"-"&amp;TEXT($E985,"00")</f>
        <v>2024-10</v>
      </c>
      <c r="H985" s="61" t="str">
        <f aca="false">INDEX(Parametros!$C$71:$C$91,MATCH(TRIM(INDEX(Datos_Origen!$C$2:$C$2459,$Z985)),Parametros!$B$71:$B$91,0))</f>
        <v>NOA</v>
      </c>
      <c r="I985" s="61" t="str">
        <f aca="false">IF(TRIM($AD985)="",INDEX(Parametros!$I$20:$I$24,MATCH($H985,Parametros!$H$20:$H$24,0)),TRIM($AD985))</f>
        <v>Tucuman</v>
      </c>
      <c r="J985" s="61" t="str">
        <f aca="false">INDEX(Parametros!$C$95:$C$106,MATCH(TRIM(INDEX(Datos_Origen!$E$2:$E$2459,$Z985)),Parametros!$B$95:$B$106,0))</f>
        <v>E-commerce</v>
      </c>
      <c r="K985" s="61" t="str">
        <f aca="false">INDEX(Parametros!$C$48:$C$67,MATCH(TRIM(INDEX(Datos_Origen!$F$2:$F$2459,$Z985)),Parametros!$B$48:$B$67,0))</f>
        <v>Computacion</v>
      </c>
      <c r="L985" s="61" t="str">
        <f aca="false">$K985&amp;" "&amp;$C985</f>
        <v>Computacion 2024</v>
      </c>
      <c r="M985" s="61" t="str">
        <f aca="false">TRIM(INDEX(Datos_Origen!$G$2:$G$2459,$Z985))</f>
        <v>Monitor 4K 27</v>
      </c>
      <c r="N985" s="61" t="str">
        <f aca="false">$M985&amp;" "&amp;$C985</f>
        <v>Monitor 4K 27 2024</v>
      </c>
      <c r="O985" s="63" t="n">
        <f aca="false">IF(ISTEXT($AC985),VALUE($AC985),$AC985)</f>
        <v>3</v>
      </c>
      <c r="P985" s="64" t="n">
        <f aca="false">INDEX(Datos_Origen!$I$2:$I$2459,$Z985)</f>
        <v>441</v>
      </c>
      <c r="Q985" s="64" t="n">
        <f aca="false">INDEX(Datos_Origen!$J$2:$J$2459,$Z985)</f>
        <v>272.25</v>
      </c>
      <c r="R985" s="65" t="n">
        <f aca="false">ROUND($O985*$P985,2)</f>
        <v>1323</v>
      </c>
      <c r="S985" s="65" t="n">
        <f aca="false">ROUND($O985*$Q985,2)</f>
        <v>816.75</v>
      </c>
      <c r="T985" s="65" t="n">
        <f aca="false">ROUND($R985*SUMIFS(Parametros!$E$28:$E$43,Parametros!$B$28:$B$43,$J985,Parametros!$C$28:$C$43,$C985,Parametros!$D$28:$D$43,$D985),2)</f>
        <v>63.5</v>
      </c>
      <c r="U985" s="65" t="n">
        <f aca="false">$R985-$S985-$T985</f>
        <v>442.75</v>
      </c>
      <c r="V985" s="66" t="n">
        <f aca="false">IFERROR($U985/$R985,0)</f>
        <v>0.334656084656085</v>
      </c>
      <c r="W985" s="67" t="str">
        <f aca="false">IF(AND($V985&gt;=Parametros!$C$8,$R985&gt;=Parametros!$C$12),"Alta rentabilidad",IF(OR($V985&lt;Parametros!$C$11,$R985&lt;Parametros!$C$13),"Revisar","Estandar"))</f>
        <v>Estandar</v>
      </c>
      <c r="X985" s="67" t="str">
        <f aca="false">IF(AND($J985="E-commerce",IFERROR($T985/$R985,0)&gt;Parametros!$C$14),"Alerta","OK")</f>
        <v>OK</v>
      </c>
      <c r="Y985" s="61" t="str">
        <f aca="false">IF($R985&gt;=Parametros!$C$12,"Alto",IF($R985&lt;Parametros!$C$13,"Bajo","Medio"))</f>
        <v>Medio</v>
      </c>
      <c r="Z985" s="61" t="n">
        <v>300</v>
      </c>
      <c r="AA985" s="61" t="str">
        <f aca="false">IF(MATCH($A985,Datos_Origen!$A$2:$A$2459,0)=$Z985,"OK","REVISAR")</f>
        <v>OK</v>
      </c>
      <c r="AB985" s="62" t="n">
        <f aca="false">INDEX(Datos_Origen!$B$2:$B$2459,$Z985)</f>
        <v>45569</v>
      </c>
      <c r="AC985" s="61" t="n">
        <f aca="false">INDEX(Datos_Origen!$H$2:$H$2459,$Z985)</f>
        <v>3</v>
      </c>
      <c r="AD985" s="61" t="str">
        <f aca="false">INDEX(Datos_Origen!$D$2:$D$2459,$Z985)&amp;""</f>
        <v>Tucuman</v>
      </c>
    </row>
    <row r="986" customFormat="false" ht="15" hidden="false" customHeight="false" outlineLevel="0" collapsed="false">
      <c r="A986" s="61" t="n">
        <f aca="false">INDEX(Datos_Origen!$A$2:$A$2459,$Z986)</f>
        <v>985</v>
      </c>
      <c r="B986" s="62" t="n">
        <f aca="false">IF(ISNUMBER($AB986),$AB986,IF(MID($AB986,5,1)="-",DATE(VALUE(LEFT($AB986,4)),VALUE(MID($AB986,6,2)),VALUE(RIGHT($AB986,2))),DATE(VALUE(RIGHT($AB986,4)),VALUE(MID($AB986,4,2)),VALUE(LEFT($AB986,2)))))</f>
        <v>45576</v>
      </c>
      <c r="C986" s="61" t="n">
        <f aca="false">YEAR($B986)</f>
        <v>2024</v>
      </c>
      <c r="D986" s="61" t="str">
        <f aca="false">"Q"&amp;ROUNDUP(MONTH($B986)/3,0)</f>
        <v>Q4</v>
      </c>
      <c r="E986" s="61" t="n">
        <f aca="false">MONTH($B986)</f>
        <v>10</v>
      </c>
      <c r="F986" s="61" t="str">
        <f aca="false">INDEX(Parametros!$I$5:$I$16,$E986)</f>
        <v>Oct</v>
      </c>
      <c r="G986" s="61" t="str">
        <f aca="false">TEXT($C986,"0000")&amp;"-"&amp;TEXT($E986,"00")</f>
        <v>2024-10</v>
      </c>
      <c r="H986" s="61" t="str">
        <f aca="false">INDEX(Parametros!$C$71:$C$91,MATCH(TRIM(INDEX(Datos_Origen!$C$2:$C$2459,$Z986)),Parametros!$B$71:$B$91,0))</f>
        <v>NOA</v>
      </c>
      <c r="I986" s="61" t="str">
        <f aca="false">IF(TRIM($AD986)="",INDEX(Parametros!$I$20:$I$24,MATCH($H986,Parametros!$H$20:$H$24,0)),TRIM($AD986))</f>
        <v>Tucuman</v>
      </c>
      <c r="J986" s="61" t="str">
        <f aca="false">INDEX(Parametros!$C$95:$C$106,MATCH(TRIM(INDEX(Datos_Origen!$E$2:$E$2459,$Z986)),Parametros!$B$95:$B$106,0))</f>
        <v>Tienda fisica</v>
      </c>
      <c r="K986" s="61" t="str">
        <f aca="false">INDEX(Parametros!$C$48:$C$67,MATCH(TRIM(INDEX(Datos_Origen!$F$2:$F$2459,$Z986)),Parametros!$B$48:$B$67,0))</f>
        <v>Computacion</v>
      </c>
      <c r="L986" s="61" t="str">
        <f aca="false">$K986&amp;" "&amp;$C986</f>
        <v>Computacion 2024</v>
      </c>
      <c r="M986" s="61" t="str">
        <f aca="false">TRIM(INDEX(Datos_Origen!$G$2:$G$2459,$Z986))</f>
        <v>PC Gamer Ryzen</v>
      </c>
      <c r="N986" s="61" t="str">
        <f aca="false">$M986&amp;" "&amp;$C986</f>
        <v>PC Gamer Ryzen 2024</v>
      </c>
      <c r="O986" s="63" t="n">
        <f aca="false">IF(ISTEXT($AC986),VALUE($AC986),$AC986)</f>
        <v>7</v>
      </c>
      <c r="P986" s="64" t="n">
        <f aca="false">INDEX(Datos_Origen!$I$2:$I$2459,$Z986)</f>
        <v>1617</v>
      </c>
      <c r="Q986" s="64" t="n">
        <f aca="false">INDEX(Datos_Origen!$J$2:$J$2459,$Z986)</f>
        <v>1122</v>
      </c>
      <c r="R986" s="65" t="n">
        <f aca="false">ROUND($O986*$P986,2)</f>
        <v>11319</v>
      </c>
      <c r="S986" s="65" t="n">
        <f aca="false">ROUND($O986*$Q986,2)</f>
        <v>7854</v>
      </c>
      <c r="T986" s="65" t="n">
        <f aca="false">ROUND($R986*SUMIFS(Parametros!$E$28:$E$43,Parametros!$B$28:$B$43,$J986,Parametros!$C$28:$C$43,$C986,Parametros!$D$28:$D$43,$D986),2)</f>
        <v>147.15</v>
      </c>
      <c r="U986" s="65" t="n">
        <f aca="false">$R986-$S986-$T986</f>
        <v>3317.85</v>
      </c>
      <c r="V986" s="66" t="n">
        <f aca="false">IFERROR($U986/$R986,0)</f>
        <v>0.29312218393851</v>
      </c>
      <c r="W986" s="67" t="str">
        <f aca="false">IF(AND($V986&gt;=Parametros!$C$8,$R986&gt;=Parametros!$C$12),"Alta rentabilidad",IF(OR($V986&lt;Parametros!$C$11,$R986&lt;Parametros!$C$13),"Revisar","Estandar"))</f>
        <v>Estandar</v>
      </c>
      <c r="X986" s="67" t="str">
        <f aca="false">IF(AND($J986="E-commerce",IFERROR($T986/$R986,0)&gt;Parametros!$C$14),"Alerta","OK")</f>
        <v>OK</v>
      </c>
      <c r="Y986" s="61" t="str">
        <f aca="false">IF($R986&gt;=Parametros!$C$12,"Alto",IF($R986&lt;Parametros!$C$13,"Bajo","Medio"))</f>
        <v>Alto</v>
      </c>
      <c r="Z986" s="61" t="n">
        <v>1083</v>
      </c>
      <c r="AA986" s="61" t="str">
        <f aca="false">IF(MATCH($A986,Datos_Origen!$A$2:$A$2459,0)=$Z986,"OK","REVISAR")</f>
        <v>OK</v>
      </c>
      <c r="AB986" s="61" t="str">
        <f aca="false">INDEX(Datos_Origen!$B$2:$B$2459,$Z986)</f>
        <v>11/10/2024</v>
      </c>
      <c r="AC986" s="61" t="n">
        <f aca="false">INDEX(Datos_Origen!$H$2:$H$2459,$Z986)</f>
        <v>7</v>
      </c>
      <c r="AD986" s="61" t="str">
        <f aca="false">INDEX(Datos_Origen!$D$2:$D$2459,$Z986)&amp;""</f>
        <v>Tucuman</v>
      </c>
    </row>
    <row r="987" customFormat="false" ht="15" hidden="false" customHeight="false" outlineLevel="0" collapsed="false">
      <c r="A987" s="61" t="n">
        <f aca="false">INDEX(Datos_Origen!$A$2:$A$2459,$Z987)</f>
        <v>986</v>
      </c>
      <c r="B987" s="62" t="n">
        <f aca="false">IF(ISNUMBER($AB987),$AB987,IF(MID($AB987,5,1)="-",DATE(VALUE(LEFT($AB987,4)),VALUE(MID($AB987,6,2)),VALUE(RIGHT($AB987,2))),DATE(VALUE(RIGHT($AB987,4)),VALUE(MID($AB987,4,2)),VALUE(LEFT($AB987,2)))))</f>
        <v>45583</v>
      </c>
      <c r="C987" s="61" t="n">
        <f aca="false">YEAR($B987)</f>
        <v>2024</v>
      </c>
      <c r="D987" s="61" t="str">
        <f aca="false">"Q"&amp;ROUNDUP(MONTH($B987)/3,0)</f>
        <v>Q4</v>
      </c>
      <c r="E987" s="61" t="n">
        <f aca="false">MONTH($B987)</f>
        <v>10</v>
      </c>
      <c r="F987" s="61" t="str">
        <f aca="false">INDEX(Parametros!$I$5:$I$16,$E987)</f>
        <v>Oct</v>
      </c>
      <c r="G987" s="61" t="str">
        <f aca="false">TEXT($C987,"0000")&amp;"-"&amp;TEXT($E987,"00")</f>
        <v>2024-10</v>
      </c>
      <c r="H987" s="61" t="str">
        <f aca="false">INDEX(Parametros!$C$71:$C$91,MATCH(TRIM(INDEX(Datos_Origen!$C$2:$C$2459,$Z987)),Parametros!$B$71:$B$91,0))</f>
        <v>NOA</v>
      </c>
      <c r="I987" s="61" t="str">
        <f aca="false">IF(TRIM($AD987)="",INDEX(Parametros!$I$20:$I$24,MATCH($H987,Parametros!$H$20:$H$24,0)),TRIM($AD987))</f>
        <v>Tucuman</v>
      </c>
      <c r="J987" s="61" t="str">
        <f aca="false">INDEX(Parametros!$C$95:$C$106,MATCH(TRIM(INDEX(Datos_Origen!$E$2:$E$2459,$Z987)),Parametros!$B$95:$B$106,0))</f>
        <v>E-commerce</v>
      </c>
      <c r="K987" s="61" t="str">
        <f aca="false">INDEX(Parametros!$C$48:$C$67,MATCH(TRIM(INDEX(Datos_Origen!$F$2:$F$2459,$Z987)),Parametros!$B$48:$B$67,0))</f>
        <v>Computacion</v>
      </c>
      <c r="L987" s="61" t="str">
        <f aca="false">$K987&amp;" "&amp;$C987</f>
        <v>Computacion 2024</v>
      </c>
      <c r="M987" s="61" t="str">
        <f aca="false">TRIM(INDEX(Datos_Origen!$G$2:$G$2459,$Z987))</f>
        <v>PC Gamer Ryzen</v>
      </c>
      <c r="N987" s="61" t="str">
        <f aca="false">$M987&amp;" "&amp;$C987</f>
        <v>PC Gamer Ryzen 2024</v>
      </c>
      <c r="O987" s="63" t="n">
        <f aca="false">IF(ISTEXT($AC987),VALUE($AC987),$AC987)</f>
        <v>3</v>
      </c>
      <c r="P987" s="64" t="n">
        <f aca="false">INDEX(Datos_Origen!$I$2:$I$2459,$Z987)</f>
        <v>1617</v>
      </c>
      <c r="Q987" s="64" t="n">
        <f aca="false">INDEX(Datos_Origen!$J$2:$J$2459,$Z987)</f>
        <v>1122</v>
      </c>
      <c r="R987" s="65" t="n">
        <f aca="false">ROUND($O987*$P987,2)</f>
        <v>4851</v>
      </c>
      <c r="S987" s="65" t="n">
        <f aca="false">ROUND($O987*$Q987,2)</f>
        <v>3366</v>
      </c>
      <c r="T987" s="65" t="n">
        <f aca="false">ROUND($R987*SUMIFS(Parametros!$E$28:$E$43,Parametros!$B$28:$B$43,$J987,Parametros!$C$28:$C$43,$C987,Parametros!$D$28:$D$43,$D987),2)</f>
        <v>232.85</v>
      </c>
      <c r="U987" s="65" t="n">
        <f aca="false">$R987-$S987-$T987</f>
        <v>1252.15</v>
      </c>
      <c r="V987" s="66" t="n">
        <f aca="false">IFERROR($U987/$R987,0)</f>
        <v>0.258122036693465</v>
      </c>
      <c r="W987" s="67" t="str">
        <f aca="false">IF(AND($V987&gt;=Parametros!$C$8,$R987&gt;=Parametros!$C$12),"Alta rentabilidad",IF(OR($V987&lt;Parametros!$C$11,$R987&lt;Parametros!$C$13),"Revisar","Estandar"))</f>
        <v>Revisar</v>
      </c>
      <c r="X987" s="67" t="str">
        <f aca="false">IF(AND($J987="E-commerce",IFERROR($T987/$R987,0)&gt;Parametros!$C$14),"Alerta","OK")</f>
        <v>OK</v>
      </c>
      <c r="Y987" s="61" t="str">
        <f aca="false">IF($R987&gt;=Parametros!$C$12,"Alto",IF($R987&lt;Parametros!$C$13,"Bajo","Medio"))</f>
        <v>Alto</v>
      </c>
      <c r="Z987" s="61" t="n">
        <v>180</v>
      </c>
      <c r="AA987" s="61" t="str">
        <f aca="false">IF(MATCH($A987,Datos_Origen!$A$2:$A$2459,0)=$Z987,"OK","REVISAR")</f>
        <v>OK</v>
      </c>
      <c r="AB987" s="61" t="str">
        <f aca="false">INDEX(Datos_Origen!$B$2:$B$2459,$Z987)</f>
        <v>2024-10-18</v>
      </c>
      <c r="AC987" s="61" t="n">
        <f aca="false">INDEX(Datos_Origen!$H$2:$H$2459,$Z987)</f>
        <v>3</v>
      </c>
      <c r="AD987" s="61" t="str">
        <f aca="false">INDEX(Datos_Origen!$D$2:$D$2459,$Z987)&amp;""</f>
        <v>Tucuman</v>
      </c>
    </row>
    <row r="988" customFormat="false" ht="15" hidden="false" customHeight="false" outlineLevel="0" collapsed="false">
      <c r="A988" s="61" t="n">
        <f aca="false">INDEX(Datos_Origen!$A$2:$A$2459,$Z988)</f>
        <v>987</v>
      </c>
      <c r="B988" s="62" t="n">
        <f aca="false">IF(ISNUMBER($AB988),$AB988,IF(MID($AB988,5,1)="-",DATE(VALUE(LEFT($AB988,4)),VALUE(MID($AB988,6,2)),VALUE(RIGHT($AB988,2))),DATE(VALUE(RIGHT($AB988,4)),VALUE(MID($AB988,4,2)),VALUE(LEFT($AB988,2)))))</f>
        <v>45590</v>
      </c>
      <c r="C988" s="61" t="n">
        <f aca="false">YEAR($B988)</f>
        <v>2024</v>
      </c>
      <c r="D988" s="61" t="str">
        <f aca="false">"Q"&amp;ROUNDUP(MONTH($B988)/3,0)</f>
        <v>Q4</v>
      </c>
      <c r="E988" s="61" t="n">
        <f aca="false">MONTH($B988)</f>
        <v>10</v>
      </c>
      <c r="F988" s="61" t="str">
        <f aca="false">INDEX(Parametros!$I$5:$I$16,$E988)</f>
        <v>Oct</v>
      </c>
      <c r="G988" s="61" t="str">
        <f aca="false">TEXT($C988,"0000")&amp;"-"&amp;TEXT($E988,"00")</f>
        <v>2024-10</v>
      </c>
      <c r="H988" s="61" t="str">
        <f aca="false">INDEX(Parametros!$C$71:$C$91,MATCH(TRIM(INDEX(Datos_Origen!$C$2:$C$2459,$Z988)),Parametros!$B$71:$B$91,0))</f>
        <v>NOA</v>
      </c>
      <c r="I988" s="61" t="str">
        <f aca="false">IF(TRIM($AD988)="",INDEX(Parametros!$I$20:$I$24,MATCH($H988,Parametros!$H$20:$H$24,0)),TRIM($AD988))</f>
        <v>Tucuman</v>
      </c>
      <c r="J988" s="61" t="str">
        <f aca="false">INDEX(Parametros!$C$95:$C$106,MATCH(TRIM(INDEX(Datos_Origen!$E$2:$E$2459,$Z988)),Parametros!$B$95:$B$106,0))</f>
        <v>Tienda fisica</v>
      </c>
      <c r="K988" s="61" t="str">
        <f aca="false">INDEX(Parametros!$C$48:$C$67,MATCH(TRIM(INDEX(Datos_Origen!$F$2:$F$2459,$Z988)),Parametros!$B$48:$B$67,0))</f>
        <v>Accesorios</v>
      </c>
      <c r="L988" s="61" t="str">
        <f aca="false">$K988&amp;" "&amp;$C988</f>
        <v>Accesorios 2024</v>
      </c>
      <c r="M988" s="61" t="str">
        <f aca="false">TRIM(INDEX(Datos_Origen!$G$2:$G$2459,$Z988))</f>
        <v>Mouse Inalambrico</v>
      </c>
      <c r="N988" s="61" t="str">
        <f aca="false">$M988&amp;" "&amp;$C988</f>
        <v>Mouse Inalambrico 2024</v>
      </c>
      <c r="O988" s="63" t="n">
        <f aca="false">IF(ISTEXT($AC988),VALUE($AC988),$AC988)</f>
        <v>28</v>
      </c>
      <c r="P988" s="64" t="n">
        <f aca="false">INDEX(Datos_Origen!$I$2:$I$2459,$Z988)</f>
        <v>27.44</v>
      </c>
      <c r="Q988" s="64" t="n">
        <f aca="false">INDEX(Datos_Origen!$J$2:$J$2459,$Z988)</f>
        <v>13.44</v>
      </c>
      <c r="R988" s="65" t="n">
        <f aca="false">ROUND($O988*$P988,2)</f>
        <v>768.32</v>
      </c>
      <c r="S988" s="65" t="n">
        <f aca="false">ROUND($O988*$Q988,2)</f>
        <v>376.32</v>
      </c>
      <c r="T988" s="65" t="n">
        <f aca="false">ROUND($R988*SUMIFS(Parametros!$E$28:$E$43,Parametros!$B$28:$B$43,$J988,Parametros!$C$28:$C$43,$C988,Parametros!$D$28:$D$43,$D988),2)</f>
        <v>9.99</v>
      </c>
      <c r="U988" s="65" t="n">
        <f aca="false">$R988-$S988-$T988</f>
        <v>382.01</v>
      </c>
      <c r="V988" s="66" t="n">
        <f aca="false">IFERROR($U988/$R988,0)</f>
        <v>0.497201686797168</v>
      </c>
      <c r="W988" s="67" t="str">
        <f aca="false">IF(AND($V988&gt;=Parametros!$C$8,$R988&gt;=Parametros!$C$12),"Alta rentabilidad",IF(OR($V988&lt;Parametros!$C$11,$R988&lt;Parametros!$C$13),"Revisar","Estandar"))</f>
        <v>Estandar</v>
      </c>
      <c r="X988" s="67" t="str">
        <f aca="false">IF(AND($J988="E-commerce",IFERROR($T988/$R988,0)&gt;Parametros!$C$14),"Alerta","OK")</f>
        <v>OK</v>
      </c>
      <c r="Y988" s="61" t="str">
        <f aca="false">IF($R988&gt;=Parametros!$C$12,"Alto",IF($R988&lt;Parametros!$C$13,"Bajo","Medio"))</f>
        <v>Medio</v>
      </c>
      <c r="Z988" s="61" t="n">
        <v>2348</v>
      </c>
      <c r="AA988" s="61" t="str">
        <f aca="false">IF(MATCH($A988,Datos_Origen!$A$2:$A$2459,0)=$Z988,"OK","REVISAR")</f>
        <v>OK</v>
      </c>
      <c r="AB988" s="62" t="n">
        <f aca="false">INDEX(Datos_Origen!$B$2:$B$2459,$Z988)</f>
        <v>45590</v>
      </c>
      <c r="AC988" s="61" t="n">
        <f aca="false">INDEX(Datos_Origen!$H$2:$H$2459,$Z988)</f>
        <v>28</v>
      </c>
      <c r="AD988" s="61" t="str">
        <f aca="false">INDEX(Datos_Origen!$D$2:$D$2459,$Z988)&amp;""</f>
        <v>Tucuman</v>
      </c>
    </row>
    <row r="989" customFormat="false" ht="15" hidden="false" customHeight="false" outlineLevel="0" collapsed="false">
      <c r="A989" s="61" t="n">
        <f aca="false">INDEX(Datos_Origen!$A$2:$A$2459,$Z989)</f>
        <v>988</v>
      </c>
      <c r="B989" s="62" t="n">
        <f aca="false">IF(ISNUMBER($AB989),$AB989,IF(MID($AB989,5,1)="-",DATE(VALUE(LEFT($AB989,4)),VALUE(MID($AB989,6,2)),VALUE(RIGHT($AB989,2))),DATE(VALUE(RIGHT($AB989,4)),VALUE(MID($AB989,4,2)),VALUE(LEFT($AB989,2)))))</f>
        <v>45570</v>
      </c>
      <c r="C989" s="61" t="n">
        <f aca="false">YEAR($B989)</f>
        <v>2024</v>
      </c>
      <c r="D989" s="61" t="str">
        <f aca="false">"Q"&amp;ROUNDUP(MONTH($B989)/3,0)</f>
        <v>Q4</v>
      </c>
      <c r="E989" s="61" t="n">
        <f aca="false">MONTH($B989)</f>
        <v>10</v>
      </c>
      <c r="F989" s="61" t="str">
        <f aca="false">INDEX(Parametros!$I$5:$I$16,$E989)</f>
        <v>Oct</v>
      </c>
      <c r="G989" s="61" t="str">
        <f aca="false">TEXT($C989,"0000")&amp;"-"&amp;TEXT($E989,"00")</f>
        <v>2024-10</v>
      </c>
      <c r="H989" s="61" t="str">
        <f aca="false">INDEX(Parametros!$C$71:$C$91,MATCH(TRIM(INDEX(Datos_Origen!$C$2:$C$2459,$Z989)),Parametros!$B$71:$B$91,0))</f>
        <v>NOA</v>
      </c>
      <c r="I989" s="61" t="str">
        <f aca="false">IF(TRIM($AD989)="",INDEX(Parametros!$I$20:$I$24,MATCH($H989,Parametros!$H$20:$H$24,0)),TRIM($AD989))</f>
        <v>Tucuman</v>
      </c>
      <c r="J989" s="61" t="str">
        <f aca="false">INDEX(Parametros!$C$95:$C$106,MATCH(TRIM(INDEX(Datos_Origen!$E$2:$E$2459,$Z989)),Parametros!$B$95:$B$106,0))</f>
        <v>E-commerce</v>
      </c>
      <c r="K989" s="61" t="str">
        <f aca="false">INDEX(Parametros!$C$48:$C$67,MATCH(TRIM(INDEX(Datos_Origen!$F$2:$F$2459,$Z989)),Parametros!$B$48:$B$67,0))</f>
        <v>Accesorios</v>
      </c>
      <c r="L989" s="61" t="str">
        <f aca="false">$K989&amp;" "&amp;$C989</f>
        <v>Accesorios 2024</v>
      </c>
      <c r="M989" s="61" t="str">
        <f aca="false">TRIM(INDEX(Datos_Origen!$G$2:$G$2459,$Z989))</f>
        <v>Mouse Inalambrico</v>
      </c>
      <c r="N989" s="61" t="str">
        <f aca="false">$M989&amp;" "&amp;$C989</f>
        <v>Mouse Inalambrico 2024</v>
      </c>
      <c r="O989" s="63" t="n">
        <f aca="false">IF(ISTEXT($AC989),VALUE($AC989),$AC989)</f>
        <v>12</v>
      </c>
      <c r="P989" s="64" t="n">
        <f aca="false">INDEX(Datos_Origen!$I$2:$I$2459,$Z989)</f>
        <v>27.44</v>
      </c>
      <c r="Q989" s="64" t="n">
        <f aca="false">INDEX(Datos_Origen!$J$2:$J$2459,$Z989)</f>
        <v>13.44</v>
      </c>
      <c r="R989" s="65" t="n">
        <f aca="false">ROUND($O989*$P989,2)</f>
        <v>329.28</v>
      </c>
      <c r="S989" s="65" t="n">
        <f aca="false">ROUND($O989*$Q989,2)</f>
        <v>161.28</v>
      </c>
      <c r="T989" s="65" t="n">
        <f aca="false">ROUND($R989*SUMIFS(Parametros!$E$28:$E$43,Parametros!$B$28:$B$43,$J989,Parametros!$C$28:$C$43,$C989,Parametros!$D$28:$D$43,$D989),2)</f>
        <v>15.81</v>
      </c>
      <c r="U989" s="65" t="n">
        <f aca="false">$R989-$S989-$T989</f>
        <v>152.19</v>
      </c>
      <c r="V989" s="66" t="n">
        <f aca="false">IFERROR($U989/$R989,0)</f>
        <v>0.462190233236152</v>
      </c>
      <c r="W989" s="67" t="str">
        <f aca="false">IF(AND($V989&gt;=Parametros!$C$8,$R989&gt;=Parametros!$C$12),"Alta rentabilidad",IF(OR($V989&lt;Parametros!$C$11,$R989&lt;Parametros!$C$13),"Revisar","Estandar"))</f>
        <v>Estandar</v>
      </c>
      <c r="X989" s="67" t="str">
        <f aca="false">IF(AND($J989="E-commerce",IFERROR($T989/$R989,0)&gt;Parametros!$C$14),"Alerta","OK")</f>
        <v>OK</v>
      </c>
      <c r="Y989" s="61" t="str">
        <f aca="false">IF($R989&gt;=Parametros!$C$12,"Alto",IF($R989&lt;Parametros!$C$13,"Bajo","Medio"))</f>
        <v>Medio</v>
      </c>
      <c r="Z989" s="61" t="n">
        <v>2319</v>
      </c>
      <c r="AA989" s="61" t="str">
        <f aca="false">IF(MATCH($A989,Datos_Origen!$A$2:$A$2459,0)=$Z989,"OK","REVISAR")</f>
        <v>OK</v>
      </c>
      <c r="AB989" s="62" t="n">
        <f aca="false">INDEX(Datos_Origen!$B$2:$B$2459,$Z989)</f>
        <v>45570</v>
      </c>
      <c r="AC989" s="61" t="n">
        <f aca="false">INDEX(Datos_Origen!$H$2:$H$2459,$Z989)</f>
        <v>12</v>
      </c>
      <c r="AD989" s="61" t="str">
        <f aca="false">INDEX(Datos_Origen!$D$2:$D$2459,$Z989)&amp;""</f>
        <v>Tucuman</v>
      </c>
    </row>
    <row r="990" customFormat="false" ht="15" hidden="false" customHeight="false" outlineLevel="0" collapsed="false">
      <c r="A990" s="61" t="n">
        <f aca="false">INDEX(Datos_Origen!$A$2:$A$2459,$Z990)</f>
        <v>989</v>
      </c>
      <c r="B990" s="62" t="n">
        <f aca="false">IF(ISNUMBER($AB990),$AB990,IF(MID($AB990,5,1)="-",DATE(VALUE(LEFT($AB990,4)),VALUE(MID($AB990,6,2)),VALUE(RIGHT($AB990,2))),DATE(VALUE(RIGHT($AB990,4)),VALUE(MID($AB990,4,2)),VALUE(LEFT($AB990,2)))))</f>
        <v>45577</v>
      </c>
      <c r="C990" s="61" t="n">
        <f aca="false">YEAR($B990)</f>
        <v>2024</v>
      </c>
      <c r="D990" s="61" t="str">
        <f aca="false">"Q"&amp;ROUNDUP(MONTH($B990)/3,0)</f>
        <v>Q4</v>
      </c>
      <c r="E990" s="61" t="n">
        <f aca="false">MONTH($B990)</f>
        <v>10</v>
      </c>
      <c r="F990" s="61" t="str">
        <f aca="false">INDEX(Parametros!$I$5:$I$16,$E990)</f>
        <v>Oct</v>
      </c>
      <c r="G990" s="61" t="str">
        <f aca="false">TEXT($C990,"0000")&amp;"-"&amp;TEXT($E990,"00")</f>
        <v>2024-10</v>
      </c>
      <c r="H990" s="61" t="str">
        <f aca="false">INDEX(Parametros!$C$71:$C$91,MATCH(TRIM(INDEX(Datos_Origen!$C$2:$C$2459,$Z990)),Parametros!$B$71:$B$91,0))</f>
        <v>NOA</v>
      </c>
      <c r="I990" s="61" t="str">
        <f aca="false">IF(TRIM($AD990)="",INDEX(Parametros!$I$20:$I$24,MATCH($H990,Parametros!$H$20:$H$24,0)),TRIM($AD990))</f>
        <v>Tucuman</v>
      </c>
      <c r="J990" s="61" t="str">
        <f aca="false">INDEX(Parametros!$C$95:$C$106,MATCH(TRIM(INDEX(Datos_Origen!$E$2:$E$2459,$Z990)),Parametros!$B$95:$B$106,0))</f>
        <v>Tienda fisica</v>
      </c>
      <c r="K990" s="61" t="str">
        <f aca="false">INDEX(Parametros!$C$48:$C$67,MATCH(TRIM(INDEX(Datos_Origen!$F$2:$F$2459,$Z990)),Parametros!$B$48:$B$67,0))</f>
        <v>Accesorios</v>
      </c>
      <c r="L990" s="61" t="str">
        <f aca="false">$K990&amp;" "&amp;$C990</f>
        <v>Accesorios 2024</v>
      </c>
      <c r="M990" s="61" t="str">
        <f aca="false">TRIM(INDEX(Datos_Origen!$G$2:$G$2459,$Z990))</f>
        <v>Teclado Mecanico</v>
      </c>
      <c r="N990" s="61" t="str">
        <f aca="false">$M990&amp;" "&amp;$C990</f>
        <v>Teclado Mecanico 2024</v>
      </c>
      <c r="O990" s="63" t="n">
        <f aca="false">IF(ISTEXT($AC990),VALUE($AC990),$AC990)</f>
        <v>34</v>
      </c>
      <c r="P990" s="64" t="n">
        <f aca="false">INDEX(Datos_Origen!$I$2:$I$2459,$Z990)</f>
        <v>93.1</v>
      </c>
      <c r="Q990" s="64" t="n">
        <f aca="false">INDEX(Datos_Origen!$J$2:$J$2459,$Z990)</f>
        <v>47.98</v>
      </c>
      <c r="R990" s="65" t="n">
        <f aca="false">ROUND($O990*$P990,2)</f>
        <v>3165.4</v>
      </c>
      <c r="S990" s="65" t="n">
        <f aca="false">ROUND($O990*$Q990,2)</f>
        <v>1631.32</v>
      </c>
      <c r="T990" s="65" t="n">
        <f aca="false">ROUND($R990*SUMIFS(Parametros!$E$28:$E$43,Parametros!$B$28:$B$43,$J990,Parametros!$C$28:$C$43,$C990,Parametros!$D$28:$D$43,$D990),2)</f>
        <v>41.15</v>
      </c>
      <c r="U990" s="65" t="n">
        <f aca="false">$R990-$S990-$T990</f>
        <v>1492.93</v>
      </c>
      <c r="V990" s="66" t="n">
        <f aca="false">IFERROR($U990/$R990,0)</f>
        <v>0.471640235041385</v>
      </c>
      <c r="W990" s="67" t="str">
        <f aca="false">IF(AND($V990&gt;=Parametros!$C$8,$R990&gt;=Parametros!$C$12),"Alta rentabilidad",IF(OR($V990&lt;Parametros!$C$11,$R990&lt;Parametros!$C$13),"Revisar","Estandar"))</f>
        <v>Alta rentabilidad</v>
      </c>
      <c r="X990" s="67" t="str">
        <f aca="false">IF(AND($J990="E-commerce",IFERROR($T990/$R990,0)&gt;Parametros!$C$14),"Alerta","OK")</f>
        <v>OK</v>
      </c>
      <c r="Y990" s="61" t="str">
        <f aca="false">IF($R990&gt;=Parametros!$C$12,"Alto",IF($R990&lt;Parametros!$C$13,"Bajo","Medio"))</f>
        <v>Alto</v>
      </c>
      <c r="Z990" s="61" t="n">
        <v>335</v>
      </c>
      <c r="AA990" s="61" t="str">
        <f aca="false">IF(MATCH($A990,Datos_Origen!$A$2:$A$2459,0)=$Z990,"OK","REVISAR")</f>
        <v>OK</v>
      </c>
      <c r="AB990" s="62" t="n">
        <f aca="false">INDEX(Datos_Origen!$B$2:$B$2459,$Z990)</f>
        <v>45577</v>
      </c>
      <c r="AC990" s="61" t="n">
        <f aca="false">INDEX(Datos_Origen!$H$2:$H$2459,$Z990)</f>
        <v>34</v>
      </c>
      <c r="AD990" s="61" t="str">
        <f aca="false">INDEX(Datos_Origen!$D$2:$D$2459,$Z990)&amp;""</f>
        <v>Tucuman</v>
      </c>
    </row>
    <row r="991" customFormat="false" ht="15" hidden="false" customHeight="false" outlineLevel="0" collapsed="false">
      <c r="A991" s="61" t="n">
        <f aca="false">INDEX(Datos_Origen!$A$2:$A$2459,$Z991)</f>
        <v>990</v>
      </c>
      <c r="B991" s="62" t="n">
        <f aca="false">IF(ISNUMBER($AB991),$AB991,IF(MID($AB991,5,1)="-",DATE(VALUE(LEFT($AB991,4)),VALUE(MID($AB991,6,2)),VALUE(RIGHT($AB991,2))),DATE(VALUE(RIGHT($AB991,4)),VALUE(MID($AB991,4,2)),VALUE(LEFT($AB991,2)))))</f>
        <v>45584</v>
      </c>
      <c r="C991" s="61" t="n">
        <f aca="false">YEAR($B991)</f>
        <v>2024</v>
      </c>
      <c r="D991" s="61" t="str">
        <f aca="false">"Q"&amp;ROUNDUP(MONTH($B991)/3,0)</f>
        <v>Q4</v>
      </c>
      <c r="E991" s="61" t="n">
        <f aca="false">MONTH($B991)</f>
        <v>10</v>
      </c>
      <c r="F991" s="61" t="str">
        <f aca="false">INDEX(Parametros!$I$5:$I$16,$E991)</f>
        <v>Oct</v>
      </c>
      <c r="G991" s="61" t="str">
        <f aca="false">TEXT($C991,"0000")&amp;"-"&amp;TEXT($E991,"00")</f>
        <v>2024-10</v>
      </c>
      <c r="H991" s="61" t="str">
        <f aca="false">INDEX(Parametros!$C$71:$C$91,MATCH(TRIM(INDEX(Datos_Origen!$C$2:$C$2459,$Z991)),Parametros!$B$71:$B$91,0))</f>
        <v>NOA</v>
      </c>
      <c r="I991" s="61" t="str">
        <f aca="false">IF(TRIM($AD991)="",INDEX(Parametros!$I$20:$I$24,MATCH($H991,Parametros!$H$20:$H$24,0)),TRIM($AD991))</f>
        <v>Tucuman</v>
      </c>
      <c r="J991" s="61" t="str">
        <f aca="false">INDEX(Parametros!$C$95:$C$106,MATCH(TRIM(INDEX(Datos_Origen!$E$2:$E$2459,$Z991)),Parametros!$B$95:$B$106,0))</f>
        <v>E-commerce</v>
      </c>
      <c r="K991" s="61" t="str">
        <f aca="false">INDEX(Parametros!$C$48:$C$67,MATCH(TRIM(INDEX(Datos_Origen!$F$2:$F$2459,$Z991)),Parametros!$B$48:$B$67,0))</f>
        <v>Accesorios</v>
      </c>
      <c r="L991" s="61" t="str">
        <f aca="false">$K991&amp;" "&amp;$C991</f>
        <v>Accesorios 2024</v>
      </c>
      <c r="M991" s="61" t="str">
        <f aca="false">TRIM(INDEX(Datos_Origen!$G$2:$G$2459,$Z991))</f>
        <v>Teclado Mecanico</v>
      </c>
      <c r="N991" s="61" t="str">
        <f aca="false">$M991&amp;" "&amp;$C991</f>
        <v>Teclado Mecanico 2024</v>
      </c>
      <c r="O991" s="63" t="n">
        <f aca="false">IF(ISTEXT($AC991),VALUE($AC991),$AC991)</f>
        <v>13</v>
      </c>
      <c r="P991" s="64" t="n">
        <f aca="false">INDEX(Datos_Origen!$I$2:$I$2459,$Z991)</f>
        <v>93.1</v>
      </c>
      <c r="Q991" s="64" t="n">
        <f aca="false">INDEX(Datos_Origen!$J$2:$J$2459,$Z991)</f>
        <v>47.98</v>
      </c>
      <c r="R991" s="65" t="n">
        <f aca="false">ROUND($O991*$P991,2)</f>
        <v>1210.3</v>
      </c>
      <c r="S991" s="65" t="n">
        <f aca="false">ROUND($O991*$Q991,2)</f>
        <v>623.74</v>
      </c>
      <c r="T991" s="65" t="n">
        <f aca="false">ROUND($R991*SUMIFS(Parametros!$E$28:$E$43,Parametros!$B$28:$B$43,$J991,Parametros!$C$28:$C$43,$C991,Parametros!$D$28:$D$43,$D991),2)</f>
        <v>58.09</v>
      </c>
      <c r="U991" s="65" t="n">
        <f aca="false">$R991-$S991-$T991</f>
        <v>528.47</v>
      </c>
      <c r="V991" s="66" t="n">
        <f aca="false">IFERROR($U991/$R991,0)</f>
        <v>0.436643807320499</v>
      </c>
      <c r="W991" s="67" t="str">
        <f aca="false">IF(AND($V991&gt;=Parametros!$C$8,$R991&gt;=Parametros!$C$12),"Alta rentabilidad",IF(OR($V991&lt;Parametros!$C$11,$R991&lt;Parametros!$C$13),"Revisar","Estandar"))</f>
        <v>Estandar</v>
      </c>
      <c r="X991" s="67" t="str">
        <f aca="false">IF(AND($J991="E-commerce",IFERROR($T991/$R991,0)&gt;Parametros!$C$14),"Alerta","OK")</f>
        <v>OK</v>
      </c>
      <c r="Y991" s="61" t="str">
        <f aca="false">IF($R991&gt;=Parametros!$C$12,"Alto",IF($R991&lt;Parametros!$C$13,"Bajo","Medio"))</f>
        <v>Medio</v>
      </c>
      <c r="Z991" s="61" t="n">
        <v>1306</v>
      </c>
      <c r="AA991" s="61" t="str">
        <f aca="false">IF(MATCH($A991,Datos_Origen!$A$2:$A$2459,0)=$Z991,"OK","REVISAR")</f>
        <v>OK</v>
      </c>
      <c r="AB991" s="62" t="n">
        <f aca="false">INDEX(Datos_Origen!$B$2:$B$2459,$Z991)</f>
        <v>45584</v>
      </c>
      <c r="AC991" s="61" t="n">
        <f aca="false">INDEX(Datos_Origen!$H$2:$H$2459,$Z991)</f>
        <v>13</v>
      </c>
      <c r="AD991" s="61" t="str">
        <f aca="false">INDEX(Datos_Origen!$D$2:$D$2459,$Z991)&amp;""</f>
        <v>Tucuman</v>
      </c>
    </row>
    <row r="992" customFormat="false" ht="15" hidden="false" customHeight="false" outlineLevel="0" collapsed="false">
      <c r="A992" s="61" t="n">
        <f aca="false">INDEX(Datos_Origen!$A$2:$A$2459,$Z992)</f>
        <v>991</v>
      </c>
      <c r="B992" s="62" t="n">
        <f aca="false">IF(ISNUMBER($AB992),$AB992,IF(MID($AB992,5,1)="-",DATE(VALUE(LEFT($AB992,4)),VALUE(MID($AB992,6,2)),VALUE(RIGHT($AB992,2))),DATE(VALUE(RIGHT($AB992,4)),VALUE(MID($AB992,4,2)),VALUE(LEFT($AB992,2)))))</f>
        <v>45591</v>
      </c>
      <c r="C992" s="61" t="n">
        <f aca="false">YEAR($B992)</f>
        <v>2024</v>
      </c>
      <c r="D992" s="61" t="str">
        <f aca="false">"Q"&amp;ROUNDUP(MONTH($B992)/3,0)</f>
        <v>Q4</v>
      </c>
      <c r="E992" s="61" t="n">
        <f aca="false">MONTH($B992)</f>
        <v>10</v>
      </c>
      <c r="F992" s="61" t="str">
        <f aca="false">INDEX(Parametros!$I$5:$I$16,$E992)</f>
        <v>Oct</v>
      </c>
      <c r="G992" s="61" t="str">
        <f aca="false">TEXT($C992,"0000")&amp;"-"&amp;TEXT($E992,"00")</f>
        <v>2024-10</v>
      </c>
      <c r="H992" s="61" t="str">
        <f aca="false">INDEX(Parametros!$C$71:$C$91,MATCH(TRIM(INDEX(Datos_Origen!$C$2:$C$2459,$Z992)),Parametros!$B$71:$B$91,0))</f>
        <v>NOA</v>
      </c>
      <c r="I992" s="61" t="str">
        <f aca="false">IF(TRIM($AD992)="",INDEX(Parametros!$I$20:$I$24,MATCH($H992,Parametros!$H$20:$H$24,0)),TRIM($AD992))</f>
        <v>Tucuman</v>
      </c>
      <c r="J992" s="61" t="str">
        <f aca="false">INDEX(Parametros!$C$95:$C$106,MATCH(TRIM(INDEX(Datos_Origen!$E$2:$E$2459,$Z992)),Parametros!$B$95:$B$106,0))</f>
        <v>Tienda fisica</v>
      </c>
      <c r="K992" s="61" t="str">
        <f aca="false">INDEX(Parametros!$C$48:$C$67,MATCH(TRIM(INDEX(Datos_Origen!$F$2:$F$2459,$Z992)),Parametros!$B$48:$B$67,0))</f>
        <v>Accesorios</v>
      </c>
      <c r="L992" s="61" t="str">
        <f aca="false">$K992&amp;" "&amp;$C992</f>
        <v>Accesorios 2024</v>
      </c>
      <c r="M992" s="61" t="str">
        <f aca="false">TRIM(INDEX(Datos_Origen!$G$2:$G$2459,$Z992))</f>
        <v>Webcam Full HD</v>
      </c>
      <c r="N992" s="61" t="str">
        <f aca="false">$M992&amp;" "&amp;$C992</f>
        <v>Webcam Full HD 2024</v>
      </c>
      <c r="O992" s="63" t="n">
        <f aca="false">IF(ISTEXT($AC992),VALUE($AC992),$AC992)</f>
        <v>32</v>
      </c>
      <c r="P992" s="64" t="n">
        <f aca="false">INDEX(Datos_Origen!$I$2:$I$2459,$Z992)</f>
        <v>63.7</v>
      </c>
      <c r="Q992" s="64" t="n">
        <f aca="false">INDEX(Datos_Origen!$J$2:$J$2459,$Z992)</f>
        <v>35.43</v>
      </c>
      <c r="R992" s="65" t="n">
        <f aca="false">ROUND($O992*$P992,2)</f>
        <v>2038.4</v>
      </c>
      <c r="S992" s="65" t="n">
        <f aca="false">ROUND($O992*$Q992,2)</f>
        <v>1133.76</v>
      </c>
      <c r="T992" s="65" t="n">
        <f aca="false">ROUND($R992*SUMIFS(Parametros!$E$28:$E$43,Parametros!$B$28:$B$43,$J992,Parametros!$C$28:$C$43,$C992,Parametros!$D$28:$D$43,$D992),2)</f>
        <v>26.5</v>
      </c>
      <c r="U992" s="65" t="n">
        <f aca="false">$R992-$S992-$T992</f>
        <v>878.14</v>
      </c>
      <c r="V992" s="66" t="n">
        <f aca="false">IFERROR($U992/$R992,0)</f>
        <v>0.430798665620094</v>
      </c>
      <c r="W992" s="67" t="str">
        <f aca="false">IF(AND($V992&gt;=Parametros!$C$8,$R992&gt;=Parametros!$C$12),"Alta rentabilidad",IF(OR($V992&lt;Parametros!$C$11,$R992&lt;Parametros!$C$13),"Revisar","Estandar"))</f>
        <v>Estandar</v>
      </c>
      <c r="X992" s="67" t="str">
        <f aca="false">IF(AND($J992="E-commerce",IFERROR($T992/$R992,0)&gt;Parametros!$C$14),"Alerta","OK")</f>
        <v>OK</v>
      </c>
      <c r="Y992" s="61" t="str">
        <f aca="false">IF($R992&gt;=Parametros!$C$12,"Alto",IF($R992&lt;Parametros!$C$13,"Bajo","Medio"))</f>
        <v>Medio</v>
      </c>
      <c r="Z992" s="61" t="n">
        <v>2397</v>
      </c>
      <c r="AA992" s="61" t="str">
        <f aca="false">IF(MATCH($A992,Datos_Origen!$A$2:$A$2459,0)=$Z992,"OK","REVISAR")</f>
        <v>OK</v>
      </c>
      <c r="AB992" s="62" t="n">
        <f aca="false">INDEX(Datos_Origen!$B$2:$B$2459,$Z992)</f>
        <v>45591</v>
      </c>
      <c r="AC992" s="61" t="n">
        <f aca="false">INDEX(Datos_Origen!$H$2:$H$2459,$Z992)</f>
        <v>32</v>
      </c>
      <c r="AD992" s="61" t="str">
        <f aca="false">INDEX(Datos_Origen!$D$2:$D$2459,$Z992)&amp;""</f>
        <v>Tucuman</v>
      </c>
    </row>
    <row r="993" customFormat="false" ht="15" hidden="false" customHeight="false" outlineLevel="0" collapsed="false">
      <c r="A993" s="61" t="n">
        <f aca="false">INDEX(Datos_Origen!$A$2:$A$2459,$Z993)</f>
        <v>992</v>
      </c>
      <c r="B993" s="62" t="n">
        <f aca="false">IF(ISNUMBER($AB993),$AB993,IF(MID($AB993,5,1)="-",DATE(VALUE(LEFT($AB993,4)),VALUE(MID($AB993,6,2)),VALUE(RIGHT($AB993,2))),DATE(VALUE(RIGHT($AB993,4)),VALUE(MID($AB993,4,2)),VALUE(LEFT($AB993,2)))))</f>
        <v>45571</v>
      </c>
      <c r="C993" s="61" t="n">
        <f aca="false">YEAR($B993)</f>
        <v>2024</v>
      </c>
      <c r="D993" s="61" t="str">
        <f aca="false">"Q"&amp;ROUNDUP(MONTH($B993)/3,0)</f>
        <v>Q4</v>
      </c>
      <c r="E993" s="61" t="n">
        <f aca="false">MONTH($B993)</f>
        <v>10</v>
      </c>
      <c r="F993" s="61" t="str">
        <f aca="false">INDEX(Parametros!$I$5:$I$16,$E993)</f>
        <v>Oct</v>
      </c>
      <c r="G993" s="61" t="str">
        <f aca="false">TEXT($C993,"0000")&amp;"-"&amp;TEXT($E993,"00")</f>
        <v>2024-10</v>
      </c>
      <c r="H993" s="61" t="str">
        <f aca="false">INDEX(Parametros!$C$71:$C$91,MATCH(TRIM(INDEX(Datos_Origen!$C$2:$C$2459,$Z993)),Parametros!$B$71:$B$91,0))</f>
        <v>NOA</v>
      </c>
      <c r="I993" s="61" t="str">
        <f aca="false">IF(TRIM($AD993)="",INDEX(Parametros!$I$20:$I$24,MATCH($H993,Parametros!$H$20:$H$24,0)),TRIM($AD993))</f>
        <v>Tucuman</v>
      </c>
      <c r="J993" s="61" t="str">
        <f aca="false">INDEX(Parametros!$C$95:$C$106,MATCH(TRIM(INDEX(Datos_Origen!$E$2:$E$2459,$Z993)),Parametros!$B$95:$B$106,0))</f>
        <v>E-commerce</v>
      </c>
      <c r="K993" s="61" t="str">
        <f aca="false">INDEX(Parametros!$C$48:$C$67,MATCH(TRIM(INDEX(Datos_Origen!$F$2:$F$2459,$Z993)),Parametros!$B$48:$B$67,0))</f>
        <v>Accesorios</v>
      </c>
      <c r="L993" s="61" t="str">
        <f aca="false">$K993&amp;" "&amp;$C993</f>
        <v>Accesorios 2024</v>
      </c>
      <c r="M993" s="61" t="str">
        <f aca="false">TRIM(INDEX(Datos_Origen!$G$2:$G$2459,$Z993))</f>
        <v>Webcam Full HD</v>
      </c>
      <c r="N993" s="61" t="str">
        <f aca="false">$M993&amp;" "&amp;$C993</f>
        <v>Webcam Full HD 2024</v>
      </c>
      <c r="O993" s="63" t="n">
        <f aca="false">IF(ISTEXT($AC993),VALUE($AC993),$AC993)</f>
        <v>14</v>
      </c>
      <c r="P993" s="64" t="n">
        <f aca="false">INDEX(Datos_Origen!$I$2:$I$2459,$Z993)</f>
        <v>63.7</v>
      </c>
      <c r="Q993" s="64" t="n">
        <f aca="false">INDEX(Datos_Origen!$J$2:$J$2459,$Z993)</f>
        <v>35.43</v>
      </c>
      <c r="R993" s="65" t="n">
        <f aca="false">ROUND($O993*$P993,2)</f>
        <v>891.8</v>
      </c>
      <c r="S993" s="65" t="n">
        <f aca="false">ROUND($O993*$Q993,2)</f>
        <v>496.02</v>
      </c>
      <c r="T993" s="65" t="n">
        <f aca="false">ROUND($R993*SUMIFS(Parametros!$E$28:$E$43,Parametros!$B$28:$B$43,$J993,Parametros!$C$28:$C$43,$C993,Parametros!$D$28:$D$43,$D993),2)</f>
        <v>42.81</v>
      </c>
      <c r="U993" s="65" t="n">
        <f aca="false">$R993-$S993-$T993</f>
        <v>352.97</v>
      </c>
      <c r="V993" s="66" t="n">
        <f aca="false">IFERROR($U993/$R993,0)</f>
        <v>0.395795021305225</v>
      </c>
      <c r="W993" s="67" t="str">
        <f aca="false">IF(AND($V993&gt;=Parametros!$C$8,$R993&gt;=Parametros!$C$12),"Alta rentabilidad",IF(OR($V993&lt;Parametros!$C$11,$R993&lt;Parametros!$C$13),"Revisar","Estandar"))</f>
        <v>Estandar</v>
      </c>
      <c r="X993" s="67" t="str">
        <f aca="false">IF(AND($J993="E-commerce",IFERROR($T993/$R993,0)&gt;Parametros!$C$14),"Alerta","OK")</f>
        <v>OK</v>
      </c>
      <c r="Y993" s="61" t="str">
        <f aca="false">IF($R993&gt;=Parametros!$C$12,"Alto",IF($R993&lt;Parametros!$C$13,"Bajo","Medio"))</f>
        <v>Medio</v>
      </c>
      <c r="Z993" s="61" t="n">
        <v>2289</v>
      </c>
      <c r="AA993" s="61" t="str">
        <f aca="false">IF(MATCH($A993,Datos_Origen!$A$2:$A$2459,0)=$Z993,"OK","REVISAR")</f>
        <v>OK</v>
      </c>
      <c r="AB993" s="61" t="str">
        <f aca="false">INDEX(Datos_Origen!$B$2:$B$2459,$Z993)</f>
        <v>06/10/2024</v>
      </c>
      <c r="AC993" s="61" t="str">
        <f aca="false">INDEX(Datos_Origen!$H$2:$H$2459,$Z993)</f>
        <v>14</v>
      </c>
      <c r="AD993" s="61" t="str">
        <f aca="false">INDEX(Datos_Origen!$D$2:$D$2459,$Z993)&amp;""</f>
        <v>Tucuman</v>
      </c>
    </row>
    <row r="994" customFormat="false" ht="15" hidden="false" customHeight="false" outlineLevel="0" collapsed="false">
      <c r="A994" s="61" t="n">
        <f aca="false">INDEX(Datos_Origen!$A$2:$A$2459,$Z994)</f>
        <v>993</v>
      </c>
      <c r="B994" s="62" t="n">
        <f aca="false">IF(ISNUMBER($AB994),$AB994,IF(MID($AB994,5,1)="-",DATE(VALUE(LEFT($AB994,4)),VALUE(MID($AB994,6,2)),VALUE(RIGHT($AB994,2))),DATE(VALUE(RIGHT($AB994,4)),VALUE(MID($AB994,4,2)),VALUE(LEFT($AB994,2)))))</f>
        <v>45578</v>
      </c>
      <c r="C994" s="61" t="n">
        <f aca="false">YEAR($B994)</f>
        <v>2024</v>
      </c>
      <c r="D994" s="61" t="str">
        <f aca="false">"Q"&amp;ROUNDUP(MONTH($B994)/3,0)</f>
        <v>Q4</v>
      </c>
      <c r="E994" s="61" t="n">
        <f aca="false">MONTH($B994)</f>
        <v>10</v>
      </c>
      <c r="F994" s="61" t="str">
        <f aca="false">INDEX(Parametros!$I$5:$I$16,$E994)</f>
        <v>Oct</v>
      </c>
      <c r="G994" s="61" t="str">
        <f aca="false">TEXT($C994,"0000")&amp;"-"&amp;TEXT($E994,"00")</f>
        <v>2024-10</v>
      </c>
      <c r="H994" s="61" t="str">
        <f aca="false">INDEX(Parametros!$C$71:$C$91,MATCH(TRIM(INDEX(Datos_Origen!$C$2:$C$2459,$Z994)),Parametros!$B$71:$B$91,0))</f>
        <v>NOA</v>
      </c>
      <c r="I994" s="61" t="str">
        <f aca="false">IF(TRIM($AD994)="",INDEX(Parametros!$I$20:$I$24,MATCH($H994,Parametros!$H$20:$H$24,0)),TRIM($AD994))</f>
        <v>Tucuman</v>
      </c>
      <c r="J994" s="61" t="str">
        <f aca="false">INDEX(Parametros!$C$95:$C$106,MATCH(TRIM(INDEX(Datos_Origen!$E$2:$E$2459,$Z994)),Parametros!$B$95:$B$106,0))</f>
        <v>Tienda fisica</v>
      </c>
      <c r="K994" s="61" t="str">
        <f aca="false">INDEX(Parametros!$C$48:$C$67,MATCH(TRIM(INDEX(Datos_Origen!$F$2:$F$2459,$Z994)),Parametros!$B$48:$B$67,0))</f>
        <v>Audio</v>
      </c>
      <c r="L994" s="61" t="str">
        <f aca="false">$K994&amp;" "&amp;$C994</f>
        <v>Audio 2024</v>
      </c>
      <c r="M994" s="61" t="str">
        <f aca="false">TRIM(INDEX(Datos_Origen!$G$2:$G$2459,$Z994))</f>
        <v>Auriculares BT Pro</v>
      </c>
      <c r="N994" s="61" t="str">
        <f aca="false">$M994&amp;" "&amp;$C994</f>
        <v>Auriculares BT Pro 2024</v>
      </c>
      <c r="O994" s="63" t="n">
        <f aca="false">IF(ISTEXT($AC994),VALUE($AC994),$AC994)</f>
        <v>12</v>
      </c>
      <c r="P994" s="64" t="n">
        <f aca="false">INDEX(Datos_Origen!$I$2:$I$2459,$Z994)</f>
        <v>117.6</v>
      </c>
      <c r="Q994" s="64" t="n">
        <f aca="false">INDEX(Datos_Origen!$J$2:$J$2459,$Z994)</f>
        <v>63.6</v>
      </c>
      <c r="R994" s="65" t="n">
        <f aca="false">ROUND($O994*$P994,2)</f>
        <v>1411.2</v>
      </c>
      <c r="S994" s="65" t="n">
        <f aca="false">ROUND($O994*$Q994,2)</f>
        <v>763.2</v>
      </c>
      <c r="T994" s="65" t="n">
        <f aca="false">ROUND($R994*SUMIFS(Parametros!$E$28:$E$43,Parametros!$B$28:$B$43,$J994,Parametros!$C$28:$C$43,$C994,Parametros!$D$28:$D$43,$D994),2)</f>
        <v>18.35</v>
      </c>
      <c r="U994" s="65" t="n">
        <f aca="false">$R994-$S994-$T994</f>
        <v>629.65</v>
      </c>
      <c r="V994" s="66" t="n">
        <f aca="false">IFERROR($U994/$R994,0)</f>
        <v>0.446180555555556</v>
      </c>
      <c r="W994" s="67" t="str">
        <f aca="false">IF(AND($V994&gt;=Parametros!$C$8,$R994&gt;=Parametros!$C$12),"Alta rentabilidad",IF(OR($V994&lt;Parametros!$C$11,$R994&lt;Parametros!$C$13),"Revisar","Estandar"))</f>
        <v>Estandar</v>
      </c>
      <c r="X994" s="67" t="str">
        <f aca="false">IF(AND($J994="E-commerce",IFERROR($T994/$R994,0)&gt;Parametros!$C$14),"Alerta","OK")</f>
        <v>OK</v>
      </c>
      <c r="Y994" s="61" t="str">
        <f aca="false">IF($R994&gt;=Parametros!$C$12,"Alto",IF($R994&lt;Parametros!$C$13,"Bajo","Medio"))</f>
        <v>Medio</v>
      </c>
      <c r="Z994" s="61" t="n">
        <v>228</v>
      </c>
      <c r="AA994" s="61" t="str">
        <f aca="false">IF(MATCH($A994,Datos_Origen!$A$2:$A$2459,0)=$Z994,"OK","REVISAR")</f>
        <v>OK</v>
      </c>
      <c r="AB994" s="62" t="n">
        <f aca="false">INDEX(Datos_Origen!$B$2:$B$2459,$Z994)</f>
        <v>45578</v>
      </c>
      <c r="AC994" s="61" t="n">
        <f aca="false">INDEX(Datos_Origen!$H$2:$H$2459,$Z994)</f>
        <v>12</v>
      </c>
      <c r="AD994" s="61" t="str">
        <f aca="false">INDEX(Datos_Origen!$D$2:$D$2459,$Z994)&amp;""</f>
        <v>Tucuman</v>
      </c>
    </row>
    <row r="995" customFormat="false" ht="15" hidden="false" customHeight="false" outlineLevel="0" collapsed="false">
      <c r="A995" s="61" t="n">
        <f aca="false">INDEX(Datos_Origen!$A$2:$A$2459,$Z995)</f>
        <v>994</v>
      </c>
      <c r="B995" s="62" t="n">
        <f aca="false">IF(ISNUMBER($AB995),$AB995,IF(MID($AB995,5,1)="-",DATE(VALUE(LEFT($AB995,4)),VALUE(MID($AB995,6,2)),VALUE(RIGHT($AB995,2))),DATE(VALUE(RIGHT($AB995,4)),VALUE(MID($AB995,4,2)),VALUE(LEFT($AB995,2)))))</f>
        <v>45585</v>
      </c>
      <c r="C995" s="61" t="n">
        <f aca="false">YEAR($B995)</f>
        <v>2024</v>
      </c>
      <c r="D995" s="61" t="str">
        <f aca="false">"Q"&amp;ROUNDUP(MONTH($B995)/3,0)</f>
        <v>Q4</v>
      </c>
      <c r="E995" s="61" t="n">
        <f aca="false">MONTH($B995)</f>
        <v>10</v>
      </c>
      <c r="F995" s="61" t="str">
        <f aca="false">INDEX(Parametros!$I$5:$I$16,$E995)</f>
        <v>Oct</v>
      </c>
      <c r="G995" s="61" t="str">
        <f aca="false">TEXT($C995,"0000")&amp;"-"&amp;TEXT($E995,"00")</f>
        <v>2024-10</v>
      </c>
      <c r="H995" s="61" t="str">
        <f aca="false">INDEX(Parametros!$C$71:$C$91,MATCH(TRIM(INDEX(Datos_Origen!$C$2:$C$2459,$Z995)),Parametros!$B$71:$B$91,0))</f>
        <v>NOA</v>
      </c>
      <c r="I995" s="61" t="str">
        <f aca="false">IF(TRIM($AD995)="",INDEX(Parametros!$I$20:$I$24,MATCH($H995,Parametros!$H$20:$H$24,0)),TRIM($AD995))</f>
        <v>Tucuman</v>
      </c>
      <c r="J995" s="61" t="str">
        <f aca="false">INDEX(Parametros!$C$95:$C$106,MATCH(TRIM(INDEX(Datos_Origen!$E$2:$E$2459,$Z995)),Parametros!$B$95:$B$106,0))</f>
        <v>E-commerce</v>
      </c>
      <c r="K995" s="61" t="str">
        <f aca="false">INDEX(Parametros!$C$48:$C$67,MATCH(TRIM(INDEX(Datos_Origen!$F$2:$F$2459,$Z995)),Parametros!$B$48:$B$67,0))</f>
        <v>Audio</v>
      </c>
      <c r="L995" s="61" t="str">
        <f aca="false">$K995&amp;" "&amp;$C995</f>
        <v>Audio 2024</v>
      </c>
      <c r="M995" s="61" t="str">
        <f aca="false">TRIM(INDEX(Datos_Origen!$G$2:$G$2459,$Z995))</f>
        <v>Auriculares BT Pro</v>
      </c>
      <c r="N995" s="61" t="str">
        <f aca="false">$M995&amp;" "&amp;$C995</f>
        <v>Auriculares BT Pro 2024</v>
      </c>
      <c r="O995" s="63" t="n">
        <f aca="false">IF(ISTEXT($AC995),VALUE($AC995),$AC995)</f>
        <v>7</v>
      </c>
      <c r="P995" s="64" t="n">
        <f aca="false">INDEX(Datos_Origen!$I$2:$I$2459,$Z995)</f>
        <v>117.6</v>
      </c>
      <c r="Q995" s="64" t="n">
        <f aca="false">INDEX(Datos_Origen!$J$2:$J$2459,$Z995)</f>
        <v>63.6</v>
      </c>
      <c r="R995" s="65" t="n">
        <f aca="false">ROUND($O995*$P995,2)</f>
        <v>823.2</v>
      </c>
      <c r="S995" s="65" t="n">
        <f aca="false">ROUND($O995*$Q995,2)</f>
        <v>445.2</v>
      </c>
      <c r="T995" s="65" t="n">
        <f aca="false">ROUND($R995*SUMIFS(Parametros!$E$28:$E$43,Parametros!$B$28:$B$43,$J995,Parametros!$C$28:$C$43,$C995,Parametros!$D$28:$D$43,$D995),2)</f>
        <v>39.51</v>
      </c>
      <c r="U995" s="65" t="n">
        <f aca="false">$R995-$S995-$T995</f>
        <v>338.49</v>
      </c>
      <c r="V995" s="66" t="n">
        <f aca="false">IFERROR($U995/$R995,0)</f>
        <v>0.41118804664723</v>
      </c>
      <c r="W995" s="67" t="str">
        <f aca="false">IF(AND($V995&gt;=Parametros!$C$8,$R995&gt;=Parametros!$C$12),"Alta rentabilidad",IF(OR($V995&lt;Parametros!$C$11,$R995&lt;Parametros!$C$13),"Revisar","Estandar"))</f>
        <v>Estandar</v>
      </c>
      <c r="X995" s="67" t="str">
        <f aca="false">IF(AND($J995="E-commerce",IFERROR($T995/$R995,0)&gt;Parametros!$C$14),"Alerta","OK")</f>
        <v>OK</v>
      </c>
      <c r="Y995" s="61" t="str">
        <f aca="false">IF($R995&gt;=Parametros!$C$12,"Alto",IF($R995&lt;Parametros!$C$13,"Bajo","Medio"))</f>
        <v>Medio</v>
      </c>
      <c r="Z995" s="61" t="n">
        <v>351</v>
      </c>
      <c r="AA995" s="61" t="str">
        <f aca="false">IF(MATCH($A995,Datos_Origen!$A$2:$A$2459,0)=$Z995,"OK","REVISAR")</f>
        <v>OK</v>
      </c>
      <c r="AB995" s="62" t="n">
        <f aca="false">INDEX(Datos_Origen!$B$2:$B$2459,$Z995)</f>
        <v>45585</v>
      </c>
      <c r="AC995" s="61" t="n">
        <f aca="false">INDEX(Datos_Origen!$H$2:$H$2459,$Z995)</f>
        <v>7</v>
      </c>
      <c r="AD995" s="61" t="str">
        <f aca="false">INDEX(Datos_Origen!$D$2:$D$2459,$Z995)&amp;""</f>
        <v>Tucuman</v>
      </c>
    </row>
    <row r="996" customFormat="false" ht="15" hidden="false" customHeight="false" outlineLevel="0" collapsed="false">
      <c r="A996" s="61" t="n">
        <f aca="false">INDEX(Datos_Origen!$A$2:$A$2459,$Z996)</f>
        <v>995</v>
      </c>
      <c r="B996" s="62" t="n">
        <f aca="false">IF(ISNUMBER($AB996),$AB996,IF(MID($AB996,5,1)="-",DATE(VALUE(LEFT($AB996,4)),VALUE(MID($AB996,6,2)),VALUE(RIGHT($AB996,2))),DATE(VALUE(RIGHT($AB996,4)),VALUE(MID($AB996,4,2)),VALUE(LEFT($AB996,2)))))</f>
        <v>45592</v>
      </c>
      <c r="C996" s="61" t="n">
        <f aca="false">YEAR($B996)</f>
        <v>2024</v>
      </c>
      <c r="D996" s="61" t="str">
        <f aca="false">"Q"&amp;ROUNDUP(MONTH($B996)/3,0)</f>
        <v>Q4</v>
      </c>
      <c r="E996" s="61" t="n">
        <f aca="false">MONTH($B996)</f>
        <v>10</v>
      </c>
      <c r="F996" s="61" t="str">
        <f aca="false">INDEX(Parametros!$I$5:$I$16,$E996)</f>
        <v>Oct</v>
      </c>
      <c r="G996" s="61" t="str">
        <f aca="false">TEXT($C996,"0000")&amp;"-"&amp;TEXT($E996,"00")</f>
        <v>2024-10</v>
      </c>
      <c r="H996" s="61" t="str">
        <f aca="false">INDEX(Parametros!$C$71:$C$91,MATCH(TRIM(INDEX(Datos_Origen!$C$2:$C$2459,$Z996)),Parametros!$B$71:$B$91,0))</f>
        <v>NOA</v>
      </c>
      <c r="I996" s="61" t="str">
        <f aca="false">IF(TRIM($AD996)="",INDEX(Parametros!$I$20:$I$24,MATCH($H996,Parametros!$H$20:$H$24,0)),TRIM($AD996))</f>
        <v>Tucuman</v>
      </c>
      <c r="J996" s="61" t="str">
        <f aca="false">INDEX(Parametros!$C$95:$C$106,MATCH(TRIM(INDEX(Datos_Origen!$E$2:$E$2459,$Z996)),Parametros!$B$95:$B$106,0))</f>
        <v>Tienda fisica</v>
      </c>
      <c r="K996" s="61" t="str">
        <f aca="false">INDEX(Parametros!$C$48:$C$67,MATCH(TRIM(INDEX(Datos_Origen!$F$2:$F$2459,$Z996)),Parametros!$B$48:$B$67,0))</f>
        <v>Audio</v>
      </c>
      <c r="L996" s="61" t="str">
        <f aca="false">$K996&amp;" "&amp;$C996</f>
        <v>Audio 2024</v>
      </c>
      <c r="M996" s="61" t="str">
        <f aca="false">TRIM(INDEX(Datos_Origen!$G$2:$G$2459,$Z996))</f>
        <v>Parlante Bluetooth</v>
      </c>
      <c r="N996" s="61" t="str">
        <f aca="false">$M996&amp;" "&amp;$C996</f>
        <v>Parlante Bluetooth 2024</v>
      </c>
      <c r="O996" s="63" t="n">
        <f aca="false">IF(ISTEXT($AC996),VALUE($AC996),$AC996)</f>
        <v>17</v>
      </c>
      <c r="P996" s="64" t="n">
        <f aca="false">INDEX(Datos_Origen!$I$2:$I$2459,$Z996)</f>
        <v>83.3</v>
      </c>
      <c r="Q996" s="64" t="n">
        <f aca="false">INDEX(Datos_Origen!$J$2:$J$2459,$Z996)</f>
        <v>48.03</v>
      </c>
      <c r="R996" s="65" t="n">
        <f aca="false">ROUND($O996*$P996,2)</f>
        <v>1416.1</v>
      </c>
      <c r="S996" s="65" t="n">
        <f aca="false">ROUND($O996*$Q996,2)</f>
        <v>816.51</v>
      </c>
      <c r="T996" s="65" t="n">
        <f aca="false">ROUND($R996*SUMIFS(Parametros!$E$28:$E$43,Parametros!$B$28:$B$43,$J996,Parametros!$C$28:$C$43,$C996,Parametros!$D$28:$D$43,$D996),2)</f>
        <v>18.41</v>
      </c>
      <c r="U996" s="65" t="n">
        <f aca="false">$R996-$S996-$T996</f>
        <v>581.18</v>
      </c>
      <c r="V996" s="66" t="n">
        <f aca="false">IFERROR($U996/$R996,0)</f>
        <v>0.410408869430125</v>
      </c>
      <c r="W996" s="67" t="str">
        <f aca="false">IF(AND($V996&gt;=Parametros!$C$8,$R996&gt;=Parametros!$C$12),"Alta rentabilidad",IF(OR($V996&lt;Parametros!$C$11,$R996&lt;Parametros!$C$13),"Revisar","Estandar"))</f>
        <v>Estandar</v>
      </c>
      <c r="X996" s="67" t="str">
        <f aca="false">IF(AND($J996="E-commerce",IFERROR($T996/$R996,0)&gt;Parametros!$C$14),"Alerta","OK")</f>
        <v>OK</v>
      </c>
      <c r="Y996" s="61" t="str">
        <f aca="false">IF($R996&gt;=Parametros!$C$12,"Alto",IF($R996&lt;Parametros!$C$13,"Bajo","Medio"))</f>
        <v>Medio</v>
      </c>
      <c r="Z996" s="61" t="n">
        <v>1766</v>
      </c>
      <c r="AA996" s="61" t="str">
        <f aca="false">IF(MATCH($A996,Datos_Origen!$A$2:$A$2459,0)=$Z996,"OK","REVISAR")</f>
        <v>OK</v>
      </c>
      <c r="AB996" s="61" t="str">
        <f aca="false">INDEX(Datos_Origen!$B$2:$B$2459,$Z996)</f>
        <v>27/10/2024</v>
      </c>
      <c r="AC996" s="61" t="n">
        <f aca="false">INDEX(Datos_Origen!$H$2:$H$2459,$Z996)</f>
        <v>17</v>
      </c>
      <c r="AD996" s="61" t="str">
        <f aca="false">INDEX(Datos_Origen!$D$2:$D$2459,$Z996)&amp;""</f>
        <v>Tucuman</v>
      </c>
    </row>
    <row r="997" customFormat="false" ht="15" hidden="false" customHeight="false" outlineLevel="0" collapsed="false">
      <c r="A997" s="61" t="n">
        <f aca="false">INDEX(Datos_Origen!$A$2:$A$2459,$Z997)</f>
        <v>996</v>
      </c>
      <c r="B997" s="62" t="n">
        <f aca="false">IF(ISNUMBER($AB997),$AB997,IF(MID($AB997,5,1)="-",DATE(VALUE(LEFT($AB997,4)),VALUE(MID($AB997,6,2)),VALUE(RIGHT($AB997,2))),DATE(VALUE(RIGHT($AB997,4)),VALUE(MID($AB997,4,2)),VALUE(LEFT($AB997,2)))))</f>
        <v>45572</v>
      </c>
      <c r="C997" s="61" t="n">
        <f aca="false">YEAR($B997)</f>
        <v>2024</v>
      </c>
      <c r="D997" s="61" t="str">
        <f aca="false">"Q"&amp;ROUNDUP(MONTH($B997)/3,0)</f>
        <v>Q4</v>
      </c>
      <c r="E997" s="61" t="n">
        <f aca="false">MONTH($B997)</f>
        <v>10</v>
      </c>
      <c r="F997" s="61" t="str">
        <f aca="false">INDEX(Parametros!$I$5:$I$16,$E997)</f>
        <v>Oct</v>
      </c>
      <c r="G997" s="61" t="str">
        <f aca="false">TEXT($C997,"0000")&amp;"-"&amp;TEXT($E997,"00")</f>
        <v>2024-10</v>
      </c>
      <c r="H997" s="61" t="str">
        <f aca="false">INDEX(Parametros!$C$71:$C$91,MATCH(TRIM(INDEX(Datos_Origen!$C$2:$C$2459,$Z997)),Parametros!$B$71:$B$91,0))</f>
        <v>NOA</v>
      </c>
      <c r="I997" s="61" t="str">
        <f aca="false">IF(TRIM($AD997)="",INDEX(Parametros!$I$20:$I$24,MATCH($H997,Parametros!$H$20:$H$24,0)),TRIM($AD997))</f>
        <v>Tucuman</v>
      </c>
      <c r="J997" s="61" t="str">
        <f aca="false">INDEX(Parametros!$C$95:$C$106,MATCH(TRIM(INDEX(Datos_Origen!$E$2:$E$2459,$Z997)),Parametros!$B$95:$B$106,0))</f>
        <v>E-commerce</v>
      </c>
      <c r="K997" s="61" t="str">
        <f aca="false">INDEX(Parametros!$C$48:$C$67,MATCH(TRIM(INDEX(Datos_Origen!$F$2:$F$2459,$Z997)),Parametros!$B$48:$B$67,0))</f>
        <v>Audio</v>
      </c>
      <c r="L997" s="61" t="str">
        <f aca="false">$K997&amp;" "&amp;$C997</f>
        <v>Audio 2024</v>
      </c>
      <c r="M997" s="61" t="str">
        <f aca="false">TRIM(INDEX(Datos_Origen!$G$2:$G$2459,$Z997))</f>
        <v>Parlante Bluetooth</v>
      </c>
      <c r="N997" s="61" t="str">
        <f aca="false">$M997&amp;" "&amp;$C997</f>
        <v>Parlante Bluetooth 2024</v>
      </c>
      <c r="O997" s="63" t="n">
        <f aca="false">IF(ISTEXT($AC997),VALUE($AC997),$AC997)</f>
        <v>7</v>
      </c>
      <c r="P997" s="64" t="n">
        <f aca="false">INDEX(Datos_Origen!$I$2:$I$2459,$Z997)</f>
        <v>83.3</v>
      </c>
      <c r="Q997" s="64" t="n">
        <f aca="false">INDEX(Datos_Origen!$J$2:$J$2459,$Z997)</f>
        <v>48.03</v>
      </c>
      <c r="R997" s="65" t="n">
        <f aca="false">ROUND($O997*$P997,2)</f>
        <v>583.1</v>
      </c>
      <c r="S997" s="65" t="n">
        <f aca="false">ROUND($O997*$Q997,2)</f>
        <v>336.21</v>
      </c>
      <c r="T997" s="65" t="n">
        <f aca="false">ROUND($R997*SUMIFS(Parametros!$E$28:$E$43,Parametros!$B$28:$B$43,$J997,Parametros!$C$28:$C$43,$C997,Parametros!$D$28:$D$43,$D997),2)</f>
        <v>27.99</v>
      </c>
      <c r="U997" s="65" t="n">
        <f aca="false">$R997-$S997-$T997</f>
        <v>218.9</v>
      </c>
      <c r="V997" s="66" t="n">
        <f aca="false">IFERROR($U997/$R997,0)</f>
        <v>0.375407305779455</v>
      </c>
      <c r="W997" s="67" t="str">
        <f aca="false">IF(AND($V997&gt;=Parametros!$C$8,$R997&gt;=Parametros!$C$12),"Alta rentabilidad",IF(OR($V997&lt;Parametros!$C$11,$R997&lt;Parametros!$C$13),"Revisar","Estandar"))</f>
        <v>Estandar</v>
      </c>
      <c r="X997" s="67" t="str">
        <f aca="false">IF(AND($J997="E-commerce",IFERROR($T997/$R997,0)&gt;Parametros!$C$14),"Alerta","OK")</f>
        <v>OK</v>
      </c>
      <c r="Y997" s="61" t="str">
        <f aca="false">IF($R997&gt;=Parametros!$C$12,"Alto",IF($R997&lt;Parametros!$C$13,"Bajo","Medio"))</f>
        <v>Medio</v>
      </c>
      <c r="Z997" s="61" t="n">
        <v>203</v>
      </c>
      <c r="AA997" s="61" t="str">
        <f aca="false">IF(MATCH($A997,Datos_Origen!$A$2:$A$2459,0)=$Z997,"OK","REVISAR")</f>
        <v>OK</v>
      </c>
      <c r="AB997" s="62" t="n">
        <f aca="false">INDEX(Datos_Origen!$B$2:$B$2459,$Z997)</f>
        <v>45572</v>
      </c>
      <c r="AC997" s="61" t="str">
        <f aca="false">INDEX(Datos_Origen!$H$2:$H$2459,$Z997)</f>
        <v>7</v>
      </c>
      <c r="AD997" s="61" t="str">
        <f aca="false">INDEX(Datos_Origen!$D$2:$D$2459,$Z997)&amp;""</f>
        <v>Tucuman</v>
      </c>
    </row>
    <row r="998" customFormat="false" ht="15" hidden="false" customHeight="false" outlineLevel="0" collapsed="false">
      <c r="A998" s="61" t="n">
        <f aca="false">INDEX(Datos_Origen!$A$2:$A$2459,$Z998)</f>
        <v>997</v>
      </c>
      <c r="B998" s="62" t="n">
        <f aca="false">IF(ISNUMBER($AB998),$AB998,IF(MID($AB998,5,1)="-",DATE(VALUE(LEFT($AB998,4)),VALUE(MID($AB998,6,2)),VALUE(RIGHT($AB998,2))),DATE(VALUE(RIGHT($AB998,4)),VALUE(MID($AB998,4,2)),VALUE(LEFT($AB998,2)))))</f>
        <v>45579</v>
      </c>
      <c r="C998" s="61" t="n">
        <f aca="false">YEAR($B998)</f>
        <v>2024</v>
      </c>
      <c r="D998" s="61" t="str">
        <f aca="false">"Q"&amp;ROUNDUP(MONTH($B998)/3,0)</f>
        <v>Q4</v>
      </c>
      <c r="E998" s="61" t="n">
        <f aca="false">MONTH($B998)</f>
        <v>10</v>
      </c>
      <c r="F998" s="61" t="str">
        <f aca="false">INDEX(Parametros!$I$5:$I$16,$E998)</f>
        <v>Oct</v>
      </c>
      <c r="G998" s="61" t="str">
        <f aca="false">TEXT($C998,"0000")&amp;"-"&amp;TEXT($E998,"00")</f>
        <v>2024-10</v>
      </c>
      <c r="H998" s="61" t="str">
        <f aca="false">INDEX(Parametros!$C$71:$C$91,MATCH(TRIM(INDEX(Datos_Origen!$C$2:$C$2459,$Z998)),Parametros!$B$71:$B$91,0))</f>
        <v>NOA</v>
      </c>
      <c r="I998" s="61" t="str">
        <f aca="false">IF(TRIM($AD998)="",INDEX(Parametros!$I$20:$I$24,MATCH($H998,Parametros!$H$20:$H$24,0)),TRIM($AD998))</f>
        <v>Tucuman</v>
      </c>
      <c r="J998" s="61" t="str">
        <f aca="false">INDEX(Parametros!$C$95:$C$106,MATCH(TRIM(INDEX(Datos_Origen!$E$2:$E$2459,$Z998)),Parametros!$B$95:$B$106,0))</f>
        <v>Tienda fisica</v>
      </c>
      <c r="K998" s="61" t="str">
        <f aca="false">INDEX(Parametros!$C$48:$C$67,MATCH(TRIM(INDEX(Datos_Origen!$F$2:$F$2459,$Z998)),Parametros!$B$48:$B$67,0))</f>
        <v>Almacenamiento</v>
      </c>
      <c r="L998" s="61" t="str">
        <f aca="false">$K998&amp;" "&amp;$C998</f>
        <v>Almacenamiento 2024</v>
      </c>
      <c r="M998" s="61" t="str">
        <f aca="false">TRIM(INDEX(Datos_Origen!$G$2:$G$2459,$Z998))</f>
        <v>SSD Externo 1TB</v>
      </c>
      <c r="N998" s="61" t="str">
        <f aca="false">$M998&amp;" "&amp;$C998</f>
        <v>SSD Externo 1TB 2024</v>
      </c>
      <c r="O998" s="63" t="n">
        <f aca="false">IF(ISTEXT($AC998),VALUE($AC998),$AC998)</f>
        <v>21</v>
      </c>
      <c r="P998" s="64" t="n">
        <f aca="false">INDEX(Datos_Origen!$I$2:$I$2459,$Z998)</f>
        <v>127.4</v>
      </c>
      <c r="Q998" s="64" t="n">
        <f aca="false">INDEX(Datos_Origen!$J$2:$J$2459,$Z998)</f>
        <v>76.05</v>
      </c>
      <c r="R998" s="65" t="n">
        <f aca="false">ROUND($O998*$P998,2)</f>
        <v>2675.4</v>
      </c>
      <c r="S998" s="65" t="n">
        <f aca="false">ROUND($O998*$Q998,2)</f>
        <v>1597.05</v>
      </c>
      <c r="T998" s="65" t="n">
        <f aca="false">ROUND($R998*SUMIFS(Parametros!$E$28:$E$43,Parametros!$B$28:$B$43,$J998,Parametros!$C$28:$C$43,$C998,Parametros!$D$28:$D$43,$D998),2)</f>
        <v>34.78</v>
      </c>
      <c r="U998" s="65" t="n">
        <f aca="false">$R998-$S998-$T998</f>
        <v>1043.57</v>
      </c>
      <c r="V998" s="66" t="n">
        <f aca="false">IFERROR($U998/$R998,0)</f>
        <v>0.390061299244973</v>
      </c>
      <c r="W998" s="67" t="str">
        <f aca="false">IF(AND($V998&gt;=Parametros!$C$8,$R998&gt;=Parametros!$C$12),"Alta rentabilidad",IF(OR($V998&lt;Parametros!$C$11,$R998&lt;Parametros!$C$13),"Revisar","Estandar"))</f>
        <v>Estandar</v>
      </c>
      <c r="X998" s="67" t="str">
        <f aca="false">IF(AND($J998="E-commerce",IFERROR($T998/$R998,0)&gt;Parametros!$C$14),"Alerta","OK")</f>
        <v>OK</v>
      </c>
      <c r="Y998" s="61" t="str">
        <f aca="false">IF($R998&gt;=Parametros!$C$12,"Alto",IF($R998&lt;Parametros!$C$13,"Bajo","Medio"))</f>
        <v>Medio</v>
      </c>
      <c r="Z998" s="61" t="n">
        <v>429</v>
      </c>
      <c r="AA998" s="61" t="str">
        <f aca="false">IF(MATCH($A998,Datos_Origen!$A$2:$A$2459,0)=$Z998,"OK","REVISAR")</f>
        <v>OK</v>
      </c>
      <c r="AB998" s="61" t="str">
        <f aca="false">INDEX(Datos_Origen!$B$2:$B$2459,$Z998)</f>
        <v>2024-10-14</v>
      </c>
      <c r="AC998" s="61" t="n">
        <f aca="false">INDEX(Datos_Origen!$H$2:$H$2459,$Z998)</f>
        <v>21</v>
      </c>
      <c r="AD998" s="61" t="str">
        <f aca="false">INDEX(Datos_Origen!$D$2:$D$2459,$Z998)&amp;""</f>
        <v>Tucuman</v>
      </c>
    </row>
    <row r="999" customFormat="false" ht="15" hidden="false" customHeight="false" outlineLevel="0" collapsed="false">
      <c r="A999" s="61" t="n">
        <f aca="false">INDEX(Datos_Origen!$A$2:$A$2459,$Z999)</f>
        <v>998</v>
      </c>
      <c r="B999" s="62" t="n">
        <f aca="false">IF(ISNUMBER($AB999),$AB999,IF(MID($AB999,5,1)="-",DATE(VALUE(LEFT($AB999,4)),VALUE(MID($AB999,6,2)),VALUE(RIGHT($AB999,2))),DATE(VALUE(RIGHT($AB999,4)),VALUE(MID($AB999,4,2)),VALUE(LEFT($AB999,2)))))</f>
        <v>45586</v>
      </c>
      <c r="C999" s="61" t="n">
        <f aca="false">YEAR($B999)</f>
        <v>2024</v>
      </c>
      <c r="D999" s="61" t="str">
        <f aca="false">"Q"&amp;ROUNDUP(MONTH($B999)/3,0)</f>
        <v>Q4</v>
      </c>
      <c r="E999" s="61" t="n">
        <f aca="false">MONTH($B999)</f>
        <v>10</v>
      </c>
      <c r="F999" s="61" t="str">
        <f aca="false">INDEX(Parametros!$I$5:$I$16,$E999)</f>
        <v>Oct</v>
      </c>
      <c r="G999" s="61" t="str">
        <f aca="false">TEXT($C999,"0000")&amp;"-"&amp;TEXT($E999,"00")</f>
        <v>2024-10</v>
      </c>
      <c r="H999" s="61" t="str">
        <f aca="false">INDEX(Parametros!$C$71:$C$91,MATCH(TRIM(INDEX(Datos_Origen!$C$2:$C$2459,$Z999)),Parametros!$B$71:$B$91,0))</f>
        <v>NOA</v>
      </c>
      <c r="I999" s="61" t="str">
        <f aca="false">IF(TRIM($AD999)="",INDEX(Parametros!$I$20:$I$24,MATCH($H999,Parametros!$H$20:$H$24,0)),TRIM($AD999))</f>
        <v>Tucuman</v>
      </c>
      <c r="J999" s="61" t="str">
        <f aca="false">INDEX(Parametros!$C$95:$C$106,MATCH(TRIM(INDEX(Datos_Origen!$E$2:$E$2459,$Z999)),Parametros!$B$95:$B$106,0))</f>
        <v>E-commerce</v>
      </c>
      <c r="K999" s="61" t="str">
        <f aca="false">INDEX(Parametros!$C$48:$C$67,MATCH(TRIM(INDEX(Datos_Origen!$F$2:$F$2459,$Z999)),Parametros!$B$48:$B$67,0))</f>
        <v>Almacenamiento</v>
      </c>
      <c r="L999" s="61" t="str">
        <f aca="false">$K999&amp;" "&amp;$C999</f>
        <v>Almacenamiento 2024</v>
      </c>
      <c r="M999" s="61" t="str">
        <f aca="false">TRIM(INDEX(Datos_Origen!$G$2:$G$2459,$Z999))</f>
        <v>SSD Externo 1TB</v>
      </c>
      <c r="N999" s="61" t="str">
        <f aca="false">$M999&amp;" "&amp;$C999</f>
        <v>SSD Externo 1TB 2024</v>
      </c>
      <c r="O999" s="63" t="n">
        <f aca="false">IF(ISTEXT($AC999),VALUE($AC999),$AC999)</f>
        <v>8</v>
      </c>
      <c r="P999" s="64" t="n">
        <f aca="false">INDEX(Datos_Origen!$I$2:$I$2459,$Z999)</f>
        <v>127.4</v>
      </c>
      <c r="Q999" s="64" t="n">
        <f aca="false">INDEX(Datos_Origen!$J$2:$J$2459,$Z999)</f>
        <v>76.05</v>
      </c>
      <c r="R999" s="65" t="n">
        <f aca="false">ROUND($O999*$P999,2)</f>
        <v>1019.2</v>
      </c>
      <c r="S999" s="65" t="n">
        <f aca="false">ROUND($O999*$Q999,2)</f>
        <v>608.4</v>
      </c>
      <c r="T999" s="65" t="n">
        <f aca="false">ROUND($R999*SUMIFS(Parametros!$E$28:$E$43,Parametros!$B$28:$B$43,$J999,Parametros!$C$28:$C$43,$C999,Parametros!$D$28:$D$43,$D999),2)</f>
        <v>48.92</v>
      </c>
      <c r="U999" s="65" t="n">
        <f aca="false">$R999-$S999-$T999</f>
        <v>361.88</v>
      </c>
      <c r="V999" s="66" t="n">
        <f aca="false">IFERROR($U999/$R999,0)</f>
        <v>0.355062794348509</v>
      </c>
      <c r="W999" s="67" t="str">
        <f aca="false">IF(AND($V999&gt;=Parametros!$C$8,$R999&gt;=Parametros!$C$12),"Alta rentabilidad",IF(OR($V999&lt;Parametros!$C$11,$R999&lt;Parametros!$C$13),"Revisar","Estandar"))</f>
        <v>Estandar</v>
      </c>
      <c r="X999" s="67" t="str">
        <f aca="false">IF(AND($J999="E-commerce",IFERROR($T999/$R999,0)&gt;Parametros!$C$14),"Alerta","OK")</f>
        <v>OK</v>
      </c>
      <c r="Y999" s="61" t="str">
        <f aca="false">IF($R999&gt;=Parametros!$C$12,"Alto",IF($R999&lt;Parametros!$C$13,"Bajo","Medio"))</f>
        <v>Medio</v>
      </c>
      <c r="Z999" s="61" t="n">
        <v>75</v>
      </c>
      <c r="AA999" s="61" t="str">
        <f aca="false">IF(MATCH($A999,Datos_Origen!$A$2:$A$2459,0)=$Z999,"OK","REVISAR")</f>
        <v>OK</v>
      </c>
      <c r="AB999" s="61" t="str">
        <f aca="false">INDEX(Datos_Origen!$B$2:$B$2459,$Z999)</f>
        <v>21/10/2024</v>
      </c>
      <c r="AC999" s="61" t="n">
        <f aca="false">INDEX(Datos_Origen!$H$2:$H$2459,$Z999)</f>
        <v>8</v>
      </c>
      <c r="AD999" s="61" t="str">
        <f aca="false">INDEX(Datos_Origen!$D$2:$D$2459,$Z999)&amp;""</f>
        <v>Tucuman</v>
      </c>
    </row>
    <row r="1000" customFormat="false" ht="15" hidden="false" customHeight="false" outlineLevel="0" collapsed="false">
      <c r="A1000" s="61" t="n">
        <f aca="false">INDEX(Datos_Origen!$A$2:$A$2459,$Z1000)</f>
        <v>999</v>
      </c>
      <c r="B1000" s="62" t="n">
        <f aca="false">IF(ISNUMBER($AB1000),$AB1000,IF(MID($AB1000,5,1)="-",DATE(VALUE(LEFT($AB1000,4)),VALUE(MID($AB1000,6,2)),VALUE(RIGHT($AB1000,2))),DATE(VALUE(RIGHT($AB1000,4)),VALUE(MID($AB1000,4,2)),VALUE(LEFT($AB1000,2)))))</f>
        <v>45566</v>
      </c>
      <c r="C1000" s="61" t="n">
        <f aca="false">YEAR($B1000)</f>
        <v>2024</v>
      </c>
      <c r="D1000" s="61" t="str">
        <f aca="false">"Q"&amp;ROUNDUP(MONTH($B1000)/3,0)</f>
        <v>Q4</v>
      </c>
      <c r="E1000" s="61" t="n">
        <f aca="false">MONTH($B1000)</f>
        <v>10</v>
      </c>
      <c r="F1000" s="61" t="str">
        <f aca="false">INDEX(Parametros!$I$5:$I$16,$E1000)</f>
        <v>Oct</v>
      </c>
      <c r="G1000" s="61" t="str">
        <f aca="false">TEXT($C1000,"0000")&amp;"-"&amp;TEXT($E1000,"00")</f>
        <v>2024-10</v>
      </c>
      <c r="H1000" s="61" t="str">
        <f aca="false">INDEX(Parametros!$C$71:$C$91,MATCH(TRIM(INDEX(Datos_Origen!$C$2:$C$2459,$Z1000)),Parametros!$B$71:$B$91,0))</f>
        <v>NOA</v>
      </c>
      <c r="I1000" s="61" t="str">
        <f aca="false">IF(TRIM($AD1000)="",INDEX(Parametros!$I$20:$I$24,MATCH($H1000,Parametros!$H$20:$H$24,0)),TRIM($AD1000))</f>
        <v>Tucuman</v>
      </c>
      <c r="J1000" s="61" t="str">
        <f aca="false">INDEX(Parametros!$C$95:$C$106,MATCH(TRIM(INDEX(Datos_Origen!$E$2:$E$2459,$Z1000)),Parametros!$B$95:$B$106,0))</f>
        <v>Tienda fisica</v>
      </c>
      <c r="K1000" s="61" t="str">
        <f aca="false">INDEX(Parametros!$C$48:$C$67,MATCH(TRIM(INDEX(Datos_Origen!$F$2:$F$2459,$Z1000)),Parametros!$B$48:$B$67,0))</f>
        <v>Almacenamiento</v>
      </c>
      <c r="L1000" s="61" t="str">
        <f aca="false">$K1000&amp;" "&amp;$C1000</f>
        <v>Almacenamiento 2024</v>
      </c>
      <c r="M1000" s="61" t="str">
        <f aca="false">TRIM(INDEX(Datos_Origen!$G$2:$G$2459,$Z1000))</f>
        <v>Pendrive 256GB</v>
      </c>
      <c r="N1000" s="61" t="str">
        <f aca="false">$M1000&amp;" "&amp;$C1000</f>
        <v>Pendrive 256GB 2024</v>
      </c>
      <c r="O1000" s="63" t="n">
        <f aca="false">IF(ISTEXT($AC1000),VALUE($AC1000),$AC1000)</f>
        <v>20</v>
      </c>
      <c r="P1000" s="64" t="n">
        <f aca="false">INDEX(Datos_Origen!$I$2:$I$2459,$Z1000)</f>
        <v>34.3</v>
      </c>
      <c r="Q1000" s="64" t="n">
        <f aca="false">INDEX(Datos_Origen!$J$2:$J$2459,$Z1000)</f>
        <v>17.85</v>
      </c>
      <c r="R1000" s="65" t="n">
        <f aca="false">ROUND($O1000*$P1000,2)</f>
        <v>686</v>
      </c>
      <c r="S1000" s="65" t="n">
        <f aca="false">ROUND($O1000*$Q1000,2)</f>
        <v>357</v>
      </c>
      <c r="T1000" s="65" t="n">
        <f aca="false">ROUND($R1000*SUMIFS(Parametros!$E$28:$E$43,Parametros!$B$28:$B$43,$J1000,Parametros!$C$28:$C$43,$C1000,Parametros!$D$28:$D$43,$D1000),2)</f>
        <v>8.92</v>
      </c>
      <c r="U1000" s="65" t="n">
        <f aca="false">$R1000-$S1000-$T1000</f>
        <v>320.08</v>
      </c>
      <c r="V1000" s="66" t="n">
        <f aca="false">IFERROR($U1000/$R1000,0)</f>
        <v>0.466588921282799</v>
      </c>
      <c r="W1000" s="67" t="str">
        <f aca="false">IF(AND($V1000&gt;=Parametros!$C$8,$R1000&gt;=Parametros!$C$12),"Alta rentabilidad",IF(OR($V1000&lt;Parametros!$C$11,$R1000&lt;Parametros!$C$13),"Revisar","Estandar"))</f>
        <v>Estandar</v>
      </c>
      <c r="X1000" s="67" t="str">
        <f aca="false">IF(AND($J1000="E-commerce",IFERROR($T1000/$R1000,0)&gt;Parametros!$C$14),"Alerta","OK")</f>
        <v>OK</v>
      </c>
      <c r="Y1000" s="61" t="str">
        <f aca="false">IF($R1000&gt;=Parametros!$C$12,"Alto",IF($R1000&lt;Parametros!$C$13,"Bajo","Medio"))</f>
        <v>Medio</v>
      </c>
      <c r="Z1000" s="61" t="n">
        <v>197</v>
      </c>
      <c r="AA1000" s="61" t="str">
        <f aca="false">IF(MATCH($A1000,Datos_Origen!$A$2:$A$2459,0)=$Z1000,"OK","REVISAR")</f>
        <v>OK</v>
      </c>
      <c r="AB1000" s="62" t="n">
        <f aca="false">INDEX(Datos_Origen!$B$2:$B$2459,$Z1000)</f>
        <v>45566</v>
      </c>
      <c r="AC1000" s="61" t="n">
        <f aca="false">INDEX(Datos_Origen!$H$2:$H$2459,$Z1000)</f>
        <v>20</v>
      </c>
      <c r="AD1000" s="61" t="str">
        <f aca="false">INDEX(Datos_Origen!$D$2:$D$2459,$Z1000)&amp;""</f>
        <v>Tucuman</v>
      </c>
    </row>
    <row r="1001" customFormat="false" ht="15" hidden="false" customHeight="false" outlineLevel="0" collapsed="false">
      <c r="A1001" s="61" t="n">
        <f aca="false">INDEX(Datos_Origen!$A$2:$A$2459,$Z1001)</f>
        <v>1000</v>
      </c>
      <c r="B1001" s="62" t="n">
        <f aca="false">IF(ISNUMBER($AB1001),$AB1001,IF(MID($AB1001,5,1)="-",DATE(VALUE(LEFT($AB1001,4)),VALUE(MID($AB1001,6,2)),VALUE(RIGHT($AB1001,2))),DATE(VALUE(RIGHT($AB1001,4)),VALUE(MID($AB1001,4,2)),VALUE(LEFT($AB1001,2)))))</f>
        <v>45573</v>
      </c>
      <c r="C1001" s="61" t="n">
        <f aca="false">YEAR($B1001)</f>
        <v>2024</v>
      </c>
      <c r="D1001" s="61" t="str">
        <f aca="false">"Q"&amp;ROUNDUP(MONTH($B1001)/3,0)</f>
        <v>Q4</v>
      </c>
      <c r="E1001" s="61" t="n">
        <f aca="false">MONTH($B1001)</f>
        <v>10</v>
      </c>
      <c r="F1001" s="61" t="str">
        <f aca="false">INDEX(Parametros!$I$5:$I$16,$E1001)</f>
        <v>Oct</v>
      </c>
      <c r="G1001" s="61" t="str">
        <f aca="false">TEXT($C1001,"0000")&amp;"-"&amp;TEXT($E1001,"00")</f>
        <v>2024-10</v>
      </c>
      <c r="H1001" s="61" t="str">
        <f aca="false">INDEX(Parametros!$C$71:$C$91,MATCH(TRIM(INDEX(Datos_Origen!$C$2:$C$2459,$Z1001)),Parametros!$B$71:$B$91,0))</f>
        <v>NOA</v>
      </c>
      <c r="I1001" s="61" t="str">
        <f aca="false">IF(TRIM($AD1001)="",INDEX(Parametros!$I$20:$I$24,MATCH($H1001,Parametros!$H$20:$H$24,0)),TRIM($AD1001))</f>
        <v>Tucuman</v>
      </c>
      <c r="J1001" s="61" t="str">
        <f aca="false">INDEX(Parametros!$C$95:$C$106,MATCH(TRIM(INDEX(Datos_Origen!$E$2:$E$2459,$Z1001)),Parametros!$B$95:$B$106,0))</f>
        <v>E-commerce</v>
      </c>
      <c r="K1001" s="61" t="str">
        <f aca="false">INDEX(Parametros!$C$48:$C$67,MATCH(TRIM(INDEX(Datos_Origen!$F$2:$F$2459,$Z1001)),Parametros!$B$48:$B$67,0))</f>
        <v>Almacenamiento</v>
      </c>
      <c r="L1001" s="61" t="str">
        <f aca="false">$K1001&amp;" "&amp;$C1001</f>
        <v>Almacenamiento 2024</v>
      </c>
      <c r="M1001" s="61" t="str">
        <f aca="false">TRIM(INDEX(Datos_Origen!$G$2:$G$2459,$Z1001))</f>
        <v>Pendrive 256GB</v>
      </c>
      <c r="N1001" s="61" t="str">
        <f aca="false">$M1001&amp;" "&amp;$C1001</f>
        <v>Pendrive 256GB 2024</v>
      </c>
      <c r="O1001" s="63" t="n">
        <f aca="false">IF(ISTEXT($AC1001),VALUE($AC1001),$AC1001)</f>
        <v>8</v>
      </c>
      <c r="P1001" s="64" t="n">
        <f aca="false">INDEX(Datos_Origen!$I$2:$I$2459,$Z1001)</f>
        <v>34.3</v>
      </c>
      <c r="Q1001" s="64" t="n">
        <f aca="false">INDEX(Datos_Origen!$J$2:$J$2459,$Z1001)</f>
        <v>17.85</v>
      </c>
      <c r="R1001" s="65" t="n">
        <f aca="false">ROUND($O1001*$P1001,2)</f>
        <v>274.4</v>
      </c>
      <c r="S1001" s="65" t="n">
        <f aca="false">ROUND($O1001*$Q1001,2)</f>
        <v>142.8</v>
      </c>
      <c r="T1001" s="65" t="n">
        <f aca="false">ROUND($R1001*SUMIFS(Parametros!$E$28:$E$43,Parametros!$B$28:$B$43,$J1001,Parametros!$C$28:$C$43,$C1001,Parametros!$D$28:$D$43,$D1001),2)</f>
        <v>13.17</v>
      </c>
      <c r="U1001" s="65" t="n">
        <f aca="false">$R1001-$S1001-$T1001</f>
        <v>118.43</v>
      </c>
      <c r="V1001" s="66" t="n">
        <f aca="false">IFERROR($U1001/$R1001,0)</f>
        <v>0.431596209912536</v>
      </c>
      <c r="W1001" s="67" t="str">
        <f aca="false">IF(AND($V1001&gt;=Parametros!$C$8,$R1001&gt;=Parametros!$C$12),"Alta rentabilidad",IF(OR($V1001&lt;Parametros!$C$11,$R1001&lt;Parametros!$C$13),"Revisar","Estandar"))</f>
        <v>Revisar</v>
      </c>
      <c r="X1001" s="67" t="str">
        <f aca="false">IF(AND($J1001="E-commerce",IFERROR($T1001/$R1001,0)&gt;Parametros!$C$14),"Alerta","OK")</f>
        <v>OK</v>
      </c>
      <c r="Y1001" s="61" t="str">
        <f aca="false">IF($R1001&gt;=Parametros!$C$12,"Alto",IF($R1001&lt;Parametros!$C$13,"Bajo","Medio"))</f>
        <v>Bajo</v>
      </c>
      <c r="Z1001" s="61" t="n">
        <v>56</v>
      </c>
      <c r="AA1001" s="61" t="str">
        <f aca="false">IF(MATCH($A1001,Datos_Origen!$A$2:$A$2459,0)=$Z1001,"OK","REVISAR")</f>
        <v>OK</v>
      </c>
      <c r="AB1001" s="62" t="n">
        <f aca="false">INDEX(Datos_Origen!$B$2:$B$2459,$Z1001)</f>
        <v>45573</v>
      </c>
      <c r="AC1001" s="61" t="n">
        <f aca="false">INDEX(Datos_Origen!$H$2:$H$2459,$Z1001)</f>
        <v>8</v>
      </c>
      <c r="AD1001" s="61" t="str">
        <f aca="false">INDEX(Datos_Origen!$D$2:$D$2459,$Z1001)&amp;""</f>
        <v>Tucuman</v>
      </c>
    </row>
    <row r="1002" customFormat="false" ht="15" hidden="false" customHeight="false" outlineLevel="0" collapsed="false">
      <c r="A1002" s="61" t="n">
        <f aca="false">INDEX(Datos_Origen!$A$2:$A$2459,$Z1002)</f>
        <v>1001</v>
      </c>
      <c r="B1002" s="62" t="n">
        <f aca="false">IF(ISNUMBER($AB1002),$AB1002,IF(MID($AB1002,5,1)="-",DATE(VALUE(LEFT($AB1002,4)),VALUE(MID($AB1002,6,2)),VALUE(RIGHT($AB1002,2))),DATE(VALUE(RIGHT($AB1002,4)),VALUE(MID($AB1002,4,2)),VALUE(LEFT($AB1002,2)))))</f>
        <v>45611</v>
      </c>
      <c r="C1002" s="61" t="n">
        <f aca="false">YEAR($B1002)</f>
        <v>2024</v>
      </c>
      <c r="D1002" s="61" t="str">
        <f aca="false">"Q"&amp;ROUNDUP(MONTH($B1002)/3,0)</f>
        <v>Q4</v>
      </c>
      <c r="E1002" s="61" t="n">
        <f aca="false">MONTH($B1002)</f>
        <v>11</v>
      </c>
      <c r="F1002" s="61" t="str">
        <f aca="false">INDEX(Parametros!$I$5:$I$16,$E1002)</f>
        <v>Nov</v>
      </c>
      <c r="G1002" s="61" t="str">
        <f aca="false">TEXT($C1002,"0000")&amp;"-"&amp;TEXT($E1002,"00")</f>
        <v>2024-11</v>
      </c>
      <c r="H1002" s="61" t="str">
        <f aca="false">INDEX(Parametros!$C$71:$C$91,MATCH(TRIM(INDEX(Datos_Origen!$C$2:$C$2459,$Z1002)),Parametros!$B$71:$B$91,0))</f>
        <v>AMBA</v>
      </c>
      <c r="I1002" s="61" t="str">
        <f aca="false">IF(TRIM($AD1002)="",INDEX(Parametros!$I$20:$I$24,MATCH($H1002,Parametros!$H$20:$H$24,0)),TRIM($AD1002))</f>
        <v>Buenos Aires</v>
      </c>
      <c r="J1002" s="61" t="str">
        <f aca="false">INDEX(Parametros!$C$95:$C$106,MATCH(TRIM(INDEX(Datos_Origen!$E$2:$E$2459,$Z1002)),Parametros!$B$95:$B$106,0))</f>
        <v>Tienda fisica</v>
      </c>
      <c r="K1002" s="61" t="str">
        <f aca="false">INDEX(Parametros!$C$48:$C$67,MATCH(TRIM(INDEX(Datos_Origen!$F$2:$F$2459,$Z1002)),Parametros!$B$48:$B$67,0))</f>
        <v>Computacion</v>
      </c>
      <c r="L1002" s="61" t="str">
        <f aca="false">$K1002&amp;" "&amp;$C1002</f>
        <v>Computacion 2024</v>
      </c>
      <c r="M1002" s="61" t="str">
        <f aca="false">TRIM(INDEX(Datos_Origen!$G$2:$G$2459,$Z1002))</f>
        <v>Laptop Pro 15</v>
      </c>
      <c r="N1002" s="61" t="str">
        <f aca="false">$M1002&amp;" "&amp;$C1002</f>
        <v>Laptop Pro 15 2024</v>
      </c>
      <c r="O1002" s="63" t="n">
        <f aca="false">IF(ISTEXT($AC1002),VALUE($AC1002),$AC1002)</f>
        <v>26</v>
      </c>
      <c r="P1002" s="64" t="n">
        <f aca="false">INDEX(Datos_Origen!$I$2:$I$2459,$Z1002)</f>
        <v>1176</v>
      </c>
      <c r="Q1002" s="64" t="n">
        <f aca="false">INDEX(Datos_Origen!$J$2:$J$2459,$Z1002)</f>
        <v>744</v>
      </c>
      <c r="R1002" s="65" t="n">
        <f aca="false">ROUND($O1002*$P1002,2)</f>
        <v>30576</v>
      </c>
      <c r="S1002" s="65" t="n">
        <f aca="false">ROUND($O1002*$Q1002,2)</f>
        <v>19344</v>
      </c>
      <c r="T1002" s="65" t="n">
        <f aca="false">ROUND($R1002*SUMIFS(Parametros!$E$28:$E$43,Parametros!$B$28:$B$43,$J1002,Parametros!$C$28:$C$43,$C1002,Parametros!$D$28:$D$43,$D1002),2)</f>
        <v>397.49</v>
      </c>
      <c r="U1002" s="65" t="n">
        <f aca="false">$R1002-$S1002-$T1002</f>
        <v>10834.51</v>
      </c>
      <c r="V1002" s="66" t="n">
        <f aca="false">IFERROR($U1002/$R1002,0)</f>
        <v>0.354346873364731</v>
      </c>
      <c r="W1002" s="67" t="str">
        <f aca="false">IF(AND($V1002&gt;=Parametros!$C$8,$R1002&gt;=Parametros!$C$12),"Alta rentabilidad",IF(OR($V1002&lt;Parametros!$C$11,$R1002&lt;Parametros!$C$13),"Revisar","Estandar"))</f>
        <v>Alta rentabilidad</v>
      </c>
      <c r="X1002" s="67" t="str">
        <f aca="false">IF(AND($J1002="E-commerce",IFERROR($T1002/$R1002,0)&gt;Parametros!$C$14),"Alerta","OK")</f>
        <v>OK</v>
      </c>
      <c r="Y1002" s="61" t="str">
        <f aca="false">IF($R1002&gt;=Parametros!$C$12,"Alto",IF($R1002&lt;Parametros!$C$13,"Bajo","Medio"))</f>
        <v>Alto</v>
      </c>
      <c r="Z1002" s="61" t="n">
        <v>1509</v>
      </c>
      <c r="AA1002" s="61" t="str">
        <f aca="false">IF(MATCH($A1002,Datos_Origen!$A$2:$A$2459,0)=$Z1002,"OK","REVISAR")</f>
        <v>OK</v>
      </c>
      <c r="AB1002" s="62" t="n">
        <f aca="false">INDEX(Datos_Origen!$B$2:$B$2459,$Z1002)</f>
        <v>45611</v>
      </c>
      <c r="AC1002" s="61" t="n">
        <f aca="false">INDEX(Datos_Origen!$H$2:$H$2459,$Z1002)</f>
        <v>26</v>
      </c>
      <c r="AD1002" s="61" t="str">
        <f aca="false">INDEX(Datos_Origen!$D$2:$D$2459,$Z1002)&amp;""</f>
        <v>Buenos Aires</v>
      </c>
    </row>
    <row r="1003" customFormat="false" ht="15" hidden="false" customHeight="false" outlineLevel="0" collapsed="false">
      <c r="A1003" s="61" t="n">
        <f aca="false">INDEX(Datos_Origen!$A$2:$A$2459,$Z1003)</f>
        <v>1002</v>
      </c>
      <c r="B1003" s="62" t="n">
        <f aca="false">IF(ISNUMBER($AB1003),$AB1003,IF(MID($AB1003,5,1)="-",DATE(VALUE(LEFT($AB1003,4)),VALUE(MID($AB1003,6,2)),VALUE(RIGHT($AB1003,2))),DATE(VALUE(RIGHT($AB1003,4)),VALUE(MID($AB1003,4,2)),VALUE(LEFT($AB1003,2)))))</f>
        <v>45618</v>
      </c>
      <c r="C1003" s="61" t="n">
        <f aca="false">YEAR($B1003)</f>
        <v>2024</v>
      </c>
      <c r="D1003" s="61" t="str">
        <f aca="false">"Q"&amp;ROUNDUP(MONTH($B1003)/3,0)</f>
        <v>Q4</v>
      </c>
      <c r="E1003" s="61" t="n">
        <f aca="false">MONTH($B1003)</f>
        <v>11</v>
      </c>
      <c r="F1003" s="61" t="str">
        <f aca="false">INDEX(Parametros!$I$5:$I$16,$E1003)</f>
        <v>Nov</v>
      </c>
      <c r="G1003" s="61" t="str">
        <f aca="false">TEXT($C1003,"0000")&amp;"-"&amp;TEXT($E1003,"00")</f>
        <v>2024-11</v>
      </c>
      <c r="H1003" s="61" t="str">
        <f aca="false">INDEX(Parametros!$C$71:$C$91,MATCH(TRIM(INDEX(Datos_Origen!$C$2:$C$2459,$Z1003)),Parametros!$B$71:$B$91,0))</f>
        <v>AMBA</v>
      </c>
      <c r="I1003" s="61" t="str">
        <f aca="false">IF(TRIM($AD1003)="",INDEX(Parametros!$I$20:$I$24,MATCH($H1003,Parametros!$H$20:$H$24,0)),TRIM($AD1003))</f>
        <v>Buenos Aires</v>
      </c>
      <c r="J1003" s="61" t="str">
        <f aca="false">INDEX(Parametros!$C$95:$C$106,MATCH(TRIM(INDEX(Datos_Origen!$E$2:$E$2459,$Z1003)),Parametros!$B$95:$B$106,0))</f>
        <v>E-commerce</v>
      </c>
      <c r="K1003" s="61" t="str">
        <f aca="false">INDEX(Parametros!$C$48:$C$67,MATCH(TRIM(INDEX(Datos_Origen!$F$2:$F$2459,$Z1003)),Parametros!$B$48:$B$67,0))</f>
        <v>Computacion</v>
      </c>
      <c r="L1003" s="61" t="str">
        <f aca="false">$K1003&amp;" "&amp;$C1003</f>
        <v>Computacion 2024</v>
      </c>
      <c r="M1003" s="61" t="str">
        <f aca="false">TRIM(INDEX(Datos_Origen!$G$2:$G$2459,$Z1003))</f>
        <v>Laptop Pro 15</v>
      </c>
      <c r="N1003" s="61" t="str">
        <f aca="false">$M1003&amp;" "&amp;$C1003</f>
        <v>Laptop Pro 15 2024</v>
      </c>
      <c r="O1003" s="63" t="n">
        <f aca="false">IF(ISTEXT($AC1003),VALUE($AC1003),$AC1003)</f>
        <v>10</v>
      </c>
      <c r="P1003" s="64" t="n">
        <f aca="false">INDEX(Datos_Origen!$I$2:$I$2459,$Z1003)</f>
        <v>1176</v>
      </c>
      <c r="Q1003" s="64" t="n">
        <f aca="false">INDEX(Datos_Origen!$J$2:$J$2459,$Z1003)</f>
        <v>744</v>
      </c>
      <c r="R1003" s="65" t="n">
        <f aca="false">ROUND($O1003*$P1003,2)</f>
        <v>11760</v>
      </c>
      <c r="S1003" s="65" t="n">
        <f aca="false">ROUND($O1003*$Q1003,2)</f>
        <v>7440</v>
      </c>
      <c r="T1003" s="65" t="n">
        <f aca="false">ROUND($R1003*SUMIFS(Parametros!$E$28:$E$43,Parametros!$B$28:$B$43,$J1003,Parametros!$C$28:$C$43,$C1003,Parametros!$D$28:$D$43,$D1003),2)</f>
        <v>564.48</v>
      </c>
      <c r="U1003" s="65" t="n">
        <f aca="false">$R1003-$S1003-$T1003</f>
        <v>3755.52</v>
      </c>
      <c r="V1003" s="66" t="n">
        <f aca="false">IFERROR($U1003/$R1003,0)</f>
        <v>0.31934693877551</v>
      </c>
      <c r="W1003" s="67" t="str">
        <f aca="false">IF(AND($V1003&gt;=Parametros!$C$8,$R1003&gt;=Parametros!$C$12),"Alta rentabilidad",IF(OR($V1003&lt;Parametros!$C$11,$R1003&lt;Parametros!$C$13),"Revisar","Estandar"))</f>
        <v>Estandar</v>
      </c>
      <c r="X1003" s="67" t="str">
        <f aca="false">IF(AND($J1003="E-commerce",IFERROR($T1003/$R1003,0)&gt;Parametros!$C$14),"Alerta","OK")</f>
        <v>OK</v>
      </c>
      <c r="Y1003" s="61" t="str">
        <f aca="false">IF($R1003&gt;=Parametros!$C$12,"Alto",IF($R1003&lt;Parametros!$C$13,"Bajo","Medio"))</f>
        <v>Alto</v>
      </c>
      <c r="Z1003" s="61" t="n">
        <v>1878</v>
      </c>
      <c r="AA1003" s="61" t="str">
        <f aca="false">IF(MATCH($A1003,Datos_Origen!$A$2:$A$2459,0)=$Z1003,"OK","REVISAR")</f>
        <v>OK</v>
      </c>
      <c r="AB1003" s="62" t="n">
        <f aca="false">INDEX(Datos_Origen!$B$2:$B$2459,$Z1003)</f>
        <v>45618</v>
      </c>
      <c r="AC1003" s="61" t="n">
        <f aca="false">INDEX(Datos_Origen!$H$2:$H$2459,$Z1003)</f>
        <v>10</v>
      </c>
      <c r="AD1003" s="61" t="str">
        <f aca="false">INDEX(Datos_Origen!$D$2:$D$2459,$Z1003)&amp;""</f>
        <v>Buenos Aires</v>
      </c>
    </row>
    <row r="1004" customFormat="false" ht="15" hidden="false" customHeight="false" outlineLevel="0" collapsed="false">
      <c r="A1004" s="61" t="n">
        <f aca="false">INDEX(Datos_Origen!$A$2:$A$2459,$Z1004)</f>
        <v>1003</v>
      </c>
      <c r="B1004" s="62" t="n">
        <f aca="false">IF(ISNUMBER($AB1004),$AB1004,IF(MID($AB1004,5,1)="-",DATE(VALUE(LEFT($AB1004,4)),VALUE(MID($AB1004,6,2)),VALUE(RIGHT($AB1004,2))),DATE(VALUE(RIGHT($AB1004,4)),VALUE(MID($AB1004,4,2)),VALUE(LEFT($AB1004,2)))))</f>
        <v>45598</v>
      </c>
      <c r="C1004" s="61" t="n">
        <f aca="false">YEAR($B1004)</f>
        <v>2024</v>
      </c>
      <c r="D1004" s="61" t="str">
        <f aca="false">"Q"&amp;ROUNDUP(MONTH($B1004)/3,0)</f>
        <v>Q4</v>
      </c>
      <c r="E1004" s="61" t="n">
        <f aca="false">MONTH($B1004)</f>
        <v>11</v>
      </c>
      <c r="F1004" s="61" t="str">
        <f aca="false">INDEX(Parametros!$I$5:$I$16,$E1004)</f>
        <v>Nov</v>
      </c>
      <c r="G1004" s="61" t="str">
        <f aca="false">TEXT($C1004,"0000")&amp;"-"&amp;TEXT($E1004,"00")</f>
        <v>2024-11</v>
      </c>
      <c r="H1004" s="61" t="str">
        <f aca="false">INDEX(Parametros!$C$71:$C$91,MATCH(TRIM(INDEX(Datos_Origen!$C$2:$C$2459,$Z1004)),Parametros!$B$71:$B$91,0))</f>
        <v>AMBA</v>
      </c>
      <c r="I1004" s="61" t="str">
        <f aca="false">IF(TRIM($AD1004)="",INDEX(Parametros!$I$20:$I$24,MATCH($H1004,Parametros!$H$20:$H$24,0)),TRIM($AD1004))</f>
        <v>Buenos Aires</v>
      </c>
      <c r="J1004" s="61" t="str">
        <f aca="false">INDEX(Parametros!$C$95:$C$106,MATCH(TRIM(INDEX(Datos_Origen!$E$2:$E$2459,$Z1004)),Parametros!$B$95:$B$106,0))</f>
        <v>Tienda fisica</v>
      </c>
      <c r="K1004" s="61" t="str">
        <f aca="false">INDEX(Parametros!$C$48:$C$67,MATCH(TRIM(INDEX(Datos_Origen!$F$2:$F$2459,$Z1004)),Parametros!$B$48:$B$67,0))</f>
        <v>Computacion</v>
      </c>
      <c r="L1004" s="61" t="str">
        <f aca="false">$K1004&amp;" "&amp;$C1004</f>
        <v>Computacion 2024</v>
      </c>
      <c r="M1004" s="61" t="str">
        <f aca="false">TRIM(INDEX(Datos_Origen!$G$2:$G$2459,$Z1004))</f>
        <v>Monitor 4K 27</v>
      </c>
      <c r="N1004" s="61" t="str">
        <f aca="false">$M1004&amp;" "&amp;$C1004</f>
        <v>Monitor 4K 27 2024</v>
      </c>
      <c r="O1004" s="63" t="n">
        <f aca="false">IF(ISTEXT($AC1004),VALUE($AC1004),$AC1004)</f>
        <v>31</v>
      </c>
      <c r="P1004" s="64" t="n">
        <f aca="false">INDEX(Datos_Origen!$I$2:$I$2459,$Z1004)</f>
        <v>441</v>
      </c>
      <c r="Q1004" s="64" t="n">
        <f aca="false">INDEX(Datos_Origen!$J$2:$J$2459,$Z1004)</f>
        <v>272.25</v>
      </c>
      <c r="R1004" s="65" t="n">
        <f aca="false">ROUND($O1004*$P1004,2)</f>
        <v>13671</v>
      </c>
      <c r="S1004" s="65" t="n">
        <f aca="false">ROUND($O1004*$Q1004,2)</f>
        <v>8439.75</v>
      </c>
      <c r="T1004" s="65" t="n">
        <f aca="false">ROUND($R1004*SUMIFS(Parametros!$E$28:$E$43,Parametros!$B$28:$B$43,$J1004,Parametros!$C$28:$C$43,$C1004,Parametros!$D$28:$D$43,$D1004),2)</f>
        <v>177.72</v>
      </c>
      <c r="U1004" s="65" t="n">
        <f aca="false">$R1004-$S1004-$T1004</f>
        <v>5053.53</v>
      </c>
      <c r="V1004" s="66" t="n">
        <f aca="false">IFERROR($U1004/$R1004,0)</f>
        <v>0.369653280667106</v>
      </c>
      <c r="W1004" s="67" t="str">
        <f aca="false">IF(AND($V1004&gt;=Parametros!$C$8,$R1004&gt;=Parametros!$C$12),"Alta rentabilidad",IF(OR($V1004&lt;Parametros!$C$11,$R1004&lt;Parametros!$C$13),"Revisar","Estandar"))</f>
        <v>Alta rentabilidad</v>
      </c>
      <c r="X1004" s="67" t="str">
        <f aca="false">IF(AND($J1004="E-commerce",IFERROR($T1004/$R1004,0)&gt;Parametros!$C$14),"Alerta","OK")</f>
        <v>OK</v>
      </c>
      <c r="Y1004" s="61" t="str">
        <f aca="false">IF($R1004&gt;=Parametros!$C$12,"Alto",IF($R1004&lt;Parametros!$C$13,"Bajo","Medio"))</f>
        <v>Alto</v>
      </c>
      <c r="Z1004" s="61" t="n">
        <v>1373</v>
      </c>
      <c r="AA1004" s="61" t="str">
        <f aca="false">IF(MATCH($A1004,Datos_Origen!$A$2:$A$2459,0)=$Z1004,"OK","REVISAR")</f>
        <v>OK</v>
      </c>
      <c r="AB1004" s="62" t="n">
        <f aca="false">INDEX(Datos_Origen!$B$2:$B$2459,$Z1004)</f>
        <v>45598</v>
      </c>
      <c r="AC1004" s="61" t="str">
        <f aca="false">INDEX(Datos_Origen!$H$2:$H$2459,$Z1004)</f>
        <v>31</v>
      </c>
      <c r="AD1004" s="61" t="str">
        <f aca="false">INDEX(Datos_Origen!$D$2:$D$2459,$Z1004)&amp;""</f>
        <v>Buenos Aires</v>
      </c>
    </row>
    <row r="1005" customFormat="false" ht="15" hidden="false" customHeight="false" outlineLevel="0" collapsed="false">
      <c r="A1005" s="61" t="n">
        <f aca="false">INDEX(Datos_Origen!$A$2:$A$2459,$Z1005)</f>
        <v>1004</v>
      </c>
      <c r="B1005" s="62" t="n">
        <f aca="false">IF(ISNUMBER($AB1005),$AB1005,IF(MID($AB1005,5,1)="-",DATE(VALUE(LEFT($AB1005,4)),VALUE(MID($AB1005,6,2)),VALUE(RIGHT($AB1005,2))),DATE(VALUE(RIGHT($AB1005,4)),VALUE(MID($AB1005,4,2)),VALUE(LEFT($AB1005,2)))))</f>
        <v>45605</v>
      </c>
      <c r="C1005" s="61" t="n">
        <f aca="false">YEAR($B1005)</f>
        <v>2024</v>
      </c>
      <c r="D1005" s="61" t="str">
        <f aca="false">"Q"&amp;ROUNDUP(MONTH($B1005)/3,0)</f>
        <v>Q4</v>
      </c>
      <c r="E1005" s="61" t="n">
        <f aca="false">MONTH($B1005)</f>
        <v>11</v>
      </c>
      <c r="F1005" s="61" t="str">
        <f aca="false">INDEX(Parametros!$I$5:$I$16,$E1005)</f>
        <v>Nov</v>
      </c>
      <c r="G1005" s="61" t="str">
        <f aca="false">TEXT($C1005,"0000")&amp;"-"&amp;TEXT($E1005,"00")</f>
        <v>2024-11</v>
      </c>
      <c r="H1005" s="61" t="str">
        <f aca="false">INDEX(Parametros!$C$71:$C$91,MATCH(TRIM(INDEX(Datos_Origen!$C$2:$C$2459,$Z1005)),Parametros!$B$71:$B$91,0))</f>
        <v>AMBA</v>
      </c>
      <c r="I1005" s="61" t="str">
        <f aca="false">IF(TRIM($AD1005)="",INDEX(Parametros!$I$20:$I$24,MATCH($H1005,Parametros!$H$20:$H$24,0)),TRIM($AD1005))</f>
        <v>Buenos Aires</v>
      </c>
      <c r="J1005" s="61" t="str">
        <f aca="false">INDEX(Parametros!$C$95:$C$106,MATCH(TRIM(INDEX(Datos_Origen!$E$2:$E$2459,$Z1005)),Parametros!$B$95:$B$106,0))</f>
        <v>E-commerce</v>
      </c>
      <c r="K1005" s="61" t="str">
        <f aca="false">INDEX(Parametros!$C$48:$C$67,MATCH(TRIM(INDEX(Datos_Origen!$F$2:$F$2459,$Z1005)),Parametros!$B$48:$B$67,0))</f>
        <v>Computacion</v>
      </c>
      <c r="L1005" s="61" t="str">
        <f aca="false">$K1005&amp;" "&amp;$C1005</f>
        <v>Computacion 2024</v>
      </c>
      <c r="M1005" s="61" t="str">
        <f aca="false">TRIM(INDEX(Datos_Origen!$G$2:$G$2459,$Z1005))</f>
        <v>Monitor 4K 27</v>
      </c>
      <c r="N1005" s="61" t="str">
        <f aca="false">$M1005&amp;" "&amp;$C1005</f>
        <v>Monitor 4K 27 2024</v>
      </c>
      <c r="O1005" s="63" t="n">
        <f aca="false">IF(ISTEXT($AC1005),VALUE($AC1005),$AC1005)</f>
        <v>9</v>
      </c>
      <c r="P1005" s="64" t="n">
        <f aca="false">INDEX(Datos_Origen!$I$2:$I$2459,$Z1005)</f>
        <v>441</v>
      </c>
      <c r="Q1005" s="64" t="n">
        <f aca="false">INDEX(Datos_Origen!$J$2:$J$2459,$Z1005)</f>
        <v>272.25</v>
      </c>
      <c r="R1005" s="65" t="n">
        <f aca="false">ROUND($O1005*$P1005,2)</f>
        <v>3969</v>
      </c>
      <c r="S1005" s="65" t="n">
        <f aca="false">ROUND($O1005*$Q1005,2)</f>
        <v>2450.25</v>
      </c>
      <c r="T1005" s="65" t="n">
        <f aca="false">ROUND($R1005*SUMIFS(Parametros!$E$28:$E$43,Parametros!$B$28:$B$43,$J1005,Parametros!$C$28:$C$43,$C1005,Parametros!$D$28:$D$43,$D1005),2)</f>
        <v>190.51</v>
      </c>
      <c r="U1005" s="65" t="n">
        <f aca="false">$R1005-$S1005-$T1005</f>
        <v>1328.24</v>
      </c>
      <c r="V1005" s="66" t="n">
        <f aca="false">IFERROR($U1005/$R1005,0)</f>
        <v>0.334653565129756</v>
      </c>
      <c r="W1005" s="67" t="str">
        <f aca="false">IF(AND($V1005&gt;=Parametros!$C$8,$R1005&gt;=Parametros!$C$12),"Alta rentabilidad",IF(OR($V1005&lt;Parametros!$C$11,$R1005&lt;Parametros!$C$13),"Revisar","Estandar"))</f>
        <v>Estandar</v>
      </c>
      <c r="X1005" s="67" t="str">
        <f aca="false">IF(AND($J1005="E-commerce",IFERROR($T1005/$R1005,0)&gt;Parametros!$C$14),"Alerta","OK")</f>
        <v>OK</v>
      </c>
      <c r="Y1005" s="61" t="str">
        <f aca="false">IF($R1005&gt;=Parametros!$C$12,"Alto",IF($R1005&lt;Parametros!$C$13,"Bajo","Medio"))</f>
        <v>Alto</v>
      </c>
      <c r="Z1005" s="61" t="n">
        <v>390</v>
      </c>
      <c r="AA1005" s="61" t="str">
        <f aca="false">IF(MATCH($A1005,Datos_Origen!$A$2:$A$2459,0)=$Z1005,"OK","REVISAR")</f>
        <v>OK</v>
      </c>
      <c r="AB1005" s="62" t="n">
        <f aca="false">INDEX(Datos_Origen!$B$2:$B$2459,$Z1005)</f>
        <v>45605</v>
      </c>
      <c r="AC1005" s="61" t="n">
        <f aca="false">INDEX(Datos_Origen!$H$2:$H$2459,$Z1005)</f>
        <v>9</v>
      </c>
      <c r="AD1005" s="61" t="str">
        <f aca="false">INDEX(Datos_Origen!$D$2:$D$2459,$Z1005)&amp;""</f>
        <v>Buenos Aires</v>
      </c>
    </row>
    <row r="1006" customFormat="false" ht="15" hidden="false" customHeight="false" outlineLevel="0" collapsed="false">
      <c r="A1006" s="61" t="n">
        <f aca="false">INDEX(Datos_Origen!$A$2:$A$2459,$Z1006)</f>
        <v>1005</v>
      </c>
      <c r="B1006" s="62" t="n">
        <f aca="false">IF(ISNUMBER($AB1006),$AB1006,IF(MID($AB1006,5,1)="-",DATE(VALUE(LEFT($AB1006,4)),VALUE(MID($AB1006,6,2)),VALUE(RIGHT($AB1006,2))),DATE(VALUE(RIGHT($AB1006,4)),VALUE(MID($AB1006,4,2)),VALUE(LEFT($AB1006,2)))))</f>
        <v>45612</v>
      </c>
      <c r="C1006" s="61" t="n">
        <f aca="false">YEAR($B1006)</f>
        <v>2024</v>
      </c>
      <c r="D1006" s="61" t="str">
        <f aca="false">"Q"&amp;ROUNDUP(MONTH($B1006)/3,0)</f>
        <v>Q4</v>
      </c>
      <c r="E1006" s="61" t="n">
        <f aca="false">MONTH($B1006)</f>
        <v>11</v>
      </c>
      <c r="F1006" s="61" t="str">
        <f aca="false">INDEX(Parametros!$I$5:$I$16,$E1006)</f>
        <v>Nov</v>
      </c>
      <c r="G1006" s="61" t="str">
        <f aca="false">TEXT($C1006,"0000")&amp;"-"&amp;TEXT($E1006,"00")</f>
        <v>2024-11</v>
      </c>
      <c r="H1006" s="61" t="str">
        <f aca="false">INDEX(Parametros!$C$71:$C$91,MATCH(TRIM(INDEX(Datos_Origen!$C$2:$C$2459,$Z1006)),Parametros!$B$71:$B$91,0))</f>
        <v>AMBA</v>
      </c>
      <c r="I1006" s="61" t="str">
        <f aca="false">IF(TRIM($AD1006)="",INDEX(Parametros!$I$20:$I$24,MATCH($H1006,Parametros!$H$20:$H$24,0)),TRIM($AD1006))</f>
        <v>Buenos Aires</v>
      </c>
      <c r="J1006" s="61" t="str">
        <f aca="false">INDEX(Parametros!$C$95:$C$106,MATCH(TRIM(INDEX(Datos_Origen!$E$2:$E$2459,$Z1006)),Parametros!$B$95:$B$106,0))</f>
        <v>Tienda fisica</v>
      </c>
      <c r="K1006" s="61" t="str">
        <f aca="false">INDEX(Parametros!$C$48:$C$67,MATCH(TRIM(INDEX(Datos_Origen!$F$2:$F$2459,$Z1006)),Parametros!$B$48:$B$67,0))</f>
        <v>Computacion</v>
      </c>
      <c r="L1006" s="61" t="str">
        <f aca="false">$K1006&amp;" "&amp;$C1006</f>
        <v>Computacion 2024</v>
      </c>
      <c r="M1006" s="61" t="str">
        <f aca="false">TRIM(INDEX(Datos_Origen!$G$2:$G$2459,$Z1006))</f>
        <v>PC Gamer Ryzen</v>
      </c>
      <c r="N1006" s="61" t="str">
        <f aca="false">$M1006&amp;" "&amp;$C1006</f>
        <v>PC Gamer Ryzen 2024</v>
      </c>
      <c r="O1006" s="63" t="n">
        <f aca="false">IF(ISTEXT($AC1006),VALUE($AC1006),$AC1006)</f>
        <v>23</v>
      </c>
      <c r="P1006" s="64" t="n">
        <f aca="false">INDEX(Datos_Origen!$I$2:$I$2459,$Z1006)</f>
        <v>1617</v>
      </c>
      <c r="Q1006" s="64" t="n">
        <f aca="false">INDEX(Datos_Origen!$J$2:$J$2459,$Z1006)</f>
        <v>1122</v>
      </c>
      <c r="R1006" s="65" t="n">
        <f aca="false">ROUND($O1006*$P1006,2)</f>
        <v>37191</v>
      </c>
      <c r="S1006" s="65" t="n">
        <f aca="false">ROUND($O1006*$Q1006,2)</f>
        <v>25806</v>
      </c>
      <c r="T1006" s="65" t="n">
        <f aca="false">ROUND($R1006*SUMIFS(Parametros!$E$28:$E$43,Parametros!$B$28:$B$43,$J1006,Parametros!$C$28:$C$43,$C1006,Parametros!$D$28:$D$43,$D1006),2)</f>
        <v>483.48</v>
      </c>
      <c r="U1006" s="65" t="n">
        <f aca="false">$R1006-$S1006-$T1006</f>
        <v>10901.52</v>
      </c>
      <c r="V1006" s="66" t="n">
        <f aca="false">IFERROR($U1006/$R1006,0)</f>
        <v>0.293122529644269</v>
      </c>
      <c r="W1006" s="67" t="str">
        <f aca="false">IF(AND($V1006&gt;=Parametros!$C$8,$R1006&gt;=Parametros!$C$12),"Alta rentabilidad",IF(OR($V1006&lt;Parametros!$C$11,$R1006&lt;Parametros!$C$13),"Revisar","Estandar"))</f>
        <v>Estandar</v>
      </c>
      <c r="X1006" s="67" t="str">
        <f aca="false">IF(AND($J1006="E-commerce",IFERROR($T1006/$R1006,0)&gt;Parametros!$C$14),"Alerta","OK")</f>
        <v>OK</v>
      </c>
      <c r="Y1006" s="61" t="str">
        <f aca="false">IF($R1006&gt;=Parametros!$C$12,"Alto",IF($R1006&lt;Parametros!$C$13,"Bajo","Medio"))</f>
        <v>Alto</v>
      </c>
      <c r="Z1006" s="61" t="n">
        <v>558</v>
      </c>
      <c r="AA1006" s="61" t="str">
        <f aca="false">IF(MATCH($A1006,Datos_Origen!$A$2:$A$2459,0)=$Z1006,"OK","REVISAR")</f>
        <v>OK</v>
      </c>
      <c r="AB1006" s="62" t="n">
        <f aca="false">INDEX(Datos_Origen!$B$2:$B$2459,$Z1006)</f>
        <v>45612</v>
      </c>
      <c r="AC1006" s="61" t="n">
        <f aca="false">INDEX(Datos_Origen!$H$2:$H$2459,$Z1006)</f>
        <v>23</v>
      </c>
      <c r="AD1006" s="61" t="str">
        <f aca="false">INDEX(Datos_Origen!$D$2:$D$2459,$Z1006)&amp;""</f>
        <v>Buenos Aires</v>
      </c>
    </row>
    <row r="1007" customFormat="false" ht="15" hidden="false" customHeight="false" outlineLevel="0" collapsed="false">
      <c r="A1007" s="61" t="n">
        <f aca="false">INDEX(Datos_Origen!$A$2:$A$2459,$Z1007)</f>
        <v>1006</v>
      </c>
      <c r="B1007" s="62" t="n">
        <f aca="false">IF(ISNUMBER($AB1007),$AB1007,IF(MID($AB1007,5,1)="-",DATE(VALUE(LEFT($AB1007,4)),VALUE(MID($AB1007,6,2)),VALUE(RIGHT($AB1007,2))),DATE(VALUE(RIGHT($AB1007,4)),VALUE(MID($AB1007,4,2)),VALUE(LEFT($AB1007,2)))))</f>
        <v>45619</v>
      </c>
      <c r="C1007" s="61" t="n">
        <f aca="false">YEAR($B1007)</f>
        <v>2024</v>
      </c>
      <c r="D1007" s="61" t="str">
        <f aca="false">"Q"&amp;ROUNDUP(MONTH($B1007)/3,0)</f>
        <v>Q4</v>
      </c>
      <c r="E1007" s="61" t="n">
        <f aca="false">MONTH($B1007)</f>
        <v>11</v>
      </c>
      <c r="F1007" s="61" t="str">
        <f aca="false">INDEX(Parametros!$I$5:$I$16,$E1007)</f>
        <v>Nov</v>
      </c>
      <c r="G1007" s="61" t="str">
        <f aca="false">TEXT($C1007,"0000")&amp;"-"&amp;TEXT($E1007,"00")</f>
        <v>2024-11</v>
      </c>
      <c r="H1007" s="61" t="str">
        <f aca="false">INDEX(Parametros!$C$71:$C$91,MATCH(TRIM(INDEX(Datos_Origen!$C$2:$C$2459,$Z1007)),Parametros!$B$71:$B$91,0))</f>
        <v>AMBA</v>
      </c>
      <c r="I1007" s="61" t="str">
        <f aca="false">IF(TRIM($AD1007)="",INDEX(Parametros!$I$20:$I$24,MATCH($H1007,Parametros!$H$20:$H$24,0)),TRIM($AD1007))</f>
        <v>Buenos Aires</v>
      </c>
      <c r="J1007" s="61" t="str">
        <f aca="false">INDEX(Parametros!$C$95:$C$106,MATCH(TRIM(INDEX(Datos_Origen!$E$2:$E$2459,$Z1007)),Parametros!$B$95:$B$106,0))</f>
        <v>E-commerce</v>
      </c>
      <c r="K1007" s="61" t="str">
        <f aca="false">INDEX(Parametros!$C$48:$C$67,MATCH(TRIM(INDEX(Datos_Origen!$F$2:$F$2459,$Z1007)),Parametros!$B$48:$B$67,0))</f>
        <v>Computacion</v>
      </c>
      <c r="L1007" s="61" t="str">
        <f aca="false">$K1007&amp;" "&amp;$C1007</f>
        <v>Computacion 2024</v>
      </c>
      <c r="M1007" s="61" t="str">
        <f aca="false">TRIM(INDEX(Datos_Origen!$G$2:$G$2459,$Z1007))</f>
        <v>PC Gamer Ryzen</v>
      </c>
      <c r="N1007" s="61" t="str">
        <f aca="false">$M1007&amp;" "&amp;$C1007</f>
        <v>PC Gamer Ryzen 2024</v>
      </c>
      <c r="O1007" s="63" t="n">
        <f aca="false">IF(ISTEXT($AC1007),VALUE($AC1007),$AC1007)</f>
        <v>11</v>
      </c>
      <c r="P1007" s="64" t="n">
        <f aca="false">INDEX(Datos_Origen!$I$2:$I$2459,$Z1007)</f>
        <v>1617</v>
      </c>
      <c r="Q1007" s="64" t="n">
        <f aca="false">INDEX(Datos_Origen!$J$2:$J$2459,$Z1007)</f>
        <v>1122</v>
      </c>
      <c r="R1007" s="65" t="n">
        <f aca="false">ROUND($O1007*$P1007,2)</f>
        <v>17787</v>
      </c>
      <c r="S1007" s="65" t="n">
        <f aca="false">ROUND($O1007*$Q1007,2)</f>
        <v>12342</v>
      </c>
      <c r="T1007" s="65" t="n">
        <f aca="false">ROUND($R1007*SUMIFS(Parametros!$E$28:$E$43,Parametros!$B$28:$B$43,$J1007,Parametros!$C$28:$C$43,$C1007,Parametros!$D$28:$D$43,$D1007),2)</f>
        <v>853.78</v>
      </c>
      <c r="U1007" s="65" t="n">
        <f aca="false">$R1007-$S1007-$T1007</f>
        <v>4591.22</v>
      </c>
      <c r="V1007" s="66" t="n">
        <f aca="false">IFERROR($U1007/$R1007,0)</f>
        <v>0.25812222409625</v>
      </c>
      <c r="W1007" s="67" t="str">
        <f aca="false">IF(AND($V1007&gt;=Parametros!$C$8,$R1007&gt;=Parametros!$C$12),"Alta rentabilidad",IF(OR($V1007&lt;Parametros!$C$11,$R1007&lt;Parametros!$C$13),"Revisar","Estandar"))</f>
        <v>Revisar</v>
      </c>
      <c r="X1007" s="67" t="str">
        <f aca="false">IF(AND($J1007="E-commerce",IFERROR($T1007/$R1007,0)&gt;Parametros!$C$14),"Alerta","OK")</f>
        <v>OK</v>
      </c>
      <c r="Y1007" s="61" t="str">
        <f aca="false">IF($R1007&gt;=Parametros!$C$12,"Alto",IF($R1007&lt;Parametros!$C$13,"Bajo","Medio"))</f>
        <v>Alto</v>
      </c>
      <c r="Z1007" s="61" t="n">
        <v>837</v>
      </c>
      <c r="AA1007" s="61" t="str">
        <f aca="false">IF(MATCH($A1007,Datos_Origen!$A$2:$A$2459,0)=$Z1007,"OK","REVISAR")</f>
        <v>OK</v>
      </c>
      <c r="AB1007" s="61" t="str">
        <f aca="false">INDEX(Datos_Origen!$B$2:$B$2459,$Z1007)</f>
        <v>23/11/2024</v>
      </c>
      <c r="AC1007" s="61" t="n">
        <f aca="false">INDEX(Datos_Origen!$H$2:$H$2459,$Z1007)</f>
        <v>11</v>
      </c>
      <c r="AD1007" s="61" t="str">
        <f aca="false">INDEX(Datos_Origen!$D$2:$D$2459,$Z1007)&amp;""</f>
        <v>Buenos Aires</v>
      </c>
    </row>
    <row r="1008" customFormat="false" ht="15" hidden="false" customHeight="false" outlineLevel="0" collapsed="false">
      <c r="A1008" s="61" t="n">
        <f aca="false">INDEX(Datos_Origen!$A$2:$A$2459,$Z1008)</f>
        <v>1007</v>
      </c>
      <c r="B1008" s="62" t="n">
        <f aca="false">IF(ISNUMBER($AB1008),$AB1008,IF(MID($AB1008,5,1)="-",DATE(VALUE(LEFT($AB1008,4)),VALUE(MID($AB1008,6,2)),VALUE(RIGHT($AB1008,2))),DATE(VALUE(RIGHT($AB1008,4)),VALUE(MID($AB1008,4,2)),VALUE(LEFT($AB1008,2)))))</f>
        <v>45599</v>
      </c>
      <c r="C1008" s="61" t="n">
        <f aca="false">YEAR($B1008)</f>
        <v>2024</v>
      </c>
      <c r="D1008" s="61" t="str">
        <f aca="false">"Q"&amp;ROUNDUP(MONTH($B1008)/3,0)</f>
        <v>Q4</v>
      </c>
      <c r="E1008" s="61" t="n">
        <f aca="false">MONTH($B1008)</f>
        <v>11</v>
      </c>
      <c r="F1008" s="61" t="str">
        <f aca="false">INDEX(Parametros!$I$5:$I$16,$E1008)</f>
        <v>Nov</v>
      </c>
      <c r="G1008" s="61" t="str">
        <f aca="false">TEXT($C1008,"0000")&amp;"-"&amp;TEXT($E1008,"00")</f>
        <v>2024-11</v>
      </c>
      <c r="H1008" s="61" t="str">
        <f aca="false">INDEX(Parametros!$C$71:$C$91,MATCH(TRIM(INDEX(Datos_Origen!$C$2:$C$2459,$Z1008)),Parametros!$B$71:$B$91,0))</f>
        <v>AMBA</v>
      </c>
      <c r="I1008" s="61" t="str">
        <f aca="false">IF(TRIM($AD1008)="",INDEX(Parametros!$I$20:$I$24,MATCH($H1008,Parametros!$H$20:$H$24,0)),TRIM($AD1008))</f>
        <v>Buenos Aires</v>
      </c>
      <c r="J1008" s="61" t="str">
        <f aca="false">INDEX(Parametros!$C$95:$C$106,MATCH(TRIM(INDEX(Datos_Origen!$E$2:$E$2459,$Z1008)),Parametros!$B$95:$B$106,0))</f>
        <v>Tienda fisica</v>
      </c>
      <c r="K1008" s="61" t="str">
        <f aca="false">INDEX(Parametros!$C$48:$C$67,MATCH(TRIM(INDEX(Datos_Origen!$F$2:$F$2459,$Z1008)),Parametros!$B$48:$B$67,0))</f>
        <v>Accesorios</v>
      </c>
      <c r="L1008" s="61" t="str">
        <f aca="false">$K1008&amp;" "&amp;$C1008</f>
        <v>Accesorios 2024</v>
      </c>
      <c r="M1008" s="61" t="str">
        <f aca="false">TRIM(INDEX(Datos_Origen!$G$2:$G$2459,$Z1008))</f>
        <v>Mouse Inalambrico</v>
      </c>
      <c r="N1008" s="61" t="str">
        <f aca="false">$M1008&amp;" "&amp;$C1008</f>
        <v>Mouse Inalambrico 2024</v>
      </c>
      <c r="O1008" s="63" t="n">
        <f aca="false">IF(ISTEXT($AC1008),VALUE($AC1008),$AC1008)</f>
        <v>103</v>
      </c>
      <c r="P1008" s="64" t="n">
        <f aca="false">INDEX(Datos_Origen!$I$2:$I$2459,$Z1008)</f>
        <v>27.44</v>
      </c>
      <c r="Q1008" s="64" t="n">
        <f aca="false">INDEX(Datos_Origen!$J$2:$J$2459,$Z1008)</f>
        <v>13.44</v>
      </c>
      <c r="R1008" s="65" t="n">
        <f aca="false">ROUND($O1008*$P1008,2)</f>
        <v>2826.32</v>
      </c>
      <c r="S1008" s="65" t="n">
        <f aca="false">ROUND($O1008*$Q1008,2)</f>
        <v>1384.32</v>
      </c>
      <c r="T1008" s="65" t="n">
        <f aca="false">ROUND($R1008*SUMIFS(Parametros!$E$28:$E$43,Parametros!$B$28:$B$43,$J1008,Parametros!$C$28:$C$43,$C1008,Parametros!$D$28:$D$43,$D1008),2)</f>
        <v>36.74</v>
      </c>
      <c r="U1008" s="65" t="n">
        <f aca="false">$R1008-$S1008-$T1008</f>
        <v>1405.26</v>
      </c>
      <c r="V1008" s="66" t="n">
        <f aca="false">IFERROR($U1008/$R1008,0)</f>
        <v>0.497204845877325</v>
      </c>
      <c r="W1008" s="67" t="str">
        <f aca="false">IF(AND($V1008&gt;=Parametros!$C$8,$R1008&gt;=Parametros!$C$12),"Alta rentabilidad",IF(OR($V1008&lt;Parametros!$C$11,$R1008&lt;Parametros!$C$13),"Revisar","Estandar"))</f>
        <v>Estandar</v>
      </c>
      <c r="X1008" s="67" t="str">
        <f aca="false">IF(AND($J1008="E-commerce",IFERROR($T1008/$R1008,0)&gt;Parametros!$C$14),"Alerta","OK")</f>
        <v>OK</v>
      </c>
      <c r="Y1008" s="61" t="str">
        <f aca="false">IF($R1008&gt;=Parametros!$C$12,"Alto",IF($R1008&lt;Parametros!$C$13,"Bajo","Medio"))</f>
        <v>Medio</v>
      </c>
      <c r="Z1008" s="61" t="n">
        <v>2446</v>
      </c>
      <c r="AA1008" s="61" t="str">
        <f aca="false">IF(MATCH($A1008,Datos_Origen!$A$2:$A$2459,0)=$Z1008,"OK","REVISAR")</f>
        <v>OK</v>
      </c>
      <c r="AB1008" s="62" t="n">
        <f aca="false">INDEX(Datos_Origen!$B$2:$B$2459,$Z1008)</f>
        <v>45599</v>
      </c>
      <c r="AC1008" s="61" t="n">
        <f aca="false">INDEX(Datos_Origen!$H$2:$H$2459,$Z1008)</f>
        <v>103</v>
      </c>
      <c r="AD1008" s="61" t="str">
        <f aca="false">INDEX(Datos_Origen!$D$2:$D$2459,$Z1008)&amp;""</f>
        <v>Buenos Aires</v>
      </c>
    </row>
    <row r="1009" customFormat="false" ht="15" hidden="false" customHeight="false" outlineLevel="0" collapsed="false">
      <c r="A1009" s="61" t="n">
        <f aca="false">INDEX(Datos_Origen!$A$2:$A$2459,$Z1009)</f>
        <v>1008</v>
      </c>
      <c r="B1009" s="62" t="n">
        <f aca="false">IF(ISNUMBER($AB1009),$AB1009,IF(MID($AB1009,5,1)="-",DATE(VALUE(LEFT($AB1009,4)),VALUE(MID($AB1009,6,2)),VALUE(RIGHT($AB1009,2))),DATE(VALUE(RIGHT($AB1009,4)),VALUE(MID($AB1009,4,2)),VALUE(LEFT($AB1009,2)))))</f>
        <v>45606</v>
      </c>
      <c r="C1009" s="61" t="n">
        <f aca="false">YEAR($B1009)</f>
        <v>2024</v>
      </c>
      <c r="D1009" s="61" t="str">
        <f aca="false">"Q"&amp;ROUNDUP(MONTH($B1009)/3,0)</f>
        <v>Q4</v>
      </c>
      <c r="E1009" s="61" t="n">
        <f aca="false">MONTH($B1009)</f>
        <v>11</v>
      </c>
      <c r="F1009" s="61" t="str">
        <f aca="false">INDEX(Parametros!$I$5:$I$16,$E1009)</f>
        <v>Nov</v>
      </c>
      <c r="G1009" s="61" t="str">
        <f aca="false">TEXT($C1009,"0000")&amp;"-"&amp;TEXT($E1009,"00")</f>
        <v>2024-11</v>
      </c>
      <c r="H1009" s="61" t="str">
        <f aca="false">INDEX(Parametros!$C$71:$C$91,MATCH(TRIM(INDEX(Datos_Origen!$C$2:$C$2459,$Z1009)),Parametros!$B$71:$B$91,0))</f>
        <v>AMBA</v>
      </c>
      <c r="I1009" s="61" t="str">
        <f aca="false">IF(TRIM($AD1009)="",INDEX(Parametros!$I$20:$I$24,MATCH($H1009,Parametros!$H$20:$H$24,0)),TRIM($AD1009))</f>
        <v>Buenos Aires</v>
      </c>
      <c r="J1009" s="61" t="str">
        <f aca="false">INDEX(Parametros!$C$95:$C$106,MATCH(TRIM(INDEX(Datos_Origen!$E$2:$E$2459,$Z1009)),Parametros!$B$95:$B$106,0))</f>
        <v>E-commerce</v>
      </c>
      <c r="K1009" s="61" t="str">
        <f aca="false">INDEX(Parametros!$C$48:$C$67,MATCH(TRIM(INDEX(Datos_Origen!$F$2:$F$2459,$Z1009)),Parametros!$B$48:$B$67,0))</f>
        <v>Accesorios</v>
      </c>
      <c r="L1009" s="61" t="str">
        <f aca="false">$K1009&amp;" "&amp;$C1009</f>
        <v>Accesorios 2024</v>
      </c>
      <c r="M1009" s="61" t="str">
        <f aca="false">TRIM(INDEX(Datos_Origen!$G$2:$G$2459,$Z1009))</f>
        <v>Mouse Inalambrico</v>
      </c>
      <c r="N1009" s="61" t="str">
        <f aca="false">$M1009&amp;" "&amp;$C1009</f>
        <v>Mouse Inalambrico 2024</v>
      </c>
      <c r="O1009" s="63" t="n">
        <f aca="false">IF(ISTEXT($AC1009),VALUE($AC1009),$AC1009)</f>
        <v>44</v>
      </c>
      <c r="P1009" s="64" t="n">
        <f aca="false">INDEX(Datos_Origen!$I$2:$I$2459,$Z1009)</f>
        <v>27.44</v>
      </c>
      <c r="Q1009" s="64" t="n">
        <f aca="false">INDEX(Datos_Origen!$J$2:$J$2459,$Z1009)</f>
        <v>13.44</v>
      </c>
      <c r="R1009" s="65" t="n">
        <f aca="false">ROUND($O1009*$P1009,2)</f>
        <v>1207.36</v>
      </c>
      <c r="S1009" s="65" t="n">
        <f aca="false">ROUND($O1009*$Q1009,2)</f>
        <v>591.36</v>
      </c>
      <c r="T1009" s="65" t="n">
        <f aca="false">ROUND($R1009*SUMIFS(Parametros!$E$28:$E$43,Parametros!$B$28:$B$43,$J1009,Parametros!$C$28:$C$43,$C1009,Parametros!$D$28:$D$43,$D1009),2)</f>
        <v>57.95</v>
      </c>
      <c r="U1009" s="65" t="n">
        <f aca="false">$R1009-$S1009-$T1009</f>
        <v>558.05</v>
      </c>
      <c r="V1009" s="66" t="n">
        <f aca="false">IFERROR($U1009/$R1009,0)</f>
        <v>0.462206798303737</v>
      </c>
      <c r="W1009" s="67" t="str">
        <f aca="false">IF(AND($V1009&gt;=Parametros!$C$8,$R1009&gt;=Parametros!$C$12),"Alta rentabilidad",IF(OR($V1009&lt;Parametros!$C$11,$R1009&lt;Parametros!$C$13),"Revisar","Estandar"))</f>
        <v>Estandar</v>
      </c>
      <c r="X1009" s="67" t="str">
        <f aca="false">IF(AND($J1009="E-commerce",IFERROR($T1009/$R1009,0)&gt;Parametros!$C$14),"Alerta","OK")</f>
        <v>OK</v>
      </c>
      <c r="Y1009" s="61" t="str">
        <f aca="false">IF($R1009&gt;=Parametros!$C$12,"Alto",IF($R1009&lt;Parametros!$C$13,"Bajo","Medio"))</f>
        <v>Medio</v>
      </c>
      <c r="Z1009" s="61" t="n">
        <v>1377</v>
      </c>
      <c r="AA1009" s="61" t="str">
        <f aca="false">IF(MATCH($A1009,Datos_Origen!$A$2:$A$2459,0)=$Z1009,"OK","REVISAR")</f>
        <v>OK</v>
      </c>
      <c r="AB1009" s="62" t="n">
        <f aca="false">INDEX(Datos_Origen!$B$2:$B$2459,$Z1009)</f>
        <v>45606</v>
      </c>
      <c r="AC1009" s="61" t="str">
        <f aca="false">INDEX(Datos_Origen!$H$2:$H$2459,$Z1009)</f>
        <v>44</v>
      </c>
      <c r="AD1009" s="61" t="str">
        <f aca="false">INDEX(Datos_Origen!$D$2:$D$2459,$Z1009)&amp;""</f>
        <v>Buenos Aires</v>
      </c>
    </row>
    <row r="1010" customFormat="false" ht="15" hidden="false" customHeight="false" outlineLevel="0" collapsed="false">
      <c r="A1010" s="61" t="n">
        <f aca="false">INDEX(Datos_Origen!$A$2:$A$2459,$Z1010)</f>
        <v>1009</v>
      </c>
      <c r="B1010" s="62" t="n">
        <f aca="false">IF(ISNUMBER($AB1010),$AB1010,IF(MID($AB1010,5,1)="-",DATE(VALUE(LEFT($AB1010,4)),VALUE(MID($AB1010,6,2)),VALUE(RIGHT($AB1010,2))),DATE(VALUE(RIGHT($AB1010,4)),VALUE(MID($AB1010,4,2)),VALUE(LEFT($AB1010,2)))))</f>
        <v>45613</v>
      </c>
      <c r="C1010" s="61" t="n">
        <f aca="false">YEAR($B1010)</f>
        <v>2024</v>
      </c>
      <c r="D1010" s="61" t="str">
        <f aca="false">"Q"&amp;ROUNDUP(MONTH($B1010)/3,0)</f>
        <v>Q4</v>
      </c>
      <c r="E1010" s="61" t="n">
        <f aca="false">MONTH($B1010)</f>
        <v>11</v>
      </c>
      <c r="F1010" s="61" t="str">
        <f aca="false">INDEX(Parametros!$I$5:$I$16,$E1010)</f>
        <v>Nov</v>
      </c>
      <c r="G1010" s="61" t="str">
        <f aca="false">TEXT($C1010,"0000")&amp;"-"&amp;TEXT($E1010,"00")</f>
        <v>2024-11</v>
      </c>
      <c r="H1010" s="61" t="str">
        <f aca="false">INDEX(Parametros!$C$71:$C$91,MATCH(TRIM(INDEX(Datos_Origen!$C$2:$C$2459,$Z1010)),Parametros!$B$71:$B$91,0))</f>
        <v>AMBA</v>
      </c>
      <c r="I1010" s="61" t="str">
        <f aca="false">IF(TRIM($AD1010)="",INDEX(Parametros!$I$20:$I$24,MATCH($H1010,Parametros!$H$20:$H$24,0)),TRIM($AD1010))</f>
        <v>Buenos Aires</v>
      </c>
      <c r="J1010" s="61" t="str">
        <f aca="false">INDEX(Parametros!$C$95:$C$106,MATCH(TRIM(INDEX(Datos_Origen!$E$2:$E$2459,$Z1010)),Parametros!$B$95:$B$106,0))</f>
        <v>Tienda fisica</v>
      </c>
      <c r="K1010" s="61" t="str">
        <f aca="false">INDEX(Parametros!$C$48:$C$67,MATCH(TRIM(INDEX(Datos_Origen!$F$2:$F$2459,$Z1010)),Parametros!$B$48:$B$67,0))</f>
        <v>Accesorios</v>
      </c>
      <c r="L1010" s="61" t="str">
        <f aca="false">$K1010&amp;" "&amp;$C1010</f>
        <v>Accesorios 2024</v>
      </c>
      <c r="M1010" s="61" t="str">
        <f aca="false">TRIM(INDEX(Datos_Origen!$G$2:$G$2459,$Z1010))</f>
        <v>Teclado Mecanico</v>
      </c>
      <c r="N1010" s="61" t="str">
        <f aca="false">$M1010&amp;" "&amp;$C1010</f>
        <v>Teclado Mecanico 2024</v>
      </c>
      <c r="O1010" s="63" t="n">
        <f aca="false">IF(ISTEXT($AC1010),VALUE($AC1010),$AC1010)</f>
        <v>113</v>
      </c>
      <c r="P1010" s="64" t="n">
        <f aca="false">INDEX(Datos_Origen!$I$2:$I$2459,$Z1010)</f>
        <v>93.1</v>
      </c>
      <c r="Q1010" s="64" t="n">
        <f aca="false">INDEX(Datos_Origen!$J$2:$J$2459,$Z1010)</f>
        <v>47.98</v>
      </c>
      <c r="R1010" s="65" t="n">
        <f aca="false">ROUND($O1010*$P1010,2)</f>
        <v>10520.3</v>
      </c>
      <c r="S1010" s="65" t="n">
        <f aca="false">ROUND($O1010*$Q1010,2)</f>
        <v>5421.74</v>
      </c>
      <c r="T1010" s="65" t="n">
        <f aca="false">ROUND($R1010*SUMIFS(Parametros!$E$28:$E$43,Parametros!$B$28:$B$43,$J1010,Parametros!$C$28:$C$43,$C1010,Parametros!$D$28:$D$43,$D1010),2)</f>
        <v>136.76</v>
      </c>
      <c r="U1010" s="65" t="n">
        <f aca="false">$R1010-$S1010-$T1010</f>
        <v>4961.8</v>
      </c>
      <c r="V1010" s="66" t="n">
        <f aca="false">IFERROR($U1010/$R1010,0)</f>
        <v>0.471640542570079</v>
      </c>
      <c r="W1010" s="67" t="str">
        <f aca="false">IF(AND($V1010&gt;=Parametros!$C$8,$R1010&gt;=Parametros!$C$12),"Alta rentabilidad",IF(OR($V1010&lt;Parametros!$C$11,$R1010&lt;Parametros!$C$13),"Revisar","Estandar"))</f>
        <v>Alta rentabilidad</v>
      </c>
      <c r="X1010" s="67" t="str">
        <f aca="false">IF(AND($J1010="E-commerce",IFERROR($T1010/$R1010,0)&gt;Parametros!$C$14),"Alerta","OK")</f>
        <v>OK</v>
      </c>
      <c r="Y1010" s="61" t="str">
        <f aca="false">IF($R1010&gt;=Parametros!$C$12,"Alto",IF($R1010&lt;Parametros!$C$13,"Bajo","Medio"))</f>
        <v>Alto</v>
      </c>
      <c r="Z1010" s="61" t="n">
        <v>764</v>
      </c>
      <c r="AA1010" s="61" t="str">
        <f aca="false">IF(MATCH($A1010,Datos_Origen!$A$2:$A$2459,0)=$Z1010,"OK","REVISAR")</f>
        <v>OK</v>
      </c>
      <c r="AB1010" s="62" t="n">
        <f aca="false">INDEX(Datos_Origen!$B$2:$B$2459,$Z1010)</f>
        <v>45613</v>
      </c>
      <c r="AC1010" s="61" t="n">
        <f aca="false">INDEX(Datos_Origen!$H$2:$H$2459,$Z1010)</f>
        <v>113</v>
      </c>
      <c r="AD1010" s="61" t="str">
        <f aca="false">INDEX(Datos_Origen!$D$2:$D$2459,$Z1010)&amp;""</f>
        <v>Buenos Aires</v>
      </c>
    </row>
    <row r="1011" customFormat="false" ht="15" hidden="false" customHeight="false" outlineLevel="0" collapsed="false">
      <c r="A1011" s="61" t="n">
        <f aca="false">INDEX(Datos_Origen!$A$2:$A$2459,$Z1011)</f>
        <v>1010</v>
      </c>
      <c r="B1011" s="62" t="n">
        <f aca="false">IF(ISNUMBER($AB1011),$AB1011,IF(MID($AB1011,5,1)="-",DATE(VALUE(LEFT($AB1011,4)),VALUE(MID($AB1011,6,2)),VALUE(RIGHT($AB1011,2))),DATE(VALUE(RIGHT($AB1011,4)),VALUE(MID($AB1011,4,2)),VALUE(LEFT($AB1011,2)))))</f>
        <v>45620</v>
      </c>
      <c r="C1011" s="61" t="n">
        <f aca="false">YEAR($B1011)</f>
        <v>2024</v>
      </c>
      <c r="D1011" s="61" t="str">
        <f aca="false">"Q"&amp;ROUNDUP(MONTH($B1011)/3,0)</f>
        <v>Q4</v>
      </c>
      <c r="E1011" s="61" t="n">
        <f aca="false">MONTH($B1011)</f>
        <v>11</v>
      </c>
      <c r="F1011" s="61" t="str">
        <f aca="false">INDEX(Parametros!$I$5:$I$16,$E1011)</f>
        <v>Nov</v>
      </c>
      <c r="G1011" s="61" t="str">
        <f aca="false">TEXT($C1011,"0000")&amp;"-"&amp;TEXT($E1011,"00")</f>
        <v>2024-11</v>
      </c>
      <c r="H1011" s="61" t="str">
        <f aca="false">INDEX(Parametros!$C$71:$C$91,MATCH(TRIM(INDEX(Datos_Origen!$C$2:$C$2459,$Z1011)),Parametros!$B$71:$B$91,0))</f>
        <v>AMBA</v>
      </c>
      <c r="I1011" s="61" t="str">
        <f aca="false">IF(TRIM($AD1011)="",INDEX(Parametros!$I$20:$I$24,MATCH($H1011,Parametros!$H$20:$H$24,0)),TRIM($AD1011))</f>
        <v>Buenos Aires</v>
      </c>
      <c r="J1011" s="61" t="str">
        <f aca="false">INDEX(Parametros!$C$95:$C$106,MATCH(TRIM(INDEX(Datos_Origen!$E$2:$E$2459,$Z1011)),Parametros!$B$95:$B$106,0))</f>
        <v>E-commerce</v>
      </c>
      <c r="K1011" s="61" t="str">
        <f aca="false">INDEX(Parametros!$C$48:$C$67,MATCH(TRIM(INDEX(Datos_Origen!$F$2:$F$2459,$Z1011)),Parametros!$B$48:$B$67,0))</f>
        <v>Accesorios</v>
      </c>
      <c r="L1011" s="61" t="str">
        <f aca="false">$K1011&amp;" "&amp;$C1011</f>
        <v>Accesorios 2024</v>
      </c>
      <c r="M1011" s="61" t="str">
        <f aca="false">TRIM(INDEX(Datos_Origen!$G$2:$G$2459,$Z1011))</f>
        <v>Teclado Mecanico</v>
      </c>
      <c r="N1011" s="61" t="str">
        <f aca="false">$M1011&amp;" "&amp;$C1011</f>
        <v>Teclado Mecanico 2024</v>
      </c>
      <c r="O1011" s="63" t="n">
        <f aca="false">IF(ISTEXT($AC1011),VALUE($AC1011),$AC1011)</f>
        <v>46</v>
      </c>
      <c r="P1011" s="64" t="n">
        <f aca="false">INDEX(Datos_Origen!$I$2:$I$2459,$Z1011)</f>
        <v>93.1</v>
      </c>
      <c r="Q1011" s="64" t="n">
        <f aca="false">INDEX(Datos_Origen!$J$2:$J$2459,$Z1011)</f>
        <v>47.98</v>
      </c>
      <c r="R1011" s="65" t="n">
        <f aca="false">ROUND($O1011*$P1011,2)</f>
        <v>4282.6</v>
      </c>
      <c r="S1011" s="65" t="n">
        <f aca="false">ROUND($O1011*$Q1011,2)</f>
        <v>2207.08</v>
      </c>
      <c r="T1011" s="65" t="n">
        <f aca="false">ROUND($R1011*SUMIFS(Parametros!$E$28:$E$43,Parametros!$B$28:$B$43,$J1011,Parametros!$C$28:$C$43,$C1011,Parametros!$D$28:$D$43,$D1011),2)</f>
        <v>205.56</v>
      </c>
      <c r="U1011" s="65" t="n">
        <f aca="false">$R1011-$S1011-$T1011</f>
        <v>1869.96</v>
      </c>
      <c r="V1011" s="66" t="n">
        <f aca="false">IFERROR($U1011/$R1011,0)</f>
        <v>0.436641292672676</v>
      </c>
      <c r="W1011" s="67" t="str">
        <f aca="false">IF(AND($V1011&gt;=Parametros!$C$8,$R1011&gt;=Parametros!$C$12),"Alta rentabilidad",IF(OR($V1011&lt;Parametros!$C$11,$R1011&lt;Parametros!$C$13),"Revisar","Estandar"))</f>
        <v>Alta rentabilidad</v>
      </c>
      <c r="X1011" s="67" t="str">
        <f aca="false">IF(AND($J1011="E-commerce",IFERROR($T1011/$R1011,0)&gt;Parametros!$C$14),"Alerta","OK")</f>
        <v>OK</v>
      </c>
      <c r="Y1011" s="61" t="str">
        <f aca="false">IF($R1011&gt;=Parametros!$C$12,"Alto",IF($R1011&lt;Parametros!$C$13,"Bajo","Medio"))</f>
        <v>Alto</v>
      </c>
      <c r="Z1011" s="61" t="n">
        <v>148</v>
      </c>
      <c r="AA1011" s="61" t="str">
        <f aca="false">IF(MATCH($A1011,Datos_Origen!$A$2:$A$2459,0)=$Z1011,"OK","REVISAR")</f>
        <v>OK</v>
      </c>
      <c r="AB1011" s="61" t="str">
        <f aca="false">INDEX(Datos_Origen!$B$2:$B$2459,$Z1011)</f>
        <v>24/11/2024</v>
      </c>
      <c r="AC1011" s="61" t="str">
        <f aca="false">INDEX(Datos_Origen!$H$2:$H$2459,$Z1011)</f>
        <v>46</v>
      </c>
      <c r="AD1011" s="61" t="str">
        <f aca="false">INDEX(Datos_Origen!$D$2:$D$2459,$Z1011)&amp;""</f>
        <v>Buenos Aires</v>
      </c>
    </row>
    <row r="1012" customFormat="false" ht="15" hidden="false" customHeight="false" outlineLevel="0" collapsed="false">
      <c r="A1012" s="61" t="n">
        <f aca="false">INDEX(Datos_Origen!$A$2:$A$2459,$Z1012)</f>
        <v>1011</v>
      </c>
      <c r="B1012" s="62" t="n">
        <f aca="false">IF(ISNUMBER($AB1012),$AB1012,IF(MID($AB1012,5,1)="-",DATE(VALUE(LEFT($AB1012,4)),VALUE(MID($AB1012,6,2)),VALUE(RIGHT($AB1012,2))),DATE(VALUE(RIGHT($AB1012,4)),VALUE(MID($AB1012,4,2)),VALUE(LEFT($AB1012,2)))))</f>
        <v>45600</v>
      </c>
      <c r="C1012" s="61" t="n">
        <f aca="false">YEAR($B1012)</f>
        <v>2024</v>
      </c>
      <c r="D1012" s="61" t="str">
        <f aca="false">"Q"&amp;ROUNDUP(MONTH($B1012)/3,0)</f>
        <v>Q4</v>
      </c>
      <c r="E1012" s="61" t="n">
        <f aca="false">MONTH($B1012)</f>
        <v>11</v>
      </c>
      <c r="F1012" s="61" t="str">
        <f aca="false">INDEX(Parametros!$I$5:$I$16,$E1012)</f>
        <v>Nov</v>
      </c>
      <c r="G1012" s="61" t="str">
        <f aca="false">TEXT($C1012,"0000")&amp;"-"&amp;TEXT($E1012,"00")</f>
        <v>2024-11</v>
      </c>
      <c r="H1012" s="61" t="str">
        <f aca="false">INDEX(Parametros!$C$71:$C$91,MATCH(TRIM(INDEX(Datos_Origen!$C$2:$C$2459,$Z1012)),Parametros!$B$71:$B$91,0))</f>
        <v>AMBA</v>
      </c>
      <c r="I1012" s="61" t="str">
        <f aca="false">IF(TRIM($AD1012)="",INDEX(Parametros!$I$20:$I$24,MATCH($H1012,Parametros!$H$20:$H$24,0)),TRIM($AD1012))</f>
        <v>Buenos Aires</v>
      </c>
      <c r="J1012" s="61" t="str">
        <f aca="false">INDEX(Parametros!$C$95:$C$106,MATCH(TRIM(INDEX(Datos_Origen!$E$2:$E$2459,$Z1012)),Parametros!$B$95:$B$106,0))</f>
        <v>Tienda fisica</v>
      </c>
      <c r="K1012" s="61" t="str">
        <f aca="false">INDEX(Parametros!$C$48:$C$67,MATCH(TRIM(INDEX(Datos_Origen!$F$2:$F$2459,$Z1012)),Parametros!$B$48:$B$67,0))</f>
        <v>Accesorios</v>
      </c>
      <c r="L1012" s="61" t="str">
        <f aca="false">$K1012&amp;" "&amp;$C1012</f>
        <v>Accesorios 2024</v>
      </c>
      <c r="M1012" s="61" t="str">
        <f aca="false">TRIM(INDEX(Datos_Origen!$G$2:$G$2459,$Z1012))</f>
        <v>Webcam Full HD</v>
      </c>
      <c r="N1012" s="61" t="str">
        <f aca="false">$M1012&amp;" "&amp;$C1012</f>
        <v>Webcam Full HD 2024</v>
      </c>
      <c r="O1012" s="63" t="n">
        <f aca="false">IF(ISTEXT($AC1012),VALUE($AC1012),$AC1012)</f>
        <v>127</v>
      </c>
      <c r="P1012" s="64" t="n">
        <f aca="false">INDEX(Datos_Origen!$I$2:$I$2459,$Z1012)</f>
        <v>63.7</v>
      </c>
      <c r="Q1012" s="64" t="n">
        <f aca="false">INDEX(Datos_Origen!$J$2:$J$2459,$Z1012)</f>
        <v>35.43</v>
      </c>
      <c r="R1012" s="65" t="n">
        <f aca="false">ROUND($O1012*$P1012,2)</f>
        <v>8089.9</v>
      </c>
      <c r="S1012" s="65" t="n">
        <f aca="false">ROUND($O1012*$Q1012,2)</f>
        <v>4499.61</v>
      </c>
      <c r="T1012" s="65" t="n">
        <f aca="false">ROUND($R1012*SUMIFS(Parametros!$E$28:$E$43,Parametros!$B$28:$B$43,$J1012,Parametros!$C$28:$C$43,$C1012,Parametros!$D$28:$D$43,$D1012),2)</f>
        <v>105.17</v>
      </c>
      <c r="U1012" s="65" t="n">
        <f aca="false">$R1012-$S1012-$T1012</f>
        <v>3485.12</v>
      </c>
      <c r="V1012" s="66" t="n">
        <f aca="false">IFERROR($U1012/$R1012,0)</f>
        <v>0.430798897390573</v>
      </c>
      <c r="W1012" s="67" t="str">
        <f aca="false">IF(AND($V1012&gt;=Parametros!$C$8,$R1012&gt;=Parametros!$C$12),"Alta rentabilidad",IF(OR($V1012&lt;Parametros!$C$11,$R1012&lt;Parametros!$C$13),"Revisar","Estandar"))</f>
        <v>Alta rentabilidad</v>
      </c>
      <c r="X1012" s="67" t="str">
        <f aca="false">IF(AND($J1012="E-commerce",IFERROR($T1012/$R1012,0)&gt;Parametros!$C$14),"Alerta","OK")</f>
        <v>OK</v>
      </c>
      <c r="Y1012" s="61" t="str">
        <f aca="false">IF($R1012&gt;=Parametros!$C$12,"Alto",IF($R1012&lt;Parametros!$C$13,"Bajo","Medio"))</f>
        <v>Alto</v>
      </c>
      <c r="Z1012" s="61" t="n">
        <v>739</v>
      </c>
      <c r="AA1012" s="61" t="str">
        <f aca="false">IF(MATCH($A1012,Datos_Origen!$A$2:$A$2459,0)=$Z1012,"OK","REVISAR")</f>
        <v>OK</v>
      </c>
      <c r="AB1012" s="62" t="n">
        <f aca="false">INDEX(Datos_Origen!$B$2:$B$2459,$Z1012)</f>
        <v>45600</v>
      </c>
      <c r="AC1012" s="61" t="n">
        <f aca="false">INDEX(Datos_Origen!$H$2:$H$2459,$Z1012)</f>
        <v>127</v>
      </c>
      <c r="AD1012" s="61" t="str">
        <f aca="false">INDEX(Datos_Origen!$D$2:$D$2459,$Z1012)&amp;""</f>
        <v>Buenos Aires</v>
      </c>
    </row>
    <row r="1013" customFormat="false" ht="15" hidden="false" customHeight="false" outlineLevel="0" collapsed="false">
      <c r="A1013" s="61" t="n">
        <f aca="false">INDEX(Datos_Origen!$A$2:$A$2459,$Z1013)</f>
        <v>1012</v>
      </c>
      <c r="B1013" s="62" t="n">
        <f aca="false">IF(ISNUMBER($AB1013),$AB1013,IF(MID($AB1013,5,1)="-",DATE(VALUE(LEFT($AB1013,4)),VALUE(MID($AB1013,6,2)),VALUE(RIGHT($AB1013,2))),DATE(VALUE(RIGHT($AB1013,4)),VALUE(MID($AB1013,4,2)),VALUE(LEFT($AB1013,2)))))</f>
        <v>45607</v>
      </c>
      <c r="C1013" s="61" t="n">
        <f aca="false">YEAR($B1013)</f>
        <v>2024</v>
      </c>
      <c r="D1013" s="61" t="str">
        <f aca="false">"Q"&amp;ROUNDUP(MONTH($B1013)/3,0)</f>
        <v>Q4</v>
      </c>
      <c r="E1013" s="61" t="n">
        <f aca="false">MONTH($B1013)</f>
        <v>11</v>
      </c>
      <c r="F1013" s="61" t="str">
        <f aca="false">INDEX(Parametros!$I$5:$I$16,$E1013)</f>
        <v>Nov</v>
      </c>
      <c r="G1013" s="61" t="str">
        <f aca="false">TEXT($C1013,"0000")&amp;"-"&amp;TEXT($E1013,"00")</f>
        <v>2024-11</v>
      </c>
      <c r="H1013" s="61" t="str">
        <f aca="false">INDEX(Parametros!$C$71:$C$91,MATCH(TRIM(INDEX(Datos_Origen!$C$2:$C$2459,$Z1013)),Parametros!$B$71:$B$91,0))</f>
        <v>AMBA</v>
      </c>
      <c r="I1013" s="61" t="str">
        <f aca="false">IF(TRIM($AD1013)="",INDEX(Parametros!$I$20:$I$24,MATCH($H1013,Parametros!$H$20:$H$24,0)),TRIM($AD1013))</f>
        <v>Buenos Aires</v>
      </c>
      <c r="J1013" s="61" t="str">
        <f aca="false">INDEX(Parametros!$C$95:$C$106,MATCH(TRIM(INDEX(Datos_Origen!$E$2:$E$2459,$Z1013)),Parametros!$B$95:$B$106,0))</f>
        <v>E-commerce</v>
      </c>
      <c r="K1013" s="61" t="str">
        <f aca="false">INDEX(Parametros!$C$48:$C$67,MATCH(TRIM(INDEX(Datos_Origen!$F$2:$F$2459,$Z1013)),Parametros!$B$48:$B$67,0))</f>
        <v>Accesorios</v>
      </c>
      <c r="L1013" s="61" t="str">
        <f aca="false">$K1013&amp;" "&amp;$C1013</f>
        <v>Accesorios 2024</v>
      </c>
      <c r="M1013" s="61" t="str">
        <f aca="false">TRIM(INDEX(Datos_Origen!$G$2:$G$2459,$Z1013))</f>
        <v>Webcam Full HD</v>
      </c>
      <c r="N1013" s="61" t="str">
        <f aca="false">$M1013&amp;" "&amp;$C1013</f>
        <v>Webcam Full HD 2024</v>
      </c>
      <c r="O1013" s="63" t="n">
        <f aca="false">IF(ISTEXT($AC1013),VALUE($AC1013),$AC1013)</f>
        <v>48</v>
      </c>
      <c r="P1013" s="64" t="n">
        <f aca="false">INDEX(Datos_Origen!$I$2:$I$2459,$Z1013)</f>
        <v>63.7</v>
      </c>
      <c r="Q1013" s="64" t="n">
        <f aca="false">INDEX(Datos_Origen!$J$2:$J$2459,$Z1013)</f>
        <v>35.43</v>
      </c>
      <c r="R1013" s="65" t="n">
        <f aca="false">ROUND($O1013*$P1013,2)</f>
        <v>3057.6</v>
      </c>
      <c r="S1013" s="65" t="n">
        <f aca="false">ROUND($O1013*$Q1013,2)</f>
        <v>1700.64</v>
      </c>
      <c r="T1013" s="65" t="n">
        <f aca="false">ROUND($R1013*SUMIFS(Parametros!$E$28:$E$43,Parametros!$B$28:$B$43,$J1013,Parametros!$C$28:$C$43,$C1013,Parametros!$D$28:$D$43,$D1013),2)</f>
        <v>146.76</v>
      </c>
      <c r="U1013" s="65" t="n">
        <f aca="false">$R1013-$S1013-$T1013</f>
        <v>1210.2</v>
      </c>
      <c r="V1013" s="66" t="n">
        <f aca="false">IFERROR($U1013/$R1013,0)</f>
        <v>0.395800627943485</v>
      </c>
      <c r="W1013" s="67" t="str">
        <f aca="false">IF(AND($V1013&gt;=Parametros!$C$8,$R1013&gt;=Parametros!$C$12),"Alta rentabilidad",IF(OR($V1013&lt;Parametros!$C$11,$R1013&lt;Parametros!$C$13),"Revisar","Estandar"))</f>
        <v>Alta rentabilidad</v>
      </c>
      <c r="X1013" s="67" t="str">
        <f aca="false">IF(AND($J1013="E-commerce",IFERROR($T1013/$R1013,0)&gt;Parametros!$C$14),"Alerta","OK")</f>
        <v>OK</v>
      </c>
      <c r="Y1013" s="61" t="str">
        <f aca="false">IF($R1013&gt;=Parametros!$C$12,"Alto",IF($R1013&lt;Parametros!$C$13,"Bajo","Medio"))</f>
        <v>Alto</v>
      </c>
      <c r="Z1013" s="61" t="n">
        <v>1445</v>
      </c>
      <c r="AA1013" s="61" t="str">
        <f aca="false">IF(MATCH($A1013,Datos_Origen!$A$2:$A$2459,0)=$Z1013,"OK","REVISAR")</f>
        <v>OK</v>
      </c>
      <c r="AB1013" s="62" t="n">
        <f aca="false">INDEX(Datos_Origen!$B$2:$B$2459,$Z1013)</f>
        <v>45607</v>
      </c>
      <c r="AC1013" s="61" t="n">
        <f aca="false">INDEX(Datos_Origen!$H$2:$H$2459,$Z1013)</f>
        <v>48</v>
      </c>
      <c r="AD1013" s="61" t="str">
        <f aca="false">INDEX(Datos_Origen!$D$2:$D$2459,$Z1013)&amp;""</f>
        <v>Buenos Aires</v>
      </c>
    </row>
    <row r="1014" customFormat="false" ht="15" hidden="false" customHeight="false" outlineLevel="0" collapsed="false">
      <c r="A1014" s="61" t="n">
        <f aca="false">INDEX(Datos_Origen!$A$2:$A$2459,$Z1014)</f>
        <v>1013</v>
      </c>
      <c r="B1014" s="62" t="n">
        <f aca="false">IF(ISNUMBER($AB1014),$AB1014,IF(MID($AB1014,5,1)="-",DATE(VALUE(LEFT($AB1014,4)),VALUE(MID($AB1014,6,2)),VALUE(RIGHT($AB1014,2))),DATE(VALUE(RIGHT($AB1014,4)),VALUE(MID($AB1014,4,2)),VALUE(LEFT($AB1014,2)))))</f>
        <v>45614</v>
      </c>
      <c r="C1014" s="61" t="n">
        <f aca="false">YEAR($B1014)</f>
        <v>2024</v>
      </c>
      <c r="D1014" s="61" t="str">
        <f aca="false">"Q"&amp;ROUNDUP(MONTH($B1014)/3,0)</f>
        <v>Q4</v>
      </c>
      <c r="E1014" s="61" t="n">
        <f aca="false">MONTH($B1014)</f>
        <v>11</v>
      </c>
      <c r="F1014" s="61" t="str">
        <f aca="false">INDEX(Parametros!$I$5:$I$16,$E1014)</f>
        <v>Nov</v>
      </c>
      <c r="G1014" s="61" t="str">
        <f aca="false">TEXT($C1014,"0000")&amp;"-"&amp;TEXT($E1014,"00")</f>
        <v>2024-11</v>
      </c>
      <c r="H1014" s="61" t="str">
        <f aca="false">INDEX(Parametros!$C$71:$C$91,MATCH(TRIM(INDEX(Datos_Origen!$C$2:$C$2459,$Z1014)),Parametros!$B$71:$B$91,0))</f>
        <v>AMBA</v>
      </c>
      <c r="I1014" s="61" t="str">
        <f aca="false">IF(TRIM($AD1014)="",INDEX(Parametros!$I$20:$I$24,MATCH($H1014,Parametros!$H$20:$H$24,0)),TRIM($AD1014))</f>
        <v>Buenos Aires</v>
      </c>
      <c r="J1014" s="61" t="str">
        <f aca="false">INDEX(Parametros!$C$95:$C$106,MATCH(TRIM(INDEX(Datos_Origen!$E$2:$E$2459,$Z1014)),Parametros!$B$95:$B$106,0))</f>
        <v>Tienda fisica</v>
      </c>
      <c r="K1014" s="61" t="str">
        <f aca="false">INDEX(Parametros!$C$48:$C$67,MATCH(TRIM(INDEX(Datos_Origen!$F$2:$F$2459,$Z1014)),Parametros!$B$48:$B$67,0))</f>
        <v>Audio</v>
      </c>
      <c r="L1014" s="61" t="str">
        <f aca="false">$K1014&amp;" "&amp;$C1014</f>
        <v>Audio 2024</v>
      </c>
      <c r="M1014" s="61" t="str">
        <f aca="false">TRIM(INDEX(Datos_Origen!$G$2:$G$2459,$Z1014))</f>
        <v>Auriculares BT Pro</v>
      </c>
      <c r="N1014" s="61" t="str">
        <f aca="false">$M1014&amp;" "&amp;$C1014</f>
        <v>Auriculares BT Pro 2024</v>
      </c>
      <c r="O1014" s="63" t="n">
        <f aca="false">IF(ISTEXT($AC1014),VALUE($AC1014),$AC1014)</f>
        <v>57</v>
      </c>
      <c r="P1014" s="64" t="n">
        <f aca="false">INDEX(Datos_Origen!$I$2:$I$2459,$Z1014)</f>
        <v>117.6</v>
      </c>
      <c r="Q1014" s="64" t="n">
        <f aca="false">INDEX(Datos_Origen!$J$2:$J$2459,$Z1014)</f>
        <v>63.6</v>
      </c>
      <c r="R1014" s="65" t="n">
        <f aca="false">ROUND($O1014*$P1014,2)</f>
        <v>6703.2</v>
      </c>
      <c r="S1014" s="65" t="n">
        <f aca="false">ROUND($O1014*$Q1014,2)</f>
        <v>3625.2</v>
      </c>
      <c r="T1014" s="65" t="n">
        <f aca="false">ROUND($R1014*SUMIFS(Parametros!$E$28:$E$43,Parametros!$B$28:$B$43,$J1014,Parametros!$C$28:$C$43,$C1014,Parametros!$D$28:$D$43,$D1014),2)</f>
        <v>87.14</v>
      </c>
      <c r="U1014" s="65" t="n">
        <f aca="false">$R1014-$S1014-$T1014</f>
        <v>2990.86</v>
      </c>
      <c r="V1014" s="66" t="n">
        <f aca="false">IFERROR($U1014/$R1014,0)</f>
        <v>0.446183912161356</v>
      </c>
      <c r="W1014" s="67" t="str">
        <f aca="false">IF(AND($V1014&gt;=Parametros!$C$8,$R1014&gt;=Parametros!$C$12),"Alta rentabilidad",IF(OR($V1014&lt;Parametros!$C$11,$R1014&lt;Parametros!$C$13),"Revisar","Estandar"))</f>
        <v>Alta rentabilidad</v>
      </c>
      <c r="X1014" s="67" t="str">
        <f aca="false">IF(AND($J1014="E-commerce",IFERROR($T1014/$R1014,0)&gt;Parametros!$C$14),"Alerta","OK")</f>
        <v>OK</v>
      </c>
      <c r="Y1014" s="61" t="str">
        <f aca="false">IF($R1014&gt;=Parametros!$C$12,"Alto",IF($R1014&lt;Parametros!$C$13,"Bajo","Medio"))</f>
        <v>Alto</v>
      </c>
      <c r="Z1014" s="61" t="n">
        <v>463</v>
      </c>
      <c r="AA1014" s="61" t="str">
        <f aca="false">IF(MATCH($A1014,Datos_Origen!$A$2:$A$2459,0)=$Z1014,"OK","REVISAR")</f>
        <v>OK</v>
      </c>
      <c r="AB1014" s="61" t="str">
        <f aca="false">INDEX(Datos_Origen!$B$2:$B$2459,$Z1014)</f>
        <v>2024-11-18</v>
      </c>
      <c r="AC1014" s="61" t="n">
        <f aca="false">INDEX(Datos_Origen!$H$2:$H$2459,$Z1014)</f>
        <v>57</v>
      </c>
      <c r="AD1014" s="61" t="str">
        <f aca="false">INDEX(Datos_Origen!$D$2:$D$2459,$Z1014)&amp;""</f>
        <v>Buenos Aires</v>
      </c>
    </row>
    <row r="1015" customFormat="false" ht="15" hidden="false" customHeight="false" outlineLevel="0" collapsed="false">
      <c r="A1015" s="61" t="n">
        <f aca="false">INDEX(Datos_Origen!$A$2:$A$2459,$Z1015)</f>
        <v>1014</v>
      </c>
      <c r="B1015" s="62" t="n">
        <f aca="false">IF(ISNUMBER($AB1015),$AB1015,IF(MID($AB1015,5,1)="-",DATE(VALUE(LEFT($AB1015,4)),VALUE(MID($AB1015,6,2)),VALUE(RIGHT($AB1015,2))),DATE(VALUE(RIGHT($AB1015,4)),VALUE(MID($AB1015,4,2)),VALUE(LEFT($AB1015,2)))))</f>
        <v>45621</v>
      </c>
      <c r="C1015" s="61" t="n">
        <f aca="false">YEAR($B1015)</f>
        <v>2024</v>
      </c>
      <c r="D1015" s="61" t="str">
        <f aca="false">"Q"&amp;ROUNDUP(MONTH($B1015)/3,0)</f>
        <v>Q4</v>
      </c>
      <c r="E1015" s="61" t="n">
        <f aca="false">MONTH($B1015)</f>
        <v>11</v>
      </c>
      <c r="F1015" s="61" t="str">
        <f aca="false">INDEX(Parametros!$I$5:$I$16,$E1015)</f>
        <v>Nov</v>
      </c>
      <c r="G1015" s="61" t="str">
        <f aca="false">TEXT($C1015,"0000")&amp;"-"&amp;TEXT($E1015,"00")</f>
        <v>2024-11</v>
      </c>
      <c r="H1015" s="61" t="str">
        <f aca="false">INDEX(Parametros!$C$71:$C$91,MATCH(TRIM(INDEX(Datos_Origen!$C$2:$C$2459,$Z1015)),Parametros!$B$71:$B$91,0))</f>
        <v>AMBA</v>
      </c>
      <c r="I1015" s="61" t="str">
        <f aca="false">IF(TRIM($AD1015)="",INDEX(Parametros!$I$20:$I$24,MATCH($H1015,Parametros!$H$20:$H$24,0)),TRIM($AD1015))</f>
        <v>Buenos Aires</v>
      </c>
      <c r="J1015" s="61" t="str">
        <f aca="false">INDEX(Parametros!$C$95:$C$106,MATCH(TRIM(INDEX(Datos_Origen!$E$2:$E$2459,$Z1015)),Parametros!$B$95:$B$106,0))</f>
        <v>E-commerce</v>
      </c>
      <c r="K1015" s="61" t="str">
        <f aca="false">INDEX(Parametros!$C$48:$C$67,MATCH(TRIM(INDEX(Datos_Origen!$F$2:$F$2459,$Z1015)),Parametros!$B$48:$B$67,0))</f>
        <v>Audio</v>
      </c>
      <c r="L1015" s="61" t="str">
        <f aca="false">$K1015&amp;" "&amp;$C1015</f>
        <v>Audio 2024</v>
      </c>
      <c r="M1015" s="61" t="str">
        <f aca="false">TRIM(INDEX(Datos_Origen!$G$2:$G$2459,$Z1015))</f>
        <v>Auriculares BT Pro</v>
      </c>
      <c r="N1015" s="61" t="str">
        <f aca="false">$M1015&amp;" "&amp;$C1015</f>
        <v>Auriculares BT Pro 2024</v>
      </c>
      <c r="O1015" s="63" t="n">
        <f aca="false">IF(ISTEXT($AC1015),VALUE($AC1015),$AC1015)</f>
        <v>23</v>
      </c>
      <c r="P1015" s="64" t="n">
        <f aca="false">INDEX(Datos_Origen!$I$2:$I$2459,$Z1015)</f>
        <v>117.6</v>
      </c>
      <c r="Q1015" s="64" t="n">
        <f aca="false">INDEX(Datos_Origen!$J$2:$J$2459,$Z1015)</f>
        <v>63.6</v>
      </c>
      <c r="R1015" s="65" t="n">
        <f aca="false">ROUND($O1015*$P1015,2)</f>
        <v>2704.8</v>
      </c>
      <c r="S1015" s="65" t="n">
        <f aca="false">ROUND($O1015*$Q1015,2)</f>
        <v>1462.8</v>
      </c>
      <c r="T1015" s="65" t="n">
        <f aca="false">ROUND($R1015*SUMIFS(Parametros!$E$28:$E$43,Parametros!$B$28:$B$43,$J1015,Parametros!$C$28:$C$43,$C1015,Parametros!$D$28:$D$43,$D1015),2)</f>
        <v>129.83</v>
      </c>
      <c r="U1015" s="65" t="n">
        <f aca="false">$R1015-$S1015-$T1015</f>
        <v>1112.17</v>
      </c>
      <c r="V1015" s="66" t="n">
        <f aca="false">IFERROR($U1015/$R1015,0)</f>
        <v>0.411183821354629</v>
      </c>
      <c r="W1015" s="67" t="str">
        <f aca="false">IF(AND($V1015&gt;=Parametros!$C$8,$R1015&gt;=Parametros!$C$12),"Alta rentabilidad",IF(OR($V1015&lt;Parametros!$C$11,$R1015&lt;Parametros!$C$13),"Revisar","Estandar"))</f>
        <v>Estandar</v>
      </c>
      <c r="X1015" s="67" t="str">
        <f aca="false">IF(AND($J1015="E-commerce",IFERROR($T1015/$R1015,0)&gt;Parametros!$C$14),"Alerta","OK")</f>
        <v>OK</v>
      </c>
      <c r="Y1015" s="61" t="str">
        <f aca="false">IF($R1015&gt;=Parametros!$C$12,"Alto",IF($R1015&lt;Parametros!$C$13,"Bajo","Medio"))</f>
        <v>Medio</v>
      </c>
      <c r="Z1015" s="61" t="n">
        <v>1995</v>
      </c>
      <c r="AA1015" s="61" t="str">
        <f aca="false">IF(MATCH($A1015,Datos_Origen!$A$2:$A$2459,0)=$Z1015,"OK","REVISAR")</f>
        <v>OK</v>
      </c>
      <c r="AB1015" s="62" t="n">
        <f aca="false">INDEX(Datos_Origen!$B$2:$B$2459,$Z1015)</f>
        <v>45621</v>
      </c>
      <c r="AC1015" s="61" t="n">
        <f aca="false">INDEX(Datos_Origen!$H$2:$H$2459,$Z1015)</f>
        <v>23</v>
      </c>
      <c r="AD1015" s="61" t="str">
        <f aca="false">INDEX(Datos_Origen!$D$2:$D$2459,$Z1015)&amp;""</f>
        <v>Buenos Aires</v>
      </c>
    </row>
    <row r="1016" customFormat="false" ht="15" hidden="false" customHeight="false" outlineLevel="0" collapsed="false">
      <c r="A1016" s="61" t="n">
        <f aca="false">INDEX(Datos_Origen!$A$2:$A$2459,$Z1016)</f>
        <v>1015</v>
      </c>
      <c r="B1016" s="62" t="n">
        <f aca="false">IF(ISNUMBER($AB1016),$AB1016,IF(MID($AB1016,5,1)="-",DATE(VALUE(LEFT($AB1016,4)),VALUE(MID($AB1016,6,2)),VALUE(RIGHT($AB1016,2))),DATE(VALUE(RIGHT($AB1016,4)),VALUE(MID($AB1016,4,2)),VALUE(LEFT($AB1016,2)))))</f>
        <v>45601</v>
      </c>
      <c r="C1016" s="61" t="n">
        <f aca="false">YEAR($B1016)</f>
        <v>2024</v>
      </c>
      <c r="D1016" s="61" t="str">
        <f aca="false">"Q"&amp;ROUNDUP(MONTH($B1016)/3,0)</f>
        <v>Q4</v>
      </c>
      <c r="E1016" s="61" t="n">
        <f aca="false">MONTH($B1016)</f>
        <v>11</v>
      </c>
      <c r="F1016" s="61" t="str">
        <f aca="false">INDEX(Parametros!$I$5:$I$16,$E1016)</f>
        <v>Nov</v>
      </c>
      <c r="G1016" s="61" t="str">
        <f aca="false">TEXT($C1016,"0000")&amp;"-"&amp;TEXT($E1016,"00")</f>
        <v>2024-11</v>
      </c>
      <c r="H1016" s="61" t="str">
        <f aca="false">INDEX(Parametros!$C$71:$C$91,MATCH(TRIM(INDEX(Datos_Origen!$C$2:$C$2459,$Z1016)),Parametros!$B$71:$B$91,0))</f>
        <v>AMBA</v>
      </c>
      <c r="I1016" s="61" t="str">
        <f aca="false">IF(TRIM($AD1016)="",INDEX(Parametros!$I$20:$I$24,MATCH($H1016,Parametros!$H$20:$H$24,0)),TRIM($AD1016))</f>
        <v>Buenos Aires</v>
      </c>
      <c r="J1016" s="61" t="str">
        <f aca="false">INDEX(Parametros!$C$95:$C$106,MATCH(TRIM(INDEX(Datos_Origen!$E$2:$E$2459,$Z1016)),Parametros!$B$95:$B$106,0))</f>
        <v>Tienda fisica</v>
      </c>
      <c r="K1016" s="61" t="str">
        <f aca="false">INDEX(Parametros!$C$48:$C$67,MATCH(TRIM(INDEX(Datos_Origen!$F$2:$F$2459,$Z1016)),Parametros!$B$48:$B$67,0))</f>
        <v>Audio</v>
      </c>
      <c r="L1016" s="61" t="str">
        <f aca="false">$K1016&amp;" "&amp;$C1016</f>
        <v>Audio 2024</v>
      </c>
      <c r="M1016" s="61" t="str">
        <f aca="false">TRIM(INDEX(Datos_Origen!$G$2:$G$2459,$Z1016))</f>
        <v>Parlante Bluetooth</v>
      </c>
      <c r="N1016" s="61" t="str">
        <f aca="false">$M1016&amp;" "&amp;$C1016</f>
        <v>Parlante Bluetooth 2024</v>
      </c>
      <c r="O1016" s="63" t="n">
        <f aca="false">IF(ISTEXT($AC1016),VALUE($AC1016),$AC1016)</f>
        <v>65</v>
      </c>
      <c r="P1016" s="64" t="n">
        <f aca="false">INDEX(Datos_Origen!$I$2:$I$2459,$Z1016)</f>
        <v>83.3</v>
      </c>
      <c r="Q1016" s="64" t="n">
        <f aca="false">INDEX(Datos_Origen!$J$2:$J$2459,$Z1016)</f>
        <v>48.03</v>
      </c>
      <c r="R1016" s="65" t="n">
        <f aca="false">ROUND($O1016*$P1016,2)</f>
        <v>5414.5</v>
      </c>
      <c r="S1016" s="65" t="n">
        <f aca="false">ROUND($O1016*$Q1016,2)</f>
        <v>3121.95</v>
      </c>
      <c r="T1016" s="65" t="n">
        <f aca="false">ROUND($R1016*SUMIFS(Parametros!$E$28:$E$43,Parametros!$B$28:$B$43,$J1016,Parametros!$C$28:$C$43,$C1016,Parametros!$D$28:$D$43,$D1016),2)</f>
        <v>70.39</v>
      </c>
      <c r="U1016" s="65" t="n">
        <f aca="false">$R1016-$S1016-$T1016</f>
        <v>2222.16</v>
      </c>
      <c r="V1016" s="66" t="n">
        <f aca="false">IFERROR($U1016/$R1016,0)</f>
        <v>0.410409086711608</v>
      </c>
      <c r="W1016" s="67" t="str">
        <f aca="false">IF(AND($V1016&gt;=Parametros!$C$8,$R1016&gt;=Parametros!$C$12),"Alta rentabilidad",IF(OR($V1016&lt;Parametros!$C$11,$R1016&lt;Parametros!$C$13),"Revisar","Estandar"))</f>
        <v>Alta rentabilidad</v>
      </c>
      <c r="X1016" s="67" t="str">
        <f aca="false">IF(AND($J1016="E-commerce",IFERROR($T1016/$R1016,0)&gt;Parametros!$C$14),"Alerta","OK")</f>
        <v>OK</v>
      </c>
      <c r="Y1016" s="61" t="str">
        <f aca="false">IF($R1016&gt;=Parametros!$C$12,"Alto",IF($R1016&lt;Parametros!$C$13,"Bajo","Medio"))</f>
        <v>Alto</v>
      </c>
      <c r="Z1016" s="61" t="n">
        <v>1717</v>
      </c>
      <c r="AA1016" s="61" t="str">
        <f aca="false">IF(MATCH($A1016,Datos_Origen!$A$2:$A$2459,0)=$Z1016,"OK","REVISAR")</f>
        <v>OK</v>
      </c>
      <c r="AB1016" s="62" t="n">
        <f aca="false">INDEX(Datos_Origen!$B$2:$B$2459,$Z1016)</f>
        <v>45601</v>
      </c>
      <c r="AC1016" s="61" t="n">
        <f aca="false">INDEX(Datos_Origen!$H$2:$H$2459,$Z1016)</f>
        <v>65</v>
      </c>
      <c r="AD1016" s="61" t="str">
        <f aca="false">INDEX(Datos_Origen!$D$2:$D$2459,$Z1016)&amp;""</f>
        <v>Buenos Aires</v>
      </c>
    </row>
    <row r="1017" customFormat="false" ht="15" hidden="false" customHeight="false" outlineLevel="0" collapsed="false">
      <c r="A1017" s="61" t="n">
        <f aca="false">INDEX(Datos_Origen!$A$2:$A$2459,$Z1017)</f>
        <v>1016</v>
      </c>
      <c r="B1017" s="62" t="n">
        <f aca="false">IF(ISNUMBER($AB1017),$AB1017,IF(MID($AB1017,5,1)="-",DATE(VALUE(LEFT($AB1017,4)),VALUE(MID($AB1017,6,2)),VALUE(RIGHT($AB1017,2))),DATE(VALUE(RIGHT($AB1017,4)),VALUE(MID($AB1017,4,2)),VALUE(LEFT($AB1017,2)))))</f>
        <v>45608</v>
      </c>
      <c r="C1017" s="61" t="n">
        <f aca="false">YEAR($B1017)</f>
        <v>2024</v>
      </c>
      <c r="D1017" s="61" t="str">
        <f aca="false">"Q"&amp;ROUNDUP(MONTH($B1017)/3,0)</f>
        <v>Q4</v>
      </c>
      <c r="E1017" s="61" t="n">
        <f aca="false">MONTH($B1017)</f>
        <v>11</v>
      </c>
      <c r="F1017" s="61" t="str">
        <f aca="false">INDEX(Parametros!$I$5:$I$16,$E1017)</f>
        <v>Nov</v>
      </c>
      <c r="G1017" s="61" t="str">
        <f aca="false">TEXT($C1017,"0000")&amp;"-"&amp;TEXT($E1017,"00")</f>
        <v>2024-11</v>
      </c>
      <c r="H1017" s="61" t="str">
        <f aca="false">INDEX(Parametros!$C$71:$C$91,MATCH(TRIM(INDEX(Datos_Origen!$C$2:$C$2459,$Z1017)),Parametros!$B$71:$B$91,0))</f>
        <v>AMBA</v>
      </c>
      <c r="I1017" s="61" t="str">
        <f aca="false">IF(TRIM($AD1017)="",INDEX(Parametros!$I$20:$I$24,MATCH($H1017,Parametros!$H$20:$H$24,0)),TRIM($AD1017))</f>
        <v>Buenos Aires</v>
      </c>
      <c r="J1017" s="61" t="str">
        <f aca="false">INDEX(Parametros!$C$95:$C$106,MATCH(TRIM(INDEX(Datos_Origen!$E$2:$E$2459,$Z1017)),Parametros!$B$95:$B$106,0))</f>
        <v>E-commerce</v>
      </c>
      <c r="K1017" s="61" t="str">
        <f aca="false">INDEX(Parametros!$C$48:$C$67,MATCH(TRIM(INDEX(Datos_Origen!$F$2:$F$2459,$Z1017)),Parametros!$B$48:$B$67,0))</f>
        <v>Audio</v>
      </c>
      <c r="L1017" s="61" t="str">
        <f aca="false">$K1017&amp;" "&amp;$C1017</f>
        <v>Audio 2024</v>
      </c>
      <c r="M1017" s="61" t="str">
        <f aca="false">TRIM(INDEX(Datos_Origen!$G$2:$G$2459,$Z1017))</f>
        <v>Parlante Bluetooth</v>
      </c>
      <c r="N1017" s="61" t="str">
        <f aca="false">$M1017&amp;" "&amp;$C1017</f>
        <v>Parlante Bluetooth 2024</v>
      </c>
      <c r="O1017" s="63" t="n">
        <f aca="false">IF(ISTEXT($AC1017),VALUE($AC1017),$AC1017)</f>
        <v>21</v>
      </c>
      <c r="P1017" s="64" t="n">
        <f aca="false">INDEX(Datos_Origen!$I$2:$I$2459,$Z1017)</f>
        <v>83.3</v>
      </c>
      <c r="Q1017" s="64" t="n">
        <f aca="false">INDEX(Datos_Origen!$J$2:$J$2459,$Z1017)</f>
        <v>48.03</v>
      </c>
      <c r="R1017" s="65" t="n">
        <f aca="false">ROUND($O1017*$P1017,2)</f>
        <v>1749.3</v>
      </c>
      <c r="S1017" s="65" t="n">
        <f aca="false">ROUND($O1017*$Q1017,2)</f>
        <v>1008.63</v>
      </c>
      <c r="T1017" s="65" t="n">
        <f aca="false">ROUND($R1017*SUMIFS(Parametros!$E$28:$E$43,Parametros!$B$28:$B$43,$J1017,Parametros!$C$28:$C$43,$C1017,Parametros!$D$28:$D$43,$D1017),2)</f>
        <v>83.97</v>
      </c>
      <c r="U1017" s="65" t="n">
        <f aca="false">$R1017-$S1017-$T1017</f>
        <v>656.7</v>
      </c>
      <c r="V1017" s="66" t="n">
        <f aca="false">IFERROR($U1017/$R1017,0)</f>
        <v>0.375407305779455</v>
      </c>
      <c r="W1017" s="67" t="str">
        <f aca="false">IF(AND($V1017&gt;=Parametros!$C$8,$R1017&gt;=Parametros!$C$12),"Alta rentabilidad",IF(OR($V1017&lt;Parametros!$C$11,$R1017&lt;Parametros!$C$13),"Revisar","Estandar"))</f>
        <v>Estandar</v>
      </c>
      <c r="X1017" s="67" t="str">
        <f aca="false">IF(AND($J1017="E-commerce",IFERROR($T1017/$R1017,0)&gt;Parametros!$C$14),"Alerta","OK")</f>
        <v>OK</v>
      </c>
      <c r="Y1017" s="61" t="str">
        <f aca="false">IF($R1017&gt;=Parametros!$C$12,"Alto",IF($R1017&lt;Parametros!$C$13,"Bajo","Medio"))</f>
        <v>Medio</v>
      </c>
      <c r="Z1017" s="61" t="n">
        <v>1581</v>
      </c>
      <c r="AA1017" s="61" t="str">
        <f aca="false">IF(MATCH($A1017,Datos_Origen!$A$2:$A$2459,0)=$Z1017,"OK","REVISAR")</f>
        <v>OK</v>
      </c>
      <c r="AB1017" s="61" t="str">
        <f aca="false">INDEX(Datos_Origen!$B$2:$B$2459,$Z1017)</f>
        <v>12/11/2024</v>
      </c>
      <c r="AC1017" s="61" t="str">
        <f aca="false">INDEX(Datos_Origen!$H$2:$H$2459,$Z1017)</f>
        <v>21</v>
      </c>
      <c r="AD1017" s="61" t="str">
        <f aca="false">INDEX(Datos_Origen!$D$2:$D$2459,$Z1017)&amp;""</f>
        <v>Buenos Aires</v>
      </c>
    </row>
    <row r="1018" customFormat="false" ht="15" hidden="false" customHeight="false" outlineLevel="0" collapsed="false">
      <c r="A1018" s="61" t="n">
        <f aca="false">INDEX(Datos_Origen!$A$2:$A$2459,$Z1018)</f>
        <v>1017</v>
      </c>
      <c r="B1018" s="62" t="n">
        <f aca="false">IF(ISNUMBER($AB1018),$AB1018,IF(MID($AB1018,5,1)="-",DATE(VALUE(LEFT($AB1018,4)),VALUE(MID($AB1018,6,2)),VALUE(RIGHT($AB1018,2))),DATE(VALUE(RIGHT($AB1018,4)),VALUE(MID($AB1018,4,2)),VALUE(LEFT($AB1018,2)))))</f>
        <v>45615</v>
      </c>
      <c r="C1018" s="61" t="n">
        <f aca="false">YEAR($B1018)</f>
        <v>2024</v>
      </c>
      <c r="D1018" s="61" t="str">
        <f aca="false">"Q"&amp;ROUNDUP(MONTH($B1018)/3,0)</f>
        <v>Q4</v>
      </c>
      <c r="E1018" s="61" t="n">
        <f aca="false">MONTH($B1018)</f>
        <v>11</v>
      </c>
      <c r="F1018" s="61" t="str">
        <f aca="false">INDEX(Parametros!$I$5:$I$16,$E1018)</f>
        <v>Nov</v>
      </c>
      <c r="G1018" s="61" t="str">
        <f aca="false">TEXT($C1018,"0000")&amp;"-"&amp;TEXT($E1018,"00")</f>
        <v>2024-11</v>
      </c>
      <c r="H1018" s="61" t="str">
        <f aca="false">INDEX(Parametros!$C$71:$C$91,MATCH(TRIM(INDEX(Datos_Origen!$C$2:$C$2459,$Z1018)),Parametros!$B$71:$B$91,0))</f>
        <v>AMBA</v>
      </c>
      <c r="I1018" s="61" t="str">
        <f aca="false">IF(TRIM($AD1018)="",INDEX(Parametros!$I$20:$I$24,MATCH($H1018,Parametros!$H$20:$H$24,0)),TRIM($AD1018))</f>
        <v>Buenos Aires</v>
      </c>
      <c r="J1018" s="61" t="str">
        <f aca="false">INDEX(Parametros!$C$95:$C$106,MATCH(TRIM(INDEX(Datos_Origen!$E$2:$E$2459,$Z1018)),Parametros!$B$95:$B$106,0))</f>
        <v>Tienda fisica</v>
      </c>
      <c r="K1018" s="61" t="str">
        <f aca="false">INDEX(Parametros!$C$48:$C$67,MATCH(TRIM(INDEX(Datos_Origen!$F$2:$F$2459,$Z1018)),Parametros!$B$48:$B$67,0))</f>
        <v>Almacenamiento</v>
      </c>
      <c r="L1018" s="61" t="str">
        <f aca="false">$K1018&amp;" "&amp;$C1018</f>
        <v>Almacenamiento 2024</v>
      </c>
      <c r="M1018" s="61" t="str">
        <f aca="false">TRIM(INDEX(Datos_Origen!$G$2:$G$2459,$Z1018))</f>
        <v>SSD Externo 1TB</v>
      </c>
      <c r="N1018" s="61" t="str">
        <f aca="false">$M1018&amp;" "&amp;$C1018</f>
        <v>SSD Externo 1TB 2024</v>
      </c>
      <c r="O1018" s="63" t="n">
        <f aca="false">IF(ISTEXT($AC1018),VALUE($AC1018),$AC1018)</f>
        <v>68</v>
      </c>
      <c r="P1018" s="64" t="n">
        <f aca="false">INDEX(Datos_Origen!$I$2:$I$2459,$Z1018)</f>
        <v>127.4</v>
      </c>
      <c r="Q1018" s="64" t="n">
        <f aca="false">INDEX(Datos_Origen!$J$2:$J$2459,$Z1018)</f>
        <v>76.05</v>
      </c>
      <c r="R1018" s="65" t="n">
        <f aca="false">ROUND($O1018*$P1018,2)</f>
        <v>8663.2</v>
      </c>
      <c r="S1018" s="65" t="n">
        <f aca="false">ROUND($O1018*$Q1018,2)</f>
        <v>5171.4</v>
      </c>
      <c r="T1018" s="65" t="n">
        <f aca="false">ROUND($R1018*SUMIFS(Parametros!$E$28:$E$43,Parametros!$B$28:$B$43,$J1018,Parametros!$C$28:$C$43,$C1018,Parametros!$D$28:$D$43,$D1018),2)</f>
        <v>112.62</v>
      </c>
      <c r="U1018" s="65" t="n">
        <f aca="false">$R1018-$S1018-$T1018</f>
        <v>3379.18</v>
      </c>
      <c r="V1018" s="66" t="n">
        <f aca="false">IFERROR($U1018/$R1018,0)</f>
        <v>0.390061409179056</v>
      </c>
      <c r="W1018" s="67" t="str">
        <f aca="false">IF(AND($V1018&gt;=Parametros!$C$8,$R1018&gt;=Parametros!$C$12),"Alta rentabilidad",IF(OR($V1018&lt;Parametros!$C$11,$R1018&lt;Parametros!$C$13),"Revisar","Estandar"))</f>
        <v>Alta rentabilidad</v>
      </c>
      <c r="X1018" s="67" t="str">
        <f aca="false">IF(AND($J1018="E-commerce",IFERROR($T1018/$R1018,0)&gt;Parametros!$C$14),"Alerta","OK")</f>
        <v>OK</v>
      </c>
      <c r="Y1018" s="61" t="str">
        <f aca="false">IF($R1018&gt;=Parametros!$C$12,"Alto",IF($R1018&lt;Parametros!$C$13,"Bajo","Medio"))</f>
        <v>Alto</v>
      </c>
      <c r="Z1018" s="61" t="n">
        <v>403</v>
      </c>
      <c r="AA1018" s="61" t="str">
        <f aca="false">IF(MATCH($A1018,Datos_Origen!$A$2:$A$2459,0)=$Z1018,"OK","REVISAR")</f>
        <v>OK</v>
      </c>
      <c r="AB1018" s="61" t="str">
        <f aca="false">INDEX(Datos_Origen!$B$2:$B$2459,$Z1018)</f>
        <v>19/11/2024</v>
      </c>
      <c r="AC1018" s="61" t="str">
        <f aca="false">INDEX(Datos_Origen!$H$2:$H$2459,$Z1018)</f>
        <v>68</v>
      </c>
      <c r="AD1018" s="61" t="str">
        <f aca="false">INDEX(Datos_Origen!$D$2:$D$2459,$Z1018)&amp;""</f>
        <v>Buenos Aires</v>
      </c>
    </row>
    <row r="1019" customFormat="false" ht="15" hidden="false" customHeight="false" outlineLevel="0" collapsed="false">
      <c r="A1019" s="61" t="n">
        <f aca="false">INDEX(Datos_Origen!$A$2:$A$2459,$Z1019)</f>
        <v>1018</v>
      </c>
      <c r="B1019" s="62" t="n">
        <f aca="false">IF(ISNUMBER($AB1019),$AB1019,IF(MID($AB1019,5,1)="-",DATE(VALUE(LEFT($AB1019,4)),VALUE(MID($AB1019,6,2)),VALUE(RIGHT($AB1019,2))),DATE(VALUE(RIGHT($AB1019,4)),VALUE(MID($AB1019,4,2)),VALUE(LEFT($AB1019,2)))))</f>
        <v>45622</v>
      </c>
      <c r="C1019" s="61" t="n">
        <f aca="false">YEAR($B1019)</f>
        <v>2024</v>
      </c>
      <c r="D1019" s="61" t="str">
        <f aca="false">"Q"&amp;ROUNDUP(MONTH($B1019)/3,0)</f>
        <v>Q4</v>
      </c>
      <c r="E1019" s="61" t="n">
        <f aca="false">MONTH($B1019)</f>
        <v>11</v>
      </c>
      <c r="F1019" s="61" t="str">
        <f aca="false">INDEX(Parametros!$I$5:$I$16,$E1019)</f>
        <v>Nov</v>
      </c>
      <c r="G1019" s="61" t="str">
        <f aca="false">TEXT($C1019,"0000")&amp;"-"&amp;TEXT($E1019,"00")</f>
        <v>2024-11</v>
      </c>
      <c r="H1019" s="61" t="str">
        <f aca="false">INDEX(Parametros!$C$71:$C$91,MATCH(TRIM(INDEX(Datos_Origen!$C$2:$C$2459,$Z1019)),Parametros!$B$71:$B$91,0))</f>
        <v>AMBA</v>
      </c>
      <c r="I1019" s="61" t="str">
        <f aca="false">IF(TRIM($AD1019)="",INDEX(Parametros!$I$20:$I$24,MATCH($H1019,Parametros!$H$20:$H$24,0)),TRIM($AD1019))</f>
        <v>Buenos Aires</v>
      </c>
      <c r="J1019" s="61" t="str">
        <f aca="false">INDEX(Parametros!$C$95:$C$106,MATCH(TRIM(INDEX(Datos_Origen!$E$2:$E$2459,$Z1019)),Parametros!$B$95:$B$106,0))</f>
        <v>E-commerce</v>
      </c>
      <c r="K1019" s="61" t="str">
        <f aca="false">INDEX(Parametros!$C$48:$C$67,MATCH(TRIM(INDEX(Datos_Origen!$F$2:$F$2459,$Z1019)),Parametros!$B$48:$B$67,0))</f>
        <v>Almacenamiento</v>
      </c>
      <c r="L1019" s="61" t="str">
        <f aca="false">$K1019&amp;" "&amp;$C1019</f>
        <v>Almacenamiento 2024</v>
      </c>
      <c r="M1019" s="61" t="str">
        <f aca="false">TRIM(INDEX(Datos_Origen!$G$2:$G$2459,$Z1019))</f>
        <v>SSD Externo 1TB</v>
      </c>
      <c r="N1019" s="61" t="str">
        <f aca="false">$M1019&amp;" "&amp;$C1019</f>
        <v>SSD Externo 1TB 2024</v>
      </c>
      <c r="O1019" s="63" t="n">
        <f aca="false">IF(ISTEXT($AC1019),VALUE($AC1019),$AC1019)</f>
        <v>33</v>
      </c>
      <c r="P1019" s="64" t="n">
        <f aca="false">INDEX(Datos_Origen!$I$2:$I$2459,$Z1019)</f>
        <v>127.4</v>
      </c>
      <c r="Q1019" s="64" t="n">
        <f aca="false">INDEX(Datos_Origen!$J$2:$J$2459,$Z1019)</f>
        <v>76.05</v>
      </c>
      <c r="R1019" s="65" t="n">
        <f aca="false">ROUND($O1019*$P1019,2)</f>
        <v>4204.2</v>
      </c>
      <c r="S1019" s="65" t="n">
        <f aca="false">ROUND($O1019*$Q1019,2)</f>
        <v>2509.65</v>
      </c>
      <c r="T1019" s="65" t="n">
        <f aca="false">ROUND($R1019*SUMIFS(Parametros!$E$28:$E$43,Parametros!$B$28:$B$43,$J1019,Parametros!$C$28:$C$43,$C1019,Parametros!$D$28:$D$43,$D1019),2)</f>
        <v>201.8</v>
      </c>
      <c r="U1019" s="65" t="n">
        <f aca="false">$R1019-$S1019-$T1019</f>
        <v>1492.75</v>
      </c>
      <c r="V1019" s="66" t="n">
        <f aca="false">IFERROR($U1019/$R1019,0)</f>
        <v>0.355061605061605</v>
      </c>
      <c r="W1019" s="67" t="str">
        <f aca="false">IF(AND($V1019&gt;=Parametros!$C$8,$R1019&gt;=Parametros!$C$12),"Alta rentabilidad",IF(OR($V1019&lt;Parametros!$C$11,$R1019&lt;Parametros!$C$13),"Revisar","Estandar"))</f>
        <v>Alta rentabilidad</v>
      </c>
      <c r="X1019" s="67" t="str">
        <f aca="false">IF(AND($J1019="E-commerce",IFERROR($T1019/$R1019,0)&gt;Parametros!$C$14),"Alerta","OK")</f>
        <v>OK</v>
      </c>
      <c r="Y1019" s="61" t="str">
        <f aca="false">IF($R1019&gt;=Parametros!$C$12,"Alto",IF($R1019&lt;Parametros!$C$13,"Bajo","Medio"))</f>
        <v>Alto</v>
      </c>
      <c r="Z1019" s="61" t="n">
        <v>756</v>
      </c>
      <c r="AA1019" s="61" t="str">
        <f aca="false">IF(MATCH($A1019,Datos_Origen!$A$2:$A$2459,0)=$Z1019,"OK","REVISAR")</f>
        <v>OK</v>
      </c>
      <c r="AB1019" s="61" t="str">
        <f aca="false">INDEX(Datos_Origen!$B$2:$B$2459,$Z1019)</f>
        <v>26/11/2024</v>
      </c>
      <c r="AC1019" s="61" t="n">
        <f aca="false">INDEX(Datos_Origen!$H$2:$H$2459,$Z1019)</f>
        <v>33</v>
      </c>
      <c r="AD1019" s="61" t="str">
        <f aca="false">INDEX(Datos_Origen!$D$2:$D$2459,$Z1019)&amp;""</f>
        <v>Buenos Aires</v>
      </c>
    </row>
    <row r="1020" customFormat="false" ht="15" hidden="false" customHeight="false" outlineLevel="0" collapsed="false">
      <c r="A1020" s="61" t="n">
        <f aca="false">INDEX(Datos_Origen!$A$2:$A$2459,$Z1020)</f>
        <v>1019</v>
      </c>
      <c r="B1020" s="62" t="n">
        <f aca="false">IF(ISNUMBER($AB1020),$AB1020,IF(MID($AB1020,5,1)="-",DATE(VALUE(LEFT($AB1020,4)),VALUE(MID($AB1020,6,2)),VALUE(RIGHT($AB1020,2))),DATE(VALUE(RIGHT($AB1020,4)),VALUE(MID($AB1020,4,2)),VALUE(LEFT($AB1020,2)))))</f>
        <v>45602</v>
      </c>
      <c r="C1020" s="61" t="n">
        <f aca="false">YEAR($B1020)</f>
        <v>2024</v>
      </c>
      <c r="D1020" s="61" t="str">
        <f aca="false">"Q"&amp;ROUNDUP(MONTH($B1020)/3,0)</f>
        <v>Q4</v>
      </c>
      <c r="E1020" s="61" t="n">
        <f aca="false">MONTH($B1020)</f>
        <v>11</v>
      </c>
      <c r="F1020" s="61" t="str">
        <f aca="false">INDEX(Parametros!$I$5:$I$16,$E1020)</f>
        <v>Nov</v>
      </c>
      <c r="G1020" s="61" t="str">
        <f aca="false">TEXT($C1020,"0000")&amp;"-"&amp;TEXT($E1020,"00")</f>
        <v>2024-11</v>
      </c>
      <c r="H1020" s="61" t="str">
        <f aca="false">INDEX(Parametros!$C$71:$C$91,MATCH(TRIM(INDEX(Datos_Origen!$C$2:$C$2459,$Z1020)),Parametros!$B$71:$B$91,0))</f>
        <v>AMBA</v>
      </c>
      <c r="I1020" s="61" t="str">
        <f aca="false">IF(TRIM($AD1020)="",INDEX(Parametros!$I$20:$I$24,MATCH($H1020,Parametros!$H$20:$H$24,0)),TRIM($AD1020))</f>
        <v>Buenos Aires</v>
      </c>
      <c r="J1020" s="61" t="str">
        <f aca="false">INDEX(Parametros!$C$95:$C$106,MATCH(TRIM(INDEX(Datos_Origen!$E$2:$E$2459,$Z1020)),Parametros!$B$95:$B$106,0))</f>
        <v>Tienda fisica</v>
      </c>
      <c r="K1020" s="61" t="str">
        <f aca="false">INDEX(Parametros!$C$48:$C$67,MATCH(TRIM(INDEX(Datos_Origen!$F$2:$F$2459,$Z1020)),Parametros!$B$48:$B$67,0))</f>
        <v>Almacenamiento</v>
      </c>
      <c r="L1020" s="61" t="str">
        <f aca="false">$K1020&amp;" "&amp;$C1020</f>
        <v>Almacenamiento 2024</v>
      </c>
      <c r="M1020" s="61" t="str">
        <f aca="false">TRIM(INDEX(Datos_Origen!$G$2:$G$2459,$Z1020))</f>
        <v>Pendrive 256GB</v>
      </c>
      <c r="N1020" s="61" t="str">
        <f aca="false">$M1020&amp;" "&amp;$C1020</f>
        <v>Pendrive 256GB 2024</v>
      </c>
      <c r="O1020" s="63" t="n">
        <f aca="false">IF(ISTEXT($AC1020),VALUE($AC1020),$AC1020)</f>
        <v>80</v>
      </c>
      <c r="P1020" s="64" t="n">
        <f aca="false">INDEX(Datos_Origen!$I$2:$I$2459,$Z1020)</f>
        <v>34.3</v>
      </c>
      <c r="Q1020" s="64" t="n">
        <f aca="false">INDEX(Datos_Origen!$J$2:$J$2459,$Z1020)</f>
        <v>17.85</v>
      </c>
      <c r="R1020" s="65" t="n">
        <f aca="false">ROUND($O1020*$P1020,2)</f>
        <v>2744</v>
      </c>
      <c r="S1020" s="65" t="n">
        <f aca="false">ROUND($O1020*$Q1020,2)</f>
        <v>1428</v>
      </c>
      <c r="T1020" s="65" t="n">
        <f aca="false">ROUND($R1020*SUMIFS(Parametros!$E$28:$E$43,Parametros!$B$28:$B$43,$J1020,Parametros!$C$28:$C$43,$C1020,Parametros!$D$28:$D$43,$D1020),2)</f>
        <v>35.67</v>
      </c>
      <c r="U1020" s="65" t="n">
        <f aca="false">$R1020-$S1020-$T1020</f>
        <v>1280.33</v>
      </c>
      <c r="V1020" s="66" t="n">
        <f aca="false">IFERROR($U1020/$R1020,0)</f>
        <v>0.466592565597668</v>
      </c>
      <c r="W1020" s="67" t="str">
        <f aca="false">IF(AND($V1020&gt;=Parametros!$C$8,$R1020&gt;=Parametros!$C$12),"Alta rentabilidad",IF(OR($V1020&lt;Parametros!$C$11,$R1020&lt;Parametros!$C$13),"Revisar","Estandar"))</f>
        <v>Estandar</v>
      </c>
      <c r="X1020" s="67" t="str">
        <f aca="false">IF(AND($J1020="E-commerce",IFERROR($T1020/$R1020,0)&gt;Parametros!$C$14),"Alerta","OK")</f>
        <v>OK</v>
      </c>
      <c r="Y1020" s="61" t="str">
        <f aca="false">IF($R1020&gt;=Parametros!$C$12,"Alto",IF($R1020&lt;Parametros!$C$13,"Bajo","Medio"))</f>
        <v>Medio</v>
      </c>
      <c r="Z1020" s="61" t="n">
        <v>319</v>
      </c>
      <c r="AA1020" s="61" t="str">
        <f aca="false">IF(MATCH($A1020,Datos_Origen!$A$2:$A$2459,0)=$Z1020,"OK","REVISAR")</f>
        <v>OK</v>
      </c>
      <c r="AB1020" s="62" t="n">
        <f aca="false">INDEX(Datos_Origen!$B$2:$B$2459,$Z1020)</f>
        <v>45602</v>
      </c>
      <c r="AC1020" s="61" t="n">
        <f aca="false">INDEX(Datos_Origen!$H$2:$H$2459,$Z1020)</f>
        <v>80</v>
      </c>
      <c r="AD1020" s="61" t="str">
        <f aca="false">INDEX(Datos_Origen!$D$2:$D$2459,$Z1020)&amp;""</f>
        <v>Buenos Aires</v>
      </c>
    </row>
    <row r="1021" customFormat="false" ht="15" hidden="false" customHeight="false" outlineLevel="0" collapsed="false">
      <c r="A1021" s="61" t="n">
        <f aca="false">INDEX(Datos_Origen!$A$2:$A$2459,$Z1021)</f>
        <v>1020</v>
      </c>
      <c r="B1021" s="62" t="n">
        <f aca="false">IF(ISNUMBER($AB1021),$AB1021,IF(MID($AB1021,5,1)="-",DATE(VALUE(LEFT($AB1021,4)),VALUE(MID($AB1021,6,2)),VALUE(RIGHT($AB1021,2))),DATE(VALUE(RIGHT($AB1021,4)),VALUE(MID($AB1021,4,2)),VALUE(LEFT($AB1021,2)))))</f>
        <v>45609</v>
      </c>
      <c r="C1021" s="61" t="n">
        <f aca="false">YEAR($B1021)</f>
        <v>2024</v>
      </c>
      <c r="D1021" s="61" t="str">
        <f aca="false">"Q"&amp;ROUNDUP(MONTH($B1021)/3,0)</f>
        <v>Q4</v>
      </c>
      <c r="E1021" s="61" t="n">
        <f aca="false">MONTH($B1021)</f>
        <v>11</v>
      </c>
      <c r="F1021" s="61" t="str">
        <f aca="false">INDEX(Parametros!$I$5:$I$16,$E1021)</f>
        <v>Nov</v>
      </c>
      <c r="G1021" s="61" t="str">
        <f aca="false">TEXT($C1021,"0000")&amp;"-"&amp;TEXT($E1021,"00")</f>
        <v>2024-11</v>
      </c>
      <c r="H1021" s="61" t="str">
        <f aca="false">INDEX(Parametros!$C$71:$C$91,MATCH(TRIM(INDEX(Datos_Origen!$C$2:$C$2459,$Z1021)),Parametros!$B$71:$B$91,0))</f>
        <v>AMBA</v>
      </c>
      <c r="I1021" s="61" t="str">
        <f aca="false">IF(TRIM($AD1021)="",INDEX(Parametros!$I$20:$I$24,MATCH($H1021,Parametros!$H$20:$H$24,0)),TRIM($AD1021))</f>
        <v>Buenos Aires</v>
      </c>
      <c r="J1021" s="61" t="str">
        <f aca="false">INDEX(Parametros!$C$95:$C$106,MATCH(TRIM(INDEX(Datos_Origen!$E$2:$E$2459,$Z1021)),Parametros!$B$95:$B$106,0))</f>
        <v>E-commerce</v>
      </c>
      <c r="K1021" s="61" t="str">
        <f aca="false">INDEX(Parametros!$C$48:$C$67,MATCH(TRIM(INDEX(Datos_Origen!$F$2:$F$2459,$Z1021)),Parametros!$B$48:$B$67,0))</f>
        <v>Almacenamiento</v>
      </c>
      <c r="L1021" s="61" t="str">
        <f aca="false">$K1021&amp;" "&amp;$C1021</f>
        <v>Almacenamiento 2024</v>
      </c>
      <c r="M1021" s="61" t="str">
        <f aca="false">TRIM(INDEX(Datos_Origen!$G$2:$G$2459,$Z1021))</f>
        <v>Pendrive 256GB</v>
      </c>
      <c r="N1021" s="61" t="str">
        <f aca="false">$M1021&amp;" "&amp;$C1021</f>
        <v>Pendrive 256GB 2024</v>
      </c>
      <c r="O1021" s="63" t="n">
        <f aca="false">IF(ISTEXT($AC1021),VALUE($AC1021),$AC1021)</f>
        <v>31</v>
      </c>
      <c r="P1021" s="64" t="n">
        <f aca="false">INDEX(Datos_Origen!$I$2:$I$2459,$Z1021)</f>
        <v>34.3</v>
      </c>
      <c r="Q1021" s="64" t="n">
        <f aca="false">INDEX(Datos_Origen!$J$2:$J$2459,$Z1021)</f>
        <v>17.85</v>
      </c>
      <c r="R1021" s="65" t="n">
        <f aca="false">ROUND($O1021*$P1021,2)</f>
        <v>1063.3</v>
      </c>
      <c r="S1021" s="65" t="n">
        <f aca="false">ROUND($O1021*$Q1021,2)</f>
        <v>553.35</v>
      </c>
      <c r="T1021" s="65" t="n">
        <f aca="false">ROUND($R1021*SUMIFS(Parametros!$E$28:$E$43,Parametros!$B$28:$B$43,$J1021,Parametros!$C$28:$C$43,$C1021,Parametros!$D$28:$D$43,$D1021),2)</f>
        <v>51.04</v>
      </c>
      <c r="U1021" s="65" t="n">
        <f aca="false">$R1021-$S1021-$T1021</f>
        <v>458.91</v>
      </c>
      <c r="V1021" s="66" t="n">
        <f aca="false">IFERROR($U1021/$R1021,0)</f>
        <v>0.431590331985329</v>
      </c>
      <c r="W1021" s="67" t="str">
        <f aca="false">IF(AND($V1021&gt;=Parametros!$C$8,$R1021&gt;=Parametros!$C$12),"Alta rentabilidad",IF(OR($V1021&lt;Parametros!$C$11,$R1021&lt;Parametros!$C$13),"Revisar","Estandar"))</f>
        <v>Estandar</v>
      </c>
      <c r="X1021" s="67" t="str">
        <f aca="false">IF(AND($J1021="E-commerce",IFERROR($T1021/$R1021,0)&gt;Parametros!$C$14),"Alerta","OK")</f>
        <v>OK</v>
      </c>
      <c r="Y1021" s="61" t="str">
        <f aca="false">IF($R1021&gt;=Parametros!$C$12,"Alto",IF($R1021&lt;Parametros!$C$13,"Bajo","Medio"))</f>
        <v>Medio</v>
      </c>
      <c r="Z1021" s="61" t="n">
        <v>1610</v>
      </c>
      <c r="AA1021" s="61" t="str">
        <f aca="false">IF(MATCH($A1021,Datos_Origen!$A$2:$A$2459,0)=$Z1021,"OK","REVISAR")</f>
        <v>OK</v>
      </c>
      <c r="AB1021" s="62" t="n">
        <f aca="false">INDEX(Datos_Origen!$B$2:$B$2459,$Z1021)</f>
        <v>45609</v>
      </c>
      <c r="AC1021" s="61" t="str">
        <f aca="false">INDEX(Datos_Origen!$H$2:$H$2459,$Z1021)</f>
        <v>31</v>
      </c>
      <c r="AD1021" s="61" t="str">
        <f aca="false">INDEX(Datos_Origen!$D$2:$D$2459,$Z1021)&amp;""</f>
        <v>Buenos Aires</v>
      </c>
    </row>
    <row r="1022" customFormat="false" ht="15" hidden="false" customHeight="false" outlineLevel="0" collapsed="false">
      <c r="A1022" s="61" t="n">
        <f aca="false">INDEX(Datos_Origen!$A$2:$A$2459,$Z1022)</f>
        <v>1021</v>
      </c>
      <c r="B1022" s="62" t="n">
        <f aca="false">IF(ISNUMBER($AB1022),$AB1022,IF(MID($AB1022,5,1)="-",DATE(VALUE(LEFT($AB1022,4)),VALUE(MID($AB1022,6,2)),VALUE(RIGHT($AB1022,2))),DATE(VALUE(RIGHT($AB1022,4)),VALUE(MID($AB1022,4,2)),VALUE(LEFT($AB1022,2)))))</f>
        <v>45616</v>
      </c>
      <c r="C1022" s="61" t="n">
        <f aca="false">YEAR($B1022)</f>
        <v>2024</v>
      </c>
      <c r="D1022" s="61" t="str">
        <f aca="false">"Q"&amp;ROUNDUP(MONTH($B1022)/3,0)</f>
        <v>Q4</v>
      </c>
      <c r="E1022" s="61" t="n">
        <f aca="false">MONTH($B1022)</f>
        <v>11</v>
      </c>
      <c r="F1022" s="61" t="str">
        <f aca="false">INDEX(Parametros!$I$5:$I$16,$E1022)</f>
        <v>Nov</v>
      </c>
      <c r="G1022" s="61" t="str">
        <f aca="false">TEXT($C1022,"0000")&amp;"-"&amp;TEXT($E1022,"00")</f>
        <v>2024-11</v>
      </c>
      <c r="H1022" s="61" t="str">
        <f aca="false">INDEX(Parametros!$C$71:$C$91,MATCH(TRIM(INDEX(Datos_Origen!$C$2:$C$2459,$Z1022)),Parametros!$B$71:$B$91,0))</f>
        <v>Centro</v>
      </c>
      <c r="I1022" s="61" t="str">
        <f aca="false">IF(TRIM($AD1022)="",INDEX(Parametros!$I$20:$I$24,MATCH($H1022,Parametros!$H$20:$H$24,0)),TRIM($AD1022))</f>
        <v>Cordoba</v>
      </c>
      <c r="J1022" s="61" t="str">
        <f aca="false">INDEX(Parametros!$C$95:$C$106,MATCH(TRIM(INDEX(Datos_Origen!$E$2:$E$2459,$Z1022)),Parametros!$B$95:$B$106,0))</f>
        <v>Tienda fisica</v>
      </c>
      <c r="K1022" s="61" t="str">
        <f aca="false">INDEX(Parametros!$C$48:$C$67,MATCH(TRIM(INDEX(Datos_Origen!$F$2:$F$2459,$Z1022)),Parametros!$B$48:$B$67,0))</f>
        <v>Computacion</v>
      </c>
      <c r="L1022" s="61" t="str">
        <f aca="false">$K1022&amp;" "&amp;$C1022</f>
        <v>Computacion 2024</v>
      </c>
      <c r="M1022" s="61" t="str">
        <f aca="false">TRIM(INDEX(Datos_Origen!$G$2:$G$2459,$Z1022))</f>
        <v>Laptop Pro 15</v>
      </c>
      <c r="N1022" s="61" t="str">
        <f aca="false">$M1022&amp;" "&amp;$C1022</f>
        <v>Laptop Pro 15 2024</v>
      </c>
      <c r="O1022" s="63" t="n">
        <f aca="false">IF(ISTEXT($AC1022),VALUE($AC1022),$AC1022)</f>
        <v>17</v>
      </c>
      <c r="P1022" s="64" t="n">
        <f aca="false">INDEX(Datos_Origen!$I$2:$I$2459,$Z1022)</f>
        <v>1176</v>
      </c>
      <c r="Q1022" s="64" t="n">
        <f aca="false">INDEX(Datos_Origen!$J$2:$J$2459,$Z1022)</f>
        <v>744</v>
      </c>
      <c r="R1022" s="65" t="n">
        <f aca="false">ROUND($O1022*$P1022,2)</f>
        <v>19992</v>
      </c>
      <c r="S1022" s="65" t="n">
        <f aca="false">ROUND($O1022*$Q1022,2)</f>
        <v>12648</v>
      </c>
      <c r="T1022" s="65" t="n">
        <f aca="false">ROUND($R1022*SUMIFS(Parametros!$E$28:$E$43,Parametros!$B$28:$B$43,$J1022,Parametros!$C$28:$C$43,$C1022,Parametros!$D$28:$D$43,$D1022),2)</f>
        <v>259.9</v>
      </c>
      <c r="U1022" s="65" t="n">
        <f aca="false">$R1022-$S1022-$T1022</f>
        <v>7084.1</v>
      </c>
      <c r="V1022" s="66" t="n">
        <f aca="false">IFERROR($U1022/$R1022,0)</f>
        <v>0.354346738695478</v>
      </c>
      <c r="W1022" s="67" t="str">
        <f aca="false">IF(AND($V1022&gt;=Parametros!$C$8,$R1022&gt;=Parametros!$C$12),"Alta rentabilidad",IF(OR($V1022&lt;Parametros!$C$11,$R1022&lt;Parametros!$C$13),"Revisar","Estandar"))</f>
        <v>Alta rentabilidad</v>
      </c>
      <c r="X1022" s="67" t="str">
        <f aca="false">IF(AND($J1022="E-commerce",IFERROR($T1022/$R1022,0)&gt;Parametros!$C$14),"Alerta","OK")</f>
        <v>OK</v>
      </c>
      <c r="Y1022" s="61" t="str">
        <f aca="false">IF($R1022&gt;=Parametros!$C$12,"Alto",IF($R1022&lt;Parametros!$C$13,"Bajo","Medio"))</f>
        <v>Alto</v>
      </c>
      <c r="Z1022" s="61" t="n">
        <v>2242</v>
      </c>
      <c r="AA1022" s="61" t="str">
        <f aca="false">IF(MATCH($A1022,Datos_Origen!$A$2:$A$2459,0)=$Z1022,"OK","REVISAR")</f>
        <v>OK</v>
      </c>
      <c r="AB1022" s="62" t="n">
        <f aca="false">INDEX(Datos_Origen!$B$2:$B$2459,$Z1022)</f>
        <v>45616</v>
      </c>
      <c r="AC1022" s="61" t="n">
        <f aca="false">INDEX(Datos_Origen!$H$2:$H$2459,$Z1022)</f>
        <v>17</v>
      </c>
      <c r="AD1022" s="61" t="str">
        <f aca="false">INDEX(Datos_Origen!$D$2:$D$2459,$Z1022)&amp;""</f>
        <v/>
      </c>
    </row>
    <row r="1023" customFormat="false" ht="15" hidden="false" customHeight="false" outlineLevel="0" collapsed="false">
      <c r="A1023" s="61" t="n">
        <f aca="false">INDEX(Datos_Origen!$A$2:$A$2459,$Z1023)</f>
        <v>1022</v>
      </c>
      <c r="B1023" s="62" t="n">
        <f aca="false">IF(ISNUMBER($AB1023),$AB1023,IF(MID($AB1023,5,1)="-",DATE(VALUE(LEFT($AB1023,4)),VALUE(MID($AB1023,6,2)),VALUE(RIGHT($AB1023,2))),DATE(VALUE(RIGHT($AB1023,4)),VALUE(MID($AB1023,4,2)),VALUE(LEFT($AB1023,2)))))</f>
        <v>45623</v>
      </c>
      <c r="C1023" s="61" t="n">
        <f aca="false">YEAR($B1023)</f>
        <v>2024</v>
      </c>
      <c r="D1023" s="61" t="str">
        <f aca="false">"Q"&amp;ROUNDUP(MONTH($B1023)/3,0)</f>
        <v>Q4</v>
      </c>
      <c r="E1023" s="61" t="n">
        <f aca="false">MONTH($B1023)</f>
        <v>11</v>
      </c>
      <c r="F1023" s="61" t="str">
        <f aca="false">INDEX(Parametros!$I$5:$I$16,$E1023)</f>
        <v>Nov</v>
      </c>
      <c r="G1023" s="61" t="str">
        <f aca="false">TEXT($C1023,"0000")&amp;"-"&amp;TEXT($E1023,"00")</f>
        <v>2024-11</v>
      </c>
      <c r="H1023" s="61" t="str">
        <f aca="false">INDEX(Parametros!$C$71:$C$91,MATCH(TRIM(INDEX(Datos_Origen!$C$2:$C$2459,$Z1023)),Parametros!$B$71:$B$91,0))</f>
        <v>Centro</v>
      </c>
      <c r="I1023" s="61" t="str">
        <f aca="false">IF(TRIM($AD1023)="",INDEX(Parametros!$I$20:$I$24,MATCH($H1023,Parametros!$H$20:$H$24,0)),TRIM($AD1023))</f>
        <v>Cordoba</v>
      </c>
      <c r="J1023" s="61" t="str">
        <f aca="false">INDEX(Parametros!$C$95:$C$106,MATCH(TRIM(INDEX(Datos_Origen!$E$2:$E$2459,$Z1023)),Parametros!$B$95:$B$106,0))</f>
        <v>E-commerce</v>
      </c>
      <c r="K1023" s="61" t="str">
        <f aca="false">INDEX(Parametros!$C$48:$C$67,MATCH(TRIM(INDEX(Datos_Origen!$F$2:$F$2459,$Z1023)),Parametros!$B$48:$B$67,0))</f>
        <v>Computacion</v>
      </c>
      <c r="L1023" s="61" t="str">
        <f aca="false">$K1023&amp;" "&amp;$C1023</f>
        <v>Computacion 2024</v>
      </c>
      <c r="M1023" s="61" t="str">
        <f aca="false">TRIM(INDEX(Datos_Origen!$G$2:$G$2459,$Z1023))</f>
        <v>Laptop Pro 15</v>
      </c>
      <c r="N1023" s="61" t="str">
        <f aca="false">$M1023&amp;" "&amp;$C1023</f>
        <v>Laptop Pro 15 2024</v>
      </c>
      <c r="O1023" s="63" t="n">
        <f aca="false">IF(ISTEXT($AC1023),VALUE($AC1023),$AC1023)</f>
        <v>7</v>
      </c>
      <c r="P1023" s="64" t="n">
        <f aca="false">INDEX(Datos_Origen!$I$2:$I$2459,$Z1023)</f>
        <v>1176</v>
      </c>
      <c r="Q1023" s="64" t="n">
        <f aca="false">INDEX(Datos_Origen!$J$2:$J$2459,$Z1023)</f>
        <v>744</v>
      </c>
      <c r="R1023" s="65" t="n">
        <f aca="false">ROUND($O1023*$P1023,2)</f>
        <v>8232</v>
      </c>
      <c r="S1023" s="65" t="n">
        <f aca="false">ROUND($O1023*$Q1023,2)</f>
        <v>5208</v>
      </c>
      <c r="T1023" s="65" t="n">
        <f aca="false">ROUND($R1023*SUMIFS(Parametros!$E$28:$E$43,Parametros!$B$28:$B$43,$J1023,Parametros!$C$28:$C$43,$C1023,Parametros!$D$28:$D$43,$D1023),2)</f>
        <v>395.14</v>
      </c>
      <c r="U1023" s="65" t="n">
        <f aca="false">$R1023-$S1023-$T1023</f>
        <v>2628.86</v>
      </c>
      <c r="V1023" s="66" t="n">
        <f aca="false">IFERROR($U1023/$R1023,0)</f>
        <v>0.319346452866861</v>
      </c>
      <c r="W1023" s="67" t="str">
        <f aca="false">IF(AND($V1023&gt;=Parametros!$C$8,$R1023&gt;=Parametros!$C$12),"Alta rentabilidad",IF(OR($V1023&lt;Parametros!$C$11,$R1023&lt;Parametros!$C$13),"Revisar","Estandar"))</f>
        <v>Estandar</v>
      </c>
      <c r="X1023" s="67" t="str">
        <f aca="false">IF(AND($J1023="E-commerce",IFERROR($T1023/$R1023,0)&gt;Parametros!$C$14),"Alerta","OK")</f>
        <v>OK</v>
      </c>
      <c r="Y1023" s="61" t="str">
        <f aca="false">IF($R1023&gt;=Parametros!$C$12,"Alto",IF($R1023&lt;Parametros!$C$13,"Bajo","Medio"))</f>
        <v>Alto</v>
      </c>
      <c r="Z1023" s="61" t="n">
        <v>189</v>
      </c>
      <c r="AA1023" s="61" t="str">
        <f aca="false">IF(MATCH($A1023,Datos_Origen!$A$2:$A$2459,0)=$Z1023,"OK","REVISAR")</f>
        <v>OK</v>
      </c>
      <c r="AB1023" s="61" t="str">
        <f aca="false">INDEX(Datos_Origen!$B$2:$B$2459,$Z1023)</f>
        <v>27/11/2024</v>
      </c>
      <c r="AC1023" s="61" t="n">
        <f aca="false">INDEX(Datos_Origen!$H$2:$H$2459,$Z1023)</f>
        <v>7</v>
      </c>
      <c r="AD1023" s="61" t="str">
        <f aca="false">INDEX(Datos_Origen!$D$2:$D$2459,$Z1023)&amp;""</f>
        <v>Cordoba</v>
      </c>
    </row>
    <row r="1024" customFormat="false" ht="15" hidden="false" customHeight="false" outlineLevel="0" collapsed="false">
      <c r="A1024" s="61" t="n">
        <f aca="false">INDEX(Datos_Origen!$A$2:$A$2459,$Z1024)</f>
        <v>1023</v>
      </c>
      <c r="B1024" s="62" t="n">
        <f aca="false">IF(ISNUMBER($AB1024),$AB1024,IF(MID($AB1024,5,1)="-",DATE(VALUE(LEFT($AB1024,4)),VALUE(MID($AB1024,6,2)),VALUE(RIGHT($AB1024,2))),DATE(VALUE(RIGHT($AB1024,4)),VALUE(MID($AB1024,4,2)),VALUE(LEFT($AB1024,2)))))</f>
        <v>45603</v>
      </c>
      <c r="C1024" s="61" t="n">
        <f aca="false">YEAR($B1024)</f>
        <v>2024</v>
      </c>
      <c r="D1024" s="61" t="str">
        <f aca="false">"Q"&amp;ROUNDUP(MONTH($B1024)/3,0)</f>
        <v>Q4</v>
      </c>
      <c r="E1024" s="61" t="n">
        <f aca="false">MONTH($B1024)</f>
        <v>11</v>
      </c>
      <c r="F1024" s="61" t="str">
        <f aca="false">INDEX(Parametros!$I$5:$I$16,$E1024)</f>
        <v>Nov</v>
      </c>
      <c r="G1024" s="61" t="str">
        <f aca="false">TEXT($C1024,"0000")&amp;"-"&amp;TEXT($E1024,"00")</f>
        <v>2024-11</v>
      </c>
      <c r="H1024" s="61" t="str">
        <f aca="false">INDEX(Parametros!$C$71:$C$91,MATCH(TRIM(INDEX(Datos_Origen!$C$2:$C$2459,$Z1024)),Parametros!$B$71:$B$91,0))</f>
        <v>Centro</v>
      </c>
      <c r="I1024" s="61" t="str">
        <f aca="false">IF(TRIM($AD1024)="",INDEX(Parametros!$I$20:$I$24,MATCH($H1024,Parametros!$H$20:$H$24,0)),TRIM($AD1024))</f>
        <v>Cordoba</v>
      </c>
      <c r="J1024" s="61" t="str">
        <f aca="false">INDEX(Parametros!$C$95:$C$106,MATCH(TRIM(INDEX(Datos_Origen!$E$2:$E$2459,$Z1024)),Parametros!$B$95:$B$106,0))</f>
        <v>Tienda fisica</v>
      </c>
      <c r="K1024" s="61" t="str">
        <f aca="false">INDEX(Parametros!$C$48:$C$67,MATCH(TRIM(INDEX(Datos_Origen!$F$2:$F$2459,$Z1024)),Parametros!$B$48:$B$67,0))</f>
        <v>Computacion</v>
      </c>
      <c r="L1024" s="61" t="str">
        <f aca="false">$K1024&amp;" "&amp;$C1024</f>
        <v>Computacion 2024</v>
      </c>
      <c r="M1024" s="61" t="str">
        <f aca="false">TRIM(INDEX(Datos_Origen!$G$2:$G$2459,$Z1024))</f>
        <v>Monitor 4K 27</v>
      </c>
      <c r="N1024" s="61" t="str">
        <f aca="false">$M1024&amp;" "&amp;$C1024</f>
        <v>Monitor 4K 27 2024</v>
      </c>
      <c r="O1024" s="63" t="n">
        <f aca="false">IF(ISTEXT($AC1024),VALUE($AC1024),$AC1024)</f>
        <v>14</v>
      </c>
      <c r="P1024" s="64" t="n">
        <f aca="false">INDEX(Datos_Origen!$I$2:$I$2459,$Z1024)</f>
        <v>441</v>
      </c>
      <c r="Q1024" s="64" t="n">
        <f aca="false">INDEX(Datos_Origen!$J$2:$J$2459,$Z1024)</f>
        <v>272.25</v>
      </c>
      <c r="R1024" s="65" t="n">
        <f aca="false">ROUND($O1024*$P1024,2)</f>
        <v>6174</v>
      </c>
      <c r="S1024" s="65" t="n">
        <f aca="false">ROUND($O1024*$Q1024,2)</f>
        <v>3811.5</v>
      </c>
      <c r="T1024" s="65" t="n">
        <f aca="false">ROUND($R1024*SUMIFS(Parametros!$E$28:$E$43,Parametros!$B$28:$B$43,$J1024,Parametros!$C$28:$C$43,$C1024,Parametros!$D$28:$D$43,$D1024),2)</f>
        <v>80.26</v>
      </c>
      <c r="U1024" s="65" t="n">
        <f aca="false">$R1024-$S1024-$T1024</f>
        <v>2282.24</v>
      </c>
      <c r="V1024" s="66" t="n">
        <f aca="false">IFERROR($U1024/$R1024,0)</f>
        <v>0.369653385163589</v>
      </c>
      <c r="W1024" s="67" t="str">
        <f aca="false">IF(AND($V1024&gt;=Parametros!$C$8,$R1024&gt;=Parametros!$C$12),"Alta rentabilidad",IF(OR($V1024&lt;Parametros!$C$11,$R1024&lt;Parametros!$C$13),"Revisar","Estandar"))</f>
        <v>Alta rentabilidad</v>
      </c>
      <c r="X1024" s="67" t="str">
        <f aca="false">IF(AND($J1024="E-commerce",IFERROR($T1024/$R1024,0)&gt;Parametros!$C$14),"Alerta","OK")</f>
        <v>OK</v>
      </c>
      <c r="Y1024" s="61" t="str">
        <f aca="false">IF($R1024&gt;=Parametros!$C$12,"Alto",IF($R1024&lt;Parametros!$C$13,"Bajo","Medio"))</f>
        <v>Alto</v>
      </c>
      <c r="Z1024" s="61" t="n">
        <v>212</v>
      </c>
      <c r="AA1024" s="61" t="str">
        <f aca="false">IF(MATCH($A1024,Datos_Origen!$A$2:$A$2459,0)=$Z1024,"OK","REVISAR")</f>
        <v>OK</v>
      </c>
      <c r="AB1024" s="62" t="n">
        <f aca="false">INDEX(Datos_Origen!$B$2:$B$2459,$Z1024)</f>
        <v>45603</v>
      </c>
      <c r="AC1024" s="61" t="str">
        <f aca="false">INDEX(Datos_Origen!$H$2:$H$2459,$Z1024)</f>
        <v>14</v>
      </c>
      <c r="AD1024" s="61" t="str">
        <f aca="false">INDEX(Datos_Origen!$D$2:$D$2459,$Z1024)&amp;""</f>
        <v>Cordoba</v>
      </c>
    </row>
    <row r="1025" customFormat="false" ht="15" hidden="false" customHeight="false" outlineLevel="0" collapsed="false">
      <c r="A1025" s="61" t="n">
        <f aca="false">INDEX(Datos_Origen!$A$2:$A$2459,$Z1025)</f>
        <v>1024</v>
      </c>
      <c r="B1025" s="62" t="n">
        <f aca="false">IF(ISNUMBER($AB1025),$AB1025,IF(MID($AB1025,5,1)="-",DATE(VALUE(LEFT($AB1025,4)),VALUE(MID($AB1025,6,2)),VALUE(RIGHT($AB1025,2))),DATE(VALUE(RIGHT($AB1025,4)),VALUE(MID($AB1025,4,2)),VALUE(LEFT($AB1025,2)))))</f>
        <v>45610</v>
      </c>
      <c r="C1025" s="61" t="n">
        <f aca="false">YEAR($B1025)</f>
        <v>2024</v>
      </c>
      <c r="D1025" s="61" t="str">
        <f aca="false">"Q"&amp;ROUNDUP(MONTH($B1025)/3,0)</f>
        <v>Q4</v>
      </c>
      <c r="E1025" s="61" t="n">
        <f aca="false">MONTH($B1025)</f>
        <v>11</v>
      </c>
      <c r="F1025" s="61" t="str">
        <f aca="false">INDEX(Parametros!$I$5:$I$16,$E1025)</f>
        <v>Nov</v>
      </c>
      <c r="G1025" s="61" t="str">
        <f aca="false">TEXT($C1025,"0000")&amp;"-"&amp;TEXT($E1025,"00")</f>
        <v>2024-11</v>
      </c>
      <c r="H1025" s="61" t="str">
        <f aca="false">INDEX(Parametros!$C$71:$C$91,MATCH(TRIM(INDEX(Datos_Origen!$C$2:$C$2459,$Z1025)),Parametros!$B$71:$B$91,0))</f>
        <v>Centro</v>
      </c>
      <c r="I1025" s="61" t="str">
        <f aca="false">IF(TRIM($AD1025)="",INDEX(Parametros!$I$20:$I$24,MATCH($H1025,Parametros!$H$20:$H$24,0)),TRIM($AD1025))</f>
        <v>Cordoba</v>
      </c>
      <c r="J1025" s="61" t="str">
        <f aca="false">INDEX(Parametros!$C$95:$C$106,MATCH(TRIM(INDEX(Datos_Origen!$E$2:$E$2459,$Z1025)),Parametros!$B$95:$B$106,0))</f>
        <v>E-commerce</v>
      </c>
      <c r="K1025" s="61" t="str">
        <f aca="false">INDEX(Parametros!$C$48:$C$67,MATCH(TRIM(INDEX(Datos_Origen!$F$2:$F$2459,$Z1025)),Parametros!$B$48:$B$67,0))</f>
        <v>Computacion</v>
      </c>
      <c r="L1025" s="61" t="str">
        <f aca="false">$K1025&amp;" "&amp;$C1025</f>
        <v>Computacion 2024</v>
      </c>
      <c r="M1025" s="61" t="str">
        <f aca="false">TRIM(INDEX(Datos_Origen!$G$2:$G$2459,$Z1025))</f>
        <v>Monitor 4K 27</v>
      </c>
      <c r="N1025" s="61" t="str">
        <f aca="false">$M1025&amp;" "&amp;$C1025</f>
        <v>Monitor 4K 27 2024</v>
      </c>
      <c r="O1025" s="63" t="n">
        <f aca="false">IF(ISTEXT($AC1025),VALUE($AC1025),$AC1025)</f>
        <v>6</v>
      </c>
      <c r="P1025" s="64" t="n">
        <f aca="false">INDEX(Datos_Origen!$I$2:$I$2459,$Z1025)</f>
        <v>441</v>
      </c>
      <c r="Q1025" s="64" t="n">
        <f aca="false">INDEX(Datos_Origen!$J$2:$J$2459,$Z1025)</f>
        <v>272.25</v>
      </c>
      <c r="R1025" s="65" t="n">
        <f aca="false">ROUND($O1025*$P1025,2)</f>
        <v>2646</v>
      </c>
      <c r="S1025" s="65" t="n">
        <f aca="false">ROUND($O1025*$Q1025,2)</f>
        <v>1633.5</v>
      </c>
      <c r="T1025" s="65" t="n">
        <f aca="false">ROUND($R1025*SUMIFS(Parametros!$E$28:$E$43,Parametros!$B$28:$B$43,$J1025,Parametros!$C$28:$C$43,$C1025,Parametros!$D$28:$D$43,$D1025),2)</f>
        <v>127.01</v>
      </c>
      <c r="U1025" s="65" t="n">
        <f aca="false">$R1025-$S1025-$T1025</f>
        <v>885.49</v>
      </c>
      <c r="V1025" s="66" t="n">
        <f aca="false">IFERROR($U1025/$R1025,0)</f>
        <v>0.334652305366591</v>
      </c>
      <c r="W1025" s="67" t="str">
        <f aca="false">IF(AND($V1025&gt;=Parametros!$C$8,$R1025&gt;=Parametros!$C$12),"Alta rentabilidad",IF(OR($V1025&lt;Parametros!$C$11,$R1025&lt;Parametros!$C$13),"Revisar","Estandar"))</f>
        <v>Estandar</v>
      </c>
      <c r="X1025" s="67" t="str">
        <f aca="false">IF(AND($J1025="E-commerce",IFERROR($T1025/$R1025,0)&gt;Parametros!$C$14),"Alerta","OK")</f>
        <v>OK</v>
      </c>
      <c r="Y1025" s="61" t="str">
        <f aca="false">IF($R1025&gt;=Parametros!$C$12,"Alto",IF($R1025&lt;Parametros!$C$13,"Bajo","Medio"))</f>
        <v>Medio</v>
      </c>
      <c r="Z1025" s="61" t="n">
        <v>159</v>
      </c>
      <c r="AA1025" s="61" t="str">
        <f aca="false">IF(MATCH($A1025,Datos_Origen!$A$2:$A$2459,0)=$Z1025,"OK","REVISAR")</f>
        <v>OK</v>
      </c>
      <c r="AB1025" s="62" t="n">
        <f aca="false">INDEX(Datos_Origen!$B$2:$B$2459,$Z1025)</f>
        <v>45610</v>
      </c>
      <c r="AC1025" s="61" t="n">
        <f aca="false">INDEX(Datos_Origen!$H$2:$H$2459,$Z1025)</f>
        <v>6</v>
      </c>
      <c r="AD1025" s="61" t="str">
        <f aca="false">INDEX(Datos_Origen!$D$2:$D$2459,$Z1025)&amp;""</f>
        <v>Cordoba</v>
      </c>
    </row>
    <row r="1026" customFormat="false" ht="15" hidden="false" customHeight="false" outlineLevel="0" collapsed="false">
      <c r="A1026" s="61" t="n">
        <f aca="false">INDEX(Datos_Origen!$A$2:$A$2459,$Z1026)</f>
        <v>1025</v>
      </c>
      <c r="B1026" s="62" t="n">
        <f aca="false">IF(ISNUMBER($AB1026),$AB1026,IF(MID($AB1026,5,1)="-",DATE(VALUE(LEFT($AB1026,4)),VALUE(MID($AB1026,6,2)),VALUE(RIGHT($AB1026,2))),DATE(VALUE(RIGHT($AB1026,4)),VALUE(MID($AB1026,4,2)),VALUE(LEFT($AB1026,2)))))</f>
        <v>45617</v>
      </c>
      <c r="C1026" s="61" t="n">
        <f aca="false">YEAR($B1026)</f>
        <v>2024</v>
      </c>
      <c r="D1026" s="61" t="str">
        <f aca="false">"Q"&amp;ROUNDUP(MONTH($B1026)/3,0)</f>
        <v>Q4</v>
      </c>
      <c r="E1026" s="61" t="n">
        <f aca="false">MONTH($B1026)</f>
        <v>11</v>
      </c>
      <c r="F1026" s="61" t="str">
        <f aca="false">INDEX(Parametros!$I$5:$I$16,$E1026)</f>
        <v>Nov</v>
      </c>
      <c r="G1026" s="61" t="str">
        <f aca="false">TEXT($C1026,"0000")&amp;"-"&amp;TEXT($E1026,"00")</f>
        <v>2024-11</v>
      </c>
      <c r="H1026" s="61" t="str">
        <f aca="false">INDEX(Parametros!$C$71:$C$91,MATCH(TRIM(INDEX(Datos_Origen!$C$2:$C$2459,$Z1026)),Parametros!$B$71:$B$91,0))</f>
        <v>Centro</v>
      </c>
      <c r="I1026" s="61" t="str">
        <f aca="false">IF(TRIM($AD1026)="",INDEX(Parametros!$I$20:$I$24,MATCH($H1026,Parametros!$H$20:$H$24,0)),TRIM($AD1026))</f>
        <v>Cordoba</v>
      </c>
      <c r="J1026" s="61" t="str">
        <f aca="false">INDEX(Parametros!$C$95:$C$106,MATCH(TRIM(INDEX(Datos_Origen!$E$2:$E$2459,$Z1026)),Parametros!$B$95:$B$106,0))</f>
        <v>Tienda fisica</v>
      </c>
      <c r="K1026" s="61" t="str">
        <f aca="false">INDEX(Parametros!$C$48:$C$67,MATCH(TRIM(INDEX(Datos_Origen!$F$2:$F$2459,$Z1026)),Parametros!$B$48:$B$67,0))</f>
        <v>Computacion</v>
      </c>
      <c r="L1026" s="61" t="str">
        <f aca="false">$K1026&amp;" "&amp;$C1026</f>
        <v>Computacion 2024</v>
      </c>
      <c r="M1026" s="61" t="str">
        <f aca="false">TRIM(INDEX(Datos_Origen!$G$2:$G$2459,$Z1026))</f>
        <v>PC Gamer Ryzen</v>
      </c>
      <c r="N1026" s="61" t="str">
        <f aca="false">$M1026&amp;" "&amp;$C1026</f>
        <v>PC Gamer Ryzen 2024</v>
      </c>
      <c r="O1026" s="63" t="n">
        <f aca="false">IF(ISTEXT($AC1026),VALUE($AC1026),$AC1026)</f>
        <v>13</v>
      </c>
      <c r="P1026" s="64" t="n">
        <f aca="false">INDEX(Datos_Origen!$I$2:$I$2459,$Z1026)</f>
        <v>1617</v>
      </c>
      <c r="Q1026" s="64" t="n">
        <f aca="false">INDEX(Datos_Origen!$J$2:$J$2459,$Z1026)</f>
        <v>1122</v>
      </c>
      <c r="R1026" s="65" t="n">
        <f aca="false">ROUND($O1026*$P1026,2)</f>
        <v>21021</v>
      </c>
      <c r="S1026" s="65" t="n">
        <f aca="false">ROUND($O1026*$Q1026,2)</f>
        <v>14586</v>
      </c>
      <c r="T1026" s="65" t="n">
        <f aca="false">ROUND($R1026*SUMIFS(Parametros!$E$28:$E$43,Parametros!$B$28:$B$43,$J1026,Parametros!$C$28:$C$43,$C1026,Parametros!$D$28:$D$43,$D1026),2)</f>
        <v>273.27</v>
      </c>
      <c r="U1026" s="65" t="n">
        <f aca="false">$R1026-$S1026-$T1026</f>
        <v>6161.73</v>
      </c>
      <c r="V1026" s="66" t="n">
        <f aca="false">IFERROR($U1026/$R1026,0)</f>
        <v>0.29312259169402</v>
      </c>
      <c r="W1026" s="67" t="str">
        <f aca="false">IF(AND($V1026&gt;=Parametros!$C$8,$R1026&gt;=Parametros!$C$12),"Alta rentabilidad",IF(OR($V1026&lt;Parametros!$C$11,$R1026&lt;Parametros!$C$13),"Revisar","Estandar"))</f>
        <v>Estandar</v>
      </c>
      <c r="X1026" s="67" t="str">
        <f aca="false">IF(AND($J1026="E-commerce",IFERROR($T1026/$R1026,0)&gt;Parametros!$C$14),"Alerta","OK")</f>
        <v>OK</v>
      </c>
      <c r="Y1026" s="61" t="str">
        <f aca="false">IF($R1026&gt;=Parametros!$C$12,"Alto",IF($R1026&lt;Parametros!$C$13,"Bajo","Medio"))</f>
        <v>Alto</v>
      </c>
      <c r="Z1026" s="61" t="n">
        <v>166</v>
      </c>
      <c r="AA1026" s="61" t="str">
        <f aca="false">IF(MATCH($A1026,Datos_Origen!$A$2:$A$2459,0)=$Z1026,"OK","REVISAR")</f>
        <v>OK</v>
      </c>
      <c r="AB1026" s="61" t="str">
        <f aca="false">INDEX(Datos_Origen!$B$2:$B$2459,$Z1026)</f>
        <v>21/11/2024</v>
      </c>
      <c r="AC1026" s="61" t="n">
        <f aca="false">INDEX(Datos_Origen!$H$2:$H$2459,$Z1026)</f>
        <v>13</v>
      </c>
      <c r="AD1026" s="61" t="str">
        <f aca="false">INDEX(Datos_Origen!$D$2:$D$2459,$Z1026)&amp;""</f>
        <v>Cordoba</v>
      </c>
    </row>
    <row r="1027" customFormat="false" ht="15" hidden="false" customHeight="false" outlineLevel="0" collapsed="false">
      <c r="A1027" s="61" t="n">
        <f aca="false">INDEX(Datos_Origen!$A$2:$A$2459,$Z1027)</f>
        <v>1026</v>
      </c>
      <c r="B1027" s="62" t="n">
        <f aca="false">IF(ISNUMBER($AB1027),$AB1027,IF(MID($AB1027,5,1)="-",DATE(VALUE(LEFT($AB1027,4)),VALUE(MID($AB1027,6,2)),VALUE(RIGHT($AB1027,2))),DATE(VALUE(RIGHT($AB1027,4)),VALUE(MID($AB1027,4,2)),VALUE(LEFT($AB1027,2)))))</f>
        <v>45597</v>
      </c>
      <c r="C1027" s="61" t="n">
        <f aca="false">YEAR($B1027)</f>
        <v>2024</v>
      </c>
      <c r="D1027" s="61" t="str">
        <f aca="false">"Q"&amp;ROUNDUP(MONTH($B1027)/3,0)</f>
        <v>Q4</v>
      </c>
      <c r="E1027" s="61" t="n">
        <f aca="false">MONTH($B1027)</f>
        <v>11</v>
      </c>
      <c r="F1027" s="61" t="str">
        <f aca="false">INDEX(Parametros!$I$5:$I$16,$E1027)</f>
        <v>Nov</v>
      </c>
      <c r="G1027" s="61" t="str">
        <f aca="false">TEXT($C1027,"0000")&amp;"-"&amp;TEXT($E1027,"00")</f>
        <v>2024-11</v>
      </c>
      <c r="H1027" s="61" t="str">
        <f aca="false">INDEX(Parametros!$C$71:$C$91,MATCH(TRIM(INDEX(Datos_Origen!$C$2:$C$2459,$Z1027)),Parametros!$B$71:$B$91,0))</f>
        <v>Centro</v>
      </c>
      <c r="I1027" s="61" t="str">
        <f aca="false">IF(TRIM($AD1027)="",INDEX(Parametros!$I$20:$I$24,MATCH($H1027,Parametros!$H$20:$H$24,0)),TRIM($AD1027))</f>
        <v>Cordoba</v>
      </c>
      <c r="J1027" s="61" t="str">
        <f aca="false">INDEX(Parametros!$C$95:$C$106,MATCH(TRIM(INDEX(Datos_Origen!$E$2:$E$2459,$Z1027)),Parametros!$B$95:$B$106,0))</f>
        <v>E-commerce</v>
      </c>
      <c r="K1027" s="61" t="str">
        <f aca="false">INDEX(Parametros!$C$48:$C$67,MATCH(TRIM(INDEX(Datos_Origen!$F$2:$F$2459,$Z1027)),Parametros!$B$48:$B$67,0))</f>
        <v>Computacion</v>
      </c>
      <c r="L1027" s="61" t="str">
        <f aca="false">$K1027&amp;" "&amp;$C1027</f>
        <v>Computacion 2024</v>
      </c>
      <c r="M1027" s="61" t="str">
        <f aca="false">TRIM(INDEX(Datos_Origen!$G$2:$G$2459,$Z1027))</f>
        <v>PC Gamer Ryzen</v>
      </c>
      <c r="N1027" s="61" t="str">
        <f aca="false">$M1027&amp;" "&amp;$C1027</f>
        <v>PC Gamer Ryzen 2024</v>
      </c>
      <c r="O1027" s="63" t="n">
        <f aca="false">IF(ISTEXT($AC1027),VALUE($AC1027),$AC1027)</f>
        <v>5</v>
      </c>
      <c r="P1027" s="64" t="n">
        <f aca="false">INDEX(Datos_Origen!$I$2:$I$2459,$Z1027)</f>
        <v>1617</v>
      </c>
      <c r="Q1027" s="64" t="n">
        <f aca="false">INDEX(Datos_Origen!$J$2:$J$2459,$Z1027)</f>
        <v>1122</v>
      </c>
      <c r="R1027" s="65" t="n">
        <f aca="false">ROUND($O1027*$P1027,2)</f>
        <v>8085</v>
      </c>
      <c r="S1027" s="65" t="n">
        <f aca="false">ROUND($O1027*$Q1027,2)</f>
        <v>5610</v>
      </c>
      <c r="T1027" s="65" t="n">
        <f aca="false">ROUND($R1027*SUMIFS(Parametros!$E$28:$E$43,Parametros!$B$28:$B$43,$J1027,Parametros!$C$28:$C$43,$C1027,Parametros!$D$28:$D$43,$D1027),2)</f>
        <v>388.08</v>
      </c>
      <c r="U1027" s="65" t="n">
        <f aca="false">$R1027-$S1027-$T1027</f>
        <v>2086.92</v>
      </c>
      <c r="V1027" s="66" t="n">
        <f aca="false">IFERROR($U1027/$R1027,0)</f>
        <v>0.258122448979592</v>
      </c>
      <c r="W1027" s="67" t="str">
        <f aca="false">IF(AND($V1027&gt;=Parametros!$C$8,$R1027&gt;=Parametros!$C$12),"Alta rentabilidad",IF(OR($V1027&lt;Parametros!$C$11,$R1027&lt;Parametros!$C$13),"Revisar","Estandar"))</f>
        <v>Revisar</v>
      </c>
      <c r="X1027" s="67" t="str">
        <f aca="false">IF(AND($J1027="E-commerce",IFERROR($T1027/$R1027,0)&gt;Parametros!$C$14),"Alerta","OK")</f>
        <v>OK</v>
      </c>
      <c r="Y1027" s="61" t="str">
        <f aca="false">IF($R1027&gt;=Parametros!$C$12,"Alto",IF($R1027&lt;Parametros!$C$13,"Bajo","Medio"))</f>
        <v>Alto</v>
      </c>
      <c r="Z1027" s="61" t="n">
        <v>199</v>
      </c>
      <c r="AA1027" s="61" t="str">
        <f aca="false">IF(MATCH($A1027,Datos_Origen!$A$2:$A$2459,0)=$Z1027,"OK","REVISAR")</f>
        <v>OK</v>
      </c>
      <c r="AB1027" s="61" t="str">
        <f aca="false">INDEX(Datos_Origen!$B$2:$B$2459,$Z1027)</f>
        <v>2024-11-01</v>
      </c>
      <c r="AC1027" s="61" t="n">
        <f aca="false">INDEX(Datos_Origen!$H$2:$H$2459,$Z1027)</f>
        <v>5</v>
      </c>
      <c r="AD1027" s="61" t="str">
        <f aca="false">INDEX(Datos_Origen!$D$2:$D$2459,$Z1027)&amp;""</f>
        <v>Cordoba</v>
      </c>
    </row>
    <row r="1028" customFormat="false" ht="15" hidden="false" customHeight="false" outlineLevel="0" collapsed="false">
      <c r="A1028" s="61" t="n">
        <f aca="false">INDEX(Datos_Origen!$A$2:$A$2459,$Z1028)</f>
        <v>1027</v>
      </c>
      <c r="B1028" s="62" t="n">
        <f aca="false">IF(ISNUMBER($AB1028),$AB1028,IF(MID($AB1028,5,1)="-",DATE(VALUE(LEFT($AB1028,4)),VALUE(MID($AB1028,6,2)),VALUE(RIGHT($AB1028,2))),DATE(VALUE(RIGHT($AB1028,4)),VALUE(MID($AB1028,4,2)),VALUE(LEFT($AB1028,2)))))</f>
        <v>45604</v>
      </c>
      <c r="C1028" s="61" t="n">
        <f aca="false">YEAR($B1028)</f>
        <v>2024</v>
      </c>
      <c r="D1028" s="61" t="str">
        <f aca="false">"Q"&amp;ROUNDUP(MONTH($B1028)/3,0)</f>
        <v>Q4</v>
      </c>
      <c r="E1028" s="61" t="n">
        <f aca="false">MONTH($B1028)</f>
        <v>11</v>
      </c>
      <c r="F1028" s="61" t="str">
        <f aca="false">INDEX(Parametros!$I$5:$I$16,$E1028)</f>
        <v>Nov</v>
      </c>
      <c r="G1028" s="61" t="str">
        <f aca="false">TEXT($C1028,"0000")&amp;"-"&amp;TEXT($E1028,"00")</f>
        <v>2024-11</v>
      </c>
      <c r="H1028" s="61" t="str">
        <f aca="false">INDEX(Parametros!$C$71:$C$91,MATCH(TRIM(INDEX(Datos_Origen!$C$2:$C$2459,$Z1028)),Parametros!$B$71:$B$91,0))</f>
        <v>Centro</v>
      </c>
      <c r="I1028" s="61" t="str">
        <f aca="false">IF(TRIM($AD1028)="",INDEX(Parametros!$I$20:$I$24,MATCH($H1028,Parametros!$H$20:$H$24,0)),TRIM($AD1028))</f>
        <v>Cordoba</v>
      </c>
      <c r="J1028" s="61" t="str">
        <f aca="false">INDEX(Parametros!$C$95:$C$106,MATCH(TRIM(INDEX(Datos_Origen!$E$2:$E$2459,$Z1028)),Parametros!$B$95:$B$106,0))</f>
        <v>Tienda fisica</v>
      </c>
      <c r="K1028" s="61" t="str">
        <f aca="false">INDEX(Parametros!$C$48:$C$67,MATCH(TRIM(INDEX(Datos_Origen!$F$2:$F$2459,$Z1028)),Parametros!$B$48:$B$67,0))</f>
        <v>Accesorios</v>
      </c>
      <c r="L1028" s="61" t="str">
        <f aca="false">$K1028&amp;" "&amp;$C1028</f>
        <v>Accesorios 2024</v>
      </c>
      <c r="M1028" s="61" t="str">
        <f aca="false">TRIM(INDEX(Datos_Origen!$G$2:$G$2459,$Z1028))</f>
        <v>Mouse Inalambrico</v>
      </c>
      <c r="N1028" s="61" t="str">
        <f aca="false">$M1028&amp;" "&amp;$C1028</f>
        <v>Mouse Inalambrico 2024</v>
      </c>
      <c r="O1028" s="63" t="n">
        <f aca="false">IF(ISTEXT($AC1028),VALUE($AC1028),$AC1028)</f>
        <v>74</v>
      </c>
      <c r="P1028" s="64" t="n">
        <f aca="false">INDEX(Datos_Origen!$I$2:$I$2459,$Z1028)</f>
        <v>27.44</v>
      </c>
      <c r="Q1028" s="64" t="n">
        <f aca="false">INDEX(Datos_Origen!$J$2:$J$2459,$Z1028)</f>
        <v>13.44</v>
      </c>
      <c r="R1028" s="65" t="n">
        <f aca="false">ROUND($O1028*$P1028,2)</f>
        <v>2030.56</v>
      </c>
      <c r="S1028" s="65" t="n">
        <f aca="false">ROUND($O1028*$Q1028,2)</f>
        <v>994.56</v>
      </c>
      <c r="T1028" s="65" t="n">
        <f aca="false">ROUND($R1028*SUMIFS(Parametros!$E$28:$E$43,Parametros!$B$28:$B$43,$J1028,Parametros!$C$28:$C$43,$C1028,Parametros!$D$28:$D$43,$D1028),2)</f>
        <v>26.4</v>
      </c>
      <c r="U1028" s="65" t="n">
        <f aca="false">$R1028-$S1028-$T1028</f>
        <v>1009.6</v>
      </c>
      <c r="V1028" s="66" t="n">
        <f aca="false">IFERROR($U1028/$R1028,0)</f>
        <v>0.497202742100701</v>
      </c>
      <c r="W1028" s="67" t="str">
        <f aca="false">IF(AND($V1028&gt;=Parametros!$C$8,$R1028&gt;=Parametros!$C$12),"Alta rentabilidad",IF(OR($V1028&lt;Parametros!$C$11,$R1028&lt;Parametros!$C$13),"Revisar","Estandar"))</f>
        <v>Estandar</v>
      </c>
      <c r="X1028" s="67" t="str">
        <f aca="false">IF(AND($J1028="E-commerce",IFERROR($T1028/$R1028,0)&gt;Parametros!$C$14),"Alerta","OK")</f>
        <v>OK</v>
      </c>
      <c r="Y1028" s="61" t="str">
        <f aca="false">IF($R1028&gt;=Parametros!$C$12,"Alto",IF($R1028&lt;Parametros!$C$13,"Bajo","Medio"))</f>
        <v>Medio</v>
      </c>
      <c r="Z1028" s="61" t="n">
        <v>233</v>
      </c>
      <c r="AA1028" s="61" t="str">
        <f aca="false">IF(MATCH($A1028,Datos_Origen!$A$2:$A$2459,0)=$Z1028,"OK","REVISAR")</f>
        <v>OK</v>
      </c>
      <c r="AB1028" s="61" t="str">
        <f aca="false">INDEX(Datos_Origen!$B$2:$B$2459,$Z1028)</f>
        <v>2024-11-08</v>
      </c>
      <c r="AC1028" s="61" t="n">
        <f aca="false">INDEX(Datos_Origen!$H$2:$H$2459,$Z1028)</f>
        <v>74</v>
      </c>
      <c r="AD1028" s="61" t="str">
        <f aca="false">INDEX(Datos_Origen!$D$2:$D$2459,$Z1028)&amp;""</f>
        <v>Cordoba</v>
      </c>
    </row>
    <row r="1029" customFormat="false" ht="15" hidden="false" customHeight="false" outlineLevel="0" collapsed="false">
      <c r="A1029" s="61" t="n">
        <f aca="false">INDEX(Datos_Origen!$A$2:$A$2459,$Z1029)</f>
        <v>1028</v>
      </c>
      <c r="B1029" s="62" t="n">
        <f aca="false">IF(ISNUMBER($AB1029),$AB1029,IF(MID($AB1029,5,1)="-",DATE(VALUE(LEFT($AB1029,4)),VALUE(MID($AB1029,6,2)),VALUE(RIGHT($AB1029,2))),DATE(VALUE(RIGHT($AB1029,4)),VALUE(MID($AB1029,4,2)),VALUE(LEFT($AB1029,2)))))</f>
        <v>45611</v>
      </c>
      <c r="C1029" s="61" t="n">
        <f aca="false">YEAR($B1029)</f>
        <v>2024</v>
      </c>
      <c r="D1029" s="61" t="str">
        <f aca="false">"Q"&amp;ROUNDUP(MONTH($B1029)/3,0)</f>
        <v>Q4</v>
      </c>
      <c r="E1029" s="61" t="n">
        <f aca="false">MONTH($B1029)</f>
        <v>11</v>
      </c>
      <c r="F1029" s="61" t="str">
        <f aca="false">INDEX(Parametros!$I$5:$I$16,$E1029)</f>
        <v>Nov</v>
      </c>
      <c r="G1029" s="61" t="str">
        <f aca="false">TEXT($C1029,"0000")&amp;"-"&amp;TEXT($E1029,"00")</f>
        <v>2024-11</v>
      </c>
      <c r="H1029" s="61" t="str">
        <f aca="false">INDEX(Parametros!$C$71:$C$91,MATCH(TRIM(INDEX(Datos_Origen!$C$2:$C$2459,$Z1029)),Parametros!$B$71:$B$91,0))</f>
        <v>Centro</v>
      </c>
      <c r="I1029" s="61" t="str">
        <f aca="false">IF(TRIM($AD1029)="",INDEX(Parametros!$I$20:$I$24,MATCH($H1029,Parametros!$H$20:$H$24,0)),TRIM($AD1029))</f>
        <v>Cordoba</v>
      </c>
      <c r="J1029" s="61" t="str">
        <f aca="false">INDEX(Parametros!$C$95:$C$106,MATCH(TRIM(INDEX(Datos_Origen!$E$2:$E$2459,$Z1029)),Parametros!$B$95:$B$106,0))</f>
        <v>E-commerce</v>
      </c>
      <c r="K1029" s="61" t="str">
        <f aca="false">INDEX(Parametros!$C$48:$C$67,MATCH(TRIM(INDEX(Datos_Origen!$F$2:$F$2459,$Z1029)),Parametros!$B$48:$B$67,0))</f>
        <v>Accesorios</v>
      </c>
      <c r="L1029" s="61" t="str">
        <f aca="false">$K1029&amp;" "&amp;$C1029</f>
        <v>Accesorios 2024</v>
      </c>
      <c r="M1029" s="61" t="str">
        <f aca="false">TRIM(INDEX(Datos_Origen!$G$2:$G$2459,$Z1029))</f>
        <v>Mouse Inalambrico</v>
      </c>
      <c r="N1029" s="61" t="str">
        <f aca="false">$M1029&amp;" "&amp;$C1029</f>
        <v>Mouse Inalambrico 2024</v>
      </c>
      <c r="O1029" s="63" t="n">
        <f aca="false">IF(ISTEXT($AC1029),VALUE($AC1029),$AC1029)</f>
        <v>27</v>
      </c>
      <c r="P1029" s="64" t="n">
        <f aca="false">INDEX(Datos_Origen!$I$2:$I$2459,$Z1029)</f>
        <v>27.44</v>
      </c>
      <c r="Q1029" s="64" t="n">
        <f aca="false">INDEX(Datos_Origen!$J$2:$J$2459,$Z1029)</f>
        <v>13.44</v>
      </c>
      <c r="R1029" s="65" t="n">
        <f aca="false">ROUND($O1029*$P1029,2)</f>
        <v>740.88</v>
      </c>
      <c r="S1029" s="65" t="n">
        <f aca="false">ROUND($O1029*$Q1029,2)</f>
        <v>362.88</v>
      </c>
      <c r="T1029" s="65" t="n">
        <f aca="false">ROUND($R1029*SUMIFS(Parametros!$E$28:$E$43,Parametros!$B$28:$B$43,$J1029,Parametros!$C$28:$C$43,$C1029,Parametros!$D$28:$D$43,$D1029),2)</f>
        <v>35.56</v>
      </c>
      <c r="U1029" s="65" t="n">
        <f aca="false">$R1029-$S1029-$T1029</f>
        <v>342.44</v>
      </c>
      <c r="V1029" s="66" t="n">
        <f aca="false">IFERROR($U1029/$R1029,0)</f>
        <v>0.462207105064248</v>
      </c>
      <c r="W1029" s="67" t="str">
        <f aca="false">IF(AND($V1029&gt;=Parametros!$C$8,$R1029&gt;=Parametros!$C$12),"Alta rentabilidad",IF(OR($V1029&lt;Parametros!$C$11,$R1029&lt;Parametros!$C$13),"Revisar","Estandar"))</f>
        <v>Estandar</v>
      </c>
      <c r="X1029" s="67" t="str">
        <f aca="false">IF(AND($J1029="E-commerce",IFERROR($T1029/$R1029,0)&gt;Parametros!$C$14),"Alerta","OK")</f>
        <v>OK</v>
      </c>
      <c r="Y1029" s="61" t="str">
        <f aca="false">IF($R1029&gt;=Parametros!$C$12,"Alto",IF($R1029&lt;Parametros!$C$13,"Bajo","Medio"))</f>
        <v>Medio</v>
      </c>
      <c r="Z1029" s="61" t="n">
        <v>413</v>
      </c>
      <c r="AA1029" s="61" t="str">
        <f aca="false">IF(MATCH($A1029,Datos_Origen!$A$2:$A$2459,0)=$Z1029,"OK","REVISAR")</f>
        <v>OK</v>
      </c>
      <c r="AB1029" s="62" t="n">
        <f aca="false">INDEX(Datos_Origen!$B$2:$B$2459,$Z1029)</f>
        <v>45611</v>
      </c>
      <c r="AC1029" s="61" t="str">
        <f aca="false">INDEX(Datos_Origen!$H$2:$H$2459,$Z1029)</f>
        <v>27</v>
      </c>
      <c r="AD1029" s="61" t="str">
        <f aca="false">INDEX(Datos_Origen!$D$2:$D$2459,$Z1029)&amp;""</f>
        <v>Cordoba</v>
      </c>
    </row>
    <row r="1030" customFormat="false" ht="15" hidden="false" customHeight="false" outlineLevel="0" collapsed="false">
      <c r="A1030" s="61" t="n">
        <f aca="false">INDEX(Datos_Origen!$A$2:$A$2459,$Z1030)</f>
        <v>1029</v>
      </c>
      <c r="B1030" s="62" t="n">
        <f aca="false">IF(ISNUMBER($AB1030),$AB1030,IF(MID($AB1030,5,1)="-",DATE(VALUE(LEFT($AB1030,4)),VALUE(MID($AB1030,6,2)),VALUE(RIGHT($AB1030,2))),DATE(VALUE(RIGHT($AB1030,4)),VALUE(MID($AB1030,4,2)),VALUE(LEFT($AB1030,2)))))</f>
        <v>45618</v>
      </c>
      <c r="C1030" s="61" t="n">
        <f aca="false">YEAR($B1030)</f>
        <v>2024</v>
      </c>
      <c r="D1030" s="61" t="str">
        <f aca="false">"Q"&amp;ROUNDUP(MONTH($B1030)/3,0)</f>
        <v>Q4</v>
      </c>
      <c r="E1030" s="61" t="n">
        <f aca="false">MONTH($B1030)</f>
        <v>11</v>
      </c>
      <c r="F1030" s="61" t="str">
        <f aca="false">INDEX(Parametros!$I$5:$I$16,$E1030)</f>
        <v>Nov</v>
      </c>
      <c r="G1030" s="61" t="str">
        <f aca="false">TEXT($C1030,"0000")&amp;"-"&amp;TEXT($E1030,"00")</f>
        <v>2024-11</v>
      </c>
      <c r="H1030" s="61" t="str">
        <f aca="false">INDEX(Parametros!$C$71:$C$91,MATCH(TRIM(INDEX(Datos_Origen!$C$2:$C$2459,$Z1030)),Parametros!$B$71:$B$91,0))</f>
        <v>Centro</v>
      </c>
      <c r="I1030" s="61" t="str">
        <f aca="false">IF(TRIM($AD1030)="",INDEX(Parametros!$I$20:$I$24,MATCH($H1030,Parametros!$H$20:$H$24,0)),TRIM($AD1030))</f>
        <v>Cordoba</v>
      </c>
      <c r="J1030" s="61" t="str">
        <f aca="false">INDEX(Parametros!$C$95:$C$106,MATCH(TRIM(INDEX(Datos_Origen!$E$2:$E$2459,$Z1030)),Parametros!$B$95:$B$106,0))</f>
        <v>Tienda fisica</v>
      </c>
      <c r="K1030" s="61" t="str">
        <f aca="false">INDEX(Parametros!$C$48:$C$67,MATCH(TRIM(INDEX(Datos_Origen!$F$2:$F$2459,$Z1030)),Parametros!$B$48:$B$67,0))</f>
        <v>Accesorios</v>
      </c>
      <c r="L1030" s="61" t="str">
        <f aca="false">$K1030&amp;" "&amp;$C1030</f>
        <v>Accesorios 2024</v>
      </c>
      <c r="M1030" s="61" t="str">
        <f aca="false">TRIM(INDEX(Datos_Origen!$G$2:$G$2459,$Z1030))</f>
        <v>Teclado Mecanico</v>
      </c>
      <c r="N1030" s="61" t="str">
        <f aca="false">$M1030&amp;" "&amp;$C1030</f>
        <v>Teclado Mecanico 2024</v>
      </c>
      <c r="O1030" s="63" t="n">
        <f aca="false">IF(ISTEXT($AC1030),VALUE($AC1030),$AC1030)</f>
        <v>73</v>
      </c>
      <c r="P1030" s="64" t="n">
        <f aca="false">INDEX(Datos_Origen!$I$2:$I$2459,$Z1030)</f>
        <v>93.1</v>
      </c>
      <c r="Q1030" s="64" t="n">
        <f aca="false">INDEX(Datos_Origen!$J$2:$J$2459,$Z1030)</f>
        <v>47.98</v>
      </c>
      <c r="R1030" s="65" t="n">
        <f aca="false">ROUND($O1030*$P1030,2)</f>
        <v>6796.3</v>
      </c>
      <c r="S1030" s="65" t="n">
        <f aca="false">ROUND($O1030*$Q1030,2)</f>
        <v>3502.54</v>
      </c>
      <c r="T1030" s="65" t="n">
        <f aca="false">ROUND($R1030*SUMIFS(Parametros!$E$28:$E$43,Parametros!$B$28:$B$43,$J1030,Parametros!$C$28:$C$43,$C1030,Parametros!$D$28:$D$43,$D1030),2)</f>
        <v>88.35</v>
      </c>
      <c r="U1030" s="65" t="n">
        <f aca="false">$R1030-$S1030-$T1030</f>
        <v>3205.41</v>
      </c>
      <c r="V1030" s="66" t="n">
        <f aca="false">IFERROR($U1030/$R1030,0)</f>
        <v>0.471640451422097</v>
      </c>
      <c r="W1030" s="67" t="str">
        <f aca="false">IF(AND($V1030&gt;=Parametros!$C$8,$R1030&gt;=Parametros!$C$12),"Alta rentabilidad",IF(OR($V1030&lt;Parametros!$C$11,$R1030&lt;Parametros!$C$13),"Revisar","Estandar"))</f>
        <v>Alta rentabilidad</v>
      </c>
      <c r="X1030" s="67" t="str">
        <f aca="false">IF(AND($J1030="E-commerce",IFERROR($T1030/$R1030,0)&gt;Parametros!$C$14),"Alerta","OK")</f>
        <v>OK</v>
      </c>
      <c r="Y1030" s="61" t="str">
        <f aca="false">IF($R1030&gt;=Parametros!$C$12,"Alto",IF($R1030&lt;Parametros!$C$13,"Bajo","Medio"))</f>
        <v>Alto</v>
      </c>
      <c r="Z1030" s="61" t="n">
        <v>396</v>
      </c>
      <c r="AA1030" s="61" t="str">
        <f aca="false">IF(MATCH($A1030,Datos_Origen!$A$2:$A$2459,0)=$Z1030,"OK","REVISAR")</f>
        <v>OK</v>
      </c>
      <c r="AB1030" s="62" t="n">
        <f aca="false">INDEX(Datos_Origen!$B$2:$B$2459,$Z1030)</f>
        <v>45618</v>
      </c>
      <c r="AC1030" s="61" t="n">
        <f aca="false">INDEX(Datos_Origen!$H$2:$H$2459,$Z1030)</f>
        <v>73</v>
      </c>
      <c r="AD1030" s="61" t="str">
        <f aca="false">INDEX(Datos_Origen!$D$2:$D$2459,$Z1030)&amp;""</f>
        <v>Cordoba</v>
      </c>
    </row>
    <row r="1031" customFormat="false" ht="15" hidden="false" customHeight="false" outlineLevel="0" collapsed="false">
      <c r="A1031" s="61" t="n">
        <f aca="false">INDEX(Datos_Origen!$A$2:$A$2459,$Z1031)</f>
        <v>1030</v>
      </c>
      <c r="B1031" s="62" t="n">
        <f aca="false">IF(ISNUMBER($AB1031),$AB1031,IF(MID($AB1031,5,1)="-",DATE(VALUE(LEFT($AB1031,4)),VALUE(MID($AB1031,6,2)),VALUE(RIGHT($AB1031,2))),DATE(VALUE(RIGHT($AB1031,4)),VALUE(MID($AB1031,4,2)),VALUE(LEFT($AB1031,2)))))</f>
        <v>45598</v>
      </c>
      <c r="C1031" s="61" t="n">
        <f aca="false">YEAR($B1031)</f>
        <v>2024</v>
      </c>
      <c r="D1031" s="61" t="str">
        <f aca="false">"Q"&amp;ROUNDUP(MONTH($B1031)/3,0)</f>
        <v>Q4</v>
      </c>
      <c r="E1031" s="61" t="n">
        <f aca="false">MONTH($B1031)</f>
        <v>11</v>
      </c>
      <c r="F1031" s="61" t="str">
        <f aca="false">INDEX(Parametros!$I$5:$I$16,$E1031)</f>
        <v>Nov</v>
      </c>
      <c r="G1031" s="61" t="str">
        <f aca="false">TEXT($C1031,"0000")&amp;"-"&amp;TEXT($E1031,"00")</f>
        <v>2024-11</v>
      </c>
      <c r="H1031" s="61" t="str">
        <f aca="false">INDEX(Parametros!$C$71:$C$91,MATCH(TRIM(INDEX(Datos_Origen!$C$2:$C$2459,$Z1031)),Parametros!$B$71:$B$91,0))</f>
        <v>Centro</v>
      </c>
      <c r="I1031" s="61" t="str">
        <f aca="false">IF(TRIM($AD1031)="",INDEX(Parametros!$I$20:$I$24,MATCH($H1031,Parametros!$H$20:$H$24,0)),TRIM($AD1031))</f>
        <v>Cordoba</v>
      </c>
      <c r="J1031" s="61" t="str">
        <f aca="false">INDEX(Parametros!$C$95:$C$106,MATCH(TRIM(INDEX(Datos_Origen!$E$2:$E$2459,$Z1031)),Parametros!$B$95:$B$106,0))</f>
        <v>E-commerce</v>
      </c>
      <c r="K1031" s="61" t="str">
        <f aca="false">INDEX(Parametros!$C$48:$C$67,MATCH(TRIM(INDEX(Datos_Origen!$F$2:$F$2459,$Z1031)),Parametros!$B$48:$B$67,0))</f>
        <v>Accesorios</v>
      </c>
      <c r="L1031" s="61" t="str">
        <f aca="false">$K1031&amp;" "&amp;$C1031</f>
        <v>Accesorios 2024</v>
      </c>
      <c r="M1031" s="61" t="str">
        <f aca="false">TRIM(INDEX(Datos_Origen!$G$2:$G$2459,$Z1031))</f>
        <v>Teclado Mecanico</v>
      </c>
      <c r="N1031" s="61" t="str">
        <f aca="false">$M1031&amp;" "&amp;$C1031</f>
        <v>Teclado Mecanico 2024</v>
      </c>
      <c r="O1031" s="63" t="n">
        <f aca="false">IF(ISTEXT($AC1031),VALUE($AC1031),$AC1031)</f>
        <v>31</v>
      </c>
      <c r="P1031" s="64" t="n">
        <f aca="false">INDEX(Datos_Origen!$I$2:$I$2459,$Z1031)</f>
        <v>93.1</v>
      </c>
      <c r="Q1031" s="64" t="n">
        <f aca="false">INDEX(Datos_Origen!$J$2:$J$2459,$Z1031)</f>
        <v>47.98</v>
      </c>
      <c r="R1031" s="65" t="n">
        <f aca="false">ROUND($O1031*$P1031,2)</f>
        <v>2886.1</v>
      </c>
      <c r="S1031" s="65" t="n">
        <f aca="false">ROUND($O1031*$Q1031,2)</f>
        <v>1487.38</v>
      </c>
      <c r="T1031" s="65" t="n">
        <f aca="false">ROUND($R1031*SUMIFS(Parametros!$E$28:$E$43,Parametros!$B$28:$B$43,$J1031,Parametros!$C$28:$C$43,$C1031,Parametros!$D$28:$D$43,$D1031),2)</f>
        <v>138.53</v>
      </c>
      <c r="U1031" s="65" t="n">
        <f aca="false">$R1031-$S1031-$T1031</f>
        <v>1260.19</v>
      </c>
      <c r="V1031" s="66" t="n">
        <f aca="false">IFERROR($U1031/$R1031,0)</f>
        <v>0.436641142025571</v>
      </c>
      <c r="W1031" s="67" t="str">
        <f aca="false">IF(AND($V1031&gt;=Parametros!$C$8,$R1031&gt;=Parametros!$C$12),"Alta rentabilidad",IF(OR($V1031&lt;Parametros!$C$11,$R1031&lt;Parametros!$C$13),"Revisar","Estandar"))</f>
        <v>Estandar</v>
      </c>
      <c r="X1031" s="67" t="str">
        <f aca="false">IF(AND($J1031="E-commerce",IFERROR($T1031/$R1031,0)&gt;Parametros!$C$14),"Alerta","OK")</f>
        <v>OK</v>
      </c>
      <c r="Y1031" s="61" t="str">
        <f aca="false">IF($R1031&gt;=Parametros!$C$12,"Alto",IF($R1031&lt;Parametros!$C$13,"Bajo","Medio"))</f>
        <v>Medio</v>
      </c>
      <c r="Z1031" s="61" t="n">
        <v>376</v>
      </c>
      <c r="AA1031" s="61" t="str">
        <f aca="false">IF(MATCH($A1031,Datos_Origen!$A$2:$A$2459,0)=$Z1031,"OK","REVISAR")</f>
        <v>OK</v>
      </c>
      <c r="AB1031" s="62" t="n">
        <f aca="false">INDEX(Datos_Origen!$B$2:$B$2459,$Z1031)</f>
        <v>45598</v>
      </c>
      <c r="AC1031" s="61" t="n">
        <f aca="false">INDEX(Datos_Origen!$H$2:$H$2459,$Z1031)</f>
        <v>31</v>
      </c>
      <c r="AD1031" s="61" t="str">
        <f aca="false">INDEX(Datos_Origen!$D$2:$D$2459,$Z1031)&amp;""</f>
        <v>Cordoba</v>
      </c>
    </row>
    <row r="1032" customFormat="false" ht="15" hidden="false" customHeight="false" outlineLevel="0" collapsed="false">
      <c r="A1032" s="61" t="n">
        <f aca="false">INDEX(Datos_Origen!$A$2:$A$2459,$Z1032)</f>
        <v>1031</v>
      </c>
      <c r="B1032" s="62" t="n">
        <f aca="false">IF(ISNUMBER($AB1032),$AB1032,IF(MID($AB1032,5,1)="-",DATE(VALUE(LEFT($AB1032,4)),VALUE(MID($AB1032,6,2)),VALUE(RIGHT($AB1032,2))),DATE(VALUE(RIGHT($AB1032,4)),VALUE(MID($AB1032,4,2)),VALUE(LEFT($AB1032,2)))))</f>
        <v>45605</v>
      </c>
      <c r="C1032" s="61" t="n">
        <f aca="false">YEAR($B1032)</f>
        <v>2024</v>
      </c>
      <c r="D1032" s="61" t="str">
        <f aca="false">"Q"&amp;ROUNDUP(MONTH($B1032)/3,0)</f>
        <v>Q4</v>
      </c>
      <c r="E1032" s="61" t="n">
        <f aca="false">MONTH($B1032)</f>
        <v>11</v>
      </c>
      <c r="F1032" s="61" t="str">
        <f aca="false">INDEX(Parametros!$I$5:$I$16,$E1032)</f>
        <v>Nov</v>
      </c>
      <c r="G1032" s="61" t="str">
        <f aca="false">TEXT($C1032,"0000")&amp;"-"&amp;TEXT($E1032,"00")</f>
        <v>2024-11</v>
      </c>
      <c r="H1032" s="61" t="str">
        <f aca="false">INDEX(Parametros!$C$71:$C$91,MATCH(TRIM(INDEX(Datos_Origen!$C$2:$C$2459,$Z1032)),Parametros!$B$71:$B$91,0))</f>
        <v>Centro</v>
      </c>
      <c r="I1032" s="61" t="str">
        <f aca="false">IF(TRIM($AD1032)="",INDEX(Parametros!$I$20:$I$24,MATCH($H1032,Parametros!$H$20:$H$24,0)),TRIM($AD1032))</f>
        <v>Cordoba</v>
      </c>
      <c r="J1032" s="61" t="str">
        <f aca="false">INDEX(Parametros!$C$95:$C$106,MATCH(TRIM(INDEX(Datos_Origen!$E$2:$E$2459,$Z1032)),Parametros!$B$95:$B$106,0))</f>
        <v>Tienda fisica</v>
      </c>
      <c r="K1032" s="61" t="str">
        <f aca="false">INDEX(Parametros!$C$48:$C$67,MATCH(TRIM(INDEX(Datos_Origen!$F$2:$F$2459,$Z1032)),Parametros!$B$48:$B$67,0))</f>
        <v>Accesorios</v>
      </c>
      <c r="L1032" s="61" t="str">
        <f aca="false">$K1032&amp;" "&amp;$C1032</f>
        <v>Accesorios 2024</v>
      </c>
      <c r="M1032" s="61" t="str">
        <f aca="false">TRIM(INDEX(Datos_Origen!$G$2:$G$2459,$Z1032))</f>
        <v>Webcam Full HD</v>
      </c>
      <c r="N1032" s="61" t="str">
        <f aca="false">$M1032&amp;" "&amp;$C1032</f>
        <v>Webcam Full HD 2024</v>
      </c>
      <c r="O1032" s="63" t="n">
        <f aca="false">IF(ISTEXT($AC1032),VALUE($AC1032),$AC1032)</f>
        <v>81</v>
      </c>
      <c r="P1032" s="64" t="n">
        <f aca="false">INDEX(Datos_Origen!$I$2:$I$2459,$Z1032)</f>
        <v>63.7</v>
      </c>
      <c r="Q1032" s="64" t="n">
        <f aca="false">INDEX(Datos_Origen!$J$2:$J$2459,$Z1032)</f>
        <v>35.43</v>
      </c>
      <c r="R1032" s="65" t="n">
        <f aca="false">ROUND($O1032*$P1032,2)</f>
        <v>5159.7</v>
      </c>
      <c r="S1032" s="65" t="n">
        <f aca="false">ROUND($O1032*$Q1032,2)</f>
        <v>2869.83</v>
      </c>
      <c r="T1032" s="65" t="n">
        <f aca="false">ROUND($R1032*SUMIFS(Parametros!$E$28:$E$43,Parametros!$B$28:$B$43,$J1032,Parametros!$C$28:$C$43,$C1032,Parametros!$D$28:$D$43,$D1032),2)</f>
        <v>67.08</v>
      </c>
      <c r="U1032" s="65" t="n">
        <f aca="false">$R1032-$S1032-$T1032</f>
        <v>2222.79</v>
      </c>
      <c r="V1032" s="66" t="n">
        <f aca="false">IFERROR($U1032/$R1032,0)</f>
        <v>0.430798302226874</v>
      </c>
      <c r="W1032" s="67" t="str">
        <f aca="false">IF(AND($V1032&gt;=Parametros!$C$8,$R1032&gt;=Parametros!$C$12),"Alta rentabilidad",IF(OR($V1032&lt;Parametros!$C$11,$R1032&lt;Parametros!$C$13),"Revisar","Estandar"))</f>
        <v>Alta rentabilidad</v>
      </c>
      <c r="X1032" s="67" t="str">
        <f aca="false">IF(AND($J1032="E-commerce",IFERROR($T1032/$R1032,0)&gt;Parametros!$C$14),"Alerta","OK")</f>
        <v>OK</v>
      </c>
      <c r="Y1032" s="61" t="str">
        <f aca="false">IF($R1032&gt;=Parametros!$C$12,"Alto",IF($R1032&lt;Parametros!$C$13,"Bajo","Medio"))</f>
        <v>Alto</v>
      </c>
      <c r="Z1032" s="61" t="n">
        <v>1043</v>
      </c>
      <c r="AA1032" s="61" t="str">
        <f aca="false">IF(MATCH($A1032,Datos_Origen!$A$2:$A$2459,0)=$Z1032,"OK","REVISAR")</f>
        <v>OK</v>
      </c>
      <c r="AB1032" s="62" t="n">
        <f aca="false">INDEX(Datos_Origen!$B$2:$B$2459,$Z1032)</f>
        <v>45605</v>
      </c>
      <c r="AC1032" s="61" t="str">
        <f aca="false">INDEX(Datos_Origen!$H$2:$H$2459,$Z1032)</f>
        <v>81</v>
      </c>
      <c r="AD1032" s="61" t="str">
        <f aca="false">INDEX(Datos_Origen!$D$2:$D$2459,$Z1032)&amp;""</f>
        <v>Cordoba</v>
      </c>
    </row>
    <row r="1033" customFormat="false" ht="15" hidden="false" customHeight="false" outlineLevel="0" collapsed="false">
      <c r="A1033" s="61" t="n">
        <f aca="false">INDEX(Datos_Origen!$A$2:$A$2459,$Z1033)</f>
        <v>1032</v>
      </c>
      <c r="B1033" s="62" t="n">
        <f aca="false">IF(ISNUMBER($AB1033),$AB1033,IF(MID($AB1033,5,1)="-",DATE(VALUE(LEFT($AB1033,4)),VALUE(MID($AB1033,6,2)),VALUE(RIGHT($AB1033,2))),DATE(VALUE(RIGHT($AB1033,4)),VALUE(MID($AB1033,4,2)),VALUE(LEFT($AB1033,2)))))</f>
        <v>45612</v>
      </c>
      <c r="C1033" s="61" t="n">
        <f aca="false">YEAR($B1033)</f>
        <v>2024</v>
      </c>
      <c r="D1033" s="61" t="str">
        <f aca="false">"Q"&amp;ROUNDUP(MONTH($B1033)/3,0)</f>
        <v>Q4</v>
      </c>
      <c r="E1033" s="61" t="n">
        <f aca="false">MONTH($B1033)</f>
        <v>11</v>
      </c>
      <c r="F1033" s="61" t="str">
        <f aca="false">INDEX(Parametros!$I$5:$I$16,$E1033)</f>
        <v>Nov</v>
      </c>
      <c r="G1033" s="61" t="str">
        <f aca="false">TEXT($C1033,"0000")&amp;"-"&amp;TEXT($E1033,"00")</f>
        <v>2024-11</v>
      </c>
      <c r="H1033" s="61" t="str">
        <f aca="false">INDEX(Parametros!$C$71:$C$91,MATCH(TRIM(INDEX(Datos_Origen!$C$2:$C$2459,$Z1033)),Parametros!$B$71:$B$91,0))</f>
        <v>Centro</v>
      </c>
      <c r="I1033" s="61" t="str">
        <f aca="false">IF(TRIM($AD1033)="",INDEX(Parametros!$I$20:$I$24,MATCH($H1033,Parametros!$H$20:$H$24,0)),TRIM($AD1033))</f>
        <v>Cordoba</v>
      </c>
      <c r="J1033" s="61" t="str">
        <f aca="false">INDEX(Parametros!$C$95:$C$106,MATCH(TRIM(INDEX(Datos_Origen!$E$2:$E$2459,$Z1033)),Parametros!$B$95:$B$106,0))</f>
        <v>E-commerce</v>
      </c>
      <c r="K1033" s="61" t="str">
        <f aca="false">INDEX(Parametros!$C$48:$C$67,MATCH(TRIM(INDEX(Datos_Origen!$F$2:$F$2459,$Z1033)),Parametros!$B$48:$B$67,0))</f>
        <v>Accesorios</v>
      </c>
      <c r="L1033" s="61" t="str">
        <f aca="false">$K1033&amp;" "&amp;$C1033</f>
        <v>Accesorios 2024</v>
      </c>
      <c r="M1033" s="61" t="str">
        <f aca="false">TRIM(INDEX(Datos_Origen!$G$2:$G$2459,$Z1033))</f>
        <v>Webcam Full HD</v>
      </c>
      <c r="N1033" s="61" t="str">
        <f aca="false">$M1033&amp;" "&amp;$C1033</f>
        <v>Webcam Full HD 2024</v>
      </c>
      <c r="O1033" s="63" t="n">
        <f aca="false">IF(ISTEXT($AC1033),VALUE($AC1033),$AC1033)</f>
        <v>24</v>
      </c>
      <c r="P1033" s="64" t="n">
        <f aca="false">INDEX(Datos_Origen!$I$2:$I$2459,$Z1033)</f>
        <v>63.7</v>
      </c>
      <c r="Q1033" s="64" t="n">
        <f aca="false">INDEX(Datos_Origen!$J$2:$J$2459,$Z1033)</f>
        <v>35.43</v>
      </c>
      <c r="R1033" s="65" t="n">
        <f aca="false">ROUND($O1033*$P1033,2)</f>
        <v>1528.8</v>
      </c>
      <c r="S1033" s="65" t="n">
        <f aca="false">ROUND($O1033*$Q1033,2)</f>
        <v>850.32</v>
      </c>
      <c r="T1033" s="65" t="n">
        <f aca="false">ROUND($R1033*SUMIFS(Parametros!$E$28:$E$43,Parametros!$B$28:$B$43,$J1033,Parametros!$C$28:$C$43,$C1033,Parametros!$D$28:$D$43,$D1033),2)</f>
        <v>73.38</v>
      </c>
      <c r="U1033" s="65" t="n">
        <f aca="false">$R1033-$S1033-$T1033</f>
        <v>605.1</v>
      </c>
      <c r="V1033" s="66" t="n">
        <f aca="false">IFERROR($U1033/$R1033,0)</f>
        <v>0.395800627943485</v>
      </c>
      <c r="W1033" s="67" t="str">
        <f aca="false">IF(AND($V1033&gt;=Parametros!$C$8,$R1033&gt;=Parametros!$C$12),"Alta rentabilidad",IF(OR($V1033&lt;Parametros!$C$11,$R1033&lt;Parametros!$C$13),"Revisar","Estandar"))</f>
        <v>Estandar</v>
      </c>
      <c r="X1033" s="67" t="str">
        <f aca="false">IF(AND($J1033="E-commerce",IFERROR($T1033/$R1033,0)&gt;Parametros!$C$14),"Alerta","OK")</f>
        <v>OK</v>
      </c>
      <c r="Y1033" s="61" t="str">
        <f aca="false">IF($R1033&gt;=Parametros!$C$12,"Alto",IF($R1033&lt;Parametros!$C$13,"Bajo","Medio"))</f>
        <v>Medio</v>
      </c>
      <c r="Z1033" s="61" t="n">
        <v>1547</v>
      </c>
      <c r="AA1033" s="61" t="str">
        <f aca="false">IF(MATCH($A1033,Datos_Origen!$A$2:$A$2459,0)=$Z1033,"OK","REVISAR")</f>
        <v>OK</v>
      </c>
      <c r="AB1033" s="61" t="str">
        <f aca="false">INDEX(Datos_Origen!$B$2:$B$2459,$Z1033)</f>
        <v>16/11/2024</v>
      </c>
      <c r="AC1033" s="61" t="n">
        <f aca="false">INDEX(Datos_Origen!$H$2:$H$2459,$Z1033)</f>
        <v>24</v>
      </c>
      <c r="AD1033" s="61" t="str">
        <f aca="false">INDEX(Datos_Origen!$D$2:$D$2459,$Z1033)&amp;""</f>
        <v>Cordoba</v>
      </c>
    </row>
    <row r="1034" customFormat="false" ht="15" hidden="false" customHeight="false" outlineLevel="0" collapsed="false">
      <c r="A1034" s="61" t="n">
        <f aca="false">INDEX(Datos_Origen!$A$2:$A$2459,$Z1034)</f>
        <v>1033</v>
      </c>
      <c r="B1034" s="62" t="n">
        <f aca="false">IF(ISNUMBER($AB1034),$AB1034,IF(MID($AB1034,5,1)="-",DATE(VALUE(LEFT($AB1034,4)),VALUE(MID($AB1034,6,2)),VALUE(RIGHT($AB1034,2))),DATE(VALUE(RIGHT($AB1034,4)),VALUE(MID($AB1034,4,2)),VALUE(LEFT($AB1034,2)))))</f>
        <v>45619</v>
      </c>
      <c r="C1034" s="61" t="n">
        <f aca="false">YEAR($B1034)</f>
        <v>2024</v>
      </c>
      <c r="D1034" s="61" t="str">
        <f aca="false">"Q"&amp;ROUNDUP(MONTH($B1034)/3,0)</f>
        <v>Q4</v>
      </c>
      <c r="E1034" s="61" t="n">
        <f aca="false">MONTH($B1034)</f>
        <v>11</v>
      </c>
      <c r="F1034" s="61" t="str">
        <f aca="false">INDEX(Parametros!$I$5:$I$16,$E1034)</f>
        <v>Nov</v>
      </c>
      <c r="G1034" s="61" t="str">
        <f aca="false">TEXT($C1034,"0000")&amp;"-"&amp;TEXT($E1034,"00")</f>
        <v>2024-11</v>
      </c>
      <c r="H1034" s="61" t="str">
        <f aca="false">INDEX(Parametros!$C$71:$C$91,MATCH(TRIM(INDEX(Datos_Origen!$C$2:$C$2459,$Z1034)),Parametros!$B$71:$B$91,0))</f>
        <v>Centro</v>
      </c>
      <c r="I1034" s="61" t="str">
        <f aca="false">IF(TRIM($AD1034)="",INDEX(Parametros!$I$20:$I$24,MATCH($H1034,Parametros!$H$20:$H$24,0)),TRIM($AD1034))</f>
        <v>Cordoba</v>
      </c>
      <c r="J1034" s="61" t="str">
        <f aca="false">INDEX(Parametros!$C$95:$C$106,MATCH(TRIM(INDEX(Datos_Origen!$E$2:$E$2459,$Z1034)),Parametros!$B$95:$B$106,0))</f>
        <v>Tienda fisica</v>
      </c>
      <c r="K1034" s="61" t="str">
        <f aca="false">INDEX(Parametros!$C$48:$C$67,MATCH(TRIM(INDEX(Datos_Origen!$F$2:$F$2459,$Z1034)),Parametros!$B$48:$B$67,0))</f>
        <v>Audio</v>
      </c>
      <c r="L1034" s="61" t="str">
        <f aca="false">$K1034&amp;" "&amp;$C1034</f>
        <v>Audio 2024</v>
      </c>
      <c r="M1034" s="61" t="str">
        <f aca="false">TRIM(INDEX(Datos_Origen!$G$2:$G$2459,$Z1034))</f>
        <v>Auriculares BT Pro</v>
      </c>
      <c r="N1034" s="61" t="str">
        <f aca="false">$M1034&amp;" "&amp;$C1034</f>
        <v>Auriculares BT Pro 2024</v>
      </c>
      <c r="O1034" s="63" t="n">
        <f aca="false">IF(ISTEXT($AC1034),VALUE($AC1034),$AC1034)</f>
        <v>32</v>
      </c>
      <c r="P1034" s="64" t="n">
        <f aca="false">INDEX(Datos_Origen!$I$2:$I$2459,$Z1034)</f>
        <v>117.6</v>
      </c>
      <c r="Q1034" s="64" t="n">
        <f aca="false">INDEX(Datos_Origen!$J$2:$J$2459,$Z1034)</f>
        <v>63.6</v>
      </c>
      <c r="R1034" s="65" t="n">
        <f aca="false">ROUND($O1034*$P1034,2)</f>
        <v>3763.2</v>
      </c>
      <c r="S1034" s="65" t="n">
        <f aca="false">ROUND($O1034*$Q1034,2)</f>
        <v>2035.2</v>
      </c>
      <c r="T1034" s="65" t="n">
        <f aca="false">ROUND($R1034*SUMIFS(Parametros!$E$28:$E$43,Parametros!$B$28:$B$43,$J1034,Parametros!$C$28:$C$43,$C1034,Parametros!$D$28:$D$43,$D1034),2)</f>
        <v>48.92</v>
      </c>
      <c r="U1034" s="65" t="n">
        <f aca="false">$R1034-$S1034-$T1034</f>
        <v>1679.08</v>
      </c>
      <c r="V1034" s="66" t="n">
        <f aca="false">IFERROR($U1034/$R1034,0)</f>
        <v>0.446184098639456</v>
      </c>
      <c r="W1034" s="67" t="str">
        <f aca="false">IF(AND($V1034&gt;=Parametros!$C$8,$R1034&gt;=Parametros!$C$12),"Alta rentabilidad",IF(OR($V1034&lt;Parametros!$C$11,$R1034&lt;Parametros!$C$13),"Revisar","Estandar"))</f>
        <v>Alta rentabilidad</v>
      </c>
      <c r="X1034" s="67" t="str">
        <f aca="false">IF(AND($J1034="E-commerce",IFERROR($T1034/$R1034,0)&gt;Parametros!$C$14),"Alerta","OK")</f>
        <v>OK</v>
      </c>
      <c r="Y1034" s="61" t="str">
        <f aca="false">IF($R1034&gt;=Parametros!$C$12,"Alto",IF($R1034&lt;Parametros!$C$13,"Bajo","Medio"))</f>
        <v>Alto</v>
      </c>
      <c r="Z1034" s="61" t="n">
        <v>1110</v>
      </c>
      <c r="AA1034" s="61" t="str">
        <f aca="false">IF(MATCH($A1034,Datos_Origen!$A$2:$A$2459,0)=$Z1034,"OK","REVISAR")</f>
        <v>OK</v>
      </c>
      <c r="AB1034" s="61" t="str">
        <f aca="false">INDEX(Datos_Origen!$B$2:$B$2459,$Z1034)</f>
        <v>23/11/2024</v>
      </c>
      <c r="AC1034" s="61" t="n">
        <f aca="false">INDEX(Datos_Origen!$H$2:$H$2459,$Z1034)</f>
        <v>32</v>
      </c>
      <c r="AD1034" s="61" t="str">
        <f aca="false">INDEX(Datos_Origen!$D$2:$D$2459,$Z1034)&amp;""</f>
        <v>Cordoba</v>
      </c>
    </row>
    <row r="1035" customFormat="false" ht="15" hidden="false" customHeight="false" outlineLevel="0" collapsed="false">
      <c r="A1035" s="61" t="n">
        <f aca="false">INDEX(Datos_Origen!$A$2:$A$2459,$Z1035)</f>
        <v>1034</v>
      </c>
      <c r="B1035" s="62" t="n">
        <f aca="false">IF(ISNUMBER($AB1035),$AB1035,IF(MID($AB1035,5,1)="-",DATE(VALUE(LEFT($AB1035,4)),VALUE(MID($AB1035,6,2)),VALUE(RIGHT($AB1035,2))),DATE(VALUE(RIGHT($AB1035,4)),VALUE(MID($AB1035,4,2)),VALUE(LEFT($AB1035,2)))))</f>
        <v>45599</v>
      </c>
      <c r="C1035" s="61" t="n">
        <f aca="false">YEAR($B1035)</f>
        <v>2024</v>
      </c>
      <c r="D1035" s="61" t="str">
        <f aca="false">"Q"&amp;ROUNDUP(MONTH($B1035)/3,0)</f>
        <v>Q4</v>
      </c>
      <c r="E1035" s="61" t="n">
        <f aca="false">MONTH($B1035)</f>
        <v>11</v>
      </c>
      <c r="F1035" s="61" t="str">
        <f aca="false">INDEX(Parametros!$I$5:$I$16,$E1035)</f>
        <v>Nov</v>
      </c>
      <c r="G1035" s="61" t="str">
        <f aca="false">TEXT($C1035,"0000")&amp;"-"&amp;TEXT($E1035,"00")</f>
        <v>2024-11</v>
      </c>
      <c r="H1035" s="61" t="str">
        <f aca="false">INDEX(Parametros!$C$71:$C$91,MATCH(TRIM(INDEX(Datos_Origen!$C$2:$C$2459,$Z1035)),Parametros!$B$71:$B$91,0))</f>
        <v>Centro</v>
      </c>
      <c r="I1035" s="61" t="str">
        <f aca="false">IF(TRIM($AD1035)="",INDEX(Parametros!$I$20:$I$24,MATCH($H1035,Parametros!$H$20:$H$24,0)),TRIM($AD1035))</f>
        <v>Cordoba</v>
      </c>
      <c r="J1035" s="61" t="str">
        <f aca="false">INDEX(Parametros!$C$95:$C$106,MATCH(TRIM(INDEX(Datos_Origen!$E$2:$E$2459,$Z1035)),Parametros!$B$95:$B$106,0))</f>
        <v>E-commerce</v>
      </c>
      <c r="K1035" s="61" t="str">
        <f aca="false">INDEX(Parametros!$C$48:$C$67,MATCH(TRIM(INDEX(Datos_Origen!$F$2:$F$2459,$Z1035)),Parametros!$B$48:$B$67,0))</f>
        <v>Audio</v>
      </c>
      <c r="L1035" s="61" t="str">
        <f aca="false">$K1035&amp;" "&amp;$C1035</f>
        <v>Audio 2024</v>
      </c>
      <c r="M1035" s="61" t="str">
        <f aca="false">TRIM(INDEX(Datos_Origen!$G$2:$G$2459,$Z1035))</f>
        <v>Auriculares BT Pro</v>
      </c>
      <c r="N1035" s="61" t="str">
        <f aca="false">$M1035&amp;" "&amp;$C1035</f>
        <v>Auriculares BT Pro 2024</v>
      </c>
      <c r="O1035" s="63" t="n">
        <f aca="false">IF(ISTEXT($AC1035),VALUE($AC1035),$AC1035)</f>
        <v>13</v>
      </c>
      <c r="P1035" s="64" t="n">
        <f aca="false">INDEX(Datos_Origen!$I$2:$I$2459,$Z1035)</f>
        <v>117.6</v>
      </c>
      <c r="Q1035" s="64" t="n">
        <f aca="false">INDEX(Datos_Origen!$J$2:$J$2459,$Z1035)</f>
        <v>63.6</v>
      </c>
      <c r="R1035" s="65" t="n">
        <f aca="false">ROUND($O1035*$P1035,2)</f>
        <v>1528.8</v>
      </c>
      <c r="S1035" s="65" t="n">
        <f aca="false">ROUND($O1035*$Q1035,2)</f>
        <v>826.8</v>
      </c>
      <c r="T1035" s="65" t="n">
        <f aca="false">ROUND($R1035*SUMIFS(Parametros!$E$28:$E$43,Parametros!$B$28:$B$43,$J1035,Parametros!$C$28:$C$43,$C1035,Parametros!$D$28:$D$43,$D1035),2)</f>
        <v>73.38</v>
      </c>
      <c r="U1035" s="65" t="n">
        <f aca="false">$R1035-$S1035-$T1035</f>
        <v>628.62</v>
      </c>
      <c r="V1035" s="66" t="n">
        <f aca="false">IFERROR($U1035/$R1035,0)</f>
        <v>0.4111852433281</v>
      </c>
      <c r="W1035" s="67" t="str">
        <f aca="false">IF(AND($V1035&gt;=Parametros!$C$8,$R1035&gt;=Parametros!$C$12),"Alta rentabilidad",IF(OR($V1035&lt;Parametros!$C$11,$R1035&lt;Parametros!$C$13),"Revisar","Estandar"))</f>
        <v>Estandar</v>
      </c>
      <c r="X1035" s="67" t="str">
        <f aca="false">IF(AND($J1035="E-commerce",IFERROR($T1035/$R1035,0)&gt;Parametros!$C$14),"Alerta","OK")</f>
        <v>OK</v>
      </c>
      <c r="Y1035" s="61" t="str">
        <f aca="false">IF($R1035&gt;=Parametros!$C$12,"Alto",IF($R1035&lt;Parametros!$C$13,"Bajo","Medio"))</f>
        <v>Medio</v>
      </c>
      <c r="Z1035" s="61" t="n">
        <v>269</v>
      </c>
      <c r="AA1035" s="61" t="str">
        <f aca="false">IF(MATCH($A1035,Datos_Origen!$A$2:$A$2459,0)=$Z1035,"OK","REVISAR")</f>
        <v>OK</v>
      </c>
      <c r="AB1035" s="61" t="str">
        <f aca="false">INDEX(Datos_Origen!$B$2:$B$2459,$Z1035)</f>
        <v>03/11/2024</v>
      </c>
      <c r="AC1035" s="61" t="n">
        <f aca="false">INDEX(Datos_Origen!$H$2:$H$2459,$Z1035)</f>
        <v>13</v>
      </c>
      <c r="AD1035" s="61" t="str">
        <f aca="false">INDEX(Datos_Origen!$D$2:$D$2459,$Z1035)&amp;""</f>
        <v>Cordoba</v>
      </c>
    </row>
    <row r="1036" customFormat="false" ht="15" hidden="false" customHeight="false" outlineLevel="0" collapsed="false">
      <c r="A1036" s="61" t="n">
        <f aca="false">INDEX(Datos_Origen!$A$2:$A$2459,$Z1036)</f>
        <v>1035</v>
      </c>
      <c r="B1036" s="62" t="n">
        <f aca="false">IF(ISNUMBER($AB1036),$AB1036,IF(MID($AB1036,5,1)="-",DATE(VALUE(LEFT($AB1036,4)),VALUE(MID($AB1036,6,2)),VALUE(RIGHT($AB1036,2))),DATE(VALUE(RIGHT($AB1036,4)),VALUE(MID($AB1036,4,2)),VALUE(LEFT($AB1036,2)))))</f>
        <v>45606</v>
      </c>
      <c r="C1036" s="61" t="n">
        <f aca="false">YEAR($B1036)</f>
        <v>2024</v>
      </c>
      <c r="D1036" s="61" t="str">
        <f aca="false">"Q"&amp;ROUNDUP(MONTH($B1036)/3,0)</f>
        <v>Q4</v>
      </c>
      <c r="E1036" s="61" t="n">
        <f aca="false">MONTH($B1036)</f>
        <v>11</v>
      </c>
      <c r="F1036" s="61" t="str">
        <f aca="false">INDEX(Parametros!$I$5:$I$16,$E1036)</f>
        <v>Nov</v>
      </c>
      <c r="G1036" s="61" t="str">
        <f aca="false">TEXT($C1036,"0000")&amp;"-"&amp;TEXT($E1036,"00")</f>
        <v>2024-11</v>
      </c>
      <c r="H1036" s="61" t="str">
        <f aca="false">INDEX(Parametros!$C$71:$C$91,MATCH(TRIM(INDEX(Datos_Origen!$C$2:$C$2459,$Z1036)),Parametros!$B$71:$B$91,0))</f>
        <v>Centro</v>
      </c>
      <c r="I1036" s="61" t="str">
        <f aca="false">IF(TRIM($AD1036)="",INDEX(Parametros!$I$20:$I$24,MATCH($H1036,Parametros!$H$20:$H$24,0)),TRIM($AD1036))</f>
        <v>Cordoba</v>
      </c>
      <c r="J1036" s="61" t="str">
        <f aca="false">INDEX(Parametros!$C$95:$C$106,MATCH(TRIM(INDEX(Datos_Origen!$E$2:$E$2459,$Z1036)),Parametros!$B$95:$B$106,0))</f>
        <v>Tienda fisica</v>
      </c>
      <c r="K1036" s="61" t="str">
        <f aca="false">INDEX(Parametros!$C$48:$C$67,MATCH(TRIM(INDEX(Datos_Origen!$F$2:$F$2459,$Z1036)),Parametros!$B$48:$B$67,0))</f>
        <v>Audio</v>
      </c>
      <c r="L1036" s="61" t="str">
        <f aca="false">$K1036&amp;" "&amp;$C1036</f>
        <v>Audio 2024</v>
      </c>
      <c r="M1036" s="61" t="str">
        <f aca="false">TRIM(INDEX(Datos_Origen!$G$2:$G$2459,$Z1036))</f>
        <v>Parlante Bluetooth</v>
      </c>
      <c r="N1036" s="61" t="str">
        <f aca="false">$M1036&amp;" "&amp;$C1036</f>
        <v>Parlante Bluetooth 2024</v>
      </c>
      <c r="O1036" s="63" t="n">
        <f aca="false">IF(ISTEXT($AC1036),VALUE($AC1036),$AC1036)</f>
        <v>30</v>
      </c>
      <c r="P1036" s="64" t="n">
        <f aca="false">INDEX(Datos_Origen!$I$2:$I$2459,$Z1036)</f>
        <v>83.3</v>
      </c>
      <c r="Q1036" s="64" t="n">
        <f aca="false">INDEX(Datos_Origen!$J$2:$J$2459,$Z1036)</f>
        <v>48.03</v>
      </c>
      <c r="R1036" s="65" t="n">
        <f aca="false">ROUND($O1036*$P1036,2)</f>
        <v>2499</v>
      </c>
      <c r="S1036" s="65" t="n">
        <f aca="false">ROUND($O1036*$Q1036,2)</f>
        <v>1440.9</v>
      </c>
      <c r="T1036" s="65" t="n">
        <f aca="false">ROUND($R1036*SUMIFS(Parametros!$E$28:$E$43,Parametros!$B$28:$B$43,$J1036,Parametros!$C$28:$C$43,$C1036,Parametros!$D$28:$D$43,$D1036),2)</f>
        <v>32.49</v>
      </c>
      <c r="U1036" s="65" t="n">
        <f aca="false">$R1036-$S1036-$T1036</f>
        <v>1025.61</v>
      </c>
      <c r="V1036" s="66" t="n">
        <f aca="false">IFERROR($U1036/$R1036,0)</f>
        <v>0.410408163265306</v>
      </c>
      <c r="W1036" s="67" t="str">
        <f aca="false">IF(AND($V1036&gt;=Parametros!$C$8,$R1036&gt;=Parametros!$C$12),"Alta rentabilidad",IF(OR($V1036&lt;Parametros!$C$11,$R1036&lt;Parametros!$C$13),"Revisar","Estandar"))</f>
        <v>Estandar</v>
      </c>
      <c r="X1036" s="67" t="str">
        <f aca="false">IF(AND($J1036="E-commerce",IFERROR($T1036/$R1036,0)&gt;Parametros!$C$14),"Alerta","OK")</f>
        <v>OK</v>
      </c>
      <c r="Y1036" s="61" t="str">
        <f aca="false">IF($R1036&gt;=Parametros!$C$12,"Alto",IF($R1036&lt;Parametros!$C$13,"Bajo","Medio"))</f>
        <v>Medio</v>
      </c>
      <c r="Z1036" s="61" t="n">
        <v>393</v>
      </c>
      <c r="AA1036" s="61" t="str">
        <f aca="false">IF(MATCH($A1036,Datos_Origen!$A$2:$A$2459,0)=$Z1036,"OK","REVISAR")</f>
        <v>OK</v>
      </c>
      <c r="AB1036" s="62" t="n">
        <f aca="false">INDEX(Datos_Origen!$B$2:$B$2459,$Z1036)</f>
        <v>45606</v>
      </c>
      <c r="AC1036" s="61" t="n">
        <f aca="false">INDEX(Datos_Origen!$H$2:$H$2459,$Z1036)</f>
        <v>30</v>
      </c>
      <c r="AD1036" s="61" t="str">
        <f aca="false">INDEX(Datos_Origen!$D$2:$D$2459,$Z1036)&amp;""</f>
        <v>Cordoba</v>
      </c>
    </row>
    <row r="1037" customFormat="false" ht="15" hidden="false" customHeight="false" outlineLevel="0" collapsed="false">
      <c r="A1037" s="61" t="n">
        <f aca="false">INDEX(Datos_Origen!$A$2:$A$2459,$Z1037)</f>
        <v>1036</v>
      </c>
      <c r="B1037" s="62" t="n">
        <f aca="false">IF(ISNUMBER($AB1037),$AB1037,IF(MID($AB1037,5,1)="-",DATE(VALUE(LEFT($AB1037,4)),VALUE(MID($AB1037,6,2)),VALUE(RIGHT($AB1037,2))),DATE(VALUE(RIGHT($AB1037,4)),VALUE(MID($AB1037,4,2)),VALUE(LEFT($AB1037,2)))))</f>
        <v>45613</v>
      </c>
      <c r="C1037" s="61" t="n">
        <f aca="false">YEAR($B1037)</f>
        <v>2024</v>
      </c>
      <c r="D1037" s="61" t="str">
        <f aca="false">"Q"&amp;ROUNDUP(MONTH($B1037)/3,0)</f>
        <v>Q4</v>
      </c>
      <c r="E1037" s="61" t="n">
        <f aca="false">MONTH($B1037)</f>
        <v>11</v>
      </c>
      <c r="F1037" s="61" t="str">
        <f aca="false">INDEX(Parametros!$I$5:$I$16,$E1037)</f>
        <v>Nov</v>
      </c>
      <c r="G1037" s="61" t="str">
        <f aca="false">TEXT($C1037,"0000")&amp;"-"&amp;TEXT($E1037,"00")</f>
        <v>2024-11</v>
      </c>
      <c r="H1037" s="61" t="str">
        <f aca="false">INDEX(Parametros!$C$71:$C$91,MATCH(TRIM(INDEX(Datos_Origen!$C$2:$C$2459,$Z1037)),Parametros!$B$71:$B$91,0))</f>
        <v>Centro</v>
      </c>
      <c r="I1037" s="61" t="str">
        <f aca="false">IF(TRIM($AD1037)="",INDEX(Parametros!$I$20:$I$24,MATCH($H1037,Parametros!$H$20:$H$24,0)),TRIM($AD1037))</f>
        <v>Cordoba</v>
      </c>
      <c r="J1037" s="61" t="str">
        <f aca="false">INDEX(Parametros!$C$95:$C$106,MATCH(TRIM(INDEX(Datos_Origen!$E$2:$E$2459,$Z1037)),Parametros!$B$95:$B$106,0))</f>
        <v>E-commerce</v>
      </c>
      <c r="K1037" s="61" t="str">
        <f aca="false">INDEX(Parametros!$C$48:$C$67,MATCH(TRIM(INDEX(Datos_Origen!$F$2:$F$2459,$Z1037)),Parametros!$B$48:$B$67,0))</f>
        <v>Audio</v>
      </c>
      <c r="L1037" s="61" t="str">
        <f aca="false">$K1037&amp;" "&amp;$C1037</f>
        <v>Audio 2024</v>
      </c>
      <c r="M1037" s="61" t="str">
        <f aca="false">TRIM(INDEX(Datos_Origen!$G$2:$G$2459,$Z1037))</f>
        <v>Parlante Bluetooth</v>
      </c>
      <c r="N1037" s="61" t="str">
        <f aca="false">$M1037&amp;" "&amp;$C1037</f>
        <v>Parlante Bluetooth 2024</v>
      </c>
      <c r="O1037" s="63" t="n">
        <f aca="false">IF(ISTEXT($AC1037),VALUE($AC1037),$AC1037)</f>
        <v>14</v>
      </c>
      <c r="P1037" s="64" t="n">
        <f aca="false">INDEX(Datos_Origen!$I$2:$I$2459,$Z1037)</f>
        <v>83.3</v>
      </c>
      <c r="Q1037" s="64" t="n">
        <f aca="false">INDEX(Datos_Origen!$J$2:$J$2459,$Z1037)</f>
        <v>48.03</v>
      </c>
      <c r="R1037" s="65" t="n">
        <f aca="false">ROUND($O1037*$P1037,2)</f>
        <v>1166.2</v>
      </c>
      <c r="S1037" s="65" t="n">
        <f aca="false">ROUND($O1037*$Q1037,2)</f>
        <v>672.42</v>
      </c>
      <c r="T1037" s="65" t="n">
        <f aca="false">ROUND($R1037*SUMIFS(Parametros!$E$28:$E$43,Parametros!$B$28:$B$43,$J1037,Parametros!$C$28:$C$43,$C1037,Parametros!$D$28:$D$43,$D1037),2)</f>
        <v>55.98</v>
      </c>
      <c r="U1037" s="65" t="n">
        <f aca="false">$R1037-$S1037-$T1037</f>
        <v>437.8</v>
      </c>
      <c r="V1037" s="66" t="n">
        <f aca="false">IFERROR($U1037/$R1037,0)</f>
        <v>0.375407305779455</v>
      </c>
      <c r="W1037" s="67" t="str">
        <f aca="false">IF(AND($V1037&gt;=Parametros!$C$8,$R1037&gt;=Parametros!$C$12),"Alta rentabilidad",IF(OR($V1037&lt;Parametros!$C$11,$R1037&lt;Parametros!$C$13),"Revisar","Estandar"))</f>
        <v>Estandar</v>
      </c>
      <c r="X1037" s="67" t="str">
        <f aca="false">IF(AND($J1037="E-commerce",IFERROR($T1037/$R1037,0)&gt;Parametros!$C$14),"Alerta","OK")</f>
        <v>OK</v>
      </c>
      <c r="Y1037" s="61" t="str">
        <f aca="false">IF($R1037&gt;=Parametros!$C$12,"Alto",IF($R1037&lt;Parametros!$C$13,"Bajo","Medio"))</f>
        <v>Medio</v>
      </c>
      <c r="Z1037" s="61" t="n">
        <v>1261</v>
      </c>
      <c r="AA1037" s="61" t="str">
        <f aca="false">IF(MATCH($A1037,Datos_Origen!$A$2:$A$2459,0)=$Z1037,"OK","REVISAR")</f>
        <v>OK</v>
      </c>
      <c r="AB1037" s="62" t="n">
        <f aca="false">INDEX(Datos_Origen!$B$2:$B$2459,$Z1037)</f>
        <v>45613</v>
      </c>
      <c r="AC1037" s="61" t="n">
        <f aca="false">INDEX(Datos_Origen!$H$2:$H$2459,$Z1037)</f>
        <v>14</v>
      </c>
      <c r="AD1037" s="61" t="str">
        <f aca="false">INDEX(Datos_Origen!$D$2:$D$2459,$Z1037)&amp;""</f>
        <v>Cordoba</v>
      </c>
    </row>
    <row r="1038" customFormat="false" ht="15" hidden="false" customHeight="false" outlineLevel="0" collapsed="false">
      <c r="A1038" s="61" t="n">
        <f aca="false">INDEX(Datos_Origen!$A$2:$A$2459,$Z1038)</f>
        <v>1037</v>
      </c>
      <c r="B1038" s="62" t="n">
        <f aca="false">IF(ISNUMBER($AB1038),$AB1038,IF(MID($AB1038,5,1)="-",DATE(VALUE(LEFT($AB1038,4)),VALUE(MID($AB1038,6,2)),VALUE(RIGHT($AB1038,2))),DATE(VALUE(RIGHT($AB1038,4)),VALUE(MID($AB1038,4,2)),VALUE(LEFT($AB1038,2)))))</f>
        <v>45620</v>
      </c>
      <c r="C1038" s="61" t="n">
        <f aca="false">YEAR($B1038)</f>
        <v>2024</v>
      </c>
      <c r="D1038" s="61" t="str">
        <f aca="false">"Q"&amp;ROUNDUP(MONTH($B1038)/3,0)</f>
        <v>Q4</v>
      </c>
      <c r="E1038" s="61" t="n">
        <f aca="false">MONTH($B1038)</f>
        <v>11</v>
      </c>
      <c r="F1038" s="61" t="str">
        <f aca="false">INDEX(Parametros!$I$5:$I$16,$E1038)</f>
        <v>Nov</v>
      </c>
      <c r="G1038" s="61" t="str">
        <f aca="false">TEXT($C1038,"0000")&amp;"-"&amp;TEXT($E1038,"00")</f>
        <v>2024-11</v>
      </c>
      <c r="H1038" s="61" t="str">
        <f aca="false">INDEX(Parametros!$C$71:$C$91,MATCH(TRIM(INDEX(Datos_Origen!$C$2:$C$2459,$Z1038)),Parametros!$B$71:$B$91,0))</f>
        <v>Centro</v>
      </c>
      <c r="I1038" s="61" t="str">
        <f aca="false">IF(TRIM($AD1038)="",INDEX(Parametros!$I$20:$I$24,MATCH($H1038,Parametros!$H$20:$H$24,0)),TRIM($AD1038))</f>
        <v>Cordoba</v>
      </c>
      <c r="J1038" s="61" t="str">
        <f aca="false">INDEX(Parametros!$C$95:$C$106,MATCH(TRIM(INDEX(Datos_Origen!$E$2:$E$2459,$Z1038)),Parametros!$B$95:$B$106,0))</f>
        <v>Tienda fisica</v>
      </c>
      <c r="K1038" s="61" t="str">
        <f aca="false">INDEX(Parametros!$C$48:$C$67,MATCH(TRIM(INDEX(Datos_Origen!$F$2:$F$2459,$Z1038)),Parametros!$B$48:$B$67,0))</f>
        <v>Almacenamiento</v>
      </c>
      <c r="L1038" s="61" t="str">
        <f aca="false">$K1038&amp;" "&amp;$C1038</f>
        <v>Almacenamiento 2024</v>
      </c>
      <c r="M1038" s="61" t="str">
        <f aca="false">TRIM(INDEX(Datos_Origen!$G$2:$G$2459,$Z1038))</f>
        <v>SSD Externo 1TB</v>
      </c>
      <c r="N1038" s="61" t="str">
        <f aca="false">$M1038&amp;" "&amp;$C1038</f>
        <v>SSD Externo 1TB 2024</v>
      </c>
      <c r="O1038" s="63" t="n">
        <f aca="false">IF(ISTEXT($AC1038),VALUE($AC1038),$AC1038)</f>
        <v>45</v>
      </c>
      <c r="P1038" s="64" t="n">
        <f aca="false">INDEX(Datos_Origen!$I$2:$I$2459,$Z1038)</f>
        <v>127.4</v>
      </c>
      <c r="Q1038" s="64" t="n">
        <f aca="false">INDEX(Datos_Origen!$J$2:$J$2459,$Z1038)</f>
        <v>76.05</v>
      </c>
      <c r="R1038" s="65" t="n">
        <f aca="false">ROUND($O1038*$P1038,2)</f>
        <v>5733</v>
      </c>
      <c r="S1038" s="65" t="n">
        <f aca="false">ROUND($O1038*$Q1038,2)</f>
        <v>3422.25</v>
      </c>
      <c r="T1038" s="65" t="n">
        <f aca="false">ROUND($R1038*SUMIFS(Parametros!$E$28:$E$43,Parametros!$B$28:$B$43,$J1038,Parametros!$C$28:$C$43,$C1038,Parametros!$D$28:$D$43,$D1038),2)</f>
        <v>74.53</v>
      </c>
      <c r="U1038" s="65" t="n">
        <f aca="false">$R1038-$S1038-$T1038</f>
        <v>2236.22</v>
      </c>
      <c r="V1038" s="66" t="n">
        <f aca="false">IFERROR($U1038/$R1038,0)</f>
        <v>0.39006105006105</v>
      </c>
      <c r="W1038" s="67" t="str">
        <f aca="false">IF(AND($V1038&gt;=Parametros!$C$8,$R1038&gt;=Parametros!$C$12),"Alta rentabilidad",IF(OR($V1038&lt;Parametros!$C$11,$R1038&lt;Parametros!$C$13),"Revisar","Estandar"))</f>
        <v>Alta rentabilidad</v>
      </c>
      <c r="X1038" s="67" t="str">
        <f aca="false">IF(AND($J1038="E-commerce",IFERROR($T1038/$R1038,0)&gt;Parametros!$C$14),"Alerta","OK")</f>
        <v>OK</v>
      </c>
      <c r="Y1038" s="61" t="str">
        <f aca="false">IF($R1038&gt;=Parametros!$C$12,"Alto",IF($R1038&lt;Parametros!$C$13,"Bajo","Medio"))</f>
        <v>Alto</v>
      </c>
      <c r="Z1038" s="61" t="n">
        <v>1930</v>
      </c>
      <c r="AA1038" s="61" t="str">
        <f aca="false">IF(MATCH($A1038,Datos_Origen!$A$2:$A$2459,0)=$Z1038,"OK","REVISAR")</f>
        <v>OK</v>
      </c>
      <c r="AB1038" s="61" t="str">
        <f aca="false">INDEX(Datos_Origen!$B$2:$B$2459,$Z1038)</f>
        <v>24/11/2024</v>
      </c>
      <c r="AC1038" s="61" t="n">
        <f aca="false">INDEX(Datos_Origen!$H$2:$H$2459,$Z1038)</f>
        <v>45</v>
      </c>
      <c r="AD1038" s="61" t="str">
        <f aca="false">INDEX(Datos_Origen!$D$2:$D$2459,$Z1038)&amp;""</f>
        <v>Cordoba</v>
      </c>
    </row>
    <row r="1039" customFormat="false" ht="15" hidden="false" customHeight="false" outlineLevel="0" collapsed="false">
      <c r="A1039" s="61" t="n">
        <f aca="false">INDEX(Datos_Origen!$A$2:$A$2459,$Z1039)</f>
        <v>1038</v>
      </c>
      <c r="B1039" s="62" t="n">
        <f aca="false">IF(ISNUMBER($AB1039),$AB1039,IF(MID($AB1039,5,1)="-",DATE(VALUE(LEFT($AB1039,4)),VALUE(MID($AB1039,6,2)),VALUE(RIGHT($AB1039,2))),DATE(VALUE(RIGHT($AB1039,4)),VALUE(MID($AB1039,4,2)),VALUE(LEFT($AB1039,2)))))</f>
        <v>45600</v>
      </c>
      <c r="C1039" s="61" t="n">
        <f aca="false">YEAR($B1039)</f>
        <v>2024</v>
      </c>
      <c r="D1039" s="61" t="str">
        <f aca="false">"Q"&amp;ROUNDUP(MONTH($B1039)/3,0)</f>
        <v>Q4</v>
      </c>
      <c r="E1039" s="61" t="n">
        <f aca="false">MONTH($B1039)</f>
        <v>11</v>
      </c>
      <c r="F1039" s="61" t="str">
        <f aca="false">INDEX(Parametros!$I$5:$I$16,$E1039)</f>
        <v>Nov</v>
      </c>
      <c r="G1039" s="61" t="str">
        <f aca="false">TEXT($C1039,"0000")&amp;"-"&amp;TEXT($E1039,"00")</f>
        <v>2024-11</v>
      </c>
      <c r="H1039" s="61" t="str">
        <f aca="false">INDEX(Parametros!$C$71:$C$91,MATCH(TRIM(INDEX(Datos_Origen!$C$2:$C$2459,$Z1039)),Parametros!$B$71:$B$91,0))</f>
        <v>Centro</v>
      </c>
      <c r="I1039" s="61" t="str">
        <f aca="false">IF(TRIM($AD1039)="",INDEX(Parametros!$I$20:$I$24,MATCH($H1039,Parametros!$H$20:$H$24,0)),TRIM($AD1039))</f>
        <v>Cordoba</v>
      </c>
      <c r="J1039" s="61" t="str">
        <f aca="false">INDEX(Parametros!$C$95:$C$106,MATCH(TRIM(INDEX(Datos_Origen!$E$2:$E$2459,$Z1039)),Parametros!$B$95:$B$106,0))</f>
        <v>E-commerce</v>
      </c>
      <c r="K1039" s="61" t="str">
        <f aca="false">INDEX(Parametros!$C$48:$C$67,MATCH(TRIM(INDEX(Datos_Origen!$F$2:$F$2459,$Z1039)),Parametros!$B$48:$B$67,0))</f>
        <v>Almacenamiento</v>
      </c>
      <c r="L1039" s="61" t="str">
        <f aca="false">$K1039&amp;" "&amp;$C1039</f>
        <v>Almacenamiento 2024</v>
      </c>
      <c r="M1039" s="61" t="str">
        <f aca="false">TRIM(INDEX(Datos_Origen!$G$2:$G$2459,$Z1039))</f>
        <v>SSD Externo 1TB</v>
      </c>
      <c r="N1039" s="61" t="str">
        <f aca="false">$M1039&amp;" "&amp;$C1039</f>
        <v>SSD Externo 1TB 2024</v>
      </c>
      <c r="O1039" s="63" t="n">
        <f aca="false">IF(ISTEXT($AC1039),VALUE($AC1039),$AC1039)</f>
        <v>18</v>
      </c>
      <c r="P1039" s="64" t="n">
        <f aca="false">INDEX(Datos_Origen!$I$2:$I$2459,$Z1039)</f>
        <v>127.4</v>
      </c>
      <c r="Q1039" s="64" t="n">
        <f aca="false">INDEX(Datos_Origen!$J$2:$J$2459,$Z1039)</f>
        <v>76.05</v>
      </c>
      <c r="R1039" s="65" t="n">
        <f aca="false">ROUND($O1039*$P1039,2)</f>
        <v>2293.2</v>
      </c>
      <c r="S1039" s="65" t="n">
        <f aca="false">ROUND($O1039*$Q1039,2)</f>
        <v>1368.9</v>
      </c>
      <c r="T1039" s="65" t="n">
        <f aca="false">ROUND($R1039*SUMIFS(Parametros!$E$28:$E$43,Parametros!$B$28:$B$43,$J1039,Parametros!$C$28:$C$43,$C1039,Parametros!$D$28:$D$43,$D1039),2)</f>
        <v>110.07</v>
      </c>
      <c r="U1039" s="65" t="n">
        <f aca="false">$R1039-$S1039-$T1039</f>
        <v>814.23</v>
      </c>
      <c r="V1039" s="66" t="n">
        <f aca="false">IFERROR($U1039/$R1039,0)</f>
        <v>0.355062794348509</v>
      </c>
      <c r="W1039" s="67" t="str">
        <f aca="false">IF(AND($V1039&gt;=Parametros!$C$8,$R1039&gt;=Parametros!$C$12),"Alta rentabilidad",IF(OR($V1039&lt;Parametros!$C$11,$R1039&lt;Parametros!$C$13),"Revisar","Estandar"))</f>
        <v>Estandar</v>
      </c>
      <c r="X1039" s="67" t="str">
        <f aca="false">IF(AND($J1039="E-commerce",IFERROR($T1039/$R1039,0)&gt;Parametros!$C$14),"Alerta","OK")</f>
        <v>OK</v>
      </c>
      <c r="Y1039" s="61" t="str">
        <f aca="false">IF($R1039&gt;=Parametros!$C$12,"Alto",IF($R1039&lt;Parametros!$C$13,"Bajo","Medio"))</f>
        <v>Medio</v>
      </c>
      <c r="Z1039" s="61" t="n">
        <v>2324</v>
      </c>
      <c r="AA1039" s="61" t="str">
        <f aca="false">IF(MATCH($A1039,Datos_Origen!$A$2:$A$2459,0)=$Z1039,"OK","REVISAR")</f>
        <v>OK</v>
      </c>
      <c r="AB1039" s="61" t="str">
        <f aca="false">INDEX(Datos_Origen!$B$2:$B$2459,$Z1039)</f>
        <v>04/11/2024</v>
      </c>
      <c r="AC1039" s="61" t="n">
        <f aca="false">INDEX(Datos_Origen!$H$2:$H$2459,$Z1039)</f>
        <v>18</v>
      </c>
      <c r="AD1039" s="61" t="str">
        <f aca="false">INDEX(Datos_Origen!$D$2:$D$2459,$Z1039)&amp;""</f>
        <v>Cordoba</v>
      </c>
    </row>
    <row r="1040" customFormat="false" ht="15" hidden="false" customHeight="false" outlineLevel="0" collapsed="false">
      <c r="A1040" s="61" t="n">
        <f aca="false">INDEX(Datos_Origen!$A$2:$A$2459,$Z1040)</f>
        <v>1039</v>
      </c>
      <c r="B1040" s="62" t="n">
        <f aca="false">IF(ISNUMBER($AB1040),$AB1040,IF(MID($AB1040,5,1)="-",DATE(VALUE(LEFT($AB1040,4)),VALUE(MID($AB1040,6,2)),VALUE(RIGHT($AB1040,2))),DATE(VALUE(RIGHT($AB1040,4)),VALUE(MID($AB1040,4,2)),VALUE(LEFT($AB1040,2)))))</f>
        <v>45607</v>
      </c>
      <c r="C1040" s="61" t="n">
        <f aca="false">YEAR($B1040)</f>
        <v>2024</v>
      </c>
      <c r="D1040" s="61" t="str">
        <f aca="false">"Q"&amp;ROUNDUP(MONTH($B1040)/3,0)</f>
        <v>Q4</v>
      </c>
      <c r="E1040" s="61" t="n">
        <f aca="false">MONTH($B1040)</f>
        <v>11</v>
      </c>
      <c r="F1040" s="61" t="str">
        <f aca="false">INDEX(Parametros!$I$5:$I$16,$E1040)</f>
        <v>Nov</v>
      </c>
      <c r="G1040" s="61" t="str">
        <f aca="false">TEXT($C1040,"0000")&amp;"-"&amp;TEXT($E1040,"00")</f>
        <v>2024-11</v>
      </c>
      <c r="H1040" s="61" t="str">
        <f aca="false">INDEX(Parametros!$C$71:$C$91,MATCH(TRIM(INDEX(Datos_Origen!$C$2:$C$2459,$Z1040)),Parametros!$B$71:$B$91,0))</f>
        <v>Centro</v>
      </c>
      <c r="I1040" s="61" t="str">
        <f aca="false">IF(TRIM($AD1040)="",INDEX(Parametros!$I$20:$I$24,MATCH($H1040,Parametros!$H$20:$H$24,0)),TRIM($AD1040))</f>
        <v>Cordoba</v>
      </c>
      <c r="J1040" s="61" t="str">
        <f aca="false">INDEX(Parametros!$C$95:$C$106,MATCH(TRIM(INDEX(Datos_Origen!$E$2:$E$2459,$Z1040)),Parametros!$B$95:$B$106,0))</f>
        <v>Tienda fisica</v>
      </c>
      <c r="K1040" s="61" t="str">
        <f aca="false">INDEX(Parametros!$C$48:$C$67,MATCH(TRIM(INDEX(Datos_Origen!$F$2:$F$2459,$Z1040)),Parametros!$B$48:$B$67,0))</f>
        <v>Almacenamiento</v>
      </c>
      <c r="L1040" s="61" t="str">
        <f aca="false">$K1040&amp;" "&amp;$C1040</f>
        <v>Almacenamiento 2024</v>
      </c>
      <c r="M1040" s="61" t="str">
        <f aca="false">TRIM(INDEX(Datos_Origen!$G$2:$G$2459,$Z1040))</f>
        <v>Pendrive 256GB</v>
      </c>
      <c r="N1040" s="61" t="str">
        <f aca="false">$M1040&amp;" "&amp;$C1040</f>
        <v>Pendrive 256GB 2024</v>
      </c>
      <c r="O1040" s="63" t="n">
        <f aca="false">IF(ISTEXT($AC1040),VALUE($AC1040),$AC1040)</f>
        <v>43</v>
      </c>
      <c r="P1040" s="64" t="n">
        <f aca="false">INDEX(Datos_Origen!$I$2:$I$2459,$Z1040)</f>
        <v>34.3</v>
      </c>
      <c r="Q1040" s="64" t="n">
        <f aca="false">INDEX(Datos_Origen!$J$2:$J$2459,$Z1040)</f>
        <v>17.85</v>
      </c>
      <c r="R1040" s="65" t="n">
        <f aca="false">ROUND($O1040*$P1040,2)</f>
        <v>1474.9</v>
      </c>
      <c r="S1040" s="65" t="n">
        <f aca="false">ROUND($O1040*$Q1040,2)</f>
        <v>767.55</v>
      </c>
      <c r="T1040" s="65" t="n">
        <f aca="false">ROUND($R1040*SUMIFS(Parametros!$E$28:$E$43,Parametros!$B$28:$B$43,$J1040,Parametros!$C$28:$C$43,$C1040,Parametros!$D$28:$D$43,$D1040),2)</f>
        <v>19.17</v>
      </c>
      <c r="U1040" s="65" t="n">
        <f aca="false">$R1040-$S1040-$T1040</f>
        <v>688.18</v>
      </c>
      <c r="V1040" s="66" t="n">
        <f aca="false">IFERROR($U1040/$R1040,0)</f>
        <v>0.466594345379348</v>
      </c>
      <c r="W1040" s="67" t="str">
        <f aca="false">IF(AND($V1040&gt;=Parametros!$C$8,$R1040&gt;=Parametros!$C$12),"Alta rentabilidad",IF(OR($V1040&lt;Parametros!$C$11,$R1040&lt;Parametros!$C$13),"Revisar","Estandar"))</f>
        <v>Estandar</v>
      </c>
      <c r="X1040" s="67" t="str">
        <f aca="false">IF(AND($J1040="E-commerce",IFERROR($T1040/$R1040,0)&gt;Parametros!$C$14),"Alerta","OK")</f>
        <v>OK</v>
      </c>
      <c r="Y1040" s="61" t="str">
        <f aca="false">IF($R1040&gt;=Parametros!$C$12,"Alto",IF($R1040&lt;Parametros!$C$13,"Bajo","Medio"))</f>
        <v>Medio</v>
      </c>
      <c r="Z1040" s="61" t="n">
        <v>532</v>
      </c>
      <c r="AA1040" s="61" t="str">
        <f aca="false">IF(MATCH($A1040,Datos_Origen!$A$2:$A$2459,0)=$Z1040,"OK","REVISAR")</f>
        <v>OK</v>
      </c>
      <c r="AB1040" s="62" t="n">
        <f aca="false">INDEX(Datos_Origen!$B$2:$B$2459,$Z1040)</f>
        <v>45607</v>
      </c>
      <c r="AC1040" s="61" t="n">
        <f aca="false">INDEX(Datos_Origen!$H$2:$H$2459,$Z1040)</f>
        <v>43</v>
      </c>
      <c r="AD1040" s="61" t="str">
        <f aca="false">INDEX(Datos_Origen!$D$2:$D$2459,$Z1040)&amp;""</f>
        <v>Cordoba</v>
      </c>
    </row>
    <row r="1041" customFormat="false" ht="15" hidden="false" customHeight="false" outlineLevel="0" collapsed="false">
      <c r="A1041" s="61" t="n">
        <f aca="false">INDEX(Datos_Origen!$A$2:$A$2459,$Z1041)</f>
        <v>1040</v>
      </c>
      <c r="B1041" s="62" t="n">
        <f aca="false">IF(ISNUMBER($AB1041),$AB1041,IF(MID($AB1041,5,1)="-",DATE(VALUE(LEFT($AB1041,4)),VALUE(MID($AB1041,6,2)),VALUE(RIGHT($AB1041,2))),DATE(VALUE(RIGHT($AB1041,4)),VALUE(MID($AB1041,4,2)),VALUE(LEFT($AB1041,2)))))</f>
        <v>45614</v>
      </c>
      <c r="C1041" s="61" t="n">
        <f aca="false">YEAR($B1041)</f>
        <v>2024</v>
      </c>
      <c r="D1041" s="61" t="str">
        <f aca="false">"Q"&amp;ROUNDUP(MONTH($B1041)/3,0)</f>
        <v>Q4</v>
      </c>
      <c r="E1041" s="61" t="n">
        <f aca="false">MONTH($B1041)</f>
        <v>11</v>
      </c>
      <c r="F1041" s="61" t="str">
        <f aca="false">INDEX(Parametros!$I$5:$I$16,$E1041)</f>
        <v>Nov</v>
      </c>
      <c r="G1041" s="61" t="str">
        <f aca="false">TEXT($C1041,"0000")&amp;"-"&amp;TEXT($E1041,"00")</f>
        <v>2024-11</v>
      </c>
      <c r="H1041" s="61" t="str">
        <f aca="false">INDEX(Parametros!$C$71:$C$91,MATCH(TRIM(INDEX(Datos_Origen!$C$2:$C$2459,$Z1041)),Parametros!$B$71:$B$91,0))</f>
        <v>Centro</v>
      </c>
      <c r="I1041" s="61" t="str">
        <f aca="false">IF(TRIM($AD1041)="",INDEX(Parametros!$I$20:$I$24,MATCH($H1041,Parametros!$H$20:$H$24,0)),TRIM($AD1041))</f>
        <v>Cordoba</v>
      </c>
      <c r="J1041" s="61" t="str">
        <f aca="false">INDEX(Parametros!$C$95:$C$106,MATCH(TRIM(INDEX(Datos_Origen!$E$2:$E$2459,$Z1041)),Parametros!$B$95:$B$106,0))</f>
        <v>E-commerce</v>
      </c>
      <c r="K1041" s="61" t="str">
        <f aca="false">INDEX(Parametros!$C$48:$C$67,MATCH(TRIM(INDEX(Datos_Origen!$F$2:$F$2459,$Z1041)),Parametros!$B$48:$B$67,0))</f>
        <v>Almacenamiento</v>
      </c>
      <c r="L1041" s="61" t="str">
        <f aca="false">$K1041&amp;" "&amp;$C1041</f>
        <v>Almacenamiento 2024</v>
      </c>
      <c r="M1041" s="61" t="str">
        <f aca="false">TRIM(INDEX(Datos_Origen!$G$2:$G$2459,$Z1041))</f>
        <v>Pendrive 256GB</v>
      </c>
      <c r="N1041" s="61" t="str">
        <f aca="false">$M1041&amp;" "&amp;$C1041</f>
        <v>Pendrive 256GB 2024</v>
      </c>
      <c r="O1041" s="63" t="n">
        <f aca="false">IF(ISTEXT($AC1041),VALUE($AC1041),$AC1041)</f>
        <v>17</v>
      </c>
      <c r="P1041" s="64" t="n">
        <f aca="false">INDEX(Datos_Origen!$I$2:$I$2459,$Z1041)</f>
        <v>34.3</v>
      </c>
      <c r="Q1041" s="64" t="n">
        <f aca="false">INDEX(Datos_Origen!$J$2:$J$2459,$Z1041)</f>
        <v>17.85</v>
      </c>
      <c r="R1041" s="65" t="n">
        <f aca="false">ROUND($O1041*$P1041,2)</f>
        <v>583.1</v>
      </c>
      <c r="S1041" s="65" t="n">
        <f aca="false">ROUND($O1041*$Q1041,2)</f>
        <v>303.45</v>
      </c>
      <c r="T1041" s="65" t="n">
        <f aca="false">ROUND($R1041*SUMIFS(Parametros!$E$28:$E$43,Parametros!$B$28:$B$43,$J1041,Parametros!$C$28:$C$43,$C1041,Parametros!$D$28:$D$43,$D1041),2)</f>
        <v>27.99</v>
      </c>
      <c r="U1041" s="65" t="n">
        <f aca="false">$R1041-$S1041-$T1041</f>
        <v>251.66</v>
      </c>
      <c r="V1041" s="66" t="n">
        <f aca="false">IFERROR($U1041/$R1041,0)</f>
        <v>0.43158977876865</v>
      </c>
      <c r="W1041" s="67" t="str">
        <f aca="false">IF(AND($V1041&gt;=Parametros!$C$8,$R1041&gt;=Parametros!$C$12),"Alta rentabilidad",IF(OR($V1041&lt;Parametros!$C$11,$R1041&lt;Parametros!$C$13),"Revisar","Estandar"))</f>
        <v>Estandar</v>
      </c>
      <c r="X1041" s="67" t="str">
        <f aca="false">IF(AND($J1041="E-commerce",IFERROR($T1041/$R1041,0)&gt;Parametros!$C$14),"Alerta","OK")</f>
        <v>OK</v>
      </c>
      <c r="Y1041" s="61" t="str">
        <f aca="false">IF($R1041&gt;=Parametros!$C$12,"Alto",IF($R1041&lt;Parametros!$C$13,"Bajo","Medio"))</f>
        <v>Medio</v>
      </c>
      <c r="Z1041" s="61" t="n">
        <v>2106</v>
      </c>
      <c r="AA1041" s="61" t="str">
        <f aca="false">IF(MATCH($A1041,Datos_Origen!$A$2:$A$2459,0)=$Z1041,"OK","REVISAR")</f>
        <v>OK</v>
      </c>
      <c r="AB1041" s="62" t="n">
        <f aca="false">INDEX(Datos_Origen!$B$2:$B$2459,$Z1041)</f>
        <v>45614</v>
      </c>
      <c r="AC1041" s="61" t="n">
        <f aca="false">INDEX(Datos_Origen!$H$2:$H$2459,$Z1041)</f>
        <v>17</v>
      </c>
      <c r="AD1041" s="61" t="str">
        <f aca="false">INDEX(Datos_Origen!$D$2:$D$2459,$Z1041)&amp;""</f>
        <v>Cordoba</v>
      </c>
    </row>
    <row r="1042" customFormat="false" ht="15" hidden="false" customHeight="false" outlineLevel="0" collapsed="false">
      <c r="A1042" s="61" t="n">
        <f aca="false">INDEX(Datos_Origen!$A$2:$A$2459,$Z1042)</f>
        <v>1041</v>
      </c>
      <c r="B1042" s="62" t="n">
        <f aca="false">IF(ISNUMBER($AB1042),$AB1042,IF(MID($AB1042,5,1)="-",DATE(VALUE(LEFT($AB1042,4)),VALUE(MID($AB1042,6,2)),VALUE(RIGHT($AB1042,2))),DATE(VALUE(RIGHT($AB1042,4)),VALUE(MID($AB1042,4,2)),VALUE(LEFT($AB1042,2)))))</f>
        <v>45621</v>
      </c>
      <c r="C1042" s="61" t="n">
        <f aca="false">YEAR($B1042)</f>
        <v>2024</v>
      </c>
      <c r="D1042" s="61" t="str">
        <f aca="false">"Q"&amp;ROUNDUP(MONTH($B1042)/3,0)</f>
        <v>Q4</v>
      </c>
      <c r="E1042" s="61" t="n">
        <f aca="false">MONTH($B1042)</f>
        <v>11</v>
      </c>
      <c r="F1042" s="61" t="str">
        <f aca="false">INDEX(Parametros!$I$5:$I$16,$E1042)</f>
        <v>Nov</v>
      </c>
      <c r="G1042" s="61" t="str">
        <f aca="false">TEXT($C1042,"0000")&amp;"-"&amp;TEXT($E1042,"00")</f>
        <v>2024-11</v>
      </c>
      <c r="H1042" s="61" t="str">
        <f aca="false">INDEX(Parametros!$C$71:$C$91,MATCH(TRIM(INDEX(Datos_Origen!$C$2:$C$2459,$Z1042)),Parametros!$B$71:$B$91,0))</f>
        <v>Litoral</v>
      </c>
      <c r="I1042" s="61" t="str">
        <f aca="false">IF(TRIM($AD1042)="",INDEX(Parametros!$I$20:$I$24,MATCH($H1042,Parametros!$H$20:$H$24,0)),TRIM($AD1042))</f>
        <v>Rosario</v>
      </c>
      <c r="J1042" s="61" t="str">
        <f aca="false">INDEX(Parametros!$C$95:$C$106,MATCH(TRIM(INDEX(Datos_Origen!$E$2:$E$2459,$Z1042)),Parametros!$B$95:$B$106,0))</f>
        <v>Tienda fisica</v>
      </c>
      <c r="K1042" s="61" t="str">
        <f aca="false">INDEX(Parametros!$C$48:$C$67,MATCH(TRIM(INDEX(Datos_Origen!$F$2:$F$2459,$Z1042)),Parametros!$B$48:$B$67,0))</f>
        <v>Computacion</v>
      </c>
      <c r="L1042" s="61" t="str">
        <f aca="false">$K1042&amp;" "&amp;$C1042</f>
        <v>Computacion 2024</v>
      </c>
      <c r="M1042" s="61" t="str">
        <f aca="false">TRIM(INDEX(Datos_Origen!$G$2:$G$2459,$Z1042))</f>
        <v>Laptop Pro 15</v>
      </c>
      <c r="N1042" s="61" t="str">
        <f aca="false">$M1042&amp;" "&amp;$C1042</f>
        <v>Laptop Pro 15 2024</v>
      </c>
      <c r="O1042" s="63" t="n">
        <f aca="false">IF(ISTEXT($AC1042),VALUE($AC1042),$AC1042)</f>
        <v>13</v>
      </c>
      <c r="P1042" s="64" t="n">
        <f aca="false">INDEX(Datos_Origen!$I$2:$I$2459,$Z1042)</f>
        <v>1176</v>
      </c>
      <c r="Q1042" s="64" t="n">
        <f aca="false">INDEX(Datos_Origen!$J$2:$J$2459,$Z1042)</f>
        <v>744</v>
      </c>
      <c r="R1042" s="65" t="n">
        <f aca="false">ROUND($O1042*$P1042,2)</f>
        <v>15288</v>
      </c>
      <c r="S1042" s="65" t="n">
        <f aca="false">ROUND($O1042*$Q1042,2)</f>
        <v>9672</v>
      </c>
      <c r="T1042" s="65" t="n">
        <f aca="false">ROUND($R1042*SUMIFS(Parametros!$E$28:$E$43,Parametros!$B$28:$B$43,$J1042,Parametros!$C$28:$C$43,$C1042,Parametros!$D$28:$D$43,$D1042),2)</f>
        <v>198.74</v>
      </c>
      <c r="U1042" s="65" t="n">
        <f aca="false">$R1042-$S1042-$T1042</f>
        <v>5417.26</v>
      </c>
      <c r="V1042" s="66" t="n">
        <f aca="false">IFERROR($U1042/$R1042,0)</f>
        <v>0.354347200418629</v>
      </c>
      <c r="W1042" s="67" t="str">
        <f aca="false">IF(AND($V1042&gt;=Parametros!$C$8,$R1042&gt;=Parametros!$C$12),"Alta rentabilidad",IF(OR($V1042&lt;Parametros!$C$11,$R1042&lt;Parametros!$C$13),"Revisar","Estandar"))</f>
        <v>Alta rentabilidad</v>
      </c>
      <c r="X1042" s="67" t="str">
        <f aca="false">IF(AND($J1042="E-commerce",IFERROR($T1042/$R1042,0)&gt;Parametros!$C$14),"Alerta","OK")</f>
        <v>OK</v>
      </c>
      <c r="Y1042" s="61" t="str">
        <f aca="false">IF($R1042&gt;=Parametros!$C$12,"Alto",IF($R1042&lt;Parametros!$C$13,"Bajo","Medio"))</f>
        <v>Alto</v>
      </c>
      <c r="Z1042" s="61" t="n">
        <v>371</v>
      </c>
      <c r="AA1042" s="61" t="str">
        <f aca="false">IF(MATCH($A1042,Datos_Origen!$A$2:$A$2459,0)=$Z1042,"OK","REVISAR")</f>
        <v>OK</v>
      </c>
      <c r="AB1042" s="62" t="n">
        <f aca="false">INDEX(Datos_Origen!$B$2:$B$2459,$Z1042)</f>
        <v>45621</v>
      </c>
      <c r="AC1042" s="61" t="n">
        <f aca="false">INDEX(Datos_Origen!$H$2:$H$2459,$Z1042)</f>
        <v>13</v>
      </c>
      <c r="AD1042" s="61" t="str">
        <f aca="false">INDEX(Datos_Origen!$D$2:$D$2459,$Z1042)&amp;""</f>
        <v>Rosario</v>
      </c>
    </row>
    <row r="1043" customFormat="false" ht="15" hidden="false" customHeight="false" outlineLevel="0" collapsed="false">
      <c r="A1043" s="61" t="n">
        <f aca="false">INDEX(Datos_Origen!$A$2:$A$2459,$Z1043)</f>
        <v>1042</v>
      </c>
      <c r="B1043" s="62" t="n">
        <f aca="false">IF(ISNUMBER($AB1043),$AB1043,IF(MID($AB1043,5,1)="-",DATE(VALUE(LEFT($AB1043,4)),VALUE(MID($AB1043,6,2)),VALUE(RIGHT($AB1043,2))),DATE(VALUE(RIGHT($AB1043,4)),VALUE(MID($AB1043,4,2)),VALUE(LEFT($AB1043,2)))))</f>
        <v>45601</v>
      </c>
      <c r="C1043" s="61" t="n">
        <f aca="false">YEAR($B1043)</f>
        <v>2024</v>
      </c>
      <c r="D1043" s="61" t="str">
        <f aca="false">"Q"&amp;ROUNDUP(MONTH($B1043)/3,0)</f>
        <v>Q4</v>
      </c>
      <c r="E1043" s="61" t="n">
        <f aca="false">MONTH($B1043)</f>
        <v>11</v>
      </c>
      <c r="F1043" s="61" t="str">
        <f aca="false">INDEX(Parametros!$I$5:$I$16,$E1043)</f>
        <v>Nov</v>
      </c>
      <c r="G1043" s="61" t="str">
        <f aca="false">TEXT($C1043,"0000")&amp;"-"&amp;TEXT($E1043,"00")</f>
        <v>2024-11</v>
      </c>
      <c r="H1043" s="61" t="str">
        <f aca="false">INDEX(Parametros!$C$71:$C$91,MATCH(TRIM(INDEX(Datos_Origen!$C$2:$C$2459,$Z1043)),Parametros!$B$71:$B$91,0))</f>
        <v>Litoral</v>
      </c>
      <c r="I1043" s="61" t="str">
        <f aca="false">IF(TRIM($AD1043)="",INDEX(Parametros!$I$20:$I$24,MATCH($H1043,Parametros!$H$20:$H$24,0)),TRIM($AD1043))</f>
        <v>Rosario</v>
      </c>
      <c r="J1043" s="61" t="str">
        <f aca="false">INDEX(Parametros!$C$95:$C$106,MATCH(TRIM(INDEX(Datos_Origen!$E$2:$E$2459,$Z1043)),Parametros!$B$95:$B$106,0))</f>
        <v>E-commerce</v>
      </c>
      <c r="K1043" s="61" t="str">
        <f aca="false">INDEX(Parametros!$C$48:$C$67,MATCH(TRIM(INDEX(Datos_Origen!$F$2:$F$2459,$Z1043)),Parametros!$B$48:$B$67,0))</f>
        <v>Computacion</v>
      </c>
      <c r="L1043" s="61" t="str">
        <f aca="false">$K1043&amp;" "&amp;$C1043</f>
        <v>Computacion 2024</v>
      </c>
      <c r="M1043" s="61" t="str">
        <f aca="false">TRIM(INDEX(Datos_Origen!$G$2:$G$2459,$Z1043))</f>
        <v>Laptop Pro 15</v>
      </c>
      <c r="N1043" s="61" t="str">
        <f aca="false">$M1043&amp;" "&amp;$C1043</f>
        <v>Laptop Pro 15 2024</v>
      </c>
      <c r="O1043" s="63" t="n">
        <f aca="false">IF(ISTEXT($AC1043),VALUE($AC1043),$AC1043)</f>
        <v>4</v>
      </c>
      <c r="P1043" s="64" t="n">
        <f aca="false">INDEX(Datos_Origen!$I$2:$I$2459,$Z1043)</f>
        <v>1176</v>
      </c>
      <c r="Q1043" s="64" t="n">
        <f aca="false">INDEX(Datos_Origen!$J$2:$J$2459,$Z1043)</f>
        <v>744</v>
      </c>
      <c r="R1043" s="65" t="n">
        <f aca="false">ROUND($O1043*$P1043,2)</f>
        <v>4704</v>
      </c>
      <c r="S1043" s="65" t="n">
        <f aca="false">ROUND($O1043*$Q1043,2)</f>
        <v>2976</v>
      </c>
      <c r="T1043" s="65" t="n">
        <f aca="false">ROUND($R1043*SUMIFS(Parametros!$E$28:$E$43,Parametros!$B$28:$B$43,$J1043,Parametros!$C$28:$C$43,$C1043,Parametros!$D$28:$D$43,$D1043),2)</f>
        <v>225.79</v>
      </c>
      <c r="U1043" s="65" t="n">
        <f aca="false">$R1043-$S1043-$T1043</f>
        <v>1502.21</v>
      </c>
      <c r="V1043" s="66" t="n">
        <f aca="false">IFERROR($U1043/$R1043,0)</f>
        <v>0.319347363945578</v>
      </c>
      <c r="W1043" s="67" t="str">
        <f aca="false">IF(AND($V1043&gt;=Parametros!$C$8,$R1043&gt;=Parametros!$C$12),"Alta rentabilidad",IF(OR($V1043&lt;Parametros!$C$11,$R1043&lt;Parametros!$C$13),"Revisar","Estandar"))</f>
        <v>Estandar</v>
      </c>
      <c r="X1043" s="67" t="str">
        <f aca="false">IF(AND($J1043="E-commerce",IFERROR($T1043/$R1043,0)&gt;Parametros!$C$14),"Alerta","OK")</f>
        <v>OK</v>
      </c>
      <c r="Y1043" s="61" t="str">
        <f aca="false">IF($R1043&gt;=Parametros!$C$12,"Alto",IF($R1043&lt;Parametros!$C$13,"Bajo","Medio"))</f>
        <v>Alto</v>
      </c>
      <c r="Z1043" s="61" t="n">
        <v>1726</v>
      </c>
      <c r="AA1043" s="61" t="str">
        <f aca="false">IF(MATCH($A1043,Datos_Origen!$A$2:$A$2459,0)=$Z1043,"OK","REVISAR")</f>
        <v>OK</v>
      </c>
      <c r="AB1043" s="62" t="n">
        <f aca="false">INDEX(Datos_Origen!$B$2:$B$2459,$Z1043)</f>
        <v>45601</v>
      </c>
      <c r="AC1043" s="61" t="n">
        <f aca="false">INDEX(Datos_Origen!$H$2:$H$2459,$Z1043)</f>
        <v>4</v>
      </c>
      <c r="AD1043" s="61" t="str">
        <f aca="false">INDEX(Datos_Origen!$D$2:$D$2459,$Z1043)&amp;""</f>
        <v>Rosario</v>
      </c>
    </row>
    <row r="1044" customFormat="false" ht="15" hidden="false" customHeight="false" outlineLevel="0" collapsed="false">
      <c r="A1044" s="61" t="n">
        <f aca="false">INDEX(Datos_Origen!$A$2:$A$2459,$Z1044)</f>
        <v>1043</v>
      </c>
      <c r="B1044" s="62" t="n">
        <f aca="false">IF(ISNUMBER($AB1044),$AB1044,IF(MID($AB1044,5,1)="-",DATE(VALUE(LEFT($AB1044,4)),VALUE(MID($AB1044,6,2)),VALUE(RIGHT($AB1044,2))),DATE(VALUE(RIGHT($AB1044,4)),VALUE(MID($AB1044,4,2)),VALUE(LEFT($AB1044,2)))))</f>
        <v>45608</v>
      </c>
      <c r="C1044" s="61" t="n">
        <f aca="false">YEAR($B1044)</f>
        <v>2024</v>
      </c>
      <c r="D1044" s="61" t="str">
        <f aca="false">"Q"&amp;ROUNDUP(MONTH($B1044)/3,0)</f>
        <v>Q4</v>
      </c>
      <c r="E1044" s="61" t="n">
        <f aca="false">MONTH($B1044)</f>
        <v>11</v>
      </c>
      <c r="F1044" s="61" t="str">
        <f aca="false">INDEX(Parametros!$I$5:$I$16,$E1044)</f>
        <v>Nov</v>
      </c>
      <c r="G1044" s="61" t="str">
        <f aca="false">TEXT($C1044,"0000")&amp;"-"&amp;TEXT($E1044,"00")</f>
        <v>2024-11</v>
      </c>
      <c r="H1044" s="61" t="str">
        <f aca="false">INDEX(Parametros!$C$71:$C$91,MATCH(TRIM(INDEX(Datos_Origen!$C$2:$C$2459,$Z1044)),Parametros!$B$71:$B$91,0))</f>
        <v>Litoral</v>
      </c>
      <c r="I1044" s="61" t="str">
        <f aca="false">IF(TRIM($AD1044)="",INDEX(Parametros!$I$20:$I$24,MATCH($H1044,Parametros!$H$20:$H$24,0)),TRIM($AD1044))</f>
        <v>Rosario</v>
      </c>
      <c r="J1044" s="61" t="str">
        <f aca="false">INDEX(Parametros!$C$95:$C$106,MATCH(TRIM(INDEX(Datos_Origen!$E$2:$E$2459,$Z1044)),Parametros!$B$95:$B$106,0))</f>
        <v>Tienda fisica</v>
      </c>
      <c r="K1044" s="61" t="str">
        <f aca="false">INDEX(Parametros!$C$48:$C$67,MATCH(TRIM(INDEX(Datos_Origen!$F$2:$F$2459,$Z1044)),Parametros!$B$48:$B$67,0))</f>
        <v>Computacion</v>
      </c>
      <c r="L1044" s="61" t="str">
        <f aca="false">$K1044&amp;" "&amp;$C1044</f>
        <v>Computacion 2024</v>
      </c>
      <c r="M1044" s="61" t="str">
        <f aca="false">TRIM(INDEX(Datos_Origen!$G$2:$G$2459,$Z1044))</f>
        <v>Monitor 4K 27</v>
      </c>
      <c r="N1044" s="61" t="str">
        <f aca="false">$M1044&amp;" "&amp;$C1044</f>
        <v>Monitor 4K 27 2024</v>
      </c>
      <c r="O1044" s="63" t="n">
        <f aca="false">IF(ISTEXT($AC1044),VALUE($AC1044),$AC1044)</f>
        <v>12</v>
      </c>
      <c r="P1044" s="64" t="n">
        <f aca="false">INDEX(Datos_Origen!$I$2:$I$2459,$Z1044)</f>
        <v>441</v>
      </c>
      <c r="Q1044" s="64" t="n">
        <f aca="false">INDEX(Datos_Origen!$J$2:$J$2459,$Z1044)</f>
        <v>272.25</v>
      </c>
      <c r="R1044" s="65" t="n">
        <f aca="false">ROUND($O1044*$P1044,2)</f>
        <v>5292</v>
      </c>
      <c r="S1044" s="65" t="n">
        <f aca="false">ROUND($O1044*$Q1044,2)</f>
        <v>3267</v>
      </c>
      <c r="T1044" s="65" t="n">
        <f aca="false">ROUND($R1044*SUMIFS(Parametros!$E$28:$E$43,Parametros!$B$28:$B$43,$J1044,Parametros!$C$28:$C$43,$C1044,Parametros!$D$28:$D$43,$D1044),2)</f>
        <v>68.8</v>
      </c>
      <c r="U1044" s="65" t="n">
        <f aca="false">$R1044-$S1044-$T1044</f>
        <v>1956.2</v>
      </c>
      <c r="V1044" s="66" t="n">
        <f aca="false">IFERROR($U1044/$R1044,0)</f>
        <v>0.369652305366591</v>
      </c>
      <c r="W1044" s="67" t="str">
        <f aca="false">IF(AND($V1044&gt;=Parametros!$C$8,$R1044&gt;=Parametros!$C$12),"Alta rentabilidad",IF(OR($V1044&lt;Parametros!$C$11,$R1044&lt;Parametros!$C$13),"Revisar","Estandar"))</f>
        <v>Alta rentabilidad</v>
      </c>
      <c r="X1044" s="67" t="str">
        <f aca="false">IF(AND($J1044="E-commerce",IFERROR($T1044/$R1044,0)&gt;Parametros!$C$14),"Alerta","OK")</f>
        <v>OK</v>
      </c>
      <c r="Y1044" s="61" t="str">
        <f aca="false">IF($R1044&gt;=Parametros!$C$12,"Alto",IF($R1044&lt;Parametros!$C$13,"Bajo","Medio"))</f>
        <v>Alto</v>
      </c>
      <c r="Z1044" s="61" t="n">
        <v>2049</v>
      </c>
      <c r="AA1044" s="61" t="str">
        <f aca="false">IF(MATCH($A1044,Datos_Origen!$A$2:$A$2459,0)=$Z1044,"OK","REVISAR")</f>
        <v>OK</v>
      </c>
      <c r="AB1044" s="62" t="n">
        <f aca="false">INDEX(Datos_Origen!$B$2:$B$2459,$Z1044)</f>
        <v>45608</v>
      </c>
      <c r="AC1044" s="61" t="n">
        <f aca="false">INDEX(Datos_Origen!$H$2:$H$2459,$Z1044)</f>
        <v>12</v>
      </c>
      <c r="AD1044" s="61" t="str">
        <f aca="false">INDEX(Datos_Origen!$D$2:$D$2459,$Z1044)&amp;""</f>
        <v>Rosario</v>
      </c>
    </row>
    <row r="1045" customFormat="false" ht="15" hidden="false" customHeight="false" outlineLevel="0" collapsed="false">
      <c r="A1045" s="61" t="n">
        <f aca="false">INDEX(Datos_Origen!$A$2:$A$2459,$Z1045)</f>
        <v>1044</v>
      </c>
      <c r="B1045" s="62" t="n">
        <f aca="false">IF(ISNUMBER($AB1045),$AB1045,IF(MID($AB1045,5,1)="-",DATE(VALUE(LEFT($AB1045,4)),VALUE(MID($AB1045,6,2)),VALUE(RIGHT($AB1045,2))),DATE(VALUE(RIGHT($AB1045,4)),VALUE(MID($AB1045,4,2)),VALUE(LEFT($AB1045,2)))))</f>
        <v>45615</v>
      </c>
      <c r="C1045" s="61" t="n">
        <f aca="false">YEAR($B1045)</f>
        <v>2024</v>
      </c>
      <c r="D1045" s="61" t="str">
        <f aca="false">"Q"&amp;ROUNDUP(MONTH($B1045)/3,0)</f>
        <v>Q4</v>
      </c>
      <c r="E1045" s="61" t="n">
        <f aca="false">MONTH($B1045)</f>
        <v>11</v>
      </c>
      <c r="F1045" s="61" t="str">
        <f aca="false">INDEX(Parametros!$I$5:$I$16,$E1045)</f>
        <v>Nov</v>
      </c>
      <c r="G1045" s="61" t="str">
        <f aca="false">TEXT($C1045,"0000")&amp;"-"&amp;TEXT($E1045,"00")</f>
        <v>2024-11</v>
      </c>
      <c r="H1045" s="61" t="str">
        <f aca="false">INDEX(Parametros!$C$71:$C$91,MATCH(TRIM(INDEX(Datos_Origen!$C$2:$C$2459,$Z1045)),Parametros!$B$71:$B$91,0))</f>
        <v>Litoral</v>
      </c>
      <c r="I1045" s="61" t="str">
        <f aca="false">IF(TRIM($AD1045)="",INDEX(Parametros!$I$20:$I$24,MATCH($H1045,Parametros!$H$20:$H$24,0)),TRIM($AD1045))</f>
        <v>Rosario</v>
      </c>
      <c r="J1045" s="61" t="str">
        <f aca="false">INDEX(Parametros!$C$95:$C$106,MATCH(TRIM(INDEX(Datos_Origen!$E$2:$E$2459,$Z1045)),Parametros!$B$95:$B$106,0))</f>
        <v>E-commerce</v>
      </c>
      <c r="K1045" s="61" t="str">
        <f aca="false">INDEX(Parametros!$C$48:$C$67,MATCH(TRIM(INDEX(Datos_Origen!$F$2:$F$2459,$Z1045)),Parametros!$B$48:$B$67,0))</f>
        <v>Computacion</v>
      </c>
      <c r="L1045" s="61" t="str">
        <f aca="false">$K1045&amp;" "&amp;$C1045</f>
        <v>Computacion 2024</v>
      </c>
      <c r="M1045" s="61" t="str">
        <f aca="false">TRIM(INDEX(Datos_Origen!$G$2:$G$2459,$Z1045))</f>
        <v>Monitor 4K 27</v>
      </c>
      <c r="N1045" s="61" t="str">
        <f aca="false">$M1045&amp;" "&amp;$C1045</f>
        <v>Monitor 4K 27 2024</v>
      </c>
      <c r="O1045" s="63" t="n">
        <f aca="false">IF(ISTEXT($AC1045),VALUE($AC1045),$AC1045)</f>
        <v>4</v>
      </c>
      <c r="P1045" s="64" t="n">
        <f aca="false">INDEX(Datos_Origen!$I$2:$I$2459,$Z1045)</f>
        <v>441</v>
      </c>
      <c r="Q1045" s="64" t="n">
        <f aca="false">INDEX(Datos_Origen!$J$2:$J$2459,$Z1045)</f>
        <v>272.25</v>
      </c>
      <c r="R1045" s="65" t="n">
        <f aca="false">ROUND($O1045*$P1045,2)</f>
        <v>1764</v>
      </c>
      <c r="S1045" s="65" t="n">
        <f aca="false">ROUND($O1045*$Q1045,2)</f>
        <v>1089</v>
      </c>
      <c r="T1045" s="65" t="n">
        <f aca="false">ROUND($R1045*SUMIFS(Parametros!$E$28:$E$43,Parametros!$B$28:$B$43,$J1045,Parametros!$C$28:$C$43,$C1045,Parametros!$D$28:$D$43,$D1045),2)</f>
        <v>84.67</v>
      </c>
      <c r="U1045" s="65" t="n">
        <f aca="false">$R1045-$S1045-$T1045</f>
        <v>590.33</v>
      </c>
      <c r="V1045" s="66" t="n">
        <f aca="false">IFERROR($U1045/$R1045,0)</f>
        <v>0.334654195011338</v>
      </c>
      <c r="W1045" s="67" t="str">
        <f aca="false">IF(AND($V1045&gt;=Parametros!$C$8,$R1045&gt;=Parametros!$C$12),"Alta rentabilidad",IF(OR($V1045&lt;Parametros!$C$11,$R1045&lt;Parametros!$C$13),"Revisar","Estandar"))</f>
        <v>Estandar</v>
      </c>
      <c r="X1045" s="67" t="str">
        <f aca="false">IF(AND($J1045="E-commerce",IFERROR($T1045/$R1045,0)&gt;Parametros!$C$14),"Alerta","OK")</f>
        <v>OK</v>
      </c>
      <c r="Y1045" s="61" t="str">
        <f aca="false">IF($R1045&gt;=Parametros!$C$12,"Alto",IF($R1045&lt;Parametros!$C$13,"Bajo","Medio"))</f>
        <v>Medio</v>
      </c>
      <c r="Z1045" s="61" t="n">
        <v>2457</v>
      </c>
      <c r="AA1045" s="61" t="str">
        <f aca="false">IF(MATCH($A1045,Datos_Origen!$A$2:$A$2459,0)=$Z1045,"OK","REVISAR")</f>
        <v>OK</v>
      </c>
      <c r="AB1045" s="62" t="n">
        <f aca="false">INDEX(Datos_Origen!$B$2:$B$2459,$Z1045)</f>
        <v>45615</v>
      </c>
      <c r="AC1045" s="61" t="n">
        <f aca="false">INDEX(Datos_Origen!$H$2:$H$2459,$Z1045)</f>
        <v>4</v>
      </c>
      <c r="AD1045" s="61" t="str">
        <f aca="false">INDEX(Datos_Origen!$D$2:$D$2459,$Z1045)&amp;""</f>
        <v>Rosario</v>
      </c>
    </row>
    <row r="1046" customFormat="false" ht="15" hidden="false" customHeight="false" outlineLevel="0" collapsed="false">
      <c r="A1046" s="61" t="n">
        <f aca="false">INDEX(Datos_Origen!$A$2:$A$2459,$Z1046)</f>
        <v>1045</v>
      </c>
      <c r="B1046" s="62" t="n">
        <f aca="false">IF(ISNUMBER($AB1046),$AB1046,IF(MID($AB1046,5,1)="-",DATE(VALUE(LEFT($AB1046,4)),VALUE(MID($AB1046,6,2)),VALUE(RIGHT($AB1046,2))),DATE(VALUE(RIGHT($AB1046,4)),VALUE(MID($AB1046,4,2)),VALUE(LEFT($AB1046,2)))))</f>
        <v>45622</v>
      </c>
      <c r="C1046" s="61" t="n">
        <f aca="false">YEAR($B1046)</f>
        <v>2024</v>
      </c>
      <c r="D1046" s="61" t="str">
        <f aca="false">"Q"&amp;ROUNDUP(MONTH($B1046)/3,0)</f>
        <v>Q4</v>
      </c>
      <c r="E1046" s="61" t="n">
        <f aca="false">MONTH($B1046)</f>
        <v>11</v>
      </c>
      <c r="F1046" s="61" t="str">
        <f aca="false">INDEX(Parametros!$I$5:$I$16,$E1046)</f>
        <v>Nov</v>
      </c>
      <c r="G1046" s="61" t="str">
        <f aca="false">TEXT($C1046,"0000")&amp;"-"&amp;TEXT($E1046,"00")</f>
        <v>2024-11</v>
      </c>
      <c r="H1046" s="61" t="str">
        <f aca="false">INDEX(Parametros!$C$71:$C$91,MATCH(TRIM(INDEX(Datos_Origen!$C$2:$C$2459,$Z1046)),Parametros!$B$71:$B$91,0))</f>
        <v>Litoral</v>
      </c>
      <c r="I1046" s="61" t="str">
        <f aca="false">IF(TRIM($AD1046)="",INDEX(Parametros!$I$20:$I$24,MATCH($H1046,Parametros!$H$20:$H$24,0)),TRIM($AD1046))</f>
        <v>Rosario</v>
      </c>
      <c r="J1046" s="61" t="str">
        <f aca="false">INDEX(Parametros!$C$95:$C$106,MATCH(TRIM(INDEX(Datos_Origen!$E$2:$E$2459,$Z1046)),Parametros!$B$95:$B$106,0))</f>
        <v>Tienda fisica</v>
      </c>
      <c r="K1046" s="61" t="str">
        <f aca="false">INDEX(Parametros!$C$48:$C$67,MATCH(TRIM(INDEX(Datos_Origen!$F$2:$F$2459,$Z1046)),Parametros!$B$48:$B$67,0))</f>
        <v>Computacion</v>
      </c>
      <c r="L1046" s="61" t="str">
        <f aca="false">$K1046&amp;" "&amp;$C1046</f>
        <v>Computacion 2024</v>
      </c>
      <c r="M1046" s="61" t="str">
        <f aca="false">TRIM(INDEX(Datos_Origen!$G$2:$G$2459,$Z1046))</f>
        <v>PC Gamer Ryzen</v>
      </c>
      <c r="N1046" s="61" t="str">
        <f aca="false">$M1046&amp;" "&amp;$C1046</f>
        <v>PC Gamer Ryzen 2024</v>
      </c>
      <c r="O1046" s="63" t="n">
        <f aca="false">IF(ISTEXT($AC1046),VALUE($AC1046),$AC1046)</f>
        <v>13</v>
      </c>
      <c r="P1046" s="64" t="n">
        <f aca="false">INDEX(Datos_Origen!$I$2:$I$2459,$Z1046)</f>
        <v>1617</v>
      </c>
      <c r="Q1046" s="64" t="n">
        <f aca="false">INDEX(Datos_Origen!$J$2:$J$2459,$Z1046)</f>
        <v>1122</v>
      </c>
      <c r="R1046" s="65" t="n">
        <f aca="false">ROUND($O1046*$P1046,2)</f>
        <v>21021</v>
      </c>
      <c r="S1046" s="65" t="n">
        <f aca="false">ROUND($O1046*$Q1046,2)</f>
        <v>14586</v>
      </c>
      <c r="T1046" s="65" t="n">
        <f aca="false">ROUND($R1046*SUMIFS(Parametros!$E$28:$E$43,Parametros!$B$28:$B$43,$J1046,Parametros!$C$28:$C$43,$C1046,Parametros!$D$28:$D$43,$D1046),2)</f>
        <v>273.27</v>
      </c>
      <c r="U1046" s="65" t="n">
        <f aca="false">$R1046-$S1046-$T1046</f>
        <v>6161.73</v>
      </c>
      <c r="V1046" s="66" t="n">
        <f aca="false">IFERROR($U1046/$R1046,0)</f>
        <v>0.29312259169402</v>
      </c>
      <c r="W1046" s="67" t="str">
        <f aca="false">IF(AND($V1046&gt;=Parametros!$C$8,$R1046&gt;=Parametros!$C$12),"Alta rentabilidad",IF(OR($V1046&lt;Parametros!$C$11,$R1046&lt;Parametros!$C$13),"Revisar","Estandar"))</f>
        <v>Estandar</v>
      </c>
      <c r="X1046" s="67" t="str">
        <f aca="false">IF(AND($J1046="E-commerce",IFERROR($T1046/$R1046,0)&gt;Parametros!$C$14),"Alerta","OK")</f>
        <v>OK</v>
      </c>
      <c r="Y1046" s="61" t="str">
        <f aca="false">IF($R1046&gt;=Parametros!$C$12,"Alto",IF($R1046&lt;Parametros!$C$13,"Bajo","Medio"))</f>
        <v>Alto</v>
      </c>
      <c r="Z1046" s="61" t="n">
        <v>822</v>
      </c>
      <c r="AA1046" s="61" t="str">
        <f aca="false">IF(MATCH($A1046,Datos_Origen!$A$2:$A$2459,0)=$Z1046,"OK","REVISAR")</f>
        <v>OK</v>
      </c>
      <c r="AB1046" s="62" t="n">
        <f aca="false">INDEX(Datos_Origen!$B$2:$B$2459,$Z1046)</f>
        <v>45622</v>
      </c>
      <c r="AC1046" s="61" t="n">
        <f aca="false">INDEX(Datos_Origen!$H$2:$H$2459,$Z1046)</f>
        <v>13</v>
      </c>
      <c r="AD1046" s="61" t="str">
        <f aca="false">INDEX(Datos_Origen!$D$2:$D$2459,$Z1046)&amp;""</f>
        <v>Rosario</v>
      </c>
    </row>
    <row r="1047" customFormat="false" ht="15" hidden="false" customHeight="false" outlineLevel="0" collapsed="false">
      <c r="A1047" s="61" t="n">
        <f aca="false">INDEX(Datos_Origen!$A$2:$A$2459,$Z1047)</f>
        <v>1046</v>
      </c>
      <c r="B1047" s="62" t="n">
        <f aca="false">IF(ISNUMBER($AB1047),$AB1047,IF(MID($AB1047,5,1)="-",DATE(VALUE(LEFT($AB1047,4)),VALUE(MID($AB1047,6,2)),VALUE(RIGHT($AB1047,2))),DATE(VALUE(RIGHT($AB1047,4)),VALUE(MID($AB1047,4,2)),VALUE(LEFT($AB1047,2)))))</f>
        <v>45602</v>
      </c>
      <c r="C1047" s="61" t="n">
        <f aca="false">YEAR($B1047)</f>
        <v>2024</v>
      </c>
      <c r="D1047" s="61" t="str">
        <f aca="false">"Q"&amp;ROUNDUP(MONTH($B1047)/3,0)</f>
        <v>Q4</v>
      </c>
      <c r="E1047" s="61" t="n">
        <f aca="false">MONTH($B1047)</f>
        <v>11</v>
      </c>
      <c r="F1047" s="61" t="str">
        <f aca="false">INDEX(Parametros!$I$5:$I$16,$E1047)</f>
        <v>Nov</v>
      </c>
      <c r="G1047" s="61" t="str">
        <f aca="false">TEXT($C1047,"0000")&amp;"-"&amp;TEXT($E1047,"00")</f>
        <v>2024-11</v>
      </c>
      <c r="H1047" s="61" t="str">
        <f aca="false">INDEX(Parametros!$C$71:$C$91,MATCH(TRIM(INDEX(Datos_Origen!$C$2:$C$2459,$Z1047)),Parametros!$B$71:$B$91,0))</f>
        <v>Litoral</v>
      </c>
      <c r="I1047" s="61" t="str">
        <f aca="false">IF(TRIM($AD1047)="",INDEX(Parametros!$I$20:$I$24,MATCH($H1047,Parametros!$H$20:$H$24,0)),TRIM($AD1047))</f>
        <v>Rosario</v>
      </c>
      <c r="J1047" s="61" t="str">
        <f aca="false">INDEX(Parametros!$C$95:$C$106,MATCH(TRIM(INDEX(Datos_Origen!$E$2:$E$2459,$Z1047)),Parametros!$B$95:$B$106,0))</f>
        <v>E-commerce</v>
      </c>
      <c r="K1047" s="61" t="str">
        <f aca="false">INDEX(Parametros!$C$48:$C$67,MATCH(TRIM(INDEX(Datos_Origen!$F$2:$F$2459,$Z1047)),Parametros!$B$48:$B$67,0))</f>
        <v>Computacion</v>
      </c>
      <c r="L1047" s="61" t="str">
        <f aca="false">$K1047&amp;" "&amp;$C1047</f>
        <v>Computacion 2024</v>
      </c>
      <c r="M1047" s="61" t="str">
        <f aca="false">TRIM(INDEX(Datos_Origen!$G$2:$G$2459,$Z1047))</f>
        <v>PC Gamer Ryzen</v>
      </c>
      <c r="N1047" s="61" t="str">
        <f aca="false">$M1047&amp;" "&amp;$C1047</f>
        <v>PC Gamer Ryzen 2024</v>
      </c>
      <c r="O1047" s="63" t="n">
        <f aca="false">IF(ISTEXT($AC1047),VALUE($AC1047),$AC1047)</f>
        <v>4</v>
      </c>
      <c r="P1047" s="64" t="n">
        <f aca="false">INDEX(Datos_Origen!$I$2:$I$2459,$Z1047)</f>
        <v>1617</v>
      </c>
      <c r="Q1047" s="64" t="n">
        <f aca="false">INDEX(Datos_Origen!$J$2:$J$2459,$Z1047)</f>
        <v>1122</v>
      </c>
      <c r="R1047" s="65" t="n">
        <f aca="false">ROUND($O1047*$P1047,2)</f>
        <v>6468</v>
      </c>
      <c r="S1047" s="65" t="n">
        <f aca="false">ROUND($O1047*$Q1047,2)</f>
        <v>4488</v>
      </c>
      <c r="T1047" s="65" t="n">
        <f aca="false">ROUND($R1047*SUMIFS(Parametros!$E$28:$E$43,Parametros!$B$28:$B$43,$J1047,Parametros!$C$28:$C$43,$C1047,Parametros!$D$28:$D$43,$D1047),2)</f>
        <v>310.46</v>
      </c>
      <c r="U1047" s="65" t="n">
        <f aca="false">$R1047-$S1047-$T1047</f>
        <v>1669.54</v>
      </c>
      <c r="V1047" s="66" t="n">
        <f aca="false">IFERROR($U1047/$R1047,0)</f>
        <v>0.258123067408782</v>
      </c>
      <c r="W1047" s="67" t="str">
        <f aca="false">IF(AND($V1047&gt;=Parametros!$C$8,$R1047&gt;=Parametros!$C$12),"Alta rentabilidad",IF(OR($V1047&lt;Parametros!$C$11,$R1047&lt;Parametros!$C$13),"Revisar","Estandar"))</f>
        <v>Revisar</v>
      </c>
      <c r="X1047" s="67" t="str">
        <f aca="false">IF(AND($J1047="E-commerce",IFERROR($T1047/$R1047,0)&gt;Parametros!$C$14),"Alerta","OK")</f>
        <v>OK</v>
      </c>
      <c r="Y1047" s="61" t="str">
        <f aca="false">IF($R1047&gt;=Parametros!$C$12,"Alto",IF($R1047&lt;Parametros!$C$13,"Bajo","Medio"))</f>
        <v>Alto</v>
      </c>
      <c r="Z1047" s="61" t="n">
        <v>1791</v>
      </c>
      <c r="AA1047" s="61" t="str">
        <f aca="false">IF(MATCH($A1047,Datos_Origen!$A$2:$A$2459,0)=$Z1047,"OK","REVISAR")</f>
        <v>OK</v>
      </c>
      <c r="AB1047" s="62" t="n">
        <f aca="false">INDEX(Datos_Origen!$B$2:$B$2459,$Z1047)</f>
        <v>45602</v>
      </c>
      <c r="AC1047" s="61" t="n">
        <f aca="false">INDEX(Datos_Origen!$H$2:$H$2459,$Z1047)</f>
        <v>4</v>
      </c>
      <c r="AD1047" s="61" t="str">
        <f aca="false">INDEX(Datos_Origen!$D$2:$D$2459,$Z1047)&amp;""</f>
        <v/>
      </c>
    </row>
    <row r="1048" customFormat="false" ht="15" hidden="false" customHeight="false" outlineLevel="0" collapsed="false">
      <c r="A1048" s="61" t="n">
        <f aca="false">INDEX(Datos_Origen!$A$2:$A$2459,$Z1048)</f>
        <v>1047</v>
      </c>
      <c r="B1048" s="62" t="n">
        <f aca="false">IF(ISNUMBER($AB1048),$AB1048,IF(MID($AB1048,5,1)="-",DATE(VALUE(LEFT($AB1048,4)),VALUE(MID($AB1048,6,2)),VALUE(RIGHT($AB1048,2))),DATE(VALUE(RIGHT($AB1048,4)),VALUE(MID($AB1048,4,2)),VALUE(LEFT($AB1048,2)))))</f>
        <v>45609</v>
      </c>
      <c r="C1048" s="61" t="n">
        <f aca="false">YEAR($B1048)</f>
        <v>2024</v>
      </c>
      <c r="D1048" s="61" t="str">
        <f aca="false">"Q"&amp;ROUNDUP(MONTH($B1048)/3,0)</f>
        <v>Q4</v>
      </c>
      <c r="E1048" s="61" t="n">
        <f aca="false">MONTH($B1048)</f>
        <v>11</v>
      </c>
      <c r="F1048" s="61" t="str">
        <f aca="false">INDEX(Parametros!$I$5:$I$16,$E1048)</f>
        <v>Nov</v>
      </c>
      <c r="G1048" s="61" t="str">
        <f aca="false">TEXT($C1048,"0000")&amp;"-"&amp;TEXT($E1048,"00")</f>
        <v>2024-11</v>
      </c>
      <c r="H1048" s="61" t="str">
        <f aca="false">INDEX(Parametros!$C$71:$C$91,MATCH(TRIM(INDEX(Datos_Origen!$C$2:$C$2459,$Z1048)),Parametros!$B$71:$B$91,0))</f>
        <v>Litoral</v>
      </c>
      <c r="I1048" s="61" t="str">
        <f aca="false">IF(TRIM($AD1048)="",INDEX(Parametros!$I$20:$I$24,MATCH($H1048,Parametros!$H$20:$H$24,0)),TRIM($AD1048))</f>
        <v>Rosario</v>
      </c>
      <c r="J1048" s="61" t="str">
        <f aca="false">INDEX(Parametros!$C$95:$C$106,MATCH(TRIM(INDEX(Datos_Origen!$E$2:$E$2459,$Z1048)),Parametros!$B$95:$B$106,0))</f>
        <v>Tienda fisica</v>
      </c>
      <c r="K1048" s="61" t="str">
        <f aca="false">INDEX(Parametros!$C$48:$C$67,MATCH(TRIM(INDEX(Datos_Origen!$F$2:$F$2459,$Z1048)),Parametros!$B$48:$B$67,0))</f>
        <v>Accesorios</v>
      </c>
      <c r="L1048" s="61" t="str">
        <f aca="false">$K1048&amp;" "&amp;$C1048</f>
        <v>Accesorios 2024</v>
      </c>
      <c r="M1048" s="61" t="str">
        <f aca="false">TRIM(INDEX(Datos_Origen!$G$2:$G$2459,$Z1048))</f>
        <v>Mouse Inalambrico</v>
      </c>
      <c r="N1048" s="61" t="str">
        <f aca="false">$M1048&amp;" "&amp;$C1048</f>
        <v>Mouse Inalambrico 2024</v>
      </c>
      <c r="O1048" s="63" t="n">
        <f aca="false">IF(ISTEXT($AC1048),VALUE($AC1048),$AC1048)</f>
        <v>49</v>
      </c>
      <c r="P1048" s="64" t="n">
        <f aca="false">INDEX(Datos_Origen!$I$2:$I$2459,$Z1048)</f>
        <v>27.44</v>
      </c>
      <c r="Q1048" s="64" t="n">
        <f aca="false">INDEX(Datos_Origen!$J$2:$J$2459,$Z1048)</f>
        <v>13.44</v>
      </c>
      <c r="R1048" s="65" t="n">
        <f aca="false">ROUND($O1048*$P1048,2)</f>
        <v>1344.56</v>
      </c>
      <c r="S1048" s="65" t="n">
        <f aca="false">ROUND($O1048*$Q1048,2)</f>
        <v>658.56</v>
      </c>
      <c r="T1048" s="65" t="n">
        <f aca="false">ROUND($R1048*SUMIFS(Parametros!$E$28:$E$43,Parametros!$B$28:$B$43,$J1048,Parametros!$C$28:$C$43,$C1048,Parametros!$D$28:$D$43,$D1048),2)</f>
        <v>17.48</v>
      </c>
      <c r="U1048" s="65" t="n">
        <f aca="false">$R1048-$S1048-$T1048</f>
        <v>668.52</v>
      </c>
      <c r="V1048" s="66" t="n">
        <f aca="false">IFERROR($U1048/$R1048,0)</f>
        <v>0.497203546141489</v>
      </c>
      <c r="W1048" s="67" t="str">
        <f aca="false">IF(AND($V1048&gt;=Parametros!$C$8,$R1048&gt;=Parametros!$C$12),"Alta rentabilidad",IF(OR($V1048&lt;Parametros!$C$11,$R1048&lt;Parametros!$C$13),"Revisar","Estandar"))</f>
        <v>Estandar</v>
      </c>
      <c r="X1048" s="67" t="str">
        <f aca="false">IF(AND($J1048="E-commerce",IFERROR($T1048/$R1048,0)&gt;Parametros!$C$14),"Alerta","OK")</f>
        <v>OK</v>
      </c>
      <c r="Y1048" s="61" t="str">
        <f aca="false">IF($R1048&gt;=Parametros!$C$12,"Alto",IF($R1048&lt;Parametros!$C$13,"Bajo","Medio"))</f>
        <v>Medio</v>
      </c>
      <c r="Z1048" s="61" t="n">
        <v>1137</v>
      </c>
      <c r="AA1048" s="61" t="str">
        <f aca="false">IF(MATCH($A1048,Datos_Origen!$A$2:$A$2459,0)=$Z1048,"OK","REVISAR")</f>
        <v>OK</v>
      </c>
      <c r="AB1048" s="62" t="n">
        <f aca="false">INDEX(Datos_Origen!$B$2:$B$2459,$Z1048)</f>
        <v>45609</v>
      </c>
      <c r="AC1048" s="61" t="str">
        <f aca="false">INDEX(Datos_Origen!$H$2:$H$2459,$Z1048)</f>
        <v>49</v>
      </c>
      <c r="AD1048" s="61" t="str">
        <f aca="false">INDEX(Datos_Origen!$D$2:$D$2459,$Z1048)&amp;""</f>
        <v>Rosario</v>
      </c>
    </row>
    <row r="1049" customFormat="false" ht="15" hidden="false" customHeight="false" outlineLevel="0" collapsed="false">
      <c r="A1049" s="61" t="n">
        <f aca="false">INDEX(Datos_Origen!$A$2:$A$2459,$Z1049)</f>
        <v>1048</v>
      </c>
      <c r="B1049" s="62" t="n">
        <f aca="false">IF(ISNUMBER($AB1049),$AB1049,IF(MID($AB1049,5,1)="-",DATE(VALUE(LEFT($AB1049,4)),VALUE(MID($AB1049,6,2)),VALUE(RIGHT($AB1049,2))),DATE(VALUE(RIGHT($AB1049,4)),VALUE(MID($AB1049,4,2)),VALUE(LEFT($AB1049,2)))))</f>
        <v>45616</v>
      </c>
      <c r="C1049" s="61" t="n">
        <f aca="false">YEAR($B1049)</f>
        <v>2024</v>
      </c>
      <c r="D1049" s="61" t="str">
        <f aca="false">"Q"&amp;ROUNDUP(MONTH($B1049)/3,0)</f>
        <v>Q4</v>
      </c>
      <c r="E1049" s="61" t="n">
        <f aca="false">MONTH($B1049)</f>
        <v>11</v>
      </c>
      <c r="F1049" s="61" t="str">
        <f aca="false">INDEX(Parametros!$I$5:$I$16,$E1049)</f>
        <v>Nov</v>
      </c>
      <c r="G1049" s="61" t="str">
        <f aca="false">TEXT($C1049,"0000")&amp;"-"&amp;TEXT($E1049,"00")</f>
        <v>2024-11</v>
      </c>
      <c r="H1049" s="61" t="str">
        <f aca="false">INDEX(Parametros!$C$71:$C$91,MATCH(TRIM(INDEX(Datos_Origen!$C$2:$C$2459,$Z1049)),Parametros!$B$71:$B$91,0))</f>
        <v>Litoral</v>
      </c>
      <c r="I1049" s="61" t="str">
        <f aca="false">IF(TRIM($AD1049)="",INDEX(Parametros!$I$20:$I$24,MATCH($H1049,Parametros!$H$20:$H$24,0)),TRIM($AD1049))</f>
        <v>Rosario</v>
      </c>
      <c r="J1049" s="61" t="str">
        <f aca="false">INDEX(Parametros!$C$95:$C$106,MATCH(TRIM(INDEX(Datos_Origen!$E$2:$E$2459,$Z1049)),Parametros!$B$95:$B$106,0))</f>
        <v>E-commerce</v>
      </c>
      <c r="K1049" s="61" t="str">
        <f aca="false">INDEX(Parametros!$C$48:$C$67,MATCH(TRIM(INDEX(Datos_Origen!$F$2:$F$2459,$Z1049)),Parametros!$B$48:$B$67,0))</f>
        <v>Accesorios</v>
      </c>
      <c r="L1049" s="61" t="str">
        <f aca="false">$K1049&amp;" "&amp;$C1049</f>
        <v>Accesorios 2024</v>
      </c>
      <c r="M1049" s="61" t="str">
        <f aca="false">TRIM(INDEX(Datos_Origen!$G$2:$G$2459,$Z1049))</f>
        <v>Mouse Inalambrico</v>
      </c>
      <c r="N1049" s="61" t="str">
        <f aca="false">$M1049&amp;" "&amp;$C1049</f>
        <v>Mouse Inalambrico 2024</v>
      </c>
      <c r="O1049" s="63" t="n">
        <f aca="false">IF(ISTEXT($AC1049),VALUE($AC1049),$AC1049)</f>
        <v>19</v>
      </c>
      <c r="P1049" s="64" t="n">
        <f aca="false">INDEX(Datos_Origen!$I$2:$I$2459,$Z1049)</f>
        <v>27.44</v>
      </c>
      <c r="Q1049" s="64" t="n">
        <f aca="false">INDEX(Datos_Origen!$J$2:$J$2459,$Z1049)</f>
        <v>13.44</v>
      </c>
      <c r="R1049" s="65" t="n">
        <f aca="false">ROUND($O1049*$P1049,2)</f>
        <v>521.36</v>
      </c>
      <c r="S1049" s="65" t="n">
        <f aca="false">ROUND($O1049*$Q1049,2)</f>
        <v>255.36</v>
      </c>
      <c r="T1049" s="65" t="n">
        <f aca="false">ROUND($R1049*SUMIFS(Parametros!$E$28:$E$43,Parametros!$B$28:$B$43,$J1049,Parametros!$C$28:$C$43,$C1049,Parametros!$D$28:$D$43,$D1049),2)</f>
        <v>25.03</v>
      </c>
      <c r="U1049" s="65" t="n">
        <f aca="false">$R1049-$S1049-$T1049</f>
        <v>240.97</v>
      </c>
      <c r="V1049" s="66" t="n">
        <f aca="false">IFERROR($U1049/$R1049,0)</f>
        <v>0.462195028387295</v>
      </c>
      <c r="W1049" s="67" t="str">
        <f aca="false">IF(AND($V1049&gt;=Parametros!$C$8,$R1049&gt;=Parametros!$C$12),"Alta rentabilidad",IF(OR($V1049&lt;Parametros!$C$11,$R1049&lt;Parametros!$C$13),"Revisar","Estandar"))</f>
        <v>Estandar</v>
      </c>
      <c r="X1049" s="67" t="str">
        <f aca="false">IF(AND($J1049="E-commerce",IFERROR($T1049/$R1049,0)&gt;Parametros!$C$14),"Alerta","OK")</f>
        <v>OK</v>
      </c>
      <c r="Y1049" s="61" t="str">
        <f aca="false">IF($R1049&gt;=Parametros!$C$12,"Alto",IF($R1049&lt;Parametros!$C$13,"Bajo","Medio"))</f>
        <v>Medio</v>
      </c>
      <c r="Z1049" s="61" t="n">
        <v>716</v>
      </c>
      <c r="AA1049" s="61" t="str">
        <f aca="false">IF(MATCH($A1049,Datos_Origen!$A$2:$A$2459,0)=$Z1049,"OK","REVISAR")</f>
        <v>OK</v>
      </c>
      <c r="AB1049" s="62" t="n">
        <f aca="false">INDEX(Datos_Origen!$B$2:$B$2459,$Z1049)</f>
        <v>45616</v>
      </c>
      <c r="AC1049" s="61" t="str">
        <f aca="false">INDEX(Datos_Origen!$H$2:$H$2459,$Z1049)</f>
        <v>19</v>
      </c>
      <c r="AD1049" s="61" t="str">
        <f aca="false">INDEX(Datos_Origen!$D$2:$D$2459,$Z1049)&amp;""</f>
        <v>Rosario</v>
      </c>
    </row>
    <row r="1050" customFormat="false" ht="15" hidden="false" customHeight="false" outlineLevel="0" collapsed="false">
      <c r="A1050" s="61" t="n">
        <f aca="false">INDEX(Datos_Origen!$A$2:$A$2459,$Z1050)</f>
        <v>1049</v>
      </c>
      <c r="B1050" s="62" t="n">
        <f aca="false">IF(ISNUMBER($AB1050),$AB1050,IF(MID($AB1050,5,1)="-",DATE(VALUE(LEFT($AB1050,4)),VALUE(MID($AB1050,6,2)),VALUE(RIGHT($AB1050,2))),DATE(VALUE(RIGHT($AB1050,4)),VALUE(MID($AB1050,4,2)),VALUE(LEFT($AB1050,2)))))</f>
        <v>45623</v>
      </c>
      <c r="C1050" s="61" t="n">
        <f aca="false">YEAR($B1050)</f>
        <v>2024</v>
      </c>
      <c r="D1050" s="61" t="str">
        <f aca="false">"Q"&amp;ROUNDUP(MONTH($B1050)/3,0)</f>
        <v>Q4</v>
      </c>
      <c r="E1050" s="61" t="n">
        <f aca="false">MONTH($B1050)</f>
        <v>11</v>
      </c>
      <c r="F1050" s="61" t="str">
        <f aca="false">INDEX(Parametros!$I$5:$I$16,$E1050)</f>
        <v>Nov</v>
      </c>
      <c r="G1050" s="61" t="str">
        <f aca="false">TEXT($C1050,"0000")&amp;"-"&amp;TEXT($E1050,"00")</f>
        <v>2024-11</v>
      </c>
      <c r="H1050" s="61" t="str">
        <f aca="false">INDEX(Parametros!$C$71:$C$91,MATCH(TRIM(INDEX(Datos_Origen!$C$2:$C$2459,$Z1050)),Parametros!$B$71:$B$91,0))</f>
        <v>Litoral</v>
      </c>
      <c r="I1050" s="61" t="str">
        <f aca="false">IF(TRIM($AD1050)="",INDEX(Parametros!$I$20:$I$24,MATCH($H1050,Parametros!$H$20:$H$24,0)),TRIM($AD1050))</f>
        <v>Rosario</v>
      </c>
      <c r="J1050" s="61" t="str">
        <f aca="false">INDEX(Parametros!$C$95:$C$106,MATCH(TRIM(INDEX(Datos_Origen!$E$2:$E$2459,$Z1050)),Parametros!$B$95:$B$106,0))</f>
        <v>Tienda fisica</v>
      </c>
      <c r="K1050" s="61" t="str">
        <f aca="false">INDEX(Parametros!$C$48:$C$67,MATCH(TRIM(INDEX(Datos_Origen!$F$2:$F$2459,$Z1050)),Parametros!$B$48:$B$67,0))</f>
        <v>Accesorios</v>
      </c>
      <c r="L1050" s="61" t="str">
        <f aca="false">$K1050&amp;" "&amp;$C1050</f>
        <v>Accesorios 2024</v>
      </c>
      <c r="M1050" s="61" t="str">
        <f aca="false">TRIM(INDEX(Datos_Origen!$G$2:$G$2459,$Z1050))</f>
        <v>Teclado Mecanico</v>
      </c>
      <c r="N1050" s="61" t="str">
        <f aca="false">$M1050&amp;" "&amp;$C1050</f>
        <v>Teclado Mecanico 2024</v>
      </c>
      <c r="O1050" s="63" t="n">
        <f aca="false">IF(ISTEXT($AC1050),VALUE($AC1050),$AC1050)</f>
        <v>45</v>
      </c>
      <c r="P1050" s="64" t="n">
        <f aca="false">INDEX(Datos_Origen!$I$2:$I$2459,$Z1050)</f>
        <v>93.1</v>
      </c>
      <c r="Q1050" s="64" t="n">
        <f aca="false">INDEX(Datos_Origen!$J$2:$J$2459,$Z1050)</f>
        <v>47.98</v>
      </c>
      <c r="R1050" s="65" t="n">
        <f aca="false">ROUND($O1050*$P1050,2)</f>
        <v>4189.5</v>
      </c>
      <c r="S1050" s="65" t="n">
        <f aca="false">ROUND($O1050*$Q1050,2)</f>
        <v>2159.1</v>
      </c>
      <c r="T1050" s="65" t="n">
        <f aca="false">ROUND($R1050*SUMIFS(Parametros!$E$28:$E$43,Parametros!$B$28:$B$43,$J1050,Parametros!$C$28:$C$43,$C1050,Parametros!$D$28:$D$43,$D1050),2)</f>
        <v>54.46</v>
      </c>
      <c r="U1050" s="65" t="n">
        <f aca="false">$R1050-$S1050-$T1050</f>
        <v>1975.94</v>
      </c>
      <c r="V1050" s="66" t="n">
        <f aca="false">IFERROR($U1050/$R1050,0)</f>
        <v>0.471641007280105</v>
      </c>
      <c r="W1050" s="67" t="str">
        <f aca="false">IF(AND($V1050&gt;=Parametros!$C$8,$R1050&gt;=Parametros!$C$12),"Alta rentabilidad",IF(OR($V1050&lt;Parametros!$C$11,$R1050&lt;Parametros!$C$13),"Revisar","Estandar"))</f>
        <v>Alta rentabilidad</v>
      </c>
      <c r="X1050" s="67" t="str">
        <f aca="false">IF(AND($J1050="E-commerce",IFERROR($T1050/$R1050,0)&gt;Parametros!$C$14),"Alerta","OK")</f>
        <v>OK</v>
      </c>
      <c r="Y1050" s="61" t="str">
        <f aca="false">IF($R1050&gt;=Parametros!$C$12,"Alto",IF($R1050&lt;Parametros!$C$13,"Bajo","Medio"))</f>
        <v>Alto</v>
      </c>
      <c r="Z1050" s="61" t="n">
        <v>2403</v>
      </c>
      <c r="AA1050" s="61" t="str">
        <f aca="false">IF(MATCH($A1050,Datos_Origen!$A$2:$A$2459,0)=$Z1050,"OK","REVISAR")</f>
        <v>OK</v>
      </c>
      <c r="AB1050" s="62" t="n">
        <f aca="false">INDEX(Datos_Origen!$B$2:$B$2459,$Z1050)</f>
        <v>45623</v>
      </c>
      <c r="AC1050" s="61" t="n">
        <f aca="false">INDEX(Datos_Origen!$H$2:$H$2459,$Z1050)</f>
        <v>45</v>
      </c>
      <c r="AD1050" s="61" t="str">
        <f aca="false">INDEX(Datos_Origen!$D$2:$D$2459,$Z1050)&amp;""</f>
        <v>Rosario</v>
      </c>
    </row>
    <row r="1051" customFormat="false" ht="15" hidden="false" customHeight="false" outlineLevel="0" collapsed="false">
      <c r="A1051" s="61" t="n">
        <f aca="false">INDEX(Datos_Origen!$A$2:$A$2459,$Z1051)</f>
        <v>1050</v>
      </c>
      <c r="B1051" s="62" t="n">
        <f aca="false">IF(ISNUMBER($AB1051),$AB1051,IF(MID($AB1051,5,1)="-",DATE(VALUE(LEFT($AB1051,4)),VALUE(MID($AB1051,6,2)),VALUE(RIGHT($AB1051,2))),DATE(VALUE(RIGHT($AB1051,4)),VALUE(MID($AB1051,4,2)),VALUE(LEFT($AB1051,2)))))</f>
        <v>45603</v>
      </c>
      <c r="C1051" s="61" t="n">
        <f aca="false">YEAR($B1051)</f>
        <v>2024</v>
      </c>
      <c r="D1051" s="61" t="str">
        <f aca="false">"Q"&amp;ROUNDUP(MONTH($B1051)/3,0)</f>
        <v>Q4</v>
      </c>
      <c r="E1051" s="61" t="n">
        <f aca="false">MONTH($B1051)</f>
        <v>11</v>
      </c>
      <c r="F1051" s="61" t="str">
        <f aca="false">INDEX(Parametros!$I$5:$I$16,$E1051)</f>
        <v>Nov</v>
      </c>
      <c r="G1051" s="61" t="str">
        <f aca="false">TEXT($C1051,"0000")&amp;"-"&amp;TEXT($E1051,"00")</f>
        <v>2024-11</v>
      </c>
      <c r="H1051" s="61" t="str">
        <f aca="false">INDEX(Parametros!$C$71:$C$91,MATCH(TRIM(INDEX(Datos_Origen!$C$2:$C$2459,$Z1051)),Parametros!$B$71:$B$91,0))</f>
        <v>Litoral</v>
      </c>
      <c r="I1051" s="61" t="str">
        <f aca="false">IF(TRIM($AD1051)="",INDEX(Parametros!$I$20:$I$24,MATCH($H1051,Parametros!$H$20:$H$24,0)),TRIM($AD1051))</f>
        <v>Rosario</v>
      </c>
      <c r="J1051" s="61" t="str">
        <f aca="false">INDEX(Parametros!$C$95:$C$106,MATCH(TRIM(INDEX(Datos_Origen!$E$2:$E$2459,$Z1051)),Parametros!$B$95:$B$106,0))</f>
        <v>E-commerce</v>
      </c>
      <c r="K1051" s="61" t="str">
        <f aca="false">INDEX(Parametros!$C$48:$C$67,MATCH(TRIM(INDEX(Datos_Origen!$F$2:$F$2459,$Z1051)),Parametros!$B$48:$B$67,0))</f>
        <v>Accesorios</v>
      </c>
      <c r="L1051" s="61" t="str">
        <f aca="false">$K1051&amp;" "&amp;$C1051</f>
        <v>Accesorios 2024</v>
      </c>
      <c r="M1051" s="61" t="str">
        <f aca="false">TRIM(INDEX(Datos_Origen!$G$2:$G$2459,$Z1051))</f>
        <v>Teclado Mecanico</v>
      </c>
      <c r="N1051" s="61" t="str">
        <f aca="false">$M1051&amp;" "&amp;$C1051</f>
        <v>Teclado Mecanico 2024</v>
      </c>
      <c r="O1051" s="63" t="n">
        <f aca="false">IF(ISTEXT($AC1051),VALUE($AC1051),$AC1051)</f>
        <v>22</v>
      </c>
      <c r="P1051" s="64" t="n">
        <f aca="false">INDEX(Datos_Origen!$I$2:$I$2459,$Z1051)</f>
        <v>93.1</v>
      </c>
      <c r="Q1051" s="64" t="n">
        <f aca="false">INDEX(Datos_Origen!$J$2:$J$2459,$Z1051)</f>
        <v>47.98</v>
      </c>
      <c r="R1051" s="65" t="n">
        <f aca="false">ROUND($O1051*$P1051,2)</f>
        <v>2048.2</v>
      </c>
      <c r="S1051" s="65" t="n">
        <f aca="false">ROUND($O1051*$Q1051,2)</f>
        <v>1055.56</v>
      </c>
      <c r="T1051" s="65" t="n">
        <f aca="false">ROUND($R1051*SUMIFS(Parametros!$E$28:$E$43,Parametros!$B$28:$B$43,$J1051,Parametros!$C$28:$C$43,$C1051,Parametros!$D$28:$D$43,$D1051),2)</f>
        <v>98.31</v>
      </c>
      <c r="U1051" s="65" t="n">
        <f aca="false">$R1051-$S1051-$T1051</f>
        <v>894.33</v>
      </c>
      <c r="V1051" s="66" t="n">
        <f aca="false">IFERROR($U1051/$R1051,0)</f>
        <v>0.436641929499072</v>
      </c>
      <c r="W1051" s="67" t="str">
        <f aca="false">IF(AND($V1051&gt;=Parametros!$C$8,$R1051&gt;=Parametros!$C$12),"Alta rentabilidad",IF(OR($V1051&lt;Parametros!$C$11,$R1051&lt;Parametros!$C$13),"Revisar","Estandar"))</f>
        <v>Estandar</v>
      </c>
      <c r="X1051" s="67" t="str">
        <f aca="false">IF(AND($J1051="E-commerce",IFERROR($T1051/$R1051,0)&gt;Parametros!$C$14),"Alerta","OK")</f>
        <v>OK</v>
      </c>
      <c r="Y1051" s="61" t="str">
        <f aca="false">IF($R1051&gt;=Parametros!$C$12,"Alto",IF($R1051&lt;Parametros!$C$13,"Bajo","Medio"))</f>
        <v>Medio</v>
      </c>
      <c r="Z1051" s="61" t="n">
        <v>1356</v>
      </c>
      <c r="AA1051" s="61" t="str">
        <f aca="false">IF(MATCH($A1051,Datos_Origen!$A$2:$A$2459,0)=$Z1051,"OK","REVISAR")</f>
        <v>OK</v>
      </c>
      <c r="AB1051" s="62" t="n">
        <f aca="false">INDEX(Datos_Origen!$B$2:$B$2459,$Z1051)</f>
        <v>45603</v>
      </c>
      <c r="AC1051" s="61" t="n">
        <f aca="false">INDEX(Datos_Origen!$H$2:$H$2459,$Z1051)</f>
        <v>22</v>
      </c>
      <c r="AD1051" s="61" t="str">
        <f aca="false">INDEX(Datos_Origen!$D$2:$D$2459,$Z1051)&amp;""</f>
        <v>Rosario</v>
      </c>
    </row>
    <row r="1052" customFormat="false" ht="15" hidden="false" customHeight="false" outlineLevel="0" collapsed="false">
      <c r="A1052" s="61" t="n">
        <f aca="false">INDEX(Datos_Origen!$A$2:$A$2459,$Z1052)</f>
        <v>1051</v>
      </c>
      <c r="B1052" s="62" t="n">
        <f aca="false">IF(ISNUMBER($AB1052),$AB1052,IF(MID($AB1052,5,1)="-",DATE(VALUE(LEFT($AB1052,4)),VALUE(MID($AB1052,6,2)),VALUE(RIGHT($AB1052,2))),DATE(VALUE(RIGHT($AB1052,4)),VALUE(MID($AB1052,4,2)),VALUE(LEFT($AB1052,2)))))</f>
        <v>45610</v>
      </c>
      <c r="C1052" s="61" t="n">
        <f aca="false">YEAR($B1052)</f>
        <v>2024</v>
      </c>
      <c r="D1052" s="61" t="str">
        <f aca="false">"Q"&amp;ROUNDUP(MONTH($B1052)/3,0)</f>
        <v>Q4</v>
      </c>
      <c r="E1052" s="61" t="n">
        <f aca="false">MONTH($B1052)</f>
        <v>11</v>
      </c>
      <c r="F1052" s="61" t="str">
        <f aca="false">INDEX(Parametros!$I$5:$I$16,$E1052)</f>
        <v>Nov</v>
      </c>
      <c r="G1052" s="61" t="str">
        <f aca="false">TEXT($C1052,"0000")&amp;"-"&amp;TEXT($E1052,"00")</f>
        <v>2024-11</v>
      </c>
      <c r="H1052" s="61" t="str">
        <f aca="false">INDEX(Parametros!$C$71:$C$91,MATCH(TRIM(INDEX(Datos_Origen!$C$2:$C$2459,$Z1052)),Parametros!$B$71:$B$91,0))</f>
        <v>Litoral</v>
      </c>
      <c r="I1052" s="61" t="str">
        <f aca="false">IF(TRIM($AD1052)="",INDEX(Parametros!$I$20:$I$24,MATCH($H1052,Parametros!$H$20:$H$24,0)),TRIM($AD1052))</f>
        <v>Rosario</v>
      </c>
      <c r="J1052" s="61" t="str">
        <f aca="false">INDEX(Parametros!$C$95:$C$106,MATCH(TRIM(INDEX(Datos_Origen!$E$2:$E$2459,$Z1052)),Parametros!$B$95:$B$106,0))</f>
        <v>Tienda fisica</v>
      </c>
      <c r="K1052" s="61" t="str">
        <f aca="false">INDEX(Parametros!$C$48:$C$67,MATCH(TRIM(INDEX(Datos_Origen!$F$2:$F$2459,$Z1052)),Parametros!$B$48:$B$67,0))</f>
        <v>Accesorios</v>
      </c>
      <c r="L1052" s="61" t="str">
        <f aca="false">$K1052&amp;" "&amp;$C1052</f>
        <v>Accesorios 2024</v>
      </c>
      <c r="M1052" s="61" t="str">
        <f aca="false">TRIM(INDEX(Datos_Origen!$G$2:$G$2459,$Z1052))</f>
        <v>Webcam Full HD</v>
      </c>
      <c r="N1052" s="61" t="str">
        <f aca="false">$M1052&amp;" "&amp;$C1052</f>
        <v>Webcam Full HD 2024</v>
      </c>
      <c r="O1052" s="63" t="n">
        <f aca="false">IF(ISTEXT($AC1052),VALUE($AC1052),$AC1052)</f>
        <v>59</v>
      </c>
      <c r="P1052" s="64" t="n">
        <f aca="false">INDEX(Datos_Origen!$I$2:$I$2459,$Z1052)</f>
        <v>63.7</v>
      </c>
      <c r="Q1052" s="64" t="n">
        <f aca="false">INDEX(Datos_Origen!$J$2:$J$2459,$Z1052)</f>
        <v>35.43</v>
      </c>
      <c r="R1052" s="65" t="n">
        <f aca="false">ROUND($O1052*$P1052,2)</f>
        <v>3758.3</v>
      </c>
      <c r="S1052" s="65" t="n">
        <f aca="false">ROUND($O1052*$Q1052,2)</f>
        <v>2090.37</v>
      </c>
      <c r="T1052" s="65" t="n">
        <f aca="false">ROUND($R1052*SUMIFS(Parametros!$E$28:$E$43,Parametros!$B$28:$B$43,$J1052,Parametros!$C$28:$C$43,$C1052,Parametros!$D$28:$D$43,$D1052),2)</f>
        <v>48.86</v>
      </c>
      <c r="U1052" s="65" t="n">
        <f aca="false">$R1052-$S1052-$T1052</f>
        <v>1619.07</v>
      </c>
      <c r="V1052" s="66" t="n">
        <f aca="false">IFERROR($U1052/$R1052,0)</f>
        <v>0.430798499321502</v>
      </c>
      <c r="W1052" s="67" t="str">
        <f aca="false">IF(AND($V1052&gt;=Parametros!$C$8,$R1052&gt;=Parametros!$C$12),"Alta rentabilidad",IF(OR($V1052&lt;Parametros!$C$11,$R1052&lt;Parametros!$C$13),"Revisar","Estandar"))</f>
        <v>Alta rentabilidad</v>
      </c>
      <c r="X1052" s="67" t="str">
        <f aca="false">IF(AND($J1052="E-commerce",IFERROR($T1052/$R1052,0)&gt;Parametros!$C$14),"Alerta","OK")</f>
        <v>OK</v>
      </c>
      <c r="Y1052" s="61" t="str">
        <f aca="false">IF($R1052&gt;=Parametros!$C$12,"Alto",IF($R1052&lt;Parametros!$C$13,"Bajo","Medio"))</f>
        <v>Alto</v>
      </c>
      <c r="Z1052" s="61" t="n">
        <v>1041</v>
      </c>
      <c r="AA1052" s="61" t="str">
        <f aca="false">IF(MATCH($A1052,Datos_Origen!$A$2:$A$2459,0)=$Z1052,"OK","REVISAR")</f>
        <v>OK</v>
      </c>
      <c r="AB1052" s="62" t="n">
        <f aca="false">INDEX(Datos_Origen!$B$2:$B$2459,$Z1052)</f>
        <v>45610</v>
      </c>
      <c r="AC1052" s="61" t="n">
        <f aca="false">INDEX(Datos_Origen!$H$2:$H$2459,$Z1052)</f>
        <v>59</v>
      </c>
      <c r="AD1052" s="61" t="str">
        <f aca="false">INDEX(Datos_Origen!$D$2:$D$2459,$Z1052)&amp;""</f>
        <v>Rosario</v>
      </c>
    </row>
    <row r="1053" customFormat="false" ht="15" hidden="false" customHeight="false" outlineLevel="0" collapsed="false">
      <c r="A1053" s="61" t="n">
        <f aca="false">INDEX(Datos_Origen!$A$2:$A$2459,$Z1053)</f>
        <v>1052</v>
      </c>
      <c r="B1053" s="62" t="n">
        <f aca="false">IF(ISNUMBER($AB1053),$AB1053,IF(MID($AB1053,5,1)="-",DATE(VALUE(LEFT($AB1053,4)),VALUE(MID($AB1053,6,2)),VALUE(RIGHT($AB1053,2))),DATE(VALUE(RIGHT($AB1053,4)),VALUE(MID($AB1053,4,2)),VALUE(LEFT($AB1053,2)))))</f>
        <v>45617</v>
      </c>
      <c r="C1053" s="61" t="n">
        <f aca="false">YEAR($B1053)</f>
        <v>2024</v>
      </c>
      <c r="D1053" s="61" t="str">
        <f aca="false">"Q"&amp;ROUNDUP(MONTH($B1053)/3,0)</f>
        <v>Q4</v>
      </c>
      <c r="E1053" s="61" t="n">
        <f aca="false">MONTH($B1053)</f>
        <v>11</v>
      </c>
      <c r="F1053" s="61" t="str">
        <f aca="false">INDEX(Parametros!$I$5:$I$16,$E1053)</f>
        <v>Nov</v>
      </c>
      <c r="G1053" s="61" t="str">
        <f aca="false">TEXT($C1053,"0000")&amp;"-"&amp;TEXT($E1053,"00")</f>
        <v>2024-11</v>
      </c>
      <c r="H1053" s="61" t="str">
        <f aca="false">INDEX(Parametros!$C$71:$C$91,MATCH(TRIM(INDEX(Datos_Origen!$C$2:$C$2459,$Z1053)),Parametros!$B$71:$B$91,0))</f>
        <v>Litoral</v>
      </c>
      <c r="I1053" s="61" t="str">
        <f aca="false">IF(TRIM($AD1053)="",INDEX(Parametros!$I$20:$I$24,MATCH($H1053,Parametros!$H$20:$H$24,0)),TRIM($AD1053))</f>
        <v>Rosario</v>
      </c>
      <c r="J1053" s="61" t="str">
        <f aca="false">INDEX(Parametros!$C$95:$C$106,MATCH(TRIM(INDEX(Datos_Origen!$E$2:$E$2459,$Z1053)),Parametros!$B$95:$B$106,0))</f>
        <v>E-commerce</v>
      </c>
      <c r="K1053" s="61" t="str">
        <f aca="false">INDEX(Parametros!$C$48:$C$67,MATCH(TRIM(INDEX(Datos_Origen!$F$2:$F$2459,$Z1053)),Parametros!$B$48:$B$67,0))</f>
        <v>Accesorios</v>
      </c>
      <c r="L1053" s="61" t="str">
        <f aca="false">$K1053&amp;" "&amp;$C1053</f>
        <v>Accesorios 2024</v>
      </c>
      <c r="M1053" s="61" t="str">
        <f aca="false">TRIM(INDEX(Datos_Origen!$G$2:$G$2459,$Z1053))</f>
        <v>Webcam Full HD</v>
      </c>
      <c r="N1053" s="61" t="str">
        <f aca="false">$M1053&amp;" "&amp;$C1053</f>
        <v>Webcam Full HD 2024</v>
      </c>
      <c r="O1053" s="63" t="n">
        <f aca="false">IF(ISTEXT($AC1053),VALUE($AC1053),$AC1053)</f>
        <v>19</v>
      </c>
      <c r="P1053" s="64" t="n">
        <f aca="false">INDEX(Datos_Origen!$I$2:$I$2459,$Z1053)</f>
        <v>63.7</v>
      </c>
      <c r="Q1053" s="64" t="n">
        <f aca="false">INDEX(Datos_Origen!$J$2:$J$2459,$Z1053)</f>
        <v>35.43</v>
      </c>
      <c r="R1053" s="65" t="n">
        <f aca="false">ROUND($O1053*$P1053,2)</f>
        <v>1210.3</v>
      </c>
      <c r="S1053" s="65" t="n">
        <f aca="false">ROUND($O1053*$Q1053,2)</f>
        <v>673.17</v>
      </c>
      <c r="T1053" s="65" t="n">
        <f aca="false">ROUND($R1053*SUMIFS(Parametros!$E$28:$E$43,Parametros!$B$28:$B$43,$J1053,Parametros!$C$28:$C$43,$C1053,Parametros!$D$28:$D$43,$D1053),2)</f>
        <v>58.09</v>
      </c>
      <c r="U1053" s="65" t="n">
        <f aca="false">$R1053-$S1053-$T1053</f>
        <v>479.04</v>
      </c>
      <c r="V1053" s="66" t="n">
        <f aca="false">IFERROR($U1053/$R1053,0)</f>
        <v>0.395802693547054</v>
      </c>
      <c r="W1053" s="67" t="str">
        <f aca="false">IF(AND($V1053&gt;=Parametros!$C$8,$R1053&gt;=Parametros!$C$12),"Alta rentabilidad",IF(OR($V1053&lt;Parametros!$C$11,$R1053&lt;Parametros!$C$13),"Revisar","Estandar"))</f>
        <v>Estandar</v>
      </c>
      <c r="X1053" s="67" t="str">
        <f aca="false">IF(AND($J1053="E-commerce",IFERROR($T1053/$R1053,0)&gt;Parametros!$C$14),"Alerta","OK")</f>
        <v>OK</v>
      </c>
      <c r="Y1053" s="61" t="str">
        <f aca="false">IF($R1053&gt;=Parametros!$C$12,"Alto",IF($R1053&lt;Parametros!$C$13,"Bajo","Medio"))</f>
        <v>Medio</v>
      </c>
      <c r="Z1053" s="61" t="n">
        <v>1705</v>
      </c>
      <c r="AA1053" s="61" t="str">
        <f aca="false">IF(MATCH($A1053,Datos_Origen!$A$2:$A$2459,0)=$Z1053,"OK","REVISAR")</f>
        <v>OK</v>
      </c>
      <c r="AB1053" s="62" t="n">
        <f aca="false">INDEX(Datos_Origen!$B$2:$B$2459,$Z1053)</f>
        <v>45617</v>
      </c>
      <c r="AC1053" s="61" t="n">
        <f aca="false">INDEX(Datos_Origen!$H$2:$H$2459,$Z1053)</f>
        <v>19</v>
      </c>
      <c r="AD1053" s="61" t="str">
        <f aca="false">INDEX(Datos_Origen!$D$2:$D$2459,$Z1053)&amp;""</f>
        <v>Rosario</v>
      </c>
    </row>
    <row r="1054" customFormat="false" ht="15" hidden="false" customHeight="false" outlineLevel="0" collapsed="false">
      <c r="A1054" s="61" t="n">
        <f aca="false">INDEX(Datos_Origen!$A$2:$A$2459,$Z1054)</f>
        <v>1053</v>
      </c>
      <c r="B1054" s="62" t="n">
        <f aca="false">IF(ISNUMBER($AB1054),$AB1054,IF(MID($AB1054,5,1)="-",DATE(VALUE(LEFT($AB1054,4)),VALUE(MID($AB1054,6,2)),VALUE(RIGHT($AB1054,2))),DATE(VALUE(RIGHT($AB1054,4)),VALUE(MID($AB1054,4,2)),VALUE(LEFT($AB1054,2)))))</f>
        <v>45597</v>
      </c>
      <c r="C1054" s="61" t="n">
        <f aca="false">YEAR($B1054)</f>
        <v>2024</v>
      </c>
      <c r="D1054" s="61" t="str">
        <f aca="false">"Q"&amp;ROUNDUP(MONTH($B1054)/3,0)</f>
        <v>Q4</v>
      </c>
      <c r="E1054" s="61" t="n">
        <f aca="false">MONTH($B1054)</f>
        <v>11</v>
      </c>
      <c r="F1054" s="61" t="str">
        <f aca="false">INDEX(Parametros!$I$5:$I$16,$E1054)</f>
        <v>Nov</v>
      </c>
      <c r="G1054" s="61" t="str">
        <f aca="false">TEXT($C1054,"0000")&amp;"-"&amp;TEXT($E1054,"00")</f>
        <v>2024-11</v>
      </c>
      <c r="H1054" s="61" t="str">
        <f aca="false">INDEX(Parametros!$C$71:$C$91,MATCH(TRIM(INDEX(Datos_Origen!$C$2:$C$2459,$Z1054)),Parametros!$B$71:$B$91,0))</f>
        <v>Litoral</v>
      </c>
      <c r="I1054" s="61" t="str">
        <f aca="false">IF(TRIM($AD1054)="",INDEX(Parametros!$I$20:$I$24,MATCH($H1054,Parametros!$H$20:$H$24,0)),TRIM($AD1054))</f>
        <v>Rosario</v>
      </c>
      <c r="J1054" s="61" t="str">
        <f aca="false">INDEX(Parametros!$C$95:$C$106,MATCH(TRIM(INDEX(Datos_Origen!$E$2:$E$2459,$Z1054)),Parametros!$B$95:$B$106,0))</f>
        <v>Tienda fisica</v>
      </c>
      <c r="K1054" s="61" t="str">
        <f aca="false">INDEX(Parametros!$C$48:$C$67,MATCH(TRIM(INDEX(Datos_Origen!$F$2:$F$2459,$Z1054)),Parametros!$B$48:$B$67,0))</f>
        <v>Audio</v>
      </c>
      <c r="L1054" s="61" t="str">
        <f aca="false">$K1054&amp;" "&amp;$C1054</f>
        <v>Audio 2024</v>
      </c>
      <c r="M1054" s="61" t="str">
        <f aca="false">TRIM(INDEX(Datos_Origen!$G$2:$G$2459,$Z1054))</f>
        <v>Auriculares BT Pro</v>
      </c>
      <c r="N1054" s="61" t="str">
        <f aca="false">$M1054&amp;" "&amp;$C1054</f>
        <v>Auriculares BT Pro 2024</v>
      </c>
      <c r="O1054" s="63" t="n">
        <f aca="false">IF(ISTEXT($AC1054),VALUE($AC1054),$AC1054)</f>
        <v>25</v>
      </c>
      <c r="P1054" s="64" t="n">
        <f aca="false">INDEX(Datos_Origen!$I$2:$I$2459,$Z1054)</f>
        <v>117.6</v>
      </c>
      <c r="Q1054" s="64" t="n">
        <f aca="false">INDEX(Datos_Origen!$J$2:$J$2459,$Z1054)</f>
        <v>63.6</v>
      </c>
      <c r="R1054" s="65" t="n">
        <f aca="false">ROUND($O1054*$P1054,2)</f>
        <v>2940</v>
      </c>
      <c r="S1054" s="65" t="n">
        <f aca="false">ROUND($O1054*$Q1054,2)</f>
        <v>1590</v>
      </c>
      <c r="T1054" s="65" t="n">
        <f aca="false">ROUND($R1054*SUMIFS(Parametros!$E$28:$E$43,Parametros!$B$28:$B$43,$J1054,Parametros!$C$28:$C$43,$C1054,Parametros!$D$28:$D$43,$D1054),2)</f>
        <v>38.22</v>
      </c>
      <c r="U1054" s="65" t="n">
        <f aca="false">$R1054-$S1054-$T1054</f>
        <v>1311.78</v>
      </c>
      <c r="V1054" s="66" t="n">
        <f aca="false">IFERROR($U1054/$R1054,0)</f>
        <v>0.446183673469388</v>
      </c>
      <c r="W1054" s="67" t="str">
        <f aca="false">IF(AND($V1054&gt;=Parametros!$C$8,$R1054&gt;=Parametros!$C$12),"Alta rentabilidad",IF(OR($V1054&lt;Parametros!$C$11,$R1054&lt;Parametros!$C$13),"Revisar","Estandar"))</f>
        <v>Estandar</v>
      </c>
      <c r="X1054" s="67" t="str">
        <f aca="false">IF(AND($J1054="E-commerce",IFERROR($T1054/$R1054,0)&gt;Parametros!$C$14),"Alerta","OK")</f>
        <v>OK</v>
      </c>
      <c r="Y1054" s="61" t="str">
        <f aca="false">IF($R1054&gt;=Parametros!$C$12,"Alto",IF($R1054&lt;Parametros!$C$13,"Bajo","Medio"))</f>
        <v>Medio</v>
      </c>
      <c r="Z1054" s="61" t="n">
        <v>1563</v>
      </c>
      <c r="AA1054" s="61" t="str">
        <f aca="false">IF(MATCH($A1054,Datos_Origen!$A$2:$A$2459,0)=$Z1054,"OK","REVISAR")</f>
        <v>OK</v>
      </c>
      <c r="AB1054" s="61" t="str">
        <f aca="false">INDEX(Datos_Origen!$B$2:$B$2459,$Z1054)</f>
        <v>2024-11-01</v>
      </c>
      <c r="AC1054" s="61" t="n">
        <f aca="false">INDEX(Datos_Origen!$H$2:$H$2459,$Z1054)</f>
        <v>25</v>
      </c>
      <c r="AD1054" s="61" t="str">
        <f aca="false">INDEX(Datos_Origen!$D$2:$D$2459,$Z1054)&amp;""</f>
        <v>Rosario</v>
      </c>
    </row>
    <row r="1055" customFormat="false" ht="15" hidden="false" customHeight="false" outlineLevel="0" collapsed="false">
      <c r="A1055" s="61" t="n">
        <f aca="false">INDEX(Datos_Origen!$A$2:$A$2459,$Z1055)</f>
        <v>1054</v>
      </c>
      <c r="B1055" s="62" t="n">
        <f aca="false">IF(ISNUMBER($AB1055),$AB1055,IF(MID($AB1055,5,1)="-",DATE(VALUE(LEFT($AB1055,4)),VALUE(MID($AB1055,6,2)),VALUE(RIGHT($AB1055,2))),DATE(VALUE(RIGHT($AB1055,4)),VALUE(MID($AB1055,4,2)),VALUE(LEFT($AB1055,2)))))</f>
        <v>45604</v>
      </c>
      <c r="C1055" s="61" t="n">
        <f aca="false">YEAR($B1055)</f>
        <v>2024</v>
      </c>
      <c r="D1055" s="61" t="str">
        <f aca="false">"Q"&amp;ROUNDUP(MONTH($B1055)/3,0)</f>
        <v>Q4</v>
      </c>
      <c r="E1055" s="61" t="n">
        <f aca="false">MONTH($B1055)</f>
        <v>11</v>
      </c>
      <c r="F1055" s="61" t="str">
        <f aca="false">INDEX(Parametros!$I$5:$I$16,$E1055)</f>
        <v>Nov</v>
      </c>
      <c r="G1055" s="61" t="str">
        <f aca="false">TEXT($C1055,"0000")&amp;"-"&amp;TEXT($E1055,"00")</f>
        <v>2024-11</v>
      </c>
      <c r="H1055" s="61" t="str">
        <f aca="false">INDEX(Parametros!$C$71:$C$91,MATCH(TRIM(INDEX(Datos_Origen!$C$2:$C$2459,$Z1055)),Parametros!$B$71:$B$91,0))</f>
        <v>Litoral</v>
      </c>
      <c r="I1055" s="61" t="str">
        <f aca="false">IF(TRIM($AD1055)="",INDEX(Parametros!$I$20:$I$24,MATCH($H1055,Parametros!$H$20:$H$24,0)),TRIM($AD1055))</f>
        <v>Rosario</v>
      </c>
      <c r="J1055" s="61" t="str">
        <f aca="false">INDEX(Parametros!$C$95:$C$106,MATCH(TRIM(INDEX(Datos_Origen!$E$2:$E$2459,$Z1055)),Parametros!$B$95:$B$106,0))</f>
        <v>E-commerce</v>
      </c>
      <c r="K1055" s="61" t="str">
        <f aca="false">INDEX(Parametros!$C$48:$C$67,MATCH(TRIM(INDEX(Datos_Origen!$F$2:$F$2459,$Z1055)),Parametros!$B$48:$B$67,0))</f>
        <v>Audio</v>
      </c>
      <c r="L1055" s="61" t="str">
        <f aca="false">$K1055&amp;" "&amp;$C1055</f>
        <v>Audio 2024</v>
      </c>
      <c r="M1055" s="61" t="str">
        <f aca="false">TRIM(INDEX(Datos_Origen!$G$2:$G$2459,$Z1055))</f>
        <v>Auriculares BT Pro</v>
      </c>
      <c r="N1055" s="61" t="str">
        <f aca="false">$M1055&amp;" "&amp;$C1055</f>
        <v>Auriculares BT Pro 2024</v>
      </c>
      <c r="O1055" s="63" t="n">
        <f aca="false">IF(ISTEXT($AC1055),VALUE($AC1055),$AC1055)</f>
        <v>8</v>
      </c>
      <c r="P1055" s="64" t="n">
        <f aca="false">INDEX(Datos_Origen!$I$2:$I$2459,$Z1055)</f>
        <v>117.6</v>
      </c>
      <c r="Q1055" s="64" t="n">
        <f aca="false">INDEX(Datos_Origen!$J$2:$J$2459,$Z1055)</f>
        <v>63.6</v>
      </c>
      <c r="R1055" s="65" t="n">
        <f aca="false">ROUND($O1055*$P1055,2)</f>
        <v>940.8</v>
      </c>
      <c r="S1055" s="65" t="n">
        <f aca="false">ROUND($O1055*$Q1055,2)</f>
        <v>508.8</v>
      </c>
      <c r="T1055" s="65" t="n">
        <f aca="false">ROUND($R1055*SUMIFS(Parametros!$E$28:$E$43,Parametros!$B$28:$B$43,$J1055,Parametros!$C$28:$C$43,$C1055,Parametros!$D$28:$D$43,$D1055),2)</f>
        <v>45.16</v>
      </c>
      <c r="U1055" s="65" t="n">
        <f aca="false">$R1055-$S1055-$T1055</f>
        <v>386.84</v>
      </c>
      <c r="V1055" s="66" t="n">
        <f aca="false">IFERROR($U1055/$R1055,0)</f>
        <v>0.411181972789116</v>
      </c>
      <c r="W1055" s="67" t="str">
        <f aca="false">IF(AND($V1055&gt;=Parametros!$C$8,$R1055&gt;=Parametros!$C$12),"Alta rentabilidad",IF(OR($V1055&lt;Parametros!$C$11,$R1055&lt;Parametros!$C$13),"Revisar","Estandar"))</f>
        <v>Estandar</v>
      </c>
      <c r="X1055" s="67" t="str">
        <f aca="false">IF(AND($J1055="E-commerce",IFERROR($T1055/$R1055,0)&gt;Parametros!$C$14),"Alerta","OK")</f>
        <v>OK</v>
      </c>
      <c r="Y1055" s="61" t="str">
        <f aca="false">IF($R1055&gt;=Parametros!$C$12,"Alto",IF($R1055&lt;Parametros!$C$13,"Bajo","Medio"))</f>
        <v>Medio</v>
      </c>
      <c r="Z1055" s="61" t="n">
        <v>855</v>
      </c>
      <c r="AA1055" s="61" t="str">
        <f aca="false">IF(MATCH($A1055,Datos_Origen!$A$2:$A$2459,0)=$Z1055,"OK","REVISAR")</f>
        <v>OK</v>
      </c>
      <c r="AB1055" s="61" t="str">
        <f aca="false">INDEX(Datos_Origen!$B$2:$B$2459,$Z1055)</f>
        <v>08/11/2024</v>
      </c>
      <c r="AC1055" s="61" t="n">
        <f aca="false">INDEX(Datos_Origen!$H$2:$H$2459,$Z1055)</f>
        <v>8</v>
      </c>
      <c r="AD1055" s="61" t="str">
        <f aca="false">INDEX(Datos_Origen!$D$2:$D$2459,$Z1055)&amp;""</f>
        <v>Rosario</v>
      </c>
    </row>
    <row r="1056" customFormat="false" ht="15" hidden="false" customHeight="false" outlineLevel="0" collapsed="false">
      <c r="A1056" s="61" t="n">
        <f aca="false">INDEX(Datos_Origen!$A$2:$A$2459,$Z1056)</f>
        <v>1055</v>
      </c>
      <c r="B1056" s="62" t="n">
        <f aca="false">IF(ISNUMBER($AB1056),$AB1056,IF(MID($AB1056,5,1)="-",DATE(VALUE(LEFT($AB1056,4)),VALUE(MID($AB1056,6,2)),VALUE(RIGHT($AB1056,2))),DATE(VALUE(RIGHT($AB1056,4)),VALUE(MID($AB1056,4,2)),VALUE(LEFT($AB1056,2)))))</f>
        <v>45611</v>
      </c>
      <c r="C1056" s="61" t="n">
        <f aca="false">YEAR($B1056)</f>
        <v>2024</v>
      </c>
      <c r="D1056" s="61" t="str">
        <f aca="false">"Q"&amp;ROUNDUP(MONTH($B1056)/3,0)</f>
        <v>Q4</v>
      </c>
      <c r="E1056" s="61" t="n">
        <f aca="false">MONTH($B1056)</f>
        <v>11</v>
      </c>
      <c r="F1056" s="61" t="str">
        <f aca="false">INDEX(Parametros!$I$5:$I$16,$E1056)</f>
        <v>Nov</v>
      </c>
      <c r="G1056" s="61" t="str">
        <f aca="false">TEXT($C1056,"0000")&amp;"-"&amp;TEXT($E1056,"00")</f>
        <v>2024-11</v>
      </c>
      <c r="H1056" s="61" t="str">
        <f aca="false">INDEX(Parametros!$C$71:$C$91,MATCH(TRIM(INDEX(Datos_Origen!$C$2:$C$2459,$Z1056)),Parametros!$B$71:$B$91,0))</f>
        <v>Litoral</v>
      </c>
      <c r="I1056" s="61" t="str">
        <f aca="false">IF(TRIM($AD1056)="",INDEX(Parametros!$I$20:$I$24,MATCH($H1056,Parametros!$H$20:$H$24,0)),TRIM($AD1056))</f>
        <v>Rosario</v>
      </c>
      <c r="J1056" s="61" t="str">
        <f aca="false">INDEX(Parametros!$C$95:$C$106,MATCH(TRIM(INDEX(Datos_Origen!$E$2:$E$2459,$Z1056)),Parametros!$B$95:$B$106,0))</f>
        <v>Tienda fisica</v>
      </c>
      <c r="K1056" s="61" t="str">
        <f aca="false">INDEX(Parametros!$C$48:$C$67,MATCH(TRIM(INDEX(Datos_Origen!$F$2:$F$2459,$Z1056)),Parametros!$B$48:$B$67,0))</f>
        <v>Audio</v>
      </c>
      <c r="L1056" s="61" t="str">
        <f aca="false">$K1056&amp;" "&amp;$C1056</f>
        <v>Audio 2024</v>
      </c>
      <c r="M1056" s="61" t="str">
        <f aca="false">TRIM(INDEX(Datos_Origen!$G$2:$G$2459,$Z1056))</f>
        <v>Parlante Bluetooth</v>
      </c>
      <c r="N1056" s="61" t="str">
        <f aca="false">$M1056&amp;" "&amp;$C1056</f>
        <v>Parlante Bluetooth 2024</v>
      </c>
      <c r="O1056" s="63" t="n">
        <f aca="false">IF(ISTEXT($AC1056),VALUE($AC1056),$AC1056)</f>
        <v>27</v>
      </c>
      <c r="P1056" s="64" t="n">
        <f aca="false">INDEX(Datos_Origen!$I$2:$I$2459,$Z1056)</f>
        <v>83.3</v>
      </c>
      <c r="Q1056" s="64" t="n">
        <f aca="false">INDEX(Datos_Origen!$J$2:$J$2459,$Z1056)</f>
        <v>48.03</v>
      </c>
      <c r="R1056" s="65" t="n">
        <f aca="false">ROUND($O1056*$P1056,2)</f>
        <v>2249.1</v>
      </c>
      <c r="S1056" s="65" t="n">
        <f aca="false">ROUND($O1056*$Q1056,2)</f>
        <v>1296.81</v>
      </c>
      <c r="T1056" s="65" t="n">
        <f aca="false">ROUND($R1056*SUMIFS(Parametros!$E$28:$E$43,Parametros!$B$28:$B$43,$J1056,Parametros!$C$28:$C$43,$C1056,Parametros!$D$28:$D$43,$D1056),2)</f>
        <v>29.24</v>
      </c>
      <c r="U1056" s="65" t="n">
        <f aca="false">$R1056-$S1056-$T1056</f>
        <v>923.05</v>
      </c>
      <c r="V1056" s="66" t="n">
        <f aca="false">IFERROR($U1056/$R1056,0)</f>
        <v>0.4104086078876</v>
      </c>
      <c r="W1056" s="67" t="str">
        <f aca="false">IF(AND($V1056&gt;=Parametros!$C$8,$R1056&gt;=Parametros!$C$12),"Alta rentabilidad",IF(OR($V1056&lt;Parametros!$C$11,$R1056&lt;Parametros!$C$13),"Revisar","Estandar"))</f>
        <v>Estandar</v>
      </c>
      <c r="X1056" s="67" t="str">
        <f aca="false">IF(AND($J1056="E-commerce",IFERROR($T1056/$R1056,0)&gt;Parametros!$C$14),"Alerta","OK")</f>
        <v>OK</v>
      </c>
      <c r="Y1056" s="61" t="str">
        <f aca="false">IF($R1056&gt;=Parametros!$C$12,"Alto",IF($R1056&lt;Parametros!$C$13,"Bajo","Medio"))</f>
        <v>Medio</v>
      </c>
      <c r="Z1056" s="61" t="n">
        <v>190</v>
      </c>
      <c r="AA1056" s="61" t="str">
        <f aca="false">IF(MATCH($A1056,Datos_Origen!$A$2:$A$2459,0)=$Z1056,"OK","REVISAR")</f>
        <v>OK</v>
      </c>
      <c r="AB1056" s="62" t="n">
        <f aca="false">INDEX(Datos_Origen!$B$2:$B$2459,$Z1056)</f>
        <v>45611</v>
      </c>
      <c r="AC1056" s="61" t="n">
        <f aca="false">INDEX(Datos_Origen!$H$2:$H$2459,$Z1056)</f>
        <v>27</v>
      </c>
      <c r="AD1056" s="61" t="str">
        <f aca="false">INDEX(Datos_Origen!$D$2:$D$2459,$Z1056)&amp;""</f>
        <v>Rosario</v>
      </c>
    </row>
    <row r="1057" customFormat="false" ht="15" hidden="false" customHeight="false" outlineLevel="0" collapsed="false">
      <c r="A1057" s="61" t="n">
        <f aca="false">INDEX(Datos_Origen!$A$2:$A$2459,$Z1057)</f>
        <v>1056</v>
      </c>
      <c r="B1057" s="62" t="n">
        <f aca="false">IF(ISNUMBER($AB1057),$AB1057,IF(MID($AB1057,5,1)="-",DATE(VALUE(LEFT($AB1057,4)),VALUE(MID($AB1057,6,2)),VALUE(RIGHT($AB1057,2))),DATE(VALUE(RIGHT($AB1057,4)),VALUE(MID($AB1057,4,2)),VALUE(LEFT($AB1057,2)))))</f>
        <v>45618</v>
      </c>
      <c r="C1057" s="61" t="n">
        <f aca="false">YEAR($B1057)</f>
        <v>2024</v>
      </c>
      <c r="D1057" s="61" t="str">
        <f aca="false">"Q"&amp;ROUNDUP(MONTH($B1057)/3,0)</f>
        <v>Q4</v>
      </c>
      <c r="E1057" s="61" t="n">
        <f aca="false">MONTH($B1057)</f>
        <v>11</v>
      </c>
      <c r="F1057" s="61" t="str">
        <f aca="false">INDEX(Parametros!$I$5:$I$16,$E1057)</f>
        <v>Nov</v>
      </c>
      <c r="G1057" s="61" t="str">
        <f aca="false">TEXT($C1057,"0000")&amp;"-"&amp;TEXT($E1057,"00")</f>
        <v>2024-11</v>
      </c>
      <c r="H1057" s="61" t="str">
        <f aca="false">INDEX(Parametros!$C$71:$C$91,MATCH(TRIM(INDEX(Datos_Origen!$C$2:$C$2459,$Z1057)),Parametros!$B$71:$B$91,0))</f>
        <v>Litoral</v>
      </c>
      <c r="I1057" s="61" t="str">
        <f aca="false">IF(TRIM($AD1057)="",INDEX(Parametros!$I$20:$I$24,MATCH($H1057,Parametros!$H$20:$H$24,0)),TRIM($AD1057))</f>
        <v>Rosario</v>
      </c>
      <c r="J1057" s="61" t="str">
        <f aca="false">INDEX(Parametros!$C$95:$C$106,MATCH(TRIM(INDEX(Datos_Origen!$E$2:$E$2459,$Z1057)),Parametros!$B$95:$B$106,0))</f>
        <v>E-commerce</v>
      </c>
      <c r="K1057" s="61" t="str">
        <f aca="false">INDEX(Parametros!$C$48:$C$67,MATCH(TRIM(INDEX(Datos_Origen!$F$2:$F$2459,$Z1057)),Parametros!$B$48:$B$67,0))</f>
        <v>Audio</v>
      </c>
      <c r="L1057" s="61" t="str">
        <f aca="false">$K1057&amp;" "&amp;$C1057</f>
        <v>Audio 2024</v>
      </c>
      <c r="M1057" s="61" t="str">
        <f aca="false">TRIM(INDEX(Datos_Origen!$G$2:$G$2459,$Z1057))</f>
        <v>Parlante Bluetooth</v>
      </c>
      <c r="N1057" s="61" t="str">
        <f aca="false">$M1057&amp;" "&amp;$C1057</f>
        <v>Parlante Bluetooth 2024</v>
      </c>
      <c r="O1057" s="63" t="n">
        <f aca="false">IF(ISTEXT($AC1057),VALUE($AC1057),$AC1057)</f>
        <v>9</v>
      </c>
      <c r="P1057" s="64" t="n">
        <f aca="false">INDEX(Datos_Origen!$I$2:$I$2459,$Z1057)</f>
        <v>83.3</v>
      </c>
      <c r="Q1057" s="64" t="n">
        <f aca="false">INDEX(Datos_Origen!$J$2:$J$2459,$Z1057)</f>
        <v>48.03</v>
      </c>
      <c r="R1057" s="65" t="n">
        <f aca="false">ROUND($O1057*$P1057,2)</f>
        <v>749.7</v>
      </c>
      <c r="S1057" s="65" t="n">
        <f aca="false">ROUND($O1057*$Q1057,2)</f>
        <v>432.27</v>
      </c>
      <c r="T1057" s="65" t="n">
        <f aca="false">ROUND($R1057*SUMIFS(Parametros!$E$28:$E$43,Parametros!$B$28:$B$43,$J1057,Parametros!$C$28:$C$43,$C1057,Parametros!$D$28:$D$43,$D1057),2)</f>
        <v>35.99</v>
      </c>
      <c r="U1057" s="65" t="n">
        <f aca="false">$R1057-$S1057-$T1057</f>
        <v>281.44</v>
      </c>
      <c r="V1057" s="66" t="n">
        <f aca="false">IFERROR($U1057/$R1057,0)</f>
        <v>0.375403494731226</v>
      </c>
      <c r="W1057" s="67" t="str">
        <f aca="false">IF(AND($V1057&gt;=Parametros!$C$8,$R1057&gt;=Parametros!$C$12),"Alta rentabilidad",IF(OR($V1057&lt;Parametros!$C$11,$R1057&lt;Parametros!$C$13),"Revisar","Estandar"))</f>
        <v>Estandar</v>
      </c>
      <c r="X1057" s="67" t="str">
        <f aca="false">IF(AND($J1057="E-commerce",IFERROR($T1057/$R1057,0)&gt;Parametros!$C$14),"Alerta","OK")</f>
        <v>OK</v>
      </c>
      <c r="Y1057" s="61" t="str">
        <f aca="false">IF($R1057&gt;=Parametros!$C$12,"Alto",IF($R1057&lt;Parametros!$C$13,"Bajo","Medio"))</f>
        <v>Medio</v>
      </c>
      <c r="Z1057" s="61" t="n">
        <v>1928</v>
      </c>
      <c r="AA1057" s="61" t="str">
        <f aca="false">IF(MATCH($A1057,Datos_Origen!$A$2:$A$2459,0)=$Z1057,"OK","REVISAR")</f>
        <v>OK</v>
      </c>
      <c r="AB1057" s="62" t="n">
        <f aca="false">INDEX(Datos_Origen!$B$2:$B$2459,$Z1057)</f>
        <v>45618</v>
      </c>
      <c r="AC1057" s="61" t="n">
        <f aca="false">INDEX(Datos_Origen!$H$2:$H$2459,$Z1057)</f>
        <v>9</v>
      </c>
      <c r="AD1057" s="61" t="str">
        <f aca="false">INDEX(Datos_Origen!$D$2:$D$2459,$Z1057)&amp;""</f>
        <v>Rosario</v>
      </c>
    </row>
    <row r="1058" customFormat="false" ht="15" hidden="false" customHeight="false" outlineLevel="0" collapsed="false">
      <c r="A1058" s="61" t="n">
        <f aca="false">INDEX(Datos_Origen!$A$2:$A$2459,$Z1058)</f>
        <v>1057</v>
      </c>
      <c r="B1058" s="62" t="n">
        <f aca="false">IF(ISNUMBER($AB1058),$AB1058,IF(MID($AB1058,5,1)="-",DATE(VALUE(LEFT($AB1058,4)),VALUE(MID($AB1058,6,2)),VALUE(RIGHT($AB1058,2))),DATE(VALUE(RIGHT($AB1058,4)),VALUE(MID($AB1058,4,2)),VALUE(LEFT($AB1058,2)))))</f>
        <v>45598</v>
      </c>
      <c r="C1058" s="61" t="n">
        <f aca="false">YEAR($B1058)</f>
        <v>2024</v>
      </c>
      <c r="D1058" s="61" t="str">
        <f aca="false">"Q"&amp;ROUNDUP(MONTH($B1058)/3,0)</f>
        <v>Q4</v>
      </c>
      <c r="E1058" s="61" t="n">
        <f aca="false">MONTH($B1058)</f>
        <v>11</v>
      </c>
      <c r="F1058" s="61" t="str">
        <f aca="false">INDEX(Parametros!$I$5:$I$16,$E1058)</f>
        <v>Nov</v>
      </c>
      <c r="G1058" s="61" t="str">
        <f aca="false">TEXT($C1058,"0000")&amp;"-"&amp;TEXT($E1058,"00")</f>
        <v>2024-11</v>
      </c>
      <c r="H1058" s="61" t="str">
        <f aca="false">INDEX(Parametros!$C$71:$C$91,MATCH(TRIM(INDEX(Datos_Origen!$C$2:$C$2459,$Z1058)),Parametros!$B$71:$B$91,0))</f>
        <v>Litoral</v>
      </c>
      <c r="I1058" s="61" t="str">
        <f aca="false">IF(TRIM($AD1058)="",INDEX(Parametros!$I$20:$I$24,MATCH($H1058,Parametros!$H$20:$H$24,0)),TRIM($AD1058))</f>
        <v>Rosario</v>
      </c>
      <c r="J1058" s="61" t="str">
        <f aca="false">INDEX(Parametros!$C$95:$C$106,MATCH(TRIM(INDEX(Datos_Origen!$E$2:$E$2459,$Z1058)),Parametros!$B$95:$B$106,0))</f>
        <v>Tienda fisica</v>
      </c>
      <c r="K1058" s="61" t="str">
        <f aca="false">INDEX(Parametros!$C$48:$C$67,MATCH(TRIM(INDEX(Datos_Origen!$F$2:$F$2459,$Z1058)),Parametros!$B$48:$B$67,0))</f>
        <v>Almacenamiento</v>
      </c>
      <c r="L1058" s="61" t="str">
        <f aca="false">$K1058&amp;" "&amp;$C1058</f>
        <v>Almacenamiento 2024</v>
      </c>
      <c r="M1058" s="61" t="str">
        <f aca="false">TRIM(INDEX(Datos_Origen!$G$2:$G$2459,$Z1058))</f>
        <v>SSD Externo 1TB</v>
      </c>
      <c r="N1058" s="61" t="str">
        <f aca="false">$M1058&amp;" "&amp;$C1058</f>
        <v>SSD Externo 1TB 2024</v>
      </c>
      <c r="O1058" s="63" t="n">
        <f aca="false">IF(ISTEXT($AC1058),VALUE($AC1058),$AC1058)</f>
        <v>34</v>
      </c>
      <c r="P1058" s="64" t="n">
        <f aca="false">INDEX(Datos_Origen!$I$2:$I$2459,$Z1058)</f>
        <v>127.4</v>
      </c>
      <c r="Q1058" s="64" t="n">
        <f aca="false">INDEX(Datos_Origen!$J$2:$J$2459,$Z1058)</f>
        <v>76.05</v>
      </c>
      <c r="R1058" s="65" t="n">
        <f aca="false">ROUND($O1058*$P1058,2)</f>
        <v>4331.6</v>
      </c>
      <c r="S1058" s="65" t="n">
        <f aca="false">ROUND($O1058*$Q1058,2)</f>
        <v>2585.7</v>
      </c>
      <c r="T1058" s="65" t="n">
        <f aca="false">ROUND($R1058*SUMIFS(Parametros!$E$28:$E$43,Parametros!$B$28:$B$43,$J1058,Parametros!$C$28:$C$43,$C1058,Parametros!$D$28:$D$43,$D1058),2)</f>
        <v>56.31</v>
      </c>
      <c r="U1058" s="65" t="n">
        <f aca="false">$R1058-$S1058-$T1058</f>
        <v>1689.59</v>
      </c>
      <c r="V1058" s="66" t="n">
        <f aca="false">IFERROR($U1058/$R1058,0)</f>
        <v>0.390061409179056</v>
      </c>
      <c r="W1058" s="67" t="str">
        <f aca="false">IF(AND($V1058&gt;=Parametros!$C$8,$R1058&gt;=Parametros!$C$12),"Alta rentabilidad",IF(OR($V1058&lt;Parametros!$C$11,$R1058&lt;Parametros!$C$13),"Revisar","Estandar"))</f>
        <v>Alta rentabilidad</v>
      </c>
      <c r="X1058" s="67" t="str">
        <f aca="false">IF(AND($J1058="E-commerce",IFERROR($T1058/$R1058,0)&gt;Parametros!$C$14),"Alerta","OK")</f>
        <v>OK</v>
      </c>
      <c r="Y1058" s="61" t="str">
        <f aca="false">IF($R1058&gt;=Parametros!$C$12,"Alto",IF($R1058&lt;Parametros!$C$13,"Bajo","Medio"))</f>
        <v>Alto</v>
      </c>
      <c r="Z1058" s="61" t="n">
        <v>1335</v>
      </c>
      <c r="AA1058" s="61" t="str">
        <f aca="false">IF(MATCH($A1058,Datos_Origen!$A$2:$A$2459,0)=$Z1058,"OK","REVISAR")</f>
        <v>OK</v>
      </c>
      <c r="AB1058" s="61" t="str">
        <f aca="false">INDEX(Datos_Origen!$B$2:$B$2459,$Z1058)</f>
        <v>2024-11-02</v>
      </c>
      <c r="AC1058" s="61" t="n">
        <f aca="false">INDEX(Datos_Origen!$H$2:$H$2459,$Z1058)</f>
        <v>34</v>
      </c>
      <c r="AD1058" s="61" t="str">
        <f aca="false">INDEX(Datos_Origen!$D$2:$D$2459,$Z1058)&amp;""</f>
        <v>Rosario</v>
      </c>
    </row>
    <row r="1059" customFormat="false" ht="15" hidden="false" customHeight="false" outlineLevel="0" collapsed="false">
      <c r="A1059" s="61" t="n">
        <f aca="false">INDEX(Datos_Origen!$A$2:$A$2459,$Z1059)</f>
        <v>1058</v>
      </c>
      <c r="B1059" s="62" t="n">
        <f aca="false">IF(ISNUMBER($AB1059),$AB1059,IF(MID($AB1059,5,1)="-",DATE(VALUE(LEFT($AB1059,4)),VALUE(MID($AB1059,6,2)),VALUE(RIGHT($AB1059,2))),DATE(VALUE(RIGHT($AB1059,4)),VALUE(MID($AB1059,4,2)),VALUE(LEFT($AB1059,2)))))</f>
        <v>45605</v>
      </c>
      <c r="C1059" s="61" t="n">
        <f aca="false">YEAR($B1059)</f>
        <v>2024</v>
      </c>
      <c r="D1059" s="61" t="str">
        <f aca="false">"Q"&amp;ROUNDUP(MONTH($B1059)/3,0)</f>
        <v>Q4</v>
      </c>
      <c r="E1059" s="61" t="n">
        <f aca="false">MONTH($B1059)</f>
        <v>11</v>
      </c>
      <c r="F1059" s="61" t="str">
        <f aca="false">INDEX(Parametros!$I$5:$I$16,$E1059)</f>
        <v>Nov</v>
      </c>
      <c r="G1059" s="61" t="str">
        <f aca="false">TEXT($C1059,"0000")&amp;"-"&amp;TEXT($E1059,"00")</f>
        <v>2024-11</v>
      </c>
      <c r="H1059" s="61" t="str">
        <f aca="false">INDEX(Parametros!$C$71:$C$91,MATCH(TRIM(INDEX(Datos_Origen!$C$2:$C$2459,$Z1059)),Parametros!$B$71:$B$91,0))</f>
        <v>Litoral</v>
      </c>
      <c r="I1059" s="61" t="str">
        <f aca="false">IF(TRIM($AD1059)="",INDEX(Parametros!$I$20:$I$24,MATCH($H1059,Parametros!$H$20:$H$24,0)),TRIM($AD1059))</f>
        <v>Rosario</v>
      </c>
      <c r="J1059" s="61" t="str">
        <f aca="false">INDEX(Parametros!$C$95:$C$106,MATCH(TRIM(INDEX(Datos_Origen!$E$2:$E$2459,$Z1059)),Parametros!$B$95:$B$106,0))</f>
        <v>E-commerce</v>
      </c>
      <c r="K1059" s="61" t="str">
        <f aca="false">INDEX(Parametros!$C$48:$C$67,MATCH(TRIM(INDEX(Datos_Origen!$F$2:$F$2459,$Z1059)),Parametros!$B$48:$B$67,0))</f>
        <v>Almacenamiento</v>
      </c>
      <c r="L1059" s="61" t="str">
        <f aca="false">$K1059&amp;" "&amp;$C1059</f>
        <v>Almacenamiento 2024</v>
      </c>
      <c r="M1059" s="61" t="str">
        <f aca="false">TRIM(INDEX(Datos_Origen!$G$2:$G$2459,$Z1059))</f>
        <v>SSD Externo 1TB</v>
      </c>
      <c r="N1059" s="61" t="str">
        <f aca="false">$M1059&amp;" "&amp;$C1059</f>
        <v>SSD Externo 1TB 2024</v>
      </c>
      <c r="O1059" s="63" t="n">
        <f aca="false">IF(ISTEXT($AC1059),VALUE($AC1059),$AC1059)</f>
        <v>13</v>
      </c>
      <c r="P1059" s="64" t="n">
        <f aca="false">INDEX(Datos_Origen!$I$2:$I$2459,$Z1059)</f>
        <v>127.4</v>
      </c>
      <c r="Q1059" s="64" t="n">
        <f aca="false">INDEX(Datos_Origen!$J$2:$J$2459,$Z1059)</f>
        <v>76.05</v>
      </c>
      <c r="R1059" s="65" t="n">
        <f aca="false">ROUND($O1059*$P1059,2)</f>
        <v>1656.2</v>
      </c>
      <c r="S1059" s="65" t="n">
        <f aca="false">ROUND($O1059*$Q1059,2)</f>
        <v>988.65</v>
      </c>
      <c r="T1059" s="65" t="n">
        <f aca="false">ROUND($R1059*SUMIFS(Parametros!$E$28:$E$43,Parametros!$B$28:$B$43,$J1059,Parametros!$C$28:$C$43,$C1059,Parametros!$D$28:$D$43,$D1059),2)</f>
        <v>79.5</v>
      </c>
      <c r="U1059" s="65" t="n">
        <f aca="false">$R1059-$S1059-$T1059</f>
        <v>588.05</v>
      </c>
      <c r="V1059" s="66" t="n">
        <f aca="false">IFERROR($U1059/$R1059,0)</f>
        <v>0.355059775389446</v>
      </c>
      <c r="W1059" s="67" t="str">
        <f aca="false">IF(AND($V1059&gt;=Parametros!$C$8,$R1059&gt;=Parametros!$C$12),"Alta rentabilidad",IF(OR($V1059&lt;Parametros!$C$11,$R1059&lt;Parametros!$C$13),"Revisar","Estandar"))</f>
        <v>Estandar</v>
      </c>
      <c r="X1059" s="67" t="str">
        <f aca="false">IF(AND($J1059="E-commerce",IFERROR($T1059/$R1059,0)&gt;Parametros!$C$14),"Alerta","OK")</f>
        <v>OK</v>
      </c>
      <c r="Y1059" s="61" t="str">
        <f aca="false">IF($R1059&gt;=Parametros!$C$12,"Alto",IF($R1059&lt;Parametros!$C$13,"Bajo","Medio"))</f>
        <v>Medio</v>
      </c>
      <c r="Z1059" s="61" t="n">
        <v>13</v>
      </c>
      <c r="AA1059" s="61" t="str">
        <f aca="false">IF(MATCH($A1059,Datos_Origen!$A$2:$A$2459,0)=$Z1059,"OK","REVISAR")</f>
        <v>OK</v>
      </c>
      <c r="AB1059" s="61" t="str">
        <f aca="false">INDEX(Datos_Origen!$B$2:$B$2459,$Z1059)</f>
        <v>09/11/2024</v>
      </c>
      <c r="AC1059" s="61" t="n">
        <f aca="false">INDEX(Datos_Origen!$H$2:$H$2459,$Z1059)</f>
        <v>13</v>
      </c>
      <c r="AD1059" s="61" t="str">
        <f aca="false">INDEX(Datos_Origen!$D$2:$D$2459,$Z1059)&amp;""</f>
        <v>Rosario</v>
      </c>
    </row>
    <row r="1060" customFormat="false" ht="15" hidden="false" customHeight="false" outlineLevel="0" collapsed="false">
      <c r="A1060" s="61" t="n">
        <f aca="false">INDEX(Datos_Origen!$A$2:$A$2459,$Z1060)</f>
        <v>1059</v>
      </c>
      <c r="B1060" s="62" t="n">
        <f aca="false">IF(ISNUMBER($AB1060),$AB1060,IF(MID($AB1060,5,1)="-",DATE(VALUE(LEFT($AB1060,4)),VALUE(MID($AB1060,6,2)),VALUE(RIGHT($AB1060,2))),DATE(VALUE(RIGHT($AB1060,4)),VALUE(MID($AB1060,4,2)),VALUE(LEFT($AB1060,2)))))</f>
        <v>45612</v>
      </c>
      <c r="C1060" s="61" t="n">
        <f aca="false">YEAR($B1060)</f>
        <v>2024</v>
      </c>
      <c r="D1060" s="61" t="str">
        <f aca="false">"Q"&amp;ROUNDUP(MONTH($B1060)/3,0)</f>
        <v>Q4</v>
      </c>
      <c r="E1060" s="61" t="n">
        <f aca="false">MONTH($B1060)</f>
        <v>11</v>
      </c>
      <c r="F1060" s="61" t="str">
        <f aca="false">INDEX(Parametros!$I$5:$I$16,$E1060)</f>
        <v>Nov</v>
      </c>
      <c r="G1060" s="61" t="str">
        <f aca="false">TEXT($C1060,"0000")&amp;"-"&amp;TEXT($E1060,"00")</f>
        <v>2024-11</v>
      </c>
      <c r="H1060" s="61" t="str">
        <f aca="false">INDEX(Parametros!$C$71:$C$91,MATCH(TRIM(INDEX(Datos_Origen!$C$2:$C$2459,$Z1060)),Parametros!$B$71:$B$91,0))</f>
        <v>Litoral</v>
      </c>
      <c r="I1060" s="61" t="str">
        <f aca="false">IF(TRIM($AD1060)="",INDEX(Parametros!$I$20:$I$24,MATCH($H1060,Parametros!$H$20:$H$24,0)),TRIM($AD1060))</f>
        <v>Rosario</v>
      </c>
      <c r="J1060" s="61" t="str">
        <f aca="false">INDEX(Parametros!$C$95:$C$106,MATCH(TRIM(INDEX(Datos_Origen!$E$2:$E$2459,$Z1060)),Parametros!$B$95:$B$106,0))</f>
        <v>Tienda fisica</v>
      </c>
      <c r="K1060" s="61" t="str">
        <f aca="false">INDEX(Parametros!$C$48:$C$67,MATCH(TRIM(INDEX(Datos_Origen!$F$2:$F$2459,$Z1060)),Parametros!$B$48:$B$67,0))</f>
        <v>Almacenamiento</v>
      </c>
      <c r="L1060" s="61" t="str">
        <f aca="false">$K1060&amp;" "&amp;$C1060</f>
        <v>Almacenamiento 2024</v>
      </c>
      <c r="M1060" s="61" t="str">
        <f aca="false">TRIM(INDEX(Datos_Origen!$G$2:$G$2459,$Z1060))</f>
        <v>Pendrive 256GB</v>
      </c>
      <c r="N1060" s="61" t="str">
        <f aca="false">$M1060&amp;" "&amp;$C1060</f>
        <v>Pendrive 256GB 2024</v>
      </c>
      <c r="O1060" s="63" t="n">
        <f aca="false">IF(ISTEXT($AC1060),VALUE($AC1060),$AC1060)</f>
        <v>28</v>
      </c>
      <c r="P1060" s="64" t="n">
        <f aca="false">INDEX(Datos_Origen!$I$2:$I$2459,$Z1060)</f>
        <v>34.3</v>
      </c>
      <c r="Q1060" s="64" t="n">
        <f aca="false">INDEX(Datos_Origen!$J$2:$J$2459,$Z1060)</f>
        <v>17.85</v>
      </c>
      <c r="R1060" s="65" t="n">
        <f aca="false">ROUND($O1060*$P1060,2)</f>
        <v>960.4</v>
      </c>
      <c r="S1060" s="65" t="n">
        <f aca="false">ROUND($O1060*$Q1060,2)</f>
        <v>499.8</v>
      </c>
      <c r="T1060" s="65" t="n">
        <f aca="false">ROUND($R1060*SUMIFS(Parametros!$E$28:$E$43,Parametros!$B$28:$B$43,$J1060,Parametros!$C$28:$C$43,$C1060,Parametros!$D$28:$D$43,$D1060),2)</f>
        <v>12.49</v>
      </c>
      <c r="U1060" s="65" t="n">
        <f aca="false">$R1060-$S1060-$T1060</f>
        <v>448.11</v>
      </c>
      <c r="V1060" s="66" t="n">
        <f aca="false">IFERROR($U1060/$R1060,0)</f>
        <v>0.46658683881716</v>
      </c>
      <c r="W1060" s="67" t="str">
        <f aca="false">IF(AND($V1060&gt;=Parametros!$C$8,$R1060&gt;=Parametros!$C$12),"Alta rentabilidad",IF(OR($V1060&lt;Parametros!$C$11,$R1060&lt;Parametros!$C$13),"Revisar","Estandar"))</f>
        <v>Estandar</v>
      </c>
      <c r="X1060" s="67" t="str">
        <f aca="false">IF(AND($J1060="E-commerce",IFERROR($T1060/$R1060,0)&gt;Parametros!$C$14),"Alerta","OK")</f>
        <v>OK</v>
      </c>
      <c r="Y1060" s="61" t="str">
        <f aca="false">IF($R1060&gt;=Parametros!$C$12,"Alto",IF($R1060&lt;Parametros!$C$13,"Bajo","Medio"))</f>
        <v>Medio</v>
      </c>
      <c r="Z1060" s="61" t="n">
        <v>1801</v>
      </c>
      <c r="AA1060" s="61" t="str">
        <f aca="false">IF(MATCH($A1060,Datos_Origen!$A$2:$A$2459,0)=$Z1060,"OK","REVISAR")</f>
        <v>OK</v>
      </c>
      <c r="AB1060" s="62" t="n">
        <f aca="false">INDEX(Datos_Origen!$B$2:$B$2459,$Z1060)</f>
        <v>45612</v>
      </c>
      <c r="AC1060" s="61" t="str">
        <f aca="false">INDEX(Datos_Origen!$H$2:$H$2459,$Z1060)</f>
        <v>28</v>
      </c>
      <c r="AD1060" s="61" t="str">
        <f aca="false">INDEX(Datos_Origen!$D$2:$D$2459,$Z1060)&amp;""</f>
        <v>Rosario</v>
      </c>
    </row>
    <row r="1061" customFormat="false" ht="15" hidden="false" customHeight="false" outlineLevel="0" collapsed="false">
      <c r="A1061" s="61" t="n">
        <f aca="false">INDEX(Datos_Origen!$A$2:$A$2459,$Z1061)</f>
        <v>1060</v>
      </c>
      <c r="B1061" s="62" t="n">
        <f aca="false">IF(ISNUMBER($AB1061),$AB1061,IF(MID($AB1061,5,1)="-",DATE(VALUE(LEFT($AB1061,4)),VALUE(MID($AB1061,6,2)),VALUE(RIGHT($AB1061,2))),DATE(VALUE(RIGHT($AB1061,4)),VALUE(MID($AB1061,4,2)),VALUE(LEFT($AB1061,2)))))</f>
        <v>45619</v>
      </c>
      <c r="C1061" s="61" t="n">
        <f aca="false">YEAR($B1061)</f>
        <v>2024</v>
      </c>
      <c r="D1061" s="61" t="str">
        <f aca="false">"Q"&amp;ROUNDUP(MONTH($B1061)/3,0)</f>
        <v>Q4</v>
      </c>
      <c r="E1061" s="61" t="n">
        <f aca="false">MONTH($B1061)</f>
        <v>11</v>
      </c>
      <c r="F1061" s="61" t="str">
        <f aca="false">INDEX(Parametros!$I$5:$I$16,$E1061)</f>
        <v>Nov</v>
      </c>
      <c r="G1061" s="61" t="str">
        <f aca="false">TEXT($C1061,"0000")&amp;"-"&amp;TEXT($E1061,"00")</f>
        <v>2024-11</v>
      </c>
      <c r="H1061" s="61" t="str">
        <f aca="false">INDEX(Parametros!$C$71:$C$91,MATCH(TRIM(INDEX(Datos_Origen!$C$2:$C$2459,$Z1061)),Parametros!$B$71:$B$91,0))</f>
        <v>Litoral</v>
      </c>
      <c r="I1061" s="61" t="str">
        <f aca="false">IF(TRIM($AD1061)="",INDEX(Parametros!$I$20:$I$24,MATCH($H1061,Parametros!$H$20:$H$24,0)),TRIM($AD1061))</f>
        <v>Rosario</v>
      </c>
      <c r="J1061" s="61" t="str">
        <f aca="false">INDEX(Parametros!$C$95:$C$106,MATCH(TRIM(INDEX(Datos_Origen!$E$2:$E$2459,$Z1061)),Parametros!$B$95:$B$106,0))</f>
        <v>E-commerce</v>
      </c>
      <c r="K1061" s="61" t="str">
        <f aca="false">INDEX(Parametros!$C$48:$C$67,MATCH(TRIM(INDEX(Datos_Origen!$F$2:$F$2459,$Z1061)),Parametros!$B$48:$B$67,0))</f>
        <v>Almacenamiento</v>
      </c>
      <c r="L1061" s="61" t="str">
        <f aca="false">$K1061&amp;" "&amp;$C1061</f>
        <v>Almacenamiento 2024</v>
      </c>
      <c r="M1061" s="61" t="str">
        <f aca="false">TRIM(INDEX(Datos_Origen!$G$2:$G$2459,$Z1061))</f>
        <v>Pendrive 256GB</v>
      </c>
      <c r="N1061" s="61" t="str">
        <f aca="false">$M1061&amp;" "&amp;$C1061</f>
        <v>Pendrive 256GB 2024</v>
      </c>
      <c r="O1061" s="63" t="n">
        <f aca="false">IF(ISTEXT($AC1061),VALUE($AC1061),$AC1061)</f>
        <v>11</v>
      </c>
      <c r="P1061" s="64" t="n">
        <f aca="false">INDEX(Datos_Origen!$I$2:$I$2459,$Z1061)</f>
        <v>34.3</v>
      </c>
      <c r="Q1061" s="64" t="n">
        <f aca="false">INDEX(Datos_Origen!$J$2:$J$2459,$Z1061)</f>
        <v>17.85</v>
      </c>
      <c r="R1061" s="65" t="n">
        <f aca="false">ROUND($O1061*$P1061,2)</f>
        <v>377.3</v>
      </c>
      <c r="S1061" s="65" t="n">
        <f aca="false">ROUND($O1061*$Q1061,2)</f>
        <v>196.35</v>
      </c>
      <c r="T1061" s="65" t="n">
        <f aca="false">ROUND($R1061*SUMIFS(Parametros!$E$28:$E$43,Parametros!$B$28:$B$43,$J1061,Parametros!$C$28:$C$43,$C1061,Parametros!$D$28:$D$43,$D1061),2)</f>
        <v>18.11</v>
      </c>
      <c r="U1061" s="65" t="n">
        <f aca="false">$R1061-$S1061-$T1061</f>
        <v>162.84</v>
      </c>
      <c r="V1061" s="66" t="n">
        <f aca="false">IFERROR($U1061/$R1061,0)</f>
        <v>0.431592896899019</v>
      </c>
      <c r="W1061" s="67" t="str">
        <f aca="false">IF(AND($V1061&gt;=Parametros!$C$8,$R1061&gt;=Parametros!$C$12),"Alta rentabilidad",IF(OR($V1061&lt;Parametros!$C$11,$R1061&lt;Parametros!$C$13),"Revisar","Estandar"))</f>
        <v>Estandar</v>
      </c>
      <c r="X1061" s="67" t="str">
        <f aca="false">IF(AND($J1061="E-commerce",IFERROR($T1061/$R1061,0)&gt;Parametros!$C$14),"Alerta","OK")</f>
        <v>OK</v>
      </c>
      <c r="Y1061" s="61" t="str">
        <f aca="false">IF($R1061&gt;=Parametros!$C$12,"Alto",IF($R1061&lt;Parametros!$C$13,"Bajo","Medio"))</f>
        <v>Medio</v>
      </c>
      <c r="Z1061" s="61" t="n">
        <v>1010</v>
      </c>
      <c r="AA1061" s="61" t="str">
        <f aca="false">IF(MATCH($A1061,Datos_Origen!$A$2:$A$2459,0)=$Z1061,"OK","REVISAR")</f>
        <v>OK</v>
      </c>
      <c r="AB1061" s="61" t="str">
        <f aca="false">INDEX(Datos_Origen!$B$2:$B$2459,$Z1061)</f>
        <v>23/11/2024</v>
      </c>
      <c r="AC1061" s="61" t="n">
        <f aca="false">INDEX(Datos_Origen!$H$2:$H$2459,$Z1061)</f>
        <v>11</v>
      </c>
      <c r="AD1061" s="61" t="str">
        <f aca="false">INDEX(Datos_Origen!$D$2:$D$2459,$Z1061)&amp;""</f>
        <v>Rosario</v>
      </c>
    </row>
    <row r="1062" customFormat="false" ht="15" hidden="false" customHeight="false" outlineLevel="0" collapsed="false">
      <c r="A1062" s="61" t="n">
        <f aca="false">INDEX(Datos_Origen!$A$2:$A$2459,$Z1062)</f>
        <v>1061</v>
      </c>
      <c r="B1062" s="62" t="n">
        <f aca="false">IF(ISNUMBER($AB1062),$AB1062,IF(MID($AB1062,5,1)="-",DATE(VALUE(LEFT($AB1062,4)),VALUE(MID($AB1062,6,2)),VALUE(RIGHT($AB1062,2))),DATE(VALUE(RIGHT($AB1062,4)),VALUE(MID($AB1062,4,2)),VALUE(LEFT($AB1062,2)))))</f>
        <v>45599</v>
      </c>
      <c r="C1062" s="61" t="n">
        <f aca="false">YEAR($B1062)</f>
        <v>2024</v>
      </c>
      <c r="D1062" s="61" t="str">
        <f aca="false">"Q"&amp;ROUNDUP(MONTH($B1062)/3,0)</f>
        <v>Q4</v>
      </c>
      <c r="E1062" s="61" t="n">
        <f aca="false">MONTH($B1062)</f>
        <v>11</v>
      </c>
      <c r="F1062" s="61" t="str">
        <f aca="false">INDEX(Parametros!$I$5:$I$16,$E1062)</f>
        <v>Nov</v>
      </c>
      <c r="G1062" s="61" t="str">
        <f aca="false">TEXT($C1062,"0000")&amp;"-"&amp;TEXT($E1062,"00")</f>
        <v>2024-11</v>
      </c>
      <c r="H1062" s="61" t="str">
        <f aca="false">INDEX(Parametros!$C$71:$C$91,MATCH(TRIM(INDEX(Datos_Origen!$C$2:$C$2459,$Z1062)),Parametros!$B$71:$B$91,0))</f>
        <v>Cuyo</v>
      </c>
      <c r="I1062" s="61" t="str">
        <f aca="false">IF(TRIM($AD1062)="",INDEX(Parametros!$I$20:$I$24,MATCH($H1062,Parametros!$H$20:$H$24,0)),TRIM($AD1062))</f>
        <v>Mendoza</v>
      </c>
      <c r="J1062" s="61" t="str">
        <f aca="false">INDEX(Parametros!$C$95:$C$106,MATCH(TRIM(INDEX(Datos_Origen!$E$2:$E$2459,$Z1062)),Parametros!$B$95:$B$106,0))</f>
        <v>Tienda fisica</v>
      </c>
      <c r="K1062" s="61" t="str">
        <f aca="false">INDEX(Parametros!$C$48:$C$67,MATCH(TRIM(INDEX(Datos_Origen!$F$2:$F$2459,$Z1062)),Parametros!$B$48:$B$67,0))</f>
        <v>Computacion</v>
      </c>
      <c r="L1062" s="61" t="str">
        <f aca="false">$K1062&amp;" "&amp;$C1062</f>
        <v>Computacion 2024</v>
      </c>
      <c r="M1062" s="61" t="str">
        <f aca="false">TRIM(INDEX(Datos_Origen!$G$2:$G$2459,$Z1062))</f>
        <v>Laptop Pro 15</v>
      </c>
      <c r="N1062" s="61" t="str">
        <f aca="false">$M1062&amp;" "&amp;$C1062</f>
        <v>Laptop Pro 15 2024</v>
      </c>
      <c r="O1062" s="63" t="n">
        <f aca="false">IF(ISTEXT($AC1062),VALUE($AC1062),$AC1062)</f>
        <v>8</v>
      </c>
      <c r="P1062" s="64" t="n">
        <f aca="false">INDEX(Datos_Origen!$I$2:$I$2459,$Z1062)</f>
        <v>1176</v>
      </c>
      <c r="Q1062" s="64" t="n">
        <f aca="false">INDEX(Datos_Origen!$J$2:$J$2459,$Z1062)</f>
        <v>744</v>
      </c>
      <c r="R1062" s="65" t="n">
        <f aca="false">ROUND($O1062*$P1062,2)</f>
        <v>9408</v>
      </c>
      <c r="S1062" s="65" t="n">
        <f aca="false">ROUND($O1062*$Q1062,2)</f>
        <v>5952</v>
      </c>
      <c r="T1062" s="65" t="n">
        <f aca="false">ROUND($R1062*SUMIFS(Parametros!$E$28:$E$43,Parametros!$B$28:$B$43,$J1062,Parametros!$C$28:$C$43,$C1062,Parametros!$D$28:$D$43,$D1062),2)</f>
        <v>122.3</v>
      </c>
      <c r="U1062" s="65" t="n">
        <f aca="false">$R1062-$S1062-$T1062</f>
        <v>3333.7</v>
      </c>
      <c r="V1062" s="66" t="n">
        <f aca="false">IFERROR($U1062/$R1062,0)</f>
        <v>0.354347363945578</v>
      </c>
      <c r="W1062" s="67" t="str">
        <f aca="false">IF(AND($V1062&gt;=Parametros!$C$8,$R1062&gt;=Parametros!$C$12),"Alta rentabilidad",IF(OR($V1062&lt;Parametros!$C$11,$R1062&lt;Parametros!$C$13),"Revisar","Estandar"))</f>
        <v>Alta rentabilidad</v>
      </c>
      <c r="X1062" s="67" t="str">
        <f aca="false">IF(AND($J1062="E-commerce",IFERROR($T1062/$R1062,0)&gt;Parametros!$C$14),"Alerta","OK")</f>
        <v>OK</v>
      </c>
      <c r="Y1062" s="61" t="str">
        <f aca="false">IF($R1062&gt;=Parametros!$C$12,"Alto",IF($R1062&lt;Parametros!$C$13,"Bajo","Medio"))</f>
        <v>Alto</v>
      </c>
      <c r="Z1062" s="61" t="n">
        <v>2398</v>
      </c>
      <c r="AA1062" s="61" t="str">
        <f aca="false">IF(MATCH($A1062,Datos_Origen!$A$2:$A$2459,0)=$Z1062,"OK","REVISAR")</f>
        <v>OK</v>
      </c>
      <c r="AB1062" s="61" t="str">
        <f aca="false">INDEX(Datos_Origen!$B$2:$B$2459,$Z1062)</f>
        <v>03/11/2024</v>
      </c>
      <c r="AC1062" s="61" t="n">
        <f aca="false">INDEX(Datos_Origen!$H$2:$H$2459,$Z1062)</f>
        <v>8</v>
      </c>
      <c r="AD1062" s="61" t="str">
        <f aca="false">INDEX(Datos_Origen!$D$2:$D$2459,$Z1062)&amp;""</f>
        <v>Mendoza</v>
      </c>
    </row>
    <row r="1063" customFormat="false" ht="15" hidden="false" customHeight="false" outlineLevel="0" collapsed="false">
      <c r="A1063" s="61" t="n">
        <f aca="false">INDEX(Datos_Origen!$A$2:$A$2459,$Z1063)</f>
        <v>1062</v>
      </c>
      <c r="B1063" s="62" t="n">
        <f aca="false">IF(ISNUMBER($AB1063),$AB1063,IF(MID($AB1063,5,1)="-",DATE(VALUE(LEFT($AB1063,4)),VALUE(MID($AB1063,6,2)),VALUE(RIGHT($AB1063,2))),DATE(VALUE(RIGHT($AB1063,4)),VALUE(MID($AB1063,4,2)),VALUE(LEFT($AB1063,2)))))</f>
        <v>45606</v>
      </c>
      <c r="C1063" s="61" t="n">
        <f aca="false">YEAR($B1063)</f>
        <v>2024</v>
      </c>
      <c r="D1063" s="61" t="str">
        <f aca="false">"Q"&amp;ROUNDUP(MONTH($B1063)/3,0)</f>
        <v>Q4</v>
      </c>
      <c r="E1063" s="61" t="n">
        <f aca="false">MONTH($B1063)</f>
        <v>11</v>
      </c>
      <c r="F1063" s="61" t="str">
        <f aca="false">INDEX(Parametros!$I$5:$I$16,$E1063)</f>
        <v>Nov</v>
      </c>
      <c r="G1063" s="61" t="str">
        <f aca="false">TEXT($C1063,"0000")&amp;"-"&amp;TEXT($E1063,"00")</f>
        <v>2024-11</v>
      </c>
      <c r="H1063" s="61" t="str">
        <f aca="false">INDEX(Parametros!$C$71:$C$91,MATCH(TRIM(INDEX(Datos_Origen!$C$2:$C$2459,$Z1063)),Parametros!$B$71:$B$91,0))</f>
        <v>Cuyo</v>
      </c>
      <c r="I1063" s="61" t="str">
        <f aca="false">IF(TRIM($AD1063)="",INDEX(Parametros!$I$20:$I$24,MATCH($H1063,Parametros!$H$20:$H$24,0)),TRIM($AD1063))</f>
        <v>Mendoza</v>
      </c>
      <c r="J1063" s="61" t="str">
        <f aca="false">INDEX(Parametros!$C$95:$C$106,MATCH(TRIM(INDEX(Datos_Origen!$E$2:$E$2459,$Z1063)),Parametros!$B$95:$B$106,0))</f>
        <v>E-commerce</v>
      </c>
      <c r="K1063" s="61" t="str">
        <f aca="false">INDEX(Parametros!$C$48:$C$67,MATCH(TRIM(INDEX(Datos_Origen!$F$2:$F$2459,$Z1063)),Parametros!$B$48:$B$67,0))</f>
        <v>Computacion</v>
      </c>
      <c r="L1063" s="61" t="str">
        <f aca="false">$K1063&amp;" "&amp;$C1063</f>
        <v>Computacion 2024</v>
      </c>
      <c r="M1063" s="61" t="str">
        <f aca="false">TRIM(INDEX(Datos_Origen!$G$2:$G$2459,$Z1063))</f>
        <v>Laptop Pro 15</v>
      </c>
      <c r="N1063" s="61" t="str">
        <f aca="false">$M1063&amp;" "&amp;$C1063</f>
        <v>Laptop Pro 15 2024</v>
      </c>
      <c r="O1063" s="63" t="n">
        <f aca="false">IF(ISTEXT($AC1063),VALUE($AC1063),$AC1063)</f>
        <v>4</v>
      </c>
      <c r="P1063" s="64" t="n">
        <f aca="false">INDEX(Datos_Origen!$I$2:$I$2459,$Z1063)</f>
        <v>1176</v>
      </c>
      <c r="Q1063" s="64" t="n">
        <f aca="false">INDEX(Datos_Origen!$J$2:$J$2459,$Z1063)</f>
        <v>744</v>
      </c>
      <c r="R1063" s="65" t="n">
        <f aca="false">ROUND($O1063*$P1063,2)</f>
        <v>4704</v>
      </c>
      <c r="S1063" s="65" t="n">
        <f aca="false">ROUND($O1063*$Q1063,2)</f>
        <v>2976</v>
      </c>
      <c r="T1063" s="65" t="n">
        <f aca="false">ROUND($R1063*SUMIFS(Parametros!$E$28:$E$43,Parametros!$B$28:$B$43,$J1063,Parametros!$C$28:$C$43,$C1063,Parametros!$D$28:$D$43,$D1063),2)</f>
        <v>225.79</v>
      </c>
      <c r="U1063" s="65" t="n">
        <f aca="false">$R1063-$S1063-$T1063</f>
        <v>1502.21</v>
      </c>
      <c r="V1063" s="66" t="n">
        <f aca="false">IFERROR($U1063/$R1063,0)</f>
        <v>0.319347363945578</v>
      </c>
      <c r="W1063" s="67" t="str">
        <f aca="false">IF(AND($V1063&gt;=Parametros!$C$8,$R1063&gt;=Parametros!$C$12),"Alta rentabilidad",IF(OR($V1063&lt;Parametros!$C$11,$R1063&lt;Parametros!$C$13),"Revisar","Estandar"))</f>
        <v>Estandar</v>
      </c>
      <c r="X1063" s="67" t="str">
        <f aca="false">IF(AND($J1063="E-commerce",IFERROR($T1063/$R1063,0)&gt;Parametros!$C$14),"Alerta","OK")</f>
        <v>OK</v>
      </c>
      <c r="Y1063" s="61" t="str">
        <f aca="false">IF($R1063&gt;=Parametros!$C$12,"Alto",IF($R1063&lt;Parametros!$C$13,"Bajo","Medio"))</f>
        <v>Alto</v>
      </c>
      <c r="Z1063" s="61" t="n">
        <v>359</v>
      </c>
      <c r="AA1063" s="61" t="str">
        <f aca="false">IF(MATCH($A1063,Datos_Origen!$A$2:$A$2459,0)=$Z1063,"OK","REVISAR")</f>
        <v>OK</v>
      </c>
      <c r="AB1063" s="62" t="n">
        <f aca="false">INDEX(Datos_Origen!$B$2:$B$2459,$Z1063)</f>
        <v>45606</v>
      </c>
      <c r="AC1063" s="61" t="n">
        <f aca="false">INDEX(Datos_Origen!$H$2:$H$2459,$Z1063)</f>
        <v>4</v>
      </c>
      <c r="AD1063" s="61" t="str">
        <f aca="false">INDEX(Datos_Origen!$D$2:$D$2459,$Z1063)&amp;""</f>
        <v>Mendoza</v>
      </c>
    </row>
    <row r="1064" customFormat="false" ht="15" hidden="false" customHeight="false" outlineLevel="0" collapsed="false">
      <c r="A1064" s="61" t="n">
        <f aca="false">INDEX(Datos_Origen!$A$2:$A$2459,$Z1064)</f>
        <v>1063</v>
      </c>
      <c r="B1064" s="62" t="n">
        <f aca="false">IF(ISNUMBER($AB1064),$AB1064,IF(MID($AB1064,5,1)="-",DATE(VALUE(LEFT($AB1064,4)),VALUE(MID($AB1064,6,2)),VALUE(RIGHT($AB1064,2))),DATE(VALUE(RIGHT($AB1064,4)),VALUE(MID($AB1064,4,2)),VALUE(LEFT($AB1064,2)))))</f>
        <v>45613</v>
      </c>
      <c r="C1064" s="61" t="n">
        <f aca="false">YEAR($B1064)</f>
        <v>2024</v>
      </c>
      <c r="D1064" s="61" t="str">
        <f aca="false">"Q"&amp;ROUNDUP(MONTH($B1064)/3,0)</f>
        <v>Q4</v>
      </c>
      <c r="E1064" s="61" t="n">
        <f aca="false">MONTH($B1064)</f>
        <v>11</v>
      </c>
      <c r="F1064" s="61" t="str">
        <f aca="false">INDEX(Parametros!$I$5:$I$16,$E1064)</f>
        <v>Nov</v>
      </c>
      <c r="G1064" s="61" t="str">
        <f aca="false">TEXT($C1064,"0000")&amp;"-"&amp;TEXT($E1064,"00")</f>
        <v>2024-11</v>
      </c>
      <c r="H1064" s="61" t="str">
        <f aca="false">INDEX(Parametros!$C$71:$C$91,MATCH(TRIM(INDEX(Datos_Origen!$C$2:$C$2459,$Z1064)),Parametros!$B$71:$B$91,0))</f>
        <v>Cuyo</v>
      </c>
      <c r="I1064" s="61" t="str">
        <f aca="false">IF(TRIM($AD1064)="",INDEX(Parametros!$I$20:$I$24,MATCH($H1064,Parametros!$H$20:$H$24,0)),TRIM($AD1064))</f>
        <v>Mendoza</v>
      </c>
      <c r="J1064" s="61" t="str">
        <f aca="false">INDEX(Parametros!$C$95:$C$106,MATCH(TRIM(INDEX(Datos_Origen!$E$2:$E$2459,$Z1064)),Parametros!$B$95:$B$106,0))</f>
        <v>Tienda fisica</v>
      </c>
      <c r="K1064" s="61" t="str">
        <f aca="false">INDEX(Parametros!$C$48:$C$67,MATCH(TRIM(INDEX(Datos_Origen!$F$2:$F$2459,$Z1064)),Parametros!$B$48:$B$67,0))</f>
        <v>Computacion</v>
      </c>
      <c r="L1064" s="61" t="str">
        <f aca="false">$K1064&amp;" "&amp;$C1064</f>
        <v>Computacion 2024</v>
      </c>
      <c r="M1064" s="61" t="str">
        <f aca="false">TRIM(INDEX(Datos_Origen!$G$2:$G$2459,$Z1064))</f>
        <v>Monitor 4K 27</v>
      </c>
      <c r="N1064" s="61" t="str">
        <f aca="false">$M1064&amp;" "&amp;$C1064</f>
        <v>Monitor 4K 27 2024</v>
      </c>
      <c r="O1064" s="63" t="n">
        <f aca="false">IF(ISTEXT($AC1064),VALUE($AC1064),$AC1064)</f>
        <v>8</v>
      </c>
      <c r="P1064" s="64" t="n">
        <f aca="false">INDEX(Datos_Origen!$I$2:$I$2459,$Z1064)</f>
        <v>441</v>
      </c>
      <c r="Q1064" s="64" t="n">
        <f aca="false">INDEX(Datos_Origen!$J$2:$J$2459,$Z1064)</f>
        <v>272.25</v>
      </c>
      <c r="R1064" s="65" t="n">
        <f aca="false">ROUND($O1064*$P1064,2)</f>
        <v>3528</v>
      </c>
      <c r="S1064" s="65" t="n">
        <f aca="false">ROUND($O1064*$Q1064,2)</f>
        <v>2178</v>
      </c>
      <c r="T1064" s="65" t="n">
        <f aca="false">ROUND($R1064*SUMIFS(Parametros!$E$28:$E$43,Parametros!$B$28:$B$43,$J1064,Parametros!$C$28:$C$43,$C1064,Parametros!$D$28:$D$43,$D1064),2)</f>
        <v>45.86</v>
      </c>
      <c r="U1064" s="65" t="n">
        <f aca="false">$R1064-$S1064-$T1064</f>
        <v>1304.14</v>
      </c>
      <c r="V1064" s="66" t="n">
        <f aca="false">IFERROR($U1064/$R1064,0)</f>
        <v>0.369654195011338</v>
      </c>
      <c r="W1064" s="67" t="str">
        <f aca="false">IF(AND($V1064&gt;=Parametros!$C$8,$R1064&gt;=Parametros!$C$12),"Alta rentabilidad",IF(OR($V1064&lt;Parametros!$C$11,$R1064&lt;Parametros!$C$13),"Revisar","Estandar"))</f>
        <v>Alta rentabilidad</v>
      </c>
      <c r="X1064" s="67" t="str">
        <f aca="false">IF(AND($J1064="E-commerce",IFERROR($T1064/$R1064,0)&gt;Parametros!$C$14),"Alerta","OK")</f>
        <v>OK</v>
      </c>
      <c r="Y1064" s="61" t="str">
        <f aca="false">IF($R1064&gt;=Parametros!$C$12,"Alto",IF($R1064&lt;Parametros!$C$13,"Bajo","Medio"))</f>
        <v>Alto</v>
      </c>
      <c r="Z1064" s="61" t="n">
        <v>1103</v>
      </c>
      <c r="AA1064" s="61" t="str">
        <f aca="false">IF(MATCH($A1064,Datos_Origen!$A$2:$A$2459,0)=$Z1064,"OK","REVISAR")</f>
        <v>OK</v>
      </c>
      <c r="AB1064" s="61" t="str">
        <f aca="false">INDEX(Datos_Origen!$B$2:$B$2459,$Z1064)</f>
        <v>17/11/2024</v>
      </c>
      <c r="AC1064" s="61" t="n">
        <f aca="false">INDEX(Datos_Origen!$H$2:$H$2459,$Z1064)</f>
        <v>8</v>
      </c>
      <c r="AD1064" s="61" t="str">
        <f aca="false">INDEX(Datos_Origen!$D$2:$D$2459,$Z1064)&amp;""</f>
        <v>Mendoza</v>
      </c>
    </row>
    <row r="1065" customFormat="false" ht="15" hidden="false" customHeight="false" outlineLevel="0" collapsed="false">
      <c r="A1065" s="61" t="n">
        <f aca="false">INDEX(Datos_Origen!$A$2:$A$2459,$Z1065)</f>
        <v>1064</v>
      </c>
      <c r="B1065" s="62" t="n">
        <f aca="false">IF(ISNUMBER($AB1065),$AB1065,IF(MID($AB1065,5,1)="-",DATE(VALUE(LEFT($AB1065,4)),VALUE(MID($AB1065,6,2)),VALUE(RIGHT($AB1065,2))),DATE(VALUE(RIGHT($AB1065,4)),VALUE(MID($AB1065,4,2)),VALUE(LEFT($AB1065,2)))))</f>
        <v>45620</v>
      </c>
      <c r="C1065" s="61" t="n">
        <f aca="false">YEAR($B1065)</f>
        <v>2024</v>
      </c>
      <c r="D1065" s="61" t="str">
        <f aca="false">"Q"&amp;ROUNDUP(MONTH($B1065)/3,0)</f>
        <v>Q4</v>
      </c>
      <c r="E1065" s="61" t="n">
        <f aca="false">MONTH($B1065)</f>
        <v>11</v>
      </c>
      <c r="F1065" s="61" t="str">
        <f aca="false">INDEX(Parametros!$I$5:$I$16,$E1065)</f>
        <v>Nov</v>
      </c>
      <c r="G1065" s="61" t="str">
        <f aca="false">TEXT($C1065,"0000")&amp;"-"&amp;TEXT($E1065,"00")</f>
        <v>2024-11</v>
      </c>
      <c r="H1065" s="61" t="str">
        <f aca="false">INDEX(Parametros!$C$71:$C$91,MATCH(TRIM(INDEX(Datos_Origen!$C$2:$C$2459,$Z1065)),Parametros!$B$71:$B$91,0))</f>
        <v>Cuyo</v>
      </c>
      <c r="I1065" s="61" t="str">
        <f aca="false">IF(TRIM($AD1065)="",INDEX(Parametros!$I$20:$I$24,MATCH($H1065,Parametros!$H$20:$H$24,0)),TRIM($AD1065))</f>
        <v>Mendoza</v>
      </c>
      <c r="J1065" s="61" t="str">
        <f aca="false">INDEX(Parametros!$C$95:$C$106,MATCH(TRIM(INDEX(Datos_Origen!$E$2:$E$2459,$Z1065)),Parametros!$B$95:$B$106,0))</f>
        <v>E-commerce</v>
      </c>
      <c r="K1065" s="61" t="str">
        <f aca="false">INDEX(Parametros!$C$48:$C$67,MATCH(TRIM(INDEX(Datos_Origen!$F$2:$F$2459,$Z1065)),Parametros!$B$48:$B$67,0))</f>
        <v>Computacion</v>
      </c>
      <c r="L1065" s="61" t="str">
        <f aca="false">$K1065&amp;" "&amp;$C1065</f>
        <v>Computacion 2024</v>
      </c>
      <c r="M1065" s="61" t="str">
        <f aca="false">TRIM(INDEX(Datos_Origen!$G$2:$G$2459,$Z1065))</f>
        <v>Monitor 4K 27</v>
      </c>
      <c r="N1065" s="61" t="str">
        <f aca="false">$M1065&amp;" "&amp;$C1065</f>
        <v>Monitor 4K 27 2024</v>
      </c>
      <c r="O1065" s="63" t="n">
        <f aca="false">IF(ISTEXT($AC1065),VALUE($AC1065),$AC1065)</f>
        <v>3</v>
      </c>
      <c r="P1065" s="64" t="n">
        <f aca="false">INDEX(Datos_Origen!$I$2:$I$2459,$Z1065)</f>
        <v>441</v>
      </c>
      <c r="Q1065" s="64" t="n">
        <f aca="false">INDEX(Datos_Origen!$J$2:$J$2459,$Z1065)</f>
        <v>272.25</v>
      </c>
      <c r="R1065" s="65" t="n">
        <f aca="false">ROUND($O1065*$P1065,2)</f>
        <v>1323</v>
      </c>
      <c r="S1065" s="65" t="n">
        <f aca="false">ROUND($O1065*$Q1065,2)</f>
        <v>816.75</v>
      </c>
      <c r="T1065" s="65" t="n">
        <f aca="false">ROUND($R1065*SUMIFS(Parametros!$E$28:$E$43,Parametros!$B$28:$B$43,$J1065,Parametros!$C$28:$C$43,$C1065,Parametros!$D$28:$D$43,$D1065),2)</f>
        <v>63.5</v>
      </c>
      <c r="U1065" s="65" t="n">
        <f aca="false">$R1065-$S1065-$T1065</f>
        <v>442.75</v>
      </c>
      <c r="V1065" s="66" t="n">
        <f aca="false">IFERROR($U1065/$R1065,0)</f>
        <v>0.334656084656085</v>
      </c>
      <c r="W1065" s="67" t="str">
        <f aca="false">IF(AND($V1065&gt;=Parametros!$C$8,$R1065&gt;=Parametros!$C$12),"Alta rentabilidad",IF(OR($V1065&lt;Parametros!$C$11,$R1065&lt;Parametros!$C$13),"Revisar","Estandar"))</f>
        <v>Estandar</v>
      </c>
      <c r="X1065" s="67" t="str">
        <f aca="false">IF(AND($J1065="E-commerce",IFERROR($T1065/$R1065,0)&gt;Parametros!$C$14),"Alerta","OK")</f>
        <v>OK</v>
      </c>
      <c r="Y1065" s="61" t="str">
        <f aca="false">IF($R1065&gt;=Parametros!$C$12,"Alto",IF($R1065&lt;Parametros!$C$13,"Bajo","Medio"))</f>
        <v>Medio</v>
      </c>
      <c r="Z1065" s="61" t="n">
        <v>2219</v>
      </c>
      <c r="AA1065" s="61" t="str">
        <f aca="false">IF(MATCH($A1065,Datos_Origen!$A$2:$A$2459,0)=$Z1065,"OK","REVISAR")</f>
        <v>OK</v>
      </c>
      <c r="AB1065" s="62" t="n">
        <f aca="false">INDEX(Datos_Origen!$B$2:$B$2459,$Z1065)</f>
        <v>45620</v>
      </c>
      <c r="AC1065" s="61" t="n">
        <f aca="false">INDEX(Datos_Origen!$H$2:$H$2459,$Z1065)</f>
        <v>3</v>
      </c>
      <c r="AD1065" s="61" t="str">
        <f aca="false">INDEX(Datos_Origen!$D$2:$D$2459,$Z1065)&amp;""</f>
        <v>Mendoza</v>
      </c>
    </row>
    <row r="1066" customFormat="false" ht="15" hidden="false" customHeight="false" outlineLevel="0" collapsed="false">
      <c r="A1066" s="61" t="n">
        <f aca="false">INDEX(Datos_Origen!$A$2:$A$2459,$Z1066)</f>
        <v>1065</v>
      </c>
      <c r="B1066" s="62" t="n">
        <f aca="false">IF(ISNUMBER($AB1066),$AB1066,IF(MID($AB1066,5,1)="-",DATE(VALUE(LEFT($AB1066,4)),VALUE(MID($AB1066,6,2)),VALUE(RIGHT($AB1066,2))),DATE(VALUE(RIGHT($AB1066,4)),VALUE(MID($AB1066,4,2)),VALUE(LEFT($AB1066,2)))))</f>
        <v>45600</v>
      </c>
      <c r="C1066" s="61" t="n">
        <f aca="false">YEAR($B1066)</f>
        <v>2024</v>
      </c>
      <c r="D1066" s="61" t="str">
        <f aca="false">"Q"&amp;ROUNDUP(MONTH($B1066)/3,0)</f>
        <v>Q4</v>
      </c>
      <c r="E1066" s="61" t="n">
        <f aca="false">MONTH($B1066)</f>
        <v>11</v>
      </c>
      <c r="F1066" s="61" t="str">
        <f aca="false">INDEX(Parametros!$I$5:$I$16,$E1066)</f>
        <v>Nov</v>
      </c>
      <c r="G1066" s="61" t="str">
        <f aca="false">TEXT($C1066,"0000")&amp;"-"&amp;TEXT($E1066,"00")</f>
        <v>2024-11</v>
      </c>
      <c r="H1066" s="61" t="str">
        <f aca="false">INDEX(Parametros!$C$71:$C$91,MATCH(TRIM(INDEX(Datos_Origen!$C$2:$C$2459,$Z1066)),Parametros!$B$71:$B$91,0))</f>
        <v>Cuyo</v>
      </c>
      <c r="I1066" s="61" t="str">
        <f aca="false">IF(TRIM($AD1066)="",INDEX(Parametros!$I$20:$I$24,MATCH($H1066,Parametros!$H$20:$H$24,0)),TRIM($AD1066))</f>
        <v>Mendoza</v>
      </c>
      <c r="J1066" s="61" t="str">
        <f aca="false">INDEX(Parametros!$C$95:$C$106,MATCH(TRIM(INDEX(Datos_Origen!$E$2:$E$2459,$Z1066)),Parametros!$B$95:$B$106,0))</f>
        <v>Tienda fisica</v>
      </c>
      <c r="K1066" s="61" t="str">
        <f aca="false">INDEX(Parametros!$C$48:$C$67,MATCH(TRIM(INDEX(Datos_Origen!$F$2:$F$2459,$Z1066)),Parametros!$B$48:$B$67,0))</f>
        <v>Computacion</v>
      </c>
      <c r="L1066" s="61" t="str">
        <f aca="false">$K1066&amp;" "&amp;$C1066</f>
        <v>Computacion 2024</v>
      </c>
      <c r="M1066" s="61" t="str">
        <f aca="false">TRIM(INDEX(Datos_Origen!$G$2:$G$2459,$Z1066))</f>
        <v>PC Gamer Ryzen</v>
      </c>
      <c r="N1066" s="61" t="str">
        <f aca="false">$M1066&amp;" "&amp;$C1066</f>
        <v>PC Gamer Ryzen 2024</v>
      </c>
      <c r="O1066" s="63" t="n">
        <f aca="false">IF(ISTEXT($AC1066),VALUE($AC1066),$AC1066)</f>
        <v>7</v>
      </c>
      <c r="P1066" s="64" t="n">
        <f aca="false">INDEX(Datos_Origen!$I$2:$I$2459,$Z1066)</f>
        <v>1617</v>
      </c>
      <c r="Q1066" s="64" t="n">
        <f aca="false">INDEX(Datos_Origen!$J$2:$J$2459,$Z1066)</f>
        <v>1122</v>
      </c>
      <c r="R1066" s="65" t="n">
        <f aca="false">ROUND($O1066*$P1066,2)</f>
        <v>11319</v>
      </c>
      <c r="S1066" s="65" t="n">
        <f aca="false">ROUND($O1066*$Q1066,2)</f>
        <v>7854</v>
      </c>
      <c r="T1066" s="65" t="n">
        <f aca="false">ROUND($R1066*SUMIFS(Parametros!$E$28:$E$43,Parametros!$B$28:$B$43,$J1066,Parametros!$C$28:$C$43,$C1066,Parametros!$D$28:$D$43,$D1066),2)</f>
        <v>147.15</v>
      </c>
      <c r="U1066" s="65" t="n">
        <f aca="false">$R1066-$S1066-$T1066</f>
        <v>3317.85</v>
      </c>
      <c r="V1066" s="66" t="n">
        <f aca="false">IFERROR($U1066/$R1066,0)</f>
        <v>0.29312218393851</v>
      </c>
      <c r="W1066" s="67" t="str">
        <f aca="false">IF(AND($V1066&gt;=Parametros!$C$8,$R1066&gt;=Parametros!$C$12),"Alta rentabilidad",IF(OR($V1066&lt;Parametros!$C$11,$R1066&lt;Parametros!$C$13),"Revisar","Estandar"))</f>
        <v>Estandar</v>
      </c>
      <c r="X1066" s="67" t="str">
        <f aca="false">IF(AND($J1066="E-commerce",IFERROR($T1066/$R1066,0)&gt;Parametros!$C$14),"Alerta","OK")</f>
        <v>OK</v>
      </c>
      <c r="Y1066" s="61" t="str">
        <f aca="false">IF($R1066&gt;=Parametros!$C$12,"Alto",IF($R1066&lt;Parametros!$C$13,"Bajo","Medio"))</f>
        <v>Alto</v>
      </c>
      <c r="Z1066" s="61" t="n">
        <v>755</v>
      </c>
      <c r="AA1066" s="61" t="str">
        <f aca="false">IF(MATCH($A1066,Datos_Origen!$A$2:$A$2459,0)=$Z1066,"OK","REVISAR")</f>
        <v>OK</v>
      </c>
      <c r="AB1066" s="61" t="str">
        <f aca="false">INDEX(Datos_Origen!$B$2:$B$2459,$Z1066)</f>
        <v>2024-11-04</v>
      </c>
      <c r="AC1066" s="61" t="n">
        <f aca="false">INDEX(Datos_Origen!$H$2:$H$2459,$Z1066)</f>
        <v>7</v>
      </c>
      <c r="AD1066" s="61" t="str">
        <f aca="false">INDEX(Datos_Origen!$D$2:$D$2459,$Z1066)&amp;""</f>
        <v>Mendoza</v>
      </c>
    </row>
    <row r="1067" customFormat="false" ht="15" hidden="false" customHeight="false" outlineLevel="0" collapsed="false">
      <c r="A1067" s="61" t="n">
        <f aca="false">INDEX(Datos_Origen!$A$2:$A$2459,$Z1067)</f>
        <v>1066</v>
      </c>
      <c r="B1067" s="62" t="n">
        <f aca="false">IF(ISNUMBER($AB1067),$AB1067,IF(MID($AB1067,5,1)="-",DATE(VALUE(LEFT($AB1067,4)),VALUE(MID($AB1067,6,2)),VALUE(RIGHT($AB1067,2))),DATE(VALUE(RIGHT($AB1067,4)),VALUE(MID($AB1067,4,2)),VALUE(LEFT($AB1067,2)))))</f>
        <v>45607</v>
      </c>
      <c r="C1067" s="61" t="n">
        <f aca="false">YEAR($B1067)</f>
        <v>2024</v>
      </c>
      <c r="D1067" s="61" t="str">
        <f aca="false">"Q"&amp;ROUNDUP(MONTH($B1067)/3,0)</f>
        <v>Q4</v>
      </c>
      <c r="E1067" s="61" t="n">
        <f aca="false">MONTH($B1067)</f>
        <v>11</v>
      </c>
      <c r="F1067" s="61" t="str">
        <f aca="false">INDEX(Parametros!$I$5:$I$16,$E1067)</f>
        <v>Nov</v>
      </c>
      <c r="G1067" s="61" t="str">
        <f aca="false">TEXT($C1067,"0000")&amp;"-"&amp;TEXT($E1067,"00")</f>
        <v>2024-11</v>
      </c>
      <c r="H1067" s="61" t="str">
        <f aca="false">INDEX(Parametros!$C$71:$C$91,MATCH(TRIM(INDEX(Datos_Origen!$C$2:$C$2459,$Z1067)),Parametros!$B$71:$B$91,0))</f>
        <v>Cuyo</v>
      </c>
      <c r="I1067" s="61" t="str">
        <f aca="false">IF(TRIM($AD1067)="",INDEX(Parametros!$I$20:$I$24,MATCH($H1067,Parametros!$H$20:$H$24,0)),TRIM($AD1067))</f>
        <v>Mendoza</v>
      </c>
      <c r="J1067" s="61" t="str">
        <f aca="false">INDEX(Parametros!$C$95:$C$106,MATCH(TRIM(INDEX(Datos_Origen!$E$2:$E$2459,$Z1067)),Parametros!$B$95:$B$106,0))</f>
        <v>E-commerce</v>
      </c>
      <c r="K1067" s="61" t="str">
        <f aca="false">INDEX(Parametros!$C$48:$C$67,MATCH(TRIM(INDEX(Datos_Origen!$F$2:$F$2459,$Z1067)),Parametros!$B$48:$B$67,0))</f>
        <v>Computacion</v>
      </c>
      <c r="L1067" s="61" t="str">
        <f aca="false">$K1067&amp;" "&amp;$C1067</f>
        <v>Computacion 2024</v>
      </c>
      <c r="M1067" s="61" t="str">
        <f aca="false">TRIM(INDEX(Datos_Origen!$G$2:$G$2459,$Z1067))</f>
        <v>PC Gamer Ryzen</v>
      </c>
      <c r="N1067" s="61" t="str">
        <f aca="false">$M1067&amp;" "&amp;$C1067</f>
        <v>PC Gamer Ryzen 2024</v>
      </c>
      <c r="O1067" s="63" t="n">
        <f aca="false">IF(ISTEXT($AC1067),VALUE($AC1067),$AC1067)</f>
        <v>3</v>
      </c>
      <c r="P1067" s="64" t="n">
        <f aca="false">INDEX(Datos_Origen!$I$2:$I$2459,$Z1067)</f>
        <v>1617</v>
      </c>
      <c r="Q1067" s="64" t="n">
        <f aca="false">INDEX(Datos_Origen!$J$2:$J$2459,$Z1067)</f>
        <v>1122</v>
      </c>
      <c r="R1067" s="65" t="n">
        <f aca="false">ROUND($O1067*$P1067,2)</f>
        <v>4851</v>
      </c>
      <c r="S1067" s="65" t="n">
        <f aca="false">ROUND($O1067*$Q1067,2)</f>
        <v>3366</v>
      </c>
      <c r="T1067" s="65" t="n">
        <f aca="false">ROUND($R1067*SUMIFS(Parametros!$E$28:$E$43,Parametros!$B$28:$B$43,$J1067,Parametros!$C$28:$C$43,$C1067,Parametros!$D$28:$D$43,$D1067),2)</f>
        <v>232.85</v>
      </c>
      <c r="U1067" s="65" t="n">
        <f aca="false">$R1067-$S1067-$T1067</f>
        <v>1252.15</v>
      </c>
      <c r="V1067" s="66" t="n">
        <f aca="false">IFERROR($U1067/$R1067,0)</f>
        <v>0.258122036693465</v>
      </c>
      <c r="W1067" s="67" t="str">
        <f aca="false">IF(AND($V1067&gt;=Parametros!$C$8,$R1067&gt;=Parametros!$C$12),"Alta rentabilidad",IF(OR($V1067&lt;Parametros!$C$11,$R1067&lt;Parametros!$C$13),"Revisar","Estandar"))</f>
        <v>Revisar</v>
      </c>
      <c r="X1067" s="67" t="str">
        <f aca="false">IF(AND($J1067="E-commerce",IFERROR($T1067/$R1067,0)&gt;Parametros!$C$14),"Alerta","OK")</f>
        <v>OK</v>
      </c>
      <c r="Y1067" s="61" t="str">
        <f aca="false">IF($R1067&gt;=Parametros!$C$12,"Alto",IF($R1067&lt;Parametros!$C$13,"Bajo","Medio"))</f>
        <v>Alto</v>
      </c>
      <c r="Z1067" s="61" t="n">
        <v>2215</v>
      </c>
      <c r="AA1067" s="61" t="str">
        <f aca="false">IF(MATCH($A1067,Datos_Origen!$A$2:$A$2459,0)=$Z1067,"OK","REVISAR")</f>
        <v>OK</v>
      </c>
      <c r="AB1067" s="62" t="n">
        <f aca="false">INDEX(Datos_Origen!$B$2:$B$2459,$Z1067)</f>
        <v>45607</v>
      </c>
      <c r="AC1067" s="61" t="n">
        <f aca="false">INDEX(Datos_Origen!$H$2:$H$2459,$Z1067)</f>
        <v>3</v>
      </c>
      <c r="AD1067" s="61" t="str">
        <f aca="false">INDEX(Datos_Origen!$D$2:$D$2459,$Z1067)&amp;""</f>
        <v>Mendoza</v>
      </c>
    </row>
    <row r="1068" customFormat="false" ht="15" hidden="false" customHeight="false" outlineLevel="0" collapsed="false">
      <c r="A1068" s="61" t="n">
        <f aca="false">INDEX(Datos_Origen!$A$2:$A$2459,$Z1068)</f>
        <v>1067</v>
      </c>
      <c r="B1068" s="62" t="n">
        <f aca="false">IF(ISNUMBER($AB1068),$AB1068,IF(MID($AB1068,5,1)="-",DATE(VALUE(LEFT($AB1068,4)),VALUE(MID($AB1068,6,2)),VALUE(RIGHT($AB1068,2))),DATE(VALUE(RIGHT($AB1068,4)),VALUE(MID($AB1068,4,2)),VALUE(LEFT($AB1068,2)))))</f>
        <v>45614</v>
      </c>
      <c r="C1068" s="61" t="n">
        <f aca="false">YEAR($B1068)</f>
        <v>2024</v>
      </c>
      <c r="D1068" s="61" t="str">
        <f aca="false">"Q"&amp;ROUNDUP(MONTH($B1068)/3,0)</f>
        <v>Q4</v>
      </c>
      <c r="E1068" s="61" t="n">
        <f aca="false">MONTH($B1068)</f>
        <v>11</v>
      </c>
      <c r="F1068" s="61" t="str">
        <f aca="false">INDEX(Parametros!$I$5:$I$16,$E1068)</f>
        <v>Nov</v>
      </c>
      <c r="G1068" s="61" t="str">
        <f aca="false">TEXT($C1068,"0000")&amp;"-"&amp;TEXT($E1068,"00")</f>
        <v>2024-11</v>
      </c>
      <c r="H1068" s="61" t="str">
        <f aca="false">INDEX(Parametros!$C$71:$C$91,MATCH(TRIM(INDEX(Datos_Origen!$C$2:$C$2459,$Z1068)),Parametros!$B$71:$B$91,0))</f>
        <v>Cuyo</v>
      </c>
      <c r="I1068" s="61" t="str">
        <f aca="false">IF(TRIM($AD1068)="",INDEX(Parametros!$I$20:$I$24,MATCH($H1068,Parametros!$H$20:$H$24,0)),TRIM($AD1068))</f>
        <v>Mendoza</v>
      </c>
      <c r="J1068" s="61" t="str">
        <f aca="false">INDEX(Parametros!$C$95:$C$106,MATCH(TRIM(INDEX(Datos_Origen!$E$2:$E$2459,$Z1068)),Parametros!$B$95:$B$106,0))</f>
        <v>Tienda fisica</v>
      </c>
      <c r="K1068" s="61" t="str">
        <f aca="false">INDEX(Parametros!$C$48:$C$67,MATCH(TRIM(INDEX(Datos_Origen!$F$2:$F$2459,$Z1068)),Parametros!$B$48:$B$67,0))</f>
        <v>Accesorios</v>
      </c>
      <c r="L1068" s="61" t="str">
        <f aca="false">$K1068&amp;" "&amp;$C1068</f>
        <v>Accesorios 2024</v>
      </c>
      <c r="M1068" s="61" t="str">
        <f aca="false">TRIM(INDEX(Datos_Origen!$G$2:$G$2459,$Z1068))</f>
        <v>Mouse Inalambrico</v>
      </c>
      <c r="N1068" s="61" t="str">
        <f aca="false">$M1068&amp;" "&amp;$C1068</f>
        <v>Mouse Inalambrico 2024</v>
      </c>
      <c r="O1068" s="63" t="n">
        <f aca="false">IF(ISTEXT($AC1068),VALUE($AC1068),$AC1068)</f>
        <v>43</v>
      </c>
      <c r="P1068" s="64" t="n">
        <f aca="false">INDEX(Datos_Origen!$I$2:$I$2459,$Z1068)</f>
        <v>27.44</v>
      </c>
      <c r="Q1068" s="64" t="n">
        <f aca="false">INDEX(Datos_Origen!$J$2:$J$2459,$Z1068)</f>
        <v>13.44</v>
      </c>
      <c r="R1068" s="65" t="n">
        <f aca="false">ROUND($O1068*$P1068,2)</f>
        <v>1179.92</v>
      </c>
      <c r="S1068" s="65" t="n">
        <f aca="false">ROUND($O1068*$Q1068,2)</f>
        <v>577.92</v>
      </c>
      <c r="T1068" s="65" t="n">
        <f aca="false">ROUND($R1068*SUMIFS(Parametros!$E$28:$E$43,Parametros!$B$28:$B$43,$J1068,Parametros!$C$28:$C$43,$C1068,Parametros!$D$28:$D$43,$D1068),2)</f>
        <v>15.34</v>
      </c>
      <c r="U1068" s="65" t="n">
        <f aca="false">$R1068-$S1068-$T1068</f>
        <v>586.66</v>
      </c>
      <c r="V1068" s="66" t="n">
        <f aca="false">IFERROR($U1068/$R1068,0)</f>
        <v>0.497203200216964</v>
      </c>
      <c r="W1068" s="67" t="str">
        <f aca="false">IF(AND($V1068&gt;=Parametros!$C$8,$R1068&gt;=Parametros!$C$12),"Alta rentabilidad",IF(OR($V1068&lt;Parametros!$C$11,$R1068&lt;Parametros!$C$13),"Revisar","Estandar"))</f>
        <v>Estandar</v>
      </c>
      <c r="X1068" s="67" t="str">
        <f aca="false">IF(AND($J1068="E-commerce",IFERROR($T1068/$R1068,0)&gt;Parametros!$C$14),"Alerta","OK")</f>
        <v>OK</v>
      </c>
      <c r="Y1068" s="61" t="str">
        <f aca="false">IF($R1068&gt;=Parametros!$C$12,"Alto",IF($R1068&lt;Parametros!$C$13,"Bajo","Medio"))</f>
        <v>Medio</v>
      </c>
      <c r="Z1068" s="61" t="n">
        <v>1393</v>
      </c>
      <c r="AA1068" s="61" t="str">
        <f aca="false">IF(MATCH($A1068,Datos_Origen!$A$2:$A$2459,0)=$Z1068,"OK","REVISAR")</f>
        <v>OK</v>
      </c>
      <c r="AB1068" s="62" t="n">
        <f aca="false">INDEX(Datos_Origen!$B$2:$B$2459,$Z1068)</f>
        <v>45614</v>
      </c>
      <c r="AC1068" s="61" t="n">
        <f aca="false">INDEX(Datos_Origen!$H$2:$H$2459,$Z1068)</f>
        <v>43</v>
      </c>
      <c r="AD1068" s="61" t="str">
        <f aca="false">INDEX(Datos_Origen!$D$2:$D$2459,$Z1068)&amp;""</f>
        <v>Mendoza</v>
      </c>
    </row>
    <row r="1069" customFormat="false" ht="15" hidden="false" customHeight="false" outlineLevel="0" collapsed="false">
      <c r="A1069" s="61" t="n">
        <f aca="false">INDEX(Datos_Origen!$A$2:$A$2459,$Z1069)</f>
        <v>1068</v>
      </c>
      <c r="B1069" s="62" t="n">
        <f aca="false">IF(ISNUMBER($AB1069),$AB1069,IF(MID($AB1069,5,1)="-",DATE(VALUE(LEFT($AB1069,4)),VALUE(MID($AB1069,6,2)),VALUE(RIGHT($AB1069,2))),DATE(VALUE(RIGHT($AB1069,4)),VALUE(MID($AB1069,4,2)),VALUE(LEFT($AB1069,2)))))</f>
        <v>45621</v>
      </c>
      <c r="C1069" s="61" t="n">
        <f aca="false">YEAR($B1069)</f>
        <v>2024</v>
      </c>
      <c r="D1069" s="61" t="str">
        <f aca="false">"Q"&amp;ROUNDUP(MONTH($B1069)/3,0)</f>
        <v>Q4</v>
      </c>
      <c r="E1069" s="61" t="n">
        <f aca="false">MONTH($B1069)</f>
        <v>11</v>
      </c>
      <c r="F1069" s="61" t="str">
        <f aca="false">INDEX(Parametros!$I$5:$I$16,$E1069)</f>
        <v>Nov</v>
      </c>
      <c r="G1069" s="61" t="str">
        <f aca="false">TEXT($C1069,"0000")&amp;"-"&amp;TEXT($E1069,"00")</f>
        <v>2024-11</v>
      </c>
      <c r="H1069" s="61" t="str">
        <f aca="false">INDEX(Parametros!$C$71:$C$91,MATCH(TRIM(INDEX(Datos_Origen!$C$2:$C$2459,$Z1069)),Parametros!$B$71:$B$91,0))</f>
        <v>Cuyo</v>
      </c>
      <c r="I1069" s="61" t="str">
        <f aca="false">IF(TRIM($AD1069)="",INDEX(Parametros!$I$20:$I$24,MATCH($H1069,Parametros!$H$20:$H$24,0)),TRIM($AD1069))</f>
        <v>Mendoza</v>
      </c>
      <c r="J1069" s="61" t="str">
        <f aca="false">INDEX(Parametros!$C$95:$C$106,MATCH(TRIM(INDEX(Datos_Origen!$E$2:$E$2459,$Z1069)),Parametros!$B$95:$B$106,0))</f>
        <v>E-commerce</v>
      </c>
      <c r="K1069" s="61" t="str">
        <f aca="false">INDEX(Parametros!$C$48:$C$67,MATCH(TRIM(INDEX(Datos_Origen!$F$2:$F$2459,$Z1069)),Parametros!$B$48:$B$67,0))</f>
        <v>Accesorios</v>
      </c>
      <c r="L1069" s="61" t="str">
        <f aca="false">$K1069&amp;" "&amp;$C1069</f>
        <v>Accesorios 2024</v>
      </c>
      <c r="M1069" s="61" t="str">
        <f aca="false">TRIM(INDEX(Datos_Origen!$G$2:$G$2459,$Z1069))</f>
        <v>Mouse Inalambrico</v>
      </c>
      <c r="N1069" s="61" t="str">
        <f aca="false">$M1069&amp;" "&amp;$C1069</f>
        <v>Mouse Inalambrico 2024</v>
      </c>
      <c r="O1069" s="63" t="n">
        <f aca="false">IF(ISTEXT($AC1069),VALUE($AC1069),$AC1069)</f>
        <v>15</v>
      </c>
      <c r="P1069" s="64" t="n">
        <f aca="false">INDEX(Datos_Origen!$I$2:$I$2459,$Z1069)</f>
        <v>27.44</v>
      </c>
      <c r="Q1069" s="64" t="n">
        <f aca="false">INDEX(Datos_Origen!$J$2:$J$2459,$Z1069)</f>
        <v>13.44</v>
      </c>
      <c r="R1069" s="65" t="n">
        <f aca="false">ROUND($O1069*$P1069,2)</f>
        <v>411.6</v>
      </c>
      <c r="S1069" s="65" t="n">
        <f aca="false">ROUND($O1069*$Q1069,2)</f>
        <v>201.6</v>
      </c>
      <c r="T1069" s="65" t="n">
        <f aca="false">ROUND($R1069*SUMIFS(Parametros!$E$28:$E$43,Parametros!$B$28:$B$43,$J1069,Parametros!$C$28:$C$43,$C1069,Parametros!$D$28:$D$43,$D1069),2)</f>
        <v>19.76</v>
      </c>
      <c r="U1069" s="65" t="n">
        <f aca="false">$R1069-$S1069-$T1069</f>
        <v>190.24</v>
      </c>
      <c r="V1069" s="66" t="n">
        <f aca="false">IFERROR($U1069/$R1069,0)</f>
        <v>0.462196307094266</v>
      </c>
      <c r="W1069" s="67" t="str">
        <f aca="false">IF(AND($V1069&gt;=Parametros!$C$8,$R1069&gt;=Parametros!$C$12),"Alta rentabilidad",IF(OR($V1069&lt;Parametros!$C$11,$R1069&lt;Parametros!$C$13),"Revisar","Estandar"))</f>
        <v>Estandar</v>
      </c>
      <c r="X1069" s="67" t="str">
        <f aca="false">IF(AND($J1069="E-commerce",IFERROR($T1069/$R1069,0)&gt;Parametros!$C$14),"Alerta","OK")</f>
        <v>OK</v>
      </c>
      <c r="Y1069" s="61" t="str">
        <f aca="false">IF($R1069&gt;=Parametros!$C$12,"Alto",IF($R1069&lt;Parametros!$C$13,"Bajo","Medio"))</f>
        <v>Medio</v>
      </c>
      <c r="Z1069" s="61" t="n">
        <v>1493</v>
      </c>
      <c r="AA1069" s="61" t="str">
        <f aca="false">IF(MATCH($A1069,Datos_Origen!$A$2:$A$2459,0)=$Z1069,"OK","REVISAR")</f>
        <v>OK</v>
      </c>
      <c r="AB1069" s="62" t="n">
        <f aca="false">INDEX(Datos_Origen!$B$2:$B$2459,$Z1069)</f>
        <v>45621</v>
      </c>
      <c r="AC1069" s="61" t="n">
        <f aca="false">INDEX(Datos_Origen!$H$2:$H$2459,$Z1069)</f>
        <v>15</v>
      </c>
      <c r="AD1069" s="61" t="str">
        <f aca="false">INDEX(Datos_Origen!$D$2:$D$2459,$Z1069)&amp;""</f>
        <v>Mendoza</v>
      </c>
    </row>
    <row r="1070" customFormat="false" ht="15" hidden="false" customHeight="false" outlineLevel="0" collapsed="false">
      <c r="A1070" s="61" t="n">
        <f aca="false">INDEX(Datos_Origen!$A$2:$A$2459,$Z1070)</f>
        <v>1069</v>
      </c>
      <c r="B1070" s="62" t="n">
        <f aca="false">IF(ISNUMBER($AB1070),$AB1070,IF(MID($AB1070,5,1)="-",DATE(VALUE(LEFT($AB1070,4)),VALUE(MID($AB1070,6,2)),VALUE(RIGHT($AB1070,2))),DATE(VALUE(RIGHT($AB1070,4)),VALUE(MID($AB1070,4,2)),VALUE(LEFT($AB1070,2)))))</f>
        <v>45601</v>
      </c>
      <c r="C1070" s="61" t="n">
        <f aca="false">YEAR($B1070)</f>
        <v>2024</v>
      </c>
      <c r="D1070" s="61" t="str">
        <f aca="false">"Q"&amp;ROUNDUP(MONTH($B1070)/3,0)</f>
        <v>Q4</v>
      </c>
      <c r="E1070" s="61" t="n">
        <f aca="false">MONTH($B1070)</f>
        <v>11</v>
      </c>
      <c r="F1070" s="61" t="str">
        <f aca="false">INDEX(Parametros!$I$5:$I$16,$E1070)</f>
        <v>Nov</v>
      </c>
      <c r="G1070" s="61" t="str">
        <f aca="false">TEXT($C1070,"0000")&amp;"-"&amp;TEXT($E1070,"00")</f>
        <v>2024-11</v>
      </c>
      <c r="H1070" s="61" t="str">
        <f aca="false">INDEX(Parametros!$C$71:$C$91,MATCH(TRIM(INDEX(Datos_Origen!$C$2:$C$2459,$Z1070)),Parametros!$B$71:$B$91,0))</f>
        <v>Cuyo</v>
      </c>
      <c r="I1070" s="61" t="str">
        <f aca="false">IF(TRIM($AD1070)="",INDEX(Parametros!$I$20:$I$24,MATCH($H1070,Parametros!$H$20:$H$24,0)),TRIM($AD1070))</f>
        <v>Mendoza</v>
      </c>
      <c r="J1070" s="61" t="str">
        <f aca="false">INDEX(Parametros!$C$95:$C$106,MATCH(TRIM(INDEX(Datos_Origen!$E$2:$E$2459,$Z1070)),Parametros!$B$95:$B$106,0))</f>
        <v>Tienda fisica</v>
      </c>
      <c r="K1070" s="61" t="str">
        <f aca="false">INDEX(Parametros!$C$48:$C$67,MATCH(TRIM(INDEX(Datos_Origen!$F$2:$F$2459,$Z1070)),Parametros!$B$48:$B$67,0))</f>
        <v>Accesorios</v>
      </c>
      <c r="L1070" s="61" t="str">
        <f aca="false">$K1070&amp;" "&amp;$C1070</f>
        <v>Accesorios 2024</v>
      </c>
      <c r="M1070" s="61" t="str">
        <f aca="false">TRIM(INDEX(Datos_Origen!$G$2:$G$2459,$Z1070))</f>
        <v>Teclado Mecanico</v>
      </c>
      <c r="N1070" s="61" t="str">
        <f aca="false">$M1070&amp;" "&amp;$C1070</f>
        <v>Teclado Mecanico 2024</v>
      </c>
      <c r="O1070" s="63" t="n">
        <f aca="false">IF(ISTEXT($AC1070),VALUE($AC1070),$AC1070)</f>
        <v>41</v>
      </c>
      <c r="P1070" s="64" t="n">
        <f aca="false">INDEX(Datos_Origen!$I$2:$I$2459,$Z1070)</f>
        <v>93.1</v>
      </c>
      <c r="Q1070" s="64" t="n">
        <f aca="false">INDEX(Datos_Origen!$J$2:$J$2459,$Z1070)</f>
        <v>47.98</v>
      </c>
      <c r="R1070" s="65" t="n">
        <f aca="false">ROUND($O1070*$P1070,2)</f>
        <v>3817.1</v>
      </c>
      <c r="S1070" s="65" t="n">
        <f aca="false">ROUND($O1070*$Q1070,2)</f>
        <v>1967.18</v>
      </c>
      <c r="T1070" s="65" t="n">
        <f aca="false">ROUND($R1070*SUMIFS(Parametros!$E$28:$E$43,Parametros!$B$28:$B$43,$J1070,Parametros!$C$28:$C$43,$C1070,Parametros!$D$28:$D$43,$D1070),2)</f>
        <v>49.62</v>
      </c>
      <c r="U1070" s="65" t="n">
        <f aca="false">$R1070-$S1070-$T1070</f>
        <v>1800.3</v>
      </c>
      <c r="V1070" s="66" t="n">
        <f aca="false">IFERROR($U1070/$R1070,0)</f>
        <v>0.471640774409892</v>
      </c>
      <c r="W1070" s="67" t="str">
        <f aca="false">IF(AND($V1070&gt;=Parametros!$C$8,$R1070&gt;=Parametros!$C$12),"Alta rentabilidad",IF(OR($V1070&lt;Parametros!$C$11,$R1070&lt;Parametros!$C$13),"Revisar","Estandar"))</f>
        <v>Alta rentabilidad</v>
      </c>
      <c r="X1070" s="67" t="str">
        <f aca="false">IF(AND($J1070="E-commerce",IFERROR($T1070/$R1070,0)&gt;Parametros!$C$14),"Alerta","OK")</f>
        <v>OK</v>
      </c>
      <c r="Y1070" s="61" t="str">
        <f aca="false">IF($R1070&gt;=Parametros!$C$12,"Alto",IF($R1070&lt;Parametros!$C$13,"Bajo","Medio"))</f>
        <v>Alto</v>
      </c>
      <c r="Z1070" s="61" t="n">
        <v>1796</v>
      </c>
      <c r="AA1070" s="61" t="str">
        <f aca="false">IF(MATCH($A1070,Datos_Origen!$A$2:$A$2459,0)=$Z1070,"OK","REVISAR")</f>
        <v>OK</v>
      </c>
      <c r="AB1070" s="61" t="str">
        <f aca="false">INDEX(Datos_Origen!$B$2:$B$2459,$Z1070)</f>
        <v>2024-11-05</v>
      </c>
      <c r="AC1070" s="61" t="n">
        <f aca="false">INDEX(Datos_Origen!$H$2:$H$2459,$Z1070)</f>
        <v>41</v>
      </c>
      <c r="AD1070" s="61" t="str">
        <f aca="false">INDEX(Datos_Origen!$D$2:$D$2459,$Z1070)&amp;""</f>
        <v>Mendoza</v>
      </c>
    </row>
    <row r="1071" customFormat="false" ht="15" hidden="false" customHeight="false" outlineLevel="0" collapsed="false">
      <c r="A1071" s="61" t="n">
        <f aca="false">INDEX(Datos_Origen!$A$2:$A$2459,$Z1071)</f>
        <v>1070</v>
      </c>
      <c r="B1071" s="62" t="n">
        <f aca="false">IF(ISNUMBER($AB1071),$AB1071,IF(MID($AB1071,5,1)="-",DATE(VALUE(LEFT($AB1071,4)),VALUE(MID($AB1071,6,2)),VALUE(RIGHT($AB1071,2))),DATE(VALUE(RIGHT($AB1071,4)),VALUE(MID($AB1071,4,2)),VALUE(LEFT($AB1071,2)))))</f>
        <v>45608</v>
      </c>
      <c r="C1071" s="61" t="n">
        <f aca="false">YEAR($B1071)</f>
        <v>2024</v>
      </c>
      <c r="D1071" s="61" t="str">
        <f aca="false">"Q"&amp;ROUNDUP(MONTH($B1071)/3,0)</f>
        <v>Q4</v>
      </c>
      <c r="E1071" s="61" t="n">
        <f aca="false">MONTH($B1071)</f>
        <v>11</v>
      </c>
      <c r="F1071" s="61" t="str">
        <f aca="false">INDEX(Parametros!$I$5:$I$16,$E1071)</f>
        <v>Nov</v>
      </c>
      <c r="G1071" s="61" t="str">
        <f aca="false">TEXT($C1071,"0000")&amp;"-"&amp;TEXT($E1071,"00")</f>
        <v>2024-11</v>
      </c>
      <c r="H1071" s="61" t="str">
        <f aca="false">INDEX(Parametros!$C$71:$C$91,MATCH(TRIM(INDEX(Datos_Origen!$C$2:$C$2459,$Z1071)),Parametros!$B$71:$B$91,0))</f>
        <v>Cuyo</v>
      </c>
      <c r="I1071" s="61" t="str">
        <f aca="false">IF(TRIM($AD1071)="",INDEX(Parametros!$I$20:$I$24,MATCH($H1071,Parametros!$H$20:$H$24,0)),TRIM($AD1071))</f>
        <v>Mendoza</v>
      </c>
      <c r="J1071" s="61" t="str">
        <f aca="false">INDEX(Parametros!$C$95:$C$106,MATCH(TRIM(INDEX(Datos_Origen!$E$2:$E$2459,$Z1071)),Parametros!$B$95:$B$106,0))</f>
        <v>E-commerce</v>
      </c>
      <c r="K1071" s="61" t="str">
        <f aca="false">INDEX(Parametros!$C$48:$C$67,MATCH(TRIM(INDEX(Datos_Origen!$F$2:$F$2459,$Z1071)),Parametros!$B$48:$B$67,0))</f>
        <v>Accesorios</v>
      </c>
      <c r="L1071" s="61" t="str">
        <f aca="false">$K1071&amp;" "&amp;$C1071</f>
        <v>Accesorios 2024</v>
      </c>
      <c r="M1071" s="61" t="str">
        <f aca="false">TRIM(INDEX(Datos_Origen!$G$2:$G$2459,$Z1071))</f>
        <v>Teclado Mecanico</v>
      </c>
      <c r="N1071" s="61" t="str">
        <f aca="false">$M1071&amp;" "&amp;$C1071</f>
        <v>Teclado Mecanico 2024</v>
      </c>
      <c r="O1071" s="63" t="n">
        <f aca="false">IF(ISTEXT($AC1071),VALUE($AC1071),$AC1071)</f>
        <v>16</v>
      </c>
      <c r="P1071" s="64" t="n">
        <f aca="false">INDEX(Datos_Origen!$I$2:$I$2459,$Z1071)</f>
        <v>93.1</v>
      </c>
      <c r="Q1071" s="64" t="n">
        <f aca="false">INDEX(Datos_Origen!$J$2:$J$2459,$Z1071)</f>
        <v>47.98</v>
      </c>
      <c r="R1071" s="65" t="n">
        <f aca="false">ROUND($O1071*$P1071,2)</f>
        <v>1489.6</v>
      </c>
      <c r="S1071" s="65" t="n">
        <f aca="false">ROUND($O1071*$Q1071,2)</f>
        <v>767.68</v>
      </c>
      <c r="T1071" s="65" t="n">
        <f aca="false">ROUND($R1071*SUMIFS(Parametros!$E$28:$E$43,Parametros!$B$28:$B$43,$J1071,Parametros!$C$28:$C$43,$C1071,Parametros!$D$28:$D$43,$D1071),2)</f>
        <v>71.5</v>
      </c>
      <c r="U1071" s="65" t="n">
        <f aca="false">$R1071-$S1071-$T1071</f>
        <v>650.42</v>
      </c>
      <c r="V1071" s="66" t="n">
        <f aca="false">IFERROR($U1071/$R1071,0)</f>
        <v>0.436640708915145</v>
      </c>
      <c r="W1071" s="67" t="str">
        <f aca="false">IF(AND($V1071&gt;=Parametros!$C$8,$R1071&gt;=Parametros!$C$12),"Alta rentabilidad",IF(OR($V1071&lt;Parametros!$C$11,$R1071&lt;Parametros!$C$13),"Revisar","Estandar"))</f>
        <v>Estandar</v>
      </c>
      <c r="X1071" s="67" t="str">
        <f aca="false">IF(AND($J1071="E-commerce",IFERROR($T1071/$R1071,0)&gt;Parametros!$C$14),"Alerta","OK")</f>
        <v>OK</v>
      </c>
      <c r="Y1071" s="61" t="str">
        <f aca="false">IF($R1071&gt;=Parametros!$C$12,"Alto",IF($R1071&lt;Parametros!$C$13,"Bajo","Medio"))</f>
        <v>Medio</v>
      </c>
      <c r="Z1071" s="61" t="n">
        <v>1782</v>
      </c>
      <c r="AA1071" s="61" t="str">
        <f aca="false">IF(MATCH($A1071,Datos_Origen!$A$2:$A$2459,0)=$Z1071,"OK","REVISAR")</f>
        <v>OK</v>
      </c>
      <c r="AB1071" s="62" t="n">
        <f aca="false">INDEX(Datos_Origen!$B$2:$B$2459,$Z1071)</f>
        <v>45608</v>
      </c>
      <c r="AC1071" s="61" t="n">
        <f aca="false">INDEX(Datos_Origen!$H$2:$H$2459,$Z1071)</f>
        <v>16</v>
      </c>
      <c r="AD1071" s="61" t="str">
        <f aca="false">INDEX(Datos_Origen!$D$2:$D$2459,$Z1071)&amp;""</f>
        <v>Mendoza</v>
      </c>
    </row>
    <row r="1072" customFormat="false" ht="15" hidden="false" customHeight="false" outlineLevel="0" collapsed="false">
      <c r="A1072" s="61" t="n">
        <f aca="false">INDEX(Datos_Origen!$A$2:$A$2459,$Z1072)</f>
        <v>1071</v>
      </c>
      <c r="B1072" s="62" t="n">
        <f aca="false">IF(ISNUMBER($AB1072),$AB1072,IF(MID($AB1072,5,1)="-",DATE(VALUE(LEFT($AB1072,4)),VALUE(MID($AB1072,6,2)),VALUE(RIGHT($AB1072,2))),DATE(VALUE(RIGHT($AB1072,4)),VALUE(MID($AB1072,4,2)),VALUE(LEFT($AB1072,2)))))</f>
        <v>45615</v>
      </c>
      <c r="C1072" s="61" t="n">
        <f aca="false">YEAR($B1072)</f>
        <v>2024</v>
      </c>
      <c r="D1072" s="61" t="str">
        <f aca="false">"Q"&amp;ROUNDUP(MONTH($B1072)/3,0)</f>
        <v>Q4</v>
      </c>
      <c r="E1072" s="61" t="n">
        <f aca="false">MONTH($B1072)</f>
        <v>11</v>
      </c>
      <c r="F1072" s="61" t="str">
        <f aca="false">INDEX(Parametros!$I$5:$I$16,$E1072)</f>
        <v>Nov</v>
      </c>
      <c r="G1072" s="61" t="str">
        <f aca="false">TEXT($C1072,"0000")&amp;"-"&amp;TEXT($E1072,"00")</f>
        <v>2024-11</v>
      </c>
      <c r="H1072" s="61" t="str">
        <f aca="false">INDEX(Parametros!$C$71:$C$91,MATCH(TRIM(INDEX(Datos_Origen!$C$2:$C$2459,$Z1072)),Parametros!$B$71:$B$91,0))</f>
        <v>Cuyo</v>
      </c>
      <c r="I1072" s="61" t="str">
        <f aca="false">IF(TRIM($AD1072)="",INDEX(Parametros!$I$20:$I$24,MATCH($H1072,Parametros!$H$20:$H$24,0)),TRIM($AD1072))</f>
        <v>Mendoza</v>
      </c>
      <c r="J1072" s="61" t="str">
        <f aca="false">INDEX(Parametros!$C$95:$C$106,MATCH(TRIM(INDEX(Datos_Origen!$E$2:$E$2459,$Z1072)),Parametros!$B$95:$B$106,0))</f>
        <v>Tienda fisica</v>
      </c>
      <c r="K1072" s="61" t="str">
        <f aca="false">INDEX(Parametros!$C$48:$C$67,MATCH(TRIM(INDEX(Datos_Origen!$F$2:$F$2459,$Z1072)),Parametros!$B$48:$B$67,0))</f>
        <v>Accesorios</v>
      </c>
      <c r="L1072" s="61" t="str">
        <f aca="false">$K1072&amp;" "&amp;$C1072</f>
        <v>Accesorios 2024</v>
      </c>
      <c r="M1072" s="61" t="str">
        <f aca="false">TRIM(INDEX(Datos_Origen!$G$2:$G$2459,$Z1072))</f>
        <v>Webcam Full HD</v>
      </c>
      <c r="N1072" s="61" t="str">
        <f aca="false">$M1072&amp;" "&amp;$C1072</f>
        <v>Webcam Full HD 2024</v>
      </c>
      <c r="O1072" s="63" t="n">
        <f aca="false">IF(ISTEXT($AC1072),VALUE($AC1072),$AC1072)</f>
        <v>43</v>
      </c>
      <c r="P1072" s="64" t="n">
        <f aca="false">INDEX(Datos_Origen!$I$2:$I$2459,$Z1072)</f>
        <v>63.7</v>
      </c>
      <c r="Q1072" s="64" t="n">
        <f aca="false">INDEX(Datos_Origen!$J$2:$J$2459,$Z1072)</f>
        <v>35.43</v>
      </c>
      <c r="R1072" s="65" t="n">
        <f aca="false">ROUND($O1072*$P1072,2)</f>
        <v>2739.1</v>
      </c>
      <c r="S1072" s="65" t="n">
        <f aca="false">ROUND($O1072*$Q1072,2)</f>
        <v>1523.49</v>
      </c>
      <c r="T1072" s="65" t="n">
        <f aca="false">ROUND($R1072*SUMIFS(Parametros!$E$28:$E$43,Parametros!$B$28:$B$43,$J1072,Parametros!$C$28:$C$43,$C1072,Parametros!$D$28:$D$43,$D1072),2)</f>
        <v>35.61</v>
      </c>
      <c r="U1072" s="65" t="n">
        <f aca="false">$R1072-$S1072-$T1072</f>
        <v>1180</v>
      </c>
      <c r="V1072" s="66" t="n">
        <f aca="false">IFERROR($U1072/$R1072,0)</f>
        <v>0.430798437442956</v>
      </c>
      <c r="W1072" s="67" t="str">
        <f aca="false">IF(AND($V1072&gt;=Parametros!$C$8,$R1072&gt;=Parametros!$C$12),"Alta rentabilidad",IF(OR($V1072&lt;Parametros!$C$11,$R1072&lt;Parametros!$C$13),"Revisar","Estandar"))</f>
        <v>Estandar</v>
      </c>
      <c r="X1072" s="67" t="str">
        <f aca="false">IF(AND($J1072="E-commerce",IFERROR($T1072/$R1072,0)&gt;Parametros!$C$14),"Alerta","OK")</f>
        <v>OK</v>
      </c>
      <c r="Y1072" s="61" t="str">
        <f aca="false">IF($R1072&gt;=Parametros!$C$12,"Alto",IF($R1072&lt;Parametros!$C$13,"Bajo","Medio"))</f>
        <v>Medio</v>
      </c>
      <c r="Z1072" s="61" t="n">
        <v>238</v>
      </c>
      <c r="AA1072" s="61" t="str">
        <f aca="false">IF(MATCH($A1072,Datos_Origen!$A$2:$A$2459,0)=$Z1072,"OK","REVISAR")</f>
        <v>OK</v>
      </c>
      <c r="AB1072" s="62" t="n">
        <f aca="false">INDEX(Datos_Origen!$B$2:$B$2459,$Z1072)</f>
        <v>45615</v>
      </c>
      <c r="AC1072" s="61" t="n">
        <f aca="false">INDEX(Datos_Origen!$H$2:$H$2459,$Z1072)</f>
        <v>43</v>
      </c>
      <c r="AD1072" s="61" t="str">
        <f aca="false">INDEX(Datos_Origen!$D$2:$D$2459,$Z1072)&amp;""</f>
        <v>Mendoza</v>
      </c>
    </row>
    <row r="1073" customFormat="false" ht="15" hidden="false" customHeight="false" outlineLevel="0" collapsed="false">
      <c r="A1073" s="61" t="n">
        <f aca="false">INDEX(Datos_Origen!$A$2:$A$2459,$Z1073)</f>
        <v>1072</v>
      </c>
      <c r="B1073" s="62" t="n">
        <f aca="false">IF(ISNUMBER($AB1073),$AB1073,IF(MID($AB1073,5,1)="-",DATE(VALUE(LEFT($AB1073,4)),VALUE(MID($AB1073,6,2)),VALUE(RIGHT($AB1073,2))),DATE(VALUE(RIGHT($AB1073,4)),VALUE(MID($AB1073,4,2)),VALUE(LEFT($AB1073,2)))))</f>
        <v>45622</v>
      </c>
      <c r="C1073" s="61" t="n">
        <f aca="false">YEAR($B1073)</f>
        <v>2024</v>
      </c>
      <c r="D1073" s="61" t="str">
        <f aca="false">"Q"&amp;ROUNDUP(MONTH($B1073)/3,0)</f>
        <v>Q4</v>
      </c>
      <c r="E1073" s="61" t="n">
        <f aca="false">MONTH($B1073)</f>
        <v>11</v>
      </c>
      <c r="F1073" s="61" t="str">
        <f aca="false">INDEX(Parametros!$I$5:$I$16,$E1073)</f>
        <v>Nov</v>
      </c>
      <c r="G1073" s="61" t="str">
        <f aca="false">TEXT($C1073,"0000")&amp;"-"&amp;TEXT($E1073,"00")</f>
        <v>2024-11</v>
      </c>
      <c r="H1073" s="61" t="str">
        <f aca="false">INDEX(Parametros!$C$71:$C$91,MATCH(TRIM(INDEX(Datos_Origen!$C$2:$C$2459,$Z1073)),Parametros!$B$71:$B$91,0))</f>
        <v>Cuyo</v>
      </c>
      <c r="I1073" s="61" t="str">
        <f aca="false">IF(TRIM($AD1073)="",INDEX(Parametros!$I$20:$I$24,MATCH($H1073,Parametros!$H$20:$H$24,0)),TRIM($AD1073))</f>
        <v>Mendoza</v>
      </c>
      <c r="J1073" s="61" t="str">
        <f aca="false">INDEX(Parametros!$C$95:$C$106,MATCH(TRIM(INDEX(Datos_Origen!$E$2:$E$2459,$Z1073)),Parametros!$B$95:$B$106,0))</f>
        <v>E-commerce</v>
      </c>
      <c r="K1073" s="61" t="str">
        <f aca="false">INDEX(Parametros!$C$48:$C$67,MATCH(TRIM(INDEX(Datos_Origen!$F$2:$F$2459,$Z1073)),Parametros!$B$48:$B$67,0))</f>
        <v>Accesorios</v>
      </c>
      <c r="L1073" s="61" t="str">
        <f aca="false">$K1073&amp;" "&amp;$C1073</f>
        <v>Accesorios 2024</v>
      </c>
      <c r="M1073" s="61" t="str">
        <f aca="false">TRIM(INDEX(Datos_Origen!$G$2:$G$2459,$Z1073))</f>
        <v>Webcam Full HD</v>
      </c>
      <c r="N1073" s="61" t="str">
        <f aca="false">$M1073&amp;" "&amp;$C1073</f>
        <v>Webcam Full HD 2024</v>
      </c>
      <c r="O1073" s="63" t="n">
        <f aca="false">IF(ISTEXT($AC1073),VALUE($AC1073),$AC1073)</f>
        <v>18</v>
      </c>
      <c r="P1073" s="64" t="n">
        <f aca="false">INDEX(Datos_Origen!$I$2:$I$2459,$Z1073)</f>
        <v>63.7</v>
      </c>
      <c r="Q1073" s="64" t="n">
        <f aca="false">INDEX(Datos_Origen!$J$2:$J$2459,$Z1073)</f>
        <v>35.43</v>
      </c>
      <c r="R1073" s="65" t="n">
        <f aca="false">ROUND($O1073*$P1073,2)</f>
        <v>1146.6</v>
      </c>
      <c r="S1073" s="65" t="n">
        <f aca="false">ROUND($O1073*$Q1073,2)</f>
        <v>637.74</v>
      </c>
      <c r="T1073" s="65" t="n">
        <f aca="false">ROUND($R1073*SUMIFS(Parametros!$E$28:$E$43,Parametros!$B$28:$B$43,$J1073,Parametros!$C$28:$C$43,$C1073,Parametros!$D$28:$D$43,$D1073),2)</f>
        <v>55.04</v>
      </c>
      <c r="U1073" s="65" t="n">
        <f aca="false">$R1073-$S1073-$T1073</f>
        <v>453.82</v>
      </c>
      <c r="V1073" s="66" t="n">
        <f aca="false">IFERROR($U1073/$R1073,0)</f>
        <v>0.395796267224839</v>
      </c>
      <c r="W1073" s="67" t="str">
        <f aca="false">IF(AND($V1073&gt;=Parametros!$C$8,$R1073&gt;=Parametros!$C$12),"Alta rentabilidad",IF(OR($V1073&lt;Parametros!$C$11,$R1073&lt;Parametros!$C$13),"Revisar","Estandar"))</f>
        <v>Estandar</v>
      </c>
      <c r="X1073" s="67" t="str">
        <f aca="false">IF(AND($J1073="E-commerce",IFERROR($T1073/$R1073,0)&gt;Parametros!$C$14),"Alerta","OK")</f>
        <v>OK</v>
      </c>
      <c r="Y1073" s="61" t="str">
        <f aca="false">IF($R1073&gt;=Parametros!$C$12,"Alto",IF($R1073&lt;Parametros!$C$13,"Bajo","Medio"))</f>
        <v>Medio</v>
      </c>
      <c r="Z1073" s="61" t="n">
        <v>900</v>
      </c>
      <c r="AA1073" s="61" t="str">
        <f aca="false">IF(MATCH($A1073,Datos_Origen!$A$2:$A$2459,0)=$Z1073,"OK","REVISAR")</f>
        <v>OK</v>
      </c>
      <c r="AB1073" s="61" t="str">
        <f aca="false">INDEX(Datos_Origen!$B$2:$B$2459,$Z1073)</f>
        <v>26/11/2024</v>
      </c>
      <c r="AC1073" s="61" t="n">
        <f aca="false">INDEX(Datos_Origen!$H$2:$H$2459,$Z1073)</f>
        <v>18</v>
      </c>
      <c r="AD1073" s="61" t="str">
        <f aca="false">INDEX(Datos_Origen!$D$2:$D$2459,$Z1073)&amp;""</f>
        <v/>
      </c>
    </row>
    <row r="1074" customFormat="false" ht="15" hidden="false" customHeight="false" outlineLevel="0" collapsed="false">
      <c r="A1074" s="61" t="n">
        <f aca="false">INDEX(Datos_Origen!$A$2:$A$2459,$Z1074)</f>
        <v>1073</v>
      </c>
      <c r="B1074" s="62" t="n">
        <f aca="false">IF(ISNUMBER($AB1074),$AB1074,IF(MID($AB1074,5,1)="-",DATE(VALUE(LEFT($AB1074,4)),VALUE(MID($AB1074,6,2)),VALUE(RIGHT($AB1074,2))),DATE(VALUE(RIGHT($AB1074,4)),VALUE(MID($AB1074,4,2)),VALUE(LEFT($AB1074,2)))))</f>
        <v>45602</v>
      </c>
      <c r="C1074" s="61" t="n">
        <f aca="false">YEAR($B1074)</f>
        <v>2024</v>
      </c>
      <c r="D1074" s="61" t="str">
        <f aca="false">"Q"&amp;ROUNDUP(MONTH($B1074)/3,0)</f>
        <v>Q4</v>
      </c>
      <c r="E1074" s="61" t="n">
        <f aca="false">MONTH($B1074)</f>
        <v>11</v>
      </c>
      <c r="F1074" s="61" t="str">
        <f aca="false">INDEX(Parametros!$I$5:$I$16,$E1074)</f>
        <v>Nov</v>
      </c>
      <c r="G1074" s="61" t="str">
        <f aca="false">TEXT($C1074,"0000")&amp;"-"&amp;TEXT($E1074,"00")</f>
        <v>2024-11</v>
      </c>
      <c r="H1074" s="61" t="str">
        <f aca="false">INDEX(Parametros!$C$71:$C$91,MATCH(TRIM(INDEX(Datos_Origen!$C$2:$C$2459,$Z1074)),Parametros!$B$71:$B$91,0))</f>
        <v>Cuyo</v>
      </c>
      <c r="I1074" s="61" t="str">
        <f aca="false">IF(TRIM($AD1074)="",INDEX(Parametros!$I$20:$I$24,MATCH($H1074,Parametros!$H$20:$H$24,0)),TRIM($AD1074))</f>
        <v>Mendoza</v>
      </c>
      <c r="J1074" s="61" t="str">
        <f aca="false">INDEX(Parametros!$C$95:$C$106,MATCH(TRIM(INDEX(Datos_Origen!$E$2:$E$2459,$Z1074)),Parametros!$B$95:$B$106,0))</f>
        <v>Tienda fisica</v>
      </c>
      <c r="K1074" s="61" t="str">
        <f aca="false">INDEX(Parametros!$C$48:$C$67,MATCH(TRIM(INDEX(Datos_Origen!$F$2:$F$2459,$Z1074)),Parametros!$B$48:$B$67,0))</f>
        <v>Audio</v>
      </c>
      <c r="L1074" s="61" t="str">
        <f aca="false">$K1074&amp;" "&amp;$C1074</f>
        <v>Audio 2024</v>
      </c>
      <c r="M1074" s="61" t="str">
        <f aca="false">TRIM(INDEX(Datos_Origen!$G$2:$G$2459,$Z1074))</f>
        <v>Auriculares BT Pro</v>
      </c>
      <c r="N1074" s="61" t="str">
        <f aca="false">$M1074&amp;" "&amp;$C1074</f>
        <v>Auriculares BT Pro 2024</v>
      </c>
      <c r="O1074" s="63" t="n">
        <f aca="false">IF(ISTEXT($AC1074),VALUE($AC1074),$AC1074)</f>
        <v>20</v>
      </c>
      <c r="P1074" s="64" t="n">
        <f aca="false">INDEX(Datos_Origen!$I$2:$I$2459,$Z1074)</f>
        <v>117.6</v>
      </c>
      <c r="Q1074" s="64" t="n">
        <f aca="false">INDEX(Datos_Origen!$J$2:$J$2459,$Z1074)</f>
        <v>63.6</v>
      </c>
      <c r="R1074" s="65" t="n">
        <f aca="false">ROUND($O1074*$P1074,2)</f>
        <v>2352</v>
      </c>
      <c r="S1074" s="65" t="n">
        <f aca="false">ROUND($O1074*$Q1074,2)</f>
        <v>1272</v>
      </c>
      <c r="T1074" s="65" t="n">
        <f aca="false">ROUND($R1074*SUMIFS(Parametros!$E$28:$E$43,Parametros!$B$28:$B$43,$J1074,Parametros!$C$28:$C$43,$C1074,Parametros!$D$28:$D$43,$D1074),2)</f>
        <v>30.58</v>
      </c>
      <c r="U1074" s="65" t="n">
        <f aca="false">$R1074-$S1074-$T1074</f>
        <v>1049.42</v>
      </c>
      <c r="V1074" s="66" t="n">
        <f aca="false">IFERROR($U1074/$R1074,0)</f>
        <v>0.446181972789116</v>
      </c>
      <c r="W1074" s="67" t="str">
        <f aca="false">IF(AND($V1074&gt;=Parametros!$C$8,$R1074&gt;=Parametros!$C$12),"Alta rentabilidad",IF(OR($V1074&lt;Parametros!$C$11,$R1074&lt;Parametros!$C$13),"Revisar","Estandar"))</f>
        <v>Estandar</v>
      </c>
      <c r="X1074" s="67" t="str">
        <f aca="false">IF(AND($J1074="E-commerce",IFERROR($T1074/$R1074,0)&gt;Parametros!$C$14),"Alerta","OK")</f>
        <v>OK</v>
      </c>
      <c r="Y1074" s="61" t="str">
        <f aca="false">IF($R1074&gt;=Parametros!$C$12,"Alto",IF($R1074&lt;Parametros!$C$13,"Bajo","Medio"))</f>
        <v>Medio</v>
      </c>
      <c r="Z1074" s="61" t="n">
        <v>2148</v>
      </c>
      <c r="AA1074" s="61" t="str">
        <f aca="false">IF(MATCH($A1074,Datos_Origen!$A$2:$A$2459,0)=$Z1074,"OK","REVISAR")</f>
        <v>OK</v>
      </c>
      <c r="AB1074" s="62" t="n">
        <f aca="false">INDEX(Datos_Origen!$B$2:$B$2459,$Z1074)</f>
        <v>45602</v>
      </c>
      <c r="AC1074" s="61" t="n">
        <f aca="false">INDEX(Datos_Origen!$H$2:$H$2459,$Z1074)</f>
        <v>20</v>
      </c>
      <c r="AD1074" s="61" t="str">
        <f aca="false">INDEX(Datos_Origen!$D$2:$D$2459,$Z1074)&amp;""</f>
        <v>Mendoza</v>
      </c>
    </row>
    <row r="1075" customFormat="false" ht="15" hidden="false" customHeight="false" outlineLevel="0" collapsed="false">
      <c r="A1075" s="61" t="n">
        <f aca="false">INDEX(Datos_Origen!$A$2:$A$2459,$Z1075)</f>
        <v>1074</v>
      </c>
      <c r="B1075" s="62" t="n">
        <f aca="false">IF(ISNUMBER($AB1075),$AB1075,IF(MID($AB1075,5,1)="-",DATE(VALUE(LEFT($AB1075,4)),VALUE(MID($AB1075,6,2)),VALUE(RIGHT($AB1075,2))),DATE(VALUE(RIGHT($AB1075,4)),VALUE(MID($AB1075,4,2)),VALUE(LEFT($AB1075,2)))))</f>
        <v>45609</v>
      </c>
      <c r="C1075" s="61" t="n">
        <f aca="false">YEAR($B1075)</f>
        <v>2024</v>
      </c>
      <c r="D1075" s="61" t="str">
        <f aca="false">"Q"&amp;ROUNDUP(MONTH($B1075)/3,0)</f>
        <v>Q4</v>
      </c>
      <c r="E1075" s="61" t="n">
        <f aca="false">MONTH($B1075)</f>
        <v>11</v>
      </c>
      <c r="F1075" s="61" t="str">
        <f aca="false">INDEX(Parametros!$I$5:$I$16,$E1075)</f>
        <v>Nov</v>
      </c>
      <c r="G1075" s="61" t="str">
        <f aca="false">TEXT($C1075,"0000")&amp;"-"&amp;TEXT($E1075,"00")</f>
        <v>2024-11</v>
      </c>
      <c r="H1075" s="61" t="str">
        <f aca="false">INDEX(Parametros!$C$71:$C$91,MATCH(TRIM(INDEX(Datos_Origen!$C$2:$C$2459,$Z1075)),Parametros!$B$71:$B$91,0))</f>
        <v>Cuyo</v>
      </c>
      <c r="I1075" s="61" t="str">
        <f aca="false">IF(TRIM($AD1075)="",INDEX(Parametros!$I$20:$I$24,MATCH($H1075,Parametros!$H$20:$H$24,0)),TRIM($AD1075))</f>
        <v>Mendoza</v>
      </c>
      <c r="J1075" s="61" t="str">
        <f aca="false">INDEX(Parametros!$C$95:$C$106,MATCH(TRIM(INDEX(Datos_Origen!$E$2:$E$2459,$Z1075)),Parametros!$B$95:$B$106,0))</f>
        <v>E-commerce</v>
      </c>
      <c r="K1075" s="61" t="str">
        <f aca="false">INDEX(Parametros!$C$48:$C$67,MATCH(TRIM(INDEX(Datos_Origen!$F$2:$F$2459,$Z1075)),Parametros!$B$48:$B$67,0))</f>
        <v>Audio</v>
      </c>
      <c r="L1075" s="61" t="str">
        <f aca="false">$K1075&amp;" "&amp;$C1075</f>
        <v>Audio 2024</v>
      </c>
      <c r="M1075" s="61" t="str">
        <f aca="false">TRIM(INDEX(Datos_Origen!$G$2:$G$2459,$Z1075))</f>
        <v>Auriculares BT Pro</v>
      </c>
      <c r="N1075" s="61" t="str">
        <f aca="false">$M1075&amp;" "&amp;$C1075</f>
        <v>Auriculares BT Pro 2024</v>
      </c>
      <c r="O1075" s="63" t="n">
        <f aca="false">IF(ISTEXT($AC1075),VALUE($AC1075),$AC1075)</f>
        <v>7</v>
      </c>
      <c r="P1075" s="64" t="n">
        <f aca="false">INDEX(Datos_Origen!$I$2:$I$2459,$Z1075)</f>
        <v>117.6</v>
      </c>
      <c r="Q1075" s="64" t="n">
        <f aca="false">INDEX(Datos_Origen!$J$2:$J$2459,$Z1075)</f>
        <v>63.6</v>
      </c>
      <c r="R1075" s="65" t="n">
        <f aca="false">ROUND($O1075*$P1075,2)</f>
        <v>823.2</v>
      </c>
      <c r="S1075" s="65" t="n">
        <f aca="false">ROUND($O1075*$Q1075,2)</f>
        <v>445.2</v>
      </c>
      <c r="T1075" s="65" t="n">
        <f aca="false">ROUND($R1075*SUMIFS(Parametros!$E$28:$E$43,Parametros!$B$28:$B$43,$J1075,Parametros!$C$28:$C$43,$C1075,Parametros!$D$28:$D$43,$D1075),2)</f>
        <v>39.51</v>
      </c>
      <c r="U1075" s="65" t="n">
        <f aca="false">$R1075-$S1075-$T1075</f>
        <v>338.49</v>
      </c>
      <c r="V1075" s="66" t="n">
        <f aca="false">IFERROR($U1075/$R1075,0)</f>
        <v>0.41118804664723</v>
      </c>
      <c r="W1075" s="67" t="str">
        <f aca="false">IF(AND($V1075&gt;=Parametros!$C$8,$R1075&gt;=Parametros!$C$12),"Alta rentabilidad",IF(OR($V1075&lt;Parametros!$C$11,$R1075&lt;Parametros!$C$13),"Revisar","Estandar"))</f>
        <v>Estandar</v>
      </c>
      <c r="X1075" s="67" t="str">
        <f aca="false">IF(AND($J1075="E-commerce",IFERROR($T1075/$R1075,0)&gt;Parametros!$C$14),"Alerta","OK")</f>
        <v>OK</v>
      </c>
      <c r="Y1075" s="61" t="str">
        <f aca="false">IF($R1075&gt;=Parametros!$C$12,"Alto",IF($R1075&lt;Parametros!$C$13,"Bajo","Medio"))</f>
        <v>Medio</v>
      </c>
      <c r="Z1075" s="61" t="n">
        <v>1616</v>
      </c>
      <c r="AA1075" s="61" t="str">
        <f aca="false">IF(MATCH($A1075,Datos_Origen!$A$2:$A$2459,0)=$Z1075,"OK","REVISAR")</f>
        <v>OK</v>
      </c>
      <c r="AB1075" s="61" t="str">
        <f aca="false">INDEX(Datos_Origen!$B$2:$B$2459,$Z1075)</f>
        <v>2024-11-13</v>
      </c>
      <c r="AC1075" s="61" t="n">
        <f aca="false">INDEX(Datos_Origen!$H$2:$H$2459,$Z1075)</f>
        <v>7</v>
      </c>
      <c r="AD1075" s="61" t="str">
        <f aca="false">INDEX(Datos_Origen!$D$2:$D$2459,$Z1075)&amp;""</f>
        <v>Mendoza</v>
      </c>
    </row>
    <row r="1076" customFormat="false" ht="15" hidden="false" customHeight="false" outlineLevel="0" collapsed="false">
      <c r="A1076" s="61" t="n">
        <f aca="false">INDEX(Datos_Origen!$A$2:$A$2459,$Z1076)</f>
        <v>1075</v>
      </c>
      <c r="B1076" s="62" t="n">
        <f aca="false">IF(ISNUMBER($AB1076),$AB1076,IF(MID($AB1076,5,1)="-",DATE(VALUE(LEFT($AB1076,4)),VALUE(MID($AB1076,6,2)),VALUE(RIGHT($AB1076,2))),DATE(VALUE(RIGHT($AB1076,4)),VALUE(MID($AB1076,4,2)),VALUE(LEFT($AB1076,2)))))</f>
        <v>45616</v>
      </c>
      <c r="C1076" s="61" t="n">
        <f aca="false">YEAR($B1076)</f>
        <v>2024</v>
      </c>
      <c r="D1076" s="61" t="str">
        <f aca="false">"Q"&amp;ROUNDUP(MONTH($B1076)/3,0)</f>
        <v>Q4</v>
      </c>
      <c r="E1076" s="61" t="n">
        <f aca="false">MONTH($B1076)</f>
        <v>11</v>
      </c>
      <c r="F1076" s="61" t="str">
        <f aca="false">INDEX(Parametros!$I$5:$I$16,$E1076)</f>
        <v>Nov</v>
      </c>
      <c r="G1076" s="61" t="str">
        <f aca="false">TEXT($C1076,"0000")&amp;"-"&amp;TEXT($E1076,"00")</f>
        <v>2024-11</v>
      </c>
      <c r="H1076" s="61" t="str">
        <f aca="false">INDEX(Parametros!$C$71:$C$91,MATCH(TRIM(INDEX(Datos_Origen!$C$2:$C$2459,$Z1076)),Parametros!$B$71:$B$91,0))</f>
        <v>Cuyo</v>
      </c>
      <c r="I1076" s="61" t="str">
        <f aca="false">IF(TRIM($AD1076)="",INDEX(Parametros!$I$20:$I$24,MATCH($H1076,Parametros!$H$20:$H$24,0)),TRIM($AD1076))</f>
        <v>Mendoza</v>
      </c>
      <c r="J1076" s="61" t="str">
        <f aca="false">INDEX(Parametros!$C$95:$C$106,MATCH(TRIM(INDEX(Datos_Origen!$E$2:$E$2459,$Z1076)),Parametros!$B$95:$B$106,0))</f>
        <v>Tienda fisica</v>
      </c>
      <c r="K1076" s="61" t="str">
        <f aca="false">INDEX(Parametros!$C$48:$C$67,MATCH(TRIM(INDEX(Datos_Origen!$F$2:$F$2459,$Z1076)),Parametros!$B$48:$B$67,0))</f>
        <v>Audio</v>
      </c>
      <c r="L1076" s="61" t="str">
        <f aca="false">$K1076&amp;" "&amp;$C1076</f>
        <v>Audio 2024</v>
      </c>
      <c r="M1076" s="61" t="str">
        <f aca="false">TRIM(INDEX(Datos_Origen!$G$2:$G$2459,$Z1076))</f>
        <v>Parlante Bluetooth</v>
      </c>
      <c r="N1076" s="61" t="str">
        <f aca="false">$M1076&amp;" "&amp;$C1076</f>
        <v>Parlante Bluetooth 2024</v>
      </c>
      <c r="O1076" s="63" t="n">
        <f aca="false">IF(ISTEXT($AC1076),VALUE($AC1076),$AC1076)</f>
        <v>17</v>
      </c>
      <c r="P1076" s="64" t="n">
        <f aca="false">INDEX(Datos_Origen!$I$2:$I$2459,$Z1076)</f>
        <v>83.3</v>
      </c>
      <c r="Q1076" s="64" t="n">
        <f aca="false">INDEX(Datos_Origen!$J$2:$J$2459,$Z1076)</f>
        <v>48.03</v>
      </c>
      <c r="R1076" s="65" t="n">
        <f aca="false">ROUND($O1076*$P1076,2)</f>
        <v>1416.1</v>
      </c>
      <c r="S1076" s="65" t="n">
        <f aca="false">ROUND($O1076*$Q1076,2)</f>
        <v>816.51</v>
      </c>
      <c r="T1076" s="65" t="n">
        <f aca="false">ROUND($R1076*SUMIFS(Parametros!$E$28:$E$43,Parametros!$B$28:$B$43,$J1076,Parametros!$C$28:$C$43,$C1076,Parametros!$D$28:$D$43,$D1076),2)</f>
        <v>18.41</v>
      </c>
      <c r="U1076" s="65" t="n">
        <f aca="false">$R1076-$S1076-$T1076</f>
        <v>581.18</v>
      </c>
      <c r="V1076" s="66" t="n">
        <f aca="false">IFERROR($U1076/$R1076,0)</f>
        <v>0.410408869430125</v>
      </c>
      <c r="W1076" s="67" t="str">
        <f aca="false">IF(AND($V1076&gt;=Parametros!$C$8,$R1076&gt;=Parametros!$C$12),"Alta rentabilidad",IF(OR($V1076&lt;Parametros!$C$11,$R1076&lt;Parametros!$C$13),"Revisar","Estandar"))</f>
        <v>Estandar</v>
      </c>
      <c r="X1076" s="67" t="str">
        <f aca="false">IF(AND($J1076="E-commerce",IFERROR($T1076/$R1076,0)&gt;Parametros!$C$14),"Alerta","OK")</f>
        <v>OK</v>
      </c>
      <c r="Y1076" s="61" t="str">
        <f aca="false">IF($R1076&gt;=Parametros!$C$12,"Alto",IF($R1076&lt;Parametros!$C$13,"Bajo","Medio"))</f>
        <v>Medio</v>
      </c>
      <c r="Z1076" s="61" t="n">
        <v>701</v>
      </c>
      <c r="AA1076" s="61" t="str">
        <f aca="false">IF(MATCH($A1076,Datos_Origen!$A$2:$A$2459,0)=$Z1076,"OK","REVISAR")</f>
        <v>OK</v>
      </c>
      <c r="AB1076" s="61" t="str">
        <f aca="false">INDEX(Datos_Origen!$B$2:$B$2459,$Z1076)</f>
        <v>2024-11-20</v>
      </c>
      <c r="AC1076" s="61" t="n">
        <f aca="false">INDEX(Datos_Origen!$H$2:$H$2459,$Z1076)</f>
        <v>17</v>
      </c>
      <c r="AD1076" s="61" t="str">
        <f aca="false">INDEX(Datos_Origen!$D$2:$D$2459,$Z1076)&amp;""</f>
        <v>Mendoza</v>
      </c>
    </row>
    <row r="1077" customFormat="false" ht="15" hidden="false" customHeight="false" outlineLevel="0" collapsed="false">
      <c r="A1077" s="61" t="n">
        <f aca="false">INDEX(Datos_Origen!$A$2:$A$2459,$Z1077)</f>
        <v>1076</v>
      </c>
      <c r="B1077" s="62" t="n">
        <f aca="false">IF(ISNUMBER($AB1077),$AB1077,IF(MID($AB1077,5,1)="-",DATE(VALUE(LEFT($AB1077,4)),VALUE(MID($AB1077,6,2)),VALUE(RIGHT($AB1077,2))),DATE(VALUE(RIGHT($AB1077,4)),VALUE(MID($AB1077,4,2)),VALUE(LEFT($AB1077,2)))))</f>
        <v>45623</v>
      </c>
      <c r="C1077" s="61" t="n">
        <f aca="false">YEAR($B1077)</f>
        <v>2024</v>
      </c>
      <c r="D1077" s="61" t="str">
        <f aca="false">"Q"&amp;ROUNDUP(MONTH($B1077)/3,0)</f>
        <v>Q4</v>
      </c>
      <c r="E1077" s="61" t="n">
        <f aca="false">MONTH($B1077)</f>
        <v>11</v>
      </c>
      <c r="F1077" s="61" t="str">
        <f aca="false">INDEX(Parametros!$I$5:$I$16,$E1077)</f>
        <v>Nov</v>
      </c>
      <c r="G1077" s="61" t="str">
        <f aca="false">TEXT($C1077,"0000")&amp;"-"&amp;TEXT($E1077,"00")</f>
        <v>2024-11</v>
      </c>
      <c r="H1077" s="61" t="str">
        <f aca="false">INDEX(Parametros!$C$71:$C$91,MATCH(TRIM(INDEX(Datos_Origen!$C$2:$C$2459,$Z1077)),Parametros!$B$71:$B$91,0))</f>
        <v>Cuyo</v>
      </c>
      <c r="I1077" s="61" t="str">
        <f aca="false">IF(TRIM($AD1077)="",INDEX(Parametros!$I$20:$I$24,MATCH($H1077,Parametros!$H$20:$H$24,0)),TRIM($AD1077))</f>
        <v>Mendoza</v>
      </c>
      <c r="J1077" s="61" t="str">
        <f aca="false">INDEX(Parametros!$C$95:$C$106,MATCH(TRIM(INDEX(Datos_Origen!$E$2:$E$2459,$Z1077)),Parametros!$B$95:$B$106,0))</f>
        <v>E-commerce</v>
      </c>
      <c r="K1077" s="61" t="str">
        <f aca="false">INDEX(Parametros!$C$48:$C$67,MATCH(TRIM(INDEX(Datos_Origen!$F$2:$F$2459,$Z1077)),Parametros!$B$48:$B$67,0))</f>
        <v>Audio</v>
      </c>
      <c r="L1077" s="61" t="str">
        <f aca="false">$K1077&amp;" "&amp;$C1077</f>
        <v>Audio 2024</v>
      </c>
      <c r="M1077" s="61" t="str">
        <f aca="false">TRIM(INDEX(Datos_Origen!$G$2:$G$2459,$Z1077))</f>
        <v>Parlante Bluetooth</v>
      </c>
      <c r="N1077" s="61" t="str">
        <f aca="false">$M1077&amp;" "&amp;$C1077</f>
        <v>Parlante Bluetooth 2024</v>
      </c>
      <c r="O1077" s="63" t="n">
        <f aca="false">IF(ISTEXT($AC1077),VALUE($AC1077),$AC1077)</f>
        <v>8</v>
      </c>
      <c r="P1077" s="64" t="n">
        <f aca="false">INDEX(Datos_Origen!$I$2:$I$2459,$Z1077)</f>
        <v>83.3</v>
      </c>
      <c r="Q1077" s="64" t="n">
        <f aca="false">INDEX(Datos_Origen!$J$2:$J$2459,$Z1077)</f>
        <v>48.03</v>
      </c>
      <c r="R1077" s="65" t="n">
        <f aca="false">ROUND($O1077*$P1077,2)</f>
        <v>666.4</v>
      </c>
      <c r="S1077" s="65" t="n">
        <f aca="false">ROUND($O1077*$Q1077,2)</f>
        <v>384.24</v>
      </c>
      <c r="T1077" s="65" t="n">
        <f aca="false">ROUND($R1077*SUMIFS(Parametros!$E$28:$E$43,Parametros!$B$28:$B$43,$J1077,Parametros!$C$28:$C$43,$C1077,Parametros!$D$28:$D$43,$D1077),2)</f>
        <v>31.99</v>
      </c>
      <c r="U1077" s="65" t="n">
        <f aca="false">$R1077-$S1077-$T1077</f>
        <v>250.17</v>
      </c>
      <c r="V1077" s="66" t="n">
        <f aca="false">IFERROR($U1077/$R1077,0)</f>
        <v>0.375405162064826</v>
      </c>
      <c r="W1077" s="67" t="str">
        <f aca="false">IF(AND($V1077&gt;=Parametros!$C$8,$R1077&gt;=Parametros!$C$12),"Alta rentabilidad",IF(OR($V1077&lt;Parametros!$C$11,$R1077&lt;Parametros!$C$13),"Revisar","Estandar"))</f>
        <v>Estandar</v>
      </c>
      <c r="X1077" s="67" t="str">
        <f aca="false">IF(AND($J1077="E-commerce",IFERROR($T1077/$R1077,0)&gt;Parametros!$C$14),"Alerta","OK")</f>
        <v>OK</v>
      </c>
      <c r="Y1077" s="61" t="str">
        <f aca="false">IF($R1077&gt;=Parametros!$C$12,"Alto",IF($R1077&lt;Parametros!$C$13,"Bajo","Medio"))</f>
        <v>Medio</v>
      </c>
      <c r="Z1077" s="61" t="n">
        <v>2452</v>
      </c>
      <c r="AA1077" s="61" t="str">
        <f aca="false">IF(MATCH($A1077,Datos_Origen!$A$2:$A$2459,0)=$Z1077,"OK","REVISAR")</f>
        <v>OK</v>
      </c>
      <c r="AB1077" s="61" t="str">
        <f aca="false">INDEX(Datos_Origen!$B$2:$B$2459,$Z1077)</f>
        <v>27/11/2024</v>
      </c>
      <c r="AC1077" s="61" t="n">
        <f aca="false">INDEX(Datos_Origen!$H$2:$H$2459,$Z1077)</f>
        <v>8</v>
      </c>
      <c r="AD1077" s="61" t="str">
        <f aca="false">INDEX(Datos_Origen!$D$2:$D$2459,$Z1077)&amp;""</f>
        <v>Mendoza</v>
      </c>
    </row>
    <row r="1078" customFormat="false" ht="15" hidden="false" customHeight="false" outlineLevel="0" collapsed="false">
      <c r="A1078" s="61" t="n">
        <f aca="false">INDEX(Datos_Origen!$A$2:$A$2459,$Z1078)</f>
        <v>1077</v>
      </c>
      <c r="B1078" s="62" t="n">
        <f aca="false">IF(ISNUMBER($AB1078),$AB1078,IF(MID($AB1078,5,1)="-",DATE(VALUE(LEFT($AB1078,4)),VALUE(MID($AB1078,6,2)),VALUE(RIGHT($AB1078,2))),DATE(VALUE(RIGHT($AB1078,4)),VALUE(MID($AB1078,4,2)),VALUE(LEFT($AB1078,2)))))</f>
        <v>45603</v>
      </c>
      <c r="C1078" s="61" t="n">
        <f aca="false">YEAR($B1078)</f>
        <v>2024</v>
      </c>
      <c r="D1078" s="61" t="str">
        <f aca="false">"Q"&amp;ROUNDUP(MONTH($B1078)/3,0)</f>
        <v>Q4</v>
      </c>
      <c r="E1078" s="61" t="n">
        <f aca="false">MONTH($B1078)</f>
        <v>11</v>
      </c>
      <c r="F1078" s="61" t="str">
        <f aca="false">INDEX(Parametros!$I$5:$I$16,$E1078)</f>
        <v>Nov</v>
      </c>
      <c r="G1078" s="61" t="str">
        <f aca="false">TEXT($C1078,"0000")&amp;"-"&amp;TEXT($E1078,"00")</f>
        <v>2024-11</v>
      </c>
      <c r="H1078" s="61" t="str">
        <f aca="false">INDEX(Parametros!$C$71:$C$91,MATCH(TRIM(INDEX(Datos_Origen!$C$2:$C$2459,$Z1078)),Parametros!$B$71:$B$91,0))</f>
        <v>Cuyo</v>
      </c>
      <c r="I1078" s="61" t="str">
        <f aca="false">IF(TRIM($AD1078)="",INDEX(Parametros!$I$20:$I$24,MATCH($H1078,Parametros!$H$20:$H$24,0)),TRIM($AD1078))</f>
        <v>Mendoza</v>
      </c>
      <c r="J1078" s="61" t="str">
        <f aca="false">INDEX(Parametros!$C$95:$C$106,MATCH(TRIM(INDEX(Datos_Origen!$E$2:$E$2459,$Z1078)),Parametros!$B$95:$B$106,0))</f>
        <v>Tienda fisica</v>
      </c>
      <c r="K1078" s="61" t="str">
        <f aca="false">INDEX(Parametros!$C$48:$C$67,MATCH(TRIM(INDEX(Datos_Origen!$F$2:$F$2459,$Z1078)),Parametros!$B$48:$B$67,0))</f>
        <v>Almacenamiento</v>
      </c>
      <c r="L1078" s="61" t="str">
        <f aca="false">$K1078&amp;" "&amp;$C1078</f>
        <v>Almacenamiento 2024</v>
      </c>
      <c r="M1078" s="61" t="str">
        <f aca="false">TRIM(INDEX(Datos_Origen!$G$2:$G$2459,$Z1078))</f>
        <v>SSD Externo 1TB</v>
      </c>
      <c r="N1078" s="61" t="str">
        <f aca="false">$M1078&amp;" "&amp;$C1078</f>
        <v>SSD Externo 1TB 2024</v>
      </c>
      <c r="O1078" s="63" t="n">
        <f aca="false">IF(ISTEXT($AC1078),VALUE($AC1078),$AC1078)</f>
        <v>22</v>
      </c>
      <c r="P1078" s="64" t="n">
        <f aca="false">INDEX(Datos_Origen!$I$2:$I$2459,$Z1078)</f>
        <v>127.4</v>
      </c>
      <c r="Q1078" s="64" t="n">
        <f aca="false">INDEX(Datos_Origen!$J$2:$J$2459,$Z1078)</f>
        <v>76.05</v>
      </c>
      <c r="R1078" s="65" t="n">
        <f aca="false">ROUND($O1078*$P1078,2)</f>
        <v>2802.8</v>
      </c>
      <c r="S1078" s="65" t="n">
        <f aca="false">ROUND($O1078*$Q1078,2)</f>
        <v>1673.1</v>
      </c>
      <c r="T1078" s="65" t="n">
        <f aca="false">ROUND($R1078*SUMIFS(Parametros!$E$28:$E$43,Parametros!$B$28:$B$43,$J1078,Parametros!$C$28:$C$43,$C1078,Parametros!$D$28:$D$43,$D1078),2)</f>
        <v>36.44</v>
      </c>
      <c r="U1078" s="65" t="n">
        <f aca="false">$R1078-$S1078-$T1078</f>
        <v>1093.26</v>
      </c>
      <c r="V1078" s="66" t="n">
        <f aca="false">IFERROR($U1078/$R1078,0)</f>
        <v>0.39005994005994</v>
      </c>
      <c r="W1078" s="67" t="str">
        <f aca="false">IF(AND($V1078&gt;=Parametros!$C$8,$R1078&gt;=Parametros!$C$12),"Alta rentabilidad",IF(OR($V1078&lt;Parametros!$C$11,$R1078&lt;Parametros!$C$13),"Revisar","Estandar"))</f>
        <v>Estandar</v>
      </c>
      <c r="X1078" s="67" t="str">
        <f aca="false">IF(AND($J1078="E-commerce",IFERROR($T1078/$R1078,0)&gt;Parametros!$C$14),"Alerta","OK")</f>
        <v>OK</v>
      </c>
      <c r="Y1078" s="61" t="str">
        <f aca="false">IF($R1078&gt;=Parametros!$C$12,"Alto",IF($R1078&lt;Parametros!$C$13,"Bajo","Medio"))</f>
        <v>Medio</v>
      </c>
      <c r="Z1078" s="61" t="n">
        <v>487</v>
      </c>
      <c r="AA1078" s="61" t="str">
        <f aca="false">IF(MATCH($A1078,Datos_Origen!$A$2:$A$2459,0)=$Z1078,"OK","REVISAR")</f>
        <v>OK</v>
      </c>
      <c r="AB1078" s="62" t="n">
        <f aca="false">INDEX(Datos_Origen!$B$2:$B$2459,$Z1078)</f>
        <v>45603</v>
      </c>
      <c r="AC1078" s="61" t="str">
        <f aca="false">INDEX(Datos_Origen!$H$2:$H$2459,$Z1078)</f>
        <v>22</v>
      </c>
      <c r="AD1078" s="61" t="str">
        <f aca="false">INDEX(Datos_Origen!$D$2:$D$2459,$Z1078)&amp;""</f>
        <v>Mendoza</v>
      </c>
    </row>
    <row r="1079" customFormat="false" ht="15" hidden="false" customHeight="false" outlineLevel="0" collapsed="false">
      <c r="A1079" s="61" t="n">
        <f aca="false">INDEX(Datos_Origen!$A$2:$A$2459,$Z1079)</f>
        <v>1078</v>
      </c>
      <c r="B1079" s="62" t="n">
        <f aca="false">IF(ISNUMBER($AB1079),$AB1079,IF(MID($AB1079,5,1)="-",DATE(VALUE(LEFT($AB1079,4)),VALUE(MID($AB1079,6,2)),VALUE(RIGHT($AB1079,2))),DATE(VALUE(RIGHT($AB1079,4)),VALUE(MID($AB1079,4,2)),VALUE(LEFT($AB1079,2)))))</f>
        <v>45610</v>
      </c>
      <c r="C1079" s="61" t="n">
        <f aca="false">YEAR($B1079)</f>
        <v>2024</v>
      </c>
      <c r="D1079" s="61" t="str">
        <f aca="false">"Q"&amp;ROUNDUP(MONTH($B1079)/3,0)</f>
        <v>Q4</v>
      </c>
      <c r="E1079" s="61" t="n">
        <f aca="false">MONTH($B1079)</f>
        <v>11</v>
      </c>
      <c r="F1079" s="61" t="str">
        <f aca="false">INDEX(Parametros!$I$5:$I$16,$E1079)</f>
        <v>Nov</v>
      </c>
      <c r="G1079" s="61" t="str">
        <f aca="false">TEXT($C1079,"0000")&amp;"-"&amp;TEXT($E1079,"00")</f>
        <v>2024-11</v>
      </c>
      <c r="H1079" s="61" t="str">
        <f aca="false">INDEX(Parametros!$C$71:$C$91,MATCH(TRIM(INDEX(Datos_Origen!$C$2:$C$2459,$Z1079)),Parametros!$B$71:$B$91,0))</f>
        <v>Cuyo</v>
      </c>
      <c r="I1079" s="61" t="str">
        <f aca="false">IF(TRIM($AD1079)="",INDEX(Parametros!$I$20:$I$24,MATCH($H1079,Parametros!$H$20:$H$24,0)),TRIM($AD1079))</f>
        <v>Mendoza</v>
      </c>
      <c r="J1079" s="61" t="str">
        <f aca="false">INDEX(Parametros!$C$95:$C$106,MATCH(TRIM(INDEX(Datos_Origen!$E$2:$E$2459,$Z1079)),Parametros!$B$95:$B$106,0))</f>
        <v>E-commerce</v>
      </c>
      <c r="K1079" s="61" t="str">
        <f aca="false">INDEX(Parametros!$C$48:$C$67,MATCH(TRIM(INDEX(Datos_Origen!$F$2:$F$2459,$Z1079)),Parametros!$B$48:$B$67,0))</f>
        <v>Almacenamiento</v>
      </c>
      <c r="L1079" s="61" t="str">
        <f aca="false">$K1079&amp;" "&amp;$C1079</f>
        <v>Almacenamiento 2024</v>
      </c>
      <c r="M1079" s="61" t="str">
        <f aca="false">TRIM(INDEX(Datos_Origen!$G$2:$G$2459,$Z1079))</f>
        <v>SSD Externo 1TB</v>
      </c>
      <c r="N1079" s="61" t="str">
        <f aca="false">$M1079&amp;" "&amp;$C1079</f>
        <v>SSD Externo 1TB 2024</v>
      </c>
      <c r="O1079" s="63" t="n">
        <f aca="false">IF(ISTEXT($AC1079),VALUE($AC1079),$AC1079)</f>
        <v>8</v>
      </c>
      <c r="P1079" s="64" t="n">
        <f aca="false">INDEX(Datos_Origen!$I$2:$I$2459,$Z1079)</f>
        <v>127.4</v>
      </c>
      <c r="Q1079" s="64" t="n">
        <f aca="false">INDEX(Datos_Origen!$J$2:$J$2459,$Z1079)</f>
        <v>76.05</v>
      </c>
      <c r="R1079" s="65" t="n">
        <f aca="false">ROUND($O1079*$P1079,2)</f>
        <v>1019.2</v>
      </c>
      <c r="S1079" s="65" t="n">
        <f aca="false">ROUND($O1079*$Q1079,2)</f>
        <v>608.4</v>
      </c>
      <c r="T1079" s="65" t="n">
        <f aca="false">ROUND($R1079*SUMIFS(Parametros!$E$28:$E$43,Parametros!$B$28:$B$43,$J1079,Parametros!$C$28:$C$43,$C1079,Parametros!$D$28:$D$43,$D1079),2)</f>
        <v>48.92</v>
      </c>
      <c r="U1079" s="65" t="n">
        <f aca="false">$R1079-$S1079-$T1079</f>
        <v>361.88</v>
      </c>
      <c r="V1079" s="66" t="n">
        <f aca="false">IFERROR($U1079/$R1079,0)</f>
        <v>0.355062794348509</v>
      </c>
      <c r="W1079" s="67" t="str">
        <f aca="false">IF(AND($V1079&gt;=Parametros!$C$8,$R1079&gt;=Parametros!$C$12),"Alta rentabilidad",IF(OR($V1079&lt;Parametros!$C$11,$R1079&lt;Parametros!$C$13),"Revisar","Estandar"))</f>
        <v>Estandar</v>
      </c>
      <c r="X1079" s="67" t="str">
        <f aca="false">IF(AND($J1079="E-commerce",IFERROR($T1079/$R1079,0)&gt;Parametros!$C$14),"Alerta","OK")</f>
        <v>OK</v>
      </c>
      <c r="Y1079" s="61" t="str">
        <f aca="false">IF($R1079&gt;=Parametros!$C$12,"Alto",IF($R1079&lt;Parametros!$C$13,"Bajo","Medio"))</f>
        <v>Medio</v>
      </c>
      <c r="Z1079" s="61" t="n">
        <v>2228</v>
      </c>
      <c r="AA1079" s="61" t="str">
        <f aca="false">IF(MATCH($A1079,Datos_Origen!$A$2:$A$2459,0)=$Z1079,"OK","REVISAR")</f>
        <v>OK</v>
      </c>
      <c r="AB1079" s="62" t="n">
        <f aca="false">INDEX(Datos_Origen!$B$2:$B$2459,$Z1079)</f>
        <v>45610</v>
      </c>
      <c r="AC1079" s="61" t="n">
        <f aca="false">INDEX(Datos_Origen!$H$2:$H$2459,$Z1079)</f>
        <v>8</v>
      </c>
      <c r="AD1079" s="61" t="str">
        <f aca="false">INDEX(Datos_Origen!$D$2:$D$2459,$Z1079)&amp;""</f>
        <v>Mendoza</v>
      </c>
    </row>
    <row r="1080" customFormat="false" ht="15" hidden="false" customHeight="false" outlineLevel="0" collapsed="false">
      <c r="A1080" s="61" t="n">
        <f aca="false">INDEX(Datos_Origen!$A$2:$A$2459,$Z1080)</f>
        <v>1079</v>
      </c>
      <c r="B1080" s="62" t="n">
        <f aca="false">IF(ISNUMBER($AB1080),$AB1080,IF(MID($AB1080,5,1)="-",DATE(VALUE(LEFT($AB1080,4)),VALUE(MID($AB1080,6,2)),VALUE(RIGHT($AB1080,2))),DATE(VALUE(RIGHT($AB1080,4)),VALUE(MID($AB1080,4,2)),VALUE(LEFT($AB1080,2)))))</f>
        <v>45617</v>
      </c>
      <c r="C1080" s="61" t="n">
        <f aca="false">YEAR($B1080)</f>
        <v>2024</v>
      </c>
      <c r="D1080" s="61" t="str">
        <f aca="false">"Q"&amp;ROUNDUP(MONTH($B1080)/3,0)</f>
        <v>Q4</v>
      </c>
      <c r="E1080" s="61" t="n">
        <f aca="false">MONTH($B1080)</f>
        <v>11</v>
      </c>
      <c r="F1080" s="61" t="str">
        <f aca="false">INDEX(Parametros!$I$5:$I$16,$E1080)</f>
        <v>Nov</v>
      </c>
      <c r="G1080" s="61" t="str">
        <f aca="false">TEXT($C1080,"0000")&amp;"-"&amp;TEXT($E1080,"00")</f>
        <v>2024-11</v>
      </c>
      <c r="H1080" s="61" t="str">
        <f aca="false">INDEX(Parametros!$C$71:$C$91,MATCH(TRIM(INDEX(Datos_Origen!$C$2:$C$2459,$Z1080)),Parametros!$B$71:$B$91,0))</f>
        <v>Cuyo</v>
      </c>
      <c r="I1080" s="61" t="str">
        <f aca="false">IF(TRIM($AD1080)="",INDEX(Parametros!$I$20:$I$24,MATCH($H1080,Parametros!$H$20:$H$24,0)),TRIM($AD1080))</f>
        <v>Mendoza</v>
      </c>
      <c r="J1080" s="61" t="str">
        <f aca="false">INDEX(Parametros!$C$95:$C$106,MATCH(TRIM(INDEX(Datos_Origen!$E$2:$E$2459,$Z1080)),Parametros!$B$95:$B$106,0))</f>
        <v>Tienda fisica</v>
      </c>
      <c r="K1080" s="61" t="str">
        <f aca="false">INDEX(Parametros!$C$48:$C$67,MATCH(TRIM(INDEX(Datos_Origen!$F$2:$F$2459,$Z1080)),Parametros!$B$48:$B$67,0))</f>
        <v>Almacenamiento</v>
      </c>
      <c r="L1080" s="61" t="str">
        <f aca="false">$K1080&amp;" "&amp;$C1080</f>
        <v>Almacenamiento 2024</v>
      </c>
      <c r="M1080" s="61" t="str">
        <f aca="false">TRIM(INDEX(Datos_Origen!$G$2:$G$2459,$Z1080))</f>
        <v>Pendrive 256GB</v>
      </c>
      <c r="N1080" s="61" t="str">
        <f aca="false">$M1080&amp;" "&amp;$C1080</f>
        <v>Pendrive 256GB 2024</v>
      </c>
      <c r="O1080" s="63" t="n">
        <f aca="false">IF(ISTEXT($AC1080),VALUE($AC1080),$AC1080)</f>
        <v>20</v>
      </c>
      <c r="P1080" s="64" t="n">
        <f aca="false">INDEX(Datos_Origen!$I$2:$I$2459,$Z1080)</f>
        <v>34.3</v>
      </c>
      <c r="Q1080" s="64" t="n">
        <f aca="false">INDEX(Datos_Origen!$J$2:$J$2459,$Z1080)</f>
        <v>17.85</v>
      </c>
      <c r="R1080" s="65" t="n">
        <f aca="false">ROUND($O1080*$P1080,2)</f>
        <v>686</v>
      </c>
      <c r="S1080" s="65" t="n">
        <f aca="false">ROUND($O1080*$Q1080,2)</f>
        <v>357</v>
      </c>
      <c r="T1080" s="65" t="n">
        <f aca="false">ROUND($R1080*SUMIFS(Parametros!$E$28:$E$43,Parametros!$B$28:$B$43,$J1080,Parametros!$C$28:$C$43,$C1080,Parametros!$D$28:$D$43,$D1080),2)</f>
        <v>8.92</v>
      </c>
      <c r="U1080" s="65" t="n">
        <f aca="false">$R1080-$S1080-$T1080</f>
        <v>320.08</v>
      </c>
      <c r="V1080" s="66" t="n">
        <f aca="false">IFERROR($U1080/$R1080,0)</f>
        <v>0.466588921282799</v>
      </c>
      <c r="W1080" s="67" t="str">
        <f aca="false">IF(AND($V1080&gt;=Parametros!$C$8,$R1080&gt;=Parametros!$C$12),"Alta rentabilidad",IF(OR($V1080&lt;Parametros!$C$11,$R1080&lt;Parametros!$C$13),"Revisar","Estandar"))</f>
        <v>Estandar</v>
      </c>
      <c r="X1080" s="67" t="str">
        <f aca="false">IF(AND($J1080="E-commerce",IFERROR($T1080/$R1080,0)&gt;Parametros!$C$14),"Alerta","OK")</f>
        <v>OK</v>
      </c>
      <c r="Y1080" s="61" t="str">
        <f aca="false">IF($R1080&gt;=Parametros!$C$12,"Alto",IF($R1080&lt;Parametros!$C$13,"Bajo","Medio"))</f>
        <v>Medio</v>
      </c>
      <c r="Z1080" s="61" t="n">
        <v>2292</v>
      </c>
      <c r="AA1080" s="61" t="str">
        <f aca="false">IF(MATCH($A1080,Datos_Origen!$A$2:$A$2459,0)=$Z1080,"OK","REVISAR")</f>
        <v>OK</v>
      </c>
      <c r="AB1080" s="62" t="n">
        <f aca="false">INDEX(Datos_Origen!$B$2:$B$2459,$Z1080)</f>
        <v>45617</v>
      </c>
      <c r="AC1080" s="61" t="n">
        <f aca="false">INDEX(Datos_Origen!$H$2:$H$2459,$Z1080)</f>
        <v>20</v>
      </c>
      <c r="AD1080" s="61" t="str">
        <f aca="false">INDEX(Datos_Origen!$D$2:$D$2459,$Z1080)&amp;""</f>
        <v>Mendoza</v>
      </c>
    </row>
    <row r="1081" customFormat="false" ht="15" hidden="false" customHeight="false" outlineLevel="0" collapsed="false">
      <c r="A1081" s="61" t="n">
        <f aca="false">INDEX(Datos_Origen!$A$2:$A$2459,$Z1081)</f>
        <v>1080</v>
      </c>
      <c r="B1081" s="62" t="n">
        <f aca="false">IF(ISNUMBER($AB1081),$AB1081,IF(MID($AB1081,5,1)="-",DATE(VALUE(LEFT($AB1081,4)),VALUE(MID($AB1081,6,2)),VALUE(RIGHT($AB1081,2))),DATE(VALUE(RIGHT($AB1081,4)),VALUE(MID($AB1081,4,2)),VALUE(LEFT($AB1081,2)))))</f>
        <v>45597</v>
      </c>
      <c r="C1081" s="61" t="n">
        <f aca="false">YEAR($B1081)</f>
        <v>2024</v>
      </c>
      <c r="D1081" s="61" t="str">
        <f aca="false">"Q"&amp;ROUNDUP(MONTH($B1081)/3,0)</f>
        <v>Q4</v>
      </c>
      <c r="E1081" s="61" t="n">
        <f aca="false">MONTH($B1081)</f>
        <v>11</v>
      </c>
      <c r="F1081" s="61" t="str">
        <f aca="false">INDEX(Parametros!$I$5:$I$16,$E1081)</f>
        <v>Nov</v>
      </c>
      <c r="G1081" s="61" t="str">
        <f aca="false">TEXT($C1081,"0000")&amp;"-"&amp;TEXT($E1081,"00")</f>
        <v>2024-11</v>
      </c>
      <c r="H1081" s="61" t="str">
        <f aca="false">INDEX(Parametros!$C$71:$C$91,MATCH(TRIM(INDEX(Datos_Origen!$C$2:$C$2459,$Z1081)),Parametros!$B$71:$B$91,0))</f>
        <v>Cuyo</v>
      </c>
      <c r="I1081" s="61" t="str">
        <f aca="false">IF(TRIM($AD1081)="",INDEX(Parametros!$I$20:$I$24,MATCH($H1081,Parametros!$H$20:$H$24,0)),TRIM($AD1081))</f>
        <v>Mendoza</v>
      </c>
      <c r="J1081" s="61" t="str">
        <f aca="false">INDEX(Parametros!$C$95:$C$106,MATCH(TRIM(INDEX(Datos_Origen!$E$2:$E$2459,$Z1081)),Parametros!$B$95:$B$106,0))</f>
        <v>E-commerce</v>
      </c>
      <c r="K1081" s="61" t="str">
        <f aca="false">INDEX(Parametros!$C$48:$C$67,MATCH(TRIM(INDEX(Datos_Origen!$F$2:$F$2459,$Z1081)),Parametros!$B$48:$B$67,0))</f>
        <v>Almacenamiento</v>
      </c>
      <c r="L1081" s="61" t="str">
        <f aca="false">$K1081&amp;" "&amp;$C1081</f>
        <v>Almacenamiento 2024</v>
      </c>
      <c r="M1081" s="61" t="str">
        <f aca="false">TRIM(INDEX(Datos_Origen!$G$2:$G$2459,$Z1081))</f>
        <v>Pendrive 256GB</v>
      </c>
      <c r="N1081" s="61" t="str">
        <f aca="false">$M1081&amp;" "&amp;$C1081</f>
        <v>Pendrive 256GB 2024</v>
      </c>
      <c r="O1081" s="63" t="n">
        <f aca="false">IF(ISTEXT($AC1081),VALUE($AC1081),$AC1081)</f>
        <v>8</v>
      </c>
      <c r="P1081" s="64" t="n">
        <f aca="false">INDEX(Datos_Origen!$I$2:$I$2459,$Z1081)</f>
        <v>34.3</v>
      </c>
      <c r="Q1081" s="64" t="n">
        <f aca="false">INDEX(Datos_Origen!$J$2:$J$2459,$Z1081)</f>
        <v>17.85</v>
      </c>
      <c r="R1081" s="65" t="n">
        <f aca="false">ROUND($O1081*$P1081,2)</f>
        <v>274.4</v>
      </c>
      <c r="S1081" s="65" t="n">
        <f aca="false">ROUND($O1081*$Q1081,2)</f>
        <v>142.8</v>
      </c>
      <c r="T1081" s="65" t="n">
        <f aca="false">ROUND($R1081*SUMIFS(Parametros!$E$28:$E$43,Parametros!$B$28:$B$43,$J1081,Parametros!$C$28:$C$43,$C1081,Parametros!$D$28:$D$43,$D1081),2)</f>
        <v>13.17</v>
      </c>
      <c r="U1081" s="65" t="n">
        <f aca="false">$R1081-$S1081-$T1081</f>
        <v>118.43</v>
      </c>
      <c r="V1081" s="66" t="n">
        <f aca="false">IFERROR($U1081/$R1081,0)</f>
        <v>0.431596209912536</v>
      </c>
      <c r="W1081" s="67" t="str">
        <f aca="false">IF(AND($V1081&gt;=Parametros!$C$8,$R1081&gt;=Parametros!$C$12),"Alta rentabilidad",IF(OR($V1081&lt;Parametros!$C$11,$R1081&lt;Parametros!$C$13),"Revisar","Estandar"))</f>
        <v>Revisar</v>
      </c>
      <c r="X1081" s="67" t="str">
        <f aca="false">IF(AND($J1081="E-commerce",IFERROR($T1081/$R1081,0)&gt;Parametros!$C$14),"Alerta","OK")</f>
        <v>OK</v>
      </c>
      <c r="Y1081" s="61" t="str">
        <f aca="false">IF($R1081&gt;=Parametros!$C$12,"Alto",IF($R1081&lt;Parametros!$C$13,"Bajo","Medio"))</f>
        <v>Bajo</v>
      </c>
      <c r="Z1081" s="61" t="n">
        <v>1334</v>
      </c>
      <c r="AA1081" s="61" t="str">
        <f aca="false">IF(MATCH($A1081,Datos_Origen!$A$2:$A$2459,0)=$Z1081,"OK","REVISAR")</f>
        <v>OK</v>
      </c>
      <c r="AB1081" s="62" t="n">
        <f aca="false">INDEX(Datos_Origen!$B$2:$B$2459,$Z1081)</f>
        <v>45597</v>
      </c>
      <c r="AC1081" s="61" t="n">
        <f aca="false">INDEX(Datos_Origen!$H$2:$H$2459,$Z1081)</f>
        <v>8</v>
      </c>
      <c r="AD1081" s="61" t="str">
        <f aca="false">INDEX(Datos_Origen!$D$2:$D$2459,$Z1081)&amp;""</f>
        <v>Mendoza</v>
      </c>
    </row>
    <row r="1082" customFormat="false" ht="15" hidden="false" customHeight="false" outlineLevel="0" collapsed="false">
      <c r="A1082" s="61" t="n">
        <f aca="false">INDEX(Datos_Origen!$A$2:$A$2459,$Z1082)</f>
        <v>1081</v>
      </c>
      <c r="B1082" s="62" t="n">
        <f aca="false">IF(ISNUMBER($AB1082),$AB1082,IF(MID($AB1082,5,1)="-",DATE(VALUE(LEFT($AB1082,4)),VALUE(MID($AB1082,6,2)),VALUE(RIGHT($AB1082,2))),DATE(VALUE(RIGHT($AB1082,4)),VALUE(MID($AB1082,4,2)),VALUE(LEFT($AB1082,2)))))</f>
        <v>45604</v>
      </c>
      <c r="C1082" s="61" t="n">
        <f aca="false">YEAR($B1082)</f>
        <v>2024</v>
      </c>
      <c r="D1082" s="61" t="str">
        <f aca="false">"Q"&amp;ROUNDUP(MONTH($B1082)/3,0)</f>
        <v>Q4</v>
      </c>
      <c r="E1082" s="61" t="n">
        <f aca="false">MONTH($B1082)</f>
        <v>11</v>
      </c>
      <c r="F1082" s="61" t="str">
        <f aca="false">INDEX(Parametros!$I$5:$I$16,$E1082)</f>
        <v>Nov</v>
      </c>
      <c r="G1082" s="61" t="str">
        <f aca="false">TEXT($C1082,"0000")&amp;"-"&amp;TEXT($E1082,"00")</f>
        <v>2024-11</v>
      </c>
      <c r="H1082" s="61" t="str">
        <f aca="false">INDEX(Parametros!$C$71:$C$91,MATCH(TRIM(INDEX(Datos_Origen!$C$2:$C$2459,$Z1082)),Parametros!$B$71:$B$91,0))</f>
        <v>NOA</v>
      </c>
      <c r="I1082" s="61" t="str">
        <f aca="false">IF(TRIM($AD1082)="",INDEX(Parametros!$I$20:$I$24,MATCH($H1082,Parametros!$H$20:$H$24,0)),TRIM($AD1082))</f>
        <v>Tucuman</v>
      </c>
      <c r="J1082" s="61" t="str">
        <f aca="false">INDEX(Parametros!$C$95:$C$106,MATCH(TRIM(INDEX(Datos_Origen!$E$2:$E$2459,$Z1082)),Parametros!$B$95:$B$106,0))</f>
        <v>Tienda fisica</v>
      </c>
      <c r="K1082" s="61" t="str">
        <f aca="false">INDEX(Parametros!$C$48:$C$67,MATCH(TRIM(INDEX(Datos_Origen!$F$2:$F$2459,$Z1082)),Parametros!$B$48:$B$67,0))</f>
        <v>Computacion</v>
      </c>
      <c r="L1082" s="61" t="str">
        <f aca="false">$K1082&amp;" "&amp;$C1082</f>
        <v>Computacion 2024</v>
      </c>
      <c r="M1082" s="61" t="str">
        <f aca="false">TRIM(INDEX(Datos_Origen!$G$2:$G$2459,$Z1082))</f>
        <v>Laptop Pro 15</v>
      </c>
      <c r="N1082" s="61" t="str">
        <f aca="false">$M1082&amp;" "&amp;$C1082</f>
        <v>Laptop Pro 15 2024</v>
      </c>
      <c r="O1082" s="63" t="n">
        <f aca="false">IF(ISTEXT($AC1082),VALUE($AC1082),$AC1082)</f>
        <v>9</v>
      </c>
      <c r="P1082" s="64" t="n">
        <f aca="false">INDEX(Datos_Origen!$I$2:$I$2459,$Z1082)</f>
        <v>1176</v>
      </c>
      <c r="Q1082" s="64" t="n">
        <f aca="false">INDEX(Datos_Origen!$J$2:$J$2459,$Z1082)</f>
        <v>744</v>
      </c>
      <c r="R1082" s="65" t="n">
        <f aca="false">ROUND($O1082*$P1082,2)</f>
        <v>10584</v>
      </c>
      <c r="S1082" s="65" t="n">
        <f aca="false">ROUND($O1082*$Q1082,2)</f>
        <v>6696</v>
      </c>
      <c r="T1082" s="65" t="n">
        <f aca="false">ROUND($R1082*SUMIFS(Parametros!$E$28:$E$43,Parametros!$B$28:$B$43,$J1082,Parametros!$C$28:$C$43,$C1082,Parametros!$D$28:$D$43,$D1082),2)</f>
        <v>137.59</v>
      </c>
      <c r="U1082" s="65" t="n">
        <f aca="false">$R1082-$S1082-$T1082</f>
        <v>3750.41</v>
      </c>
      <c r="V1082" s="66" t="n">
        <f aca="false">IFERROR($U1082/$R1082,0)</f>
        <v>0.354347127739985</v>
      </c>
      <c r="W1082" s="67" t="str">
        <f aca="false">IF(AND($V1082&gt;=Parametros!$C$8,$R1082&gt;=Parametros!$C$12),"Alta rentabilidad",IF(OR($V1082&lt;Parametros!$C$11,$R1082&lt;Parametros!$C$13),"Revisar","Estandar"))</f>
        <v>Alta rentabilidad</v>
      </c>
      <c r="X1082" s="67" t="str">
        <f aca="false">IF(AND($J1082="E-commerce",IFERROR($T1082/$R1082,0)&gt;Parametros!$C$14),"Alerta","OK")</f>
        <v>OK</v>
      </c>
      <c r="Y1082" s="61" t="str">
        <f aca="false">IF($R1082&gt;=Parametros!$C$12,"Alto",IF($R1082&lt;Parametros!$C$13,"Bajo","Medio"))</f>
        <v>Alto</v>
      </c>
      <c r="Z1082" s="61" t="n">
        <v>2145</v>
      </c>
      <c r="AA1082" s="61" t="str">
        <f aca="false">IF(MATCH($A1082,Datos_Origen!$A$2:$A$2459,0)=$Z1082,"OK","REVISAR")</f>
        <v>OK</v>
      </c>
      <c r="AB1082" s="62" t="n">
        <f aca="false">INDEX(Datos_Origen!$B$2:$B$2459,$Z1082)</f>
        <v>45604</v>
      </c>
      <c r="AC1082" s="61" t="n">
        <f aca="false">INDEX(Datos_Origen!$H$2:$H$2459,$Z1082)</f>
        <v>9</v>
      </c>
      <c r="AD1082" s="61" t="str">
        <f aca="false">INDEX(Datos_Origen!$D$2:$D$2459,$Z1082)&amp;""</f>
        <v>Tucuman</v>
      </c>
    </row>
    <row r="1083" customFormat="false" ht="15" hidden="false" customHeight="false" outlineLevel="0" collapsed="false">
      <c r="A1083" s="61" t="n">
        <f aca="false">INDEX(Datos_Origen!$A$2:$A$2459,$Z1083)</f>
        <v>1082</v>
      </c>
      <c r="B1083" s="62" t="n">
        <f aca="false">IF(ISNUMBER($AB1083),$AB1083,IF(MID($AB1083,5,1)="-",DATE(VALUE(LEFT($AB1083,4)),VALUE(MID($AB1083,6,2)),VALUE(RIGHT($AB1083,2))),DATE(VALUE(RIGHT($AB1083,4)),VALUE(MID($AB1083,4,2)),VALUE(LEFT($AB1083,2)))))</f>
        <v>45611</v>
      </c>
      <c r="C1083" s="61" t="n">
        <f aca="false">YEAR($B1083)</f>
        <v>2024</v>
      </c>
      <c r="D1083" s="61" t="str">
        <f aca="false">"Q"&amp;ROUNDUP(MONTH($B1083)/3,0)</f>
        <v>Q4</v>
      </c>
      <c r="E1083" s="61" t="n">
        <f aca="false">MONTH($B1083)</f>
        <v>11</v>
      </c>
      <c r="F1083" s="61" t="str">
        <f aca="false">INDEX(Parametros!$I$5:$I$16,$E1083)</f>
        <v>Nov</v>
      </c>
      <c r="G1083" s="61" t="str">
        <f aca="false">TEXT($C1083,"0000")&amp;"-"&amp;TEXT($E1083,"00")</f>
        <v>2024-11</v>
      </c>
      <c r="H1083" s="61" t="str">
        <f aca="false">INDEX(Parametros!$C$71:$C$91,MATCH(TRIM(INDEX(Datos_Origen!$C$2:$C$2459,$Z1083)),Parametros!$B$71:$B$91,0))</f>
        <v>NOA</v>
      </c>
      <c r="I1083" s="61" t="str">
        <f aca="false">IF(TRIM($AD1083)="",INDEX(Parametros!$I$20:$I$24,MATCH($H1083,Parametros!$H$20:$H$24,0)),TRIM($AD1083))</f>
        <v>Tucuman</v>
      </c>
      <c r="J1083" s="61" t="str">
        <f aca="false">INDEX(Parametros!$C$95:$C$106,MATCH(TRIM(INDEX(Datos_Origen!$E$2:$E$2459,$Z1083)),Parametros!$B$95:$B$106,0))</f>
        <v>E-commerce</v>
      </c>
      <c r="K1083" s="61" t="str">
        <f aca="false">INDEX(Parametros!$C$48:$C$67,MATCH(TRIM(INDEX(Datos_Origen!$F$2:$F$2459,$Z1083)),Parametros!$B$48:$B$67,0))</f>
        <v>Computacion</v>
      </c>
      <c r="L1083" s="61" t="str">
        <f aca="false">$K1083&amp;" "&amp;$C1083</f>
        <v>Computacion 2024</v>
      </c>
      <c r="M1083" s="61" t="str">
        <f aca="false">TRIM(INDEX(Datos_Origen!$G$2:$G$2459,$Z1083))</f>
        <v>Laptop Pro 15</v>
      </c>
      <c r="N1083" s="61" t="str">
        <f aca="false">$M1083&amp;" "&amp;$C1083</f>
        <v>Laptop Pro 15 2024</v>
      </c>
      <c r="O1083" s="63" t="n">
        <f aca="false">IF(ISTEXT($AC1083),VALUE($AC1083),$AC1083)</f>
        <v>3</v>
      </c>
      <c r="P1083" s="64" t="n">
        <f aca="false">INDEX(Datos_Origen!$I$2:$I$2459,$Z1083)</f>
        <v>1176</v>
      </c>
      <c r="Q1083" s="64" t="n">
        <f aca="false">INDEX(Datos_Origen!$J$2:$J$2459,$Z1083)</f>
        <v>744</v>
      </c>
      <c r="R1083" s="65" t="n">
        <f aca="false">ROUND($O1083*$P1083,2)</f>
        <v>3528</v>
      </c>
      <c r="S1083" s="65" t="n">
        <f aca="false">ROUND($O1083*$Q1083,2)</f>
        <v>2232</v>
      </c>
      <c r="T1083" s="65" t="n">
        <f aca="false">ROUND($R1083*SUMIFS(Parametros!$E$28:$E$43,Parametros!$B$28:$B$43,$J1083,Parametros!$C$28:$C$43,$C1083,Parametros!$D$28:$D$43,$D1083),2)</f>
        <v>169.34</v>
      </c>
      <c r="U1083" s="65" t="n">
        <f aca="false">$R1083-$S1083-$T1083</f>
        <v>1126.66</v>
      </c>
      <c r="V1083" s="66" t="n">
        <f aca="false">IFERROR($U1083/$R1083,0)</f>
        <v>0.319348072562358</v>
      </c>
      <c r="W1083" s="67" t="str">
        <f aca="false">IF(AND($V1083&gt;=Parametros!$C$8,$R1083&gt;=Parametros!$C$12),"Alta rentabilidad",IF(OR($V1083&lt;Parametros!$C$11,$R1083&lt;Parametros!$C$13),"Revisar","Estandar"))</f>
        <v>Estandar</v>
      </c>
      <c r="X1083" s="67" t="str">
        <f aca="false">IF(AND($J1083="E-commerce",IFERROR($T1083/$R1083,0)&gt;Parametros!$C$14),"Alerta","OK")</f>
        <v>OK</v>
      </c>
      <c r="Y1083" s="61" t="str">
        <f aca="false">IF($R1083&gt;=Parametros!$C$12,"Alto",IF($R1083&lt;Parametros!$C$13,"Bajo","Medio"))</f>
        <v>Alto</v>
      </c>
      <c r="Z1083" s="61" t="n">
        <v>337</v>
      </c>
      <c r="AA1083" s="61" t="str">
        <f aca="false">IF(MATCH($A1083,Datos_Origen!$A$2:$A$2459,0)=$Z1083,"OK","REVISAR")</f>
        <v>OK</v>
      </c>
      <c r="AB1083" s="62" t="n">
        <f aca="false">INDEX(Datos_Origen!$B$2:$B$2459,$Z1083)</f>
        <v>45611</v>
      </c>
      <c r="AC1083" s="61" t="n">
        <f aca="false">INDEX(Datos_Origen!$H$2:$H$2459,$Z1083)</f>
        <v>3</v>
      </c>
      <c r="AD1083" s="61" t="str">
        <f aca="false">INDEX(Datos_Origen!$D$2:$D$2459,$Z1083)&amp;""</f>
        <v>Tucuman</v>
      </c>
    </row>
    <row r="1084" customFormat="false" ht="15" hidden="false" customHeight="false" outlineLevel="0" collapsed="false">
      <c r="A1084" s="61" t="n">
        <f aca="false">INDEX(Datos_Origen!$A$2:$A$2459,$Z1084)</f>
        <v>1083</v>
      </c>
      <c r="B1084" s="62" t="n">
        <f aca="false">IF(ISNUMBER($AB1084),$AB1084,IF(MID($AB1084,5,1)="-",DATE(VALUE(LEFT($AB1084,4)),VALUE(MID($AB1084,6,2)),VALUE(RIGHT($AB1084,2))),DATE(VALUE(RIGHT($AB1084,4)),VALUE(MID($AB1084,4,2)),VALUE(LEFT($AB1084,2)))))</f>
        <v>45618</v>
      </c>
      <c r="C1084" s="61" t="n">
        <f aca="false">YEAR($B1084)</f>
        <v>2024</v>
      </c>
      <c r="D1084" s="61" t="str">
        <f aca="false">"Q"&amp;ROUNDUP(MONTH($B1084)/3,0)</f>
        <v>Q4</v>
      </c>
      <c r="E1084" s="61" t="n">
        <f aca="false">MONTH($B1084)</f>
        <v>11</v>
      </c>
      <c r="F1084" s="61" t="str">
        <f aca="false">INDEX(Parametros!$I$5:$I$16,$E1084)</f>
        <v>Nov</v>
      </c>
      <c r="G1084" s="61" t="str">
        <f aca="false">TEXT($C1084,"0000")&amp;"-"&amp;TEXT($E1084,"00")</f>
        <v>2024-11</v>
      </c>
      <c r="H1084" s="61" t="str">
        <f aca="false">INDEX(Parametros!$C$71:$C$91,MATCH(TRIM(INDEX(Datos_Origen!$C$2:$C$2459,$Z1084)),Parametros!$B$71:$B$91,0))</f>
        <v>NOA</v>
      </c>
      <c r="I1084" s="61" t="str">
        <f aca="false">IF(TRIM($AD1084)="",INDEX(Parametros!$I$20:$I$24,MATCH($H1084,Parametros!$H$20:$H$24,0)),TRIM($AD1084))</f>
        <v>Tucuman</v>
      </c>
      <c r="J1084" s="61" t="str">
        <f aca="false">INDEX(Parametros!$C$95:$C$106,MATCH(TRIM(INDEX(Datos_Origen!$E$2:$E$2459,$Z1084)),Parametros!$B$95:$B$106,0))</f>
        <v>Tienda fisica</v>
      </c>
      <c r="K1084" s="61" t="str">
        <f aca="false">INDEX(Parametros!$C$48:$C$67,MATCH(TRIM(INDEX(Datos_Origen!$F$2:$F$2459,$Z1084)),Parametros!$B$48:$B$67,0))</f>
        <v>Computacion</v>
      </c>
      <c r="L1084" s="61" t="str">
        <f aca="false">$K1084&amp;" "&amp;$C1084</f>
        <v>Computacion 2024</v>
      </c>
      <c r="M1084" s="61" t="str">
        <f aca="false">TRIM(INDEX(Datos_Origen!$G$2:$G$2459,$Z1084))</f>
        <v>Monitor 4K 27</v>
      </c>
      <c r="N1084" s="61" t="str">
        <f aca="false">$M1084&amp;" "&amp;$C1084</f>
        <v>Monitor 4K 27 2024</v>
      </c>
      <c r="O1084" s="63" t="n">
        <f aca="false">IF(ISTEXT($AC1084),VALUE($AC1084),$AC1084)</f>
        <v>8</v>
      </c>
      <c r="P1084" s="64" t="n">
        <f aca="false">INDEX(Datos_Origen!$I$2:$I$2459,$Z1084)</f>
        <v>441</v>
      </c>
      <c r="Q1084" s="64" t="n">
        <f aca="false">INDEX(Datos_Origen!$J$2:$J$2459,$Z1084)</f>
        <v>272.25</v>
      </c>
      <c r="R1084" s="65" t="n">
        <f aca="false">ROUND($O1084*$P1084,2)</f>
        <v>3528</v>
      </c>
      <c r="S1084" s="65" t="n">
        <f aca="false">ROUND($O1084*$Q1084,2)</f>
        <v>2178</v>
      </c>
      <c r="T1084" s="65" t="n">
        <f aca="false">ROUND($R1084*SUMIFS(Parametros!$E$28:$E$43,Parametros!$B$28:$B$43,$J1084,Parametros!$C$28:$C$43,$C1084,Parametros!$D$28:$D$43,$D1084),2)</f>
        <v>45.86</v>
      </c>
      <c r="U1084" s="65" t="n">
        <f aca="false">$R1084-$S1084-$T1084</f>
        <v>1304.14</v>
      </c>
      <c r="V1084" s="66" t="n">
        <f aca="false">IFERROR($U1084/$R1084,0)</f>
        <v>0.369654195011338</v>
      </c>
      <c r="W1084" s="67" t="str">
        <f aca="false">IF(AND($V1084&gt;=Parametros!$C$8,$R1084&gt;=Parametros!$C$12),"Alta rentabilidad",IF(OR($V1084&lt;Parametros!$C$11,$R1084&lt;Parametros!$C$13),"Revisar","Estandar"))</f>
        <v>Alta rentabilidad</v>
      </c>
      <c r="X1084" s="67" t="str">
        <f aca="false">IF(AND($J1084="E-commerce",IFERROR($T1084/$R1084,0)&gt;Parametros!$C$14),"Alerta","OK")</f>
        <v>OK</v>
      </c>
      <c r="Y1084" s="61" t="str">
        <f aca="false">IF($R1084&gt;=Parametros!$C$12,"Alto",IF($R1084&lt;Parametros!$C$13,"Bajo","Medio"))</f>
        <v>Alto</v>
      </c>
      <c r="Z1084" s="61" t="n">
        <v>19</v>
      </c>
      <c r="AA1084" s="61" t="str">
        <f aca="false">IF(MATCH($A1084,Datos_Origen!$A$2:$A$2459,0)=$Z1084,"OK","REVISAR")</f>
        <v>OK</v>
      </c>
      <c r="AB1084" s="61" t="str">
        <f aca="false">INDEX(Datos_Origen!$B$2:$B$2459,$Z1084)</f>
        <v>22/11/2024</v>
      </c>
      <c r="AC1084" s="61" t="str">
        <f aca="false">INDEX(Datos_Origen!$H$2:$H$2459,$Z1084)</f>
        <v>8</v>
      </c>
      <c r="AD1084" s="61" t="str">
        <f aca="false">INDEX(Datos_Origen!$D$2:$D$2459,$Z1084)&amp;""</f>
        <v>Tucuman</v>
      </c>
    </row>
    <row r="1085" customFormat="false" ht="15" hidden="false" customHeight="false" outlineLevel="0" collapsed="false">
      <c r="A1085" s="61" t="n">
        <f aca="false">INDEX(Datos_Origen!$A$2:$A$2459,$Z1085)</f>
        <v>1084</v>
      </c>
      <c r="B1085" s="62" t="n">
        <f aca="false">IF(ISNUMBER($AB1085),$AB1085,IF(MID($AB1085,5,1)="-",DATE(VALUE(LEFT($AB1085,4)),VALUE(MID($AB1085,6,2)),VALUE(RIGHT($AB1085,2))),DATE(VALUE(RIGHT($AB1085,4)),VALUE(MID($AB1085,4,2)),VALUE(LEFT($AB1085,2)))))</f>
        <v>45598</v>
      </c>
      <c r="C1085" s="61" t="n">
        <f aca="false">YEAR($B1085)</f>
        <v>2024</v>
      </c>
      <c r="D1085" s="61" t="str">
        <f aca="false">"Q"&amp;ROUNDUP(MONTH($B1085)/3,0)</f>
        <v>Q4</v>
      </c>
      <c r="E1085" s="61" t="n">
        <f aca="false">MONTH($B1085)</f>
        <v>11</v>
      </c>
      <c r="F1085" s="61" t="str">
        <f aca="false">INDEX(Parametros!$I$5:$I$16,$E1085)</f>
        <v>Nov</v>
      </c>
      <c r="G1085" s="61" t="str">
        <f aca="false">TEXT($C1085,"0000")&amp;"-"&amp;TEXT($E1085,"00")</f>
        <v>2024-11</v>
      </c>
      <c r="H1085" s="61" t="str">
        <f aca="false">INDEX(Parametros!$C$71:$C$91,MATCH(TRIM(INDEX(Datos_Origen!$C$2:$C$2459,$Z1085)),Parametros!$B$71:$B$91,0))</f>
        <v>NOA</v>
      </c>
      <c r="I1085" s="61" t="str">
        <f aca="false">IF(TRIM($AD1085)="",INDEX(Parametros!$I$20:$I$24,MATCH($H1085,Parametros!$H$20:$H$24,0)),TRIM($AD1085))</f>
        <v>Tucuman</v>
      </c>
      <c r="J1085" s="61" t="str">
        <f aca="false">INDEX(Parametros!$C$95:$C$106,MATCH(TRIM(INDEX(Datos_Origen!$E$2:$E$2459,$Z1085)),Parametros!$B$95:$B$106,0))</f>
        <v>E-commerce</v>
      </c>
      <c r="K1085" s="61" t="str">
        <f aca="false">INDEX(Parametros!$C$48:$C$67,MATCH(TRIM(INDEX(Datos_Origen!$F$2:$F$2459,$Z1085)),Parametros!$B$48:$B$67,0))</f>
        <v>Computacion</v>
      </c>
      <c r="L1085" s="61" t="str">
        <f aca="false">$K1085&amp;" "&amp;$C1085</f>
        <v>Computacion 2024</v>
      </c>
      <c r="M1085" s="61" t="str">
        <f aca="false">TRIM(INDEX(Datos_Origen!$G$2:$G$2459,$Z1085))</f>
        <v>Monitor 4K 27</v>
      </c>
      <c r="N1085" s="61" t="str">
        <f aca="false">$M1085&amp;" "&amp;$C1085</f>
        <v>Monitor 4K 27 2024</v>
      </c>
      <c r="O1085" s="63" t="n">
        <f aca="false">IF(ISTEXT($AC1085),VALUE($AC1085),$AC1085)</f>
        <v>3</v>
      </c>
      <c r="P1085" s="64" t="n">
        <f aca="false">INDEX(Datos_Origen!$I$2:$I$2459,$Z1085)</f>
        <v>441</v>
      </c>
      <c r="Q1085" s="64" t="n">
        <f aca="false">INDEX(Datos_Origen!$J$2:$J$2459,$Z1085)</f>
        <v>272.25</v>
      </c>
      <c r="R1085" s="65" t="n">
        <f aca="false">ROUND($O1085*$P1085,2)</f>
        <v>1323</v>
      </c>
      <c r="S1085" s="65" t="n">
        <f aca="false">ROUND($O1085*$Q1085,2)</f>
        <v>816.75</v>
      </c>
      <c r="T1085" s="65" t="n">
        <f aca="false">ROUND($R1085*SUMIFS(Parametros!$E$28:$E$43,Parametros!$B$28:$B$43,$J1085,Parametros!$C$28:$C$43,$C1085,Parametros!$D$28:$D$43,$D1085),2)</f>
        <v>63.5</v>
      </c>
      <c r="U1085" s="65" t="n">
        <f aca="false">$R1085-$S1085-$T1085</f>
        <v>442.75</v>
      </c>
      <c r="V1085" s="66" t="n">
        <f aca="false">IFERROR($U1085/$R1085,0)</f>
        <v>0.334656084656085</v>
      </c>
      <c r="W1085" s="67" t="str">
        <f aca="false">IF(AND($V1085&gt;=Parametros!$C$8,$R1085&gt;=Parametros!$C$12),"Alta rentabilidad",IF(OR($V1085&lt;Parametros!$C$11,$R1085&lt;Parametros!$C$13),"Revisar","Estandar"))</f>
        <v>Estandar</v>
      </c>
      <c r="X1085" s="67" t="str">
        <f aca="false">IF(AND($J1085="E-commerce",IFERROR($T1085/$R1085,0)&gt;Parametros!$C$14),"Alerta","OK")</f>
        <v>OK</v>
      </c>
      <c r="Y1085" s="61" t="str">
        <f aca="false">IF($R1085&gt;=Parametros!$C$12,"Alto",IF($R1085&lt;Parametros!$C$13,"Bajo","Medio"))</f>
        <v>Medio</v>
      </c>
      <c r="Z1085" s="61" t="n">
        <v>2072</v>
      </c>
      <c r="AA1085" s="61" t="str">
        <f aca="false">IF(MATCH($A1085,Datos_Origen!$A$2:$A$2459,0)=$Z1085,"OK","REVISAR")</f>
        <v>OK</v>
      </c>
      <c r="AB1085" s="62" t="n">
        <f aca="false">INDEX(Datos_Origen!$B$2:$B$2459,$Z1085)</f>
        <v>45598</v>
      </c>
      <c r="AC1085" s="61" t="n">
        <f aca="false">INDEX(Datos_Origen!$H$2:$H$2459,$Z1085)</f>
        <v>3</v>
      </c>
      <c r="AD1085" s="61" t="str">
        <f aca="false">INDEX(Datos_Origen!$D$2:$D$2459,$Z1085)&amp;""</f>
        <v>Tucuman</v>
      </c>
    </row>
    <row r="1086" customFormat="false" ht="15" hidden="false" customHeight="false" outlineLevel="0" collapsed="false">
      <c r="A1086" s="61" t="n">
        <f aca="false">INDEX(Datos_Origen!$A$2:$A$2459,$Z1086)</f>
        <v>1085</v>
      </c>
      <c r="B1086" s="62" t="n">
        <f aca="false">IF(ISNUMBER($AB1086),$AB1086,IF(MID($AB1086,5,1)="-",DATE(VALUE(LEFT($AB1086,4)),VALUE(MID($AB1086,6,2)),VALUE(RIGHT($AB1086,2))),DATE(VALUE(RIGHT($AB1086,4)),VALUE(MID($AB1086,4,2)),VALUE(LEFT($AB1086,2)))))</f>
        <v>45605</v>
      </c>
      <c r="C1086" s="61" t="n">
        <f aca="false">YEAR($B1086)</f>
        <v>2024</v>
      </c>
      <c r="D1086" s="61" t="str">
        <f aca="false">"Q"&amp;ROUNDUP(MONTH($B1086)/3,0)</f>
        <v>Q4</v>
      </c>
      <c r="E1086" s="61" t="n">
        <f aca="false">MONTH($B1086)</f>
        <v>11</v>
      </c>
      <c r="F1086" s="61" t="str">
        <f aca="false">INDEX(Parametros!$I$5:$I$16,$E1086)</f>
        <v>Nov</v>
      </c>
      <c r="G1086" s="61" t="str">
        <f aca="false">TEXT($C1086,"0000")&amp;"-"&amp;TEXT($E1086,"00")</f>
        <v>2024-11</v>
      </c>
      <c r="H1086" s="61" t="str">
        <f aca="false">INDEX(Parametros!$C$71:$C$91,MATCH(TRIM(INDEX(Datos_Origen!$C$2:$C$2459,$Z1086)),Parametros!$B$71:$B$91,0))</f>
        <v>NOA</v>
      </c>
      <c r="I1086" s="61" t="str">
        <f aca="false">IF(TRIM($AD1086)="",INDEX(Parametros!$I$20:$I$24,MATCH($H1086,Parametros!$H$20:$H$24,0)),TRIM($AD1086))</f>
        <v>Tucuman</v>
      </c>
      <c r="J1086" s="61" t="str">
        <f aca="false">INDEX(Parametros!$C$95:$C$106,MATCH(TRIM(INDEX(Datos_Origen!$E$2:$E$2459,$Z1086)),Parametros!$B$95:$B$106,0))</f>
        <v>Tienda fisica</v>
      </c>
      <c r="K1086" s="61" t="str">
        <f aca="false">INDEX(Parametros!$C$48:$C$67,MATCH(TRIM(INDEX(Datos_Origen!$F$2:$F$2459,$Z1086)),Parametros!$B$48:$B$67,0))</f>
        <v>Computacion</v>
      </c>
      <c r="L1086" s="61" t="str">
        <f aca="false">$K1086&amp;" "&amp;$C1086</f>
        <v>Computacion 2024</v>
      </c>
      <c r="M1086" s="61" t="str">
        <f aca="false">TRIM(INDEX(Datos_Origen!$G$2:$G$2459,$Z1086))</f>
        <v>PC Gamer Ryzen</v>
      </c>
      <c r="N1086" s="61" t="str">
        <f aca="false">$M1086&amp;" "&amp;$C1086</f>
        <v>PC Gamer Ryzen 2024</v>
      </c>
      <c r="O1086" s="63" t="n">
        <f aca="false">IF(ISTEXT($AC1086),VALUE($AC1086),$AC1086)</f>
        <v>7</v>
      </c>
      <c r="P1086" s="64" t="n">
        <f aca="false">INDEX(Datos_Origen!$I$2:$I$2459,$Z1086)</f>
        <v>1617</v>
      </c>
      <c r="Q1086" s="64" t="n">
        <f aca="false">INDEX(Datos_Origen!$J$2:$J$2459,$Z1086)</f>
        <v>1122</v>
      </c>
      <c r="R1086" s="65" t="n">
        <f aca="false">ROUND($O1086*$P1086,2)</f>
        <v>11319</v>
      </c>
      <c r="S1086" s="65" t="n">
        <f aca="false">ROUND($O1086*$Q1086,2)</f>
        <v>7854</v>
      </c>
      <c r="T1086" s="65" t="n">
        <f aca="false">ROUND($R1086*SUMIFS(Parametros!$E$28:$E$43,Parametros!$B$28:$B$43,$J1086,Parametros!$C$28:$C$43,$C1086,Parametros!$D$28:$D$43,$D1086),2)</f>
        <v>147.15</v>
      </c>
      <c r="U1086" s="65" t="n">
        <f aca="false">$R1086-$S1086-$T1086</f>
        <v>3317.85</v>
      </c>
      <c r="V1086" s="66" t="n">
        <f aca="false">IFERROR($U1086/$R1086,0)</f>
        <v>0.29312218393851</v>
      </c>
      <c r="W1086" s="67" t="str">
        <f aca="false">IF(AND($V1086&gt;=Parametros!$C$8,$R1086&gt;=Parametros!$C$12),"Alta rentabilidad",IF(OR($V1086&lt;Parametros!$C$11,$R1086&lt;Parametros!$C$13),"Revisar","Estandar"))</f>
        <v>Estandar</v>
      </c>
      <c r="X1086" s="67" t="str">
        <f aca="false">IF(AND($J1086="E-commerce",IFERROR($T1086/$R1086,0)&gt;Parametros!$C$14),"Alerta","OK")</f>
        <v>OK</v>
      </c>
      <c r="Y1086" s="61" t="str">
        <f aca="false">IF($R1086&gt;=Parametros!$C$12,"Alto",IF($R1086&lt;Parametros!$C$13,"Bajo","Medio"))</f>
        <v>Alto</v>
      </c>
      <c r="Z1086" s="61" t="n">
        <v>607</v>
      </c>
      <c r="AA1086" s="61" t="str">
        <f aca="false">IF(MATCH($A1086,Datos_Origen!$A$2:$A$2459,0)=$Z1086,"OK","REVISAR")</f>
        <v>OK</v>
      </c>
      <c r="AB1086" s="62" t="n">
        <f aca="false">INDEX(Datos_Origen!$B$2:$B$2459,$Z1086)</f>
        <v>45605</v>
      </c>
      <c r="AC1086" s="61" t="n">
        <f aca="false">INDEX(Datos_Origen!$H$2:$H$2459,$Z1086)</f>
        <v>7</v>
      </c>
      <c r="AD1086" s="61" t="str">
        <f aca="false">INDEX(Datos_Origen!$D$2:$D$2459,$Z1086)&amp;""</f>
        <v>Tucuman</v>
      </c>
    </row>
    <row r="1087" customFormat="false" ht="15" hidden="false" customHeight="false" outlineLevel="0" collapsed="false">
      <c r="A1087" s="61" t="n">
        <f aca="false">INDEX(Datos_Origen!$A$2:$A$2459,$Z1087)</f>
        <v>1086</v>
      </c>
      <c r="B1087" s="62" t="n">
        <f aca="false">IF(ISNUMBER($AB1087),$AB1087,IF(MID($AB1087,5,1)="-",DATE(VALUE(LEFT($AB1087,4)),VALUE(MID($AB1087,6,2)),VALUE(RIGHT($AB1087,2))),DATE(VALUE(RIGHT($AB1087,4)),VALUE(MID($AB1087,4,2)),VALUE(LEFT($AB1087,2)))))</f>
        <v>45612</v>
      </c>
      <c r="C1087" s="61" t="n">
        <f aca="false">YEAR($B1087)</f>
        <v>2024</v>
      </c>
      <c r="D1087" s="61" t="str">
        <f aca="false">"Q"&amp;ROUNDUP(MONTH($B1087)/3,0)</f>
        <v>Q4</v>
      </c>
      <c r="E1087" s="61" t="n">
        <f aca="false">MONTH($B1087)</f>
        <v>11</v>
      </c>
      <c r="F1087" s="61" t="str">
        <f aca="false">INDEX(Parametros!$I$5:$I$16,$E1087)</f>
        <v>Nov</v>
      </c>
      <c r="G1087" s="61" t="str">
        <f aca="false">TEXT($C1087,"0000")&amp;"-"&amp;TEXT($E1087,"00")</f>
        <v>2024-11</v>
      </c>
      <c r="H1087" s="61" t="str">
        <f aca="false">INDEX(Parametros!$C$71:$C$91,MATCH(TRIM(INDEX(Datos_Origen!$C$2:$C$2459,$Z1087)),Parametros!$B$71:$B$91,0))</f>
        <v>NOA</v>
      </c>
      <c r="I1087" s="61" t="str">
        <f aca="false">IF(TRIM($AD1087)="",INDEX(Parametros!$I$20:$I$24,MATCH($H1087,Parametros!$H$20:$H$24,0)),TRIM($AD1087))</f>
        <v>Tucuman</v>
      </c>
      <c r="J1087" s="61" t="str">
        <f aca="false">INDEX(Parametros!$C$95:$C$106,MATCH(TRIM(INDEX(Datos_Origen!$E$2:$E$2459,$Z1087)),Parametros!$B$95:$B$106,0))</f>
        <v>E-commerce</v>
      </c>
      <c r="K1087" s="61" t="str">
        <f aca="false">INDEX(Parametros!$C$48:$C$67,MATCH(TRIM(INDEX(Datos_Origen!$F$2:$F$2459,$Z1087)),Parametros!$B$48:$B$67,0))</f>
        <v>Computacion</v>
      </c>
      <c r="L1087" s="61" t="str">
        <f aca="false">$K1087&amp;" "&amp;$C1087</f>
        <v>Computacion 2024</v>
      </c>
      <c r="M1087" s="61" t="str">
        <f aca="false">TRIM(INDEX(Datos_Origen!$G$2:$G$2459,$Z1087))</f>
        <v>PC Gamer Ryzen</v>
      </c>
      <c r="N1087" s="61" t="str">
        <f aca="false">$M1087&amp;" "&amp;$C1087</f>
        <v>PC Gamer Ryzen 2024</v>
      </c>
      <c r="O1087" s="63" t="n">
        <f aca="false">IF(ISTEXT($AC1087),VALUE($AC1087),$AC1087)</f>
        <v>3</v>
      </c>
      <c r="P1087" s="64" t="n">
        <f aca="false">INDEX(Datos_Origen!$I$2:$I$2459,$Z1087)</f>
        <v>1617</v>
      </c>
      <c r="Q1087" s="64" t="n">
        <f aca="false">INDEX(Datos_Origen!$J$2:$J$2459,$Z1087)</f>
        <v>1122</v>
      </c>
      <c r="R1087" s="65" t="n">
        <f aca="false">ROUND($O1087*$P1087,2)</f>
        <v>4851</v>
      </c>
      <c r="S1087" s="65" t="n">
        <f aca="false">ROUND($O1087*$Q1087,2)</f>
        <v>3366</v>
      </c>
      <c r="T1087" s="65" t="n">
        <f aca="false">ROUND($R1087*SUMIFS(Parametros!$E$28:$E$43,Parametros!$B$28:$B$43,$J1087,Parametros!$C$28:$C$43,$C1087,Parametros!$D$28:$D$43,$D1087),2)</f>
        <v>232.85</v>
      </c>
      <c r="U1087" s="65" t="n">
        <f aca="false">$R1087-$S1087-$T1087</f>
        <v>1252.15</v>
      </c>
      <c r="V1087" s="66" t="n">
        <f aca="false">IFERROR($U1087/$R1087,0)</f>
        <v>0.258122036693465</v>
      </c>
      <c r="W1087" s="67" t="str">
        <f aca="false">IF(AND($V1087&gt;=Parametros!$C$8,$R1087&gt;=Parametros!$C$12),"Alta rentabilidad",IF(OR($V1087&lt;Parametros!$C$11,$R1087&lt;Parametros!$C$13),"Revisar","Estandar"))</f>
        <v>Revisar</v>
      </c>
      <c r="X1087" s="67" t="str">
        <f aca="false">IF(AND($J1087="E-commerce",IFERROR($T1087/$R1087,0)&gt;Parametros!$C$14),"Alerta","OK")</f>
        <v>OK</v>
      </c>
      <c r="Y1087" s="61" t="str">
        <f aca="false">IF($R1087&gt;=Parametros!$C$12,"Alto",IF($R1087&lt;Parametros!$C$13,"Bajo","Medio"))</f>
        <v>Alto</v>
      </c>
      <c r="Z1087" s="61" t="n">
        <v>433</v>
      </c>
      <c r="AA1087" s="61" t="str">
        <f aca="false">IF(MATCH($A1087,Datos_Origen!$A$2:$A$2459,0)=$Z1087,"OK","REVISAR")</f>
        <v>OK</v>
      </c>
      <c r="AB1087" s="61" t="str">
        <f aca="false">INDEX(Datos_Origen!$B$2:$B$2459,$Z1087)</f>
        <v>16/11/2024</v>
      </c>
      <c r="AC1087" s="61" t="n">
        <f aca="false">INDEX(Datos_Origen!$H$2:$H$2459,$Z1087)</f>
        <v>3</v>
      </c>
      <c r="AD1087" s="61" t="str">
        <f aca="false">INDEX(Datos_Origen!$D$2:$D$2459,$Z1087)&amp;""</f>
        <v>Tucuman</v>
      </c>
    </row>
    <row r="1088" customFormat="false" ht="15" hidden="false" customHeight="false" outlineLevel="0" collapsed="false">
      <c r="A1088" s="61" t="n">
        <f aca="false">INDEX(Datos_Origen!$A$2:$A$2459,$Z1088)</f>
        <v>1087</v>
      </c>
      <c r="B1088" s="62" t="n">
        <f aca="false">IF(ISNUMBER($AB1088),$AB1088,IF(MID($AB1088,5,1)="-",DATE(VALUE(LEFT($AB1088,4)),VALUE(MID($AB1088,6,2)),VALUE(RIGHT($AB1088,2))),DATE(VALUE(RIGHT($AB1088,4)),VALUE(MID($AB1088,4,2)),VALUE(LEFT($AB1088,2)))))</f>
        <v>45619</v>
      </c>
      <c r="C1088" s="61" t="n">
        <f aca="false">YEAR($B1088)</f>
        <v>2024</v>
      </c>
      <c r="D1088" s="61" t="str">
        <f aca="false">"Q"&amp;ROUNDUP(MONTH($B1088)/3,0)</f>
        <v>Q4</v>
      </c>
      <c r="E1088" s="61" t="n">
        <f aca="false">MONTH($B1088)</f>
        <v>11</v>
      </c>
      <c r="F1088" s="61" t="str">
        <f aca="false">INDEX(Parametros!$I$5:$I$16,$E1088)</f>
        <v>Nov</v>
      </c>
      <c r="G1088" s="61" t="str">
        <f aca="false">TEXT($C1088,"0000")&amp;"-"&amp;TEXT($E1088,"00")</f>
        <v>2024-11</v>
      </c>
      <c r="H1088" s="61" t="str">
        <f aca="false">INDEX(Parametros!$C$71:$C$91,MATCH(TRIM(INDEX(Datos_Origen!$C$2:$C$2459,$Z1088)),Parametros!$B$71:$B$91,0))</f>
        <v>NOA</v>
      </c>
      <c r="I1088" s="61" t="str">
        <f aca="false">IF(TRIM($AD1088)="",INDEX(Parametros!$I$20:$I$24,MATCH($H1088,Parametros!$H$20:$H$24,0)),TRIM($AD1088))</f>
        <v>Tucuman</v>
      </c>
      <c r="J1088" s="61" t="str">
        <f aca="false">INDEX(Parametros!$C$95:$C$106,MATCH(TRIM(INDEX(Datos_Origen!$E$2:$E$2459,$Z1088)),Parametros!$B$95:$B$106,0))</f>
        <v>Tienda fisica</v>
      </c>
      <c r="K1088" s="61" t="str">
        <f aca="false">INDEX(Parametros!$C$48:$C$67,MATCH(TRIM(INDEX(Datos_Origen!$F$2:$F$2459,$Z1088)),Parametros!$B$48:$B$67,0))</f>
        <v>Accesorios</v>
      </c>
      <c r="L1088" s="61" t="str">
        <f aca="false">$K1088&amp;" "&amp;$C1088</f>
        <v>Accesorios 2024</v>
      </c>
      <c r="M1088" s="61" t="str">
        <f aca="false">TRIM(INDEX(Datos_Origen!$G$2:$G$2459,$Z1088))</f>
        <v>Mouse Inalambrico</v>
      </c>
      <c r="N1088" s="61" t="str">
        <f aca="false">$M1088&amp;" "&amp;$C1088</f>
        <v>Mouse Inalambrico 2024</v>
      </c>
      <c r="O1088" s="63" t="n">
        <f aca="false">IF(ISTEXT($AC1088),VALUE($AC1088),$AC1088)</f>
        <v>42</v>
      </c>
      <c r="P1088" s="64" t="n">
        <f aca="false">INDEX(Datos_Origen!$I$2:$I$2459,$Z1088)</f>
        <v>27.44</v>
      </c>
      <c r="Q1088" s="64" t="n">
        <f aca="false">INDEX(Datos_Origen!$J$2:$J$2459,$Z1088)</f>
        <v>13.44</v>
      </c>
      <c r="R1088" s="65" t="n">
        <f aca="false">ROUND($O1088*$P1088,2)</f>
        <v>1152.48</v>
      </c>
      <c r="S1088" s="65" t="n">
        <f aca="false">ROUND($O1088*$Q1088,2)</f>
        <v>564.48</v>
      </c>
      <c r="T1088" s="65" t="n">
        <f aca="false">ROUND($R1088*SUMIFS(Parametros!$E$28:$E$43,Parametros!$B$28:$B$43,$J1088,Parametros!$C$28:$C$43,$C1088,Parametros!$D$28:$D$43,$D1088),2)</f>
        <v>14.98</v>
      </c>
      <c r="U1088" s="65" t="n">
        <f aca="false">$R1088-$S1088-$T1088</f>
        <v>573.02</v>
      </c>
      <c r="V1088" s="66" t="n">
        <f aca="false">IFERROR($U1088/$R1088,0)</f>
        <v>0.49720602526725</v>
      </c>
      <c r="W1088" s="67" t="str">
        <f aca="false">IF(AND($V1088&gt;=Parametros!$C$8,$R1088&gt;=Parametros!$C$12),"Alta rentabilidad",IF(OR($V1088&lt;Parametros!$C$11,$R1088&lt;Parametros!$C$13),"Revisar","Estandar"))</f>
        <v>Estandar</v>
      </c>
      <c r="X1088" s="67" t="str">
        <f aca="false">IF(AND($J1088="E-commerce",IFERROR($T1088/$R1088,0)&gt;Parametros!$C$14),"Alerta","OK")</f>
        <v>OK</v>
      </c>
      <c r="Y1088" s="61" t="str">
        <f aca="false">IF($R1088&gt;=Parametros!$C$12,"Alto",IF($R1088&lt;Parametros!$C$13,"Bajo","Medio"))</f>
        <v>Medio</v>
      </c>
      <c r="Z1088" s="61" t="n">
        <v>40</v>
      </c>
      <c r="AA1088" s="61" t="str">
        <f aca="false">IF(MATCH($A1088,Datos_Origen!$A$2:$A$2459,0)=$Z1088,"OK","REVISAR")</f>
        <v>OK</v>
      </c>
      <c r="AB1088" s="62" t="n">
        <f aca="false">INDEX(Datos_Origen!$B$2:$B$2459,$Z1088)</f>
        <v>45619</v>
      </c>
      <c r="AC1088" s="61" t="n">
        <f aca="false">INDEX(Datos_Origen!$H$2:$H$2459,$Z1088)</f>
        <v>42</v>
      </c>
      <c r="AD1088" s="61" t="str">
        <f aca="false">INDEX(Datos_Origen!$D$2:$D$2459,$Z1088)&amp;""</f>
        <v>Tucuman</v>
      </c>
    </row>
    <row r="1089" customFormat="false" ht="15" hidden="false" customHeight="false" outlineLevel="0" collapsed="false">
      <c r="A1089" s="61" t="n">
        <f aca="false">INDEX(Datos_Origen!$A$2:$A$2459,$Z1089)</f>
        <v>1088</v>
      </c>
      <c r="B1089" s="62" t="n">
        <f aca="false">IF(ISNUMBER($AB1089),$AB1089,IF(MID($AB1089,5,1)="-",DATE(VALUE(LEFT($AB1089,4)),VALUE(MID($AB1089,6,2)),VALUE(RIGHT($AB1089,2))),DATE(VALUE(RIGHT($AB1089,4)),VALUE(MID($AB1089,4,2)),VALUE(LEFT($AB1089,2)))))</f>
        <v>45599</v>
      </c>
      <c r="C1089" s="61" t="n">
        <f aca="false">YEAR($B1089)</f>
        <v>2024</v>
      </c>
      <c r="D1089" s="61" t="str">
        <f aca="false">"Q"&amp;ROUNDUP(MONTH($B1089)/3,0)</f>
        <v>Q4</v>
      </c>
      <c r="E1089" s="61" t="n">
        <f aca="false">MONTH($B1089)</f>
        <v>11</v>
      </c>
      <c r="F1089" s="61" t="str">
        <f aca="false">INDEX(Parametros!$I$5:$I$16,$E1089)</f>
        <v>Nov</v>
      </c>
      <c r="G1089" s="61" t="str">
        <f aca="false">TEXT($C1089,"0000")&amp;"-"&amp;TEXT($E1089,"00")</f>
        <v>2024-11</v>
      </c>
      <c r="H1089" s="61" t="str">
        <f aca="false">INDEX(Parametros!$C$71:$C$91,MATCH(TRIM(INDEX(Datos_Origen!$C$2:$C$2459,$Z1089)),Parametros!$B$71:$B$91,0))</f>
        <v>NOA</v>
      </c>
      <c r="I1089" s="61" t="str">
        <f aca="false">IF(TRIM($AD1089)="",INDEX(Parametros!$I$20:$I$24,MATCH($H1089,Parametros!$H$20:$H$24,0)),TRIM($AD1089))</f>
        <v>Tucuman</v>
      </c>
      <c r="J1089" s="61" t="str">
        <f aca="false">INDEX(Parametros!$C$95:$C$106,MATCH(TRIM(INDEX(Datos_Origen!$E$2:$E$2459,$Z1089)),Parametros!$B$95:$B$106,0))</f>
        <v>E-commerce</v>
      </c>
      <c r="K1089" s="61" t="str">
        <f aca="false">INDEX(Parametros!$C$48:$C$67,MATCH(TRIM(INDEX(Datos_Origen!$F$2:$F$2459,$Z1089)),Parametros!$B$48:$B$67,0))</f>
        <v>Accesorios</v>
      </c>
      <c r="L1089" s="61" t="str">
        <f aca="false">$K1089&amp;" "&amp;$C1089</f>
        <v>Accesorios 2024</v>
      </c>
      <c r="M1089" s="61" t="str">
        <f aca="false">TRIM(INDEX(Datos_Origen!$G$2:$G$2459,$Z1089))</f>
        <v>Mouse Inalambrico</v>
      </c>
      <c r="N1089" s="61" t="str">
        <f aca="false">$M1089&amp;" "&amp;$C1089</f>
        <v>Mouse Inalambrico 2024</v>
      </c>
      <c r="O1089" s="63" t="n">
        <f aca="false">IF(ISTEXT($AC1089),VALUE($AC1089),$AC1089)</f>
        <v>16</v>
      </c>
      <c r="P1089" s="64" t="n">
        <f aca="false">INDEX(Datos_Origen!$I$2:$I$2459,$Z1089)</f>
        <v>27.44</v>
      </c>
      <c r="Q1089" s="64" t="n">
        <f aca="false">INDEX(Datos_Origen!$J$2:$J$2459,$Z1089)</f>
        <v>13.44</v>
      </c>
      <c r="R1089" s="65" t="n">
        <f aca="false">ROUND($O1089*$P1089,2)</f>
        <v>439.04</v>
      </c>
      <c r="S1089" s="65" t="n">
        <f aca="false">ROUND($O1089*$Q1089,2)</f>
        <v>215.04</v>
      </c>
      <c r="T1089" s="65" t="n">
        <f aca="false">ROUND($R1089*SUMIFS(Parametros!$E$28:$E$43,Parametros!$B$28:$B$43,$J1089,Parametros!$C$28:$C$43,$C1089,Parametros!$D$28:$D$43,$D1089),2)</f>
        <v>21.07</v>
      </c>
      <c r="U1089" s="65" t="n">
        <f aca="false">$R1089-$S1089-$T1089</f>
        <v>202.93</v>
      </c>
      <c r="V1089" s="66" t="n">
        <f aca="false">IFERROR($U1089/$R1089,0)</f>
        <v>0.462213010204082</v>
      </c>
      <c r="W1089" s="67" t="str">
        <f aca="false">IF(AND($V1089&gt;=Parametros!$C$8,$R1089&gt;=Parametros!$C$12),"Alta rentabilidad",IF(OR($V1089&lt;Parametros!$C$11,$R1089&lt;Parametros!$C$13),"Revisar","Estandar"))</f>
        <v>Estandar</v>
      </c>
      <c r="X1089" s="67" t="str">
        <f aca="false">IF(AND($J1089="E-commerce",IFERROR($T1089/$R1089,0)&gt;Parametros!$C$14),"Alerta","OK")</f>
        <v>OK</v>
      </c>
      <c r="Y1089" s="61" t="str">
        <f aca="false">IF($R1089&gt;=Parametros!$C$12,"Alto",IF($R1089&lt;Parametros!$C$13,"Bajo","Medio"))</f>
        <v>Medio</v>
      </c>
      <c r="Z1089" s="61" t="n">
        <v>1303</v>
      </c>
      <c r="AA1089" s="61" t="str">
        <f aca="false">IF(MATCH($A1089,Datos_Origen!$A$2:$A$2459,0)=$Z1089,"OK","REVISAR")</f>
        <v>OK</v>
      </c>
      <c r="AB1089" s="62" t="n">
        <f aca="false">INDEX(Datos_Origen!$B$2:$B$2459,$Z1089)</f>
        <v>45599</v>
      </c>
      <c r="AC1089" s="61" t="n">
        <f aca="false">INDEX(Datos_Origen!$H$2:$H$2459,$Z1089)</f>
        <v>16</v>
      </c>
      <c r="AD1089" s="61" t="str">
        <f aca="false">INDEX(Datos_Origen!$D$2:$D$2459,$Z1089)&amp;""</f>
        <v>Tucuman</v>
      </c>
    </row>
    <row r="1090" customFormat="false" ht="15" hidden="false" customHeight="false" outlineLevel="0" collapsed="false">
      <c r="A1090" s="61" t="n">
        <f aca="false">INDEX(Datos_Origen!$A$2:$A$2459,$Z1090)</f>
        <v>1089</v>
      </c>
      <c r="B1090" s="62" t="n">
        <f aca="false">IF(ISNUMBER($AB1090),$AB1090,IF(MID($AB1090,5,1)="-",DATE(VALUE(LEFT($AB1090,4)),VALUE(MID($AB1090,6,2)),VALUE(RIGHT($AB1090,2))),DATE(VALUE(RIGHT($AB1090,4)),VALUE(MID($AB1090,4,2)),VALUE(LEFT($AB1090,2)))))</f>
        <v>45606</v>
      </c>
      <c r="C1090" s="61" t="n">
        <f aca="false">YEAR($B1090)</f>
        <v>2024</v>
      </c>
      <c r="D1090" s="61" t="str">
        <f aca="false">"Q"&amp;ROUNDUP(MONTH($B1090)/3,0)</f>
        <v>Q4</v>
      </c>
      <c r="E1090" s="61" t="n">
        <f aca="false">MONTH($B1090)</f>
        <v>11</v>
      </c>
      <c r="F1090" s="61" t="str">
        <f aca="false">INDEX(Parametros!$I$5:$I$16,$E1090)</f>
        <v>Nov</v>
      </c>
      <c r="G1090" s="61" t="str">
        <f aca="false">TEXT($C1090,"0000")&amp;"-"&amp;TEXT($E1090,"00")</f>
        <v>2024-11</v>
      </c>
      <c r="H1090" s="61" t="str">
        <f aca="false">INDEX(Parametros!$C$71:$C$91,MATCH(TRIM(INDEX(Datos_Origen!$C$2:$C$2459,$Z1090)),Parametros!$B$71:$B$91,0))</f>
        <v>NOA</v>
      </c>
      <c r="I1090" s="61" t="str">
        <f aca="false">IF(TRIM($AD1090)="",INDEX(Parametros!$I$20:$I$24,MATCH($H1090,Parametros!$H$20:$H$24,0)),TRIM($AD1090))</f>
        <v>Tucuman</v>
      </c>
      <c r="J1090" s="61" t="str">
        <f aca="false">INDEX(Parametros!$C$95:$C$106,MATCH(TRIM(INDEX(Datos_Origen!$E$2:$E$2459,$Z1090)),Parametros!$B$95:$B$106,0))</f>
        <v>Tienda fisica</v>
      </c>
      <c r="K1090" s="61" t="str">
        <f aca="false">INDEX(Parametros!$C$48:$C$67,MATCH(TRIM(INDEX(Datos_Origen!$F$2:$F$2459,$Z1090)),Parametros!$B$48:$B$67,0))</f>
        <v>Accesorios</v>
      </c>
      <c r="L1090" s="61" t="str">
        <f aca="false">$K1090&amp;" "&amp;$C1090</f>
        <v>Accesorios 2024</v>
      </c>
      <c r="M1090" s="61" t="str">
        <f aca="false">TRIM(INDEX(Datos_Origen!$G$2:$G$2459,$Z1090))</f>
        <v>Teclado Mecanico</v>
      </c>
      <c r="N1090" s="61" t="str">
        <f aca="false">$M1090&amp;" "&amp;$C1090</f>
        <v>Teclado Mecanico 2024</v>
      </c>
      <c r="O1090" s="63" t="n">
        <f aca="false">IF(ISTEXT($AC1090),VALUE($AC1090),$AC1090)</f>
        <v>40</v>
      </c>
      <c r="P1090" s="64" t="n">
        <f aca="false">INDEX(Datos_Origen!$I$2:$I$2459,$Z1090)</f>
        <v>93.1</v>
      </c>
      <c r="Q1090" s="64" t="n">
        <f aca="false">INDEX(Datos_Origen!$J$2:$J$2459,$Z1090)</f>
        <v>47.98</v>
      </c>
      <c r="R1090" s="65" t="n">
        <f aca="false">ROUND($O1090*$P1090,2)</f>
        <v>3724</v>
      </c>
      <c r="S1090" s="65" t="n">
        <f aca="false">ROUND($O1090*$Q1090,2)</f>
        <v>1919.2</v>
      </c>
      <c r="T1090" s="65" t="n">
        <f aca="false">ROUND($R1090*SUMIFS(Parametros!$E$28:$E$43,Parametros!$B$28:$B$43,$J1090,Parametros!$C$28:$C$43,$C1090,Parametros!$D$28:$D$43,$D1090),2)</f>
        <v>48.41</v>
      </c>
      <c r="U1090" s="65" t="n">
        <f aca="false">$R1090-$S1090-$T1090</f>
        <v>1756.39</v>
      </c>
      <c r="V1090" s="66" t="n">
        <f aca="false">IFERROR($U1090/$R1090,0)</f>
        <v>0.471640708915145</v>
      </c>
      <c r="W1090" s="67" t="str">
        <f aca="false">IF(AND($V1090&gt;=Parametros!$C$8,$R1090&gt;=Parametros!$C$12),"Alta rentabilidad",IF(OR($V1090&lt;Parametros!$C$11,$R1090&lt;Parametros!$C$13),"Revisar","Estandar"))</f>
        <v>Alta rentabilidad</v>
      </c>
      <c r="X1090" s="67" t="str">
        <f aca="false">IF(AND($J1090="E-commerce",IFERROR($T1090/$R1090,0)&gt;Parametros!$C$14),"Alerta","OK")</f>
        <v>OK</v>
      </c>
      <c r="Y1090" s="61" t="str">
        <f aca="false">IF($R1090&gt;=Parametros!$C$12,"Alto",IF($R1090&lt;Parametros!$C$13,"Bajo","Medio"))</f>
        <v>Alto</v>
      </c>
      <c r="Z1090" s="61" t="n">
        <v>1737</v>
      </c>
      <c r="AA1090" s="61" t="str">
        <f aca="false">IF(MATCH($A1090,Datos_Origen!$A$2:$A$2459,0)=$Z1090,"OK","REVISAR")</f>
        <v>OK</v>
      </c>
      <c r="AB1090" s="61" t="str">
        <f aca="false">INDEX(Datos_Origen!$B$2:$B$2459,$Z1090)</f>
        <v>2024-11-10</v>
      </c>
      <c r="AC1090" s="61" t="n">
        <f aca="false">INDEX(Datos_Origen!$H$2:$H$2459,$Z1090)</f>
        <v>40</v>
      </c>
      <c r="AD1090" s="61" t="str">
        <f aca="false">INDEX(Datos_Origen!$D$2:$D$2459,$Z1090)&amp;""</f>
        <v>Tucuman</v>
      </c>
    </row>
    <row r="1091" customFormat="false" ht="15" hidden="false" customHeight="false" outlineLevel="0" collapsed="false">
      <c r="A1091" s="61" t="n">
        <f aca="false">INDEX(Datos_Origen!$A$2:$A$2459,$Z1091)</f>
        <v>1090</v>
      </c>
      <c r="B1091" s="62" t="n">
        <f aca="false">IF(ISNUMBER($AB1091),$AB1091,IF(MID($AB1091,5,1)="-",DATE(VALUE(LEFT($AB1091,4)),VALUE(MID($AB1091,6,2)),VALUE(RIGHT($AB1091,2))),DATE(VALUE(RIGHT($AB1091,4)),VALUE(MID($AB1091,4,2)),VALUE(LEFT($AB1091,2)))))</f>
        <v>45613</v>
      </c>
      <c r="C1091" s="61" t="n">
        <f aca="false">YEAR($B1091)</f>
        <v>2024</v>
      </c>
      <c r="D1091" s="61" t="str">
        <f aca="false">"Q"&amp;ROUNDUP(MONTH($B1091)/3,0)</f>
        <v>Q4</v>
      </c>
      <c r="E1091" s="61" t="n">
        <f aca="false">MONTH($B1091)</f>
        <v>11</v>
      </c>
      <c r="F1091" s="61" t="str">
        <f aca="false">INDEX(Parametros!$I$5:$I$16,$E1091)</f>
        <v>Nov</v>
      </c>
      <c r="G1091" s="61" t="str">
        <f aca="false">TEXT($C1091,"0000")&amp;"-"&amp;TEXT($E1091,"00")</f>
        <v>2024-11</v>
      </c>
      <c r="H1091" s="61" t="str">
        <f aca="false">INDEX(Parametros!$C$71:$C$91,MATCH(TRIM(INDEX(Datos_Origen!$C$2:$C$2459,$Z1091)),Parametros!$B$71:$B$91,0))</f>
        <v>NOA</v>
      </c>
      <c r="I1091" s="61" t="str">
        <f aca="false">IF(TRIM($AD1091)="",INDEX(Parametros!$I$20:$I$24,MATCH($H1091,Parametros!$H$20:$H$24,0)),TRIM($AD1091))</f>
        <v>Tucuman</v>
      </c>
      <c r="J1091" s="61" t="str">
        <f aca="false">INDEX(Parametros!$C$95:$C$106,MATCH(TRIM(INDEX(Datos_Origen!$E$2:$E$2459,$Z1091)),Parametros!$B$95:$B$106,0))</f>
        <v>E-commerce</v>
      </c>
      <c r="K1091" s="61" t="str">
        <f aca="false">INDEX(Parametros!$C$48:$C$67,MATCH(TRIM(INDEX(Datos_Origen!$F$2:$F$2459,$Z1091)),Parametros!$B$48:$B$67,0))</f>
        <v>Accesorios</v>
      </c>
      <c r="L1091" s="61" t="str">
        <f aca="false">$K1091&amp;" "&amp;$C1091</f>
        <v>Accesorios 2024</v>
      </c>
      <c r="M1091" s="61" t="str">
        <f aca="false">TRIM(INDEX(Datos_Origen!$G$2:$G$2459,$Z1091))</f>
        <v>Teclado Mecanico</v>
      </c>
      <c r="N1091" s="61" t="str">
        <f aca="false">$M1091&amp;" "&amp;$C1091</f>
        <v>Teclado Mecanico 2024</v>
      </c>
      <c r="O1091" s="63" t="n">
        <f aca="false">IF(ISTEXT($AC1091),VALUE($AC1091),$AC1091)</f>
        <v>13</v>
      </c>
      <c r="P1091" s="64" t="n">
        <f aca="false">INDEX(Datos_Origen!$I$2:$I$2459,$Z1091)</f>
        <v>93.1</v>
      </c>
      <c r="Q1091" s="64" t="n">
        <f aca="false">INDEX(Datos_Origen!$J$2:$J$2459,$Z1091)</f>
        <v>47.98</v>
      </c>
      <c r="R1091" s="65" t="n">
        <f aca="false">ROUND($O1091*$P1091,2)</f>
        <v>1210.3</v>
      </c>
      <c r="S1091" s="65" t="n">
        <f aca="false">ROUND($O1091*$Q1091,2)</f>
        <v>623.74</v>
      </c>
      <c r="T1091" s="65" t="n">
        <f aca="false">ROUND($R1091*SUMIFS(Parametros!$E$28:$E$43,Parametros!$B$28:$B$43,$J1091,Parametros!$C$28:$C$43,$C1091,Parametros!$D$28:$D$43,$D1091),2)</f>
        <v>58.09</v>
      </c>
      <c r="U1091" s="65" t="n">
        <f aca="false">$R1091-$S1091-$T1091</f>
        <v>528.47</v>
      </c>
      <c r="V1091" s="66" t="n">
        <f aca="false">IFERROR($U1091/$R1091,0)</f>
        <v>0.436643807320499</v>
      </c>
      <c r="W1091" s="67" t="str">
        <f aca="false">IF(AND($V1091&gt;=Parametros!$C$8,$R1091&gt;=Parametros!$C$12),"Alta rentabilidad",IF(OR($V1091&lt;Parametros!$C$11,$R1091&lt;Parametros!$C$13),"Revisar","Estandar"))</f>
        <v>Estandar</v>
      </c>
      <c r="X1091" s="67" t="str">
        <f aca="false">IF(AND($J1091="E-commerce",IFERROR($T1091/$R1091,0)&gt;Parametros!$C$14),"Alerta","OK")</f>
        <v>OK</v>
      </c>
      <c r="Y1091" s="61" t="str">
        <f aca="false">IF($R1091&gt;=Parametros!$C$12,"Alto",IF($R1091&lt;Parametros!$C$13,"Bajo","Medio"))</f>
        <v>Medio</v>
      </c>
      <c r="Z1091" s="61" t="n">
        <v>2094</v>
      </c>
      <c r="AA1091" s="61" t="str">
        <f aca="false">IF(MATCH($A1091,Datos_Origen!$A$2:$A$2459,0)=$Z1091,"OK","REVISAR")</f>
        <v>OK</v>
      </c>
      <c r="AB1091" s="61" t="str">
        <f aca="false">INDEX(Datos_Origen!$B$2:$B$2459,$Z1091)</f>
        <v>2024-11-17</v>
      </c>
      <c r="AC1091" s="61" t="n">
        <f aca="false">INDEX(Datos_Origen!$H$2:$H$2459,$Z1091)</f>
        <v>13</v>
      </c>
      <c r="AD1091" s="61" t="str">
        <f aca="false">INDEX(Datos_Origen!$D$2:$D$2459,$Z1091)&amp;""</f>
        <v>Tucuman</v>
      </c>
    </row>
    <row r="1092" customFormat="false" ht="15" hidden="false" customHeight="false" outlineLevel="0" collapsed="false">
      <c r="A1092" s="61" t="n">
        <f aca="false">INDEX(Datos_Origen!$A$2:$A$2459,$Z1092)</f>
        <v>1091</v>
      </c>
      <c r="B1092" s="62" t="n">
        <f aca="false">IF(ISNUMBER($AB1092),$AB1092,IF(MID($AB1092,5,1)="-",DATE(VALUE(LEFT($AB1092,4)),VALUE(MID($AB1092,6,2)),VALUE(RIGHT($AB1092,2))),DATE(VALUE(RIGHT($AB1092,4)),VALUE(MID($AB1092,4,2)),VALUE(LEFT($AB1092,2)))))</f>
        <v>45620</v>
      </c>
      <c r="C1092" s="61" t="n">
        <f aca="false">YEAR($B1092)</f>
        <v>2024</v>
      </c>
      <c r="D1092" s="61" t="str">
        <f aca="false">"Q"&amp;ROUNDUP(MONTH($B1092)/3,0)</f>
        <v>Q4</v>
      </c>
      <c r="E1092" s="61" t="n">
        <f aca="false">MONTH($B1092)</f>
        <v>11</v>
      </c>
      <c r="F1092" s="61" t="str">
        <f aca="false">INDEX(Parametros!$I$5:$I$16,$E1092)</f>
        <v>Nov</v>
      </c>
      <c r="G1092" s="61" t="str">
        <f aca="false">TEXT($C1092,"0000")&amp;"-"&amp;TEXT($E1092,"00")</f>
        <v>2024-11</v>
      </c>
      <c r="H1092" s="61" t="str">
        <f aca="false">INDEX(Parametros!$C$71:$C$91,MATCH(TRIM(INDEX(Datos_Origen!$C$2:$C$2459,$Z1092)),Parametros!$B$71:$B$91,0))</f>
        <v>NOA</v>
      </c>
      <c r="I1092" s="61" t="str">
        <f aca="false">IF(TRIM($AD1092)="",INDEX(Parametros!$I$20:$I$24,MATCH($H1092,Parametros!$H$20:$H$24,0)),TRIM($AD1092))</f>
        <v>Tucuman</v>
      </c>
      <c r="J1092" s="61" t="str">
        <f aca="false">INDEX(Parametros!$C$95:$C$106,MATCH(TRIM(INDEX(Datos_Origen!$E$2:$E$2459,$Z1092)),Parametros!$B$95:$B$106,0))</f>
        <v>Tienda fisica</v>
      </c>
      <c r="K1092" s="61" t="str">
        <f aca="false">INDEX(Parametros!$C$48:$C$67,MATCH(TRIM(INDEX(Datos_Origen!$F$2:$F$2459,$Z1092)),Parametros!$B$48:$B$67,0))</f>
        <v>Accesorios</v>
      </c>
      <c r="L1092" s="61" t="str">
        <f aca="false">$K1092&amp;" "&amp;$C1092</f>
        <v>Accesorios 2024</v>
      </c>
      <c r="M1092" s="61" t="str">
        <f aca="false">TRIM(INDEX(Datos_Origen!$G$2:$G$2459,$Z1092))</f>
        <v>Webcam Full HD</v>
      </c>
      <c r="N1092" s="61" t="str">
        <f aca="false">$M1092&amp;" "&amp;$C1092</f>
        <v>Webcam Full HD 2024</v>
      </c>
      <c r="O1092" s="63" t="n">
        <f aca="false">IF(ISTEXT($AC1092),VALUE($AC1092),$AC1092)</f>
        <v>33</v>
      </c>
      <c r="P1092" s="64" t="n">
        <f aca="false">INDEX(Datos_Origen!$I$2:$I$2459,$Z1092)</f>
        <v>63.7</v>
      </c>
      <c r="Q1092" s="64" t="n">
        <f aca="false">INDEX(Datos_Origen!$J$2:$J$2459,$Z1092)</f>
        <v>35.43</v>
      </c>
      <c r="R1092" s="65" t="n">
        <f aca="false">ROUND($O1092*$P1092,2)</f>
        <v>2102.1</v>
      </c>
      <c r="S1092" s="65" t="n">
        <f aca="false">ROUND($O1092*$Q1092,2)</f>
        <v>1169.19</v>
      </c>
      <c r="T1092" s="65" t="n">
        <f aca="false">ROUND($R1092*SUMIFS(Parametros!$E$28:$E$43,Parametros!$B$28:$B$43,$J1092,Parametros!$C$28:$C$43,$C1092,Parametros!$D$28:$D$43,$D1092),2)</f>
        <v>27.33</v>
      </c>
      <c r="U1092" s="65" t="n">
        <f aca="false">$R1092-$S1092-$T1092</f>
        <v>905.58</v>
      </c>
      <c r="V1092" s="66" t="n">
        <f aca="false">IFERROR($U1092/$R1092,0)</f>
        <v>0.430797773654916</v>
      </c>
      <c r="W1092" s="67" t="str">
        <f aca="false">IF(AND($V1092&gt;=Parametros!$C$8,$R1092&gt;=Parametros!$C$12),"Alta rentabilidad",IF(OR($V1092&lt;Parametros!$C$11,$R1092&lt;Parametros!$C$13),"Revisar","Estandar"))</f>
        <v>Estandar</v>
      </c>
      <c r="X1092" s="67" t="str">
        <f aca="false">IF(AND($J1092="E-commerce",IFERROR($T1092/$R1092,0)&gt;Parametros!$C$14),"Alerta","OK")</f>
        <v>OK</v>
      </c>
      <c r="Y1092" s="61" t="str">
        <f aca="false">IF($R1092&gt;=Parametros!$C$12,"Alto",IF($R1092&lt;Parametros!$C$13,"Bajo","Medio"))</f>
        <v>Medio</v>
      </c>
      <c r="Z1092" s="61" t="n">
        <v>713</v>
      </c>
      <c r="AA1092" s="61" t="str">
        <f aca="false">IF(MATCH($A1092,Datos_Origen!$A$2:$A$2459,0)=$Z1092,"OK","REVISAR")</f>
        <v>OK</v>
      </c>
      <c r="AB1092" s="62" t="n">
        <f aca="false">INDEX(Datos_Origen!$B$2:$B$2459,$Z1092)</f>
        <v>45620</v>
      </c>
      <c r="AC1092" s="61" t="n">
        <f aca="false">INDEX(Datos_Origen!$H$2:$H$2459,$Z1092)</f>
        <v>33</v>
      </c>
      <c r="AD1092" s="61" t="str">
        <f aca="false">INDEX(Datos_Origen!$D$2:$D$2459,$Z1092)&amp;""</f>
        <v>Tucuman</v>
      </c>
    </row>
    <row r="1093" customFormat="false" ht="15" hidden="false" customHeight="false" outlineLevel="0" collapsed="false">
      <c r="A1093" s="61" t="n">
        <f aca="false">INDEX(Datos_Origen!$A$2:$A$2459,$Z1093)</f>
        <v>1092</v>
      </c>
      <c r="B1093" s="62" t="n">
        <f aca="false">IF(ISNUMBER($AB1093),$AB1093,IF(MID($AB1093,5,1)="-",DATE(VALUE(LEFT($AB1093,4)),VALUE(MID($AB1093,6,2)),VALUE(RIGHT($AB1093,2))),DATE(VALUE(RIGHT($AB1093,4)),VALUE(MID($AB1093,4,2)),VALUE(LEFT($AB1093,2)))))</f>
        <v>45600</v>
      </c>
      <c r="C1093" s="61" t="n">
        <f aca="false">YEAR($B1093)</f>
        <v>2024</v>
      </c>
      <c r="D1093" s="61" t="str">
        <f aca="false">"Q"&amp;ROUNDUP(MONTH($B1093)/3,0)</f>
        <v>Q4</v>
      </c>
      <c r="E1093" s="61" t="n">
        <f aca="false">MONTH($B1093)</f>
        <v>11</v>
      </c>
      <c r="F1093" s="61" t="str">
        <f aca="false">INDEX(Parametros!$I$5:$I$16,$E1093)</f>
        <v>Nov</v>
      </c>
      <c r="G1093" s="61" t="str">
        <f aca="false">TEXT($C1093,"0000")&amp;"-"&amp;TEXT($E1093,"00")</f>
        <v>2024-11</v>
      </c>
      <c r="H1093" s="61" t="str">
        <f aca="false">INDEX(Parametros!$C$71:$C$91,MATCH(TRIM(INDEX(Datos_Origen!$C$2:$C$2459,$Z1093)),Parametros!$B$71:$B$91,0))</f>
        <v>NOA</v>
      </c>
      <c r="I1093" s="61" t="str">
        <f aca="false">IF(TRIM($AD1093)="",INDEX(Parametros!$I$20:$I$24,MATCH($H1093,Parametros!$H$20:$H$24,0)),TRIM($AD1093))</f>
        <v>Tucuman</v>
      </c>
      <c r="J1093" s="61" t="str">
        <f aca="false">INDEX(Parametros!$C$95:$C$106,MATCH(TRIM(INDEX(Datos_Origen!$E$2:$E$2459,$Z1093)),Parametros!$B$95:$B$106,0))</f>
        <v>E-commerce</v>
      </c>
      <c r="K1093" s="61" t="str">
        <f aca="false">INDEX(Parametros!$C$48:$C$67,MATCH(TRIM(INDEX(Datos_Origen!$F$2:$F$2459,$Z1093)),Parametros!$B$48:$B$67,0))</f>
        <v>Accesorios</v>
      </c>
      <c r="L1093" s="61" t="str">
        <f aca="false">$K1093&amp;" "&amp;$C1093</f>
        <v>Accesorios 2024</v>
      </c>
      <c r="M1093" s="61" t="str">
        <f aca="false">TRIM(INDEX(Datos_Origen!$G$2:$G$2459,$Z1093))</f>
        <v>Webcam Full HD</v>
      </c>
      <c r="N1093" s="61" t="str">
        <f aca="false">$M1093&amp;" "&amp;$C1093</f>
        <v>Webcam Full HD 2024</v>
      </c>
      <c r="O1093" s="63" t="n">
        <f aca="false">IF(ISTEXT($AC1093),VALUE($AC1093),$AC1093)</f>
        <v>14</v>
      </c>
      <c r="P1093" s="64" t="n">
        <f aca="false">INDEX(Datos_Origen!$I$2:$I$2459,$Z1093)</f>
        <v>63.7</v>
      </c>
      <c r="Q1093" s="64" t="n">
        <f aca="false">INDEX(Datos_Origen!$J$2:$J$2459,$Z1093)</f>
        <v>35.43</v>
      </c>
      <c r="R1093" s="65" t="n">
        <f aca="false">ROUND($O1093*$P1093,2)</f>
        <v>891.8</v>
      </c>
      <c r="S1093" s="65" t="n">
        <f aca="false">ROUND($O1093*$Q1093,2)</f>
        <v>496.02</v>
      </c>
      <c r="T1093" s="65" t="n">
        <f aca="false">ROUND($R1093*SUMIFS(Parametros!$E$28:$E$43,Parametros!$B$28:$B$43,$J1093,Parametros!$C$28:$C$43,$C1093,Parametros!$D$28:$D$43,$D1093),2)</f>
        <v>42.81</v>
      </c>
      <c r="U1093" s="65" t="n">
        <f aca="false">$R1093-$S1093-$T1093</f>
        <v>352.97</v>
      </c>
      <c r="V1093" s="66" t="n">
        <f aca="false">IFERROR($U1093/$R1093,0)</f>
        <v>0.395795021305225</v>
      </c>
      <c r="W1093" s="67" t="str">
        <f aca="false">IF(AND($V1093&gt;=Parametros!$C$8,$R1093&gt;=Parametros!$C$12),"Alta rentabilidad",IF(OR($V1093&lt;Parametros!$C$11,$R1093&lt;Parametros!$C$13),"Revisar","Estandar"))</f>
        <v>Estandar</v>
      </c>
      <c r="X1093" s="67" t="str">
        <f aca="false">IF(AND($J1093="E-commerce",IFERROR($T1093/$R1093,0)&gt;Parametros!$C$14),"Alerta","OK")</f>
        <v>OK</v>
      </c>
      <c r="Y1093" s="61" t="str">
        <f aca="false">IF($R1093&gt;=Parametros!$C$12,"Alto",IF($R1093&lt;Parametros!$C$13,"Bajo","Medio"))</f>
        <v>Medio</v>
      </c>
      <c r="Z1093" s="61" t="n">
        <v>2349</v>
      </c>
      <c r="AA1093" s="61" t="str">
        <f aca="false">IF(MATCH($A1093,Datos_Origen!$A$2:$A$2459,0)=$Z1093,"OK","REVISAR")</f>
        <v>OK</v>
      </c>
      <c r="AB1093" s="62" t="n">
        <f aca="false">INDEX(Datos_Origen!$B$2:$B$2459,$Z1093)</f>
        <v>45600</v>
      </c>
      <c r="AC1093" s="61" t="str">
        <f aca="false">INDEX(Datos_Origen!$H$2:$H$2459,$Z1093)</f>
        <v>14</v>
      </c>
      <c r="AD1093" s="61" t="str">
        <f aca="false">INDEX(Datos_Origen!$D$2:$D$2459,$Z1093)&amp;""</f>
        <v>Tucuman</v>
      </c>
    </row>
    <row r="1094" customFormat="false" ht="15" hidden="false" customHeight="false" outlineLevel="0" collapsed="false">
      <c r="A1094" s="61" t="n">
        <f aca="false">INDEX(Datos_Origen!$A$2:$A$2459,$Z1094)</f>
        <v>1093</v>
      </c>
      <c r="B1094" s="62" t="n">
        <f aca="false">IF(ISNUMBER($AB1094),$AB1094,IF(MID($AB1094,5,1)="-",DATE(VALUE(LEFT($AB1094,4)),VALUE(MID($AB1094,6,2)),VALUE(RIGHT($AB1094,2))),DATE(VALUE(RIGHT($AB1094,4)),VALUE(MID($AB1094,4,2)),VALUE(LEFT($AB1094,2)))))</f>
        <v>45607</v>
      </c>
      <c r="C1094" s="61" t="n">
        <f aca="false">YEAR($B1094)</f>
        <v>2024</v>
      </c>
      <c r="D1094" s="61" t="str">
        <f aca="false">"Q"&amp;ROUNDUP(MONTH($B1094)/3,0)</f>
        <v>Q4</v>
      </c>
      <c r="E1094" s="61" t="n">
        <f aca="false">MONTH($B1094)</f>
        <v>11</v>
      </c>
      <c r="F1094" s="61" t="str">
        <f aca="false">INDEX(Parametros!$I$5:$I$16,$E1094)</f>
        <v>Nov</v>
      </c>
      <c r="G1094" s="61" t="str">
        <f aca="false">TEXT($C1094,"0000")&amp;"-"&amp;TEXT($E1094,"00")</f>
        <v>2024-11</v>
      </c>
      <c r="H1094" s="61" t="str">
        <f aca="false">INDEX(Parametros!$C$71:$C$91,MATCH(TRIM(INDEX(Datos_Origen!$C$2:$C$2459,$Z1094)),Parametros!$B$71:$B$91,0))</f>
        <v>NOA</v>
      </c>
      <c r="I1094" s="61" t="str">
        <f aca="false">IF(TRIM($AD1094)="",INDEX(Parametros!$I$20:$I$24,MATCH($H1094,Parametros!$H$20:$H$24,0)),TRIM($AD1094))</f>
        <v>Tucuman</v>
      </c>
      <c r="J1094" s="61" t="str">
        <f aca="false">INDEX(Parametros!$C$95:$C$106,MATCH(TRIM(INDEX(Datos_Origen!$E$2:$E$2459,$Z1094)),Parametros!$B$95:$B$106,0))</f>
        <v>Tienda fisica</v>
      </c>
      <c r="K1094" s="61" t="str">
        <f aca="false">INDEX(Parametros!$C$48:$C$67,MATCH(TRIM(INDEX(Datos_Origen!$F$2:$F$2459,$Z1094)),Parametros!$B$48:$B$67,0))</f>
        <v>Audio</v>
      </c>
      <c r="L1094" s="61" t="str">
        <f aca="false">$K1094&amp;" "&amp;$C1094</f>
        <v>Audio 2024</v>
      </c>
      <c r="M1094" s="61" t="str">
        <f aca="false">TRIM(INDEX(Datos_Origen!$G$2:$G$2459,$Z1094))</f>
        <v>Auriculares BT Pro</v>
      </c>
      <c r="N1094" s="61" t="str">
        <f aca="false">$M1094&amp;" "&amp;$C1094</f>
        <v>Auriculares BT Pro 2024</v>
      </c>
      <c r="O1094" s="63" t="n">
        <f aca="false">IF(ISTEXT($AC1094),VALUE($AC1094),$AC1094)</f>
        <v>15</v>
      </c>
      <c r="P1094" s="64" t="n">
        <f aca="false">INDEX(Datos_Origen!$I$2:$I$2459,$Z1094)</f>
        <v>117.6</v>
      </c>
      <c r="Q1094" s="64" t="n">
        <f aca="false">INDEX(Datos_Origen!$J$2:$J$2459,$Z1094)</f>
        <v>63.6</v>
      </c>
      <c r="R1094" s="65" t="n">
        <f aca="false">ROUND($O1094*$P1094,2)</f>
        <v>1764</v>
      </c>
      <c r="S1094" s="65" t="n">
        <f aca="false">ROUND($O1094*$Q1094,2)</f>
        <v>954</v>
      </c>
      <c r="T1094" s="65" t="n">
        <f aca="false">ROUND($R1094*SUMIFS(Parametros!$E$28:$E$43,Parametros!$B$28:$B$43,$J1094,Parametros!$C$28:$C$43,$C1094,Parametros!$D$28:$D$43,$D1094),2)</f>
        <v>22.93</v>
      </c>
      <c r="U1094" s="65" t="n">
        <f aca="false">$R1094-$S1094-$T1094</f>
        <v>787.07</v>
      </c>
      <c r="V1094" s="66" t="n">
        <f aca="false">IFERROR($U1094/$R1094,0)</f>
        <v>0.446184807256236</v>
      </c>
      <c r="W1094" s="67" t="str">
        <f aca="false">IF(AND($V1094&gt;=Parametros!$C$8,$R1094&gt;=Parametros!$C$12),"Alta rentabilidad",IF(OR($V1094&lt;Parametros!$C$11,$R1094&lt;Parametros!$C$13),"Revisar","Estandar"))</f>
        <v>Estandar</v>
      </c>
      <c r="X1094" s="67" t="str">
        <f aca="false">IF(AND($J1094="E-commerce",IFERROR($T1094/$R1094,0)&gt;Parametros!$C$14),"Alerta","OK")</f>
        <v>OK</v>
      </c>
      <c r="Y1094" s="61" t="str">
        <f aca="false">IF($R1094&gt;=Parametros!$C$12,"Alto",IF($R1094&lt;Parametros!$C$13,"Bajo","Medio"))</f>
        <v>Medio</v>
      </c>
      <c r="Z1094" s="61" t="n">
        <v>1059</v>
      </c>
      <c r="AA1094" s="61" t="str">
        <f aca="false">IF(MATCH($A1094,Datos_Origen!$A$2:$A$2459,0)=$Z1094,"OK","REVISAR")</f>
        <v>OK</v>
      </c>
      <c r="AB1094" s="61" t="str">
        <f aca="false">INDEX(Datos_Origen!$B$2:$B$2459,$Z1094)</f>
        <v>11/11/2024</v>
      </c>
      <c r="AC1094" s="61" t="n">
        <f aca="false">INDEX(Datos_Origen!$H$2:$H$2459,$Z1094)</f>
        <v>15</v>
      </c>
      <c r="AD1094" s="61" t="str">
        <f aca="false">INDEX(Datos_Origen!$D$2:$D$2459,$Z1094)&amp;""</f>
        <v>Tucuman</v>
      </c>
    </row>
    <row r="1095" customFormat="false" ht="15" hidden="false" customHeight="false" outlineLevel="0" collapsed="false">
      <c r="A1095" s="61" t="n">
        <f aca="false">INDEX(Datos_Origen!$A$2:$A$2459,$Z1095)</f>
        <v>1094</v>
      </c>
      <c r="B1095" s="62" t="n">
        <f aca="false">IF(ISNUMBER($AB1095),$AB1095,IF(MID($AB1095,5,1)="-",DATE(VALUE(LEFT($AB1095,4)),VALUE(MID($AB1095,6,2)),VALUE(RIGHT($AB1095,2))),DATE(VALUE(RIGHT($AB1095,4)),VALUE(MID($AB1095,4,2)),VALUE(LEFT($AB1095,2)))))</f>
        <v>45614</v>
      </c>
      <c r="C1095" s="61" t="n">
        <f aca="false">YEAR($B1095)</f>
        <v>2024</v>
      </c>
      <c r="D1095" s="61" t="str">
        <f aca="false">"Q"&amp;ROUNDUP(MONTH($B1095)/3,0)</f>
        <v>Q4</v>
      </c>
      <c r="E1095" s="61" t="n">
        <f aca="false">MONTH($B1095)</f>
        <v>11</v>
      </c>
      <c r="F1095" s="61" t="str">
        <f aca="false">INDEX(Parametros!$I$5:$I$16,$E1095)</f>
        <v>Nov</v>
      </c>
      <c r="G1095" s="61" t="str">
        <f aca="false">TEXT($C1095,"0000")&amp;"-"&amp;TEXT($E1095,"00")</f>
        <v>2024-11</v>
      </c>
      <c r="H1095" s="61" t="str">
        <f aca="false">INDEX(Parametros!$C$71:$C$91,MATCH(TRIM(INDEX(Datos_Origen!$C$2:$C$2459,$Z1095)),Parametros!$B$71:$B$91,0))</f>
        <v>NOA</v>
      </c>
      <c r="I1095" s="61" t="str">
        <f aca="false">IF(TRIM($AD1095)="",INDEX(Parametros!$I$20:$I$24,MATCH($H1095,Parametros!$H$20:$H$24,0)),TRIM($AD1095))</f>
        <v>Tucuman</v>
      </c>
      <c r="J1095" s="61" t="str">
        <f aca="false">INDEX(Parametros!$C$95:$C$106,MATCH(TRIM(INDEX(Datos_Origen!$E$2:$E$2459,$Z1095)),Parametros!$B$95:$B$106,0))</f>
        <v>E-commerce</v>
      </c>
      <c r="K1095" s="61" t="str">
        <f aca="false">INDEX(Parametros!$C$48:$C$67,MATCH(TRIM(INDEX(Datos_Origen!$F$2:$F$2459,$Z1095)),Parametros!$B$48:$B$67,0))</f>
        <v>Audio</v>
      </c>
      <c r="L1095" s="61" t="str">
        <f aca="false">$K1095&amp;" "&amp;$C1095</f>
        <v>Audio 2024</v>
      </c>
      <c r="M1095" s="61" t="str">
        <f aca="false">TRIM(INDEX(Datos_Origen!$G$2:$G$2459,$Z1095))</f>
        <v>Auriculares BT Pro</v>
      </c>
      <c r="N1095" s="61" t="str">
        <f aca="false">$M1095&amp;" "&amp;$C1095</f>
        <v>Auriculares BT Pro 2024</v>
      </c>
      <c r="O1095" s="63" t="n">
        <f aca="false">IF(ISTEXT($AC1095),VALUE($AC1095),$AC1095)</f>
        <v>8</v>
      </c>
      <c r="P1095" s="64" t="n">
        <f aca="false">INDEX(Datos_Origen!$I$2:$I$2459,$Z1095)</f>
        <v>117.6</v>
      </c>
      <c r="Q1095" s="64" t="n">
        <f aca="false">INDEX(Datos_Origen!$J$2:$J$2459,$Z1095)</f>
        <v>63.6</v>
      </c>
      <c r="R1095" s="65" t="n">
        <f aca="false">ROUND($O1095*$P1095,2)</f>
        <v>940.8</v>
      </c>
      <c r="S1095" s="65" t="n">
        <f aca="false">ROUND($O1095*$Q1095,2)</f>
        <v>508.8</v>
      </c>
      <c r="T1095" s="65" t="n">
        <f aca="false">ROUND($R1095*SUMIFS(Parametros!$E$28:$E$43,Parametros!$B$28:$B$43,$J1095,Parametros!$C$28:$C$43,$C1095,Parametros!$D$28:$D$43,$D1095),2)</f>
        <v>45.16</v>
      </c>
      <c r="U1095" s="65" t="n">
        <f aca="false">$R1095-$S1095-$T1095</f>
        <v>386.84</v>
      </c>
      <c r="V1095" s="66" t="n">
        <f aca="false">IFERROR($U1095/$R1095,0)</f>
        <v>0.411181972789116</v>
      </c>
      <c r="W1095" s="67" t="str">
        <f aca="false">IF(AND($V1095&gt;=Parametros!$C$8,$R1095&gt;=Parametros!$C$12),"Alta rentabilidad",IF(OR($V1095&lt;Parametros!$C$11,$R1095&lt;Parametros!$C$13),"Revisar","Estandar"))</f>
        <v>Estandar</v>
      </c>
      <c r="X1095" s="67" t="str">
        <f aca="false">IF(AND($J1095="E-commerce",IFERROR($T1095/$R1095,0)&gt;Parametros!$C$14),"Alerta","OK")</f>
        <v>OK</v>
      </c>
      <c r="Y1095" s="61" t="str">
        <f aca="false">IF($R1095&gt;=Parametros!$C$12,"Alto",IF($R1095&lt;Parametros!$C$13,"Bajo","Medio"))</f>
        <v>Medio</v>
      </c>
      <c r="Z1095" s="61" t="n">
        <v>864</v>
      </c>
      <c r="AA1095" s="61" t="str">
        <f aca="false">IF(MATCH($A1095,Datos_Origen!$A$2:$A$2459,0)=$Z1095,"OK","REVISAR")</f>
        <v>OK</v>
      </c>
      <c r="AB1095" s="61" t="str">
        <f aca="false">INDEX(Datos_Origen!$B$2:$B$2459,$Z1095)</f>
        <v>2024-11-18</v>
      </c>
      <c r="AC1095" s="61" t="n">
        <f aca="false">INDEX(Datos_Origen!$H$2:$H$2459,$Z1095)</f>
        <v>8</v>
      </c>
      <c r="AD1095" s="61" t="str">
        <f aca="false">INDEX(Datos_Origen!$D$2:$D$2459,$Z1095)&amp;""</f>
        <v>Tucuman</v>
      </c>
    </row>
    <row r="1096" customFormat="false" ht="15" hidden="false" customHeight="false" outlineLevel="0" collapsed="false">
      <c r="A1096" s="61" t="n">
        <f aca="false">INDEX(Datos_Origen!$A$2:$A$2459,$Z1096)</f>
        <v>1095</v>
      </c>
      <c r="B1096" s="62" t="n">
        <f aca="false">IF(ISNUMBER($AB1096),$AB1096,IF(MID($AB1096,5,1)="-",DATE(VALUE(LEFT($AB1096,4)),VALUE(MID($AB1096,6,2)),VALUE(RIGHT($AB1096,2))),DATE(VALUE(RIGHT($AB1096,4)),VALUE(MID($AB1096,4,2)),VALUE(LEFT($AB1096,2)))))</f>
        <v>45621</v>
      </c>
      <c r="C1096" s="61" t="n">
        <f aca="false">YEAR($B1096)</f>
        <v>2024</v>
      </c>
      <c r="D1096" s="61" t="str">
        <f aca="false">"Q"&amp;ROUNDUP(MONTH($B1096)/3,0)</f>
        <v>Q4</v>
      </c>
      <c r="E1096" s="61" t="n">
        <f aca="false">MONTH($B1096)</f>
        <v>11</v>
      </c>
      <c r="F1096" s="61" t="str">
        <f aca="false">INDEX(Parametros!$I$5:$I$16,$E1096)</f>
        <v>Nov</v>
      </c>
      <c r="G1096" s="61" t="str">
        <f aca="false">TEXT($C1096,"0000")&amp;"-"&amp;TEXT($E1096,"00")</f>
        <v>2024-11</v>
      </c>
      <c r="H1096" s="61" t="str">
        <f aca="false">INDEX(Parametros!$C$71:$C$91,MATCH(TRIM(INDEX(Datos_Origen!$C$2:$C$2459,$Z1096)),Parametros!$B$71:$B$91,0))</f>
        <v>NOA</v>
      </c>
      <c r="I1096" s="61" t="str">
        <f aca="false">IF(TRIM($AD1096)="",INDEX(Parametros!$I$20:$I$24,MATCH($H1096,Parametros!$H$20:$H$24,0)),TRIM($AD1096))</f>
        <v>Tucuman</v>
      </c>
      <c r="J1096" s="61" t="str">
        <f aca="false">INDEX(Parametros!$C$95:$C$106,MATCH(TRIM(INDEX(Datos_Origen!$E$2:$E$2459,$Z1096)),Parametros!$B$95:$B$106,0))</f>
        <v>Tienda fisica</v>
      </c>
      <c r="K1096" s="61" t="str">
        <f aca="false">INDEX(Parametros!$C$48:$C$67,MATCH(TRIM(INDEX(Datos_Origen!$F$2:$F$2459,$Z1096)),Parametros!$B$48:$B$67,0))</f>
        <v>Audio</v>
      </c>
      <c r="L1096" s="61" t="str">
        <f aca="false">$K1096&amp;" "&amp;$C1096</f>
        <v>Audio 2024</v>
      </c>
      <c r="M1096" s="61" t="str">
        <f aca="false">TRIM(INDEX(Datos_Origen!$G$2:$G$2459,$Z1096))</f>
        <v>Parlante Bluetooth</v>
      </c>
      <c r="N1096" s="61" t="str">
        <f aca="false">$M1096&amp;" "&amp;$C1096</f>
        <v>Parlante Bluetooth 2024</v>
      </c>
      <c r="O1096" s="63" t="n">
        <f aca="false">IF(ISTEXT($AC1096),VALUE($AC1096),$AC1096)</f>
        <v>15</v>
      </c>
      <c r="P1096" s="64" t="n">
        <f aca="false">INDEX(Datos_Origen!$I$2:$I$2459,$Z1096)</f>
        <v>83.3</v>
      </c>
      <c r="Q1096" s="64" t="n">
        <f aca="false">INDEX(Datos_Origen!$J$2:$J$2459,$Z1096)</f>
        <v>48.03</v>
      </c>
      <c r="R1096" s="65" t="n">
        <f aca="false">ROUND($O1096*$P1096,2)</f>
        <v>1249.5</v>
      </c>
      <c r="S1096" s="65" t="n">
        <f aca="false">ROUND($O1096*$Q1096,2)</f>
        <v>720.45</v>
      </c>
      <c r="T1096" s="65" t="n">
        <f aca="false">ROUND($R1096*SUMIFS(Parametros!$E$28:$E$43,Parametros!$B$28:$B$43,$J1096,Parametros!$C$28:$C$43,$C1096,Parametros!$D$28:$D$43,$D1096),2)</f>
        <v>16.24</v>
      </c>
      <c r="U1096" s="65" t="n">
        <f aca="false">$R1096-$S1096-$T1096</f>
        <v>512.81</v>
      </c>
      <c r="V1096" s="66" t="n">
        <f aca="false">IFERROR($U1096/$R1096,0)</f>
        <v>0.410412164865946</v>
      </c>
      <c r="W1096" s="67" t="str">
        <f aca="false">IF(AND($V1096&gt;=Parametros!$C$8,$R1096&gt;=Parametros!$C$12),"Alta rentabilidad",IF(OR($V1096&lt;Parametros!$C$11,$R1096&lt;Parametros!$C$13),"Revisar","Estandar"))</f>
        <v>Estandar</v>
      </c>
      <c r="X1096" s="67" t="str">
        <f aca="false">IF(AND($J1096="E-commerce",IFERROR($T1096/$R1096,0)&gt;Parametros!$C$14),"Alerta","OK")</f>
        <v>OK</v>
      </c>
      <c r="Y1096" s="61" t="str">
        <f aca="false">IF($R1096&gt;=Parametros!$C$12,"Alto",IF($R1096&lt;Parametros!$C$13,"Bajo","Medio"))</f>
        <v>Medio</v>
      </c>
      <c r="Z1096" s="61" t="n">
        <v>80</v>
      </c>
      <c r="AA1096" s="61" t="str">
        <f aca="false">IF(MATCH($A1096,Datos_Origen!$A$2:$A$2459,0)=$Z1096,"OK","REVISAR")</f>
        <v>OK</v>
      </c>
      <c r="AB1096" s="61" t="str">
        <f aca="false">INDEX(Datos_Origen!$B$2:$B$2459,$Z1096)</f>
        <v>25/11/2024</v>
      </c>
      <c r="AC1096" s="61" t="str">
        <f aca="false">INDEX(Datos_Origen!$H$2:$H$2459,$Z1096)</f>
        <v>15</v>
      </c>
      <c r="AD1096" s="61" t="str">
        <f aca="false">INDEX(Datos_Origen!$D$2:$D$2459,$Z1096)&amp;""</f>
        <v>Tucuman</v>
      </c>
    </row>
    <row r="1097" customFormat="false" ht="15" hidden="false" customHeight="false" outlineLevel="0" collapsed="false">
      <c r="A1097" s="61" t="n">
        <f aca="false">INDEX(Datos_Origen!$A$2:$A$2459,$Z1097)</f>
        <v>1096</v>
      </c>
      <c r="B1097" s="62" t="n">
        <f aca="false">IF(ISNUMBER($AB1097),$AB1097,IF(MID($AB1097,5,1)="-",DATE(VALUE(LEFT($AB1097,4)),VALUE(MID($AB1097,6,2)),VALUE(RIGHT($AB1097,2))),DATE(VALUE(RIGHT($AB1097,4)),VALUE(MID($AB1097,4,2)),VALUE(LEFT($AB1097,2)))))</f>
        <v>45601</v>
      </c>
      <c r="C1097" s="61" t="n">
        <f aca="false">YEAR($B1097)</f>
        <v>2024</v>
      </c>
      <c r="D1097" s="61" t="str">
        <f aca="false">"Q"&amp;ROUNDUP(MONTH($B1097)/3,0)</f>
        <v>Q4</v>
      </c>
      <c r="E1097" s="61" t="n">
        <f aca="false">MONTH($B1097)</f>
        <v>11</v>
      </c>
      <c r="F1097" s="61" t="str">
        <f aca="false">INDEX(Parametros!$I$5:$I$16,$E1097)</f>
        <v>Nov</v>
      </c>
      <c r="G1097" s="61" t="str">
        <f aca="false">TEXT($C1097,"0000")&amp;"-"&amp;TEXT($E1097,"00")</f>
        <v>2024-11</v>
      </c>
      <c r="H1097" s="61" t="str">
        <f aca="false">INDEX(Parametros!$C$71:$C$91,MATCH(TRIM(INDEX(Datos_Origen!$C$2:$C$2459,$Z1097)),Parametros!$B$71:$B$91,0))</f>
        <v>NOA</v>
      </c>
      <c r="I1097" s="61" t="str">
        <f aca="false">IF(TRIM($AD1097)="",INDEX(Parametros!$I$20:$I$24,MATCH($H1097,Parametros!$H$20:$H$24,0)),TRIM($AD1097))</f>
        <v>Tucuman</v>
      </c>
      <c r="J1097" s="61" t="str">
        <f aca="false">INDEX(Parametros!$C$95:$C$106,MATCH(TRIM(INDEX(Datos_Origen!$E$2:$E$2459,$Z1097)),Parametros!$B$95:$B$106,0))</f>
        <v>E-commerce</v>
      </c>
      <c r="K1097" s="61" t="str">
        <f aca="false">INDEX(Parametros!$C$48:$C$67,MATCH(TRIM(INDEX(Datos_Origen!$F$2:$F$2459,$Z1097)),Parametros!$B$48:$B$67,0))</f>
        <v>Audio</v>
      </c>
      <c r="L1097" s="61" t="str">
        <f aca="false">$K1097&amp;" "&amp;$C1097</f>
        <v>Audio 2024</v>
      </c>
      <c r="M1097" s="61" t="str">
        <f aca="false">TRIM(INDEX(Datos_Origen!$G$2:$G$2459,$Z1097))</f>
        <v>Parlante Bluetooth</v>
      </c>
      <c r="N1097" s="61" t="str">
        <f aca="false">$M1097&amp;" "&amp;$C1097</f>
        <v>Parlante Bluetooth 2024</v>
      </c>
      <c r="O1097" s="63" t="n">
        <f aca="false">IF(ISTEXT($AC1097),VALUE($AC1097),$AC1097)</f>
        <v>7</v>
      </c>
      <c r="P1097" s="64" t="n">
        <f aca="false">INDEX(Datos_Origen!$I$2:$I$2459,$Z1097)</f>
        <v>83.3</v>
      </c>
      <c r="Q1097" s="64" t="n">
        <f aca="false">INDEX(Datos_Origen!$J$2:$J$2459,$Z1097)</f>
        <v>48.03</v>
      </c>
      <c r="R1097" s="65" t="n">
        <f aca="false">ROUND($O1097*$P1097,2)</f>
        <v>583.1</v>
      </c>
      <c r="S1097" s="65" t="n">
        <f aca="false">ROUND($O1097*$Q1097,2)</f>
        <v>336.21</v>
      </c>
      <c r="T1097" s="65" t="n">
        <f aca="false">ROUND($R1097*SUMIFS(Parametros!$E$28:$E$43,Parametros!$B$28:$B$43,$J1097,Parametros!$C$28:$C$43,$C1097,Parametros!$D$28:$D$43,$D1097),2)</f>
        <v>27.99</v>
      </c>
      <c r="U1097" s="65" t="n">
        <f aca="false">$R1097-$S1097-$T1097</f>
        <v>218.9</v>
      </c>
      <c r="V1097" s="66" t="n">
        <f aca="false">IFERROR($U1097/$R1097,0)</f>
        <v>0.375407305779455</v>
      </c>
      <c r="W1097" s="67" t="str">
        <f aca="false">IF(AND($V1097&gt;=Parametros!$C$8,$R1097&gt;=Parametros!$C$12),"Alta rentabilidad",IF(OR($V1097&lt;Parametros!$C$11,$R1097&lt;Parametros!$C$13),"Revisar","Estandar"))</f>
        <v>Estandar</v>
      </c>
      <c r="X1097" s="67" t="str">
        <f aca="false">IF(AND($J1097="E-commerce",IFERROR($T1097/$R1097,0)&gt;Parametros!$C$14),"Alerta","OK")</f>
        <v>OK</v>
      </c>
      <c r="Y1097" s="61" t="str">
        <f aca="false">IF($R1097&gt;=Parametros!$C$12,"Alto",IF($R1097&lt;Parametros!$C$13,"Bajo","Medio"))</f>
        <v>Medio</v>
      </c>
      <c r="Z1097" s="61" t="n">
        <v>92</v>
      </c>
      <c r="AA1097" s="61" t="str">
        <f aca="false">IF(MATCH($A1097,Datos_Origen!$A$2:$A$2459,0)=$Z1097,"OK","REVISAR")</f>
        <v>OK</v>
      </c>
      <c r="AB1097" s="62" t="n">
        <f aca="false">INDEX(Datos_Origen!$B$2:$B$2459,$Z1097)</f>
        <v>45601</v>
      </c>
      <c r="AC1097" s="61" t="n">
        <f aca="false">INDEX(Datos_Origen!$H$2:$H$2459,$Z1097)</f>
        <v>7</v>
      </c>
      <c r="AD1097" s="61" t="str">
        <f aca="false">INDEX(Datos_Origen!$D$2:$D$2459,$Z1097)&amp;""</f>
        <v>Tucuman</v>
      </c>
    </row>
    <row r="1098" customFormat="false" ht="15" hidden="false" customHeight="false" outlineLevel="0" collapsed="false">
      <c r="A1098" s="61" t="n">
        <f aca="false">INDEX(Datos_Origen!$A$2:$A$2459,$Z1098)</f>
        <v>1097</v>
      </c>
      <c r="B1098" s="62" t="n">
        <f aca="false">IF(ISNUMBER($AB1098),$AB1098,IF(MID($AB1098,5,1)="-",DATE(VALUE(LEFT($AB1098,4)),VALUE(MID($AB1098,6,2)),VALUE(RIGHT($AB1098,2))),DATE(VALUE(RIGHT($AB1098,4)),VALUE(MID($AB1098,4,2)),VALUE(LEFT($AB1098,2)))))</f>
        <v>45608</v>
      </c>
      <c r="C1098" s="61" t="n">
        <f aca="false">YEAR($B1098)</f>
        <v>2024</v>
      </c>
      <c r="D1098" s="61" t="str">
        <f aca="false">"Q"&amp;ROUNDUP(MONTH($B1098)/3,0)</f>
        <v>Q4</v>
      </c>
      <c r="E1098" s="61" t="n">
        <f aca="false">MONTH($B1098)</f>
        <v>11</v>
      </c>
      <c r="F1098" s="61" t="str">
        <f aca="false">INDEX(Parametros!$I$5:$I$16,$E1098)</f>
        <v>Nov</v>
      </c>
      <c r="G1098" s="61" t="str">
        <f aca="false">TEXT($C1098,"0000")&amp;"-"&amp;TEXT($E1098,"00")</f>
        <v>2024-11</v>
      </c>
      <c r="H1098" s="61" t="str">
        <f aca="false">INDEX(Parametros!$C$71:$C$91,MATCH(TRIM(INDEX(Datos_Origen!$C$2:$C$2459,$Z1098)),Parametros!$B$71:$B$91,0))</f>
        <v>NOA</v>
      </c>
      <c r="I1098" s="61" t="str">
        <f aca="false">IF(TRIM($AD1098)="",INDEX(Parametros!$I$20:$I$24,MATCH($H1098,Parametros!$H$20:$H$24,0)),TRIM($AD1098))</f>
        <v>Tucuman</v>
      </c>
      <c r="J1098" s="61" t="str">
        <f aca="false">INDEX(Parametros!$C$95:$C$106,MATCH(TRIM(INDEX(Datos_Origen!$E$2:$E$2459,$Z1098)),Parametros!$B$95:$B$106,0))</f>
        <v>Tienda fisica</v>
      </c>
      <c r="K1098" s="61" t="str">
        <f aca="false">INDEX(Parametros!$C$48:$C$67,MATCH(TRIM(INDEX(Datos_Origen!$F$2:$F$2459,$Z1098)),Parametros!$B$48:$B$67,0))</f>
        <v>Almacenamiento</v>
      </c>
      <c r="L1098" s="61" t="str">
        <f aca="false">$K1098&amp;" "&amp;$C1098</f>
        <v>Almacenamiento 2024</v>
      </c>
      <c r="M1098" s="61" t="str">
        <f aca="false">TRIM(INDEX(Datos_Origen!$G$2:$G$2459,$Z1098))</f>
        <v>SSD Externo 1TB</v>
      </c>
      <c r="N1098" s="61" t="str">
        <f aca="false">$M1098&amp;" "&amp;$C1098</f>
        <v>SSD Externo 1TB 2024</v>
      </c>
      <c r="O1098" s="63" t="n">
        <f aca="false">IF(ISTEXT($AC1098),VALUE($AC1098),$AC1098)</f>
        <v>22</v>
      </c>
      <c r="P1098" s="64" t="n">
        <f aca="false">INDEX(Datos_Origen!$I$2:$I$2459,$Z1098)</f>
        <v>127.4</v>
      </c>
      <c r="Q1098" s="64" t="n">
        <f aca="false">INDEX(Datos_Origen!$J$2:$J$2459,$Z1098)</f>
        <v>76.05</v>
      </c>
      <c r="R1098" s="65" t="n">
        <f aca="false">ROUND($O1098*$P1098,2)</f>
        <v>2802.8</v>
      </c>
      <c r="S1098" s="65" t="n">
        <f aca="false">ROUND($O1098*$Q1098,2)</f>
        <v>1673.1</v>
      </c>
      <c r="T1098" s="65" t="n">
        <f aca="false">ROUND($R1098*SUMIFS(Parametros!$E$28:$E$43,Parametros!$B$28:$B$43,$J1098,Parametros!$C$28:$C$43,$C1098,Parametros!$D$28:$D$43,$D1098),2)</f>
        <v>36.44</v>
      </c>
      <c r="U1098" s="65" t="n">
        <f aca="false">$R1098-$S1098-$T1098</f>
        <v>1093.26</v>
      </c>
      <c r="V1098" s="66" t="n">
        <f aca="false">IFERROR($U1098/$R1098,0)</f>
        <v>0.39005994005994</v>
      </c>
      <c r="W1098" s="67" t="str">
        <f aca="false">IF(AND($V1098&gt;=Parametros!$C$8,$R1098&gt;=Parametros!$C$12),"Alta rentabilidad",IF(OR($V1098&lt;Parametros!$C$11,$R1098&lt;Parametros!$C$13),"Revisar","Estandar"))</f>
        <v>Estandar</v>
      </c>
      <c r="X1098" s="67" t="str">
        <f aca="false">IF(AND($J1098="E-commerce",IFERROR($T1098/$R1098,0)&gt;Parametros!$C$14),"Alerta","OK")</f>
        <v>OK</v>
      </c>
      <c r="Y1098" s="61" t="str">
        <f aca="false">IF($R1098&gt;=Parametros!$C$12,"Alto",IF($R1098&lt;Parametros!$C$13,"Bajo","Medio"))</f>
        <v>Medio</v>
      </c>
      <c r="Z1098" s="61" t="n">
        <v>2212</v>
      </c>
      <c r="AA1098" s="61" t="str">
        <f aca="false">IF(MATCH($A1098,Datos_Origen!$A$2:$A$2459,0)=$Z1098,"OK","REVISAR")</f>
        <v>OK</v>
      </c>
      <c r="AB1098" s="61" t="str">
        <f aca="false">INDEX(Datos_Origen!$B$2:$B$2459,$Z1098)</f>
        <v>12/11/2024</v>
      </c>
      <c r="AC1098" s="61" t="n">
        <f aca="false">INDEX(Datos_Origen!$H$2:$H$2459,$Z1098)</f>
        <v>22</v>
      </c>
      <c r="AD1098" s="61" t="str">
        <f aca="false">INDEX(Datos_Origen!$D$2:$D$2459,$Z1098)&amp;""</f>
        <v>Tucuman</v>
      </c>
    </row>
    <row r="1099" customFormat="false" ht="15" hidden="false" customHeight="false" outlineLevel="0" collapsed="false">
      <c r="A1099" s="61" t="n">
        <f aca="false">INDEX(Datos_Origen!$A$2:$A$2459,$Z1099)</f>
        <v>1098</v>
      </c>
      <c r="B1099" s="62" t="n">
        <f aca="false">IF(ISNUMBER($AB1099),$AB1099,IF(MID($AB1099,5,1)="-",DATE(VALUE(LEFT($AB1099,4)),VALUE(MID($AB1099,6,2)),VALUE(RIGHT($AB1099,2))),DATE(VALUE(RIGHT($AB1099,4)),VALUE(MID($AB1099,4,2)),VALUE(LEFT($AB1099,2)))))</f>
        <v>45615</v>
      </c>
      <c r="C1099" s="61" t="n">
        <f aca="false">YEAR($B1099)</f>
        <v>2024</v>
      </c>
      <c r="D1099" s="61" t="str">
        <f aca="false">"Q"&amp;ROUNDUP(MONTH($B1099)/3,0)</f>
        <v>Q4</v>
      </c>
      <c r="E1099" s="61" t="n">
        <f aca="false">MONTH($B1099)</f>
        <v>11</v>
      </c>
      <c r="F1099" s="61" t="str">
        <f aca="false">INDEX(Parametros!$I$5:$I$16,$E1099)</f>
        <v>Nov</v>
      </c>
      <c r="G1099" s="61" t="str">
        <f aca="false">TEXT($C1099,"0000")&amp;"-"&amp;TEXT($E1099,"00")</f>
        <v>2024-11</v>
      </c>
      <c r="H1099" s="61" t="str">
        <f aca="false">INDEX(Parametros!$C$71:$C$91,MATCH(TRIM(INDEX(Datos_Origen!$C$2:$C$2459,$Z1099)),Parametros!$B$71:$B$91,0))</f>
        <v>NOA</v>
      </c>
      <c r="I1099" s="61" t="str">
        <f aca="false">IF(TRIM($AD1099)="",INDEX(Parametros!$I$20:$I$24,MATCH($H1099,Parametros!$H$20:$H$24,0)),TRIM($AD1099))</f>
        <v>Tucuman</v>
      </c>
      <c r="J1099" s="61" t="str">
        <f aca="false">INDEX(Parametros!$C$95:$C$106,MATCH(TRIM(INDEX(Datos_Origen!$E$2:$E$2459,$Z1099)),Parametros!$B$95:$B$106,0))</f>
        <v>E-commerce</v>
      </c>
      <c r="K1099" s="61" t="str">
        <f aca="false">INDEX(Parametros!$C$48:$C$67,MATCH(TRIM(INDEX(Datos_Origen!$F$2:$F$2459,$Z1099)),Parametros!$B$48:$B$67,0))</f>
        <v>Almacenamiento</v>
      </c>
      <c r="L1099" s="61" t="str">
        <f aca="false">$K1099&amp;" "&amp;$C1099</f>
        <v>Almacenamiento 2024</v>
      </c>
      <c r="M1099" s="61" t="str">
        <f aca="false">TRIM(INDEX(Datos_Origen!$G$2:$G$2459,$Z1099))</f>
        <v>SSD Externo 1TB</v>
      </c>
      <c r="N1099" s="61" t="str">
        <f aca="false">$M1099&amp;" "&amp;$C1099</f>
        <v>SSD Externo 1TB 2024</v>
      </c>
      <c r="O1099" s="63" t="n">
        <f aca="false">IF(ISTEXT($AC1099),VALUE($AC1099),$AC1099)</f>
        <v>10</v>
      </c>
      <c r="P1099" s="64" t="n">
        <f aca="false">INDEX(Datos_Origen!$I$2:$I$2459,$Z1099)</f>
        <v>127.4</v>
      </c>
      <c r="Q1099" s="64" t="n">
        <f aca="false">INDEX(Datos_Origen!$J$2:$J$2459,$Z1099)</f>
        <v>76.05</v>
      </c>
      <c r="R1099" s="65" t="n">
        <f aca="false">ROUND($O1099*$P1099,2)</f>
        <v>1274</v>
      </c>
      <c r="S1099" s="65" t="n">
        <f aca="false">ROUND($O1099*$Q1099,2)</f>
        <v>760.5</v>
      </c>
      <c r="T1099" s="65" t="n">
        <f aca="false">ROUND($R1099*SUMIFS(Parametros!$E$28:$E$43,Parametros!$B$28:$B$43,$J1099,Parametros!$C$28:$C$43,$C1099,Parametros!$D$28:$D$43,$D1099),2)</f>
        <v>61.15</v>
      </c>
      <c r="U1099" s="65" t="n">
        <f aca="false">$R1099-$S1099-$T1099</f>
        <v>452.35</v>
      </c>
      <c r="V1099" s="66" t="n">
        <f aca="false">IFERROR($U1099/$R1099,0)</f>
        <v>0.355062794348509</v>
      </c>
      <c r="W1099" s="67" t="str">
        <f aca="false">IF(AND($V1099&gt;=Parametros!$C$8,$R1099&gt;=Parametros!$C$12),"Alta rentabilidad",IF(OR($V1099&lt;Parametros!$C$11,$R1099&lt;Parametros!$C$13),"Revisar","Estandar"))</f>
        <v>Estandar</v>
      </c>
      <c r="X1099" s="67" t="str">
        <f aca="false">IF(AND($J1099="E-commerce",IFERROR($T1099/$R1099,0)&gt;Parametros!$C$14),"Alerta","OK")</f>
        <v>OK</v>
      </c>
      <c r="Y1099" s="61" t="str">
        <f aca="false">IF($R1099&gt;=Parametros!$C$12,"Alto",IF($R1099&lt;Parametros!$C$13,"Bajo","Medio"))</f>
        <v>Medio</v>
      </c>
      <c r="Z1099" s="61" t="n">
        <v>648</v>
      </c>
      <c r="AA1099" s="61" t="str">
        <f aca="false">IF(MATCH($A1099,Datos_Origen!$A$2:$A$2459,0)=$Z1099,"OK","REVISAR")</f>
        <v>OK</v>
      </c>
      <c r="AB1099" s="62" t="n">
        <f aca="false">INDEX(Datos_Origen!$B$2:$B$2459,$Z1099)</f>
        <v>45615</v>
      </c>
      <c r="AC1099" s="61" t="n">
        <f aca="false">INDEX(Datos_Origen!$H$2:$H$2459,$Z1099)</f>
        <v>10</v>
      </c>
      <c r="AD1099" s="61" t="str">
        <f aca="false">INDEX(Datos_Origen!$D$2:$D$2459,$Z1099)&amp;""</f>
        <v>Tucuman</v>
      </c>
    </row>
    <row r="1100" customFormat="false" ht="15" hidden="false" customHeight="false" outlineLevel="0" collapsed="false">
      <c r="A1100" s="61" t="n">
        <f aca="false">INDEX(Datos_Origen!$A$2:$A$2459,$Z1100)</f>
        <v>1099</v>
      </c>
      <c r="B1100" s="62" t="n">
        <f aca="false">IF(ISNUMBER($AB1100),$AB1100,IF(MID($AB1100,5,1)="-",DATE(VALUE(LEFT($AB1100,4)),VALUE(MID($AB1100,6,2)),VALUE(RIGHT($AB1100,2))),DATE(VALUE(RIGHT($AB1100,4)),VALUE(MID($AB1100,4,2)),VALUE(LEFT($AB1100,2)))))</f>
        <v>45622</v>
      </c>
      <c r="C1100" s="61" t="n">
        <f aca="false">YEAR($B1100)</f>
        <v>2024</v>
      </c>
      <c r="D1100" s="61" t="str">
        <f aca="false">"Q"&amp;ROUNDUP(MONTH($B1100)/3,0)</f>
        <v>Q4</v>
      </c>
      <c r="E1100" s="61" t="n">
        <f aca="false">MONTH($B1100)</f>
        <v>11</v>
      </c>
      <c r="F1100" s="61" t="str">
        <f aca="false">INDEX(Parametros!$I$5:$I$16,$E1100)</f>
        <v>Nov</v>
      </c>
      <c r="G1100" s="61" t="str">
        <f aca="false">TEXT($C1100,"0000")&amp;"-"&amp;TEXT($E1100,"00")</f>
        <v>2024-11</v>
      </c>
      <c r="H1100" s="61" t="str">
        <f aca="false">INDEX(Parametros!$C$71:$C$91,MATCH(TRIM(INDEX(Datos_Origen!$C$2:$C$2459,$Z1100)),Parametros!$B$71:$B$91,0))</f>
        <v>NOA</v>
      </c>
      <c r="I1100" s="61" t="str">
        <f aca="false">IF(TRIM($AD1100)="",INDEX(Parametros!$I$20:$I$24,MATCH($H1100,Parametros!$H$20:$H$24,0)),TRIM($AD1100))</f>
        <v>Tucuman</v>
      </c>
      <c r="J1100" s="61" t="str">
        <f aca="false">INDEX(Parametros!$C$95:$C$106,MATCH(TRIM(INDEX(Datos_Origen!$E$2:$E$2459,$Z1100)),Parametros!$B$95:$B$106,0))</f>
        <v>Tienda fisica</v>
      </c>
      <c r="K1100" s="61" t="str">
        <f aca="false">INDEX(Parametros!$C$48:$C$67,MATCH(TRIM(INDEX(Datos_Origen!$F$2:$F$2459,$Z1100)),Parametros!$B$48:$B$67,0))</f>
        <v>Almacenamiento</v>
      </c>
      <c r="L1100" s="61" t="str">
        <f aca="false">$K1100&amp;" "&amp;$C1100</f>
        <v>Almacenamiento 2024</v>
      </c>
      <c r="M1100" s="61" t="str">
        <f aca="false">TRIM(INDEX(Datos_Origen!$G$2:$G$2459,$Z1100))</f>
        <v>Pendrive 256GB</v>
      </c>
      <c r="N1100" s="61" t="str">
        <f aca="false">$M1100&amp;" "&amp;$C1100</f>
        <v>Pendrive 256GB 2024</v>
      </c>
      <c r="O1100" s="63" t="n">
        <f aca="false">IF(ISTEXT($AC1100),VALUE($AC1100),$AC1100)</f>
        <v>24</v>
      </c>
      <c r="P1100" s="64" t="n">
        <f aca="false">INDEX(Datos_Origen!$I$2:$I$2459,$Z1100)</f>
        <v>34.3</v>
      </c>
      <c r="Q1100" s="64" t="n">
        <f aca="false">INDEX(Datos_Origen!$J$2:$J$2459,$Z1100)</f>
        <v>17.85</v>
      </c>
      <c r="R1100" s="65" t="n">
        <f aca="false">ROUND($O1100*$P1100,2)</f>
        <v>823.2</v>
      </c>
      <c r="S1100" s="65" t="n">
        <f aca="false">ROUND($O1100*$Q1100,2)</f>
        <v>428.4</v>
      </c>
      <c r="T1100" s="65" t="n">
        <f aca="false">ROUND($R1100*SUMIFS(Parametros!$E$28:$E$43,Parametros!$B$28:$B$43,$J1100,Parametros!$C$28:$C$43,$C1100,Parametros!$D$28:$D$43,$D1100),2)</f>
        <v>10.7</v>
      </c>
      <c r="U1100" s="65" t="n">
        <f aca="false">$R1100-$S1100-$T1100</f>
        <v>384.1</v>
      </c>
      <c r="V1100" s="66" t="n">
        <f aca="false">IFERROR($U1100/$R1100,0)</f>
        <v>0.466593780369291</v>
      </c>
      <c r="W1100" s="67" t="str">
        <f aca="false">IF(AND($V1100&gt;=Parametros!$C$8,$R1100&gt;=Parametros!$C$12),"Alta rentabilidad",IF(OR($V1100&lt;Parametros!$C$11,$R1100&lt;Parametros!$C$13),"Revisar","Estandar"))</f>
        <v>Estandar</v>
      </c>
      <c r="X1100" s="67" t="str">
        <f aca="false">IF(AND($J1100="E-commerce",IFERROR($T1100/$R1100,0)&gt;Parametros!$C$14),"Alerta","OK")</f>
        <v>OK</v>
      </c>
      <c r="Y1100" s="61" t="str">
        <f aca="false">IF($R1100&gt;=Parametros!$C$12,"Alto",IF($R1100&lt;Parametros!$C$13,"Bajo","Medio"))</f>
        <v>Medio</v>
      </c>
      <c r="Z1100" s="61" t="n">
        <v>2366</v>
      </c>
      <c r="AA1100" s="61" t="str">
        <f aca="false">IF(MATCH($A1100,Datos_Origen!$A$2:$A$2459,0)=$Z1100,"OK","REVISAR")</f>
        <v>OK</v>
      </c>
      <c r="AB1100" s="62" t="n">
        <f aca="false">INDEX(Datos_Origen!$B$2:$B$2459,$Z1100)</f>
        <v>45622</v>
      </c>
      <c r="AC1100" s="61" t="n">
        <f aca="false">INDEX(Datos_Origen!$H$2:$H$2459,$Z1100)</f>
        <v>24</v>
      </c>
      <c r="AD1100" s="61" t="str">
        <f aca="false">INDEX(Datos_Origen!$D$2:$D$2459,$Z1100)&amp;""</f>
        <v>Tucuman</v>
      </c>
    </row>
    <row r="1101" customFormat="false" ht="15" hidden="false" customHeight="false" outlineLevel="0" collapsed="false">
      <c r="A1101" s="61" t="n">
        <f aca="false">INDEX(Datos_Origen!$A$2:$A$2459,$Z1101)</f>
        <v>1100</v>
      </c>
      <c r="B1101" s="62" t="n">
        <f aca="false">IF(ISNUMBER($AB1101),$AB1101,IF(MID($AB1101,5,1)="-",DATE(VALUE(LEFT($AB1101,4)),VALUE(MID($AB1101,6,2)),VALUE(RIGHT($AB1101,2))),DATE(VALUE(RIGHT($AB1101,4)),VALUE(MID($AB1101,4,2)),VALUE(LEFT($AB1101,2)))))</f>
        <v>45602</v>
      </c>
      <c r="C1101" s="61" t="n">
        <f aca="false">YEAR($B1101)</f>
        <v>2024</v>
      </c>
      <c r="D1101" s="61" t="str">
        <f aca="false">"Q"&amp;ROUNDUP(MONTH($B1101)/3,0)</f>
        <v>Q4</v>
      </c>
      <c r="E1101" s="61" t="n">
        <f aca="false">MONTH($B1101)</f>
        <v>11</v>
      </c>
      <c r="F1101" s="61" t="str">
        <f aca="false">INDEX(Parametros!$I$5:$I$16,$E1101)</f>
        <v>Nov</v>
      </c>
      <c r="G1101" s="61" t="str">
        <f aca="false">TEXT($C1101,"0000")&amp;"-"&amp;TEXT($E1101,"00")</f>
        <v>2024-11</v>
      </c>
      <c r="H1101" s="61" t="str">
        <f aca="false">INDEX(Parametros!$C$71:$C$91,MATCH(TRIM(INDEX(Datos_Origen!$C$2:$C$2459,$Z1101)),Parametros!$B$71:$B$91,0))</f>
        <v>NOA</v>
      </c>
      <c r="I1101" s="61" t="str">
        <f aca="false">IF(TRIM($AD1101)="",INDEX(Parametros!$I$20:$I$24,MATCH($H1101,Parametros!$H$20:$H$24,0)),TRIM($AD1101))</f>
        <v>Tucuman</v>
      </c>
      <c r="J1101" s="61" t="str">
        <f aca="false">INDEX(Parametros!$C$95:$C$106,MATCH(TRIM(INDEX(Datos_Origen!$E$2:$E$2459,$Z1101)),Parametros!$B$95:$B$106,0))</f>
        <v>E-commerce</v>
      </c>
      <c r="K1101" s="61" t="str">
        <f aca="false">INDEX(Parametros!$C$48:$C$67,MATCH(TRIM(INDEX(Datos_Origen!$F$2:$F$2459,$Z1101)),Parametros!$B$48:$B$67,0))</f>
        <v>Almacenamiento</v>
      </c>
      <c r="L1101" s="61" t="str">
        <f aca="false">$K1101&amp;" "&amp;$C1101</f>
        <v>Almacenamiento 2024</v>
      </c>
      <c r="M1101" s="61" t="str">
        <f aca="false">TRIM(INDEX(Datos_Origen!$G$2:$G$2459,$Z1101))</f>
        <v>Pendrive 256GB</v>
      </c>
      <c r="N1101" s="61" t="str">
        <f aca="false">$M1101&amp;" "&amp;$C1101</f>
        <v>Pendrive 256GB 2024</v>
      </c>
      <c r="O1101" s="63" t="n">
        <f aca="false">IF(ISTEXT($AC1101),VALUE($AC1101),$AC1101)</f>
        <v>8</v>
      </c>
      <c r="P1101" s="64" t="n">
        <f aca="false">INDEX(Datos_Origen!$I$2:$I$2459,$Z1101)</f>
        <v>34.3</v>
      </c>
      <c r="Q1101" s="64" t="n">
        <f aca="false">INDEX(Datos_Origen!$J$2:$J$2459,$Z1101)</f>
        <v>17.85</v>
      </c>
      <c r="R1101" s="65" t="n">
        <f aca="false">ROUND($O1101*$P1101,2)</f>
        <v>274.4</v>
      </c>
      <c r="S1101" s="65" t="n">
        <f aca="false">ROUND($O1101*$Q1101,2)</f>
        <v>142.8</v>
      </c>
      <c r="T1101" s="65" t="n">
        <f aca="false">ROUND($R1101*SUMIFS(Parametros!$E$28:$E$43,Parametros!$B$28:$B$43,$J1101,Parametros!$C$28:$C$43,$C1101,Parametros!$D$28:$D$43,$D1101),2)</f>
        <v>13.17</v>
      </c>
      <c r="U1101" s="65" t="n">
        <f aca="false">$R1101-$S1101-$T1101</f>
        <v>118.43</v>
      </c>
      <c r="V1101" s="66" t="n">
        <f aca="false">IFERROR($U1101/$R1101,0)</f>
        <v>0.431596209912536</v>
      </c>
      <c r="W1101" s="67" t="str">
        <f aca="false">IF(AND($V1101&gt;=Parametros!$C$8,$R1101&gt;=Parametros!$C$12),"Alta rentabilidad",IF(OR($V1101&lt;Parametros!$C$11,$R1101&lt;Parametros!$C$13),"Revisar","Estandar"))</f>
        <v>Revisar</v>
      </c>
      <c r="X1101" s="67" t="str">
        <f aca="false">IF(AND($J1101="E-commerce",IFERROR($T1101/$R1101,0)&gt;Parametros!$C$14),"Alerta","OK")</f>
        <v>OK</v>
      </c>
      <c r="Y1101" s="61" t="str">
        <f aca="false">IF($R1101&gt;=Parametros!$C$12,"Alto",IF($R1101&lt;Parametros!$C$13,"Bajo","Medio"))</f>
        <v>Bajo</v>
      </c>
      <c r="Z1101" s="61" t="n">
        <v>1969</v>
      </c>
      <c r="AA1101" s="61" t="str">
        <f aca="false">IF(MATCH($A1101,Datos_Origen!$A$2:$A$2459,0)=$Z1101,"OK","REVISAR")</f>
        <v>OK</v>
      </c>
      <c r="AB1101" s="62" t="n">
        <f aca="false">INDEX(Datos_Origen!$B$2:$B$2459,$Z1101)</f>
        <v>45602</v>
      </c>
      <c r="AC1101" s="61" t="str">
        <f aca="false">INDEX(Datos_Origen!$H$2:$H$2459,$Z1101)</f>
        <v>8</v>
      </c>
      <c r="AD1101" s="61" t="str">
        <f aca="false">INDEX(Datos_Origen!$D$2:$D$2459,$Z1101)&amp;""</f>
        <v>Tucuman</v>
      </c>
    </row>
    <row r="1102" customFormat="false" ht="15" hidden="false" customHeight="false" outlineLevel="0" collapsed="false">
      <c r="A1102" s="61" t="n">
        <f aca="false">INDEX(Datos_Origen!$A$2:$A$2459,$Z1102)</f>
        <v>1101</v>
      </c>
      <c r="B1102" s="62" t="n">
        <f aca="false">IF(ISNUMBER($AB1102),$AB1102,IF(MID($AB1102,5,1)="-",DATE(VALUE(LEFT($AB1102,4)),VALUE(MID($AB1102,6,2)),VALUE(RIGHT($AB1102,2))),DATE(VALUE(RIGHT($AB1102,4)),VALUE(MID($AB1102,4,2)),VALUE(LEFT($AB1102,2)))))</f>
        <v>45639</v>
      </c>
      <c r="C1102" s="61" t="n">
        <f aca="false">YEAR($B1102)</f>
        <v>2024</v>
      </c>
      <c r="D1102" s="61" t="str">
        <f aca="false">"Q"&amp;ROUNDUP(MONTH($B1102)/3,0)</f>
        <v>Q4</v>
      </c>
      <c r="E1102" s="61" t="n">
        <f aca="false">MONTH($B1102)</f>
        <v>12</v>
      </c>
      <c r="F1102" s="61" t="str">
        <f aca="false">INDEX(Parametros!$I$5:$I$16,$E1102)</f>
        <v>Dic</v>
      </c>
      <c r="G1102" s="61" t="str">
        <f aca="false">TEXT($C1102,"0000")&amp;"-"&amp;TEXT($E1102,"00")</f>
        <v>2024-12</v>
      </c>
      <c r="H1102" s="61" t="str">
        <f aca="false">INDEX(Parametros!$C$71:$C$91,MATCH(TRIM(INDEX(Datos_Origen!$C$2:$C$2459,$Z1102)),Parametros!$B$71:$B$91,0))</f>
        <v>AMBA</v>
      </c>
      <c r="I1102" s="61" t="str">
        <f aca="false">IF(TRIM($AD1102)="",INDEX(Parametros!$I$20:$I$24,MATCH($H1102,Parametros!$H$20:$H$24,0)),TRIM($AD1102))</f>
        <v>Buenos Aires</v>
      </c>
      <c r="J1102" s="61" t="str">
        <f aca="false">INDEX(Parametros!$C$95:$C$106,MATCH(TRIM(INDEX(Datos_Origen!$E$2:$E$2459,$Z1102)),Parametros!$B$95:$B$106,0))</f>
        <v>Tienda fisica</v>
      </c>
      <c r="K1102" s="61" t="str">
        <f aca="false">INDEX(Parametros!$C$48:$C$67,MATCH(TRIM(INDEX(Datos_Origen!$F$2:$F$2459,$Z1102)),Parametros!$B$48:$B$67,0))</f>
        <v>Computacion</v>
      </c>
      <c r="L1102" s="61" t="str">
        <f aca="false">$K1102&amp;" "&amp;$C1102</f>
        <v>Computacion 2024</v>
      </c>
      <c r="M1102" s="61" t="str">
        <f aca="false">TRIM(INDEX(Datos_Origen!$G$2:$G$2459,$Z1102))</f>
        <v>Laptop Pro 15</v>
      </c>
      <c r="N1102" s="61" t="str">
        <f aca="false">$M1102&amp;" "&amp;$C1102</f>
        <v>Laptop Pro 15 2024</v>
      </c>
      <c r="O1102" s="63" t="n">
        <f aca="false">IF(ISTEXT($AC1102),VALUE($AC1102),$AC1102)</f>
        <v>36</v>
      </c>
      <c r="P1102" s="64" t="n">
        <f aca="false">INDEX(Datos_Origen!$I$2:$I$2459,$Z1102)</f>
        <v>1176</v>
      </c>
      <c r="Q1102" s="64" t="n">
        <f aca="false">INDEX(Datos_Origen!$J$2:$J$2459,$Z1102)</f>
        <v>744</v>
      </c>
      <c r="R1102" s="65" t="n">
        <f aca="false">ROUND($O1102*$P1102,2)</f>
        <v>42336</v>
      </c>
      <c r="S1102" s="65" t="n">
        <f aca="false">ROUND($O1102*$Q1102,2)</f>
        <v>26784</v>
      </c>
      <c r="T1102" s="65" t="n">
        <f aca="false">ROUND($R1102*SUMIFS(Parametros!$E$28:$E$43,Parametros!$B$28:$B$43,$J1102,Parametros!$C$28:$C$43,$C1102,Parametros!$D$28:$D$43,$D1102),2)</f>
        <v>550.37</v>
      </c>
      <c r="U1102" s="65" t="n">
        <f aca="false">$R1102-$S1102-$T1102</f>
        <v>15001.63</v>
      </c>
      <c r="V1102" s="66" t="n">
        <f aca="false">IFERROR($U1102/$R1102,0)</f>
        <v>0.354346891534392</v>
      </c>
      <c r="W1102" s="67" t="str">
        <f aca="false">IF(AND($V1102&gt;=Parametros!$C$8,$R1102&gt;=Parametros!$C$12),"Alta rentabilidad",IF(OR($V1102&lt;Parametros!$C$11,$R1102&lt;Parametros!$C$13),"Revisar","Estandar"))</f>
        <v>Alta rentabilidad</v>
      </c>
      <c r="X1102" s="67" t="str">
        <f aca="false">IF(AND($J1102="E-commerce",IFERROR($T1102/$R1102,0)&gt;Parametros!$C$14),"Alerta","OK")</f>
        <v>OK</v>
      </c>
      <c r="Y1102" s="61" t="str">
        <f aca="false">IF($R1102&gt;=Parametros!$C$12,"Alto",IF($R1102&lt;Parametros!$C$13,"Bajo","Medio"))</f>
        <v>Alto</v>
      </c>
      <c r="Z1102" s="61" t="n">
        <v>1045</v>
      </c>
      <c r="AA1102" s="61" t="str">
        <f aca="false">IF(MATCH($A1102,Datos_Origen!$A$2:$A$2459,0)=$Z1102,"OK","REVISAR")</f>
        <v>OK</v>
      </c>
      <c r="AB1102" s="62" t="n">
        <f aca="false">INDEX(Datos_Origen!$B$2:$B$2459,$Z1102)</f>
        <v>45639</v>
      </c>
      <c r="AC1102" s="61" t="n">
        <f aca="false">INDEX(Datos_Origen!$H$2:$H$2459,$Z1102)</f>
        <v>36</v>
      </c>
      <c r="AD1102" s="61" t="str">
        <f aca="false">INDEX(Datos_Origen!$D$2:$D$2459,$Z1102)&amp;""</f>
        <v>Buenos Aires</v>
      </c>
    </row>
    <row r="1103" customFormat="false" ht="15" hidden="false" customHeight="false" outlineLevel="0" collapsed="false">
      <c r="A1103" s="61" t="n">
        <f aca="false">INDEX(Datos_Origen!$A$2:$A$2459,$Z1103)</f>
        <v>1102</v>
      </c>
      <c r="B1103" s="62" t="n">
        <f aca="false">IF(ISNUMBER($AB1103),$AB1103,IF(MID($AB1103,5,1)="-",DATE(VALUE(LEFT($AB1103,4)),VALUE(MID($AB1103,6,2)),VALUE(RIGHT($AB1103,2))),DATE(VALUE(RIGHT($AB1103,4)),VALUE(MID($AB1103,4,2)),VALUE(LEFT($AB1103,2)))))</f>
        <v>45646</v>
      </c>
      <c r="C1103" s="61" t="n">
        <f aca="false">YEAR($B1103)</f>
        <v>2024</v>
      </c>
      <c r="D1103" s="61" t="str">
        <f aca="false">"Q"&amp;ROUNDUP(MONTH($B1103)/3,0)</f>
        <v>Q4</v>
      </c>
      <c r="E1103" s="61" t="n">
        <f aca="false">MONTH($B1103)</f>
        <v>12</v>
      </c>
      <c r="F1103" s="61" t="str">
        <f aca="false">INDEX(Parametros!$I$5:$I$16,$E1103)</f>
        <v>Dic</v>
      </c>
      <c r="G1103" s="61" t="str">
        <f aca="false">TEXT($C1103,"0000")&amp;"-"&amp;TEXT($E1103,"00")</f>
        <v>2024-12</v>
      </c>
      <c r="H1103" s="61" t="str">
        <f aca="false">INDEX(Parametros!$C$71:$C$91,MATCH(TRIM(INDEX(Datos_Origen!$C$2:$C$2459,$Z1103)),Parametros!$B$71:$B$91,0))</f>
        <v>AMBA</v>
      </c>
      <c r="I1103" s="61" t="str">
        <f aca="false">IF(TRIM($AD1103)="",INDEX(Parametros!$I$20:$I$24,MATCH($H1103,Parametros!$H$20:$H$24,0)),TRIM($AD1103))</f>
        <v>Buenos Aires</v>
      </c>
      <c r="J1103" s="61" t="str">
        <f aca="false">INDEX(Parametros!$C$95:$C$106,MATCH(TRIM(INDEX(Datos_Origen!$E$2:$E$2459,$Z1103)),Parametros!$B$95:$B$106,0))</f>
        <v>E-commerce</v>
      </c>
      <c r="K1103" s="61" t="str">
        <f aca="false">INDEX(Parametros!$C$48:$C$67,MATCH(TRIM(INDEX(Datos_Origen!$F$2:$F$2459,$Z1103)),Parametros!$B$48:$B$67,0))</f>
        <v>Computacion</v>
      </c>
      <c r="L1103" s="61" t="str">
        <f aca="false">$K1103&amp;" "&amp;$C1103</f>
        <v>Computacion 2024</v>
      </c>
      <c r="M1103" s="61" t="str">
        <f aca="false">TRIM(INDEX(Datos_Origen!$G$2:$G$2459,$Z1103))</f>
        <v>Laptop Pro 15</v>
      </c>
      <c r="N1103" s="61" t="str">
        <f aca="false">$M1103&amp;" "&amp;$C1103</f>
        <v>Laptop Pro 15 2024</v>
      </c>
      <c r="O1103" s="63" t="n">
        <f aca="false">IF(ISTEXT($AC1103),VALUE($AC1103),$AC1103)</f>
        <v>13</v>
      </c>
      <c r="P1103" s="64" t="n">
        <f aca="false">INDEX(Datos_Origen!$I$2:$I$2459,$Z1103)</f>
        <v>1176</v>
      </c>
      <c r="Q1103" s="64" t="n">
        <f aca="false">INDEX(Datos_Origen!$J$2:$J$2459,$Z1103)</f>
        <v>744</v>
      </c>
      <c r="R1103" s="65" t="n">
        <f aca="false">ROUND($O1103*$P1103,2)</f>
        <v>15288</v>
      </c>
      <c r="S1103" s="65" t="n">
        <f aca="false">ROUND($O1103*$Q1103,2)</f>
        <v>9672</v>
      </c>
      <c r="T1103" s="65" t="n">
        <f aca="false">ROUND($R1103*SUMIFS(Parametros!$E$28:$E$43,Parametros!$B$28:$B$43,$J1103,Parametros!$C$28:$C$43,$C1103,Parametros!$D$28:$D$43,$D1103),2)</f>
        <v>733.82</v>
      </c>
      <c r="U1103" s="65" t="n">
        <f aca="false">$R1103-$S1103-$T1103</f>
        <v>4882.18</v>
      </c>
      <c r="V1103" s="66" t="n">
        <f aca="false">IFERROR($U1103/$R1103,0)</f>
        <v>0.319347200418629</v>
      </c>
      <c r="W1103" s="67" t="str">
        <f aca="false">IF(AND($V1103&gt;=Parametros!$C$8,$R1103&gt;=Parametros!$C$12),"Alta rentabilidad",IF(OR($V1103&lt;Parametros!$C$11,$R1103&lt;Parametros!$C$13),"Revisar","Estandar"))</f>
        <v>Estandar</v>
      </c>
      <c r="X1103" s="67" t="str">
        <f aca="false">IF(AND($J1103="E-commerce",IFERROR($T1103/$R1103,0)&gt;Parametros!$C$14),"Alerta","OK")</f>
        <v>OK</v>
      </c>
      <c r="Y1103" s="61" t="str">
        <f aca="false">IF($R1103&gt;=Parametros!$C$12,"Alto",IF($R1103&lt;Parametros!$C$13,"Bajo","Medio"))</f>
        <v>Alto</v>
      </c>
      <c r="Z1103" s="61" t="n">
        <v>1691</v>
      </c>
      <c r="AA1103" s="61" t="str">
        <f aca="false">IF(MATCH($A1103,Datos_Origen!$A$2:$A$2459,0)=$Z1103,"OK","REVISAR")</f>
        <v>OK</v>
      </c>
      <c r="AB1103" s="62" t="n">
        <f aca="false">INDEX(Datos_Origen!$B$2:$B$2459,$Z1103)</f>
        <v>45646</v>
      </c>
      <c r="AC1103" s="61" t="n">
        <f aca="false">INDEX(Datos_Origen!$H$2:$H$2459,$Z1103)</f>
        <v>13</v>
      </c>
      <c r="AD1103" s="61" t="str">
        <f aca="false">INDEX(Datos_Origen!$D$2:$D$2459,$Z1103)&amp;""</f>
        <v>Buenos Aires</v>
      </c>
    </row>
    <row r="1104" customFormat="false" ht="15" hidden="false" customHeight="false" outlineLevel="0" collapsed="false">
      <c r="A1104" s="61" t="n">
        <f aca="false">INDEX(Datos_Origen!$A$2:$A$2459,$Z1104)</f>
        <v>1103</v>
      </c>
      <c r="B1104" s="62" t="n">
        <f aca="false">IF(ISNUMBER($AB1104),$AB1104,IF(MID($AB1104,5,1)="-",DATE(VALUE(LEFT($AB1104,4)),VALUE(MID($AB1104,6,2)),VALUE(RIGHT($AB1104,2))),DATE(VALUE(RIGHT($AB1104,4)),VALUE(MID($AB1104,4,2)),VALUE(LEFT($AB1104,2)))))</f>
        <v>45653</v>
      </c>
      <c r="C1104" s="61" t="n">
        <f aca="false">YEAR($B1104)</f>
        <v>2024</v>
      </c>
      <c r="D1104" s="61" t="str">
        <f aca="false">"Q"&amp;ROUNDUP(MONTH($B1104)/3,0)</f>
        <v>Q4</v>
      </c>
      <c r="E1104" s="61" t="n">
        <f aca="false">MONTH($B1104)</f>
        <v>12</v>
      </c>
      <c r="F1104" s="61" t="str">
        <f aca="false">INDEX(Parametros!$I$5:$I$16,$E1104)</f>
        <v>Dic</v>
      </c>
      <c r="G1104" s="61" t="str">
        <f aca="false">TEXT($C1104,"0000")&amp;"-"&amp;TEXT($E1104,"00")</f>
        <v>2024-12</v>
      </c>
      <c r="H1104" s="61" t="str">
        <f aca="false">INDEX(Parametros!$C$71:$C$91,MATCH(TRIM(INDEX(Datos_Origen!$C$2:$C$2459,$Z1104)),Parametros!$B$71:$B$91,0))</f>
        <v>AMBA</v>
      </c>
      <c r="I1104" s="61" t="str">
        <f aca="false">IF(TRIM($AD1104)="",INDEX(Parametros!$I$20:$I$24,MATCH($H1104,Parametros!$H$20:$H$24,0)),TRIM($AD1104))</f>
        <v>Buenos Aires</v>
      </c>
      <c r="J1104" s="61" t="str">
        <f aca="false">INDEX(Parametros!$C$95:$C$106,MATCH(TRIM(INDEX(Datos_Origen!$E$2:$E$2459,$Z1104)),Parametros!$B$95:$B$106,0))</f>
        <v>Tienda fisica</v>
      </c>
      <c r="K1104" s="61" t="str">
        <f aca="false">INDEX(Parametros!$C$48:$C$67,MATCH(TRIM(INDEX(Datos_Origen!$F$2:$F$2459,$Z1104)),Parametros!$B$48:$B$67,0))</f>
        <v>Computacion</v>
      </c>
      <c r="L1104" s="61" t="str">
        <f aca="false">$K1104&amp;" "&amp;$C1104</f>
        <v>Computacion 2024</v>
      </c>
      <c r="M1104" s="61" t="str">
        <f aca="false">TRIM(INDEX(Datos_Origen!$G$2:$G$2459,$Z1104))</f>
        <v>Monitor 4K 27</v>
      </c>
      <c r="N1104" s="61" t="str">
        <f aca="false">$M1104&amp;" "&amp;$C1104</f>
        <v>Monitor 4K 27 2024</v>
      </c>
      <c r="O1104" s="63" t="n">
        <f aca="false">IF(ISTEXT($AC1104),VALUE($AC1104),$AC1104)</f>
        <v>33</v>
      </c>
      <c r="P1104" s="64" t="n">
        <f aca="false">INDEX(Datos_Origen!$I$2:$I$2459,$Z1104)</f>
        <v>441</v>
      </c>
      <c r="Q1104" s="64" t="n">
        <f aca="false">INDEX(Datos_Origen!$J$2:$J$2459,$Z1104)</f>
        <v>272.25</v>
      </c>
      <c r="R1104" s="65" t="n">
        <f aca="false">ROUND($O1104*$P1104,2)</f>
        <v>14553</v>
      </c>
      <c r="S1104" s="65" t="n">
        <f aca="false">ROUND($O1104*$Q1104,2)</f>
        <v>8984.25</v>
      </c>
      <c r="T1104" s="65" t="n">
        <f aca="false">ROUND($R1104*SUMIFS(Parametros!$E$28:$E$43,Parametros!$B$28:$B$43,$J1104,Parametros!$C$28:$C$43,$C1104,Parametros!$D$28:$D$43,$D1104),2)</f>
        <v>189.19</v>
      </c>
      <c r="U1104" s="65" t="n">
        <f aca="false">$R1104-$S1104-$T1104</f>
        <v>5379.56</v>
      </c>
      <c r="V1104" s="66" t="n">
        <f aca="false">IFERROR($U1104/$R1104,0)</f>
        <v>0.369652992510135</v>
      </c>
      <c r="W1104" s="67" t="str">
        <f aca="false">IF(AND($V1104&gt;=Parametros!$C$8,$R1104&gt;=Parametros!$C$12),"Alta rentabilidad",IF(OR($V1104&lt;Parametros!$C$11,$R1104&lt;Parametros!$C$13),"Revisar","Estandar"))</f>
        <v>Alta rentabilidad</v>
      </c>
      <c r="X1104" s="67" t="str">
        <f aca="false">IF(AND($J1104="E-commerce",IFERROR($T1104/$R1104,0)&gt;Parametros!$C$14),"Alerta","OK")</f>
        <v>OK</v>
      </c>
      <c r="Y1104" s="61" t="str">
        <f aca="false">IF($R1104&gt;=Parametros!$C$12,"Alto",IF($R1104&lt;Parametros!$C$13,"Bajo","Medio"))</f>
        <v>Alto</v>
      </c>
      <c r="Z1104" s="61" t="n">
        <v>1469</v>
      </c>
      <c r="AA1104" s="61" t="str">
        <f aca="false">IF(MATCH($A1104,Datos_Origen!$A$2:$A$2459,0)=$Z1104,"OK","REVISAR")</f>
        <v>OK</v>
      </c>
      <c r="AB1104" s="61" t="str">
        <f aca="false">INDEX(Datos_Origen!$B$2:$B$2459,$Z1104)</f>
        <v>27/12/2024</v>
      </c>
      <c r="AC1104" s="61" t="n">
        <f aca="false">INDEX(Datos_Origen!$H$2:$H$2459,$Z1104)</f>
        <v>33</v>
      </c>
      <c r="AD1104" s="61" t="str">
        <f aca="false">INDEX(Datos_Origen!$D$2:$D$2459,$Z1104)&amp;""</f>
        <v>Buenos Aires</v>
      </c>
    </row>
    <row r="1105" customFormat="false" ht="15" hidden="false" customHeight="false" outlineLevel="0" collapsed="false">
      <c r="A1105" s="61" t="n">
        <f aca="false">INDEX(Datos_Origen!$A$2:$A$2459,$Z1105)</f>
        <v>1104</v>
      </c>
      <c r="B1105" s="62" t="n">
        <f aca="false">IF(ISNUMBER($AB1105),$AB1105,IF(MID($AB1105,5,1)="-",DATE(VALUE(LEFT($AB1105,4)),VALUE(MID($AB1105,6,2)),VALUE(RIGHT($AB1105,2))),DATE(VALUE(RIGHT($AB1105,4)),VALUE(MID($AB1105,4,2)),VALUE(LEFT($AB1105,2)))))</f>
        <v>45633</v>
      </c>
      <c r="C1105" s="61" t="n">
        <f aca="false">YEAR($B1105)</f>
        <v>2024</v>
      </c>
      <c r="D1105" s="61" t="str">
        <f aca="false">"Q"&amp;ROUNDUP(MONTH($B1105)/3,0)</f>
        <v>Q4</v>
      </c>
      <c r="E1105" s="61" t="n">
        <f aca="false">MONTH($B1105)</f>
        <v>12</v>
      </c>
      <c r="F1105" s="61" t="str">
        <f aca="false">INDEX(Parametros!$I$5:$I$16,$E1105)</f>
        <v>Dic</v>
      </c>
      <c r="G1105" s="61" t="str">
        <f aca="false">TEXT($C1105,"0000")&amp;"-"&amp;TEXT($E1105,"00")</f>
        <v>2024-12</v>
      </c>
      <c r="H1105" s="61" t="str">
        <f aca="false">INDEX(Parametros!$C$71:$C$91,MATCH(TRIM(INDEX(Datos_Origen!$C$2:$C$2459,$Z1105)),Parametros!$B$71:$B$91,0))</f>
        <v>AMBA</v>
      </c>
      <c r="I1105" s="61" t="str">
        <f aca="false">IF(TRIM($AD1105)="",INDEX(Parametros!$I$20:$I$24,MATCH($H1105,Parametros!$H$20:$H$24,0)),TRIM($AD1105))</f>
        <v>Buenos Aires</v>
      </c>
      <c r="J1105" s="61" t="str">
        <f aca="false">INDEX(Parametros!$C$95:$C$106,MATCH(TRIM(INDEX(Datos_Origen!$E$2:$E$2459,$Z1105)),Parametros!$B$95:$B$106,0))</f>
        <v>E-commerce</v>
      </c>
      <c r="K1105" s="61" t="str">
        <f aca="false">INDEX(Parametros!$C$48:$C$67,MATCH(TRIM(INDEX(Datos_Origen!$F$2:$F$2459,$Z1105)),Parametros!$B$48:$B$67,0))</f>
        <v>Computacion</v>
      </c>
      <c r="L1105" s="61" t="str">
        <f aca="false">$K1105&amp;" "&amp;$C1105</f>
        <v>Computacion 2024</v>
      </c>
      <c r="M1105" s="61" t="str">
        <f aca="false">TRIM(INDEX(Datos_Origen!$G$2:$G$2459,$Z1105))</f>
        <v>Monitor 4K 27</v>
      </c>
      <c r="N1105" s="61" t="str">
        <f aca="false">$M1105&amp;" "&amp;$C1105</f>
        <v>Monitor 4K 27 2024</v>
      </c>
      <c r="O1105" s="63" t="n">
        <f aca="false">IF(ISTEXT($AC1105),VALUE($AC1105),$AC1105)</f>
        <v>12</v>
      </c>
      <c r="P1105" s="64" t="n">
        <f aca="false">INDEX(Datos_Origen!$I$2:$I$2459,$Z1105)</f>
        <v>441</v>
      </c>
      <c r="Q1105" s="64" t="n">
        <f aca="false">INDEX(Datos_Origen!$J$2:$J$2459,$Z1105)</f>
        <v>272.25</v>
      </c>
      <c r="R1105" s="65" t="n">
        <f aca="false">ROUND($O1105*$P1105,2)</f>
        <v>5292</v>
      </c>
      <c r="S1105" s="65" t="n">
        <f aca="false">ROUND($O1105*$Q1105,2)</f>
        <v>3267</v>
      </c>
      <c r="T1105" s="65" t="n">
        <f aca="false">ROUND($R1105*SUMIFS(Parametros!$E$28:$E$43,Parametros!$B$28:$B$43,$J1105,Parametros!$C$28:$C$43,$C1105,Parametros!$D$28:$D$43,$D1105),2)</f>
        <v>254.02</v>
      </c>
      <c r="U1105" s="65" t="n">
        <f aca="false">$R1105-$S1105-$T1105</f>
        <v>1770.98</v>
      </c>
      <c r="V1105" s="66" t="n">
        <f aca="false">IFERROR($U1105/$R1105,0)</f>
        <v>0.334652305366591</v>
      </c>
      <c r="W1105" s="67" t="str">
        <f aca="false">IF(AND($V1105&gt;=Parametros!$C$8,$R1105&gt;=Parametros!$C$12),"Alta rentabilidad",IF(OR($V1105&lt;Parametros!$C$11,$R1105&lt;Parametros!$C$13),"Revisar","Estandar"))</f>
        <v>Estandar</v>
      </c>
      <c r="X1105" s="67" t="str">
        <f aca="false">IF(AND($J1105="E-commerce",IFERROR($T1105/$R1105,0)&gt;Parametros!$C$14),"Alerta","OK")</f>
        <v>OK</v>
      </c>
      <c r="Y1105" s="61" t="str">
        <f aca="false">IF($R1105&gt;=Parametros!$C$12,"Alto",IF($R1105&lt;Parametros!$C$13,"Bajo","Medio"))</f>
        <v>Alto</v>
      </c>
      <c r="Z1105" s="61" t="n">
        <v>1669</v>
      </c>
      <c r="AA1105" s="61" t="str">
        <f aca="false">IF(MATCH($A1105,Datos_Origen!$A$2:$A$2459,0)=$Z1105,"OK","REVISAR")</f>
        <v>OK</v>
      </c>
      <c r="AB1105" s="61" t="str">
        <f aca="false">INDEX(Datos_Origen!$B$2:$B$2459,$Z1105)</f>
        <v>07/12/2024</v>
      </c>
      <c r="AC1105" s="61" t="n">
        <f aca="false">INDEX(Datos_Origen!$H$2:$H$2459,$Z1105)</f>
        <v>12</v>
      </c>
      <c r="AD1105" s="61" t="str">
        <f aca="false">INDEX(Datos_Origen!$D$2:$D$2459,$Z1105)&amp;""</f>
        <v>Buenos Aires</v>
      </c>
    </row>
    <row r="1106" customFormat="false" ht="15" hidden="false" customHeight="false" outlineLevel="0" collapsed="false">
      <c r="A1106" s="61" t="n">
        <f aca="false">INDEX(Datos_Origen!$A$2:$A$2459,$Z1106)</f>
        <v>1105</v>
      </c>
      <c r="B1106" s="62" t="n">
        <f aca="false">IF(ISNUMBER($AB1106),$AB1106,IF(MID($AB1106,5,1)="-",DATE(VALUE(LEFT($AB1106,4)),VALUE(MID($AB1106,6,2)),VALUE(RIGHT($AB1106,2))),DATE(VALUE(RIGHT($AB1106,4)),VALUE(MID($AB1106,4,2)),VALUE(LEFT($AB1106,2)))))</f>
        <v>45640</v>
      </c>
      <c r="C1106" s="61" t="n">
        <f aca="false">YEAR($B1106)</f>
        <v>2024</v>
      </c>
      <c r="D1106" s="61" t="str">
        <f aca="false">"Q"&amp;ROUNDUP(MONTH($B1106)/3,0)</f>
        <v>Q4</v>
      </c>
      <c r="E1106" s="61" t="n">
        <f aca="false">MONTH($B1106)</f>
        <v>12</v>
      </c>
      <c r="F1106" s="61" t="str">
        <f aca="false">INDEX(Parametros!$I$5:$I$16,$E1106)</f>
        <v>Dic</v>
      </c>
      <c r="G1106" s="61" t="str">
        <f aca="false">TEXT($C1106,"0000")&amp;"-"&amp;TEXT($E1106,"00")</f>
        <v>2024-12</v>
      </c>
      <c r="H1106" s="61" t="str">
        <f aca="false">INDEX(Parametros!$C$71:$C$91,MATCH(TRIM(INDEX(Datos_Origen!$C$2:$C$2459,$Z1106)),Parametros!$B$71:$B$91,0))</f>
        <v>AMBA</v>
      </c>
      <c r="I1106" s="61" t="str">
        <f aca="false">IF(TRIM($AD1106)="",INDEX(Parametros!$I$20:$I$24,MATCH($H1106,Parametros!$H$20:$H$24,0)),TRIM($AD1106))</f>
        <v>Buenos Aires</v>
      </c>
      <c r="J1106" s="61" t="str">
        <f aca="false">INDEX(Parametros!$C$95:$C$106,MATCH(TRIM(INDEX(Datos_Origen!$E$2:$E$2459,$Z1106)),Parametros!$B$95:$B$106,0))</f>
        <v>Tienda fisica</v>
      </c>
      <c r="K1106" s="61" t="str">
        <f aca="false">INDEX(Parametros!$C$48:$C$67,MATCH(TRIM(INDEX(Datos_Origen!$F$2:$F$2459,$Z1106)),Parametros!$B$48:$B$67,0))</f>
        <v>Computacion</v>
      </c>
      <c r="L1106" s="61" t="str">
        <f aca="false">$K1106&amp;" "&amp;$C1106</f>
        <v>Computacion 2024</v>
      </c>
      <c r="M1106" s="61" t="str">
        <f aca="false">TRIM(INDEX(Datos_Origen!$G$2:$G$2459,$Z1106))</f>
        <v>PC Gamer Ryzen</v>
      </c>
      <c r="N1106" s="61" t="str">
        <f aca="false">$M1106&amp;" "&amp;$C1106</f>
        <v>PC Gamer Ryzen 2024</v>
      </c>
      <c r="O1106" s="63" t="n">
        <f aca="false">IF(ISTEXT($AC1106),VALUE($AC1106),$AC1106)</f>
        <v>26</v>
      </c>
      <c r="P1106" s="64" t="n">
        <f aca="false">INDEX(Datos_Origen!$I$2:$I$2459,$Z1106)</f>
        <v>1617</v>
      </c>
      <c r="Q1106" s="64" t="n">
        <f aca="false">INDEX(Datos_Origen!$J$2:$J$2459,$Z1106)</f>
        <v>1122</v>
      </c>
      <c r="R1106" s="65" t="n">
        <f aca="false">ROUND($O1106*$P1106,2)</f>
        <v>42042</v>
      </c>
      <c r="S1106" s="65" t="n">
        <f aca="false">ROUND($O1106*$Q1106,2)</f>
        <v>29172</v>
      </c>
      <c r="T1106" s="65" t="n">
        <f aca="false">ROUND($R1106*SUMIFS(Parametros!$E$28:$E$43,Parametros!$B$28:$B$43,$J1106,Parametros!$C$28:$C$43,$C1106,Parametros!$D$28:$D$43,$D1106),2)</f>
        <v>546.55</v>
      </c>
      <c r="U1106" s="65" t="n">
        <f aca="false">$R1106-$S1106-$T1106</f>
        <v>12323.45</v>
      </c>
      <c r="V1106" s="66" t="n">
        <f aca="false">IFERROR($U1106/$R1106,0)</f>
        <v>0.29312235383664</v>
      </c>
      <c r="W1106" s="67" t="str">
        <f aca="false">IF(AND($V1106&gt;=Parametros!$C$8,$R1106&gt;=Parametros!$C$12),"Alta rentabilidad",IF(OR($V1106&lt;Parametros!$C$11,$R1106&lt;Parametros!$C$13),"Revisar","Estandar"))</f>
        <v>Estandar</v>
      </c>
      <c r="X1106" s="67" t="str">
        <f aca="false">IF(AND($J1106="E-commerce",IFERROR($T1106/$R1106,0)&gt;Parametros!$C$14),"Alerta","OK")</f>
        <v>OK</v>
      </c>
      <c r="Y1106" s="61" t="str">
        <f aca="false">IF($R1106&gt;=Parametros!$C$12,"Alto",IF($R1106&lt;Parametros!$C$13,"Bajo","Medio"))</f>
        <v>Alto</v>
      </c>
      <c r="Z1106" s="61" t="n">
        <v>1016</v>
      </c>
      <c r="AA1106" s="61" t="str">
        <f aca="false">IF(MATCH($A1106,Datos_Origen!$A$2:$A$2459,0)=$Z1106,"OK","REVISAR")</f>
        <v>OK</v>
      </c>
      <c r="AB1106" s="62" t="n">
        <f aca="false">INDEX(Datos_Origen!$B$2:$B$2459,$Z1106)</f>
        <v>45640</v>
      </c>
      <c r="AC1106" s="61" t="str">
        <f aca="false">INDEX(Datos_Origen!$H$2:$H$2459,$Z1106)</f>
        <v>26</v>
      </c>
      <c r="AD1106" s="61" t="str">
        <f aca="false">INDEX(Datos_Origen!$D$2:$D$2459,$Z1106)&amp;""</f>
        <v>Buenos Aires</v>
      </c>
    </row>
    <row r="1107" customFormat="false" ht="15" hidden="false" customHeight="false" outlineLevel="0" collapsed="false">
      <c r="A1107" s="61" t="n">
        <f aca="false">INDEX(Datos_Origen!$A$2:$A$2459,$Z1107)</f>
        <v>1106</v>
      </c>
      <c r="B1107" s="62" t="n">
        <f aca="false">IF(ISNUMBER($AB1107),$AB1107,IF(MID($AB1107,5,1)="-",DATE(VALUE(LEFT($AB1107,4)),VALUE(MID($AB1107,6,2)),VALUE(RIGHT($AB1107,2))),DATE(VALUE(RIGHT($AB1107,4)),VALUE(MID($AB1107,4,2)),VALUE(LEFT($AB1107,2)))))</f>
        <v>45647</v>
      </c>
      <c r="C1107" s="61" t="n">
        <f aca="false">YEAR($B1107)</f>
        <v>2024</v>
      </c>
      <c r="D1107" s="61" t="str">
        <f aca="false">"Q"&amp;ROUNDUP(MONTH($B1107)/3,0)</f>
        <v>Q4</v>
      </c>
      <c r="E1107" s="61" t="n">
        <f aca="false">MONTH($B1107)</f>
        <v>12</v>
      </c>
      <c r="F1107" s="61" t="str">
        <f aca="false">INDEX(Parametros!$I$5:$I$16,$E1107)</f>
        <v>Dic</v>
      </c>
      <c r="G1107" s="61" t="str">
        <f aca="false">TEXT($C1107,"0000")&amp;"-"&amp;TEXT($E1107,"00")</f>
        <v>2024-12</v>
      </c>
      <c r="H1107" s="61" t="str">
        <f aca="false">INDEX(Parametros!$C$71:$C$91,MATCH(TRIM(INDEX(Datos_Origen!$C$2:$C$2459,$Z1107)),Parametros!$B$71:$B$91,0))</f>
        <v>AMBA</v>
      </c>
      <c r="I1107" s="61" t="str">
        <f aca="false">IF(TRIM($AD1107)="",INDEX(Parametros!$I$20:$I$24,MATCH($H1107,Parametros!$H$20:$H$24,0)),TRIM($AD1107))</f>
        <v>Buenos Aires</v>
      </c>
      <c r="J1107" s="61" t="str">
        <f aca="false">INDEX(Parametros!$C$95:$C$106,MATCH(TRIM(INDEX(Datos_Origen!$E$2:$E$2459,$Z1107)),Parametros!$B$95:$B$106,0))</f>
        <v>E-commerce</v>
      </c>
      <c r="K1107" s="61" t="str">
        <f aca="false">INDEX(Parametros!$C$48:$C$67,MATCH(TRIM(INDEX(Datos_Origen!$F$2:$F$2459,$Z1107)),Parametros!$B$48:$B$67,0))</f>
        <v>Computacion</v>
      </c>
      <c r="L1107" s="61" t="str">
        <f aca="false">$K1107&amp;" "&amp;$C1107</f>
        <v>Computacion 2024</v>
      </c>
      <c r="M1107" s="61" t="str">
        <f aca="false">TRIM(INDEX(Datos_Origen!$G$2:$G$2459,$Z1107))</f>
        <v>PC Gamer Ryzen</v>
      </c>
      <c r="N1107" s="61" t="str">
        <f aca="false">$M1107&amp;" "&amp;$C1107</f>
        <v>PC Gamer Ryzen 2024</v>
      </c>
      <c r="O1107" s="63" t="n">
        <f aca="false">IF(ISTEXT($AC1107),VALUE($AC1107),$AC1107)</f>
        <v>12</v>
      </c>
      <c r="P1107" s="64" t="n">
        <f aca="false">INDEX(Datos_Origen!$I$2:$I$2459,$Z1107)</f>
        <v>1617</v>
      </c>
      <c r="Q1107" s="64" t="n">
        <f aca="false">INDEX(Datos_Origen!$J$2:$J$2459,$Z1107)</f>
        <v>1122</v>
      </c>
      <c r="R1107" s="65" t="n">
        <f aca="false">ROUND($O1107*$P1107,2)</f>
        <v>19404</v>
      </c>
      <c r="S1107" s="65" t="n">
        <f aca="false">ROUND($O1107*$Q1107,2)</f>
        <v>13464</v>
      </c>
      <c r="T1107" s="65" t="n">
        <f aca="false">ROUND($R1107*SUMIFS(Parametros!$E$28:$E$43,Parametros!$B$28:$B$43,$J1107,Parametros!$C$28:$C$43,$C1107,Parametros!$D$28:$D$43,$D1107),2)</f>
        <v>931.39</v>
      </c>
      <c r="U1107" s="65" t="n">
        <f aca="false">$R1107-$S1107-$T1107</f>
        <v>5008.61</v>
      </c>
      <c r="V1107" s="66" t="n">
        <f aca="false">IFERROR($U1107/$R1107,0)</f>
        <v>0.258122552051123</v>
      </c>
      <c r="W1107" s="67" t="str">
        <f aca="false">IF(AND($V1107&gt;=Parametros!$C$8,$R1107&gt;=Parametros!$C$12),"Alta rentabilidad",IF(OR($V1107&lt;Parametros!$C$11,$R1107&lt;Parametros!$C$13),"Revisar","Estandar"))</f>
        <v>Revisar</v>
      </c>
      <c r="X1107" s="67" t="str">
        <f aca="false">IF(AND($J1107="E-commerce",IFERROR($T1107/$R1107,0)&gt;Parametros!$C$14),"Alerta","OK")</f>
        <v>OK</v>
      </c>
      <c r="Y1107" s="61" t="str">
        <f aca="false">IF($R1107&gt;=Parametros!$C$12,"Alto",IF($R1107&lt;Parametros!$C$13,"Bajo","Medio"))</f>
        <v>Alto</v>
      </c>
      <c r="Z1107" s="61" t="n">
        <v>884</v>
      </c>
      <c r="AA1107" s="61" t="str">
        <f aca="false">IF(MATCH($A1107,Datos_Origen!$A$2:$A$2459,0)=$Z1107,"OK","REVISAR")</f>
        <v>OK</v>
      </c>
      <c r="AB1107" s="62" t="n">
        <f aca="false">INDEX(Datos_Origen!$B$2:$B$2459,$Z1107)</f>
        <v>45647</v>
      </c>
      <c r="AC1107" s="61" t="str">
        <f aca="false">INDEX(Datos_Origen!$H$2:$H$2459,$Z1107)</f>
        <v>12</v>
      </c>
      <c r="AD1107" s="61" t="str">
        <f aca="false">INDEX(Datos_Origen!$D$2:$D$2459,$Z1107)&amp;""</f>
        <v>Buenos Aires</v>
      </c>
    </row>
    <row r="1108" customFormat="false" ht="15" hidden="false" customHeight="false" outlineLevel="0" collapsed="false">
      <c r="A1108" s="61" t="n">
        <f aca="false">INDEX(Datos_Origen!$A$2:$A$2459,$Z1108)</f>
        <v>1107</v>
      </c>
      <c r="B1108" s="62" t="n">
        <f aca="false">IF(ISNUMBER($AB1108),$AB1108,IF(MID($AB1108,5,1)="-",DATE(VALUE(LEFT($AB1108,4)),VALUE(MID($AB1108,6,2)),VALUE(RIGHT($AB1108,2))),DATE(VALUE(RIGHT($AB1108,4)),VALUE(MID($AB1108,4,2)),VALUE(LEFT($AB1108,2)))))</f>
        <v>45627</v>
      </c>
      <c r="C1108" s="61" t="n">
        <f aca="false">YEAR($B1108)</f>
        <v>2024</v>
      </c>
      <c r="D1108" s="61" t="str">
        <f aca="false">"Q"&amp;ROUNDUP(MONTH($B1108)/3,0)</f>
        <v>Q4</v>
      </c>
      <c r="E1108" s="61" t="n">
        <f aca="false">MONTH($B1108)</f>
        <v>12</v>
      </c>
      <c r="F1108" s="61" t="str">
        <f aca="false">INDEX(Parametros!$I$5:$I$16,$E1108)</f>
        <v>Dic</v>
      </c>
      <c r="G1108" s="61" t="str">
        <f aca="false">TEXT($C1108,"0000")&amp;"-"&amp;TEXT($E1108,"00")</f>
        <v>2024-12</v>
      </c>
      <c r="H1108" s="61" t="str">
        <f aca="false">INDEX(Parametros!$C$71:$C$91,MATCH(TRIM(INDEX(Datos_Origen!$C$2:$C$2459,$Z1108)),Parametros!$B$71:$B$91,0))</f>
        <v>AMBA</v>
      </c>
      <c r="I1108" s="61" t="str">
        <f aca="false">IF(TRIM($AD1108)="",INDEX(Parametros!$I$20:$I$24,MATCH($H1108,Parametros!$H$20:$H$24,0)),TRIM($AD1108))</f>
        <v>Buenos Aires</v>
      </c>
      <c r="J1108" s="61" t="str">
        <f aca="false">INDEX(Parametros!$C$95:$C$106,MATCH(TRIM(INDEX(Datos_Origen!$E$2:$E$2459,$Z1108)),Parametros!$B$95:$B$106,0))</f>
        <v>Tienda fisica</v>
      </c>
      <c r="K1108" s="61" t="str">
        <f aca="false">INDEX(Parametros!$C$48:$C$67,MATCH(TRIM(INDEX(Datos_Origen!$F$2:$F$2459,$Z1108)),Parametros!$B$48:$B$67,0))</f>
        <v>Accesorios</v>
      </c>
      <c r="L1108" s="61" t="str">
        <f aca="false">$K1108&amp;" "&amp;$C1108</f>
        <v>Accesorios 2024</v>
      </c>
      <c r="M1108" s="61" t="str">
        <f aca="false">TRIM(INDEX(Datos_Origen!$G$2:$G$2459,$Z1108))</f>
        <v>Mouse Inalambrico</v>
      </c>
      <c r="N1108" s="61" t="str">
        <f aca="false">$M1108&amp;" "&amp;$C1108</f>
        <v>Mouse Inalambrico 2024</v>
      </c>
      <c r="O1108" s="63" t="n">
        <f aca="false">IF(ISTEXT($AC1108),VALUE($AC1108),$AC1108)</f>
        <v>158</v>
      </c>
      <c r="P1108" s="64" t="n">
        <f aca="false">INDEX(Datos_Origen!$I$2:$I$2459,$Z1108)</f>
        <v>27.44</v>
      </c>
      <c r="Q1108" s="64" t="n">
        <f aca="false">INDEX(Datos_Origen!$J$2:$J$2459,$Z1108)</f>
        <v>13.44</v>
      </c>
      <c r="R1108" s="65" t="n">
        <f aca="false">ROUND($O1108*$P1108,2)</f>
        <v>4335.52</v>
      </c>
      <c r="S1108" s="65" t="n">
        <f aca="false">ROUND($O1108*$Q1108,2)</f>
        <v>2123.52</v>
      </c>
      <c r="T1108" s="65" t="n">
        <f aca="false">ROUND($R1108*SUMIFS(Parametros!$E$28:$E$43,Parametros!$B$28:$B$43,$J1108,Parametros!$C$28:$C$43,$C1108,Parametros!$D$28:$D$43,$D1108),2)</f>
        <v>56.36</v>
      </c>
      <c r="U1108" s="65" t="n">
        <f aca="false">$R1108-$S1108-$T1108</f>
        <v>2155.64</v>
      </c>
      <c r="V1108" s="66" t="n">
        <f aca="false">IFERROR($U1108/$R1108,0)</f>
        <v>0.497204487581651</v>
      </c>
      <c r="W1108" s="67" t="str">
        <f aca="false">IF(AND($V1108&gt;=Parametros!$C$8,$R1108&gt;=Parametros!$C$12),"Alta rentabilidad",IF(OR($V1108&lt;Parametros!$C$11,$R1108&lt;Parametros!$C$13),"Revisar","Estandar"))</f>
        <v>Alta rentabilidad</v>
      </c>
      <c r="X1108" s="67" t="str">
        <f aca="false">IF(AND($J1108="E-commerce",IFERROR($T1108/$R1108,0)&gt;Parametros!$C$14),"Alerta","OK")</f>
        <v>OK</v>
      </c>
      <c r="Y1108" s="61" t="str">
        <f aca="false">IF($R1108&gt;=Parametros!$C$12,"Alto",IF($R1108&lt;Parametros!$C$13,"Bajo","Medio"))</f>
        <v>Alto</v>
      </c>
      <c r="Z1108" s="61" t="n">
        <v>2395</v>
      </c>
      <c r="AA1108" s="61" t="str">
        <f aca="false">IF(MATCH($A1108,Datos_Origen!$A$2:$A$2459,0)=$Z1108,"OK","REVISAR")</f>
        <v>OK</v>
      </c>
      <c r="AB1108" s="62" t="n">
        <f aca="false">INDEX(Datos_Origen!$B$2:$B$2459,$Z1108)</f>
        <v>45627</v>
      </c>
      <c r="AC1108" s="61" t="n">
        <f aca="false">INDEX(Datos_Origen!$H$2:$H$2459,$Z1108)</f>
        <v>158</v>
      </c>
      <c r="AD1108" s="61" t="str">
        <f aca="false">INDEX(Datos_Origen!$D$2:$D$2459,$Z1108)&amp;""</f>
        <v>Buenos Aires</v>
      </c>
    </row>
    <row r="1109" customFormat="false" ht="15" hidden="false" customHeight="false" outlineLevel="0" collapsed="false">
      <c r="A1109" s="61" t="n">
        <f aca="false">INDEX(Datos_Origen!$A$2:$A$2459,$Z1109)</f>
        <v>1108</v>
      </c>
      <c r="B1109" s="62" t="n">
        <f aca="false">IF(ISNUMBER($AB1109),$AB1109,IF(MID($AB1109,5,1)="-",DATE(VALUE(LEFT($AB1109,4)),VALUE(MID($AB1109,6,2)),VALUE(RIGHT($AB1109,2))),DATE(VALUE(RIGHT($AB1109,4)),VALUE(MID($AB1109,4,2)),VALUE(LEFT($AB1109,2)))))</f>
        <v>45634</v>
      </c>
      <c r="C1109" s="61" t="n">
        <f aca="false">YEAR($B1109)</f>
        <v>2024</v>
      </c>
      <c r="D1109" s="61" t="str">
        <f aca="false">"Q"&amp;ROUNDUP(MONTH($B1109)/3,0)</f>
        <v>Q4</v>
      </c>
      <c r="E1109" s="61" t="n">
        <f aca="false">MONTH($B1109)</f>
        <v>12</v>
      </c>
      <c r="F1109" s="61" t="str">
        <f aca="false">INDEX(Parametros!$I$5:$I$16,$E1109)</f>
        <v>Dic</v>
      </c>
      <c r="G1109" s="61" t="str">
        <f aca="false">TEXT($C1109,"0000")&amp;"-"&amp;TEXT($E1109,"00")</f>
        <v>2024-12</v>
      </c>
      <c r="H1109" s="61" t="str">
        <f aca="false">INDEX(Parametros!$C$71:$C$91,MATCH(TRIM(INDEX(Datos_Origen!$C$2:$C$2459,$Z1109)),Parametros!$B$71:$B$91,0))</f>
        <v>AMBA</v>
      </c>
      <c r="I1109" s="61" t="str">
        <f aca="false">IF(TRIM($AD1109)="",INDEX(Parametros!$I$20:$I$24,MATCH($H1109,Parametros!$H$20:$H$24,0)),TRIM($AD1109))</f>
        <v>Buenos Aires</v>
      </c>
      <c r="J1109" s="61" t="str">
        <f aca="false">INDEX(Parametros!$C$95:$C$106,MATCH(TRIM(INDEX(Datos_Origen!$E$2:$E$2459,$Z1109)),Parametros!$B$95:$B$106,0))</f>
        <v>E-commerce</v>
      </c>
      <c r="K1109" s="61" t="str">
        <f aca="false">INDEX(Parametros!$C$48:$C$67,MATCH(TRIM(INDEX(Datos_Origen!$F$2:$F$2459,$Z1109)),Parametros!$B$48:$B$67,0))</f>
        <v>Accesorios</v>
      </c>
      <c r="L1109" s="61" t="str">
        <f aca="false">$K1109&amp;" "&amp;$C1109</f>
        <v>Accesorios 2024</v>
      </c>
      <c r="M1109" s="61" t="str">
        <f aca="false">TRIM(INDEX(Datos_Origen!$G$2:$G$2459,$Z1109))</f>
        <v>Mouse Inalambrico</v>
      </c>
      <c r="N1109" s="61" t="str">
        <f aca="false">$M1109&amp;" "&amp;$C1109</f>
        <v>Mouse Inalambrico 2024</v>
      </c>
      <c r="O1109" s="63" t="n">
        <f aca="false">IF(ISTEXT($AC1109),VALUE($AC1109),$AC1109)</f>
        <v>58</v>
      </c>
      <c r="P1109" s="64" t="n">
        <f aca="false">INDEX(Datos_Origen!$I$2:$I$2459,$Z1109)</f>
        <v>27.44</v>
      </c>
      <c r="Q1109" s="64" t="n">
        <f aca="false">INDEX(Datos_Origen!$J$2:$J$2459,$Z1109)</f>
        <v>13.44</v>
      </c>
      <c r="R1109" s="65" t="n">
        <f aca="false">ROUND($O1109*$P1109,2)</f>
        <v>1591.52</v>
      </c>
      <c r="S1109" s="65" t="n">
        <f aca="false">ROUND($O1109*$Q1109,2)</f>
        <v>779.52</v>
      </c>
      <c r="T1109" s="65" t="n">
        <f aca="false">ROUND($R1109*SUMIFS(Parametros!$E$28:$E$43,Parametros!$B$28:$B$43,$J1109,Parametros!$C$28:$C$43,$C1109,Parametros!$D$28:$D$43,$D1109),2)</f>
        <v>76.39</v>
      </c>
      <c r="U1109" s="65" t="n">
        <f aca="false">$R1109-$S1109-$T1109</f>
        <v>735.61</v>
      </c>
      <c r="V1109" s="66" t="n">
        <f aca="false">IFERROR($U1109/$R1109,0)</f>
        <v>0.462205941489896</v>
      </c>
      <c r="W1109" s="67" t="str">
        <f aca="false">IF(AND($V1109&gt;=Parametros!$C$8,$R1109&gt;=Parametros!$C$12),"Alta rentabilidad",IF(OR($V1109&lt;Parametros!$C$11,$R1109&lt;Parametros!$C$13),"Revisar","Estandar"))</f>
        <v>Estandar</v>
      </c>
      <c r="X1109" s="67" t="str">
        <f aca="false">IF(AND($J1109="E-commerce",IFERROR($T1109/$R1109,0)&gt;Parametros!$C$14),"Alerta","OK")</f>
        <v>OK</v>
      </c>
      <c r="Y1109" s="61" t="str">
        <f aca="false">IF($R1109&gt;=Parametros!$C$12,"Alto",IF($R1109&lt;Parametros!$C$13,"Bajo","Medio"))</f>
        <v>Medio</v>
      </c>
      <c r="Z1109" s="61" t="n">
        <v>784</v>
      </c>
      <c r="AA1109" s="61" t="str">
        <f aca="false">IF(MATCH($A1109,Datos_Origen!$A$2:$A$2459,0)=$Z1109,"OK","REVISAR")</f>
        <v>OK</v>
      </c>
      <c r="AB1109" s="62" t="n">
        <f aca="false">INDEX(Datos_Origen!$B$2:$B$2459,$Z1109)</f>
        <v>45634</v>
      </c>
      <c r="AC1109" s="61" t="n">
        <f aca="false">INDEX(Datos_Origen!$H$2:$H$2459,$Z1109)</f>
        <v>58</v>
      </c>
      <c r="AD1109" s="61" t="str">
        <f aca="false">INDEX(Datos_Origen!$D$2:$D$2459,$Z1109)&amp;""</f>
        <v>Buenos Aires</v>
      </c>
    </row>
    <row r="1110" customFormat="false" ht="15" hidden="false" customHeight="false" outlineLevel="0" collapsed="false">
      <c r="A1110" s="61" t="n">
        <f aca="false">INDEX(Datos_Origen!$A$2:$A$2459,$Z1110)</f>
        <v>1109</v>
      </c>
      <c r="B1110" s="62" t="n">
        <f aca="false">IF(ISNUMBER($AB1110),$AB1110,IF(MID($AB1110,5,1)="-",DATE(VALUE(LEFT($AB1110,4)),VALUE(MID($AB1110,6,2)),VALUE(RIGHT($AB1110,2))),DATE(VALUE(RIGHT($AB1110,4)),VALUE(MID($AB1110,4,2)),VALUE(LEFT($AB1110,2)))))</f>
        <v>45641</v>
      </c>
      <c r="C1110" s="61" t="n">
        <f aca="false">YEAR($B1110)</f>
        <v>2024</v>
      </c>
      <c r="D1110" s="61" t="str">
        <f aca="false">"Q"&amp;ROUNDUP(MONTH($B1110)/3,0)</f>
        <v>Q4</v>
      </c>
      <c r="E1110" s="61" t="n">
        <f aca="false">MONTH($B1110)</f>
        <v>12</v>
      </c>
      <c r="F1110" s="61" t="str">
        <f aca="false">INDEX(Parametros!$I$5:$I$16,$E1110)</f>
        <v>Dic</v>
      </c>
      <c r="G1110" s="61" t="str">
        <f aca="false">TEXT($C1110,"0000")&amp;"-"&amp;TEXT($E1110,"00")</f>
        <v>2024-12</v>
      </c>
      <c r="H1110" s="61" t="str">
        <f aca="false">INDEX(Parametros!$C$71:$C$91,MATCH(TRIM(INDEX(Datos_Origen!$C$2:$C$2459,$Z1110)),Parametros!$B$71:$B$91,0))</f>
        <v>AMBA</v>
      </c>
      <c r="I1110" s="61" t="str">
        <f aca="false">IF(TRIM($AD1110)="",INDEX(Parametros!$I$20:$I$24,MATCH($H1110,Parametros!$H$20:$H$24,0)),TRIM($AD1110))</f>
        <v>Buenos Aires</v>
      </c>
      <c r="J1110" s="61" t="str">
        <f aca="false">INDEX(Parametros!$C$95:$C$106,MATCH(TRIM(INDEX(Datos_Origen!$E$2:$E$2459,$Z1110)),Parametros!$B$95:$B$106,0))</f>
        <v>Tienda fisica</v>
      </c>
      <c r="K1110" s="61" t="str">
        <f aca="false">INDEX(Parametros!$C$48:$C$67,MATCH(TRIM(INDEX(Datos_Origen!$F$2:$F$2459,$Z1110)),Parametros!$B$48:$B$67,0))</f>
        <v>Accesorios</v>
      </c>
      <c r="L1110" s="61" t="str">
        <f aca="false">$K1110&amp;" "&amp;$C1110</f>
        <v>Accesorios 2024</v>
      </c>
      <c r="M1110" s="61" t="str">
        <f aca="false">TRIM(INDEX(Datos_Origen!$G$2:$G$2459,$Z1110))</f>
        <v>Teclado Mecanico</v>
      </c>
      <c r="N1110" s="61" t="str">
        <f aca="false">$M1110&amp;" "&amp;$C1110</f>
        <v>Teclado Mecanico 2024</v>
      </c>
      <c r="O1110" s="63" t="n">
        <f aca="false">IF(ISTEXT($AC1110),VALUE($AC1110),$AC1110)</f>
        <v>153</v>
      </c>
      <c r="P1110" s="64" t="n">
        <f aca="false">INDEX(Datos_Origen!$I$2:$I$2459,$Z1110)</f>
        <v>93.1</v>
      </c>
      <c r="Q1110" s="64" t="n">
        <f aca="false">INDEX(Datos_Origen!$J$2:$J$2459,$Z1110)</f>
        <v>47.98</v>
      </c>
      <c r="R1110" s="65" t="n">
        <f aca="false">ROUND($O1110*$P1110,2)</f>
        <v>14244.3</v>
      </c>
      <c r="S1110" s="65" t="n">
        <f aca="false">ROUND($O1110*$Q1110,2)</f>
        <v>7340.94</v>
      </c>
      <c r="T1110" s="65" t="n">
        <f aca="false">ROUND($R1110*SUMIFS(Parametros!$E$28:$E$43,Parametros!$B$28:$B$43,$J1110,Parametros!$C$28:$C$43,$C1110,Parametros!$D$28:$D$43,$D1110),2)</f>
        <v>185.18</v>
      </c>
      <c r="U1110" s="65" t="n">
        <f aca="false">$R1110-$S1110-$T1110</f>
        <v>6718.18</v>
      </c>
      <c r="V1110" s="66" t="n">
        <f aca="false">IFERROR($U1110/$R1110,0)</f>
        <v>0.471639884023785</v>
      </c>
      <c r="W1110" s="67" t="str">
        <f aca="false">IF(AND($V1110&gt;=Parametros!$C$8,$R1110&gt;=Parametros!$C$12),"Alta rentabilidad",IF(OR($V1110&lt;Parametros!$C$11,$R1110&lt;Parametros!$C$13),"Revisar","Estandar"))</f>
        <v>Alta rentabilidad</v>
      </c>
      <c r="X1110" s="67" t="str">
        <f aca="false">IF(AND($J1110="E-commerce",IFERROR($T1110/$R1110,0)&gt;Parametros!$C$14),"Alerta","OK")</f>
        <v>OK</v>
      </c>
      <c r="Y1110" s="61" t="str">
        <f aca="false">IF($R1110&gt;=Parametros!$C$12,"Alto",IF($R1110&lt;Parametros!$C$13,"Bajo","Medio"))</f>
        <v>Alto</v>
      </c>
      <c r="Z1110" s="61" t="n">
        <v>916</v>
      </c>
      <c r="AA1110" s="61" t="str">
        <f aca="false">IF(MATCH($A1110,Datos_Origen!$A$2:$A$2459,0)=$Z1110,"OK","REVISAR")</f>
        <v>OK</v>
      </c>
      <c r="AB1110" s="62" t="n">
        <f aca="false">INDEX(Datos_Origen!$B$2:$B$2459,$Z1110)</f>
        <v>45641</v>
      </c>
      <c r="AC1110" s="61" t="n">
        <f aca="false">INDEX(Datos_Origen!$H$2:$H$2459,$Z1110)</f>
        <v>153</v>
      </c>
      <c r="AD1110" s="61" t="str">
        <f aca="false">INDEX(Datos_Origen!$D$2:$D$2459,$Z1110)&amp;""</f>
        <v>Buenos Aires</v>
      </c>
    </row>
    <row r="1111" customFormat="false" ht="15" hidden="false" customHeight="false" outlineLevel="0" collapsed="false">
      <c r="A1111" s="61" t="n">
        <f aca="false">INDEX(Datos_Origen!$A$2:$A$2459,$Z1111)</f>
        <v>1110</v>
      </c>
      <c r="B1111" s="62" t="n">
        <f aca="false">IF(ISNUMBER($AB1111),$AB1111,IF(MID($AB1111,5,1)="-",DATE(VALUE(LEFT($AB1111,4)),VALUE(MID($AB1111,6,2)),VALUE(RIGHT($AB1111,2))),DATE(VALUE(RIGHT($AB1111,4)),VALUE(MID($AB1111,4,2)),VALUE(LEFT($AB1111,2)))))</f>
        <v>45648</v>
      </c>
      <c r="C1111" s="61" t="n">
        <f aca="false">YEAR($B1111)</f>
        <v>2024</v>
      </c>
      <c r="D1111" s="61" t="str">
        <f aca="false">"Q"&amp;ROUNDUP(MONTH($B1111)/3,0)</f>
        <v>Q4</v>
      </c>
      <c r="E1111" s="61" t="n">
        <f aca="false">MONTH($B1111)</f>
        <v>12</v>
      </c>
      <c r="F1111" s="61" t="str">
        <f aca="false">INDEX(Parametros!$I$5:$I$16,$E1111)</f>
        <v>Dic</v>
      </c>
      <c r="G1111" s="61" t="str">
        <f aca="false">TEXT($C1111,"0000")&amp;"-"&amp;TEXT($E1111,"00")</f>
        <v>2024-12</v>
      </c>
      <c r="H1111" s="61" t="str">
        <f aca="false">INDEX(Parametros!$C$71:$C$91,MATCH(TRIM(INDEX(Datos_Origen!$C$2:$C$2459,$Z1111)),Parametros!$B$71:$B$91,0))</f>
        <v>AMBA</v>
      </c>
      <c r="I1111" s="61" t="str">
        <f aca="false">IF(TRIM($AD1111)="",INDEX(Parametros!$I$20:$I$24,MATCH($H1111,Parametros!$H$20:$H$24,0)),TRIM($AD1111))</f>
        <v>Buenos Aires</v>
      </c>
      <c r="J1111" s="61" t="str">
        <f aca="false">INDEX(Parametros!$C$95:$C$106,MATCH(TRIM(INDEX(Datos_Origen!$E$2:$E$2459,$Z1111)),Parametros!$B$95:$B$106,0))</f>
        <v>E-commerce</v>
      </c>
      <c r="K1111" s="61" t="str">
        <f aca="false">INDEX(Parametros!$C$48:$C$67,MATCH(TRIM(INDEX(Datos_Origen!$F$2:$F$2459,$Z1111)),Parametros!$B$48:$B$67,0))</f>
        <v>Accesorios</v>
      </c>
      <c r="L1111" s="61" t="str">
        <f aca="false">$K1111&amp;" "&amp;$C1111</f>
        <v>Accesorios 2024</v>
      </c>
      <c r="M1111" s="61" t="str">
        <f aca="false">TRIM(INDEX(Datos_Origen!$G$2:$G$2459,$Z1111))</f>
        <v>Teclado Mecanico</v>
      </c>
      <c r="N1111" s="61" t="str">
        <f aca="false">$M1111&amp;" "&amp;$C1111</f>
        <v>Teclado Mecanico 2024</v>
      </c>
      <c r="O1111" s="63" t="n">
        <f aca="false">IF(ISTEXT($AC1111),VALUE($AC1111),$AC1111)</f>
        <v>49</v>
      </c>
      <c r="P1111" s="64" t="n">
        <f aca="false">INDEX(Datos_Origen!$I$2:$I$2459,$Z1111)</f>
        <v>93.1</v>
      </c>
      <c r="Q1111" s="64" t="n">
        <f aca="false">INDEX(Datos_Origen!$J$2:$J$2459,$Z1111)</f>
        <v>47.98</v>
      </c>
      <c r="R1111" s="65" t="n">
        <f aca="false">ROUND($O1111*$P1111,2)</f>
        <v>4561.9</v>
      </c>
      <c r="S1111" s="65" t="n">
        <f aca="false">ROUND($O1111*$Q1111,2)</f>
        <v>2351.02</v>
      </c>
      <c r="T1111" s="65" t="n">
        <f aca="false">ROUND($R1111*SUMIFS(Parametros!$E$28:$E$43,Parametros!$B$28:$B$43,$J1111,Parametros!$C$28:$C$43,$C1111,Parametros!$D$28:$D$43,$D1111),2)</f>
        <v>218.97</v>
      </c>
      <c r="U1111" s="65" t="n">
        <f aca="false">$R1111-$S1111-$T1111</f>
        <v>1991.91</v>
      </c>
      <c r="V1111" s="66" t="n">
        <f aca="false">IFERROR($U1111/$R1111,0)</f>
        <v>0.436640434906508</v>
      </c>
      <c r="W1111" s="67" t="str">
        <f aca="false">IF(AND($V1111&gt;=Parametros!$C$8,$R1111&gt;=Parametros!$C$12),"Alta rentabilidad",IF(OR($V1111&lt;Parametros!$C$11,$R1111&lt;Parametros!$C$13),"Revisar","Estandar"))</f>
        <v>Alta rentabilidad</v>
      </c>
      <c r="X1111" s="67" t="str">
        <f aca="false">IF(AND($J1111="E-commerce",IFERROR($T1111/$R1111,0)&gt;Parametros!$C$14),"Alerta","OK")</f>
        <v>OK</v>
      </c>
      <c r="Y1111" s="61" t="str">
        <f aca="false">IF($R1111&gt;=Parametros!$C$12,"Alto",IF($R1111&lt;Parametros!$C$13,"Bajo","Medio"))</f>
        <v>Alto</v>
      </c>
      <c r="Z1111" s="61" t="n">
        <v>561</v>
      </c>
      <c r="AA1111" s="61" t="str">
        <f aca="false">IF(MATCH($A1111,Datos_Origen!$A$2:$A$2459,0)=$Z1111,"OK","REVISAR")</f>
        <v>OK</v>
      </c>
      <c r="AB1111" s="62" t="n">
        <f aca="false">INDEX(Datos_Origen!$B$2:$B$2459,$Z1111)</f>
        <v>45648</v>
      </c>
      <c r="AC1111" s="61" t="n">
        <f aca="false">INDEX(Datos_Origen!$H$2:$H$2459,$Z1111)</f>
        <v>49</v>
      </c>
      <c r="AD1111" s="61" t="str">
        <f aca="false">INDEX(Datos_Origen!$D$2:$D$2459,$Z1111)&amp;""</f>
        <v>Buenos Aires</v>
      </c>
    </row>
    <row r="1112" customFormat="false" ht="15" hidden="false" customHeight="false" outlineLevel="0" collapsed="false">
      <c r="A1112" s="61" t="n">
        <f aca="false">INDEX(Datos_Origen!$A$2:$A$2459,$Z1112)</f>
        <v>1111</v>
      </c>
      <c r="B1112" s="62" t="n">
        <f aca="false">IF(ISNUMBER($AB1112),$AB1112,IF(MID($AB1112,5,1)="-",DATE(VALUE(LEFT($AB1112,4)),VALUE(MID($AB1112,6,2)),VALUE(RIGHT($AB1112,2))),DATE(VALUE(RIGHT($AB1112,4)),VALUE(MID($AB1112,4,2)),VALUE(LEFT($AB1112,2)))))</f>
        <v>45628</v>
      </c>
      <c r="C1112" s="61" t="n">
        <f aca="false">YEAR($B1112)</f>
        <v>2024</v>
      </c>
      <c r="D1112" s="61" t="str">
        <f aca="false">"Q"&amp;ROUNDUP(MONTH($B1112)/3,0)</f>
        <v>Q4</v>
      </c>
      <c r="E1112" s="61" t="n">
        <f aca="false">MONTH($B1112)</f>
        <v>12</v>
      </c>
      <c r="F1112" s="61" t="str">
        <f aca="false">INDEX(Parametros!$I$5:$I$16,$E1112)</f>
        <v>Dic</v>
      </c>
      <c r="G1112" s="61" t="str">
        <f aca="false">TEXT($C1112,"0000")&amp;"-"&amp;TEXT($E1112,"00")</f>
        <v>2024-12</v>
      </c>
      <c r="H1112" s="61" t="str">
        <f aca="false">INDEX(Parametros!$C$71:$C$91,MATCH(TRIM(INDEX(Datos_Origen!$C$2:$C$2459,$Z1112)),Parametros!$B$71:$B$91,0))</f>
        <v>AMBA</v>
      </c>
      <c r="I1112" s="61" t="str">
        <f aca="false">IF(TRIM($AD1112)="",INDEX(Parametros!$I$20:$I$24,MATCH($H1112,Parametros!$H$20:$H$24,0)),TRIM($AD1112))</f>
        <v>Buenos Aires</v>
      </c>
      <c r="J1112" s="61" t="str">
        <f aca="false">INDEX(Parametros!$C$95:$C$106,MATCH(TRIM(INDEX(Datos_Origen!$E$2:$E$2459,$Z1112)),Parametros!$B$95:$B$106,0))</f>
        <v>Tienda fisica</v>
      </c>
      <c r="K1112" s="61" t="str">
        <f aca="false">INDEX(Parametros!$C$48:$C$67,MATCH(TRIM(INDEX(Datos_Origen!$F$2:$F$2459,$Z1112)),Parametros!$B$48:$B$67,0))</f>
        <v>Accesorios</v>
      </c>
      <c r="L1112" s="61" t="str">
        <f aca="false">$K1112&amp;" "&amp;$C1112</f>
        <v>Accesorios 2024</v>
      </c>
      <c r="M1112" s="61" t="str">
        <f aca="false">TRIM(INDEX(Datos_Origen!$G$2:$G$2459,$Z1112))</f>
        <v>Webcam Full HD</v>
      </c>
      <c r="N1112" s="61" t="str">
        <f aca="false">$M1112&amp;" "&amp;$C1112</f>
        <v>Webcam Full HD 2024</v>
      </c>
      <c r="O1112" s="63" t="n">
        <f aca="false">IF(ISTEXT($AC1112),VALUE($AC1112),$AC1112)</f>
        <v>132</v>
      </c>
      <c r="P1112" s="64" t="n">
        <f aca="false">INDEX(Datos_Origen!$I$2:$I$2459,$Z1112)</f>
        <v>63.7</v>
      </c>
      <c r="Q1112" s="64" t="n">
        <f aca="false">INDEX(Datos_Origen!$J$2:$J$2459,$Z1112)</f>
        <v>35.43</v>
      </c>
      <c r="R1112" s="65" t="n">
        <f aca="false">ROUND($O1112*$P1112,2)</f>
        <v>8408.4</v>
      </c>
      <c r="S1112" s="65" t="n">
        <f aca="false">ROUND($O1112*$Q1112,2)</f>
        <v>4676.76</v>
      </c>
      <c r="T1112" s="65" t="n">
        <f aca="false">ROUND($R1112*SUMIFS(Parametros!$E$28:$E$43,Parametros!$B$28:$B$43,$J1112,Parametros!$C$28:$C$43,$C1112,Parametros!$D$28:$D$43,$D1112),2)</f>
        <v>109.31</v>
      </c>
      <c r="U1112" s="65" t="n">
        <f aca="false">$R1112-$S1112-$T1112</f>
        <v>3622.33</v>
      </c>
      <c r="V1112" s="66" t="n">
        <f aca="false">IFERROR($U1112/$R1112,0)</f>
        <v>0.43079896294182</v>
      </c>
      <c r="W1112" s="67" t="str">
        <f aca="false">IF(AND($V1112&gt;=Parametros!$C$8,$R1112&gt;=Parametros!$C$12),"Alta rentabilidad",IF(OR($V1112&lt;Parametros!$C$11,$R1112&lt;Parametros!$C$13),"Revisar","Estandar"))</f>
        <v>Alta rentabilidad</v>
      </c>
      <c r="X1112" s="67" t="str">
        <f aca="false">IF(AND($J1112="E-commerce",IFERROR($T1112/$R1112,0)&gt;Parametros!$C$14),"Alerta","OK")</f>
        <v>OK</v>
      </c>
      <c r="Y1112" s="61" t="str">
        <f aca="false">IF($R1112&gt;=Parametros!$C$12,"Alto",IF($R1112&lt;Parametros!$C$13,"Bajo","Medio"))</f>
        <v>Alto</v>
      </c>
      <c r="Z1112" s="61" t="n">
        <v>1788</v>
      </c>
      <c r="AA1112" s="61" t="str">
        <f aca="false">IF(MATCH($A1112,Datos_Origen!$A$2:$A$2459,0)=$Z1112,"OK","REVISAR")</f>
        <v>OK</v>
      </c>
      <c r="AB1112" s="62" t="n">
        <f aca="false">INDEX(Datos_Origen!$B$2:$B$2459,$Z1112)</f>
        <v>45628</v>
      </c>
      <c r="AC1112" s="61" t="n">
        <f aca="false">INDEX(Datos_Origen!$H$2:$H$2459,$Z1112)</f>
        <v>132</v>
      </c>
      <c r="AD1112" s="61" t="str">
        <f aca="false">INDEX(Datos_Origen!$D$2:$D$2459,$Z1112)&amp;""</f>
        <v>Buenos Aires</v>
      </c>
    </row>
    <row r="1113" customFormat="false" ht="15" hidden="false" customHeight="false" outlineLevel="0" collapsed="false">
      <c r="A1113" s="61" t="n">
        <f aca="false">INDEX(Datos_Origen!$A$2:$A$2459,$Z1113)</f>
        <v>1112</v>
      </c>
      <c r="B1113" s="62" t="n">
        <f aca="false">IF(ISNUMBER($AB1113),$AB1113,IF(MID($AB1113,5,1)="-",DATE(VALUE(LEFT($AB1113,4)),VALUE(MID($AB1113,6,2)),VALUE(RIGHT($AB1113,2))),DATE(VALUE(RIGHT($AB1113,4)),VALUE(MID($AB1113,4,2)),VALUE(LEFT($AB1113,2)))))</f>
        <v>45635</v>
      </c>
      <c r="C1113" s="61" t="n">
        <f aca="false">YEAR($B1113)</f>
        <v>2024</v>
      </c>
      <c r="D1113" s="61" t="str">
        <f aca="false">"Q"&amp;ROUNDUP(MONTH($B1113)/3,0)</f>
        <v>Q4</v>
      </c>
      <c r="E1113" s="61" t="n">
        <f aca="false">MONTH($B1113)</f>
        <v>12</v>
      </c>
      <c r="F1113" s="61" t="str">
        <f aca="false">INDEX(Parametros!$I$5:$I$16,$E1113)</f>
        <v>Dic</v>
      </c>
      <c r="G1113" s="61" t="str">
        <f aca="false">TEXT($C1113,"0000")&amp;"-"&amp;TEXT($E1113,"00")</f>
        <v>2024-12</v>
      </c>
      <c r="H1113" s="61" t="str">
        <f aca="false">INDEX(Parametros!$C$71:$C$91,MATCH(TRIM(INDEX(Datos_Origen!$C$2:$C$2459,$Z1113)),Parametros!$B$71:$B$91,0))</f>
        <v>AMBA</v>
      </c>
      <c r="I1113" s="61" t="str">
        <f aca="false">IF(TRIM($AD1113)="",INDEX(Parametros!$I$20:$I$24,MATCH($H1113,Parametros!$H$20:$H$24,0)),TRIM($AD1113))</f>
        <v>Buenos Aires</v>
      </c>
      <c r="J1113" s="61" t="str">
        <f aca="false">INDEX(Parametros!$C$95:$C$106,MATCH(TRIM(INDEX(Datos_Origen!$E$2:$E$2459,$Z1113)),Parametros!$B$95:$B$106,0))</f>
        <v>E-commerce</v>
      </c>
      <c r="K1113" s="61" t="str">
        <f aca="false">INDEX(Parametros!$C$48:$C$67,MATCH(TRIM(INDEX(Datos_Origen!$F$2:$F$2459,$Z1113)),Parametros!$B$48:$B$67,0))</f>
        <v>Accesorios</v>
      </c>
      <c r="L1113" s="61" t="str">
        <f aca="false">$K1113&amp;" "&amp;$C1113</f>
        <v>Accesorios 2024</v>
      </c>
      <c r="M1113" s="61" t="str">
        <f aca="false">TRIM(INDEX(Datos_Origen!$G$2:$G$2459,$Z1113))</f>
        <v>Webcam Full HD</v>
      </c>
      <c r="N1113" s="61" t="str">
        <f aca="false">$M1113&amp;" "&amp;$C1113</f>
        <v>Webcam Full HD 2024</v>
      </c>
      <c r="O1113" s="63" t="n">
        <f aca="false">IF(ISTEXT($AC1113),VALUE($AC1113),$AC1113)</f>
        <v>62</v>
      </c>
      <c r="P1113" s="64" t="n">
        <f aca="false">INDEX(Datos_Origen!$I$2:$I$2459,$Z1113)</f>
        <v>63.7</v>
      </c>
      <c r="Q1113" s="64" t="n">
        <f aca="false">INDEX(Datos_Origen!$J$2:$J$2459,$Z1113)</f>
        <v>35.43</v>
      </c>
      <c r="R1113" s="65" t="n">
        <f aca="false">ROUND($O1113*$P1113,2)</f>
        <v>3949.4</v>
      </c>
      <c r="S1113" s="65" t="n">
        <f aca="false">ROUND($O1113*$Q1113,2)</f>
        <v>2196.66</v>
      </c>
      <c r="T1113" s="65" t="n">
        <f aca="false">ROUND($R1113*SUMIFS(Parametros!$E$28:$E$43,Parametros!$B$28:$B$43,$J1113,Parametros!$C$28:$C$43,$C1113,Parametros!$D$28:$D$43,$D1113),2)</f>
        <v>189.57</v>
      </c>
      <c r="U1113" s="65" t="n">
        <f aca="false">$R1113-$S1113-$T1113</f>
        <v>1563.17</v>
      </c>
      <c r="V1113" s="66" t="n">
        <f aca="false">IFERROR($U1113/$R1113,0)</f>
        <v>0.395799361928394</v>
      </c>
      <c r="W1113" s="67" t="str">
        <f aca="false">IF(AND($V1113&gt;=Parametros!$C$8,$R1113&gt;=Parametros!$C$12),"Alta rentabilidad",IF(OR($V1113&lt;Parametros!$C$11,$R1113&lt;Parametros!$C$13),"Revisar","Estandar"))</f>
        <v>Alta rentabilidad</v>
      </c>
      <c r="X1113" s="67" t="str">
        <f aca="false">IF(AND($J1113="E-commerce",IFERROR($T1113/$R1113,0)&gt;Parametros!$C$14),"Alerta","OK")</f>
        <v>OK</v>
      </c>
      <c r="Y1113" s="61" t="str">
        <f aca="false">IF($R1113&gt;=Parametros!$C$12,"Alto",IF($R1113&lt;Parametros!$C$13,"Bajo","Medio"))</f>
        <v>Alto</v>
      </c>
      <c r="Z1113" s="61" t="n">
        <v>152</v>
      </c>
      <c r="AA1113" s="61" t="str">
        <f aca="false">IF(MATCH($A1113,Datos_Origen!$A$2:$A$2459,0)=$Z1113,"OK","REVISAR")</f>
        <v>OK</v>
      </c>
      <c r="AB1113" s="61" t="str">
        <f aca="false">INDEX(Datos_Origen!$B$2:$B$2459,$Z1113)</f>
        <v>09/12/2024</v>
      </c>
      <c r="AC1113" s="61" t="n">
        <f aca="false">INDEX(Datos_Origen!$H$2:$H$2459,$Z1113)</f>
        <v>62</v>
      </c>
      <c r="AD1113" s="61" t="str">
        <f aca="false">INDEX(Datos_Origen!$D$2:$D$2459,$Z1113)&amp;""</f>
        <v>Buenos Aires</v>
      </c>
    </row>
    <row r="1114" customFormat="false" ht="15" hidden="false" customHeight="false" outlineLevel="0" collapsed="false">
      <c r="A1114" s="61" t="n">
        <f aca="false">INDEX(Datos_Origen!$A$2:$A$2459,$Z1114)</f>
        <v>1113</v>
      </c>
      <c r="B1114" s="62" t="n">
        <f aca="false">IF(ISNUMBER($AB1114),$AB1114,IF(MID($AB1114,5,1)="-",DATE(VALUE(LEFT($AB1114,4)),VALUE(MID($AB1114,6,2)),VALUE(RIGHT($AB1114,2))),DATE(VALUE(RIGHT($AB1114,4)),VALUE(MID($AB1114,4,2)),VALUE(LEFT($AB1114,2)))))</f>
        <v>45642</v>
      </c>
      <c r="C1114" s="61" t="n">
        <f aca="false">YEAR($B1114)</f>
        <v>2024</v>
      </c>
      <c r="D1114" s="61" t="str">
        <f aca="false">"Q"&amp;ROUNDUP(MONTH($B1114)/3,0)</f>
        <v>Q4</v>
      </c>
      <c r="E1114" s="61" t="n">
        <f aca="false">MONTH($B1114)</f>
        <v>12</v>
      </c>
      <c r="F1114" s="61" t="str">
        <f aca="false">INDEX(Parametros!$I$5:$I$16,$E1114)</f>
        <v>Dic</v>
      </c>
      <c r="G1114" s="61" t="str">
        <f aca="false">TEXT($C1114,"0000")&amp;"-"&amp;TEXT($E1114,"00")</f>
        <v>2024-12</v>
      </c>
      <c r="H1114" s="61" t="str">
        <f aca="false">INDEX(Parametros!$C$71:$C$91,MATCH(TRIM(INDEX(Datos_Origen!$C$2:$C$2459,$Z1114)),Parametros!$B$71:$B$91,0))</f>
        <v>AMBA</v>
      </c>
      <c r="I1114" s="61" t="str">
        <f aca="false">IF(TRIM($AD1114)="",INDEX(Parametros!$I$20:$I$24,MATCH($H1114,Parametros!$H$20:$H$24,0)),TRIM($AD1114))</f>
        <v>Buenos Aires</v>
      </c>
      <c r="J1114" s="61" t="str">
        <f aca="false">INDEX(Parametros!$C$95:$C$106,MATCH(TRIM(INDEX(Datos_Origen!$E$2:$E$2459,$Z1114)),Parametros!$B$95:$B$106,0))</f>
        <v>Tienda fisica</v>
      </c>
      <c r="K1114" s="61" t="str">
        <f aca="false">INDEX(Parametros!$C$48:$C$67,MATCH(TRIM(INDEX(Datos_Origen!$F$2:$F$2459,$Z1114)),Parametros!$B$48:$B$67,0))</f>
        <v>Audio</v>
      </c>
      <c r="L1114" s="61" t="str">
        <f aca="false">$K1114&amp;" "&amp;$C1114</f>
        <v>Audio 2024</v>
      </c>
      <c r="M1114" s="61" t="str">
        <f aca="false">TRIM(INDEX(Datos_Origen!$G$2:$G$2459,$Z1114))</f>
        <v>Auriculares BT Pro</v>
      </c>
      <c r="N1114" s="61" t="str">
        <f aca="false">$M1114&amp;" "&amp;$C1114</f>
        <v>Auriculares BT Pro 2024</v>
      </c>
      <c r="O1114" s="63" t="n">
        <f aca="false">IF(ISTEXT($AC1114),VALUE($AC1114),$AC1114)</f>
        <v>68</v>
      </c>
      <c r="P1114" s="64" t="n">
        <f aca="false">INDEX(Datos_Origen!$I$2:$I$2459,$Z1114)</f>
        <v>117.6</v>
      </c>
      <c r="Q1114" s="64" t="n">
        <f aca="false">INDEX(Datos_Origen!$J$2:$J$2459,$Z1114)</f>
        <v>63.6</v>
      </c>
      <c r="R1114" s="65" t="n">
        <f aca="false">ROUND($O1114*$P1114,2)</f>
        <v>7996.8</v>
      </c>
      <c r="S1114" s="65" t="n">
        <f aca="false">ROUND($O1114*$Q1114,2)</f>
        <v>4324.8</v>
      </c>
      <c r="T1114" s="65" t="n">
        <f aca="false">ROUND($R1114*SUMIFS(Parametros!$E$28:$E$43,Parametros!$B$28:$B$43,$J1114,Parametros!$C$28:$C$43,$C1114,Parametros!$D$28:$D$43,$D1114),2)</f>
        <v>103.96</v>
      </c>
      <c r="U1114" s="65" t="n">
        <f aca="false">$R1114-$S1114-$T1114</f>
        <v>3568.04</v>
      </c>
      <c r="V1114" s="66" t="n">
        <f aca="false">IFERROR($U1114/$R1114,0)</f>
        <v>0.446183473389356</v>
      </c>
      <c r="W1114" s="67" t="str">
        <f aca="false">IF(AND($V1114&gt;=Parametros!$C$8,$R1114&gt;=Parametros!$C$12),"Alta rentabilidad",IF(OR($V1114&lt;Parametros!$C$11,$R1114&lt;Parametros!$C$13),"Revisar","Estandar"))</f>
        <v>Alta rentabilidad</v>
      </c>
      <c r="X1114" s="67" t="str">
        <f aca="false">IF(AND($J1114="E-commerce",IFERROR($T1114/$R1114,0)&gt;Parametros!$C$14),"Alerta","OK")</f>
        <v>OK</v>
      </c>
      <c r="Y1114" s="61" t="str">
        <f aca="false">IF($R1114&gt;=Parametros!$C$12,"Alto",IF($R1114&lt;Parametros!$C$13,"Bajo","Medio"))</f>
        <v>Alto</v>
      </c>
      <c r="Z1114" s="61" t="n">
        <v>2331</v>
      </c>
      <c r="AA1114" s="61" t="str">
        <f aca="false">IF(MATCH($A1114,Datos_Origen!$A$2:$A$2459,0)=$Z1114,"OK","REVISAR")</f>
        <v>OK</v>
      </c>
      <c r="AB1114" s="61" t="str">
        <f aca="false">INDEX(Datos_Origen!$B$2:$B$2459,$Z1114)</f>
        <v>16/12/2024</v>
      </c>
      <c r="AC1114" s="61" t="n">
        <f aca="false">INDEX(Datos_Origen!$H$2:$H$2459,$Z1114)</f>
        <v>68</v>
      </c>
      <c r="AD1114" s="61" t="str">
        <f aca="false">INDEX(Datos_Origen!$D$2:$D$2459,$Z1114)&amp;""</f>
        <v>Buenos Aires</v>
      </c>
    </row>
    <row r="1115" customFormat="false" ht="15" hidden="false" customHeight="false" outlineLevel="0" collapsed="false">
      <c r="A1115" s="61" t="n">
        <f aca="false">INDEX(Datos_Origen!$A$2:$A$2459,$Z1115)</f>
        <v>1114</v>
      </c>
      <c r="B1115" s="62" t="n">
        <f aca="false">IF(ISNUMBER($AB1115),$AB1115,IF(MID($AB1115,5,1)="-",DATE(VALUE(LEFT($AB1115,4)),VALUE(MID($AB1115,6,2)),VALUE(RIGHT($AB1115,2))),DATE(VALUE(RIGHT($AB1115,4)),VALUE(MID($AB1115,4,2)),VALUE(LEFT($AB1115,2)))))</f>
        <v>45649</v>
      </c>
      <c r="C1115" s="61" t="n">
        <f aca="false">YEAR($B1115)</f>
        <v>2024</v>
      </c>
      <c r="D1115" s="61" t="str">
        <f aca="false">"Q"&amp;ROUNDUP(MONTH($B1115)/3,0)</f>
        <v>Q4</v>
      </c>
      <c r="E1115" s="61" t="n">
        <f aca="false">MONTH($B1115)</f>
        <v>12</v>
      </c>
      <c r="F1115" s="61" t="str">
        <f aca="false">INDEX(Parametros!$I$5:$I$16,$E1115)</f>
        <v>Dic</v>
      </c>
      <c r="G1115" s="61" t="str">
        <f aca="false">TEXT($C1115,"0000")&amp;"-"&amp;TEXT($E1115,"00")</f>
        <v>2024-12</v>
      </c>
      <c r="H1115" s="61" t="str">
        <f aca="false">INDEX(Parametros!$C$71:$C$91,MATCH(TRIM(INDEX(Datos_Origen!$C$2:$C$2459,$Z1115)),Parametros!$B$71:$B$91,0))</f>
        <v>AMBA</v>
      </c>
      <c r="I1115" s="61" t="str">
        <f aca="false">IF(TRIM($AD1115)="",INDEX(Parametros!$I$20:$I$24,MATCH($H1115,Parametros!$H$20:$H$24,0)),TRIM($AD1115))</f>
        <v>Buenos Aires</v>
      </c>
      <c r="J1115" s="61" t="str">
        <f aca="false">INDEX(Parametros!$C$95:$C$106,MATCH(TRIM(INDEX(Datos_Origen!$E$2:$E$2459,$Z1115)),Parametros!$B$95:$B$106,0))</f>
        <v>E-commerce</v>
      </c>
      <c r="K1115" s="61" t="str">
        <f aca="false">INDEX(Parametros!$C$48:$C$67,MATCH(TRIM(INDEX(Datos_Origen!$F$2:$F$2459,$Z1115)),Parametros!$B$48:$B$67,0))</f>
        <v>Audio</v>
      </c>
      <c r="L1115" s="61" t="str">
        <f aca="false">$K1115&amp;" "&amp;$C1115</f>
        <v>Audio 2024</v>
      </c>
      <c r="M1115" s="61" t="str">
        <f aca="false">TRIM(INDEX(Datos_Origen!$G$2:$G$2459,$Z1115))</f>
        <v>Auriculares BT Pro</v>
      </c>
      <c r="N1115" s="61" t="str">
        <f aca="false">$M1115&amp;" "&amp;$C1115</f>
        <v>Auriculares BT Pro 2024</v>
      </c>
      <c r="O1115" s="63" t="n">
        <f aca="false">IF(ISTEXT($AC1115),VALUE($AC1115),$AC1115)</f>
        <v>22</v>
      </c>
      <c r="P1115" s="64" t="n">
        <f aca="false">INDEX(Datos_Origen!$I$2:$I$2459,$Z1115)</f>
        <v>117.6</v>
      </c>
      <c r="Q1115" s="64" t="n">
        <f aca="false">INDEX(Datos_Origen!$J$2:$J$2459,$Z1115)</f>
        <v>63.6</v>
      </c>
      <c r="R1115" s="65" t="n">
        <f aca="false">ROUND($O1115*$P1115,2)</f>
        <v>2587.2</v>
      </c>
      <c r="S1115" s="65" t="n">
        <f aca="false">ROUND($O1115*$Q1115,2)</f>
        <v>1399.2</v>
      </c>
      <c r="T1115" s="65" t="n">
        <f aca="false">ROUND($R1115*SUMIFS(Parametros!$E$28:$E$43,Parametros!$B$28:$B$43,$J1115,Parametros!$C$28:$C$43,$C1115,Parametros!$D$28:$D$43,$D1115),2)</f>
        <v>124.19</v>
      </c>
      <c r="U1115" s="65" t="n">
        <f aca="false">$R1115-$S1115-$T1115</f>
        <v>1063.81</v>
      </c>
      <c r="V1115" s="66" t="n">
        <f aca="false">IFERROR($U1115/$R1115,0)</f>
        <v>0.411181972789116</v>
      </c>
      <c r="W1115" s="67" t="str">
        <f aca="false">IF(AND($V1115&gt;=Parametros!$C$8,$R1115&gt;=Parametros!$C$12),"Alta rentabilidad",IF(OR($V1115&lt;Parametros!$C$11,$R1115&lt;Parametros!$C$13),"Revisar","Estandar"))</f>
        <v>Estandar</v>
      </c>
      <c r="X1115" s="67" t="str">
        <f aca="false">IF(AND($J1115="E-commerce",IFERROR($T1115/$R1115,0)&gt;Parametros!$C$14),"Alerta","OK")</f>
        <v>OK</v>
      </c>
      <c r="Y1115" s="61" t="str">
        <f aca="false">IF($R1115&gt;=Parametros!$C$12,"Alto",IF($R1115&lt;Parametros!$C$13,"Bajo","Medio"))</f>
        <v>Medio</v>
      </c>
      <c r="Z1115" s="61" t="n">
        <v>1955</v>
      </c>
      <c r="AA1115" s="61" t="str">
        <f aca="false">IF(MATCH($A1115,Datos_Origen!$A$2:$A$2459,0)=$Z1115,"OK","REVISAR")</f>
        <v>OK</v>
      </c>
      <c r="AB1115" s="62" t="n">
        <f aca="false">INDEX(Datos_Origen!$B$2:$B$2459,$Z1115)</f>
        <v>45649</v>
      </c>
      <c r="AC1115" s="61" t="n">
        <f aca="false">INDEX(Datos_Origen!$H$2:$H$2459,$Z1115)</f>
        <v>22</v>
      </c>
      <c r="AD1115" s="61" t="str">
        <f aca="false">INDEX(Datos_Origen!$D$2:$D$2459,$Z1115)&amp;""</f>
        <v>Buenos Aires</v>
      </c>
    </row>
    <row r="1116" customFormat="false" ht="15" hidden="false" customHeight="false" outlineLevel="0" collapsed="false">
      <c r="A1116" s="61" t="n">
        <f aca="false">INDEX(Datos_Origen!$A$2:$A$2459,$Z1116)</f>
        <v>1115</v>
      </c>
      <c r="B1116" s="62" t="n">
        <f aca="false">IF(ISNUMBER($AB1116),$AB1116,IF(MID($AB1116,5,1)="-",DATE(VALUE(LEFT($AB1116,4)),VALUE(MID($AB1116,6,2)),VALUE(RIGHT($AB1116,2))),DATE(VALUE(RIGHT($AB1116,4)),VALUE(MID($AB1116,4,2)),VALUE(LEFT($AB1116,2)))))</f>
        <v>45629</v>
      </c>
      <c r="C1116" s="61" t="n">
        <f aca="false">YEAR($B1116)</f>
        <v>2024</v>
      </c>
      <c r="D1116" s="61" t="str">
        <f aca="false">"Q"&amp;ROUNDUP(MONTH($B1116)/3,0)</f>
        <v>Q4</v>
      </c>
      <c r="E1116" s="61" t="n">
        <f aca="false">MONTH($B1116)</f>
        <v>12</v>
      </c>
      <c r="F1116" s="61" t="str">
        <f aca="false">INDEX(Parametros!$I$5:$I$16,$E1116)</f>
        <v>Dic</v>
      </c>
      <c r="G1116" s="61" t="str">
        <f aca="false">TEXT($C1116,"0000")&amp;"-"&amp;TEXT($E1116,"00")</f>
        <v>2024-12</v>
      </c>
      <c r="H1116" s="61" t="str">
        <f aca="false">INDEX(Parametros!$C$71:$C$91,MATCH(TRIM(INDEX(Datos_Origen!$C$2:$C$2459,$Z1116)),Parametros!$B$71:$B$91,0))</f>
        <v>AMBA</v>
      </c>
      <c r="I1116" s="61" t="str">
        <f aca="false">IF(TRIM($AD1116)="",INDEX(Parametros!$I$20:$I$24,MATCH($H1116,Parametros!$H$20:$H$24,0)),TRIM($AD1116))</f>
        <v>Buenos Aires</v>
      </c>
      <c r="J1116" s="61" t="str">
        <f aca="false">INDEX(Parametros!$C$95:$C$106,MATCH(TRIM(INDEX(Datos_Origen!$E$2:$E$2459,$Z1116)),Parametros!$B$95:$B$106,0))</f>
        <v>Tienda fisica</v>
      </c>
      <c r="K1116" s="61" t="str">
        <f aca="false">INDEX(Parametros!$C$48:$C$67,MATCH(TRIM(INDEX(Datos_Origen!$F$2:$F$2459,$Z1116)),Parametros!$B$48:$B$67,0))</f>
        <v>Audio</v>
      </c>
      <c r="L1116" s="61" t="str">
        <f aca="false">$K1116&amp;" "&amp;$C1116</f>
        <v>Audio 2024</v>
      </c>
      <c r="M1116" s="61" t="str">
        <f aca="false">TRIM(INDEX(Datos_Origen!$G$2:$G$2459,$Z1116))</f>
        <v>Parlante Bluetooth</v>
      </c>
      <c r="N1116" s="61" t="str">
        <f aca="false">$M1116&amp;" "&amp;$C1116</f>
        <v>Parlante Bluetooth 2024</v>
      </c>
      <c r="O1116" s="63" t="n">
        <f aca="false">IF(ISTEXT($AC1116),VALUE($AC1116),$AC1116)</f>
        <v>61</v>
      </c>
      <c r="P1116" s="64" t="n">
        <f aca="false">INDEX(Datos_Origen!$I$2:$I$2459,$Z1116)</f>
        <v>83.3</v>
      </c>
      <c r="Q1116" s="64" t="n">
        <f aca="false">INDEX(Datos_Origen!$J$2:$J$2459,$Z1116)</f>
        <v>48.03</v>
      </c>
      <c r="R1116" s="65" t="n">
        <f aca="false">ROUND($O1116*$P1116,2)</f>
        <v>5081.3</v>
      </c>
      <c r="S1116" s="65" t="n">
        <f aca="false">ROUND($O1116*$Q1116,2)</f>
        <v>2929.83</v>
      </c>
      <c r="T1116" s="65" t="n">
        <f aca="false">ROUND($R1116*SUMIFS(Parametros!$E$28:$E$43,Parametros!$B$28:$B$43,$J1116,Parametros!$C$28:$C$43,$C1116,Parametros!$D$28:$D$43,$D1116),2)</f>
        <v>66.06</v>
      </c>
      <c r="U1116" s="65" t="n">
        <f aca="false">$R1116-$S1116-$T1116</f>
        <v>2085.41</v>
      </c>
      <c r="V1116" s="66" t="n">
        <f aca="false">IFERROR($U1116/$R1116,0)</f>
        <v>0.410408753665401</v>
      </c>
      <c r="W1116" s="67" t="str">
        <f aca="false">IF(AND($V1116&gt;=Parametros!$C$8,$R1116&gt;=Parametros!$C$12),"Alta rentabilidad",IF(OR($V1116&lt;Parametros!$C$11,$R1116&lt;Parametros!$C$13),"Revisar","Estandar"))</f>
        <v>Alta rentabilidad</v>
      </c>
      <c r="X1116" s="67" t="str">
        <f aca="false">IF(AND($J1116="E-commerce",IFERROR($T1116/$R1116,0)&gt;Parametros!$C$14),"Alerta","OK")</f>
        <v>OK</v>
      </c>
      <c r="Y1116" s="61" t="str">
        <f aca="false">IF($R1116&gt;=Parametros!$C$12,"Alto",IF($R1116&lt;Parametros!$C$13,"Bajo","Medio"))</f>
        <v>Alto</v>
      </c>
      <c r="Z1116" s="61" t="n">
        <v>1299</v>
      </c>
      <c r="AA1116" s="61" t="str">
        <f aca="false">IF(MATCH($A1116,Datos_Origen!$A$2:$A$2459,0)=$Z1116,"OK","REVISAR")</f>
        <v>OK</v>
      </c>
      <c r="AB1116" s="62" t="n">
        <f aca="false">INDEX(Datos_Origen!$B$2:$B$2459,$Z1116)</f>
        <v>45629</v>
      </c>
      <c r="AC1116" s="61" t="n">
        <f aca="false">INDEX(Datos_Origen!$H$2:$H$2459,$Z1116)</f>
        <v>61</v>
      </c>
      <c r="AD1116" s="61" t="str">
        <f aca="false">INDEX(Datos_Origen!$D$2:$D$2459,$Z1116)&amp;""</f>
        <v>Buenos Aires</v>
      </c>
    </row>
    <row r="1117" customFormat="false" ht="15" hidden="false" customHeight="false" outlineLevel="0" collapsed="false">
      <c r="A1117" s="61" t="n">
        <f aca="false">INDEX(Datos_Origen!$A$2:$A$2459,$Z1117)</f>
        <v>1116</v>
      </c>
      <c r="B1117" s="62" t="n">
        <f aca="false">IF(ISNUMBER($AB1117),$AB1117,IF(MID($AB1117,5,1)="-",DATE(VALUE(LEFT($AB1117,4)),VALUE(MID($AB1117,6,2)),VALUE(RIGHT($AB1117,2))),DATE(VALUE(RIGHT($AB1117,4)),VALUE(MID($AB1117,4,2)),VALUE(LEFT($AB1117,2)))))</f>
        <v>45636</v>
      </c>
      <c r="C1117" s="61" t="n">
        <f aca="false">YEAR($B1117)</f>
        <v>2024</v>
      </c>
      <c r="D1117" s="61" t="str">
        <f aca="false">"Q"&amp;ROUNDUP(MONTH($B1117)/3,0)</f>
        <v>Q4</v>
      </c>
      <c r="E1117" s="61" t="n">
        <f aca="false">MONTH($B1117)</f>
        <v>12</v>
      </c>
      <c r="F1117" s="61" t="str">
        <f aca="false">INDEX(Parametros!$I$5:$I$16,$E1117)</f>
        <v>Dic</v>
      </c>
      <c r="G1117" s="61" t="str">
        <f aca="false">TEXT($C1117,"0000")&amp;"-"&amp;TEXT($E1117,"00")</f>
        <v>2024-12</v>
      </c>
      <c r="H1117" s="61" t="str">
        <f aca="false">INDEX(Parametros!$C$71:$C$91,MATCH(TRIM(INDEX(Datos_Origen!$C$2:$C$2459,$Z1117)),Parametros!$B$71:$B$91,0))</f>
        <v>AMBA</v>
      </c>
      <c r="I1117" s="61" t="str">
        <f aca="false">IF(TRIM($AD1117)="",INDEX(Parametros!$I$20:$I$24,MATCH($H1117,Parametros!$H$20:$H$24,0)),TRIM($AD1117))</f>
        <v>Buenos Aires</v>
      </c>
      <c r="J1117" s="61" t="str">
        <f aca="false">INDEX(Parametros!$C$95:$C$106,MATCH(TRIM(INDEX(Datos_Origen!$E$2:$E$2459,$Z1117)),Parametros!$B$95:$B$106,0))</f>
        <v>E-commerce</v>
      </c>
      <c r="K1117" s="61" t="str">
        <f aca="false">INDEX(Parametros!$C$48:$C$67,MATCH(TRIM(INDEX(Datos_Origen!$F$2:$F$2459,$Z1117)),Parametros!$B$48:$B$67,0))</f>
        <v>Audio</v>
      </c>
      <c r="L1117" s="61" t="str">
        <f aca="false">$K1117&amp;" "&amp;$C1117</f>
        <v>Audio 2024</v>
      </c>
      <c r="M1117" s="61" t="str">
        <f aca="false">TRIM(INDEX(Datos_Origen!$G$2:$G$2459,$Z1117))</f>
        <v>Parlante Bluetooth</v>
      </c>
      <c r="N1117" s="61" t="str">
        <f aca="false">$M1117&amp;" "&amp;$C1117</f>
        <v>Parlante Bluetooth 2024</v>
      </c>
      <c r="O1117" s="63" t="n">
        <f aca="false">IF(ISTEXT($AC1117),VALUE($AC1117),$AC1117)</f>
        <v>27</v>
      </c>
      <c r="P1117" s="64" t="n">
        <f aca="false">INDEX(Datos_Origen!$I$2:$I$2459,$Z1117)</f>
        <v>83.3</v>
      </c>
      <c r="Q1117" s="64" t="n">
        <f aca="false">INDEX(Datos_Origen!$J$2:$J$2459,$Z1117)</f>
        <v>48.03</v>
      </c>
      <c r="R1117" s="65" t="n">
        <f aca="false">ROUND($O1117*$P1117,2)</f>
        <v>2249.1</v>
      </c>
      <c r="S1117" s="65" t="n">
        <f aca="false">ROUND($O1117*$Q1117,2)</f>
        <v>1296.81</v>
      </c>
      <c r="T1117" s="65" t="n">
        <f aca="false">ROUND($R1117*SUMIFS(Parametros!$E$28:$E$43,Parametros!$B$28:$B$43,$J1117,Parametros!$C$28:$C$43,$C1117,Parametros!$D$28:$D$43,$D1117),2)</f>
        <v>107.96</v>
      </c>
      <c r="U1117" s="65" t="n">
        <f aca="false">$R1117-$S1117-$T1117</f>
        <v>844.33</v>
      </c>
      <c r="V1117" s="66" t="n">
        <f aca="false">IFERROR($U1117/$R1117,0)</f>
        <v>0.375407940954159</v>
      </c>
      <c r="W1117" s="67" t="str">
        <f aca="false">IF(AND($V1117&gt;=Parametros!$C$8,$R1117&gt;=Parametros!$C$12),"Alta rentabilidad",IF(OR($V1117&lt;Parametros!$C$11,$R1117&lt;Parametros!$C$13),"Revisar","Estandar"))</f>
        <v>Estandar</v>
      </c>
      <c r="X1117" s="67" t="str">
        <f aca="false">IF(AND($J1117="E-commerce",IFERROR($T1117/$R1117,0)&gt;Parametros!$C$14),"Alerta","OK")</f>
        <v>OK</v>
      </c>
      <c r="Y1117" s="61" t="str">
        <f aca="false">IF($R1117&gt;=Parametros!$C$12,"Alto",IF($R1117&lt;Parametros!$C$13,"Bajo","Medio"))</f>
        <v>Medio</v>
      </c>
      <c r="Z1117" s="61" t="n">
        <v>305</v>
      </c>
      <c r="AA1117" s="61" t="str">
        <f aca="false">IF(MATCH($A1117,Datos_Origen!$A$2:$A$2459,0)=$Z1117,"OK","REVISAR")</f>
        <v>OK</v>
      </c>
      <c r="AB1117" s="62" t="n">
        <f aca="false">INDEX(Datos_Origen!$B$2:$B$2459,$Z1117)</f>
        <v>45636</v>
      </c>
      <c r="AC1117" s="61" t="n">
        <f aca="false">INDEX(Datos_Origen!$H$2:$H$2459,$Z1117)</f>
        <v>27</v>
      </c>
      <c r="AD1117" s="61" t="str">
        <f aca="false">INDEX(Datos_Origen!$D$2:$D$2459,$Z1117)&amp;""</f>
        <v>Buenos Aires</v>
      </c>
    </row>
    <row r="1118" customFormat="false" ht="15" hidden="false" customHeight="false" outlineLevel="0" collapsed="false">
      <c r="A1118" s="61" t="n">
        <f aca="false">INDEX(Datos_Origen!$A$2:$A$2459,$Z1118)</f>
        <v>1117</v>
      </c>
      <c r="B1118" s="62" t="n">
        <f aca="false">IF(ISNUMBER($AB1118),$AB1118,IF(MID($AB1118,5,1)="-",DATE(VALUE(LEFT($AB1118,4)),VALUE(MID($AB1118,6,2)),VALUE(RIGHT($AB1118,2))),DATE(VALUE(RIGHT($AB1118,4)),VALUE(MID($AB1118,4,2)),VALUE(LEFT($AB1118,2)))))</f>
        <v>45643</v>
      </c>
      <c r="C1118" s="61" t="n">
        <f aca="false">YEAR($B1118)</f>
        <v>2024</v>
      </c>
      <c r="D1118" s="61" t="str">
        <f aca="false">"Q"&amp;ROUNDUP(MONTH($B1118)/3,0)</f>
        <v>Q4</v>
      </c>
      <c r="E1118" s="61" t="n">
        <f aca="false">MONTH($B1118)</f>
        <v>12</v>
      </c>
      <c r="F1118" s="61" t="str">
        <f aca="false">INDEX(Parametros!$I$5:$I$16,$E1118)</f>
        <v>Dic</v>
      </c>
      <c r="G1118" s="61" t="str">
        <f aca="false">TEXT($C1118,"0000")&amp;"-"&amp;TEXT($E1118,"00")</f>
        <v>2024-12</v>
      </c>
      <c r="H1118" s="61" t="str">
        <f aca="false">INDEX(Parametros!$C$71:$C$91,MATCH(TRIM(INDEX(Datos_Origen!$C$2:$C$2459,$Z1118)),Parametros!$B$71:$B$91,0))</f>
        <v>AMBA</v>
      </c>
      <c r="I1118" s="61" t="str">
        <f aca="false">IF(TRIM($AD1118)="",INDEX(Parametros!$I$20:$I$24,MATCH($H1118,Parametros!$H$20:$H$24,0)),TRIM($AD1118))</f>
        <v>Buenos Aires</v>
      </c>
      <c r="J1118" s="61" t="str">
        <f aca="false">INDEX(Parametros!$C$95:$C$106,MATCH(TRIM(INDEX(Datos_Origen!$E$2:$E$2459,$Z1118)),Parametros!$B$95:$B$106,0))</f>
        <v>Tienda fisica</v>
      </c>
      <c r="K1118" s="61" t="str">
        <f aca="false">INDEX(Parametros!$C$48:$C$67,MATCH(TRIM(INDEX(Datos_Origen!$F$2:$F$2459,$Z1118)),Parametros!$B$48:$B$67,0))</f>
        <v>Almacenamiento</v>
      </c>
      <c r="L1118" s="61" t="str">
        <f aca="false">$K1118&amp;" "&amp;$C1118</f>
        <v>Almacenamiento 2024</v>
      </c>
      <c r="M1118" s="61" t="str">
        <f aca="false">TRIM(INDEX(Datos_Origen!$G$2:$G$2459,$Z1118))</f>
        <v>SSD Externo 1TB</v>
      </c>
      <c r="N1118" s="61" t="str">
        <f aca="false">$M1118&amp;" "&amp;$C1118</f>
        <v>SSD Externo 1TB 2024</v>
      </c>
      <c r="O1118" s="63" t="n">
        <f aca="false">IF(ISTEXT($AC1118),VALUE($AC1118),$AC1118)</f>
        <v>81</v>
      </c>
      <c r="P1118" s="64" t="n">
        <f aca="false">INDEX(Datos_Origen!$I$2:$I$2459,$Z1118)</f>
        <v>127.4</v>
      </c>
      <c r="Q1118" s="64" t="n">
        <f aca="false">INDEX(Datos_Origen!$J$2:$J$2459,$Z1118)</f>
        <v>76.05</v>
      </c>
      <c r="R1118" s="65" t="n">
        <f aca="false">ROUND($O1118*$P1118,2)</f>
        <v>10319.4</v>
      </c>
      <c r="S1118" s="65" t="n">
        <f aca="false">ROUND($O1118*$Q1118,2)</f>
        <v>6160.05</v>
      </c>
      <c r="T1118" s="65" t="n">
        <f aca="false">ROUND($R1118*SUMIFS(Parametros!$E$28:$E$43,Parametros!$B$28:$B$43,$J1118,Parametros!$C$28:$C$43,$C1118,Parametros!$D$28:$D$43,$D1118),2)</f>
        <v>134.15</v>
      </c>
      <c r="U1118" s="65" t="n">
        <f aca="false">$R1118-$S1118-$T1118</f>
        <v>4025.2</v>
      </c>
      <c r="V1118" s="66" t="n">
        <f aca="false">IFERROR($U1118/$R1118,0)</f>
        <v>0.390061437680485</v>
      </c>
      <c r="W1118" s="67" t="str">
        <f aca="false">IF(AND($V1118&gt;=Parametros!$C$8,$R1118&gt;=Parametros!$C$12),"Alta rentabilidad",IF(OR($V1118&lt;Parametros!$C$11,$R1118&lt;Parametros!$C$13),"Revisar","Estandar"))</f>
        <v>Alta rentabilidad</v>
      </c>
      <c r="X1118" s="67" t="str">
        <f aca="false">IF(AND($J1118="E-commerce",IFERROR($T1118/$R1118,0)&gt;Parametros!$C$14),"Alerta","OK")</f>
        <v>OK</v>
      </c>
      <c r="Y1118" s="61" t="str">
        <f aca="false">IF($R1118&gt;=Parametros!$C$12,"Alto",IF($R1118&lt;Parametros!$C$13,"Bajo","Medio"))</f>
        <v>Alto</v>
      </c>
      <c r="Z1118" s="61" t="n">
        <v>592</v>
      </c>
      <c r="AA1118" s="61" t="str">
        <f aca="false">IF(MATCH($A1118,Datos_Origen!$A$2:$A$2459,0)=$Z1118,"OK","REVISAR")</f>
        <v>OK</v>
      </c>
      <c r="AB1118" s="62" t="n">
        <f aca="false">INDEX(Datos_Origen!$B$2:$B$2459,$Z1118)</f>
        <v>45643</v>
      </c>
      <c r="AC1118" s="61" t="n">
        <f aca="false">INDEX(Datos_Origen!$H$2:$H$2459,$Z1118)</f>
        <v>81</v>
      </c>
      <c r="AD1118" s="61" t="str">
        <f aca="false">INDEX(Datos_Origen!$D$2:$D$2459,$Z1118)&amp;""</f>
        <v>Buenos Aires</v>
      </c>
    </row>
    <row r="1119" customFormat="false" ht="15" hidden="false" customHeight="false" outlineLevel="0" collapsed="false">
      <c r="A1119" s="61" t="n">
        <f aca="false">INDEX(Datos_Origen!$A$2:$A$2459,$Z1119)</f>
        <v>1118</v>
      </c>
      <c r="B1119" s="62" t="n">
        <f aca="false">IF(ISNUMBER($AB1119),$AB1119,IF(MID($AB1119,5,1)="-",DATE(VALUE(LEFT($AB1119,4)),VALUE(MID($AB1119,6,2)),VALUE(RIGHT($AB1119,2))),DATE(VALUE(RIGHT($AB1119,4)),VALUE(MID($AB1119,4,2)),VALUE(LEFT($AB1119,2)))))</f>
        <v>45650</v>
      </c>
      <c r="C1119" s="61" t="n">
        <f aca="false">YEAR($B1119)</f>
        <v>2024</v>
      </c>
      <c r="D1119" s="61" t="str">
        <f aca="false">"Q"&amp;ROUNDUP(MONTH($B1119)/3,0)</f>
        <v>Q4</v>
      </c>
      <c r="E1119" s="61" t="n">
        <f aca="false">MONTH($B1119)</f>
        <v>12</v>
      </c>
      <c r="F1119" s="61" t="str">
        <f aca="false">INDEX(Parametros!$I$5:$I$16,$E1119)</f>
        <v>Dic</v>
      </c>
      <c r="G1119" s="61" t="str">
        <f aca="false">TEXT($C1119,"0000")&amp;"-"&amp;TEXT($E1119,"00")</f>
        <v>2024-12</v>
      </c>
      <c r="H1119" s="61" t="str">
        <f aca="false">INDEX(Parametros!$C$71:$C$91,MATCH(TRIM(INDEX(Datos_Origen!$C$2:$C$2459,$Z1119)),Parametros!$B$71:$B$91,0))</f>
        <v>AMBA</v>
      </c>
      <c r="I1119" s="61" t="str">
        <f aca="false">IF(TRIM($AD1119)="",INDEX(Parametros!$I$20:$I$24,MATCH($H1119,Parametros!$H$20:$H$24,0)),TRIM($AD1119))</f>
        <v>Buenos Aires</v>
      </c>
      <c r="J1119" s="61" t="str">
        <f aca="false">INDEX(Parametros!$C$95:$C$106,MATCH(TRIM(INDEX(Datos_Origen!$E$2:$E$2459,$Z1119)),Parametros!$B$95:$B$106,0))</f>
        <v>E-commerce</v>
      </c>
      <c r="K1119" s="61" t="str">
        <f aca="false">INDEX(Parametros!$C$48:$C$67,MATCH(TRIM(INDEX(Datos_Origen!$F$2:$F$2459,$Z1119)),Parametros!$B$48:$B$67,0))</f>
        <v>Almacenamiento</v>
      </c>
      <c r="L1119" s="61" t="str">
        <f aca="false">$K1119&amp;" "&amp;$C1119</f>
        <v>Almacenamiento 2024</v>
      </c>
      <c r="M1119" s="61" t="str">
        <f aca="false">TRIM(INDEX(Datos_Origen!$G$2:$G$2459,$Z1119))</f>
        <v>SSD Externo 1TB</v>
      </c>
      <c r="N1119" s="61" t="str">
        <f aca="false">$M1119&amp;" "&amp;$C1119</f>
        <v>SSD Externo 1TB 2024</v>
      </c>
      <c r="O1119" s="63" t="n">
        <f aca="false">IF(ISTEXT($AC1119),VALUE($AC1119),$AC1119)</f>
        <v>31</v>
      </c>
      <c r="P1119" s="64" t="n">
        <f aca="false">INDEX(Datos_Origen!$I$2:$I$2459,$Z1119)</f>
        <v>127.4</v>
      </c>
      <c r="Q1119" s="64" t="n">
        <f aca="false">INDEX(Datos_Origen!$J$2:$J$2459,$Z1119)</f>
        <v>76.05</v>
      </c>
      <c r="R1119" s="65" t="n">
        <f aca="false">ROUND($O1119*$P1119,2)</f>
        <v>3949.4</v>
      </c>
      <c r="S1119" s="65" t="n">
        <f aca="false">ROUND($O1119*$Q1119,2)</f>
        <v>2357.55</v>
      </c>
      <c r="T1119" s="65" t="n">
        <f aca="false">ROUND($R1119*SUMIFS(Parametros!$E$28:$E$43,Parametros!$B$28:$B$43,$J1119,Parametros!$C$28:$C$43,$C1119,Parametros!$D$28:$D$43,$D1119),2)</f>
        <v>189.57</v>
      </c>
      <c r="U1119" s="65" t="n">
        <f aca="false">$R1119-$S1119-$T1119</f>
        <v>1402.28</v>
      </c>
      <c r="V1119" s="66" t="n">
        <f aca="false">IFERROR($U1119/$R1119,0)</f>
        <v>0.355061528333418</v>
      </c>
      <c r="W1119" s="67" t="str">
        <f aca="false">IF(AND($V1119&gt;=Parametros!$C$8,$R1119&gt;=Parametros!$C$12),"Alta rentabilidad",IF(OR($V1119&lt;Parametros!$C$11,$R1119&lt;Parametros!$C$13),"Revisar","Estandar"))</f>
        <v>Alta rentabilidad</v>
      </c>
      <c r="X1119" s="67" t="str">
        <f aca="false">IF(AND($J1119="E-commerce",IFERROR($T1119/$R1119,0)&gt;Parametros!$C$14),"Alerta","OK")</f>
        <v>OK</v>
      </c>
      <c r="Y1119" s="61" t="str">
        <f aca="false">IF($R1119&gt;=Parametros!$C$12,"Alto",IF($R1119&lt;Parametros!$C$13,"Bajo","Medio"))</f>
        <v>Alto</v>
      </c>
      <c r="Z1119" s="61" t="n">
        <v>1199</v>
      </c>
      <c r="AA1119" s="61" t="str">
        <f aca="false">IF(MATCH($A1119,Datos_Origen!$A$2:$A$2459,0)=$Z1119,"OK","REVISAR")</f>
        <v>OK</v>
      </c>
      <c r="AB1119" s="62" t="n">
        <f aca="false">INDEX(Datos_Origen!$B$2:$B$2459,$Z1119)</f>
        <v>45650</v>
      </c>
      <c r="AC1119" s="61" t="n">
        <f aca="false">INDEX(Datos_Origen!$H$2:$H$2459,$Z1119)</f>
        <v>31</v>
      </c>
      <c r="AD1119" s="61" t="str">
        <f aca="false">INDEX(Datos_Origen!$D$2:$D$2459,$Z1119)&amp;""</f>
        <v>Buenos Aires</v>
      </c>
    </row>
    <row r="1120" customFormat="false" ht="15" hidden="false" customHeight="false" outlineLevel="0" collapsed="false">
      <c r="A1120" s="61" t="n">
        <f aca="false">INDEX(Datos_Origen!$A$2:$A$2459,$Z1120)</f>
        <v>1119</v>
      </c>
      <c r="B1120" s="62" t="n">
        <f aca="false">IF(ISNUMBER($AB1120),$AB1120,IF(MID($AB1120,5,1)="-",DATE(VALUE(LEFT($AB1120,4)),VALUE(MID($AB1120,6,2)),VALUE(RIGHT($AB1120,2))),DATE(VALUE(RIGHT($AB1120,4)),VALUE(MID($AB1120,4,2)),VALUE(LEFT($AB1120,2)))))</f>
        <v>45630</v>
      </c>
      <c r="C1120" s="61" t="n">
        <f aca="false">YEAR($B1120)</f>
        <v>2024</v>
      </c>
      <c r="D1120" s="61" t="str">
        <f aca="false">"Q"&amp;ROUNDUP(MONTH($B1120)/3,0)</f>
        <v>Q4</v>
      </c>
      <c r="E1120" s="61" t="n">
        <f aca="false">MONTH($B1120)</f>
        <v>12</v>
      </c>
      <c r="F1120" s="61" t="str">
        <f aca="false">INDEX(Parametros!$I$5:$I$16,$E1120)</f>
        <v>Dic</v>
      </c>
      <c r="G1120" s="61" t="str">
        <f aca="false">TEXT($C1120,"0000")&amp;"-"&amp;TEXT($E1120,"00")</f>
        <v>2024-12</v>
      </c>
      <c r="H1120" s="61" t="str">
        <f aca="false">INDEX(Parametros!$C$71:$C$91,MATCH(TRIM(INDEX(Datos_Origen!$C$2:$C$2459,$Z1120)),Parametros!$B$71:$B$91,0))</f>
        <v>AMBA</v>
      </c>
      <c r="I1120" s="61" t="str">
        <f aca="false">IF(TRIM($AD1120)="",INDEX(Parametros!$I$20:$I$24,MATCH($H1120,Parametros!$H$20:$H$24,0)),TRIM($AD1120))</f>
        <v>Buenos Aires</v>
      </c>
      <c r="J1120" s="61" t="str">
        <f aca="false">INDEX(Parametros!$C$95:$C$106,MATCH(TRIM(INDEX(Datos_Origen!$E$2:$E$2459,$Z1120)),Parametros!$B$95:$B$106,0))</f>
        <v>Tienda fisica</v>
      </c>
      <c r="K1120" s="61" t="str">
        <f aca="false">INDEX(Parametros!$C$48:$C$67,MATCH(TRIM(INDEX(Datos_Origen!$F$2:$F$2459,$Z1120)),Parametros!$B$48:$B$67,0))</f>
        <v>Almacenamiento</v>
      </c>
      <c r="L1120" s="61" t="str">
        <f aca="false">$K1120&amp;" "&amp;$C1120</f>
        <v>Almacenamiento 2024</v>
      </c>
      <c r="M1120" s="61" t="str">
        <f aca="false">TRIM(INDEX(Datos_Origen!$G$2:$G$2459,$Z1120))</f>
        <v>Pendrive 256GB</v>
      </c>
      <c r="N1120" s="61" t="str">
        <f aca="false">$M1120&amp;" "&amp;$C1120</f>
        <v>Pendrive 256GB 2024</v>
      </c>
      <c r="O1120" s="63" t="n">
        <f aca="false">IF(ISTEXT($AC1120),VALUE($AC1120),$AC1120)</f>
        <v>71</v>
      </c>
      <c r="P1120" s="64" t="n">
        <f aca="false">INDEX(Datos_Origen!$I$2:$I$2459,$Z1120)</f>
        <v>34.3</v>
      </c>
      <c r="Q1120" s="64" t="n">
        <f aca="false">INDEX(Datos_Origen!$J$2:$J$2459,$Z1120)</f>
        <v>17.85</v>
      </c>
      <c r="R1120" s="65" t="n">
        <f aca="false">ROUND($O1120*$P1120,2)</f>
        <v>2435.3</v>
      </c>
      <c r="S1120" s="65" t="n">
        <f aca="false">ROUND($O1120*$Q1120,2)</f>
        <v>1267.35</v>
      </c>
      <c r="T1120" s="65" t="n">
        <f aca="false">ROUND($R1120*SUMIFS(Parametros!$E$28:$E$43,Parametros!$B$28:$B$43,$J1120,Parametros!$C$28:$C$43,$C1120,Parametros!$D$28:$D$43,$D1120),2)</f>
        <v>31.66</v>
      </c>
      <c r="U1120" s="65" t="n">
        <f aca="false">$R1120-$S1120-$T1120</f>
        <v>1136.29</v>
      </c>
      <c r="V1120" s="66" t="n">
        <f aca="false">IFERROR($U1120/$R1120,0)</f>
        <v>0.466591385044964</v>
      </c>
      <c r="W1120" s="67" t="str">
        <f aca="false">IF(AND($V1120&gt;=Parametros!$C$8,$R1120&gt;=Parametros!$C$12),"Alta rentabilidad",IF(OR($V1120&lt;Parametros!$C$11,$R1120&lt;Parametros!$C$13),"Revisar","Estandar"))</f>
        <v>Estandar</v>
      </c>
      <c r="X1120" s="67" t="str">
        <f aca="false">IF(AND($J1120="E-commerce",IFERROR($T1120/$R1120,0)&gt;Parametros!$C$14),"Alerta","OK")</f>
        <v>OK</v>
      </c>
      <c r="Y1120" s="61" t="str">
        <f aca="false">IF($R1120&gt;=Parametros!$C$12,"Alto",IF($R1120&lt;Parametros!$C$13,"Bajo","Medio"))</f>
        <v>Medio</v>
      </c>
      <c r="Z1120" s="61" t="n">
        <v>1389</v>
      </c>
      <c r="AA1120" s="61" t="str">
        <f aca="false">IF(MATCH($A1120,Datos_Origen!$A$2:$A$2459,0)=$Z1120,"OK","REVISAR")</f>
        <v>OK</v>
      </c>
      <c r="AB1120" s="62" t="n">
        <f aca="false">INDEX(Datos_Origen!$B$2:$B$2459,$Z1120)</f>
        <v>45630</v>
      </c>
      <c r="AC1120" s="61" t="n">
        <f aca="false">INDEX(Datos_Origen!$H$2:$H$2459,$Z1120)</f>
        <v>71</v>
      </c>
      <c r="AD1120" s="61" t="str">
        <f aca="false">INDEX(Datos_Origen!$D$2:$D$2459,$Z1120)&amp;""</f>
        <v>Buenos Aires</v>
      </c>
    </row>
    <row r="1121" customFormat="false" ht="15" hidden="false" customHeight="false" outlineLevel="0" collapsed="false">
      <c r="A1121" s="61" t="n">
        <f aca="false">INDEX(Datos_Origen!$A$2:$A$2459,$Z1121)</f>
        <v>1120</v>
      </c>
      <c r="B1121" s="62" t="n">
        <f aca="false">IF(ISNUMBER($AB1121),$AB1121,IF(MID($AB1121,5,1)="-",DATE(VALUE(LEFT($AB1121,4)),VALUE(MID($AB1121,6,2)),VALUE(RIGHT($AB1121,2))),DATE(VALUE(RIGHT($AB1121,4)),VALUE(MID($AB1121,4,2)),VALUE(LEFT($AB1121,2)))))</f>
        <v>45637</v>
      </c>
      <c r="C1121" s="61" t="n">
        <f aca="false">YEAR($B1121)</f>
        <v>2024</v>
      </c>
      <c r="D1121" s="61" t="str">
        <f aca="false">"Q"&amp;ROUNDUP(MONTH($B1121)/3,0)</f>
        <v>Q4</v>
      </c>
      <c r="E1121" s="61" t="n">
        <f aca="false">MONTH($B1121)</f>
        <v>12</v>
      </c>
      <c r="F1121" s="61" t="str">
        <f aca="false">INDEX(Parametros!$I$5:$I$16,$E1121)</f>
        <v>Dic</v>
      </c>
      <c r="G1121" s="61" t="str">
        <f aca="false">TEXT($C1121,"0000")&amp;"-"&amp;TEXT($E1121,"00")</f>
        <v>2024-12</v>
      </c>
      <c r="H1121" s="61" t="str">
        <f aca="false">INDEX(Parametros!$C$71:$C$91,MATCH(TRIM(INDEX(Datos_Origen!$C$2:$C$2459,$Z1121)),Parametros!$B$71:$B$91,0))</f>
        <v>AMBA</v>
      </c>
      <c r="I1121" s="61" t="str">
        <f aca="false">IF(TRIM($AD1121)="",INDEX(Parametros!$I$20:$I$24,MATCH($H1121,Parametros!$H$20:$H$24,0)),TRIM($AD1121))</f>
        <v>Buenos Aires</v>
      </c>
      <c r="J1121" s="61" t="str">
        <f aca="false">INDEX(Parametros!$C$95:$C$106,MATCH(TRIM(INDEX(Datos_Origen!$E$2:$E$2459,$Z1121)),Parametros!$B$95:$B$106,0))</f>
        <v>E-commerce</v>
      </c>
      <c r="K1121" s="61" t="str">
        <f aca="false">INDEX(Parametros!$C$48:$C$67,MATCH(TRIM(INDEX(Datos_Origen!$F$2:$F$2459,$Z1121)),Parametros!$B$48:$B$67,0))</f>
        <v>Almacenamiento</v>
      </c>
      <c r="L1121" s="61" t="str">
        <f aca="false">$K1121&amp;" "&amp;$C1121</f>
        <v>Almacenamiento 2024</v>
      </c>
      <c r="M1121" s="61" t="str">
        <f aca="false">TRIM(INDEX(Datos_Origen!$G$2:$G$2459,$Z1121))</f>
        <v>Pendrive 256GB</v>
      </c>
      <c r="N1121" s="61" t="str">
        <f aca="false">$M1121&amp;" "&amp;$C1121</f>
        <v>Pendrive 256GB 2024</v>
      </c>
      <c r="O1121" s="63" t="n">
        <f aca="false">IF(ISTEXT($AC1121),VALUE($AC1121),$AC1121)</f>
        <v>29</v>
      </c>
      <c r="P1121" s="64" t="n">
        <f aca="false">INDEX(Datos_Origen!$I$2:$I$2459,$Z1121)</f>
        <v>34.3</v>
      </c>
      <c r="Q1121" s="64" t="n">
        <f aca="false">INDEX(Datos_Origen!$J$2:$J$2459,$Z1121)</f>
        <v>17.85</v>
      </c>
      <c r="R1121" s="65" t="n">
        <f aca="false">ROUND($O1121*$P1121,2)</f>
        <v>994.7</v>
      </c>
      <c r="S1121" s="65" t="n">
        <f aca="false">ROUND($O1121*$Q1121,2)</f>
        <v>517.65</v>
      </c>
      <c r="T1121" s="65" t="n">
        <f aca="false">ROUND($R1121*SUMIFS(Parametros!$E$28:$E$43,Parametros!$B$28:$B$43,$J1121,Parametros!$C$28:$C$43,$C1121,Parametros!$D$28:$D$43,$D1121),2)</f>
        <v>47.75</v>
      </c>
      <c r="U1121" s="65" t="n">
        <f aca="false">$R1121-$S1121-$T1121</f>
        <v>429.3</v>
      </c>
      <c r="V1121" s="66" t="n">
        <f aca="false">IFERROR($U1121/$R1121,0)</f>
        <v>0.431587413290439</v>
      </c>
      <c r="W1121" s="67" t="str">
        <f aca="false">IF(AND($V1121&gt;=Parametros!$C$8,$R1121&gt;=Parametros!$C$12),"Alta rentabilidad",IF(OR($V1121&lt;Parametros!$C$11,$R1121&lt;Parametros!$C$13),"Revisar","Estandar"))</f>
        <v>Estandar</v>
      </c>
      <c r="X1121" s="67" t="str">
        <f aca="false">IF(AND($J1121="E-commerce",IFERROR($T1121/$R1121,0)&gt;Parametros!$C$14),"Alerta","OK")</f>
        <v>OK</v>
      </c>
      <c r="Y1121" s="61" t="str">
        <f aca="false">IF($R1121&gt;=Parametros!$C$12,"Alto",IF($R1121&lt;Parametros!$C$13,"Bajo","Medio"))</f>
        <v>Medio</v>
      </c>
      <c r="Z1121" s="61" t="n">
        <v>2218</v>
      </c>
      <c r="AA1121" s="61" t="str">
        <f aca="false">IF(MATCH($A1121,Datos_Origen!$A$2:$A$2459,0)=$Z1121,"OK","REVISAR")</f>
        <v>OK</v>
      </c>
      <c r="AB1121" s="62" t="n">
        <f aca="false">INDEX(Datos_Origen!$B$2:$B$2459,$Z1121)</f>
        <v>45637</v>
      </c>
      <c r="AC1121" s="61" t="n">
        <f aca="false">INDEX(Datos_Origen!$H$2:$H$2459,$Z1121)</f>
        <v>29</v>
      </c>
      <c r="AD1121" s="61" t="str">
        <f aca="false">INDEX(Datos_Origen!$D$2:$D$2459,$Z1121)&amp;""</f>
        <v>Buenos Aires</v>
      </c>
    </row>
    <row r="1122" customFormat="false" ht="15" hidden="false" customHeight="false" outlineLevel="0" collapsed="false">
      <c r="A1122" s="61" t="n">
        <f aca="false">INDEX(Datos_Origen!$A$2:$A$2459,$Z1122)</f>
        <v>1121</v>
      </c>
      <c r="B1122" s="62" t="n">
        <f aca="false">IF(ISNUMBER($AB1122),$AB1122,IF(MID($AB1122,5,1)="-",DATE(VALUE(LEFT($AB1122,4)),VALUE(MID($AB1122,6,2)),VALUE(RIGHT($AB1122,2))),DATE(VALUE(RIGHT($AB1122,4)),VALUE(MID($AB1122,4,2)),VALUE(LEFT($AB1122,2)))))</f>
        <v>45644</v>
      </c>
      <c r="C1122" s="61" t="n">
        <f aca="false">YEAR($B1122)</f>
        <v>2024</v>
      </c>
      <c r="D1122" s="61" t="str">
        <f aca="false">"Q"&amp;ROUNDUP(MONTH($B1122)/3,0)</f>
        <v>Q4</v>
      </c>
      <c r="E1122" s="61" t="n">
        <f aca="false">MONTH($B1122)</f>
        <v>12</v>
      </c>
      <c r="F1122" s="61" t="str">
        <f aca="false">INDEX(Parametros!$I$5:$I$16,$E1122)</f>
        <v>Dic</v>
      </c>
      <c r="G1122" s="61" t="str">
        <f aca="false">TEXT($C1122,"0000")&amp;"-"&amp;TEXT($E1122,"00")</f>
        <v>2024-12</v>
      </c>
      <c r="H1122" s="61" t="str">
        <f aca="false">INDEX(Parametros!$C$71:$C$91,MATCH(TRIM(INDEX(Datos_Origen!$C$2:$C$2459,$Z1122)),Parametros!$B$71:$B$91,0))</f>
        <v>Centro</v>
      </c>
      <c r="I1122" s="61" t="str">
        <f aca="false">IF(TRIM($AD1122)="",INDEX(Parametros!$I$20:$I$24,MATCH($H1122,Parametros!$H$20:$H$24,0)),TRIM($AD1122))</f>
        <v>Cordoba</v>
      </c>
      <c r="J1122" s="61" t="str">
        <f aca="false">INDEX(Parametros!$C$95:$C$106,MATCH(TRIM(INDEX(Datos_Origen!$E$2:$E$2459,$Z1122)),Parametros!$B$95:$B$106,0))</f>
        <v>Tienda fisica</v>
      </c>
      <c r="K1122" s="61" t="str">
        <f aca="false">INDEX(Parametros!$C$48:$C$67,MATCH(TRIM(INDEX(Datos_Origen!$F$2:$F$2459,$Z1122)),Parametros!$B$48:$B$67,0))</f>
        <v>Computacion</v>
      </c>
      <c r="L1122" s="61" t="str">
        <f aca="false">$K1122&amp;" "&amp;$C1122</f>
        <v>Computacion 2024</v>
      </c>
      <c r="M1122" s="61" t="str">
        <f aca="false">TRIM(INDEX(Datos_Origen!$G$2:$G$2459,$Z1122))</f>
        <v>Laptop Pro 15</v>
      </c>
      <c r="N1122" s="61" t="str">
        <f aca="false">$M1122&amp;" "&amp;$C1122</f>
        <v>Laptop Pro 15 2024</v>
      </c>
      <c r="O1122" s="63" t="n">
        <f aca="false">IF(ISTEXT($AC1122),VALUE($AC1122),$AC1122)</f>
        <v>17</v>
      </c>
      <c r="P1122" s="64" t="n">
        <f aca="false">INDEX(Datos_Origen!$I$2:$I$2459,$Z1122)</f>
        <v>1176</v>
      </c>
      <c r="Q1122" s="64" t="n">
        <f aca="false">INDEX(Datos_Origen!$J$2:$J$2459,$Z1122)</f>
        <v>744</v>
      </c>
      <c r="R1122" s="65" t="n">
        <f aca="false">ROUND($O1122*$P1122,2)</f>
        <v>19992</v>
      </c>
      <c r="S1122" s="65" t="n">
        <f aca="false">ROUND($O1122*$Q1122,2)</f>
        <v>12648</v>
      </c>
      <c r="T1122" s="65" t="n">
        <f aca="false">ROUND($R1122*SUMIFS(Parametros!$E$28:$E$43,Parametros!$B$28:$B$43,$J1122,Parametros!$C$28:$C$43,$C1122,Parametros!$D$28:$D$43,$D1122),2)</f>
        <v>259.9</v>
      </c>
      <c r="U1122" s="65" t="n">
        <f aca="false">$R1122-$S1122-$T1122</f>
        <v>7084.1</v>
      </c>
      <c r="V1122" s="66" t="n">
        <f aca="false">IFERROR($U1122/$R1122,0)</f>
        <v>0.354346738695478</v>
      </c>
      <c r="W1122" s="67" t="str">
        <f aca="false">IF(AND($V1122&gt;=Parametros!$C$8,$R1122&gt;=Parametros!$C$12),"Alta rentabilidad",IF(OR($V1122&lt;Parametros!$C$11,$R1122&lt;Parametros!$C$13),"Revisar","Estandar"))</f>
        <v>Alta rentabilidad</v>
      </c>
      <c r="X1122" s="67" t="str">
        <f aca="false">IF(AND($J1122="E-commerce",IFERROR($T1122/$R1122,0)&gt;Parametros!$C$14),"Alerta","OK")</f>
        <v>OK</v>
      </c>
      <c r="Y1122" s="61" t="str">
        <f aca="false">IF($R1122&gt;=Parametros!$C$12,"Alto",IF($R1122&lt;Parametros!$C$13,"Bajo","Medio"))</f>
        <v>Alto</v>
      </c>
      <c r="Z1122" s="61" t="n">
        <v>1755</v>
      </c>
      <c r="AA1122" s="61" t="str">
        <f aca="false">IF(MATCH($A1122,Datos_Origen!$A$2:$A$2459,0)=$Z1122,"OK","REVISAR")</f>
        <v>OK</v>
      </c>
      <c r="AB1122" s="62" t="n">
        <f aca="false">INDEX(Datos_Origen!$B$2:$B$2459,$Z1122)</f>
        <v>45644</v>
      </c>
      <c r="AC1122" s="61" t="n">
        <f aca="false">INDEX(Datos_Origen!$H$2:$H$2459,$Z1122)</f>
        <v>17</v>
      </c>
      <c r="AD1122" s="61" t="str">
        <f aca="false">INDEX(Datos_Origen!$D$2:$D$2459,$Z1122)&amp;""</f>
        <v>Cordoba</v>
      </c>
    </row>
    <row r="1123" customFormat="false" ht="15" hidden="false" customHeight="false" outlineLevel="0" collapsed="false">
      <c r="A1123" s="61" t="n">
        <f aca="false">INDEX(Datos_Origen!$A$2:$A$2459,$Z1123)</f>
        <v>1122</v>
      </c>
      <c r="B1123" s="62" t="n">
        <f aca="false">IF(ISNUMBER($AB1123),$AB1123,IF(MID($AB1123,5,1)="-",DATE(VALUE(LEFT($AB1123,4)),VALUE(MID($AB1123,6,2)),VALUE(RIGHT($AB1123,2))),DATE(VALUE(RIGHT($AB1123,4)),VALUE(MID($AB1123,4,2)),VALUE(LEFT($AB1123,2)))))</f>
        <v>45651</v>
      </c>
      <c r="C1123" s="61" t="n">
        <f aca="false">YEAR($B1123)</f>
        <v>2024</v>
      </c>
      <c r="D1123" s="61" t="str">
        <f aca="false">"Q"&amp;ROUNDUP(MONTH($B1123)/3,0)</f>
        <v>Q4</v>
      </c>
      <c r="E1123" s="61" t="n">
        <f aca="false">MONTH($B1123)</f>
        <v>12</v>
      </c>
      <c r="F1123" s="61" t="str">
        <f aca="false">INDEX(Parametros!$I$5:$I$16,$E1123)</f>
        <v>Dic</v>
      </c>
      <c r="G1123" s="61" t="str">
        <f aca="false">TEXT($C1123,"0000")&amp;"-"&amp;TEXT($E1123,"00")</f>
        <v>2024-12</v>
      </c>
      <c r="H1123" s="61" t="str">
        <f aca="false">INDEX(Parametros!$C$71:$C$91,MATCH(TRIM(INDEX(Datos_Origen!$C$2:$C$2459,$Z1123)),Parametros!$B$71:$B$91,0))</f>
        <v>Centro</v>
      </c>
      <c r="I1123" s="61" t="str">
        <f aca="false">IF(TRIM($AD1123)="",INDEX(Parametros!$I$20:$I$24,MATCH($H1123,Parametros!$H$20:$H$24,0)),TRIM($AD1123))</f>
        <v>Cordoba</v>
      </c>
      <c r="J1123" s="61" t="str">
        <f aca="false">INDEX(Parametros!$C$95:$C$106,MATCH(TRIM(INDEX(Datos_Origen!$E$2:$E$2459,$Z1123)),Parametros!$B$95:$B$106,0))</f>
        <v>E-commerce</v>
      </c>
      <c r="K1123" s="61" t="str">
        <f aca="false">INDEX(Parametros!$C$48:$C$67,MATCH(TRIM(INDEX(Datos_Origen!$F$2:$F$2459,$Z1123)),Parametros!$B$48:$B$67,0))</f>
        <v>Computacion</v>
      </c>
      <c r="L1123" s="61" t="str">
        <f aca="false">$K1123&amp;" "&amp;$C1123</f>
        <v>Computacion 2024</v>
      </c>
      <c r="M1123" s="61" t="str">
        <f aca="false">TRIM(INDEX(Datos_Origen!$G$2:$G$2459,$Z1123))</f>
        <v>Laptop Pro 15</v>
      </c>
      <c r="N1123" s="61" t="str">
        <f aca="false">$M1123&amp;" "&amp;$C1123</f>
        <v>Laptop Pro 15 2024</v>
      </c>
      <c r="O1123" s="63" t="n">
        <f aca="false">IF(ISTEXT($AC1123),VALUE($AC1123),$AC1123)</f>
        <v>6</v>
      </c>
      <c r="P1123" s="64" t="n">
        <f aca="false">INDEX(Datos_Origen!$I$2:$I$2459,$Z1123)</f>
        <v>1176</v>
      </c>
      <c r="Q1123" s="64" t="n">
        <f aca="false">INDEX(Datos_Origen!$J$2:$J$2459,$Z1123)</f>
        <v>744</v>
      </c>
      <c r="R1123" s="65" t="n">
        <f aca="false">ROUND($O1123*$P1123,2)</f>
        <v>7056</v>
      </c>
      <c r="S1123" s="65" t="n">
        <f aca="false">ROUND($O1123*$Q1123,2)</f>
        <v>4464</v>
      </c>
      <c r="T1123" s="65" t="n">
        <f aca="false">ROUND($R1123*SUMIFS(Parametros!$E$28:$E$43,Parametros!$B$28:$B$43,$J1123,Parametros!$C$28:$C$43,$C1123,Parametros!$D$28:$D$43,$D1123),2)</f>
        <v>338.69</v>
      </c>
      <c r="U1123" s="65" t="n">
        <f aca="false">$R1123-$S1123-$T1123</f>
        <v>2253.31</v>
      </c>
      <c r="V1123" s="66" t="n">
        <f aca="false">IFERROR($U1123/$R1123,0)</f>
        <v>0.319346655328798</v>
      </c>
      <c r="W1123" s="67" t="str">
        <f aca="false">IF(AND($V1123&gt;=Parametros!$C$8,$R1123&gt;=Parametros!$C$12),"Alta rentabilidad",IF(OR($V1123&lt;Parametros!$C$11,$R1123&lt;Parametros!$C$13),"Revisar","Estandar"))</f>
        <v>Estandar</v>
      </c>
      <c r="X1123" s="67" t="str">
        <f aca="false">IF(AND($J1123="E-commerce",IFERROR($T1123/$R1123,0)&gt;Parametros!$C$14),"Alerta","OK")</f>
        <v>OK</v>
      </c>
      <c r="Y1123" s="61" t="str">
        <f aca="false">IF($R1123&gt;=Parametros!$C$12,"Alto",IF($R1123&lt;Parametros!$C$13,"Bajo","Medio"))</f>
        <v>Alto</v>
      </c>
      <c r="Z1123" s="61" t="n">
        <v>1159</v>
      </c>
      <c r="AA1123" s="61" t="str">
        <f aca="false">IF(MATCH($A1123,Datos_Origen!$A$2:$A$2459,0)=$Z1123,"OK","REVISAR")</f>
        <v>OK</v>
      </c>
      <c r="AB1123" s="61" t="str">
        <f aca="false">INDEX(Datos_Origen!$B$2:$B$2459,$Z1123)</f>
        <v>25/12/2024</v>
      </c>
      <c r="AC1123" s="61" t="n">
        <f aca="false">INDEX(Datos_Origen!$H$2:$H$2459,$Z1123)</f>
        <v>6</v>
      </c>
      <c r="AD1123" s="61" t="str">
        <f aca="false">INDEX(Datos_Origen!$D$2:$D$2459,$Z1123)&amp;""</f>
        <v>Cordoba</v>
      </c>
    </row>
    <row r="1124" customFormat="false" ht="15" hidden="false" customHeight="false" outlineLevel="0" collapsed="false">
      <c r="A1124" s="61" t="n">
        <f aca="false">INDEX(Datos_Origen!$A$2:$A$2459,$Z1124)</f>
        <v>1123</v>
      </c>
      <c r="B1124" s="62" t="n">
        <f aca="false">IF(ISNUMBER($AB1124),$AB1124,IF(MID($AB1124,5,1)="-",DATE(VALUE(LEFT($AB1124,4)),VALUE(MID($AB1124,6,2)),VALUE(RIGHT($AB1124,2))),DATE(VALUE(RIGHT($AB1124,4)),VALUE(MID($AB1124,4,2)),VALUE(LEFT($AB1124,2)))))</f>
        <v>45631</v>
      </c>
      <c r="C1124" s="61" t="n">
        <f aca="false">YEAR($B1124)</f>
        <v>2024</v>
      </c>
      <c r="D1124" s="61" t="str">
        <f aca="false">"Q"&amp;ROUNDUP(MONTH($B1124)/3,0)</f>
        <v>Q4</v>
      </c>
      <c r="E1124" s="61" t="n">
        <f aca="false">MONTH($B1124)</f>
        <v>12</v>
      </c>
      <c r="F1124" s="61" t="str">
        <f aca="false">INDEX(Parametros!$I$5:$I$16,$E1124)</f>
        <v>Dic</v>
      </c>
      <c r="G1124" s="61" t="str">
        <f aca="false">TEXT($C1124,"0000")&amp;"-"&amp;TEXT($E1124,"00")</f>
        <v>2024-12</v>
      </c>
      <c r="H1124" s="61" t="str">
        <f aca="false">INDEX(Parametros!$C$71:$C$91,MATCH(TRIM(INDEX(Datos_Origen!$C$2:$C$2459,$Z1124)),Parametros!$B$71:$B$91,0))</f>
        <v>Centro</v>
      </c>
      <c r="I1124" s="61" t="str">
        <f aca="false">IF(TRIM($AD1124)="",INDEX(Parametros!$I$20:$I$24,MATCH($H1124,Parametros!$H$20:$H$24,0)),TRIM($AD1124))</f>
        <v>Cordoba</v>
      </c>
      <c r="J1124" s="61" t="str">
        <f aca="false">INDEX(Parametros!$C$95:$C$106,MATCH(TRIM(INDEX(Datos_Origen!$E$2:$E$2459,$Z1124)),Parametros!$B$95:$B$106,0))</f>
        <v>Tienda fisica</v>
      </c>
      <c r="K1124" s="61" t="str">
        <f aca="false">INDEX(Parametros!$C$48:$C$67,MATCH(TRIM(INDEX(Datos_Origen!$F$2:$F$2459,$Z1124)),Parametros!$B$48:$B$67,0))</f>
        <v>Computacion</v>
      </c>
      <c r="L1124" s="61" t="str">
        <f aca="false">$K1124&amp;" "&amp;$C1124</f>
        <v>Computacion 2024</v>
      </c>
      <c r="M1124" s="61" t="str">
        <f aca="false">TRIM(INDEX(Datos_Origen!$G$2:$G$2459,$Z1124))</f>
        <v>Monitor 4K 27</v>
      </c>
      <c r="N1124" s="61" t="str">
        <f aca="false">$M1124&amp;" "&amp;$C1124</f>
        <v>Monitor 4K 27 2024</v>
      </c>
      <c r="O1124" s="63" t="n">
        <f aca="false">IF(ISTEXT($AC1124),VALUE($AC1124),$AC1124)</f>
        <v>17</v>
      </c>
      <c r="P1124" s="64" t="n">
        <f aca="false">INDEX(Datos_Origen!$I$2:$I$2459,$Z1124)</f>
        <v>441</v>
      </c>
      <c r="Q1124" s="64" t="n">
        <f aca="false">INDEX(Datos_Origen!$J$2:$J$2459,$Z1124)</f>
        <v>272.25</v>
      </c>
      <c r="R1124" s="65" t="n">
        <f aca="false">ROUND($O1124*$P1124,2)</f>
        <v>7497</v>
      </c>
      <c r="S1124" s="65" t="n">
        <f aca="false">ROUND($O1124*$Q1124,2)</f>
        <v>4628.25</v>
      </c>
      <c r="T1124" s="65" t="n">
        <f aca="false">ROUND($R1124*SUMIFS(Parametros!$E$28:$E$43,Parametros!$B$28:$B$43,$J1124,Parametros!$C$28:$C$43,$C1124,Parametros!$D$28:$D$43,$D1124),2)</f>
        <v>97.46</v>
      </c>
      <c r="U1124" s="65" t="n">
        <f aca="false">$R1124-$S1124-$T1124</f>
        <v>2771.29</v>
      </c>
      <c r="V1124" s="66" t="n">
        <f aca="false">IFERROR($U1124/$R1124,0)</f>
        <v>0.369653194611178</v>
      </c>
      <c r="W1124" s="67" t="str">
        <f aca="false">IF(AND($V1124&gt;=Parametros!$C$8,$R1124&gt;=Parametros!$C$12),"Alta rentabilidad",IF(OR($V1124&lt;Parametros!$C$11,$R1124&lt;Parametros!$C$13),"Revisar","Estandar"))</f>
        <v>Alta rentabilidad</v>
      </c>
      <c r="X1124" s="67" t="str">
        <f aca="false">IF(AND($J1124="E-commerce",IFERROR($T1124/$R1124,0)&gt;Parametros!$C$14),"Alerta","OK")</f>
        <v>OK</v>
      </c>
      <c r="Y1124" s="61" t="str">
        <f aca="false">IF($R1124&gt;=Parametros!$C$12,"Alto",IF($R1124&lt;Parametros!$C$13,"Bajo","Medio"))</f>
        <v>Alto</v>
      </c>
      <c r="Z1124" s="61" t="n">
        <v>244</v>
      </c>
      <c r="AA1124" s="61" t="str">
        <f aca="false">IF(MATCH($A1124,Datos_Origen!$A$2:$A$2459,0)=$Z1124,"OK","REVISAR")</f>
        <v>OK</v>
      </c>
      <c r="AB1124" s="61" t="str">
        <f aca="false">INDEX(Datos_Origen!$B$2:$B$2459,$Z1124)</f>
        <v>2024-12-05</v>
      </c>
      <c r="AC1124" s="61" t="n">
        <f aca="false">INDEX(Datos_Origen!$H$2:$H$2459,$Z1124)</f>
        <v>17</v>
      </c>
      <c r="AD1124" s="61" t="str">
        <f aca="false">INDEX(Datos_Origen!$D$2:$D$2459,$Z1124)&amp;""</f>
        <v>Cordoba</v>
      </c>
    </row>
    <row r="1125" customFormat="false" ht="15" hidden="false" customHeight="false" outlineLevel="0" collapsed="false">
      <c r="A1125" s="61" t="n">
        <f aca="false">INDEX(Datos_Origen!$A$2:$A$2459,$Z1125)</f>
        <v>1124</v>
      </c>
      <c r="B1125" s="62" t="n">
        <f aca="false">IF(ISNUMBER($AB1125),$AB1125,IF(MID($AB1125,5,1)="-",DATE(VALUE(LEFT($AB1125,4)),VALUE(MID($AB1125,6,2)),VALUE(RIGHT($AB1125,2))),DATE(VALUE(RIGHT($AB1125,4)),VALUE(MID($AB1125,4,2)),VALUE(LEFT($AB1125,2)))))</f>
        <v>45638</v>
      </c>
      <c r="C1125" s="61" t="n">
        <f aca="false">YEAR($B1125)</f>
        <v>2024</v>
      </c>
      <c r="D1125" s="61" t="str">
        <f aca="false">"Q"&amp;ROUNDUP(MONTH($B1125)/3,0)</f>
        <v>Q4</v>
      </c>
      <c r="E1125" s="61" t="n">
        <f aca="false">MONTH($B1125)</f>
        <v>12</v>
      </c>
      <c r="F1125" s="61" t="str">
        <f aca="false">INDEX(Parametros!$I$5:$I$16,$E1125)</f>
        <v>Dic</v>
      </c>
      <c r="G1125" s="61" t="str">
        <f aca="false">TEXT($C1125,"0000")&amp;"-"&amp;TEXT($E1125,"00")</f>
        <v>2024-12</v>
      </c>
      <c r="H1125" s="61" t="str">
        <f aca="false">INDEX(Parametros!$C$71:$C$91,MATCH(TRIM(INDEX(Datos_Origen!$C$2:$C$2459,$Z1125)),Parametros!$B$71:$B$91,0))</f>
        <v>Centro</v>
      </c>
      <c r="I1125" s="61" t="str">
        <f aca="false">IF(TRIM($AD1125)="",INDEX(Parametros!$I$20:$I$24,MATCH($H1125,Parametros!$H$20:$H$24,0)),TRIM($AD1125))</f>
        <v>Cordoba</v>
      </c>
      <c r="J1125" s="61" t="str">
        <f aca="false">INDEX(Parametros!$C$95:$C$106,MATCH(TRIM(INDEX(Datos_Origen!$E$2:$E$2459,$Z1125)),Parametros!$B$95:$B$106,0))</f>
        <v>E-commerce</v>
      </c>
      <c r="K1125" s="61" t="str">
        <f aca="false">INDEX(Parametros!$C$48:$C$67,MATCH(TRIM(INDEX(Datos_Origen!$F$2:$F$2459,$Z1125)),Parametros!$B$48:$B$67,0))</f>
        <v>Computacion</v>
      </c>
      <c r="L1125" s="61" t="str">
        <f aca="false">$K1125&amp;" "&amp;$C1125</f>
        <v>Computacion 2024</v>
      </c>
      <c r="M1125" s="61" t="str">
        <f aca="false">TRIM(INDEX(Datos_Origen!$G$2:$G$2459,$Z1125))</f>
        <v>Monitor 4K 27</v>
      </c>
      <c r="N1125" s="61" t="str">
        <f aca="false">$M1125&amp;" "&amp;$C1125</f>
        <v>Monitor 4K 27 2024</v>
      </c>
      <c r="O1125" s="63" t="n">
        <f aca="false">IF(ISTEXT($AC1125),VALUE($AC1125),$AC1125)</f>
        <v>8</v>
      </c>
      <c r="P1125" s="64" t="n">
        <f aca="false">INDEX(Datos_Origen!$I$2:$I$2459,$Z1125)</f>
        <v>441</v>
      </c>
      <c r="Q1125" s="64" t="n">
        <f aca="false">INDEX(Datos_Origen!$J$2:$J$2459,$Z1125)</f>
        <v>272.25</v>
      </c>
      <c r="R1125" s="65" t="n">
        <f aca="false">ROUND($O1125*$P1125,2)</f>
        <v>3528</v>
      </c>
      <c r="S1125" s="65" t="n">
        <f aca="false">ROUND($O1125*$Q1125,2)</f>
        <v>2178</v>
      </c>
      <c r="T1125" s="65" t="n">
        <f aca="false">ROUND($R1125*SUMIFS(Parametros!$E$28:$E$43,Parametros!$B$28:$B$43,$J1125,Parametros!$C$28:$C$43,$C1125,Parametros!$D$28:$D$43,$D1125),2)</f>
        <v>169.34</v>
      </c>
      <c r="U1125" s="65" t="n">
        <f aca="false">$R1125-$S1125-$T1125</f>
        <v>1180.66</v>
      </c>
      <c r="V1125" s="66" t="n">
        <f aca="false">IFERROR($U1125/$R1125,0)</f>
        <v>0.334654195011338</v>
      </c>
      <c r="W1125" s="67" t="str">
        <f aca="false">IF(AND($V1125&gt;=Parametros!$C$8,$R1125&gt;=Parametros!$C$12),"Alta rentabilidad",IF(OR($V1125&lt;Parametros!$C$11,$R1125&lt;Parametros!$C$13),"Revisar","Estandar"))</f>
        <v>Estandar</v>
      </c>
      <c r="X1125" s="67" t="str">
        <f aca="false">IF(AND($J1125="E-commerce",IFERROR($T1125/$R1125,0)&gt;Parametros!$C$14),"Alerta","OK")</f>
        <v>OK</v>
      </c>
      <c r="Y1125" s="61" t="str">
        <f aca="false">IF($R1125&gt;=Parametros!$C$12,"Alto",IF($R1125&lt;Parametros!$C$13,"Bajo","Medio"))</f>
        <v>Alto</v>
      </c>
      <c r="Z1125" s="61" t="n">
        <v>1349</v>
      </c>
      <c r="AA1125" s="61" t="str">
        <f aca="false">IF(MATCH($A1125,Datos_Origen!$A$2:$A$2459,0)=$Z1125,"OK","REVISAR")</f>
        <v>OK</v>
      </c>
      <c r="AB1125" s="62" t="n">
        <f aca="false">INDEX(Datos_Origen!$B$2:$B$2459,$Z1125)</f>
        <v>45638</v>
      </c>
      <c r="AC1125" s="61" t="n">
        <f aca="false">INDEX(Datos_Origen!$H$2:$H$2459,$Z1125)</f>
        <v>8</v>
      </c>
      <c r="AD1125" s="61" t="str">
        <f aca="false">INDEX(Datos_Origen!$D$2:$D$2459,$Z1125)&amp;""</f>
        <v>Cordoba</v>
      </c>
    </row>
    <row r="1126" customFormat="false" ht="15" hidden="false" customHeight="false" outlineLevel="0" collapsed="false">
      <c r="A1126" s="61" t="n">
        <f aca="false">INDEX(Datos_Origen!$A$2:$A$2459,$Z1126)</f>
        <v>1125</v>
      </c>
      <c r="B1126" s="62" t="n">
        <f aca="false">IF(ISNUMBER($AB1126),$AB1126,IF(MID($AB1126,5,1)="-",DATE(VALUE(LEFT($AB1126,4)),VALUE(MID($AB1126,6,2)),VALUE(RIGHT($AB1126,2))),DATE(VALUE(RIGHT($AB1126,4)),VALUE(MID($AB1126,4,2)),VALUE(LEFT($AB1126,2)))))</f>
        <v>45645</v>
      </c>
      <c r="C1126" s="61" t="n">
        <f aca="false">YEAR($B1126)</f>
        <v>2024</v>
      </c>
      <c r="D1126" s="61" t="str">
        <f aca="false">"Q"&amp;ROUNDUP(MONTH($B1126)/3,0)</f>
        <v>Q4</v>
      </c>
      <c r="E1126" s="61" t="n">
        <f aca="false">MONTH($B1126)</f>
        <v>12</v>
      </c>
      <c r="F1126" s="61" t="str">
        <f aca="false">INDEX(Parametros!$I$5:$I$16,$E1126)</f>
        <v>Dic</v>
      </c>
      <c r="G1126" s="61" t="str">
        <f aca="false">TEXT($C1126,"0000")&amp;"-"&amp;TEXT($E1126,"00")</f>
        <v>2024-12</v>
      </c>
      <c r="H1126" s="61" t="str">
        <f aca="false">INDEX(Parametros!$C$71:$C$91,MATCH(TRIM(INDEX(Datos_Origen!$C$2:$C$2459,$Z1126)),Parametros!$B$71:$B$91,0))</f>
        <v>Centro</v>
      </c>
      <c r="I1126" s="61" t="str">
        <f aca="false">IF(TRIM($AD1126)="",INDEX(Parametros!$I$20:$I$24,MATCH($H1126,Parametros!$H$20:$H$24,0)),TRIM($AD1126))</f>
        <v>Cordoba</v>
      </c>
      <c r="J1126" s="61" t="str">
        <f aca="false">INDEX(Parametros!$C$95:$C$106,MATCH(TRIM(INDEX(Datos_Origen!$E$2:$E$2459,$Z1126)),Parametros!$B$95:$B$106,0))</f>
        <v>Tienda fisica</v>
      </c>
      <c r="K1126" s="61" t="str">
        <f aca="false">INDEX(Parametros!$C$48:$C$67,MATCH(TRIM(INDEX(Datos_Origen!$F$2:$F$2459,$Z1126)),Parametros!$B$48:$B$67,0))</f>
        <v>Computacion</v>
      </c>
      <c r="L1126" s="61" t="str">
        <f aca="false">$K1126&amp;" "&amp;$C1126</f>
        <v>Computacion 2024</v>
      </c>
      <c r="M1126" s="61" t="str">
        <f aca="false">TRIM(INDEX(Datos_Origen!$G$2:$G$2459,$Z1126))</f>
        <v>PC Gamer Ryzen</v>
      </c>
      <c r="N1126" s="61" t="str">
        <f aca="false">$M1126&amp;" "&amp;$C1126</f>
        <v>PC Gamer Ryzen 2024</v>
      </c>
      <c r="O1126" s="63" t="n">
        <f aca="false">IF(ISTEXT($AC1126),VALUE($AC1126),$AC1126)</f>
        <v>19</v>
      </c>
      <c r="P1126" s="64" t="n">
        <f aca="false">INDEX(Datos_Origen!$I$2:$I$2459,$Z1126)</f>
        <v>1617</v>
      </c>
      <c r="Q1126" s="64" t="n">
        <f aca="false">INDEX(Datos_Origen!$J$2:$J$2459,$Z1126)</f>
        <v>1122</v>
      </c>
      <c r="R1126" s="65" t="n">
        <f aca="false">ROUND($O1126*$P1126,2)</f>
        <v>30723</v>
      </c>
      <c r="S1126" s="65" t="n">
        <f aca="false">ROUND($O1126*$Q1126,2)</f>
        <v>21318</v>
      </c>
      <c r="T1126" s="65" t="n">
        <f aca="false">ROUND($R1126*SUMIFS(Parametros!$E$28:$E$43,Parametros!$B$28:$B$43,$J1126,Parametros!$C$28:$C$43,$C1126,Parametros!$D$28:$D$43,$D1126),2)</f>
        <v>399.4</v>
      </c>
      <c r="U1126" s="65" t="n">
        <f aca="false">$R1126-$S1126-$T1126</f>
        <v>9005.6</v>
      </c>
      <c r="V1126" s="66" t="n">
        <f aca="false">IFERROR($U1126/$R1126,0)</f>
        <v>0.293122416430687</v>
      </c>
      <c r="W1126" s="67" t="str">
        <f aca="false">IF(AND($V1126&gt;=Parametros!$C$8,$R1126&gt;=Parametros!$C$12),"Alta rentabilidad",IF(OR($V1126&lt;Parametros!$C$11,$R1126&lt;Parametros!$C$13),"Revisar","Estandar"))</f>
        <v>Estandar</v>
      </c>
      <c r="X1126" s="67" t="str">
        <f aca="false">IF(AND($J1126="E-commerce",IFERROR($T1126/$R1126,0)&gt;Parametros!$C$14),"Alerta","OK")</f>
        <v>OK</v>
      </c>
      <c r="Y1126" s="61" t="str">
        <f aca="false">IF($R1126&gt;=Parametros!$C$12,"Alto",IF($R1126&lt;Parametros!$C$13,"Bajo","Medio"))</f>
        <v>Alto</v>
      </c>
      <c r="Z1126" s="61" t="n">
        <v>1234</v>
      </c>
      <c r="AA1126" s="61" t="str">
        <f aca="false">IF(MATCH($A1126,Datos_Origen!$A$2:$A$2459,0)=$Z1126,"OK","REVISAR")</f>
        <v>OK</v>
      </c>
      <c r="AB1126" s="62" t="n">
        <f aca="false">INDEX(Datos_Origen!$B$2:$B$2459,$Z1126)</f>
        <v>45645</v>
      </c>
      <c r="AC1126" s="61" t="n">
        <f aca="false">INDEX(Datos_Origen!$H$2:$H$2459,$Z1126)</f>
        <v>19</v>
      </c>
      <c r="AD1126" s="61" t="str">
        <f aca="false">INDEX(Datos_Origen!$D$2:$D$2459,$Z1126)&amp;""</f>
        <v>Cordoba</v>
      </c>
    </row>
    <row r="1127" customFormat="false" ht="15" hidden="false" customHeight="false" outlineLevel="0" collapsed="false">
      <c r="A1127" s="61" t="n">
        <f aca="false">INDEX(Datos_Origen!$A$2:$A$2459,$Z1127)</f>
        <v>1126</v>
      </c>
      <c r="B1127" s="62" t="n">
        <f aca="false">IF(ISNUMBER($AB1127),$AB1127,IF(MID($AB1127,5,1)="-",DATE(VALUE(LEFT($AB1127,4)),VALUE(MID($AB1127,6,2)),VALUE(RIGHT($AB1127,2))),DATE(VALUE(RIGHT($AB1127,4)),VALUE(MID($AB1127,4,2)),VALUE(LEFT($AB1127,2)))))</f>
        <v>45652</v>
      </c>
      <c r="C1127" s="61" t="n">
        <f aca="false">YEAR($B1127)</f>
        <v>2024</v>
      </c>
      <c r="D1127" s="61" t="str">
        <f aca="false">"Q"&amp;ROUNDUP(MONTH($B1127)/3,0)</f>
        <v>Q4</v>
      </c>
      <c r="E1127" s="61" t="n">
        <f aca="false">MONTH($B1127)</f>
        <v>12</v>
      </c>
      <c r="F1127" s="61" t="str">
        <f aca="false">INDEX(Parametros!$I$5:$I$16,$E1127)</f>
        <v>Dic</v>
      </c>
      <c r="G1127" s="61" t="str">
        <f aca="false">TEXT($C1127,"0000")&amp;"-"&amp;TEXT($E1127,"00")</f>
        <v>2024-12</v>
      </c>
      <c r="H1127" s="61" t="str">
        <f aca="false">INDEX(Parametros!$C$71:$C$91,MATCH(TRIM(INDEX(Datos_Origen!$C$2:$C$2459,$Z1127)),Parametros!$B$71:$B$91,0))</f>
        <v>Centro</v>
      </c>
      <c r="I1127" s="61" t="str">
        <f aca="false">IF(TRIM($AD1127)="",INDEX(Parametros!$I$20:$I$24,MATCH($H1127,Parametros!$H$20:$H$24,0)),TRIM($AD1127))</f>
        <v>Cordoba</v>
      </c>
      <c r="J1127" s="61" t="str">
        <f aca="false">INDEX(Parametros!$C$95:$C$106,MATCH(TRIM(INDEX(Datos_Origen!$E$2:$E$2459,$Z1127)),Parametros!$B$95:$B$106,0))</f>
        <v>E-commerce</v>
      </c>
      <c r="K1127" s="61" t="str">
        <f aca="false">INDEX(Parametros!$C$48:$C$67,MATCH(TRIM(INDEX(Datos_Origen!$F$2:$F$2459,$Z1127)),Parametros!$B$48:$B$67,0))</f>
        <v>Computacion</v>
      </c>
      <c r="L1127" s="61" t="str">
        <f aca="false">$K1127&amp;" "&amp;$C1127</f>
        <v>Computacion 2024</v>
      </c>
      <c r="M1127" s="61" t="str">
        <f aca="false">TRIM(INDEX(Datos_Origen!$G$2:$G$2459,$Z1127))</f>
        <v>PC Gamer Ryzen</v>
      </c>
      <c r="N1127" s="61" t="str">
        <f aca="false">$M1127&amp;" "&amp;$C1127</f>
        <v>PC Gamer Ryzen 2024</v>
      </c>
      <c r="O1127" s="63" t="n">
        <f aca="false">IF(ISTEXT($AC1127),VALUE($AC1127),$AC1127)</f>
        <v>6</v>
      </c>
      <c r="P1127" s="64" t="n">
        <f aca="false">INDEX(Datos_Origen!$I$2:$I$2459,$Z1127)</f>
        <v>1617</v>
      </c>
      <c r="Q1127" s="64" t="n">
        <f aca="false">INDEX(Datos_Origen!$J$2:$J$2459,$Z1127)</f>
        <v>1122</v>
      </c>
      <c r="R1127" s="65" t="n">
        <f aca="false">ROUND($O1127*$P1127,2)</f>
        <v>9702</v>
      </c>
      <c r="S1127" s="65" t="n">
        <f aca="false">ROUND($O1127*$Q1127,2)</f>
        <v>6732</v>
      </c>
      <c r="T1127" s="65" t="n">
        <f aca="false">ROUND($R1127*SUMIFS(Parametros!$E$28:$E$43,Parametros!$B$28:$B$43,$J1127,Parametros!$C$28:$C$43,$C1127,Parametros!$D$28:$D$43,$D1127),2)</f>
        <v>465.7</v>
      </c>
      <c r="U1127" s="65" t="n">
        <f aca="false">$R1127-$S1127-$T1127</f>
        <v>2504.3</v>
      </c>
      <c r="V1127" s="66" t="n">
        <f aca="false">IFERROR($U1127/$R1127,0)</f>
        <v>0.258122036693465</v>
      </c>
      <c r="W1127" s="67" t="str">
        <f aca="false">IF(AND($V1127&gt;=Parametros!$C$8,$R1127&gt;=Parametros!$C$12),"Alta rentabilidad",IF(OR($V1127&lt;Parametros!$C$11,$R1127&lt;Parametros!$C$13),"Revisar","Estandar"))</f>
        <v>Revisar</v>
      </c>
      <c r="X1127" s="67" t="str">
        <f aca="false">IF(AND($J1127="E-commerce",IFERROR($T1127/$R1127,0)&gt;Parametros!$C$14),"Alerta","OK")</f>
        <v>OK</v>
      </c>
      <c r="Y1127" s="61" t="str">
        <f aca="false">IF($R1127&gt;=Parametros!$C$12,"Alto",IF($R1127&lt;Parametros!$C$13,"Bajo","Medio"))</f>
        <v>Alto</v>
      </c>
      <c r="Z1127" s="61" t="n">
        <v>383</v>
      </c>
      <c r="AA1127" s="61" t="str">
        <f aca="false">IF(MATCH($A1127,Datos_Origen!$A$2:$A$2459,0)=$Z1127,"OK","REVISAR")</f>
        <v>OK</v>
      </c>
      <c r="AB1127" s="62" t="n">
        <f aca="false">INDEX(Datos_Origen!$B$2:$B$2459,$Z1127)</f>
        <v>45652</v>
      </c>
      <c r="AC1127" s="61" t="n">
        <f aca="false">INDEX(Datos_Origen!$H$2:$H$2459,$Z1127)</f>
        <v>6</v>
      </c>
      <c r="AD1127" s="61" t="str">
        <f aca="false">INDEX(Datos_Origen!$D$2:$D$2459,$Z1127)&amp;""</f>
        <v>Cordoba</v>
      </c>
    </row>
    <row r="1128" customFormat="false" ht="15" hidden="false" customHeight="false" outlineLevel="0" collapsed="false">
      <c r="A1128" s="61" t="n">
        <f aca="false">INDEX(Datos_Origen!$A$2:$A$2459,$Z1128)</f>
        <v>1127</v>
      </c>
      <c r="B1128" s="62" t="n">
        <f aca="false">IF(ISNUMBER($AB1128),$AB1128,IF(MID($AB1128,5,1)="-",DATE(VALUE(LEFT($AB1128,4)),VALUE(MID($AB1128,6,2)),VALUE(RIGHT($AB1128,2))),DATE(VALUE(RIGHT($AB1128,4)),VALUE(MID($AB1128,4,2)),VALUE(LEFT($AB1128,2)))))</f>
        <v>45632</v>
      </c>
      <c r="C1128" s="61" t="n">
        <f aca="false">YEAR($B1128)</f>
        <v>2024</v>
      </c>
      <c r="D1128" s="61" t="str">
        <f aca="false">"Q"&amp;ROUNDUP(MONTH($B1128)/3,0)</f>
        <v>Q4</v>
      </c>
      <c r="E1128" s="61" t="n">
        <f aca="false">MONTH($B1128)</f>
        <v>12</v>
      </c>
      <c r="F1128" s="61" t="str">
        <f aca="false">INDEX(Parametros!$I$5:$I$16,$E1128)</f>
        <v>Dic</v>
      </c>
      <c r="G1128" s="61" t="str">
        <f aca="false">TEXT($C1128,"0000")&amp;"-"&amp;TEXT($E1128,"00")</f>
        <v>2024-12</v>
      </c>
      <c r="H1128" s="61" t="str">
        <f aca="false">INDEX(Parametros!$C$71:$C$91,MATCH(TRIM(INDEX(Datos_Origen!$C$2:$C$2459,$Z1128)),Parametros!$B$71:$B$91,0))</f>
        <v>Centro</v>
      </c>
      <c r="I1128" s="61" t="str">
        <f aca="false">IF(TRIM($AD1128)="",INDEX(Parametros!$I$20:$I$24,MATCH($H1128,Parametros!$H$20:$H$24,0)),TRIM($AD1128))</f>
        <v>Cordoba</v>
      </c>
      <c r="J1128" s="61" t="str">
        <f aca="false">INDEX(Parametros!$C$95:$C$106,MATCH(TRIM(INDEX(Datos_Origen!$E$2:$E$2459,$Z1128)),Parametros!$B$95:$B$106,0))</f>
        <v>Tienda fisica</v>
      </c>
      <c r="K1128" s="61" t="str">
        <f aca="false">INDEX(Parametros!$C$48:$C$67,MATCH(TRIM(INDEX(Datos_Origen!$F$2:$F$2459,$Z1128)),Parametros!$B$48:$B$67,0))</f>
        <v>Accesorios</v>
      </c>
      <c r="L1128" s="61" t="str">
        <f aca="false">$K1128&amp;" "&amp;$C1128</f>
        <v>Accesorios 2024</v>
      </c>
      <c r="M1128" s="61" t="str">
        <f aca="false">TRIM(INDEX(Datos_Origen!$G$2:$G$2459,$Z1128))</f>
        <v>Mouse Inalambrico</v>
      </c>
      <c r="N1128" s="61" t="str">
        <f aca="false">$M1128&amp;" "&amp;$C1128</f>
        <v>Mouse Inalambrico 2024</v>
      </c>
      <c r="O1128" s="63" t="n">
        <f aca="false">IF(ISTEXT($AC1128),VALUE($AC1128),$AC1128)</f>
        <v>92</v>
      </c>
      <c r="P1128" s="64" t="n">
        <f aca="false">INDEX(Datos_Origen!$I$2:$I$2459,$Z1128)</f>
        <v>27.44</v>
      </c>
      <c r="Q1128" s="64" t="n">
        <f aca="false">INDEX(Datos_Origen!$J$2:$J$2459,$Z1128)</f>
        <v>13.44</v>
      </c>
      <c r="R1128" s="65" t="n">
        <f aca="false">ROUND($O1128*$P1128,2)</f>
        <v>2524.48</v>
      </c>
      <c r="S1128" s="65" t="n">
        <f aca="false">ROUND($O1128*$Q1128,2)</f>
        <v>1236.48</v>
      </c>
      <c r="T1128" s="65" t="n">
        <f aca="false">ROUND($R1128*SUMIFS(Parametros!$E$28:$E$43,Parametros!$B$28:$B$43,$J1128,Parametros!$C$28:$C$43,$C1128,Parametros!$D$28:$D$43,$D1128),2)</f>
        <v>32.82</v>
      </c>
      <c r="U1128" s="65" t="n">
        <f aca="false">$R1128-$S1128-$T1128</f>
        <v>1255.18</v>
      </c>
      <c r="V1128" s="66" t="n">
        <f aca="false">IFERROR($U1128/$R1128,0)</f>
        <v>0.497203384459374</v>
      </c>
      <c r="W1128" s="67" t="str">
        <f aca="false">IF(AND($V1128&gt;=Parametros!$C$8,$R1128&gt;=Parametros!$C$12),"Alta rentabilidad",IF(OR($V1128&lt;Parametros!$C$11,$R1128&lt;Parametros!$C$13),"Revisar","Estandar"))</f>
        <v>Estandar</v>
      </c>
      <c r="X1128" s="67" t="str">
        <f aca="false">IF(AND($J1128="E-commerce",IFERROR($T1128/$R1128,0)&gt;Parametros!$C$14),"Alerta","OK")</f>
        <v>OK</v>
      </c>
      <c r="Y1128" s="61" t="str">
        <f aca="false">IF($R1128&gt;=Parametros!$C$12,"Alto",IF($R1128&lt;Parametros!$C$13,"Bajo","Medio"))</f>
        <v>Medio</v>
      </c>
      <c r="Z1128" s="61" t="n">
        <v>2262</v>
      </c>
      <c r="AA1128" s="61" t="str">
        <f aca="false">IF(MATCH($A1128,Datos_Origen!$A$2:$A$2459,0)=$Z1128,"OK","REVISAR")</f>
        <v>OK</v>
      </c>
      <c r="AB1128" s="62" t="n">
        <f aca="false">INDEX(Datos_Origen!$B$2:$B$2459,$Z1128)</f>
        <v>45632</v>
      </c>
      <c r="AC1128" s="61" t="n">
        <f aca="false">INDEX(Datos_Origen!$H$2:$H$2459,$Z1128)</f>
        <v>92</v>
      </c>
      <c r="AD1128" s="61" t="str">
        <f aca="false">INDEX(Datos_Origen!$D$2:$D$2459,$Z1128)&amp;""</f>
        <v/>
      </c>
    </row>
    <row r="1129" customFormat="false" ht="15" hidden="false" customHeight="false" outlineLevel="0" collapsed="false">
      <c r="A1129" s="61" t="n">
        <f aca="false">INDEX(Datos_Origen!$A$2:$A$2459,$Z1129)</f>
        <v>1128</v>
      </c>
      <c r="B1129" s="62" t="n">
        <f aca="false">IF(ISNUMBER($AB1129),$AB1129,IF(MID($AB1129,5,1)="-",DATE(VALUE(LEFT($AB1129,4)),VALUE(MID($AB1129,6,2)),VALUE(RIGHT($AB1129,2))),DATE(VALUE(RIGHT($AB1129,4)),VALUE(MID($AB1129,4,2)),VALUE(LEFT($AB1129,2)))))</f>
        <v>45639</v>
      </c>
      <c r="C1129" s="61" t="n">
        <f aca="false">YEAR($B1129)</f>
        <v>2024</v>
      </c>
      <c r="D1129" s="61" t="str">
        <f aca="false">"Q"&amp;ROUNDUP(MONTH($B1129)/3,0)</f>
        <v>Q4</v>
      </c>
      <c r="E1129" s="61" t="n">
        <f aca="false">MONTH($B1129)</f>
        <v>12</v>
      </c>
      <c r="F1129" s="61" t="str">
        <f aca="false">INDEX(Parametros!$I$5:$I$16,$E1129)</f>
        <v>Dic</v>
      </c>
      <c r="G1129" s="61" t="str">
        <f aca="false">TEXT($C1129,"0000")&amp;"-"&amp;TEXT($E1129,"00")</f>
        <v>2024-12</v>
      </c>
      <c r="H1129" s="61" t="str">
        <f aca="false">INDEX(Parametros!$C$71:$C$91,MATCH(TRIM(INDEX(Datos_Origen!$C$2:$C$2459,$Z1129)),Parametros!$B$71:$B$91,0))</f>
        <v>Centro</v>
      </c>
      <c r="I1129" s="61" t="str">
        <f aca="false">IF(TRIM($AD1129)="",INDEX(Parametros!$I$20:$I$24,MATCH($H1129,Parametros!$H$20:$H$24,0)),TRIM($AD1129))</f>
        <v>Cordoba</v>
      </c>
      <c r="J1129" s="61" t="str">
        <f aca="false">INDEX(Parametros!$C$95:$C$106,MATCH(TRIM(INDEX(Datos_Origen!$E$2:$E$2459,$Z1129)),Parametros!$B$95:$B$106,0))</f>
        <v>E-commerce</v>
      </c>
      <c r="K1129" s="61" t="str">
        <f aca="false">INDEX(Parametros!$C$48:$C$67,MATCH(TRIM(INDEX(Datos_Origen!$F$2:$F$2459,$Z1129)),Parametros!$B$48:$B$67,0))</f>
        <v>Accesorios</v>
      </c>
      <c r="L1129" s="61" t="str">
        <f aca="false">$K1129&amp;" "&amp;$C1129</f>
        <v>Accesorios 2024</v>
      </c>
      <c r="M1129" s="61" t="str">
        <f aca="false">TRIM(INDEX(Datos_Origen!$G$2:$G$2459,$Z1129))</f>
        <v>Mouse Inalambrico</v>
      </c>
      <c r="N1129" s="61" t="str">
        <f aca="false">$M1129&amp;" "&amp;$C1129</f>
        <v>Mouse Inalambrico 2024</v>
      </c>
      <c r="O1129" s="63" t="n">
        <f aca="false">IF(ISTEXT($AC1129),VALUE($AC1129),$AC1129)</f>
        <v>34</v>
      </c>
      <c r="P1129" s="64" t="n">
        <f aca="false">INDEX(Datos_Origen!$I$2:$I$2459,$Z1129)</f>
        <v>27.44</v>
      </c>
      <c r="Q1129" s="64" t="n">
        <f aca="false">INDEX(Datos_Origen!$J$2:$J$2459,$Z1129)</f>
        <v>13.44</v>
      </c>
      <c r="R1129" s="65" t="n">
        <f aca="false">ROUND($O1129*$P1129,2)</f>
        <v>932.96</v>
      </c>
      <c r="S1129" s="65" t="n">
        <f aca="false">ROUND($O1129*$Q1129,2)</f>
        <v>456.96</v>
      </c>
      <c r="T1129" s="65" t="n">
        <f aca="false">ROUND($R1129*SUMIFS(Parametros!$E$28:$E$43,Parametros!$B$28:$B$43,$J1129,Parametros!$C$28:$C$43,$C1129,Parametros!$D$28:$D$43,$D1129),2)</f>
        <v>44.78</v>
      </c>
      <c r="U1129" s="65" t="n">
        <f aca="false">$R1129-$S1129-$T1129</f>
        <v>431.22</v>
      </c>
      <c r="V1129" s="66" t="n">
        <f aca="false">IFERROR($U1129/$R1129,0)</f>
        <v>0.462206311095867</v>
      </c>
      <c r="W1129" s="67" t="str">
        <f aca="false">IF(AND($V1129&gt;=Parametros!$C$8,$R1129&gt;=Parametros!$C$12),"Alta rentabilidad",IF(OR($V1129&lt;Parametros!$C$11,$R1129&lt;Parametros!$C$13),"Revisar","Estandar"))</f>
        <v>Estandar</v>
      </c>
      <c r="X1129" s="67" t="str">
        <f aca="false">IF(AND($J1129="E-commerce",IFERROR($T1129/$R1129,0)&gt;Parametros!$C$14),"Alerta","OK")</f>
        <v>OK</v>
      </c>
      <c r="Y1129" s="61" t="str">
        <f aca="false">IF($R1129&gt;=Parametros!$C$12,"Alto",IF($R1129&lt;Parametros!$C$13,"Bajo","Medio"))</f>
        <v>Medio</v>
      </c>
      <c r="Z1129" s="61" t="n">
        <v>1211</v>
      </c>
      <c r="AA1129" s="61" t="str">
        <f aca="false">IF(MATCH($A1129,Datos_Origen!$A$2:$A$2459,0)=$Z1129,"OK","REVISAR")</f>
        <v>OK</v>
      </c>
      <c r="AB1129" s="61" t="str">
        <f aca="false">INDEX(Datos_Origen!$B$2:$B$2459,$Z1129)</f>
        <v>2024-12-13</v>
      </c>
      <c r="AC1129" s="61" t="n">
        <f aca="false">INDEX(Datos_Origen!$H$2:$H$2459,$Z1129)</f>
        <v>34</v>
      </c>
      <c r="AD1129" s="61" t="str">
        <f aca="false">INDEX(Datos_Origen!$D$2:$D$2459,$Z1129)&amp;""</f>
        <v>Cordoba</v>
      </c>
    </row>
    <row r="1130" customFormat="false" ht="15" hidden="false" customHeight="false" outlineLevel="0" collapsed="false">
      <c r="A1130" s="61" t="n">
        <f aca="false">INDEX(Datos_Origen!$A$2:$A$2459,$Z1130)</f>
        <v>1129</v>
      </c>
      <c r="B1130" s="62" t="n">
        <f aca="false">IF(ISNUMBER($AB1130),$AB1130,IF(MID($AB1130,5,1)="-",DATE(VALUE(LEFT($AB1130,4)),VALUE(MID($AB1130,6,2)),VALUE(RIGHT($AB1130,2))),DATE(VALUE(RIGHT($AB1130,4)),VALUE(MID($AB1130,4,2)),VALUE(LEFT($AB1130,2)))))</f>
        <v>45646</v>
      </c>
      <c r="C1130" s="61" t="n">
        <f aca="false">YEAR($B1130)</f>
        <v>2024</v>
      </c>
      <c r="D1130" s="61" t="str">
        <f aca="false">"Q"&amp;ROUNDUP(MONTH($B1130)/3,0)</f>
        <v>Q4</v>
      </c>
      <c r="E1130" s="61" t="n">
        <f aca="false">MONTH($B1130)</f>
        <v>12</v>
      </c>
      <c r="F1130" s="61" t="str">
        <f aca="false">INDEX(Parametros!$I$5:$I$16,$E1130)</f>
        <v>Dic</v>
      </c>
      <c r="G1130" s="61" t="str">
        <f aca="false">TEXT($C1130,"0000")&amp;"-"&amp;TEXT($E1130,"00")</f>
        <v>2024-12</v>
      </c>
      <c r="H1130" s="61" t="str">
        <f aca="false">INDEX(Parametros!$C$71:$C$91,MATCH(TRIM(INDEX(Datos_Origen!$C$2:$C$2459,$Z1130)),Parametros!$B$71:$B$91,0))</f>
        <v>Centro</v>
      </c>
      <c r="I1130" s="61" t="str">
        <f aca="false">IF(TRIM($AD1130)="",INDEX(Parametros!$I$20:$I$24,MATCH($H1130,Parametros!$H$20:$H$24,0)),TRIM($AD1130))</f>
        <v>Cordoba</v>
      </c>
      <c r="J1130" s="61" t="str">
        <f aca="false">INDEX(Parametros!$C$95:$C$106,MATCH(TRIM(INDEX(Datos_Origen!$E$2:$E$2459,$Z1130)),Parametros!$B$95:$B$106,0))</f>
        <v>Tienda fisica</v>
      </c>
      <c r="K1130" s="61" t="str">
        <f aca="false">INDEX(Parametros!$C$48:$C$67,MATCH(TRIM(INDEX(Datos_Origen!$F$2:$F$2459,$Z1130)),Parametros!$B$48:$B$67,0))</f>
        <v>Accesorios</v>
      </c>
      <c r="L1130" s="61" t="str">
        <f aca="false">$K1130&amp;" "&amp;$C1130</f>
        <v>Accesorios 2024</v>
      </c>
      <c r="M1130" s="61" t="str">
        <f aca="false">TRIM(INDEX(Datos_Origen!$G$2:$G$2459,$Z1130))</f>
        <v>Teclado Mecanico</v>
      </c>
      <c r="N1130" s="61" t="str">
        <f aca="false">$M1130&amp;" "&amp;$C1130</f>
        <v>Teclado Mecanico 2024</v>
      </c>
      <c r="O1130" s="63" t="n">
        <f aca="false">IF(ISTEXT($AC1130),VALUE($AC1130),$AC1130)</f>
        <v>85</v>
      </c>
      <c r="P1130" s="64" t="n">
        <f aca="false">INDEX(Datos_Origen!$I$2:$I$2459,$Z1130)</f>
        <v>93.1</v>
      </c>
      <c r="Q1130" s="64" t="n">
        <f aca="false">INDEX(Datos_Origen!$J$2:$J$2459,$Z1130)</f>
        <v>47.98</v>
      </c>
      <c r="R1130" s="65" t="n">
        <f aca="false">ROUND($O1130*$P1130,2)</f>
        <v>7913.5</v>
      </c>
      <c r="S1130" s="65" t="n">
        <f aca="false">ROUND($O1130*$Q1130,2)</f>
        <v>4078.3</v>
      </c>
      <c r="T1130" s="65" t="n">
        <f aca="false">ROUND($R1130*SUMIFS(Parametros!$E$28:$E$43,Parametros!$B$28:$B$43,$J1130,Parametros!$C$28:$C$43,$C1130,Parametros!$D$28:$D$43,$D1130),2)</f>
        <v>102.88</v>
      </c>
      <c r="U1130" s="65" t="n">
        <f aca="false">$R1130-$S1130-$T1130</f>
        <v>3732.32</v>
      </c>
      <c r="V1130" s="66" t="n">
        <f aca="false">IFERROR($U1130/$R1130,0)</f>
        <v>0.471639603209705</v>
      </c>
      <c r="W1130" s="67" t="str">
        <f aca="false">IF(AND($V1130&gt;=Parametros!$C$8,$R1130&gt;=Parametros!$C$12),"Alta rentabilidad",IF(OR($V1130&lt;Parametros!$C$11,$R1130&lt;Parametros!$C$13),"Revisar","Estandar"))</f>
        <v>Alta rentabilidad</v>
      </c>
      <c r="X1130" s="67" t="str">
        <f aca="false">IF(AND($J1130="E-commerce",IFERROR($T1130/$R1130,0)&gt;Parametros!$C$14),"Alerta","OK")</f>
        <v>OK</v>
      </c>
      <c r="Y1130" s="61" t="str">
        <f aca="false">IF($R1130&gt;=Parametros!$C$12,"Alto",IF($R1130&lt;Parametros!$C$13,"Bajo","Medio"))</f>
        <v>Alto</v>
      </c>
      <c r="Z1130" s="61" t="n">
        <v>1215</v>
      </c>
      <c r="AA1130" s="61" t="str">
        <f aca="false">IF(MATCH($A1130,Datos_Origen!$A$2:$A$2459,0)=$Z1130,"OK","REVISAR")</f>
        <v>OK</v>
      </c>
      <c r="AB1130" s="62" t="n">
        <f aca="false">INDEX(Datos_Origen!$B$2:$B$2459,$Z1130)</f>
        <v>45646</v>
      </c>
      <c r="AC1130" s="61" t="n">
        <f aca="false">INDEX(Datos_Origen!$H$2:$H$2459,$Z1130)</f>
        <v>85</v>
      </c>
      <c r="AD1130" s="61" t="str">
        <f aca="false">INDEX(Datos_Origen!$D$2:$D$2459,$Z1130)&amp;""</f>
        <v>Cordoba</v>
      </c>
    </row>
    <row r="1131" customFormat="false" ht="15" hidden="false" customHeight="false" outlineLevel="0" collapsed="false">
      <c r="A1131" s="61" t="n">
        <f aca="false">INDEX(Datos_Origen!$A$2:$A$2459,$Z1131)</f>
        <v>1130</v>
      </c>
      <c r="B1131" s="62" t="n">
        <f aca="false">IF(ISNUMBER($AB1131),$AB1131,IF(MID($AB1131,5,1)="-",DATE(VALUE(LEFT($AB1131,4)),VALUE(MID($AB1131,6,2)),VALUE(RIGHT($AB1131,2))),DATE(VALUE(RIGHT($AB1131,4)),VALUE(MID($AB1131,4,2)),VALUE(LEFT($AB1131,2)))))</f>
        <v>45653</v>
      </c>
      <c r="C1131" s="61" t="n">
        <f aca="false">YEAR($B1131)</f>
        <v>2024</v>
      </c>
      <c r="D1131" s="61" t="str">
        <f aca="false">"Q"&amp;ROUNDUP(MONTH($B1131)/3,0)</f>
        <v>Q4</v>
      </c>
      <c r="E1131" s="61" t="n">
        <f aca="false">MONTH($B1131)</f>
        <v>12</v>
      </c>
      <c r="F1131" s="61" t="str">
        <f aca="false">INDEX(Parametros!$I$5:$I$16,$E1131)</f>
        <v>Dic</v>
      </c>
      <c r="G1131" s="61" t="str">
        <f aca="false">TEXT($C1131,"0000")&amp;"-"&amp;TEXT($E1131,"00")</f>
        <v>2024-12</v>
      </c>
      <c r="H1131" s="61" t="str">
        <f aca="false">INDEX(Parametros!$C$71:$C$91,MATCH(TRIM(INDEX(Datos_Origen!$C$2:$C$2459,$Z1131)),Parametros!$B$71:$B$91,0))</f>
        <v>Centro</v>
      </c>
      <c r="I1131" s="61" t="str">
        <f aca="false">IF(TRIM($AD1131)="",INDEX(Parametros!$I$20:$I$24,MATCH($H1131,Parametros!$H$20:$H$24,0)),TRIM($AD1131))</f>
        <v>Cordoba</v>
      </c>
      <c r="J1131" s="61" t="str">
        <f aca="false">INDEX(Parametros!$C$95:$C$106,MATCH(TRIM(INDEX(Datos_Origen!$E$2:$E$2459,$Z1131)),Parametros!$B$95:$B$106,0))</f>
        <v>E-commerce</v>
      </c>
      <c r="K1131" s="61" t="str">
        <f aca="false">INDEX(Parametros!$C$48:$C$67,MATCH(TRIM(INDEX(Datos_Origen!$F$2:$F$2459,$Z1131)),Parametros!$B$48:$B$67,0))</f>
        <v>Accesorios</v>
      </c>
      <c r="L1131" s="61" t="str">
        <f aca="false">$K1131&amp;" "&amp;$C1131</f>
        <v>Accesorios 2024</v>
      </c>
      <c r="M1131" s="61" t="str">
        <f aca="false">TRIM(INDEX(Datos_Origen!$G$2:$G$2459,$Z1131))</f>
        <v>Teclado Mecanico</v>
      </c>
      <c r="N1131" s="61" t="str">
        <f aca="false">$M1131&amp;" "&amp;$C1131</f>
        <v>Teclado Mecanico 2024</v>
      </c>
      <c r="O1131" s="63" t="n">
        <f aca="false">IF(ISTEXT($AC1131),VALUE($AC1131),$AC1131)</f>
        <v>28</v>
      </c>
      <c r="P1131" s="64" t="n">
        <f aca="false">INDEX(Datos_Origen!$I$2:$I$2459,$Z1131)</f>
        <v>93.1</v>
      </c>
      <c r="Q1131" s="64" t="n">
        <f aca="false">INDEX(Datos_Origen!$J$2:$J$2459,$Z1131)</f>
        <v>47.98</v>
      </c>
      <c r="R1131" s="65" t="n">
        <f aca="false">ROUND($O1131*$P1131,2)</f>
        <v>2606.8</v>
      </c>
      <c r="S1131" s="65" t="n">
        <f aca="false">ROUND($O1131*$Q1131,2)</f>
        <v>1343.44</v>
      </c>
      <c r="T1131" s="65" t="n">
        <f aca="false">ROUND($R1131*SUMIFS(Parametros!$E$28:$E$43,Parametros!$B$28:$B$43,$J1131,Parametros!$C$28:$C$43,$C1131,Parametros!$D$28:$D$43,$D1131),2)</f>
        <v>125.13</v>
      </c>
      <c r="U1131" s="65" t="n">
        <f aca="false">$R1131-$S1131-$T1131</f>
        <v>1138.23</v>
      </c>
      <c r="V1131" s="66" t="n">
        <f aca="false">IFERROR($U1131/$R1131,0)</f>
        <v>0.436638790854688</v>
      </c>
      <c r="W1131" s="67" t="str">
        <f aca="false">IF(AND($V1131&gt;=Parametros!$C$8,$R1131&gt;=Parametros!$C$12),"Alta rentabilidad",IF(OR($V1131&lt;Parametros!$C$11,$R1131&lt;Parametros!$C$13),"Revisar","Estandar"))</f>
        <v>Estandar</v>
      </c>
      <c r="X1131" s="67" t="str">
        <f aca="false">IF(AND($J1131="E-commerce",IFERROR($T1131/$R1131,0)&gt;Parametros!$C$14),"Alerta","OK")</f>
        <v>OK</v>
      </c>
      <c r="Y1131" s="61" t="str">
        <f aca="false">IF($R1131&gt;=Parametros!$C$12,"Alto",IF($R1131&lt;Parametros!$C$13,"Bajo","Medio"))</f>
        <v>Medio</v>
      </c>
      <c r="Z1131" s="61" t="n">
        <v>658</v>
      </c>
      <c r="AA1131" s="61" t="str">
        <f aca="false">IF(MATCH($A1131,Datos_Origen!$A$2:$A$2459,0)=$Z1131,"OK","REVISAR")</f>
        <v>OK</v>
      </c>
      <c r="AB1131" s="62" t="n">
        <f aca="false">INDEX(Datos_Origen!$B$2:$B$2459,$Z1131)</f>
        <v>45653</v>
      </c>
      <c r="AC1131" s="61" t="n">
        <f aca="false">INDEX(Datos_Origen!$H$2:$H$2459,$Z1131)</f>
        <v>28</v>
      </c>
      <c r="AD1131" s="61" t="str">
        <f aca="false">INDEX(Datos_Origen!$D$2:$D$2459,$Z1131)&amp;""</f>
        <v>Cordoba</v>
      </c>
    </row>
    <row r="1132" customFormat="false" ht="15" hidden="false" customHeight="false" outlineLevel="0" collapsed="false">
      <c r="A1132" s="61" t="n">
        <f aca="false">INDEX(Datos_Origen!$A$2:$A$2459,$Z1132)</f>
        <v>1131</v>
      </c>
      <c r="B1132" s="62" t="n">
        <f aca="false">IF(ISNUMBER($AB1132),$AB1132,IF(MID($AB1132,5,1)="-",DATE(VALUE(LEFT($AB1132,4)),VALUE(MID($AB1132,6,2)),VALUE(RIGHT($AB1132,2))),DATE(VALUE(RIGHT($AB1132,4)),VALUE(MID($AB1132,4,2)),VALUE(LEFT($AB1132,2)))))</f>
        <v>45633</v>
      </c>
      <c r="C1132" s="61" t="n">
        <f aca="false">YEAR($B1132)</f>
        <v>2024</v>
      </c>
      <c r="D1132" s="61" t="str">
        <f aca="false">"Q"&amp;ROUNDUP(MONTH($B1132)/3,0)</f>
        <v>Q4</v>
      </c>
      <c r="E1132" s="61" t="n">
        <f aca="false">MONTH($B1132)</f>
        <v>12</v>
      </c>
      <c r="F1132" s="61" t="str">
        <f aca="false">INDEX(Parametros!$I$5:$I$16,$E1132)</f>
        <v>Dic</v>
      </c>
      <c r="G1132" s="61" t="str">
        <f aca="false">TEXT($C1132,"0000")&amp;"-"&amp;TEXT($E1132,"00")</f>
        <v>2024-12</v>
      </c>
      <c r="H1132" s="61" t="str">
        <f aca="false">INDEX(Parametros!$C$71:$C$91,MATCH(TRIM(INDEX(Datos_Origen!$C$2:$C$2459,$Z1132)),Parametros!$B$71:$B$91,0))</f>
        <v>Centro</v>
      </c>
      <c r="I1132" s="61" t="str">
        <f aca="false">IF(TRIM($AD1132)="",INDEX(Parametros!$I$20:$I$24,MATCH($H1132,Parametros!$H$20:$H$24,0)),TRIM($AD1132))</f>
        <v>Cordoba</v>
      </c>
      <c r="J1132" s="61" t="str">
        <f aca="false">INDEX(Parametros!$C$95:$C$106,MATCH(TRIM(INDEX(Datos_Origen!$E$2:$E$2459,$Z1132)),Parametros!$B$95:$B$106,0))</f>
        <v>Tienda fisica</v>
      </c>
      <c r="K1132" s="61" t="str">
        <f aca="false">INDEX(Parametros!$C$48:$C$67,MATCH(TRIM(INDEX(Datos_Origen!$F$2:$F$2459,$Z1132)),Parametros!$B$48:$B$67,0))</f>
        <v>Accesorios</v>
      </c>
      <c r="L1132" s="61" t="str">
        <f aca="false">$K1132&amp;" "&amp;$C1132</f>
        <v>Accesorios 2024</v>
      </c>
      <c r="M1132" s="61" t="str">
        <f aca="false">TRIM(INDEX(Datos_Origen!$G$2:$G$2459,$Z1132))</f>
        <v>Webcam Full HD</v>
      </c>
      <c r="N1132" s="61" t="str">
        <f aca="false">$M1132&amp;" "&amp;$C1132</f>
        <v>Webcam Full HD 2024</v>
      </c>
      <c r="O1132" s="63" t="n">
        <f aca="false">IF(ISTEXT($AC1132),VALUE($AC1132),$AC1132)</f>
        <v>94</v>
      </c>
      <c r="P1132" s="64" t="n">
        <f aca="false">INDEX(Datos_Origen!$I$2:$I$2459,$Z1132)</f>
        <v>63.7</v>
      </c>
      <c r="Q1132" s="64" t="n">
        <f aca="false">INDEX(Datos_Origen!$J$2:$J$2459,$Z1132)</f>
        <v>35.43</v>
      </c>
      <c r="R1132" s="65" t="n">
        <f aca="false">ROUND($O1132*$P1132,2)</f>
        <v>5987.8</v>
      </c>
      <c r="S1132" s="65" t="n">
        <f aca="false">ROUND($O1132*$Q1132,2)</f>
        <v>3330.42</v>
      </c>
      <c r="T1132" s="65" t="n">
        <f aca="false">ROUND($R1132*SUMIFS(Parametros!$E$28:$E$43,Parametros!$B$28:$B$43,$J1132,Parametros!$C$28:$C$43,$C1132,Parametros!$D$28:$D$43,$D1132),2)</f>
        <v>77.84</v>
      </c>
      <c r="U1132" s="65" t="n">
        <f aca="false">$R1132-$S1132-$T1132</f>
        <v>2579.54</v>
      </c>
      <c r="V1132" s="66" t="n">
        <f aca="false">IFERROR($U1132/$R1132,0)</f>
        <v>0.430799291893517</v>
      </c>
      <c r="W1132" s="67" t="str">
        <f aca="false">IF(AND($V1132&gt;=Parametros!$C$8,$R1132&gt;=Parametros!$C$12),"Alta rentabilidad",IF(OR($V1132&lt;Parametros!$C$11,$R1132&lt;Parametros!$C$13),"Revisar","Estandar"))</f>
        <v>Alta rentabilidad</v>
      </c>
      <c r="X1132" s="67" t="str">
        <f aca="false">IF(AND($J1132="E-commerce",IFERROR($T1132/$R1132,0)&gt;Parametros!$C$14),"Alerta","OK")</f>
        <v>OK</v>
      </c>
      <c r="Y1132" s="61" t="str">
        <f aca="false">IF($R1132&gt;=Parametros!$C$12,"Alto",IF($R1132&lt;Parametros!$C$13,"Bajo","Medio"))</f>
        <v>Alto</v>
      </c>
      <c r="Z1132" s="61" t="n">
        <v>2240</v>
      </c>
      <c r="AA1132" s="61" t="str">
        <f aca="false">IF(MATCH($A1132,Datos_Origen!$A$2:$A$2459,0)=$Z1132,"OK","REVISAR")</f>
        <v>OK</v>
      </c>
      <c r="AB1132" s="62" t="n">
        <f aca="false">INDEX(Datos_Origen!$B$2:$B$2459,$Z1132)</f>
        <v>45633</v>
      </c>
      <c r="AC1132" s="61" t="n">
        <f aca="false">INDEX(Datos_Origen!$H$2:$H$2459,$Z1132)</f>
        <v>94</v>
      </c>
      <c r="AD1132" s="61" t="str">
        <f aca="false">INDEX(Datos_Origen!$D$2:$D$2459,$Z1132)&amp;""</f>
        <v>Cordoba</v>
      </c>
    </row>
    <row r="1133" customFormat="false" ht="15" hidden="false" customHeight="false" outlineLevel="0" collapsed="false">
      <c r="A1133" s="61" t="n">
        <f aca="false">INDEX(Datos_Origen!$A$2:$A$2459,$Z1133)</f>
        <v>1132</v>
      </c>
      <c r="B1133" s="62" t="n">
        <f aca="false">IF(ISNUMBER($AB1133),$AB1133,IF(MID($AB1133,5,1)="-",DATE(VALUE(LEFT($AB1133,4)),VALUE(MID($AB1133,6,2)),VALUE(RIGHT($AB1133,2))),DATE(VALUE(RIGHT($AB1133,4)),VALUE(MID($AB1133,4,2)),VALUE(LEFT($AB1133,2)))))</f>
        <v>45640</v>
      </c>
      <c r="C1133" s="61" t="n">
        <f aca="false">YEAR($B1133)</f>
        <v>2024</v>
      </c>
      <c r="D1133" s="61" t="str">
        <f aca="false">"Q"&amp;ROUNDUP(MONTH($B1133)/3,0)</f>
        <v>Q4</v>
      </c>
      <c r="E1133" s="61" t="n">
        <f aca="false">MONTH($B1133)</f>
        <v>12</v>
      </c>
      <c r="F1133" s="61" t="str">
        <f aca="false">INDEX(Parametros!$I$5:$I$16,$E1133)</f>
        <v>Dic</v>
      </c>
      <c r="G1133" s="61" t="str">
        <f aca="false">TEXT($C1133,"0000")&amp;"-"&amp;TEXT($E1133,"00")</f>
        <v>2024-12</v>
      </c>
      <c r="H1133" s="61" t="str">
        <f aca="false">INDEX(Parametros!$C$71:$C$91,MATCH(TRIM(INDEX(Datos_Origen!$C$2:$C$2459,$Z1133)),Parametros!$B$71:$B$91,0))</f>
        <v>Centro</v>
      </c>
      <c r="I1133" s="61" t="str">
        <f aca="false">IF(TRIM($AD1133)="",INDEX(Parametros!$I$20:$I$24,MATCH($H1133,Parametros!$H$20:$H$24,0)),TRIM($AD1133))</f>
        <v>Cordoba</v>
      </c>
      <c r="J1133" s="61" t="str">
        <f aca="false">INDEX(Parametros!$C$95:$C$106,MATCH(TRIM(INDEX(Datos_Origen!$E$2:$E$2459,$Z1133)),Parametros!$B$95:$B$106,0))</f>
        <v>E-commerce</v>
      </c>
      <c r="K1133" s="61" t="str">
        <f aca="false">INDEX(Parametros!$C$48:$C$67,MATCH(TRIM(INDEX(Datos_Origen!$F$2:$F$2459,$Z1133)),Parametros!$B$48:$B$67,0))</f>
        <v>Accesorios</v>
      </c>
      <c r="L1133" s="61" t="str">
        <f aca="false">$K1133&amp;" "&amp;$C1133</f>
        <v>Accesorios 2024</v>
      </c>
      <c r="M1133" s="61" t="str">
        <f aca="false">TRIM(INDEX(Datos_Origen!$G$2:$G$2459,$Z1133))</f>
        <v>Webcam Full HD</v>
      </c>
      <c r="N1133" s="61" t="str">
        <f aca="false">$M1133&amp;" "&amp;$C1133</f>
        <v>Webcam Full HD 2024</v>
      </c>
      <c r="O1133" s="63" t="n">
        <f aca="false">IF(ISTEXT($AC1133),VALUE($AC1133),$AC1133)</f>
        <v>30</v>
      </c>
      <c r="P1133" s="64" t="n">
        <f aca="false">INDEX(Datos_Origen!$I$2:$I$2459,$Z1133)</f>
        <v>63.7</v>
      </c>
      <c r="Q1133" s="64" t="n">
        <f aca="false">INDEX(Datos_Origen!$J$2:$J$2459,$Z1133)</f>
        <v>35.43</v>
      </c>
      <c r="R1133" s="65" t="n">
        <f aca="false">ROUND($O1133*$P1133,2)</f>
        <v>1911</v>
      </c>
      <c r="S1133" s="65" t="n">
        <f aca="false">ROUND($O1133*$Q1133,2)</f>
        <v>1062.9</v>
      </c>
      <c r="T1133" s="65" t="n">
        <f aca="false">ROUND($R1133*SUMIFS(Parametros!$E$28:$E$43,Parametros!$B$28:$B$43,$J1133,Parametros!$C$28:$C$43,$C1133,Parametros!$D$28:$D$43,$D1133),2)</f>
        <v>91.73</v>
      </c>
      <c r="U1133" s="65" t="n">
        <f aca="false">$R1133-$S1133-$T1133</f>
        <v>756.37</v>
      </c>
      <c r="V1133" s="66" t="n">
        <f aca="false">IFERROR($U1133/$R1133,0)</f>
        <v>0.395798011512297</v>
      </c>
      <c r="W1133" s="67" t="str">
        <f aca="false">IF(AND($V1133&gt;=Parametros!$C$8,$R1133&gt;=Parametros!$C$12),"Alta rentabilidad",IF(OR($V1133&lt;Parametros!$C$11,$R1133&lt;Parametros!$C$13),"Revisar","Estandar"))</f>
        <v>Estandar</v>
      </c>
      <c r="X1133" s="67" t="str">
        <f aca="false">IF(AND($J1133="E-commerce",IFERROR($T1133/$R1133,0)&gt;Parametros!$C$14),"Alerta","OK")</f>
        <v>OK</v>
      </c>
      <c r="Y1133" s="61" t="str">
        <f aca="false">IF($R1133&gt;=Parametros!$C$12,"Alto",IF($R1133&lt;Parametros!$C$13,"Bajo","Medio"))</f>
        <v>Medio</v>
      </c>
      <c r="Z1133" s="61" t="n">
        <v>158</v>
      </c>
      <c r="AA1133" s="61" t="str">
        <f aca="false">IF(MATCH($A1133,Datos_Origen!$A$2:$A$2459,0)=$Z1133,"OK","REVISAR")</f>
        <v>OK</v>
      </c>
      <c r="AB1133" s="62" t="n">
        <f aca="false">INDEX(Datos_Origen!$B$2:$B$2459,$Z1133)</f>
        <v>45640</v>
      </c>
      <c r="AC1133" s="61" t="n">
        <f aca="false">INDEX(Datos_Origen!$H$2:$H$2459,$Z1133)</f>
        <v>30</v>
      </c>
      <c r="AD1133" s="61" t="str">
        <f aca="false">INDEX(Datos_Origen!$D$2:$D$2459,$Z1133)&amp;""</f>
        <v>Cordoba</v>
      </c>
    </row>
    <row r="1134" customFormat="false" ht="15" hidden="false" customHeight="false" outlineLevel="0" collapsed="false">
      <c r="A1134" s="61" t="n">
        <f aca="false">INDEX(Datos_Origen!$A$2:$A$2459,$Z1134)</f>
        <v>1133</v>
      </c>
      <c r="B1134" s="62" t="n">
        <f aca="false">IF(ISNUMBER($AB1134),$AB1134,IF(MID($AB1134,5,1)="-",DATE(VALUE(LEFT($AB1134,4)),VALUE(MID($AB1134,6,2)),VALUE(RIGHT($AB1134,2))),DATE(VALUE(RIGHT($AB1134,4)),VALUE(MID($AB1134,4,2)),VALUE(LEFT($AB1134,2)))))</f>
        <v>45647</v>
      </c>
      <c r="C1134" s="61" t="n">
        <f aca="false">YEAR($B1134)</f>
        <v>2024</v>
      </c>
      <c r="D1134" s="61" t="str">
        <f aca="false">"Q"&amp;ROUNDUP(MONTH($B1134)/3,0)</f>
        <v>Q4</v>
      </c>
      <c r="E1134" s="61" t="n">
        <f aca="false">MONTH($B1134)</f>
        <v>12</v>
      </c>
      <c r="F1134" s="61" t="str">
        <f aca="false">INDEX(Parametros!$I$5:$I$16,$E1134)</f>
        <v>Dic</v>
      </c>
      <c r="G1134" s="61" t="str">
        <f aca="false">TEXT($C1134,"0000")&amp;"-"&amp;TEXT($E1134,"00")</f>
        <v>2024-12</v>
      </c>
      <c r="H1134" s="61" t="str">
        <f aca="false">INDEX(Parametros!$C$71:$C$91,MATCH(TRIM(INDEX(Datos_Origen!$C$2:$C$2459,$Z1134)),Parametros!$B$71:$B$91,0))</f>
        <v>Centro</v>
      </c>
      <c r="I1134" s="61" t="str">
        <f aca="false">IF(TRIM($AD1134)="",INDEX(Parametros!$I$20:$I$24,MATCH($H1134,Parametros!$H$20:$H$24,0)),TRIM($AD1134))</f>
        <v>Cordoba</v>
      </c>
      <c r="J1134" s="61" t="str">
        <f aca="false">INDEX(Parametros!$C$95:$C$106,MATCH(TRIM(INDEX(Datos_Origen!$E$2:$E$2459,$Z1134)),Parametros!$B$95:$B$106,0))</f>
        <v>Tienda fisica</v>
      </c>
      <c r="K1134" s="61" t="str">
        <f aca="false">INDEX(Parametros!$C$48:$C$67,MATCH(TRIM(INDEX(Datos_Origen!$F$2:$F$2459,$Z1134)),Parametros!$B$48:$B$67,0))</f>
        <v>Audio</v>
      </c>
      <c r="L1134" s="61" t="str">
        <f aca="false">$K1134&amp;" "&amp;$C1134</f>
        <v>Audio 2024</v>
      </c>
      <c r="M1134" s="61" t="str">
        <f aca="false">TRIM(INDEX(Datos_Origen!$G$2:$G$2459,$Z1134))</f>
        <v>Auriculares BT Pro</v>
      </c>
      <c r="N1134" s="61" t="str">
        <f aca="false">$M1134&amp;" "&amp;$C1134</f>
        <v>Auriculares BT Pro 2024</v>
      </c>
      <c r="O1134" s="63" t="n">
        <f aca="false">IF(ISTEXT($AC1134),VALUE($AC1134),$AC1134)</f>
        <v>32</v>
      </c>
      <c r="P1134" s="64" t="n">
        <f aca="false">INDEX(Datos_Origen!$I$2:$I$2459,$Z1134)</f>
        <v>117.6</v>
      </c>
      <c r="Q1134" s="64" t="n">
        <f aca="false">INDEX(Datos_Origen!$J$2:$J$2459,$Z1134)</f>
        <v>63.6</v>
      </c>
      <c r="R1134" s="65" t="n">
        <f aca="false">ROUND($O1134*$P1134,2)</f>
        <v>3763.2</v>
      </c>
      <c r="S1134" s="65" t="n">
        <f aca="false">ROUND($O1134*$Q1134,2)</f>
        <v>2035.2</v>
      </c>
      <c r="T1134" s="65" t="n">
        <f aca="false">ROUND($R1134*SUMIFS(Parametros!$E$28:$E$43,Parametros!$B$28:$B$43,$J1134,Parametros!$C$28:$C$43,$C1134,Parametros!$D$28:$D$43,$D1134),2)</f>
        <v>48.92</v>
      </c>
      <c r="U1134" s="65" t="n">
        <f aca="false">$R1134-$S1134-$T1134</f>
        <v>1679.08</v>
      </c>
      <c r="V1134" s="66" t="n">
        <f aca="false">IFERROR($U1134/$R1134,0)</f>
        <v>0.446184098639456</v>
      </c>
      <c r="W1134" s="67" t="str">
        <f aca="false">IF(AND($V1134&gt;=Parametros!$C$8,$R1134&gt;=Parametros!$C$12),"Alta rentabilidad",IF(OR($V1134&lt;Parametros!$C$11,$R1134&lt;Parametros!$C$13),"Revisar","Estandar"))</f>
        <v>Alta rentabilidad</v>
      </c>
      <c r="X1134" s="67" t="str">
        <f aca="false">IF(AND($J1134="E-commerce",IFERROR($T1134/$R1134,0)&gt;Parametros!$C$14),"Alerta","OK")</f>
        <v>OK</v>
      </c>
      <c r="Y1134" s="61" t="str">
        <f aca="false">IF($R1134&gt;=Parametros!$C$12,"Alto",IF($R1134&lt;Parametros!$C$13,"Bajo","Medio"))</f>
        <v>Alto</v>
      </c>
      <c r="Z1134" s="61" t="n">
        <v>1047</v>
      </c>
      <c r="AA1134" s="61" t="str">
        <f aca="false">IF(MATCH($A1134,Datos_Origen!$A$2:$A$2459,0)=$Z1134,"OK","REVISAR")</f>
        <v>OK</v>
      </c>
      <c r="AB1134" s="61" t="str">
        <f aca="false">INDEX(Datos_Origen!$B$2:$B$2459,$Z1134)</f>
        <v>21/12/2024</v>
      </c>
      <c r="AC1134" s="61" t="n">
        <f aca="false">INDEX(Datos_Origen!$H$2:$H$2459,$Z1134)</f>
        <v>32</v>
      </c>
      <c r="AD1134" s="61" t="str">
        <f aca="false">INDEX(Datos_Origen!$D$2:$D$2459,$Z1134)&amp;""</f>
        <v>Cordoba</v>
      </c>
    </row>
    <row r="1135" customFormat="false" ht="15" hidden="false" customHeight="false" outlineLevel="0" collapsed="false">
      <c r="A1135" s="61" t="n">
        <f aca="false">INDEX(Datos_Origen!$A$2:$A$2459,$Z1135)</f>
        <v>1134</v>
      </c>
      <c r="B1135" s="62" t="n">
        <f aca="false">IF(ISNUMBER($AB1135),$AB1135,IF(MID($AB1135,5,1)="-",DATE(VALUE(LEFT($AB1135,4)),VALUE(MID($AB1135,6,2)),VALUE(RIGHT($AB1135,2))),DATE(VALUE(RIGHT($AB1135,4)),VALUE(MID($AB1135,4,2)),VALUE(LEFT($AB1135,2)))))</f>
        <v>45627</v>
      </c>
      <c r="C1135" s="61" t="n">
        <f aca="false">YEAR($B1135)</f>
        <v>2024</v>
      </c>
      <c r="D1135" s="61" t="str">
        <f aca="false">"Q"&amp;ROUNDUP(MONTH($B1135)/3,0)</f>
        <v>Q4</v>
      </c>
      <c r="E1135" s="61" t="n">
        <f aca="false">MONTH($B1135)</f>
        <v>12</v>
      </c>
      <c r="F1135" s="61" t="str">
        <f aca="false">INDEX(Parametros!$I$5:$I$16,$E1135)</f>
        <v>Dic</v>
      </c>
      <c r="G1135" s="61" t="str">
        <f aca="false">TEXT($C1135,"0000")&amp;"-"&amp;TEXT($E1135,"00")</f>
        <v>2024-12</v>
      </c>
      <c r="H1135" s="61" t="str">
        <f aca="false">INDEX(Parametros!$C$71:$C$91,MATCH(TRIM(INDEX(Datos_Origen!$C$2:$C$2459,$Z1135)),Parametros!$B$71:$B$91,0))</f>
        <v>Centro</v>
      </c>
      <c r="I1135" s="61" t="str">
        <f aca="false">IF(TRIM($AD1135)="",INDEX(Parametros!$I$20:$I$24,MATCH($H1135,Parametros!$H$20:$H$24,0)),TRIM($AD1135))</f>
        <v>Cordoba</v>
      </c>
      <c r="J1135" s="61" t="str">
        <f aca="false">INDEX(Parametros!$C$95:$C$106,MATCH(TRIM(INDEX(Datos_Origen!$E$2:$E$2459,$Z1135)),Parametros!$B$95:$B$106,0))</f>
        <v>E-commerce</v>
      </c>
      <c r="K1135" s="61" t="str">
        <f aca="false">INDEX(Parametros!$C$48:$C$67,MATCH(TRIM(INDEX(Datos_Origen!$F$2:$F$2459,$Z1135)),Parametros!$B$48:$B$67,0))</f>
        <v>Audio</v>
      </c>
      <c r="L1135" s="61" t="str">
        <f aca="false">$K1135&amp;" "&amp;$C1135</f>
        <v>Audio 2024</v>
      </c>
      <c r="M1135" s="61" t="str">
        <f aca="false">TRIM(INDEX(Datos_Origen!$G$2:$G$2459,$Z1135))</f>
        <v>Auriculares BT Pro</v>
      </c>
      <c r="N1135" s="61" t="str">
        <f aca="false">$M1135&amp;" "&amp;$C1135</f>
        <v>Auriculares BT Pro 2024</v>
      </c>
      <c r="O1135" s="63" t="n">
        <f aca="false">IF(ISTEXT($AC1135),VALUE($AC1135),$AC1135)</f>
        <v>12</v>
      </c>
      <c r="P1135" s="64" t="n">
        <f aca="false">INDEX(Datos_Origen!$I$2:$I$2459,$Z1135)</f>
        <v>117.6</v>
      </c>
      <c r="Q1135" s="64" t="n">
        <f aca="false">INDEX(Datos_Origen!$J$2:$J$2459,$Z1135)</f>
        <v>63.6</v>
      </c>
      <c r="R1135" s="65" t="n">
        <f aca="false">ROUND($O1135*$P1135,2)</f>
        <v>1411.2</v>
      </c>
      <c r="S1135" s="65" t="n">
        <f aca="false">ROUND($O1135*$Q1135,2)</f>
        <v>763.2</v>
      </c>
      <c r="T1135" s="65" t="n">
        <f aca="false">ROUND($R1135*SUMIFS(Parametros!$E$28:$E$43,Parametros!$B$28:$B$43,$J1135,Parametros!$C$28:$C$43,$C1135,Parametros!$D$28:$D$43,$D1135),2)</f>
        <v>67.74</v>
      </c>
      <c r="U1135" s="65" t="n">
        <f aca="false">$R1135-$S1135-$T1135</f>
        <v>580.26</v>
      </c>
      <c r="V1135" s="66" t="n">
        <f aca="false">IFERROR($U1135/$R1135,0)</f>
        <v>0.411181972789116</v>
      </c>
      <c r="W1135" s="67" t="str">
        <f aca="false">IF(AND($V1135&gt;=Parametros!$C$8,$R1135&gt;=Parametros!$C$12),"Alta rentabilidad",IF(OR($V1135&lt;Parametros!$C$11,$R1135&lt;Parametros!$C$13),"Revisar","Estandar"))</f>
        <v>Estandar</v>
      </c>
      <c r="X1135" s="67" t="str">
        <f aca="false">IF(AND($J1135="E-commerce",IFERROR($T1135/$R1135,0)&gt;Parametros!$C$14),"Alerta","OK")</f>
        <v>OK</v>
      </c>
      <c r="Y1135" s="61" t="str">
        <f aca="false">IF($R1135&gt;=Parametros!$C$12,"Alto",IF($R1135&lt;Parametros!$C$13,"Bajo","Medio"))</f>
        <v>Medio</v>
      </c>
      <c r="Z1135" s="61" t="n">
        <v>314</v>
      </c>
      <c r="AA1135" s="61" t="str">
        <f aca="false">IF(MATCH($A1135,Datos_Origen!$A$2:$A$2459,0)=$Z1135,"OK","REVISAR")</f>
        <v>OK</v>
      </c>
      <c r="AB1135" s="62" t="n">
        <f aca="false">INDEX(Datos_Origen!$B$2:$B$2459,$Z1135)</f>
        <v>45627</v>
      </c>
      <c r="AC1135" s="61" t="n">
        <f aca="false">INDEX(Datos_Origen!$H$2:$H$2459,$Z1135)</f>
        <v>12</v>
      </c>
      <c r="AD1135" s="61" t="str">
        <f aca="false">INDEX(Datos_Origen!$D$2:$D$2459,$Z1135)&amp;""</f>
        <v>Cordoba</v>
      </c>
    </row>
    <row r="1136" customFormat="false" ht="15" hidden="false" customHeight="false" outlineLevel="0" collapsed="false">
      <c r="A1136" s="61" t="n">
        <f aca="false">INDEX(Datos_Origen!$A$2:$A$2459,$Z1136)</f>
        <v>1135</v>
      </c>
      <c r="B1136" s="62" t="n">
        <f aca="false">IF(ISNUMBER($AB1136),$AB1136,IF(MID($AB1136,5,1)="-",DATE(VALUE(LEFT($AB1136,4)),VALUE(MID($AB1136,6,2)),VALUE(RIGHT($AB1136,2))),DATE(VALUE(RIGHT($AB1136,4)),VALUE(MID($AB1136,4,2)),VALUE(LEFT($AB1136,2)))))</f>
        <v>45634</v>
      </c>
      <c r="C1136" s="61" t="n">
        <f aca="false">YEAR($B1136)</f>
        <v>2024</v>
      </c>
      <c r="D1136" s="61" t="str">
        <f aca="false">"Q"&amp;ROUNDUP(MONTH($B1136)/3,0)</f>
        <v>Q4</v>
      </c>
      <c r="E1136" s="61" t="n">
        <f aca="false">MONTH($B1136)</f>
        <v>12</v>
      </c>
      <c r="F1136" s="61" t="str">
        <f aca="false">INDEX(Parametros!$I$5:$I$16,$E1136)</f>
        <v>Dic</v>
      </c>
      <c r="G1136" s="61" t="str">
        <f aca="false">TEXT($C1136,"0000")&amp;"-"&amp;TEXT($E1136,"00")</f>
        <v>2024-12</v>
      </c>
      <c r="H1136" s="61" t="str">
        <f aca="false">INDEX(Parametros!$C$71:$C$91,MATCH(TRIM(INDEX(Datos_Origen!$C$2:$C$2459,$Z1136)),Parametros!$B$71:$B$91,0))</f>
        <v>Centro</v>
      </c>
      <c r="I1136" s="61" t="str">
        <f aca="false">IF(TRIM($AD1136)="",INDEX(Parametros!$I$20:$I$24,MATCH($H1136,Parametros!$H$20:$H$24,0)),TRIM($AD1136))</f>
        <v>Cordoba</v>
      </c>
      <c r="J1136" s="61" t="str">
        <f aca="false">INDEX(Parametros!$C$95:$C$106,MATCH(TRIM(INDEX(Datos_Origen!$E$2:$E$2459,$Z1136)),Parametros!$B$95:$B$106,0))</f>
        <v>Tienda fisica</v>
      </c>
      <c r="K1136" s="61" t="str">
        <f aca="false">INDEX(Parametros!$C$48:$C$67,MATCH(TRIM(INDEX(Datos_Origen!$F$2:$F$2459,$Z1136)),Parametros!$B$48:$B$67,0))</f>
        <v>Audio</v>
      </c>
      <c r="L1136" s="61" t="str">
        <f aca="false">$K1136&amp;" "&amp;$C1136</f>
        <v>Audio 2024</v>
      </c>
      <c r="M1136" s="61" t="str">
        <f aca="false">TRIM(INDEX(Datos_Origen!$G$2:$G$2459,$Z1136))</f>
        <v>Parlante Bluetooth</v>
      </c>
      <c r="N1136" s="61" t="str">
        <f aca="false">$M1136&amp;" "&amp;$C1136</f>
        <v>Parlante Bluetooth 2024</v>
      </c>
      <c r="O1136" s="63" t="n">
        <f aca="false">IF(ISTEXT($AC1136),VALUE($AC1136),$AC1136)</f>
        <v>41</v>
      </c>
      <c r="P1136" s="64" t="n">
        <f aca="false">INDEX(Datos_Origen!$I$2:$I$2459,$Z1136)</f>
        <v>83.3</v>
      </c>
      <c r="Q1136" s="64" t="n">
        <f aca="false">INDEX(Datos_Origen!$J$2:$J$2459,$Z1136)</f>
        <v>48.03</v>
      </c>
      <c r="R1136" s="65" t="n">
        <f aca="false">ROUND($O1136*$P1136,2)</f>
        <v>3415.3</v>
      </c>
      <c r="S1136" s="65" t="n">
        <f aca="false">ROUND($O1136*$Q1136,2)</f>
        <v>1969.23</v>
      </c>
      <c r="T1136" s="65" t="n">
        <f aca="false">ROUND($R1136*SUMIFS(Parametros!$E$28:$E$43,Parametros!$B$28:$B$43,$J1136,Parametros!$C$28:$C$43,$C1136,Parametros!$D$28:$D$43,$D1136),2)</f>
        <v>44.4</v>
      </c>
      <c r="U1136" s="65" t="n">
        <f aca="false">$R1136-$S1136-$T1136</f>
        <v>1401.67</v>
      </c>
      <c r="V1136" s="66" t="n">
        <f aca="false">IFERROR($U1136/$R1136,0)</f>
        <v>0.410409041665447</v>
      </c>
      <c r="W1136" s="67" t="str">
        <f aca="false">IF(AND($V1136&gt;=Parametros!$C$8,$R1136&gt;=Parametros!$C$12),"Alta rentabilidad",IF(OR($V1136&lt;Parametros!$C$11,$R1136&lt;Parametros!$C$13),"Revisar","Estandar"))</f>
        <v>Alta rentabilidad</v>
      </c>
      <c r="X1136" s="67" t="str">
        <f aca="false">IF(AND($J1136="E-commerce",IFERROR($T1136/$R1136,0)&gt;Parametros!$C$14),"Alerta","OK")</f>
        <v>OK</v>
      </c>
      <c r="Y1136" s="61" t="str">
        <f aca="false">IF($R1136&gt;=Parametros!$C$12,"Alto",IF($R1136&lt;Parametros!$C$13,"Bajo","Medio"))</f>
        <v>Alto</v>
      </c>
      <c r="Z1136" s="61" t="n">
        <v>2064</v>
      </c>
      <c r="AA1136" s="61" t="str">
        <f aca="false">IF(MATCH($A1136,Datos_Origen!$A$2:$A$2459,0)=$Z1136,"OK","REVISAR")</f>
        <v>OK</v>
      </c>
      <c r="AB1136" s="61" t="str">
        <f aca="false">INDEX(Datos_Origen!$B$2:$B$2459,$Z1136)</f>
        <v>2024-12-08</v>
      </c>
      <c r="AC1136" s="61" t="n">
        <f aca="false">INDEX(Datos_Origen!$H$2:$H$2459,$Z1136)</f>
        <v>41</v>
      </c>
      <c r="AD1136" s="61" t="str">
        <f aca="false">INDEX(Datos_Origen!$D$2:$D$2459,$Z1136)&amp;""</f>
        <v>Cordoba</v>
      </c>
    </row>
    <row r="1137" customFormat="false" ht="15" hidden="false" customHeight="false" outlineLevel="0" collapsed="false">
      <c r="A1137" s="61" t="n">
        <f aca="false">INDEX(Datos_Origen!$A$2:$A$2459,$Z1137)</f>
        <v>1136</v>
      </c>
      <c r="B1137" s="62" t="n">
        <f aca="false">IF(ISNUMBER($AB1137),$AB1137,IF(MID($AB1137,5,1)="-",DATE(VALUE(LEFT($AB1137,4)),VALUE(MID($AB1137,6,2)),VALUE(RIGHT($AB1137,2))),DATE(VALUE(RIGHT($AB1137,4)),VALUE(MID($AB1137,4,2)),VALUE(LEFT($AB1137,2)))))</f>
        <v>45641</v>
      </c>
      <c r="C1137" s="61" t="n">
        <f aca="false">YEAR($B1137)</f>
        <v>2024</v>
      </c>
      <c r="D1137" s="61" t="str">
        <f aca="false">"Q"&amp;ROUNDUP(MONTH($B1137)/3,0)</f>
        <v>Q4</v>
      </c>
      <c r="E1137" s="61" t="n">
        <f aca="false">MONTH($B1137)</f>
        <v>12</v>
      </c>
      <c r="F1137" s="61" t="str">
        <f aca="false">INDEX(Parametros!$I$5:$I$16,$E1137)</f>
        <v>Dic</v>
      </c>
      <c r="G1137" s="61" t="str">
        <f aca="false">TEXT($C1137,"0000")&amp;"-"&amp;TEXT($E1137,"00")</f>
        <v>2024-12</v>
      </c>
      <c r="H1137" s="61" t="str">
        <f aca="false">INDEX(Parametros!$C$71:$C$91,MATCH(TRIM(INDEX(Datos_Origen!$C$2:$C$2459,$Z1137)),Parametros!$B$71:$B$91,0))</f>
        <v>Centro</v>
      </c>
      <c r="I1137" s="61" t="str">
        <f aca="false">IF(TRIM($AD1137)="",INDEX(Parametros!$I$20:$I$24,MATCH($H1137,Parametros!$H$20:$H$24,0)),TRIM($AD1137))</f>
        <v>Cordoba</v>
      </c>
      <c r="J1137" s="61" t="str">
        <f aca="false">INDEX(Parametros!$C$95:$C$106,MATCH(TRIM(INDEX(Datos_Origen!$E$2:$E$2459,$Z1137)),Parametros!$B$95:$B$106,0))</f>
        <v>E-commerce</v>
      </c>
      <c r="K1137" s="61" t="str">
        <f aca="false">INDEX(Parametros!$C$48:$C$67,MATCH(TRIM(INDEX(Datos_Origen!$F$2:$F$2459,$Z1137)),Parametros!$B$48:$B$67,0))</f>
        <v>Audio</v>
      </c>
      <c r="L1137" s="61" t="str">
        <f aca="false">$K1137&amp;" "&amp;$C1137</f>
        <v>Audio 2024</v>
      </c>
      <c r="M1137" s="61" t="str">
        <f aca="false">TRIM(INDEX(Datos_Origen!$G$2:$G$2459,$Z1137))</f>
        <v>Parlante Bluetooth</v>
      </c>
      <c r="N1137" s="61" t="str">
        <f aca="false">$M1137&amp;" "&amp;$C1137</f>
        <v>Parlante Bluetooth 2024</v>
      </c>
      <c r="O1137" s="63" t="n">
        <f aca="false">IF(ISTEXT($AC1137),VALUE($AC1137),$AC1137)</f>
        <v>13</v>
      </c>
      <c r="P1137" s="64" t="n">
        <f aca="false">INDEX(Datos_Origen!$I$2:$I$2459,$Z1137)</f>
        <v>83.3</v>
      </c>
      <c r="Q1137" s="64" t="n">
        <f aca="false">INDEX(Datos_Origen!$J$2:$J$2459,$Z1137)</f>
        <v>48.03</v>
      </c>
      <c r="R1137" s="65" t="n">
        <f aca="false">ROUND($O1137*$P1137,2)</f>
        <v>1082.9</v>
      </c>
      <c r="S1137" s="65" t="n">
        <f aca="false">ROUND($O1137*$Q1137,2)</f>
        <v>624.39</v>
      </c>
      <c r="T1137" s="65" t="n">
        <f aca="false">ROUND($R1137*SUMIFS(Parametros!$E$28:$E$43,Parametros!$B$28:$B$43,$J1137,Parametros!$C$28:$C$43,$C1137,Parametros!$D$28:$D$43,$D1137),2)</f>
        <v>51.98</v>
      </c>
      <c r="U1137" s="65" t="n">
        <f aca="false">$R1137-$S1137-$T1137</f>
        <v>406.53</v>
      </c>
      <c r="V1137" s="66" t="n">
        <f aca="false">IFERROR($U1137/$R1137,0)</f>
        <v>0.375408624988457</v>
      </c>
      <c r="W1137" s="67" t="str">
        <f aca="false">IF(AND($V1137&gt;=Parametros!$C$8,$R1137&gt;=Parametros!$C$12),"Alta rentabilidad",IF(OR($V1137&lt;Parametros!$C$11,$R1137&lt;Parametros!$C$13),"Revisar","Estandar"))</f>
        <v>Estandar</v>
      </c>
      <c r="X1137" s="67" t="str">
        <f aca="false">IF(AND($J1137="E-commerce",IFERROR($T1137/$R1137,0)&gt;Parametros!$C$14),"Alerta","OK")</f>
        <v>OK</v>
      </c>
      <c r="Y1137" s="61" t="str">
        <f aca="false">IF($R1137&gt;=Parametros!$C$12,"Alto",IF($R1137&lt;Parametros!$C$13,"Bajo","Medio"))</f>
        <v>Medio</v>
      </c>
      <c r="Z1137" s="61" t="n">
        <v>786</v>
      </c>
      <c r="AA1137" s="61" t="str">
        <f aca="false">IF(MATCH($A1137,Datos_Origen!$A$2:$A$2459,0)=$Z1137,"OK","REVISAR")</f>
        <v>OK</v>
      </c>
      <c r="AB1137" s="61" t="str">
        <f aca="false">INDEX(Datos_Origen!$B$2:$B$2459,$Z1137)</f>
        <v>15/12/2024</v>
      </c>
      <c r="AC1137" s="61" t="n">
        <f aca="false">INDEX(Datos_Origen!$H$2:$H$2459,$Z1137)</f>
        <v>13</v>
      </c>
      <c r="AD1137" s="61" t="str">
        <f aca="false">INDEX(Datos_Origen!$D$2:$D$2459,$Z1137)&amp;""</f>
        <v>Cordoba</v>
      </c>
    </row>
    <row r="1138" customFormat="false" ht="15" hidden="false" customHeight="false" outlineLevel="0" collapsed="false">
      <c r="A1138" s="61" t="n">
        <f aca="false">INDEX(Datos_Origen!$A$2:$A$2459,$Z1138)</f>
        <v>1137</v>
      </c>
      <c r="B1138" s="62" t="n">
        <f aca="false">IF(ISNUMBER($AB1138),$AB1138,IF(MID($AB1138,5,1)="-",DATE(VALUE(LEFT($AB1138,4)),VALUE(MID($AB1138,6,2)),VALUE(RIGHT($AB1138,2))),DATE(VALUE(RIGHT($AB1138,4)),VALUE(MID($AB1138,4,2)),VALUE(LEFT($AB1138,2)))))</f>
        <v>45648</v>
      </c>
      <c r="C1138" s="61" t="n">
        <f aca="false">YEAR($B1138)</f>
        <v>2024</v>
      </c>
      <c r="D1138" s="61" t="str">
        <f aca="false">"Q"&amp;ROUNDUP(MONTH($B1138)/3,0)</f>
        <v>Q4</v>
      </c>
      <c r="E1138" s="61" t="n">
        <f aca="false">MONTH($B1138)</f>
        <v>12</v>
      </c>
      <c r="F1138" s="61" t="str">
        <f aca="false">INDEX(Parametros!$I$5:$I$16,$E1138)</f>
        <v>Dic</v>
      </c>
      <c r="G1138" s="61" t="str">
        <f aca="false">TEXT($C1138,"0000")&amp;"-"&amp;TEXT($E1138,"00")</f>
        <v>2024-12</v>
      </c>
      <c r="H1138" s="61" t="str">
        <f aca="false">INDEX(Parametros!$C$71:$C$91,MATCH(TRIM(INDEX(Datos_Origen!$C$2:$C$2459,$Z1138)),Parametros!$B$71:$B$91,0))</f>
        <v>Centro</v>
      </c>
      <c r="I1138" s="61" t="str">
        <f aca="false">IF(TRIM($AD1138)="",INDEX(Parametros!$I$20:$I$24,MATCH($H1138,Parametros!$H$20:$H$24,0)),TRIM($AD1138))</f>
        <v>Cordoba</v>
      </c>
      <c r="J1138" s="61" t="str">
        <f aca="false">INDEX(Parametros!$C$95:$C$106,MATCH(TRIM(INDEX(Datos_Origen!$E$2:$E$2459,$Z1138)),Parametros!$B$95:$B$106,0))</f>
        <v>Tienda fisica</v>
      </c>
      <c r="K1138" s="61" t="str">
        <f aca="false">INDEX(Parametros!$C$48:$C$67,MATCH(TRIM(INDEX(Datos_Origen!$F$2:$F$2459,$Z1138)),Parametros!$B$48:$B$67,0))</f>
        <v>Almacenamiento</v>
      </c>
      <c r="L1138" s="61" t="str">
        <f aca="false">$K1138&amp;" "&amp;$C1138</f>
        <v>Almacenamiento 2024</v>
      </c>
      <c r="M1138" s="61" t="str">
        <f aca="false">TRIM(INDEX(Datos_Origen!$G$2:$G$2459,$Z1138))</f>
        <v>SSD Externo 1TB</v>
      </c>
      <c r="N1138" s="61" t="str">
        <f aca="false">$M1138&amp;" "&amp;$C1138</f>
        <v>SSD Externo 1TB 2024</v>
      </c>
      <c r="O1138" s="63" t="n">
        <f aca="false">IF(ISTEXT($AC1138),VALUE($AC1138),$AC1138)</f>
        <v>42</v>
      </c>
      <c r="P1138" s="64" t="n">
        <f aca="false">INDEX(Datos_Origen!$I$2:$I$2459,$Z1138)</f>
        <v>127.4</v>
      </c>
      <c r="Q1138" s="64" t="n">
        <f aca="false">INDEX(Datos_Origen!$J$2:$J$2459,$Z1138)</f>
        <v>76.05</v>
      </c>
      <c r="R1138" s="65" t="n">
        <f aca="false">ROUND($O1138*$P1138,2)</f>
        <v>5350.8</v>
      </c>
      <c r="S1138" s="65" t="n">
        <f aca="false">ROUND($O1138*$Q1138,2)</f>
        <v>3194.1</v>
      </c>
      <c r="T1138" s="65" t="n">
        <f aca="false">ROUND($R1138*SUMIFS(Parametros!$E$28:$E$43,Parametros!$B$28:$B$43,$J1138,Parametros!$C$28:$C$43,$C1138,Parametros!$D$28:$D$43,$D1138),2)</f>
        <v>69.56</v>
      </c>
      <c r="U1138" s="65" t="n">
        <f aca="false">$R1138-$S1138-$T1138</f>
        <v>2087.14</v>
      </c>
      <c r="V1138" s="66" t="n">
        <f aca="false">IFERROR($U1138/$R1138,0)</f>
        <v>0.390061299244973</v>
      </c>
      <c r="W1138" s="67" t="str">
        <f aca="false">IF(AND($V1138&gt;=Parametros!$C$8,$R1138&gt;=Parametros!$C$12),"Alta rentabilidad",IF(OR($V1138&lt;Parametros!$C$11,$R1138&lt;Parametros!$C$13),"Revisar","Estandar"))</f>
        <v>Alta rentabilidad</v>
      </c>
      <c r="X1138" s="67" t="str">
        <f aca="false">IF(AND($J1138="E-commerce",IFERROR($T1138/$R1138,0)&gt;Parametros!$C$14),"Alerta","OK")</f>
        <v>OK</v>
      </c>
      <c r="Y1138" s="61" t="str">
        <f aca="false">IF($R1138&gt;=Parametros!$C$12,"Alto",IF($R1138&lt;Parametros!$C$13,"Bajo","Medio"))</f>
        <v>Alto</v>
      </c>
      <c r="Z1138" s="61" t="n">
        <v>389</v>
      </c>
      <c r="AA1138" s="61" t="str">
        <f aca="false">IF(MATCH($A1138,Datos_Origen!$A$2:$A$2459,0)=$Z1138,"OK","REVISAR")</f>
        <v>OK</v>
      </c>
      <c r="AB1138" s="62" t="n">
        <f aca="false">INDEX(Datos_Origen!$B$2:$B$2459,$Z1138)</f>
        <v>45648</v>
      </c>
      <c r="AC1138" s="61" t="n">
        <f aca="false">INDEX(Datos_Origen!$H$2:$H$2459,$Z1138)</f>
        <v>42</v>
      </c>
      <c r="AD1138" s="61" t="str">
        <f aca="false">INDEX(Datos_Origen!$D$2:$D$2459,$Z1138)&amp;""</f>
        <v>Cordoba</v>
      </c>
    </row>
    <row r="1139" customFormat="false" ht="15" hidden="false" customHeight="false" outlineLevel="0" collapsed="false">
      <c r="A1139" s="61" t="n">
        <f aca="false">INDEX(Datos_Origen!$A$2:$A$2459,$Z1139)</f>
        <v>1138</v>
      </c>
      <c r="B1139" s="62" t="n">
        <f aca="false">IF(ISNUMBER($AB1139),$AB1139,IF(MID($AB1139,5,1)="-",DATE(VALUE(LEFT($AB1139,4)),VALUE(MID($AB1139,6,2)),VALUE(RIGHT($AB1139,2))),DATE(VALUE(RIGHT($AB1139,4)),VALUE(MID($AB1139,4,2)),VALUE(LEFT($AB1139,2)))))</f>
        <v>45628</v>
      </c>
      <c r="C1139" s="61" t="n">
        <f aca="false">YEAR($B1139)</f>
        <v>2024</v>
      </c>
      <c r="D1139" s="61" t="str">
        <f aca="false">"Q"&amp;ROUNDUP(MONTH($B1139)/3,0)</f>
        <v>Q4</v>
      </c>
      <c r="E1139" s="61" t="n">
        <f aca="false">MONTH($B1139)</f>
        <v>12</v>
      </c>
      <c r="F1139" s="61" t="str">
        <f aca="false">INDEX(Parametros!$I$5:$I$16,$E1139)</f>
        <v>Dic</v>
      </c>
      <c r="G1139" s="61" t="str">
        <f aca="false">TEXT($C1139,"0000")&amp;"-"&amp;TEXT($E1139,"00")</f>
        <v>2024-12</v>
      </c>
      <c r="H1139" s="61" t="str">
        <f aca="false">INDEX(Parametros!$C$71:$C$91,MATCH(TRIM(INDEX(Datos_Origen!$C$2:$C$2459,$Z1139)),Parametros!$B$71:$B$91,0))</f>
        <v>Centro</v>
      </c>
      <c r="I1139" s="61" t="str">
        <f aca="false">IF(TRIM($AD1139)="",INDEX(Parametros!$I$20:$I$24,MATCH($H1139,Parametros!$H$20:$H$24,0)),TRIM($AD1139))</f>
        <v>Cordoba</v>
      </c>
      <c r="J1139" s="61" t="str">
        <f aca="false">INDEX(Parametros!$C$95:$C$106,MATCH(TRIM(INDEX(Datos_Origen!$E$2:$E$2459,$Z1139)),Parametros!$B$95:$B$106,0))</f>
        <v>E-commerce</v>
      </c>
      <c r="K1139" s="61" t="str">
        <f aca="false">INDEX(Parametros!$C$48:$C$67,MATCH(TRIM(INDEX(Datos_Origen!$F$2:$F$2459,$Z1139)),Parametros!$B$48:$B$67,0))</f>
        <v>Almacenamiento</v>
      </c>
      <c r="L1139" s="61" t="str">
        <f aca="false">$K1139&amp;" "&amp;$C1139</f>
        <v>Almacenamiento 2024</v>
      </c>
      <c r="M1139" s="61" t="str">
        <f aca="false">TRIM(INDEX(Datos_Origen!$G$2:$G$2459,$Z1139))</f>
        <v>SSD Externo 1TB</v>
      </c>
      <c r="N1139" s="61" t="str">
        <f aca="false">$M1139&amp;" "&amp;$C1139</f>
        <v>SSD Externo 1TB 2024</v>
      </c>
      <c r="O1139" s="63" t="n">
        <f aca="false">IF(ISTEXT($AC1139),VALUE($AC1139),$AC1139)</f>
        <v>17</v>
      </c>
      <c r="P1139" s="64" t="n">
        <f aca="false">INDEX(Datos_Origen!$I$2:$I$2459,$Z1139)</f>
        <v>127.4</v>
      </c>
      <c r="Q1139" s="64" t="n">
        <f aca="false">INDEX(Datos_Origen!$J$2:$J$2459,$Z1139)</f>
        <v>76.05</v>
      </c>
      <c r="R1139" s="65" t="n">
        <f aca="false">ROUND($O1139*$P1139,2)</f>
        <v>2165.8</v>
      </c>
      <c r="S1139" s="65" t="n">
        <f aca="false">ROUND($O1139*$Q1139,2)</f>
        <v>1292.85</v>
      </c>
      <c r="T1139" s="65" t="n">
        <f aca="false">ROUND($R1139*SUMIFS(Parametros!$E$28:$E$43,Parametros!$B$28:$B$43,$J1139,Parametros!$C$28:$C$43,$C1139,Parametros!$D$28:$D$43,$D1139),2)</f>
        <v>103.96</v>
      </c>
      <c r="U1139" s="65" t="n">
        <f aca="false">$R1139-$S1139-$T1139</f>
        <v>768.99</v>
      </c>
      <c r="V1139" s="66" t="n">
        <f aca="false">IFERROR($U1139/$R1139,0)</f>
        <v>0.355060485732755</v>
      </c>
      <c r="W1139" s="67" t="str">
        <f aca="false">IF(AND($V1139&gt;=Parametros!$C$8,$R1139&gt;=Parametros!$C$12),"Alta rentabilidad",IF(OR($V1139&lt;Parametros!$C$11,$R1139&lt;Parametros!$C$13),"Revisar","Estandar"))</f>
        <v>Estandar</v>
      </c>
      <c r="X1139" s="67" t="str">
        <f aca="false">IF(AND($J1139="E-commerce",IFERROR($T1139/$R1139,0)&gt;Parametros!$C$14),"Alerta","OK")</f>
        <v>OK</v>
      </c>
      <c r="Y1139" s="61" t="str">
        <f aca="false">IF($R1139&gt;=Parametros!$C$12,"Alto",IF($R1139&lt;Parametros!$C$13,"Bajo","Medio"))</f>
        <v>Medio</v>
      </c>
      <c r="Z1139" s="61" t="n">
        <v>668</v>
      </c>
      <c r="AA1139" s="61" t="str">
        <f aca="false">IF(MATCH($A1139,Datos_Origen!$A$2:$A$2459,0)=$Z1139,"OK","REVISAR")</f>
        <v>OK</v>
      </c>
      <c r="AB1139" s="61" t="str">
        <f aca="false">INDEX(Datos_Origen!$B$2:$B$2459,$Z1139)</f>
        <v>02/12/2024</v>
      </c>
      <c r="AC1139" s="61" t="n">
        <f aca="false">INDEX(Datos_Origen!$H$2:$H$2459,$Z1139)</f>
        <v>17</v>
      </c>
      <c r="AD1139" s="61" t="str">
        <f aca="false">INDEX(Datos_Origen!$D$2:$D$2459,$Z1139)&amp;""</f>
        <v>Cordoba</v>
      </c>
    </row>
    <row r="1140" customFormat="false" ht="15" hidden="false" customHeight="false" outlineLevel="0" collapsed="false">
      <c r="A1140" s="61" t="n">
        <f aca="false">INDEX(Datos_Origen!$A$2:$A$2459,$Z1140)</f>
        <v>1139</v>
      </c>
      <c r="B1140" s="62" t="n">
        <f aca="false">IF(ISNUMBER($AB1140),$AB1140,IF(MID($AB1140,5,1)="-",DATE(VALUE(LEFT($AB1140,4)),VALUE(MID($AB1140,6,2)),VALUE(RIGHT($AB1140,2))),DATE(VALUE(RIGHT($AB1140,4)),VALUE(MID($AB1140,4,2)),VALUE(LEFT($AB1140,2)))))</f>
        <v>45635</v>
      </c>
      <c r="C1140" s="61" t="n">
        <f aca="false">YEAR($B1140)</f>
        <v>2024</v>
      </c>
      <c r="D1140" s="61" t="str">
        <f aca="false">"Q"&amp;ROUNDUP(MONTH($B1140)/3,0)</f>
        <v>Q4</v>
      </c>
      <c r="E1140" s="61" t="n">
        <f aca="false">MONTH($B1140)</f>
        <v>12</v>
      </c>
      <c r="F1140" s="61" t="str">
        <f aca="false">INDEX(Parametros!$I$5:$I$16,$E1140)</f>
        <v>Dic</v>
      </c>
      <c r="G1140" s="61" t="str">
        <f aca="false">TEXT($C1140,"0000")&amp;"-"&amp;TEXT($E1140,"00")</f>
        <v>2024-12</v>
      </c>
      <c r="H1140" s="61" t="str">
        <f aca="false">INDEX(Parametros!$C$71:$C$91,MATCH(TRIM(INDEX(Datos_Origen!$C$2:$C$2459,$Z1140)),Parametros!$B$71:$B$91,0))</f>
        <v>Centro</v>
      </c>
      <c r="I1140" s="61" t="str">
        <f aca="false">IF(TRIM($AD1140)="",INDEX(Parametros!$I$20:$I$24,MATCH($H1140,Parametros!$H$20:$H$24,0)),TRIM($AD1140))</f>
        <v>Cordoba</v>
      </c>
      <c r="J1140" s="61" t="str">
        <f aca="false">INDEX(Parametros!$C$95:$C$106,MATCH(TRIM(INDEX(Datos_Origen!$E$2:$E$2459,$Z1140)),Parametros!$B$95:$B$106,0))</f>
        <v>Tienda fisica</v>
      </c>
      <c r="K1140" s="61" t="str">
        <f aca="false">INDEX(Parametros!$C$48:$C$67,MATCH(TRIM(INDEX(Datos_Origen!$F$2:$F$2459,$Z1140)),Parametros!$B$48:$B$67,0))</f>
        <v>Almacenamiento</v>
      </c>
      <c r="L1140" s="61" t="str">
        <f aca="false">$K1140&amp;" "&amp;$C1140</f>
        <v>Almacenamiento 2024</v>
      </c>
      <c r="M1140" s="61" t="str">
        <f aca="false">TRIM(INDEX(Datos_Origen!$G$2:$G$2459,$Z1140))</f>
        <v>Pendrive 256GB</v>
      </c>
      <c r="N1140" s="61" t="str">
        <f aca="false">$M1140&amp;" "&amp;$C1140</f>
        <v>Pendrive 256GB 2024</v>
      </c>
      <c r="O1140" s="63" t="n">
        <f aca="false">IF(ISTEXT($AC1140),VALUE($AC1140),$AC1140)</f>
        <v>42</v>
      </c>
      <c r="P1140" s="64" t="n">
        <f aca="false">INDEX(Datos_Origen!$I$2:$I$2459,$Z1140)</f>
        <v>34.3</v>
      </c>
      <c r="Q1140" s="64" t="n">
        <f aca="false">INDEX(Datos_Origen!$J$2:$J$2459,$Z1140)</f>
        <v>17.85</v>
      </c>
      <c r="R1140" s="65" t="n">
        <f aca="false">ROUND($O1140*$P1140,2)</f>
        <v>1440.6</v>
      </c>
      <c r="S1140" s="65" t="n">
        <f aca="false">ROUND($O1140*$Q1140,2)</f>
        <v>749.7</v>
      </c>
      <c r="T1140" s="65" t="n">
        <f aca="false">ROUND($R1140*SUMIFS(Parametros!$E$28:$E$43,Parametros!$B$28:$B$43,$J1140,Parametros!$C$28:$C$43,$C1140,Parametros!$D$28:$D$43,$D1140),2)</f>
        <v>18.73</v>
      </c>
      <c r="U1140" s="65" t="n">
        <f aca="false">$R1140-$S1140-$T1140</f>
        <v>672.17</v>
      </c>
      <c r="V1140" s="66" t="n">
        <f aca="false">IFERROR($U1140/$R1140,0)</f>
        <v>0.466590309593225</v>
      </c>
      <c r="W1140" s="67" t="str">
        <f aca="false">IF(AND($V1140&gt;=Parametros!$C$8,$R1140&gt;=Parametros!$C$12),"Alta rentabilidad",IF(OR($V1140&lt;Parametros!$C$11,$R1140&lt;Parametros!$C$13),"Revisar","Estandar"))</f>
        <v>Estandar</v>
      </c>
      <c r="X1140" s="67" t="str">
        <f aca="false">IF(AND($J1140="E-commerce",IFERROR($T1140/$R1140,0)&gt;Parametros!$C$14),"Alerta","OK")</f>
        <v>OK</v>
      </c>
      <c r="Y1140" s="61" t="str">
        <f aca="false">IF($R1140&gt;=Parametros!$C$12,"Alto",IF($R1140&lt;Parametros!$C$13,"Bajo","Medio"))</f>
        <v>Medio</v>
      </c>
      <c r="Z1140" s="61" t="n">
        <v>280</v>
      </c>
      <c r="AA1140" s="61" t="str">
        <f aca="false">IF(MATCH($A1140,Datos_Origen!$A$2:$A$2459,0)=$Z1140,"OK","REVISAR")</f>
        <v>OK</v>
      </c>
      <c r="AB1140" s="62" t="n">
        <f aca="false">INDEX(Datos_Origen!$B$2:$B$2459,$Z1140)</f>
        <v>45635</v>
      </c>
      <c r="AC1140" s="61" t="n">
        <f aca="false">INDEX(Datos_Origen!$H$2:$H$2459,$Z1140)</f>
        <v>42</v>
      </c>
      <c r="AD1140" s="61" t="str">
        <f aca="false">INDEX(Datos_Origen!$D$2:$D$2459,$Z1140)&amp;""</f>
        <v>Cordoba</v>
      </c>
    </row>
    <row r="1141" customFormat="false" ht="15" hidden="false" customHeight="false" outlineLevel="0" collapsed="false">
      <c r="A1141" s="61" t="n">
        <f aca="false">INDEX(Datos_Origen!$A$2:$A$2459,$Z1141)</f>
        <v>1140</v>
      </c>
      <c r="B1141" s="62" t="n">
        <f aca="false">IF(ISNUMBER($AB1141),$AB1141,IF(MID($AB1141,5,1)="-",DATE(VALUE(LEFT($AB1141,4)),VALUE(MID($AB1141,6,2)),VALUE(RIGHT($AB1141,2))),DATE(VALUE(RIGHT($AB1141,4)),VALUE(MID($AB1141,4,2)),VALUE(LEFT($AB1141,2)))))</f>
        <v>45642</v>
      </c>
      <c r="C1141" s="61" t="n">
        <f aca="false">YEAR($B1141)</f>
        <v>2024</v>
      </c>
      <c r="D1141" s="61" t="str">
        <f aca="false">"Q"&amp;ROUNDUP(MONTH($B1141)/3,0)</f>
        <v>Q4</v>
      </c>
      <c r="E1141" s="61" t="n">
        <f aca="false">MONTH($B1141)</f>
        <v>12</v>
      </c>
      <c r="F1141" s="61" t="str">
        <f aca="false">INDEX(Parametros!$I$5:$I$16,$E1141)</f>
        <v>Dic</v>
      </c>
      <c r="G1141" s="61" t="str">
        <f aca="false">TEXT($C1141,"0000")&amp;"-"&amp;TEXT($E1141,"00")</f>
        <v>2024-12</v>
      </c>
      <c r="H1141" s="61" t="str">
        <f aca="false">INDEX(Parametros!$C$71:$C$91,MATCH(TRIM(INDEX(Datos_Origen!$C$2:$C$2459,$Z1141)),Parametros!$B$71:$B$91,0))</f>
        <v>Centro</v>
      </c>
      <c r="I1141" s="61" t="str">
        <f aca="false">IF(TRIM($AD1141)="",INDEX(Parametros!$I$20:$I$24,MATCH($H1141,Parametros!$H$20:$H$24,0)),TRIM($AD1141))</f>
        <v>Cordoba</v>
      </c>
      <c r="J1141" s="61" t="str">
        <f aca="false">INDEX(Parametros!$C$95:$C$106,MATCH(TRIM(INDEX(Datos_Origen!$E$2:$E$2459,$Z1141)),Parametros!$B$95:$B$106,0))</f>
        <v>E-commerce</v>
      </c>
      <c r="K1141" s="61" t="str">
        <f aca="false">INDEX(Parametros!$C$48:$C$67,MATCH(TRIM(INDEX(Datos_Origen!$F$2:$F$2459,$Z1141)),Parametros!$B$48:$B$67,0))</f>
        <v>Almacenamiento</v>
      </c>
      <c r="L1141" s="61" t="str">
        <f aca="false">$K1141&amp;" "&amp;$C1141</f>
        <v>Almacenamiento 2024</v>
      </c>
      <c r="M1141" s="61" t="str">
        <f aca="false">TRIM(INDEX(Datos_Origen!$G$2:$G$2459,$Z1141))</f>
        <v>Pendrive 256GB</v>
      </c>
      <c r="N1141" s="61" t="str">
        <f aca="false">$M1141&amp;" "&amp;$C1141</f>
        <v>Pendrive 256GB 2024</v>
      </c>
      <c r="O1141" s="63" t="n">
        <f aca="false">IF(ISTEXT($AC1141),VALUE($AC1141),$AC1141)</f>
        <v>20</v>
      </c>
      <c r="P1141" s="64" t="n">
        <f aca="false">INDEX(Datos_Origen!$I$2:$I$2459,$Z1141)</f>
        <v>34.3</v>
      </c>
      <c r="Q1141" s="64" t="n">
        <f aca="false">INDEX(Datos_Origen!$J$2:$J$2459,$Z1141)</f>
        <v>17.85</v>
      </c>
      <c r="R1141" s="65" t="n">
        <f aca="false">ROUND($O1141*$P1141,2)</f>
        <v>686</v>
      </c>
      <c r="S1141" s="65" t="n">
        <f aca="false">ROUND($O1141*$Q1141,2)</f>
        <v>357</v>
      </c>
      <c r="T1141" s="65" t="n">
        <f aca="false">ROUND($R1141*SUMIFS(Parametros!$E$28:$E$43,Parametros!$B$28:$B$43,$J1141,Parametros!$C$28:$C$43,$C1141,Parametros!$D$28:$D$43,$D1141),2)</f>
        <v>32.93</v>
      </c>
      <c r="U1141" s="65" t="n">
        <f aca="false">$R1141-$S1141-$T1141</f>
        <v>296.07</v>
      </c>
      <c r="V1141" s="66" t="n">
        <f aca="false">IFERROR($U1141/$R1141,0)</f>
        <v>0.431588921282799</v>
      </c>
      <c r="W1141" s="67" t="str">
        <f aca="false">IF(AND($V1141&gt;=Parametros!$C$8,$R1141&gt;=Parametros!$C$12),"Alta rentabilidad",IF(OR($V1141&lt;Parametros!$C$11,$R1141&lt;Parametros!$C$13),"Revisar","Estandar"))</f>
        <v>Estandar</v>
      </c>
      <c r="X1141" s="67" t="str">
        <f aca="false">IF(AND($J1141="E-commerce",IFERROR($T1141/$R1141,0)&gt;Parametros!$C$14),"Alerta","OK")</f>
        <v>OK</v>
      </c>
      <c r="Y1141" s="61" t="str">
        <f aca="false">IF($R1141&gt;=Parametros!$C$12,"Alto",IF($R1141&lt;Parametros!$C$13,"Bajo","Medio"))</f>
        <v>Medio</v>
      </c>
      <c r="Z1141" s="61" t="n">
        <v>647</v>
      </c>
      <c r="AA1141" s="61" t="str">
        <f aca="false">IF(MATCH($A1141,Datos_Origen!$A$2:$A$2459,0)=$Z1141,"OK","REVISAR")</f>
        <v>OK</v>
      </c>
      <c r="AB1141" s="61" t="str">
        <f aca="false">INDEX(Datos_Origen!$B$2:$B$2459,$Z1141)</f>
        <v>2024-12-16</v>
      </c>
      <c r="AC1141" s="61" t="n">
        <f aca="false">INDEX(Datos_Origen!$H$2:$H$2459,$Z1141)</f>
        <v>20</v>
      </c>
      <c r="AD1141" s="61" t="str">
        <f aca="false">INDEX(Datos_Origen!$D$2:$D$2459,$Z1141)&amp;""</f>
        <v>Cordoba</v>
      </c>
    </row>
    <row r="1142" customFormat="false" ht="15" hidden="false" customHeight="false" outlineLevel="0" collapsed="false">
      <c r="A1142" s="61" t="n">
        <f aca="false">INDEX(Datos_Origen!$A$2:$A$2459,$Z1142)</f>
        <v>1141</v>
      </c>
      <c r="B1142" s="62" t="n">
        <f aca="false">IF(ISNUMBER($AB1142),$AB1142,IF(MID($AB1142,5,1)="-",DATE(VALUE(LEFT($AB1142,4)),VALUE(MID($AB1142,6,2)),VALUE(RIGHT($AB1142,2))),DATE(VALUE(RIGHT($AB1142,4)),VALUE(MID($AB1142,4,2)),VALUE(LEFT($AB1142,2)))))</f>
        <v>45649</v>
      </c>
      <c r="C1142" s="61" t="n">
        <f aca="false">YEAR($B1142)</f>
        <v>2024</v>
      </c>
      <c r="D1142" s="61" t="str">
        <f aca="false">"Q"&amp;ROUNDUP(MONTH($B1142)/3,0)</f>
        <v>Q4</v>
      </c>
      <c r="E1142" s="61" t="n">
        <f aca="false">MONTH($B1142)</f>
        <v>12</v>
      </c>
      <c r="F1142" s="61" t="str">
        <f aca="false">INDEX(Parametros!$I$5:$I$16,$E1142)</f>
        <v>Dic</v>
      </c>
      <c r="G1142" s="61" t="str">
        <f aca="false">TEXT($C1142,"0000")&amp;"-"&amp;TEXT($E1142,"00")</f>
        <v>2024-12</v>
      </c>
      <c r="H1142" s="61" t="str">
        <f aca="false">INDEX(Parametros!$C$71:$C$91,MATCH(TRIM(INDEX(Datos_Origen!$C$2:$C$2459,$Z1142)),Parametros!$B$71:$B$91,0))</f>
        <v>Litoral</v>
      </c>
      <c r="I1142" s="61" t="str">
        <f aca="false">IF(TRIM($AD1142)="",INDEX(Parametros!$I$20:$I$24,MATCH($H1142,Parametros!$H$20:$H$24,0)),TRIM($AD1142))</f>
        <v>Rosario</v>
      </c>
      <c r="J1142" s="61" t="str">
        <f aca="false">INDEX(Parametros!$C$95:$C$106,MATCH(TRIM(INDEX(Datos_Origen!$E$2:$E$2459,$Z1142)),Parametros!$B$95:$B$106,0))</f>
        <v>Tienda fisica</v>
      </c>
      <c r="K1142" s="61" t="str">
        <f aca="false">INDEX(Parametros!$C$48:$C$67,MATCH(TRIM(INDEX(Datos_Origen!$F$2:$F$2459,$Z1142)),Parametros!$B$48:$B$67,0))</f>
        <v>Computacion</v>
      </c>
      <c r="L1142" s="61" t="str">
        <f aca="false">$K1142&amp;" "&amp;$C1142</f>
        <v>Computacion 2024</v>
      </c>
      <c r="M1142" s="61" t="str">
        <f aca="false">TRIM(INDEX(Datos_Origen!$G$2:$G$2459,$Z1142))</f>
        <v>Laptop Pro 15</v>
      </c>
      <c r="N1142" s="61" t="str">
        <f aca="false">$M1142&amp;" "&amp;$C1142</f>
        <v>Laptop Pro 15 2024</v>
      </c>
      <c r="O1142" s="63" t="n">
        <f aca="false">IF(ISTEXT($AC1142),VALUE($AC1142),$AC1142)</f>
        <v>12</v>
      </c>
      <c r="P1142" s="64" t="n">
        <f aca="false">INDEX(Datos_Origen!$I$2:$I$2459,$Z1142)</f>
        <v>1176</v>
      </c>
      <c r="Q1142" s="64" t="n">
        <f aca="false">INDEX(Datos_Origen!$J$2:$J$2459,$Z1142)</f>
        <v>744</v>
      </c>
      <c r="R1142" s="65" t="n">
        <f aca="false">ROUND($O1142*$P1142,2)</f>
        <v>14112</v>
      </c>
      <c r="S1142" s="65" t="n">
        <f aca="false">ROUND($O1142*$Q1142,2)</f>
        <v>8928</v>
      </c>
      <c r="T1142" s="65" t="n">
        <f aca="false">ROUND($R1142*SUMIFS(Parametros!$E$28:$E$43,Parametros!$B$28:$B$43,$J1142,Parametros!$C$28:$C$43,$C1142,Parametros!$D$28:$D$43,$D1142),2)</f>
        <v>183.46</v>
      </c>
      <c r="U1142" s="65" t="n">
        <f aca="false">$R1142-$S1142-$T1142</f>
        <v>5000.54</v>
      </c>
      <c r="V1142" s="66" t="n">
        <f aca="false">IFERROR($U1142/$R1142,0)</f>
        <v>0.354346655328798</v>
      </c>
      <c r="W1142" s="67" t="str">
        <f aca="false">IF(AND($V1142&gt;=Parametros!$C$8,$R1142&gt;=Parametros!$C$12),"Alta rentabilidad",IF(OR($V1142&lt;Parametros!$C$11,$R1142&lt;Parametros!$C$13),"Revisar","Estandar"))</f>
        <v>Alta rentabilidad</v>
      </c>
      <c r="X1142" s="67" t="str">
        <f aca="false">IF(AND($J1142="E-commerce",IFERROR($T1142/$R1142,0)&gt;Parametros!$C$14),"Alerta","OK")</f>
        <v>OK</v>
      </c>
      <c r="Y1142" s="61" t="str">
        <f aca="false">IF($R1142&gt;=Parametros!$C$12,"Alto",IF($R1142&lt;Parametros!$C$13,"Bajo","Medio"))</f>
        <v>Alto</v>
      </c>
      <c r="Z1142" s="61" t="n">
        <v>823</v>
      </c>
      <c r="AA1142" s="61" t="str">
        <f aca="false">IF(MATCH($A1142,Datos_Origen!$A$2:$A$2459,0)=$Z1142,"OK","REVISAR")</f>
        <v>OK</v>
      </c>
      <c r="AB1142" s="62" t="n">
        <f aca="false">INDEX(Datos_Origen!$B$2:$B$2459,$Z1142)</f>
        <v>45649</v>
      </c>
      <c r="AC1142" s="61" t="n">
        <f aca="false">INDEX(Datos_Origen!$H$2:$H$2459,$Z1142)</f>
        <v>12</v>
      </c>
      <c r="AD1142" s="61" t="str">
        <f aca="false">INDEX(Datos_Origen!$D$2:$D$2459,$Z1142)&amp;""</f>
        <v/>
      </c>
    </row>
    <row r="1143" customFormat="false" ht="15" hidden="false" customHeight="false" outlineLevel="0" collapsed="false">
      <c r="A1143" s="61" t="n">
        <f aca="false">INDEX(Datos_Origen!$A$2:$A$2459,$Z1143)</f>
        <v>1142</v>
      </c>
      <c r="B1143" s="62" t="n">
        <f aca="false">IF(ISNUMBER($AB1143),$AB1143,IF(MID($AB1143,5,1)="-",DATE(VALUE(LEFT($AB1143,4)),VALUE(MID($AB1143,6,2)),VALUE(RIGHT($AB1143,2))),DATE(VALUE(RIGHT($AB1143,4)),VALUE(MID($AB1143,4,2)),VALUE(LEFT($AB1143,2)))))</f>
        <v>45629</v>
      </c>
      <c r="C1143" s="61" t="n">
        <f aca="false">YEAR($B1143)</f>
        <v>2024</v>
      </c>
      <c r="D1143" s="61" t="str">
        <f aca="false">"Q"&amp;ROUNDUP(MONTH($B1143)/3,0)</f>
        <v>Q4</v>
      </c>
      <c r="E1143" s="61" t="n">
        <f aca="false">MONTH($B1143)</f>
        <v>12</v>
      </c>
      <c r="F1143" s="61" t="str">
        <f aca="false">INDEX(Parametros!$I$5:$I$16,$E1143)</f>
        <v>Dic</v>
      </c>
      <c r="G1143" s="61" t="str">
        <f aca="false">TEXT($C1143,"0000")&amp;"-"&amp;TEXT($E1143,"00")</f>
        <v>2024-12</v>
      </c>
      <c r="H1143" s="61" t="str">
        <f aca="false">INDEX(Parametros!$C$71:$C$91,MATCH(TRIM(INDEX(Datos_Origen!$C$2:$C$2459,$Z1143)),Parametros!$B$71:$B$91,0))</f>
        <v>Litoral</v>
      </c>
      <c r="I1143" s="61" t="str">
        <f aca="false">IF(TRIM($AD1143)="",INDEX(Parametros!$I$20:$I$24,MATCH($H1143,Parametros!$H$20:$H$24,0)),TRIM($AD1143))</f>
        <v>Rosario</v>
      </c>
      <c r="J1143" s="61" t="str">
        <f aca="false">INDEX(Parametros!$C$95:$C$106,MATCH(TRIM(INDEX(Datos_Origen!$E$2:$E$2459,$Z1143)),Parametros!$B$95:$B$106,0))</f>
        <v>E-commerce</v>
      </c>
      <c r="K1143" s="61" t="str">
        <f aca="false">INDEX(Parametros!$C$48:$C$67,MATCH(TRIM(INDEX(Datos_Origen!$F$2:$F$2459,$Z1143)),Parametros!$B$48:$B$67,0))</f>
        <v>Computacion</v>
      </c>
      <c r="L1143" s="61" t="str">
        <f aca="false">$K1143&amp;" "&amp;$C1143</f>
        <v>Computacion 2024</v>
      </c>
      <c r="M1143" s="61" t="str">
        <f aca="false">TRIM(INDEX(Datos_Origen!$G$2:$G$2459,$Z1143))</f>
        <v>Laptop Pro 15</v>
      </c>
      <c r="N1143" s="61" t="str">
        <f aca="false">$M1143&amp;" "&amp;$C1143</f>
        <v>Laptop Pro 15 2024</v>
      </c>
      <c r="O1143" s="63" t="n">
        <f aca="false">IF(ISTEXT($AC1143),VALUE($AC1143),$AC1143)</f>
        <v>6</v>
      </c>
      <c r="P1143" s="64" t="n">
        <f aca="false">INDEX(Datos_Origen!$I$2:$I$2459,$Z1143)</f>
        <v>1176</v>
      </c>
      <c r="Q1143" s="64" t="n">
        <f aca="false">INDEX(Datos_Origen!$J$2:$J$2459,$Z1143)</f>
        <v>744</v>
      </c>
      <c r="R1143" s="65" t="n">
        <f aca="false">ROUND($O1143*$P1143,2)</f>
        <v>7056</v>
      </c>
      <c r="S1143" s="65" t="n">
        <f aca="false">ROUND($O1143*$Q1143,2)</f>
        <v>4464</v>
      </c>
      <c r="T1143" s="65" t="n">
        <f aca="false">ROUND($R1143*SUMIFS(Parametros!$E$28:$E$43,Parametros!$B$28:$B$43,$J1143,Parametros!$C$28:$C$43,$C1143,Parametros!$D$28:$D$43,$D1143),2)</f>
        <v>338.69</v>
      </c>
      <c r="U1143" s="65" t="n">
        <f aca="false">$R1143-$S1143-$T1143</f>
        <v>2253.31</v>
      </c>
      <c r="V1143" s="66" t="n">
        <f aca="false">IFERROR($U1143/$R1143,0)</f>
        <v>0.319346655328798</v>
      </c>
      <c r="W1143" s="67" t="str">
        <f aca="false">IF(AND($V1143&gt;=Parametros!$C$8,$R1143&gt;=Parametros!$C$12),"Alta rentabilidad",IF(OR($V1143&lt;Parametros!$C$11,$R1143&lt;Parametros!$C$13),"Revisar","Estandar"))</f>
        <v>Estandar</v>
      </c>
      <c r="X1143" s="67" t="str">
        <f aca="false">IF(AND($J1143="E-commerce",IFERROR($T1143/$R1143,0)&gt;Parametros!$C$14),"Alerta","OK")</f>
        <v>OK</v>
      </c>
      <c r="Y1143" s="61" t="str">
        <f aca="false">IF($R1143&gt;=Parametros!$C$12,"Alto",IF($R1143&lt;Parametros!$C$13,"Bajo","Medio"))</f>
        <v>Alto</v>
      </c>
      <c r="Z1143" s="61" t="n">
        <v>1622</v>
      </c>
      <c r="AA1143" s="61" t="str">
        <f aca="false">IF(MATCH($A1143,Datos_Origen!$A$2:$A$2459,0)=$Z1143,"OK","REVISAR")</f>
        <v>OK</v>
      </c>
      <c r="AB1143" s="62" t="n">
        <f aca="false">INDEX(Datos_Origen!$B$2:$B$2459,$Z1143)</f>
        <v>45629</v>
      </c>
      <c r="AC1143" s="61" t="n">
        <f aca="false">INDEX(Datos_Origen!$H$2:$H$2459,$Z1143)</f>
        <v>6</v>
      </c>
      <c r="AD1143" s="61" t="str">
        <f aca="false">INDEX(Datos_Origen!$D$2:$D$2459,$Z1143)&amp;""</f>
        <v>Rosario</v>
      </c>
    </row>
    <row r="1144" customFormat="false" ht="15" hidden="false" customHeight="false" outlineLevel="0" collapsed="false">
      <c r="A1144" s="61" t="n">
        <f aca="false">INDEX(Datos_Origen!$A$2:$A$2459,$Z1144)</f>
        <v>1143</v>
      </c>
      <c r="B1144" s="62" t="n">
        <f aca="false">IF(ISNUMBER($AB1144),$AB1144,IF(MID($AB1144,5,1)="-",DATE(VALUE(LEFT($AB1144,4)),VALUE(MID($AB1144,6,2)),VALUE(RIGHT($AB1144,2))),DATE(VALUE(RIGHT($AB1144,4)),VALUE(MID($AB1144,4,2)),VALUE(LEFT($AB1144,2)))))</f>
        <v>45636</v>
      </c>
      <c r="C1144" s="61" t="n">
        <f aca="false">YEAR($B1144)</f>
        <v>2024</v>
      </c>
      <c r="D1144" s="61" t="str">
        <f aca="false">"Q"&amp;ROUNDUP(MONTH($B1144)/3,0)</f>
        <v>Q4</v>
      </c>
      <c r="E1144" s="61" t="n">
        <f aca="false">MONTH($B1144)</f>
        <v>12</v>
      </c>
      <c r="F1144" s="61" t="str">
        <f aca="false">INDEX(Parametros!$I$5:$I$16,$E1144)</f>
        <v>Dic</v>
      </c>
      <c r="G1144" s="61" t="str">
        <f aca="false">TEXT($C1144,"0000")&amp;"-"&amp;TEXT($E1144,"00")</f>
        <v>2024-12</v>
      </c>
      <c r="H1144" s="61" t="str">
        <f aca="false">INDEX(Parametros!$C$71:$C$91,MATCH(TRIM(INDEX(Datos_Origen!$C$2:$C$2459,$Z1144)),Parametros!$B$71:$B$91,0))</f>
        <v>Litoral</v>
      </c>
      <c r="I1144" s="61" t="str">
        <f aca="false">IF(TRIM($AD1144)="",INDEX(Parametros!$I$20:$I$24,MATCH($H1144,Parametros!$H$20:$H$24,0)),TRIM($AD1144))</f>
        <v>Rosario</v>
      </c>
      <c r="J1144" s="61" t="str">
        <f aca="false">INDEX(Parametros!$C$95:$C$106,MATCH(TRIM(INDEX(Datos_Origen!$E$2:$E$2459,$Z1144)),Parametros!$B$95:$B$106,0))</f>
        <v>Tienda fisica</v>
      </c>
      <c r="K1144" s="61" t="str">
        <f aca="false">INDEX(Parametros!$C$48:$C$67,MATCH(TRIM(INDEX(Datos_Origen!$F$2:$F$2459,$Z1144)),Parametros!$B$48:$B$67,0))</f>
        <v>Computacion</v>
      </c>
      <c r="L1144" s="61" t="str">
        <f aca="false">$K1144&amp;" "&amp;$C1144</f>
        <v>Computacion 2024</v>
      </c>
      <c r="M1144" s="61" t="str">
        <f aca="false">TRIM(INDEX(Datos_Origen!$G$2:$G$2459,$Z1144))</f>
        <v>Monitor 4K 27</v>
      </c>
      <c r="N1144" s="61" t="str">
        <f aca="false">$M1144&amp;" "&amp;$C1144</f>
        <v>Monitor 4K 27 2024</v>
      </c>
      <c r="O1144" s="63" t="n">
        <f aca="false">IF(ISTEXT($AC1144),VALUE($AC1144),$AC1144)</f>
        <v>15</v>
      </c>
      <c r="P1144" s="64" t="n">
        <f aca="false">INDEX(Datos_Origen!$I$2:$I$2459,$Z1144)</f>
        <v>441</v>
      </c>
      <c r="Q1144" s="64" t="n">
        <f aca="false">INDEX(Datos_Origen!$J$2:$J$2459,$Z1144)</f>
        <v>272.25</v>
      </c>
      <c r="R1144" s="65" t="n">
        <f aca="false">ROUND($O1144*$P1144,2)</f>
        <v>6615</v>
      </c>
      <c r="S1144" s="65" t="n">
        <f aca="false">ROUND($O1144*$Q1144,2)</f>
        <v>4083.75</v>
      </c>
      <c r="T1144" s="65" t="n">
        <f aca="false">ROUND($R1144*SUMIFS(Parametros!$E$28:$E$43,Parametros!$B$28:$B$43,$J1144,Parametros!$C$28:$C$43,$C1144,Parametros!$D$28:$D$43,$D1144),2)</f>
        <v>86</v>
      </c>
      <c r="U1144" s="65" t="n">
        <f aca="false">$R1144-$S1144-$T1144</f>
        <v>2445.25</v>
      </c>
      <c r="V1144" s="66" t="n">
        <f aca="false">IFERROR($U1144/$R1144,0)</f>
        <v>0.369652305366591</v>
      </c>
      <c r="W1144" s="67" t="str">
        <f aca="false">IF(AND($V1144&gt;=Parametros!$C$8,$R1144&gt;=Parametros!$C$12),"Alta rentabilidad",IF(OR($V1144&lt;Parametros!$C$11,$R1144&lt;Parametros!$C$13),"Revisar","Estandar"))</f>
        <v>Alta rentabilidad</v>
      </c>
      <c r="X1144" s="67" t="str">
        <f aca="false">IF(AND($J1144="E-commerce",IFERROR($T1144/$R1144,0)&gt;Parametros!$C$14),"Alerta","OK")</f>
        <v>OK</v>
      </c>
      <c r="Y1144" s="61" t="str">
        <f aca="false">IF($R1144&gt;=Parametros!$C$12,"Alto",IF($R1144&lt;Parametros!$C$13,"Bajo","Medio"))</f>
        <v>Alto</v>
      </c>
      <c r="Z1144" s="61" t="n">
        <v>2308</v>
      </c>
      <c r="AA1144" s="61" t="str">
        <f aca="false">IF(MATCH($A1144,Datos_Origen!$A$2:$A$2459,0)=$Z1144,"OK","REVISAR")</f>
        <v>OK</v>
      </c>
      <c r="AB1144" s="62" t="n">
        <f aca="false">INDEX(Datos_Origen!$B$2:$B$2459,$Z1144)</f>
        <v>45636</v>
      </c>
      <c r="AC1144" s="61" t="str">
        <f aca="false">INDEX(Datos_Origen!$H$2:$H$2459,$Z1144)</f>
        <v>15</v>
      </c>
      <c r="AD1144" s="61" t="str">
        <f aca="false">INDEX(Datos_Origen!$D$2:$D$2459,$Z1144)&amp;""</f>
        <v>Rosario</v>
      </c>
    </row>
    <row r="1145" customFormat="false" ht="15" hidden="false" customHeight="false" outlineLevel="0" collapsed="false">
      <c r="A1145" s="61" t="n">
        <f aca="false">INDEX(Datos_Origen!$A$2:$A$2459,$Z1145)</f>
        <v>1144</v>
      </c>
      <c r="B1145" s="62" t="n">
        <f aca="false">IF(ISNUMBER($AB1145),$AB1145,IF(MID($AB1145,5,1)="-",DATE(VALUE(LEFT($AB1145,4)),VALUE(MID($AB1145,6,2)),VALUE(RIGHT($AB1145,2))),DATE(VALUE(RIGHT($AB1145,4)),VALUE(MID($AB1145,4,2)),VALUE(LEFT($AB1145,2)))))</f>
        <v>45643</v>
      </c>
      <c r="C1145" s="61" t="n">
        <f aca="false">YEAR($B1145)</f>
        <v>2024</v>
      </c>
      <c r="D1145" s="61" t="str">
        <f aca="false">"Q"&amp;ROUNDUP(MONTH($B1145)/3,0)</f>
        <v>Q4</v>
      </c>
      <c r="E1145" s="61" t="n">
        <f aca="false">MONTH($B1145)</f>
        <v>12</v>
      </c>
      <c r="F1145" s="61" t="str">
        <f aca="false">INDEX(Parametros!$I$5:$I$16,$E1145)</f>
        <v>Dic</v>
      </c>
      <c r="G1145" s="61" t="str">
        <f aca="false">TEXT($C1145,"0000")&amp;"-"&amp;TEXT($E1145,"00")</f>
        <v>2024-12</v>
      </c>
      <c r="H1145" s="61" t="str">
        <f aca="false">INDEX(Parametros!$C$71:$C$91,MATCH(TRIM(INDEX(Datos_Origen!$C$2:$C$2459,$Z1145)),Parametros!$B$71:$B$91,0))</f>
        <v>Litoral</v>
      </c>
      <c r="I1145" s="61" t="str">
        <f aca="false">IF(TRIM($AD1145)="",INDEX(Parametros!$I$20:$I$24,MATCH($H1145,Parametros!$H$20:$H$24,0)),TRIM($AD1145))</f>
        <v>Rosario</v>
      </c>
      <c r="J1145" s="61" t="str">
        <f aca="false">INDEX(Parametros!$C$95:$C$106,MATCH(TRIM(INDEX(Datos_Origen!$E$2:$E$2459,$Z1145)),Parametros!$B$95:$B$106,0))</f>
        <v>E-commerce</v>
      </c>
      <c r="K1145" s="61" t="str">
        <f aca="false">INDEX(Parametros!$C$48:$C$67,MATCH(TRIM(INDEX(Datos_Origen!$F$2:$F$2459,$Z1145)),Parametros!$B$48:$B$67,0))</f>
        <v>Computacion</v>
      </c>
      <c r="L1145" s="61" t="str">
        <f aca="false">$K1145&amp;" "&amp;$C1145</f>
        <v>Computacion 2024</v>
      </c>
      <c r="M1145" s="61" t="str">
        <f aca="false">TRIM(INDEX(Datos_Origen!$G$2:$G$2459,$Z1145))</f>
        <v>Monitor 4K 27</v>
      </c>
      <c r="N1145" s="61" t="str">
        <f aca="false">$M1145&amp;" "&amp;$C1145</f>
        <v>Monitor 4K 27 2024</v>
      </c>
      <c r="O1145" s="63" t="n">
        <f aca="false">IF(ISTEXT($AC1145),VALUE($AC1145),$AC1145)</f>
        <v>5</v>
      </c>
      <c r="P1145" s="64" t="n">
        <f aca="false">INDEX(Datos_Origen!$I$2:$I$2459,$Z1145)</f>
        <v>441</v>
      </c>
      <c r="Q1145" s="64" t="n">
        <f aca="false">INDEX(Datos_Origen!$J$2:$J$2459,$Z1145)</f>
        <v>272.25</v>
      </c>
      <c r="R1145" s="65" t="n">
        <f aca="false">ROUND($O1145*$P1145,2)</f>
        <v>2205</v>
      </c>
      <c r="S1145" s="65" t="n">
        <f aca="false">ROUND($O1145*$Q1145,2)</f>
        <v>1361.25</v>
      </c>
      <c r="T1145" s="65" t="n">
        <f aca="false">ROUND($R1145*SUMIFS(Parametros!$E$28:$E$43,Parametros!$B$28:$B$43,$J1145,Parametros!$C$28:$C$43,$C1145,Parametros!$D$28:$D$43,$D1145),2)</f>
        <v>105.84</v>
      </c>
      <c r="U1145" s="65" t="n">
        <f aca="false">$R1145-$S1145-$T1145</f>
        <v>737.91</v>
      </c>
      <c r="V1145" s="66" t="n">
        <f aca="false">IFERROR($U1145/$R1145,0)</f>
        <v>0.33465306122449</v>
      </c>
      <c r="W1145" s="67" t="str">
        <f aca="false">IF(AND($V1145&gt;=Parametros!$C$8,$R1145&gt;=Parametros!$C$12),"Alta rentabilidad",IF(OR($V1145&lt;Parametros!$C$11,$R1145&lt;Parametros!$C$13),"Revisar","Estandar"))</f>
        <v>Estandar</v>
      </c>
      <c r="X1145" s="67" t="str">
        <f aca="false">IF(AND($J1145="E-commerce",IFERROR($T1145/$R1145,0)&gt;Parametros!$C$14),"Alerta","OK")</f>
        <v>OK</v>
      </c>
      <c r="Y1145" s="61" t="str">
        <f aca="false">IF($R1145&gt;=Parametros!$C$12,"Alto",IF($R1145&lt;Parametros!$C$13,"Bajo","Medio"))</f>
        <v>Medio</v>
      </c>
      <c r="Z1145" s="61" t="n">
        <v>1270</v>
      </c>
      <c r="AA1145" s="61" t="str">
        <f aca="false">IF(MATCH($A1145,Datos_Origen!$A$2:$A$2459,0)=$Z1145,"OK","REVISAR")</f>
        <v>OK</v>
      </c>
      <c r="AB1145" s="62" t="n">
        <f aca="false">INDEX(Datos_Origen!$B$2:$B$2459,$Z1145)</f>
        <v>45643</v>
      </c>
      <c r="AC1145" s="61" t="n">
        <f aca="false">INDEX(Datos_Origen!$H$2:$H$2459,$Z1145)</f>
        <v>5</v>
      </c>
      <c r="AD1145" s="61" t="str">
        <f aca="false">INDEX(Datos_Origen!$D$2:$D$2459,$Z1145)&amp;""</f>
        <v>Rosario</v>
      </c>
    </row>
    <row r="1146" customFormat="false" ht="15" hidden="false" customHeight="false" outlineLevel="0" collapsed="false">
      <c r="A1146" s="61" t="n">
        <f aca="false">INDEX(Datos_Origen!$A$2:$A$2459,$Z1146)</f>
        <v>1145</v>
      </c>
      <c r="B1146" s="62" t="n">
        <f aca="false">IF(ISNUMBER($AB1146),$AB1146,IF(MID($AB1146,5,1)="-",DATE(VALUE(LEFT($AB1146,4)),VALUE(MID($AB1146,6,2)),VALUE(RIGHT($AB1146,2))),DATE(VALUE(RIGHT($AB1146,4)),VALUE(MID($AB1146,4,2)),VALUE(LEFT($AB1146,2)))))</f>
        <v>45650</v>
      </c>
      <c r="C1146" s="61" t="n">
        <f aca="false">YEAR($B1146)</f>
        <v>2024</v>
      </c>
      <c r="D1146" s="61" t="str">
        <f aca="false">"Q"&amp;ROUNDUP(MONTH($B1146)/3,0)</f>
        <v>Q4</v>
      </c>
      <c r="E1146" s="61" t="n">
        <f aca="false">MONTH($B1146)</f>
        <v>12</v>
      </c>
      <c r="F1146" s="61" t="str">
        <f aca="false">INDEX(Parametros!$I$5:$I$16,$E1146)</f>
        <v>Dic</v>
      </c>
      <c r="G1146" s="61" t="str">
        <f aca="false">TEXT($C1146,"0000")&amp;"-"&amp;TEXT($E1146,"00")</f>
        <v>2024-12</v>
      </c>
      <c r="H1146" s="61" t="str">
        <f aca="false">INDEX(Parametros!$C$71:$C$91,MATCH(TRIM(INDEX(Datos_Origen!$C$2:$C$2459,$Z1146)),Parametros!$B$71:$B$91,0))</f>
        <v>Litoral</v>
      </c>
      <c r="I1146" s="61" t="str">
        <f aca="false">IF(TRIM($AD1146)="",INDEX(Parametros!$I$20:$I$24,MATCH($H1146,Parametros!$H$20:$H$24,0)),TRIM($AD1146))</f>
        <v>Rosario</v>
      </c>
      <c r="J1146" s="61" t="str">
        <f aca="false">INDEX(Parametros!$C$95:$C$106,MATCH(TRIM(INDEX(Datos_Origen!$E$2:$E$2459,$Z1146)),Parametros!$B$95:$B$106,0))</f>
        <v>Tienda fisica</v>
      </c>
      <c r="K1146" s="61" t="str">
        <f aca="false">INDEX(Parametros!$C$48:$C$67,MATCH(TRIM(INDEX(Datos_Origen!$F$2:$F$2459,$Z1146)),Parametros!$B$48:$B$67,0))</f>
        <v>Computacion</v>
      </c>
      <c r="L1146" s="61" t="str">
        <f aca="false">$K1146&amp;" "&amp;$C1146</f>
        <v>Computacion 2024</v>
      </c>
      <c r="M1146" s="61" t="str">
        <f aca="false">TRIM(INDEX(Datos_Origen!$G$2:$G$2459,$Z1146))</f>
        <v>PC Gamer Ryzen</v>
      </c>
      <c r="N1146" s="61" t="str">
        <f aca="false">$M1146&amp;" "&amp;$C1146</f>
        <v>PC Gamer Ryzen 2024</v>
      </c>
      <c r="O1146" s="63" t="n">
        <f aca="false">IF(ISTEXT($AC1146),VALUE($AC1146),$AC1146)</f>
        <v>13</v>
      </c>
      <c r="P1146" s="64" t="n">
        <f aca="false">INDEX(Datos_Origen!$I$2:$I$2459,$Z1146)</f>
        <v>1617</v>
      </c>
      <c r="Q1146" s="64" t="n">
        <f aca="false">INDEX(Datos_Origen!$J$2:$J$2459,$Z1146)</f>
        <v>1122</v>
      </c>
      <c r="R1146" s="65" t="n">
        <f aca="false">ROUND($O1146*$P1146,2)</f>
        <v>21021</v>
      </c>
      <c r="S1146" s="65" t="n">
        <f aca="false">ROUND($O1146*$Q1146,2)</f>
        <v>14586</v>
      </c>
      <c r="T1146" s="65" t="n">
        <f aca="false">ROUND($R1146*SUMIFS(Parametros!$E$28:$E$43,Parametros!$B$28:$B$43,$J1146,Parametros!$C$28:$C$43,$C1146,Parametros!$D$28:$D$43,$D1146),2)</f>
        <v>273.27</v>
      </c>
      <c r="U1146" s="65" t="n">
        <f aca="false">$R1146-$S1146-$T1146</f>
        <v>6161.73</v>
      </c>
      <c r="V1146" s="66" t="n">
        <f aca="false">IFERROR($U1146/$R1146,0)</f>
        <v>0.29312259169402</v>
      </c>
      <c r="W1146" s="67" t="str">
        <f aca="false">IF(AND($V1146&gt;=Parametros!$C$8,$R1146&gt;=Parametros!$C$12),"Alta rentabilidad",IF(OR($V1146&lt;Parametros!$C$11,$R1146&lt;Parametros!$C$13),"Revisar","Estandar"))</f>
        <v>Estandar</v>
      </c>
      <c r="X1146" s="67" t="str">
        <f aca="false">IF(AND($J1146="E-commerce",IFERROR($T1146/$R1146,0)&gt;Parametros!$C$14),"Alerta","OK")</f>
        <v>OK</v>
      </c>
      <c r="Y1146" s="61" t="str">
        <f aca="false">IF($R1146&gt;=Parametros!$C$12,"Alto",IF($R1146&lt;Parametros!$C$13,"Bajo","Medio"))</f>
        <v>Alto</v>
      </c>
      <c r="Z1146" s="61" t="n">
        <v>2405</v>
      </c>
      <c r="AA1146" s="61" t="str">
        <f aca="false">IF(MATCH($A1146,Datos_Origen!$A$2:$A$2459,0)=$Z1146,"OK","REVISAR")</f>
        <v>OK</v>
      </c>
      <c r="AB1146" s="62" t="n">
        <f aca="false">INDEX(Datos_Origen!$B$2:$B$2459,$Z1146)</f>
        <v>45650</v>
      </c>
      <c r="AC1146" s="61" t="n">
        <f aca="false">INDEX(Datos_Origen!$H$2:$H$2459,$Z1146)</f>
        <v>13</v>
      </c>
      <c r="AD1146" s="61" t="str">
        <f aca="false">INDEX(Datos_Origen!$D$2:$D$2459,$Z1146)&amp;""</f>
        <v>Rosario</v>
      </c>
    </row>
    <row r="1147" customFormat="false" ht="15" hidden="false" customHeight="false" outlineLevel="0" collapsed="false">
      <c r="A1147" s="61" t="n">
        <f aca="false">INDEX(Datos_Origen!$A$2:$A$2459,$Z1147)</f>
        <v>1146</v>
      </c>
      <c r="B1147" s="62" t="n">
        <f aca="false">IF(ISNUMBER($AB1147),$AB1147,IF(MID($AB1147,5,1)="-",DATE(VALUE(LEFT($AB1147,4)),VALUE(MID($AB1147,6,2)),VALUE(RIGHT($AB1147,2))),DATE(VALUE(RIGHT($AB1147,4)),VALUE(MID($AB1147,4,2)),VALUE(LEFT($AB1147,2)))))</f>
        <v>45630</v>
      </c>
      <c r="C1147" s="61" t="n">
        <f aca="false">YEAR($B1147)</f>
        <v>2024</v>
      </c>
      <c r="D1147" s="61" t="str">
        <f aca="false">"Q"&amp;ROUNDUP(MONTH($B1147)/3,0)</f>
        <v>Q4</v>
      </c>
      <c r="E1147" s="61" t="n">
        <f aca="false">MONTH($B1147)</f>
        <v>12</v>
      </c>
      <c r="F1147" s="61" t="str">
        <f aca="false">INDEX(Parametros!$I$5:$I$16,$E1147)</f>
        <v>Dic</v>
      </c>
      <c r="G1147" s="61" t="str">
        <f aca="false">TEXT($C1147,"0000")&amp;"-"&amp;TEXT($E1147,"00")</f>
        <v>2024-12</v>
      </c>
      <c r="H1147" s="61" t="str">
        <f aca="false">INDEX(Parametros!$C$71:$C$91,MATCH(TRIM(INDEX(Datos_Origen!$C$2:$C$2459,$Z1147)),Parametros!$B$71:$B$91,0))</f>
        <v>Litoral</v>
      </c>
      <c r="I1147" s="61" t="str">
        <f aca="false">IF(TRIM($AD1147)="",INDEX(Parametros!$I$20:$I$24,MATCH($H1147,Parametros!$H$20:$H$24,0)),TRIM($AD1147))</f>
        <v>Rosario</v>
      </c>
      <c r="J1147" s="61" t="str">
        <f aca="false">INDEX(Parametros!$C$95:$C$106,MATCH(TRIM(INDEX(Datos_Origen!$E$2:$E$2459,$Z1147)),Parametros!$B$95:$B$106,0))</f>
        <v>E-commerce</v>
      </c>
      <c r="K1147" s="61" t="str">
        <f aca="false">INDEX(Parametros!$C$48:$C$67,MATCH(TRIM(INDEX(Datos_Origen!$F$2:$F$2459,$Z1147)),Parametros!$B$48:$B$67,0))</f>
        <v>Computacion</v>
      </c>
      <c r="L1147" s="61" t="str">
        <f aca="false">$K1147&amp;" "&amp;$C1147</f>
        <v>Computacion 2024</v>
      </c>
      <c r="M1147" s="61" t="str">
        <f aca="false">TRIM(INDEX(Datos_Origen!$G$2:$G$2459,$Z1147))</f>
        <v>PC Gamer Ryzen</v>
      </c>
      <c r="N1147" s="61" t="str">
        <f aca="false">$M1147&amp;" "&amp;$C1147</f>
        <v>PC Gamer Ryzen 2024</v>
      </c>
      <c r="O1147" s="63" t="n">
        <f aca="false">IF(ISTEXT($AC1147),VALUE($AC1147),$AC1147)</f>
        <v>5</v>
      </c>
      <c r="P1147" s="64" t="n">
        <f aca="false">INDEX(Datos_Origen!$I$2:$I$2459,$Z1147)</f>
        <v>1617</v>
      </c>
      <c r="Q1147" s="64" t="n">
        <f aca="false">INDEX(Datos_Origen!$J$2:$J$2459,$Z1147)</f>
        <v>1122</v>
      </c>
      <c r="R1147" s="65" t="n">
        <f aca="false">ROUND($O1147*$P1147,2)</f>
        <v>8085</v>
      </c>
      <c r="S1147" s="65" t="n">
        <f aca="false">ROUND($O1147*$Q1147,2)</f>
        <v>5610</v>
      </c>
      <c r="T1147" s="65" t="n">
        <f aca="false">ROUND($R1147*SUMIFS(Parametros!$E$28:$E$43,Parametros!$B$28:$B$43,$J1147,Parametros!$C$28:$C$43,$C1147,Parametros!$D$28:$D$43,$D1147),2)</f>
        <v>388.08</v>
      </c>
      <c r="U1147" s="65" t="n">
        <f aca="false">$R1147-$S1147-$T1147</f>
        <v>2086.92</v>
      </c>
      <c r="V1147" s="66" t="n">
        <f aca="false">IFERROR($U1147/$R1147,0)</f>
        <v>0.258122448979592</v>
      </c>
      <c r="W1147" s="67" t="str">
        <f aca="false">IF(AND($V1147&gt;=Parametros!$C$8,$R1147&gt;=Parametros!$C$12),"Alta rentabilidad",IF(OR($V1147&lt;Parametros!$C$11,$R1147&lt;Parametros!$C$13),"Revisar","Estandar"))</f>
        <v>Revisar</v>
      </c>
      <c r="X1147" s="67" t="str">
        <f aca="false">IF(AND($J1147="E-commerce",IFERROR($T1147/$R1147,0)&gt;Parametros!$C$14),"Alerta","OK")</f>
        <v>OK</v>
      </c>
      <c r="Y1147" s="61" t="str">
        <f aca="false">IF($R1147&gt;=Parametros!$C$12,"Alto",IF($R1147&lt;Parametros!$C$13,"Bajo","Medio"))</f>
        <v>Alto</v>
      </c>
      <c r="Z1147" s="61" t="n">
        <v>1422</v>
      </c>
      <c r="AA1147" s="61" t="str">
        <f aca="false">IF(MATCH($A1147,Datos_Origen!$A$2:$A$2459,0)=$Z1147,"OK","REVISAR")</f>
        <v>OK</v>
      </c>
      <c r="AB1147" s="61" t="str">
        <f aca="false">INDEX(Datos_Origen!$B$2:$B$2459,$Z1147)</f>
        <v>2024-12-04</v>
      </c>
      <c r="AC1147" s="61" t="n">
        <f aca="false">INDEX(Datos_Origen!$H$2:$H$2459,$Z1147)</f>
        <v>5</v>
      </c>
      <c r="AD1147" s="61" t="str">
        <f aca="false">INDEX(Datos_Origen!$D$2:$D$2459,$Z1147)&amp;""</f>
        <v>Rosario</v>
      </c>
    </row>
    <row r="1148" customFormat="false" ht="15" hidden="false" customHeight="false" outlineLevel="0" collapsed="false">
      <c r="A1148" s="61" t="n">
        <f aca="false">INDEX(Datos_Origen!$A$2:$A$2459,$Z1148)</f>
        <v>1147</v>
      </c>
      <c r="B1148" s="62" t="n">
        <f aca="false">IF(ISNUMBER($AB1148),$AB1148,IF(MID($AB1148,5,1)="-",DATE(VALUE(LEFT($AB1148,4)),VALUE(MID($AB1148,6,2)),VALUE(RIGHT($AB1148,2))),DATE(VALUE(RIGHT($AB1148,4)),VALUE(MID($AB1148,4,2)),VALUE(LEFT($AB1148,2)))))</f>
        <v>45637</v>
      </c>
      <c r="C1148" s="61" t="n">
        <f aca="false">YEAR($B1148)</f>
        <v>2024</v>
      </c>
      <c r="D1148" s="61" t="str">
        <f aca="false">"Q"&amp;ROUNDUP(MONTH($B1148)/3,0)</f>
        <v>Q4</v>
      </c>
      <c r="E1148" s="61" t="n">
        <f aca="false">MONTH($B1148)</f>
        <v>12</v>
      </c>
      <c r="F1148" s="61" t="str">
        <f aca="false">INDEX(Parametros!$I$5:$I$16,$E1148)</f>
        <v>Dic</v>
      </c>
      <c r="G1148" s="61" t="str">
        <f aca="false">TEXT($C1148,"0000")&amp;"-"&amp;TEXT($E1148,"00")</f>
        <v>2024-12</v>
      </c>
      <c r="H1148" s="61" t="str">
        <f aca="false">INDEX(Parametros!$C$71:$C$91,MATCH(TRIM(INDEX(Datos_Origen!$C$2:$C$2459,$Z1148)),Parametros!$B$71:$B$91,0))</f>
        <v>Litoral</v>
      </c>
      <c r="I1148" s="61" t="str">
        <f aca="false">IF(TRIM($AD1148)="",INDEX(Parametros!$I$20:$I$24,MATCH($H1148,Parametros!$H$20:$H$24,0)),TRIM($AD1148))</f>
        <v>Rosario</v>
      </c>
      <c r="J1148" s="61" t="str">
        <f aca="false">INDEX(Parametros!$C$95:$C$106,MATCH(TRIM(INDEX(Datos_Origen!$E$2:$E$2459,$Z1148)),Parametros!$B$95:$B$106,0))</f>
        <v>Tienda fisica</v>
      </c>
      <c r="K1148" s="61" t="str">
        <f aca="false">INDEX(Parametros!$C$48:$C$67,MATCH(TRIM(INDEX(Datos_Origen!$F$2:$F$2459,$Z1148)),Parametros!$B$48:$B$67,0))</f>
        <v>Accesorios</v>
      </c>
      <c r="L1148" s="61" t="str">
        <f aca="false">$K1148&amp;" "&amp;$C1148</f>
        <v>Accesorios 2024</v>
      </c>
      <c r="M1148" s="61" t="str">
        <f aca="false">TRIM(INDEX(Datos_Origen!$G$2:$G$2459,$Z1148))</f>
        <v>Mouse Inalambrico</v>
      </c>
      <c r="N1148" s="61" t="str">
        <f aca="false">$M1148&amp;" "&amp;$C1148</f>
        <v>Mouse Inalambrico 2024</v>
      </c>
      <c r="O1148" s="63" t="n">
        <f aca="false">IF(ISTEXT($AC1148),VALUE($AC1148),$AC1148)</f>
        <v>69</v>
      </c>
      <c r="P1148" s="64" t="n">
        <f aca="false">INDEX(Datos_Origen!$I$2:$I$2459,$Z1148)</f>
        <v>27.44</v>
      </c>
      <c r="Q1148" s="64" t="n">
        <f aca="false">INDEX(Datos_Origen!$J$2:$J$2459,$Z1148)</f>
        <v>13.44</v>
      </c>
      <c r="R1148" s="65" t="n">
        <f aca="false">ROUND($O1148*$P1148,2)</f>
        <v>1893.36</v>
      </c>
      <c r="S1148" s="65" t="n">
        <f aca="false">ROUND($O1148*$Q1148,2)</f>
        <v>927.36</v>
      </c>
      <c r="T1148" s="65" t="n">
        <f aca="false">ROUND($R1148*SUMIFS(Parametros!$E$28:$E$43,Parametros!$B$28:$B$43,$J1148,Parametros!$C$28:$C$43,$C1148,Parametros!$D$28:$D$43,$D1148),2)</f>
        <v>24.61</v>
      </c>
      <c r="U1148" s="65" t="n">
        <f aca="false">$R1148-$S1148-$T1148</f>
        <v>941.39</v>
      </c>
      <c r="V1148" s="66" t="n">
        <f aca="false">IFERROR($U1148/$R1148,0)</f>
        <v>0.49720602526725</v>
      </c>
      <c r="W1148" s="67" t="str">
        <f aca="false">IF(AND($V1148&gt;=Parametros!$C$8,$R1148&gt;=Parametros!$C$12),"Alta rentabilidad",IF(OR($V1148&lt;Parametros!$C$11,$R1148&lt;Parametros!$C$13),"Revisar","Estandar"))</f>
        <v>Estandar</v>
      </c>
      <c r="X1148" s="67" t="str">
        <f aca="false">IF(AND($J1148="E-commerce",IFERROR($T1148/$R1148,0)&gt;Parametros!$C$14),"Alerta","OK")</f>
        <v>OK</v>
      </c>
      <c r="Y1148" s="61" t="str">
        <f aca="false">IF($R1148&gt;=Parametros!$C$12,"Alto",IF($R1148&lt;Parametros!$C$13,"Bajo","Medio"))</f>
        <v>Medio</v>
      </c>
      <c r="Z1148" s="61" t="n">
        <v>1837</v>
      </c>
      <c r="AA1148" s="61" t="str">
        <f aca="false">IF(MATCH($A1148,Datos_Origen!$A$2:$A$2459,0)=$Z1148,"OK","REVISAR")</f>
        <v>OK</v>
      </c>
      <c r="AB1148" s="61" t="str">
        <f aca="false">INDEX(Datos_Origen!$B$2:$B$2459,$Z1148)</f>
        <v>11/12/2024</v>
      </c>
      <c r="AC1148" s="61" t="n">
        <f aca="false">INDEX(Datos_Origen!$H$2:$H$2459,$Z1148)</f>
        <v>69</v>
      </c>
      <c r="AD1148" s="61" t="str">
        <f aca="false">INDEX(Datos_Origen!$D$2:$D$2459,$Z1148)&amp;""</f>
        <v>Rosario</v>
      </c>
    </row>
    <row r="1149" customFormat="false" ht="15" hidden="false" customHeight="false" outlineLevel="0" collapsed="false">
      <c r="A1149" s="61" t="n">
        <f aca="false">INDEX(Datos_Origen!$A$2:$A$2459,$Z1149)</f>
        <v>1148</v>
      </c>
      <c r="B1149" s="62" t="n">
        <f aca="false">IF(ISNUMBER($AB1149),$AB1149,IF(MID($AB1149,5,1)="-",DATE(VALUE(LEFT($AB1149,4)),VALUE(MID($AB1149,6,2)),VALUE(RIGHT($AB1149,2))),DATE(VALUE(RIGHT($AB1149,4)),VALUE(MID($AB1149,4,2)),VALUE(LEFT($AB1149,2)))))</f>
        <v>45644</v>
      </c>
      <c r="C1149" s="61" t="n">
        <f aca="false">YEAR($B1149)</f>
        <v>2024</v>
      </c>
      <c r="D1149" s="61" t="str">
        <f aca="false">"Q"&amp;ROUNDUP(MONTH($B1149)/3,0)</f>
        <v>Q4</v>
      </c>
      <c r="E1149" s="61" t="n">
        <f aca="false">MONTH($B1149)</f>
        <v>12</v>
      </c>
      <c r="F1149" s="61" t="str">
        <f aca="false">INDEX(Parametros!$I$5:$I$16,$E1149)</f>
        <v>Dic</v>
      </c>
      <c r="G1149" s="61" t="str">
        <f aca="false">TEXT($C1149,"0000")&amp;"-"&amp;TEXT($E1149,"00")</f>
        <v>2024-12</v>
      </c>
      <c r="H1149" s="61" t="str">
        <f aca="false">INDEX(Parametros!$C$71:$C$91,MATCH(TRIM(INDEX(Datos_Origen!$C$2:$C$2459,$Z1149)),Parametros!$B$71:$B$91,0))</f>
        <v>Litoral</v>
      </c>
      <c r="I1149" s="61" t="str">
        <f aca="false">IF(TRIM($AD1149)="",INDEX(Parametros!$I$20:$I$24,MATCH($H1149,Parametros!$H$20:$H$24,0)),TRIM($AD1149))</f>
        <v>Rosario</v>
      </c>
      <c r="J1149" s="61" t="str">
        <f aca="false">INDEX(Parametros!$C$95:$C$106,MATCH(TRIM(INDEX(Datos_Origen!$E$2:$E$2459,$Z1149)),Parametros!$B$95:$B$106,0))</f>
        <v>E-commerce</v>
      </c>
      <c r="K1149" s="61" t="str">
        <f aca="false">INDEX(Parametros!$C$48:$C$67,MATCH(TRIM(INDEX(Datos_Origen!$F$2:$F$2459,$Z1149)),Parametros!$B$48:$B$67,0))</f>
        <v>Accesorios</v>
      </c>
      <c r="L1149" s="61" t="str">
        <f aca="false">$K1149&amp;" "&amp;$C1149</f>
        <v>Accesorios 2024</v>
      </c>
      <c r="M1149" s="61" t="str">
        <f aca="false">TRIM(INDEX(Datos_Origen!$G$2:$G$2459,$Z1149))</f>
        <v>Mouse Inalambrico</v>
      </c>
      <c r="N1149" s="61" t="str">
        <f aca="false">$M1149&amp;" "&amp;$C1149</f>
        <v>Mouse Inalambrico 2024</v>
      </c>
      <c r="O1149" s="63" t="n">
        <f aca="false">IF(ISTEXT($AC1149),VALUE($AC1149),$AC1149)</f>
        <v>20</v>
      </c>
      <c r="P1149" s="64" t="n">
        <f aca="false">INDEX(Datos_Origen!$I$2:$I$2459,$Z1149)</f>
        <v>27.44</v>
      </c>
      <c r="Q1149" s="64" t="n">
        <f aca="false">INDEX(Datos_Origen!$J$2:$J$2459,$Z1149)</f>
        <v>13.44</v>
      </c>
      <c r="R1149" s="65" t="n">
        <f aca="false">ROUND($O1149*$P1149,2)</f>
        <v>548.8</v>
      </c>
      <c r="S1149" s="65" t="n">
        <f aca="false">ROUND($O1149*$Q1149,2)</f>
        <v>268.8</v>
      </c>
      <c r="T1149" s="65" t="n">
        <f aca="false">ROUND($R1149*SUMIFS(Parametros!$E$28:$E$43,Parametros!$B$28:$B$43,$J1149,Parametros!$C$28:$C$43,$C1149,Parametros!$D$28:$D$43,$D1149),2)</f>
        <v>26.34</v>
      </c>
      <c r="U1149" s="65" t="n">
        <f aca="false">$R1149-$S1149-$T1149</f>
        <v>253.66</v>
      </c>
      <c r="V1149" s="66" t="n">
        <f aca="false">IFERROR($U1149/$R1149,0)</f>
        <v>0.462208454810496</v>
      </c>
      <c r="W1149" s="67" t="str">
        <f aca="false">IF(AND($V1149&gt;=Parametros!$C$8,$R1149&gt;=Parametros!$C$12),"Alta rentabilidad",IF(OR($V1149&lt;Parametros!$C$11,$R1149&lt;Parametros!$C$13),"Revisar","Estandar"))</f>
        <v>Estandar</v>
      </c>
      <c r="X1149" s="67" t="str">
        <f aca="false">IF(AND($J1149="E-commerce",IFERROR($T1149/$R1149,0)&gt;Parametros!$C$14),"Alerta","OK")</f>
        <v>OK</v>
      </c>
      <c r="Y1149" s="61" t="str">
        <f aca="false">IF($R1149&gt;=Parametros!$C$12,"Alto",IF($R1149&lt;Parametros!$C$13,"Bajo","Medio"))</f>
        <v>Medio</v>
      </c>
      <c r="Z1149" s="61" t="n">
        <v>2185</v>
      </c>
      <c r="AA1149" s="61" t="str">
        <f aca="false">IF(MATCH($A1149,Datos_Origen!$A$2:$A$2459,0)=$Z1149,"OK","REVISAR")</f>
        <v>OK</v>
      </c>
      <c r="AB1149" s="62" t="n">
        <f aca="false">INDEX(Datos_Origen!$B$2:$B$2459,$Z1149)</f>
        <v>45644</v>
      </c>
      <c r="AC1149" s="61" t="n">
        <f aca="false">INDEX(Datos_Origen!$H$2:$H$2459,$Z1149)</f>
        <v>20</v>
      </c>
      <c r="AD1149" s="61" t="str">
        <f aca="false">INDEX(Datos_Origen!$D$2:$D$2459,$Z1149)&amp;""</f>
        <v>Rosario</v>
      </c>
    </row>
    <row r="1150" customFormat="false" ht="15" hidden="false" customHeight="false" outlineLevel="0" collapsed="false">
      <c r="A1150" s="61" t="n">
        <f aca="false">INDEX(Datos_Origen!$A$2:$A$2459,$Z1150)</f>
        <v>1149</v>
      </c>
      <c r="B1150" s="62" t="n">
        <f aca="false">IF(ISNUMBER($AB1150),$AB1150,IF(MID($AB1150,5,1)="-",DATE(VALUE(LEFT($AB1150,4)),VALUE(MID($AB1150,6,2)),VALUE(RIGHT($AB1150,2))),DATE(VALUE(RIGHT($AB1150,4)),VALUE(MID($AB1150,4,2)),VALUE(LEFT($AB1150,2)))))</f>
        <v>45651</v>
      </c>
      <c r="C1150" s="61" t="n">
        <f aca="false">YEAR($B1150)</f>
        <v>2024</v>
      </c>
      <c r="D1150" s="61" t="str">
        <f aca="false">"Q"&amp;ROUNDUP(MONTH($B1150)/3,0)</f>
        <v>Q4</v>
      </c>
      <c r="E1150" s="61" t="n">
        <f aca="false">MONTH($B1150)</f>
        <v>12</v>
      </c>
      <c r="F1150" s="61" t="str">
        <f aca="false">INDEX(Parametros!$I$5:$I$16,$E1150)</f>
        <v>Dic</v>
      </c>
      <c r="G1150" s="61" t="str">
        <f aca="false">TEXT($C1150,"0000")&amp;"-"&amp;TEXT($E1150,"00")</f>
        <v>2024-12</v>
      </c>
      <c r="H1150" s="61" t="str">
        <f aca="false">INDEX(Parametros!$C$71:$C$91,MATCH(TRIM(INDEX(Datos_Origen!$C$2:$C$2459,$Z1150)),Parametros!$B$71:$B$91,0))</f>
        <v>Litoral</v>
      </c>
      <c r="I1150" s="61" t="str">
        <f aca="false">IF(TRIM($AD1150)="",INDEX(Parametros!$I$20:$I$24,MATCH($H1150,Parametros!$H$20:$H$24,0)),TRIM($AD1150))</f>
        <v>Rosario</v>
      </c>
      <c r="J1150" s="61" t="str">
        <f aca="false">INDEX(Parametros!$C$95:$C$106,MATCH(TRIM(INDEX(Datos_Origen!$E$2:$E$2459,$Z1150)),Parametros!$B$95:$B$106,0))</f>
        <v>Tienda fisica</v>
      </c>
      <c r="K1150" s="61" t="str">
        <f aca="false">INDEX(Parametros!$C$48:$C$67,MATCH(TRIM(INDEX(Datos_Origen!$F$2:$F$2459,$Z1150)),Parametros!$B$48:$B$67,0))</f>
        <v>Accesorios</v>
      </c>
      <c r="L1150" s="61" t="str">
        <f aca="false">$K1150&amp;" "&amp;$C1150</f>
        <v>Accesorios 2024</v>
      </c>
      <c r="M1150" s="61" t="str">
        <f aca="false">TRIM(INDEX(Datos_Origen!$G$2:$G$2459,$Z1150))</f>
        <v>Teclado Mecanico</v>
      </c>
      <c r="N1150" s="61" t="str">
        <f aca="false">$M1150&amp;" "&amp;$C1150</f>
        <v>Teclado Mecanico 2024</v>
      </c>
      <c r="O1150" s="63" t="n">
        <f aca="false">IF(ISTEXT($AC1150),VALUE($AC1150),$AC1150)</f>
        <v>53</v>
      </c>
      <c r="P1150" s="64" t="n">
        <f aca="false">INDEX(Datos_Origen!$I$2:$I$2459,$Z1150)</f>
        <v>93.1</v>
      </c>
      <c r="Q1150" s="64" t="n">
        <f aca="false">INDEX(Datos_Origen!$J$2:$J$2459,$Z1150)</f>
        <v>47.98</v>
      </c>
      <c r="R1150" s="65" t="n">
        <f aca="false">ROUND($O1150*$P1150,2)</f>
        <v>4934.3</v>
      </c>
      <c r="S1150" s="65" t="n">
        <f aca="false">ROUND($O1150*$Q1150,2)</f>
        <v>2542.94</v>
      </c>
      <c r="T1150" s="65" t="n">
        <f aca="false">ROUND($R1150*SUMIFS(Parametros!$E$28:$E$43,Parametros!$B$28:$B$43,$J1150,Parametros!$C$28:$C$43,$C1150,Parametros!$D$28:$D$43,$D1150),2)</f>
        <v>64.15</v>
      </c>
      <c r="U1150" s="65" t="n">
        <f aca="false">$R1150-$S1150-$T1150</f>
        <v>2327.21</v>
      </c>
      <c r="V1150" s="66" t="n">
        <f aca="false">IFERROR($U1150/$R1150,0)</f>
        <v>0.471639340939951</v>
      </c>
      <c r="W1150" s="67" t="str">
        <f aca="false">IF(AND($V1150&gt;=Parametros!$C$8,$R1150&gt;=Parametros!$C$12),"Alta rentabilidad",IF(OR($V1150&lt;Parametros!$C$11,$R1150&lt;Parametros!$C$13),"Revisar","Estandar"))</f>
        <v>Alta rentabilidad</v>
      </c>
      <c r="X1150" s="67" t="str">
        <f aca="false">IF(AND($J1150="E-commerce",IFERROR($T1150/$R1150,0)&gt;Parametros!$C$14),"Alerta","OK")</f>
        <v>OK</v>
      </c>
      <c r="Y1150" s="61" t="str">
        <f aca="false">IF($R1150&gt;=Parametros!$C$12,"Alto",IF($R1150&lt;Parametros!$C$13,"Bajo","Medio"))</f>
        <v>Alto</v>
      </c>
      <c r="Z1150" s="61" t="n">
        <v>2019</v>
      </c>
      <c r="AA1150" s="61" t="str">
        <f aca="false">IF(MATCH($A1150,Datos_Origen!$A$2:$A$2459,0)=$Z1150,"OK","REVISAR")</f>
        <v>OK</v>
      </c>
      <c r="AB1150" s="61" t="str">
        <f aca="false">INDEX(Datos_Origen!$B$2:$B$2459,$Z1150)</f>
        <v>25/12/2024</v>
      </c>
      <c r="AC1150" s="61" t="n">
        <f aca="false">INDEX(Datos_Origen!$H$2:$H$2459,$Z1150)</f>
        <v>53</v>
      </c>
      <c r="AD1150" s="61" t="str">
        <f aca="false">INDEX(Datos_Origen!$D$2:$D$2459,$Z1150)&amp;""</f>
        <v>Rosario</v>
      </c>
    </row>
    <row r="1151" customFormat="false" ht="15" hidden="false" customHeight="false" outlineLevel="0" collapsed="false">
      <c r="A1151" s="61" t="n">
        <f aca="false">INDEX(Datos_Origen!$A$2:$A$2459,$Z1151)</f>
        <v>1150</v>
      </c>
      <c r="B1151" s="62" t="n">
        <f aca="false">IF(ISNUMBER($AB1151),$AB1151,IF(MID($AB1151,5,1)="-",DATE(VALUE(LEFT($AB1151,4)),VALUE(MID($AB1151,6,2)),VALUE(RIGHT($AB1151,2))),DATE(VALUE(RIGHT($AB1151,4)),VALUE(MID($AB1151,4,2)),VALUE(LEFT($AB1151,2)))))</f>
        <v>45631</v>
      </c>
      <c r="C1151" s="61" t="n">
        <f aca="false">YEAR($B1151)</f>
        <v>2024</v>
      </c>
      <c r="D1151" s="61" t="str">
        <f aca="false">"Q"&amp;ROUNDUP(MONTH($B1151)/3,0)</f>
        <v>Q4</v>
      </c>
      <c r="E1151" s="61" t="n">
        <f aca="false">MONTH($B1151)</f>
        <v>12</v>
      </c>
      <c r="F1151" s="61" t="str">
        <f aca="false">INDEX(Parametros!$I$5:$I$16,$E1151)</f>
        <v>Dic</v>
      </c>
      <c r="G1151" s="61" t="str">
        <f aca="false">TEXT($C1151,"0000")&amp;"-"&amp;TEXT($E1151,"00")</f>
        <v>2024-12</v>
      </c>
      <c r="H1151" s="61" t="str">
        <f aca="false">INDEX(Parametros!$C$71:$C$91,MATCH(TRIM(INDEX(Datos_Origen!$C$2:$C$2459,$Z1151)),Parametros!$B$71:$B$91,0))</f>
        <v>Litoral</v>
      </c>
      <c r="I1151" s="61" t="str">
        <f aca="false">IF(TRIM($AD1151)="",INDEX(Parametros!$I$20:$I$24,MATCH($H1151,Parametros!$H$20:$H$24,0)),TRIM($AD1151))</f>
        <v>Rosario</v>
      </c>
      <c r="J1151" s="61" t="str">
        <f aca="false">INDEX(Parametros!$C$95:$C$106,MATCH(TRIM(INDEX(Datos_Origen!$E$2:$E$2459,$Z1151)),Parametros!$B$95:$B$106,0))</f>
        <v>E-commerce</v>
      </c>
      <c r="K1151" s="61" t="str">
        <f aca="false">INDEX(Parametros!$C$48:$C$67,MATCH(TRIM(INDEX(Datos_Origen!$F$2:$F$2459,$Z1151)),Parametros!$B$48:$B$67,0))</f>
        <v>Accesorios</v>
      </c>
      <c r="L1151" s="61" t="str">
        <f aca="false">$K1151&amp;" "&amp;$C1151</f>
        <v>Accesorios 2024</v>
      </c>
      <c r="M1151" s="61" t="str">
        <f aca="false">TRIM(INDEX(Datos_Origen!$G$2:$G$2459,$Z1151))</f>
        <v>Teclado Mecanico</v>
      </c>
      <c r="N1151" s="61" t="str">
        <f aca="false">$M1151&amp;" "&amp;$C1151</f>
        <v>Teclado Mecanico 2024</v>
      </c>
      <c r="O1151" s="63" t="n">
        <f aca="false">IF(ISTEXT($AC1151),VALUE($AC1151),$AC1151)</f>
        <v>25</v>
      </c>
      <c r="P1151" s="64" t="n">
        <f aca="false">INDEX(Datos_Origen!$I$2:$I$2459,$Z1151)</f>
        <v>93.1</v>
      </c>
      <c r="Q1151" s="64" t="n">
        <f aca="false">INDEX(Datos_Origen!$J$2:$J$2459,$Z1151)</f>
        <v>47.98</v>
      </c>
      <c r="R1151" s="65" t="n">
        <f aca="false">ROUND($O1151*$P1151,2)</f>
        <v>2327.5</v>
      </c>
      <c r="S1151" s="65" t="n">
        <f aca="false">ROUND($O1151*$Q1151,2)</f>
        <v>1199.5</v>
      </c>
      <c r="T1151" s="65" t="n">
        <f aca="false">ROUND($R1151*SUMIFS(Parametros!$E$28:$E$43,Parametros!$B$28:$B$43,$J1151,Parametros!$C$28:$C$43,$C1151,Parametros!$D$28:$D$43,$D1151),2)</f>
        <v>111.72</v>
      </c>
      <c r="U1151" s="65" t="n">
        <f aca="false">$R1151-$S1151-$T1151</f>
        <v>1016.28</v>
      </c>
      <c r="V1151" s="66" t="n">
        <f aca="false">IFERROR($U1151/$R1151,0)</f>
        <v>0.436640171858217</v>
      </c>
      <c r="W1151" s="67" t="str">
        <f aca="false">IF(AND($V1151&gt;=Parametros!$C$8,$R1151&gt;=Parametros!$C$12),"Alta rentabilidad",IF(OR($V1151&lt;Parametros!$C$11,$R1151&lt;Parametros!$C$13),"Revisar","Estandar"))</f>
        <v>Estandar</v>
      </c>
      <c r="X1151" s="67" t="str">
        <f aca="false">IF(AND($J1151="E-commerce",IFERROR($T1151/$R1151,0)&gt;Parametros!$C$14),"Alerta","OK")</f>
        <v>OK</v>
      </c>
      <c r="Y1151" s="61" t="str">
        <f aca="false">IF($R1151&gt;=Parametros!$C$12,"Alto",IF($R1151&lt;Parametros!$C$13,"Bajo","Medio"))</f>
        <v>Medio</v>
      </c>
      <c r="Z1151" s="61" t="n">
        <v>1189</v>
      </c>
      <c r="AA1151" s="61" t="str">
        <f aca="false">IF(MATCH($A1151,Datos_Origen!$A$2:$A$2459,0)=$Z1151,"OK","REVISAR")</f>
        <v>OK</v>
      </c>
      <c r="AB1151" s="62" t="n">
        <f aca="false">INDEX(Datos_Origen!$B$2:$B$2459,$Z1151)</f>
        <v>45631</v>
      </c>
      <c r="AC1151" s="61" t="n">
        <f aca="false">INDEX(Datos_Origen!$H$2:$H$2459,$Z1151)</f>
        <v>25</v>
      </c>
      <c r="AD1151" s="61" t="str">
        <f aca="false">INDEX(Datos_Origen!$D$2:$D$2459,$Z1151)&amp;""</f>
        <v>Rosario</v>
      </c>
    </row>
    <row r="1152" customFormat="false" ht="15" hidden="false" customHeight="false" outlineLevel="0" collapsed="false">
      <c r="A1152" s="61" t="n">
        <f aca="false">INDEX(Datos_Origen!$A$2:$A$2459,$Z1152)</f>
        <v>1151</v>
      </c>
      <c r="B1152" s="62" t="n">
        <f aca="false">IF(ISNUMBER($AB1152),$AB1152,IF(MID($AB1152,5,1)="-",DATE(VALUE(LEFT($AB1152,4)),VALUE(MID($AB1152,6,2)),VALUE(RIGHT($AB1152,2))),DATE(VALUE(RIGHT($AB1152,4)),VALUE(MID($AB1152,4,2)),VALUE(LEFT($AB1152,2)))))</f>
        <v>45638</v>
      </c>
      <c r="C1152" s="61" t="n">
        <f aca="false">YEAR($B1152)</f>
        <v>2024</v>
      </c>
      <c r="D1152" s="61" t="str">
        <f aca="false">"Q"&amp;ROUNDUP(MONTH($B1152)/3,0)</f>
        <v>Q4</v>
      </c>
      <c r="E1152" s="61" t="n">
        <f aca="false">MONTH($B1152)</f>
        <v>12</v>
      </c>
      <c r="F1152" s="61" t="str">
        <f aca="false">INDEX(Parametros!$I$5:$I$16,$E1152)</f>
        <v>Dic</v>
      </c>
      <c r="G1152" s="61" t="str">
        <f aca="false">TEXT($C1152,"0000")&amp;"-"&amp;TEXT($E1152,"00")</f>
        <v>2024-12</v>
      </c>
      <c r="H1152" s="61" t="str">
        <f aca="false">INDEX(Parametros!$C$71:$C$91,MATCH(TRIM(INDEX(Datos_Origen!$C$2:$C$2459,$Z1152)),Parametros!$B$71:$B$91,0))</f>
        <v>Litoral</v>
      </c>
      <c r="I1152" s="61" t="str">
        <f aca="false">IF(TRIM($AD1152)="",INDEX(Parametros!$I$20:$I$24,MATCH($H1152,Parametros!$H$20:$H$24,0)),TRIM($AD1152))</f>
        <v>Rosario</v>
      </c>
      <c r="J1152" s="61" t="str">
        <f aca="false">INDEX(Parametros!$C$95:$C$106,MATCH(TRIM(INDEX(Datos_Origen!$E$2:$E$2459,$Z1152)),Parametros!$B$95:$B$106,0))</f>
        <v>Tienda fisica</v>
      </c>
      <c r="K1152" s="61" t="str">
        <f aca="false">INDEX(Parametros!$C$48:$C$67,MATCH(TRIM(INDEX(Datos_Origen!$F$2:$F$2459,$Z1152)),Parametros!$B$48:$B$67,0))</f>
        <v>Accesorios</v>
      </c>
      <c r="L1152" s="61" t="str">
        <f aca="false">$K1152&amp;" "&amp;$C1152</f>
        <v>Accesorios 2024</v>
      </c>
      <c r="M1152" s="61" t="str">
        <f aca="false">TRIM(INDEX(Datos_Origen!$G$2:$G$2459,$Z1152))</f>
        <v>Webcam Full HD</v>
      </c>
      <c r="N1152" s="61" t="str">
        <f aca="false">$M1152&amp;" "&amp;$C1152</f>
        <v>Webcam Full HD 2024</v>
      </c>
      <c r="O1152" s="63" t="n">
        <f aca="false">IF(ISTEXT($AC1152),VALUE($AC1152),$AC1152)</f>
        <v>57</v>
      </c>
      <c r="P1152" s="64" t="n">
        <f aca="false">INDEX(Datos_Origen!$I$2:$I$2459,$Z1152)</f>
        <v>63.7</v>
      </c>
      <c r="Q1152" s="64" t="n">
        <f aca="false">INDEX(Datos_Origen!$J$2:$J$2459,$Z1152)</f>
        <v>35.43</v>
      </c>
      <c r="R1152" s="65" t="n">
        <f aca="false">ROUND($O1152*$P1152,2)</f>
        <v>3630.9</v>
      </c>
      <c r="S1152" s="65" t="n">
        <f aca="false">ROUND($O1152*$Q1152,2)</f>
        <v>2019.51</v>
      </c>
      <c r="T1152" s="65" t="n">
        <f aca="false">ROUND($R1152*SUMIFS(Parametros!$E$28:$E$43,Parametros!$B$28:$B$43,$J1152,Parametros!$C$28:$C$43,$C1152,Parametros!$D$28:$D$43,$D1152),2)</f>
        <v>47.2</v>
      </c>
      <c r="U1152" s="65" t="n">
        <f aca="false">$R1152-$S1152-$T1152</f>
        <v>1564.19</v>
      </c>
      <c r="V1152" s="66" t="n">
        <f aca="false">IFERROR($U1152/$R1152,0)</f>
        <v>0.430799526288248</v>
      </c>
      <c r="W1152" s="67" t="str">
        <f aca="false">IF(AND($V1152&gt;=Parametros!$C$8,$R1152&gt;=Parametros!$C$12),"Alta rentabilidad",IF(OR($V1152&lt;Parametros!$C$11,$R1152&lt;Parametros!$C$13),"Revisar","Estandar"))</f>
        <v>Alta rentabilidad</v>
      </c>
      <c r="X1152" s="67" t="str">
        <f aca="false">IF(AND($J1152="E-commerce",IFERROR($T1152/$R1152,0)&gt;Parametros!$C$14),"Alerta","OK")</f>
        <v>OK</v>
      </c>
      <c r="Y1152" s="61" t="str">
        <f aca="false">IF($R1152&gt;=Parametros!$C$12,"Alto",IF($R1152&lt;Parametros!$C$13,"Bajo","Medio"))</f>
        <v>Alto</v>
      </c>
      <c r="Z1152" s="61" t="n">
        <v>2159</v>
      </c>
      <c r="AA1152" s="61" t="str">
        <f aca="false">IF(MATCH($A1152,Datos_Origen!$A$2:$A$2459,0)=$Z1152,"OK","REVISAR")</f>
        <v>OK</v>
      </c>
      <c r="AB1152" s="62" t="n">
        <f aca="false">INDEX(Datos_Origen!$B$2:$B$2459,$Z1152)</f>
        <v>45638</v>
      </c>
      <c r="AC1152" s="61" t="n">
        <f aca="false">INDEX(Datos_Origen!$H$2:$H$2459,$Z1152)</f>
        <v>57</v>
      </c>
      <c r="AD1152" s="61" t="str">
        <f aca="false">INDEX(Datos_Origen!$D$2:$D$2459,$Z1152)&amp;""</f>
        <v>Rosario</v>
      </c>
    </row>
    <row r="1153" customFormat="false" ht="15" hidden="false" customHeight="false" outlineLevel="0" collapsed="false">
      <c r="A1153" s="61" t="n">
        <f aca="false">INDEX(Datos_Origen!$A$2:$A$2459,$Z1153)</f>
        <v>1152</v>
      </c>
      <c r="B1153" s="62" t="n">
        <f aca="false">IF(ISNUMBER($AB1153),$AB1153,IF(MID($AB1153,5,1)="-",DATE(VALUE(LEFT($AB1153,4)),VALUE(MID($AB1153,6,2)),VALUE(RIGHT($AB1153,2))),DATE(VALUE(RIGHT($AB1153,4)),VALUE(MID($AB1153,4,2)),VALUE(LEFT($AB1153,2)))))</f>
        <v>45645</v>
      </c>
      <c r="C1153" s="61" t="n">
        <f aca="false">YEAR($B1153)</f>
        <v>2024</v>
      </c>
      <c r="D1153" s="61" t="str">
        <f aca="false">"Q"&amp;ROUNDUP(MONTH($B1153)/3,0)</f>
        <v>Q4</v>
      </c>
      <c r="E1153" s="61" t="n">
        <f aca="false">MONTH($B1153)</f>
        <v>12</v>
      </c>
      <c r="F1153" s="61" t="str">
        <f aca="false">INDEX(Parametros!$I$5:$I$16,$E1153)</f>
        <v>Dic</v>
      </c>
      <c r="G1153" s="61" t="str">
        <f aca="false">TEXT($C1153,"0000")&amp;"-"&amp;TEXT($E1153,"00")</f>
        <v>2024-12</v>
      </c>
      <c r="H1153" s="61" t="str">
        <f aca="false">INDEX(Parametros!$C$71:$C$91,MATCH(TRIM(INDEX(Datos_Origen!$C$2:$C$2459,$Z1153)),Parametros!$B$71:$B$91,0))</f>
        <v>Litoral</v>
      </c>
      <c r="I1153" s="61" t="str">
        <f aca="false">IF(TRIM($AD1153)="",INDEX(Parametros!$I$20:$I$24,MATCH($H1153,Parametros!$H$20:$H$24,0)),TRIM($AD1153))</f>
        <v>Rosario</v>
      </c>
      <c r="J1153" s="61" t="str">
        <f aca="false">INDEX(Parametros!$C$95:$C$106,MATCH(TRIM(INDEX(Datos_Origen!$E$2:$E$2459,$Z1153)),Parametros!$B$95:$B$106,0))</f>
        <v>E-commerce</v>
      </c>
      <c r="K1153" s="61" t="str">
        <f aca="false">INDEX(Parametros!$C$48:$C$67,MATCH(TRIM(INDEX(Datos_Origen!$F$2:$F$2459,$Z1153)),Parametros!$B$48:$B$67,0))</f>
        <v>Accesorios</v>
      </c>
      <c r="L1153" s="61" t="str">
        <f aca="false">$K1153&amp;" "&amp;$C1153</f>
        <v>Accesorios 2024</v>
      </c>
      <c r="M1153" s="61" t="str">
        <f aca="false">TRIM(INDEX(Datos_Origen!$G$2:$G$2459,$Z1153))</f>
        <v>Webcam Full HD</v>
      </c>
      <c r="N1153" s="61" t="str">
        <f aca="false">$M1153&amp;" "&amp;$C1153</f>
        <v>Webcam Full HD 2024</v>
      </c>
      <c r="O1153" s="63" t="n">
        <f aca="false">IF(ISTEXT($AC1153),VALUE($AC1153),$AC1153)</f>
        <v>23</v>
      </c>
      <c r="P1153" s="64" t="n">
        <f aca="false">INDEX(Datos_Origen!$I$2:$I$2459,$Z1153)</f>
        <v>63.7</v>
      </c>
      <c r="Q1153" s="64" t="n">
        <f aca="false">INDEX(Datos_Origen!$J$2:$J$2459,$Z1153)</f>
        <v>35.43</v>
      </c>
      <c r="R1153" s="65" t="n">
        <f aca="false">ROUND($O1153*$P1153,2)</f>
        <v>1465.1</v>
      </c>
      <c r="S1153" s="65" t="n">
        <f aca="false">ROUND($O1153*$Q1153,2)</f>
        <v>814.89</v>
      </c>
      <c r="T1153" s="65" t="n">
        <f aca="false">ROUND($R1153*SUMIFS(Parametros!$E$28:$E$43,Parametros!$B$28:$B$43,$J1153,Parametros!$C$28:$C$43,$C1153,Parametros!$D$28:$D$43,$D1153),2)</f>
        <v>70.32</v>
      </c>
      <c r="U1153" s="65" t="n">
        <f aca="false">$R1153-$S1153-$T1153</f>
        <v>579.89</v>
      </c>
      <c r="V1153" s="66" t="n">
        <f aca="false">IFERROR($U1153/$R1153,0)</f>
        <v>0.395802334311651</v>
      </c>
      <c r="W1153" s="67" t="str">
        <f aca="false">IF(AND($V1153&gt;=Parametros!$C$8,$R1153&gt;=Parametros!$C$12),"Alta rentabilidad",IF(OR($V1153&lt;Parametros!$C$11,$R1153&lt;Parametros!$C$13),"Revisar","Estandar"))</f>
        <v>Estandar</v>
      </c>
      <c r="X1153" s="67" t="str">
        <f aca="false">IF(AND($J1153="E-commerce",IFERROR($T1153/$R1153,0)&gt;Parametros!$C$14),"Alerta","OK")</f>
        <v>OK</v>
      </c>
      <c r="Y1153" s="61" t="str">
        <f aca="false">IF($R1153&gt;=Parametros!$C$12,"Alto",IF($R1153&lt;Parametros!$C$13,"Bajo","Medio"))</f>
        <v>Medio</v>
      </c>
      <c r="Z1153" s="61" t="n">
        <v>2406</v>
      </c>
      <c r="AA1153" s="61" t="str">
        <f aca="false">IF(MATCH($A1153,Datos_Origen!$A$2:$A$2459,0)=$Z1153,"OK","REVISAR")</f>
        <v>OK</v>
      </c>
      <c r="AB1153" s="62" t="n">
        <f aca="false">INDEX(Datos_Origen!$B$2:$B$2459,$Z1153)</f>
        <v>45645</v>
      </c>
      <c r="AC1153" s="61" t="n">
        <f aca="false">INDEX(Datos_Origen!$H$2:$H$2459,$Z1153)</f>
        <v>23</v>
      </c>
      <c r="AD1153" s="61" t="str">
        <f aca="false">INDEX(Datos_Origen!$D$2:$D$2459,$Z1153)&amp;""</f>
        <v>Rosario</v>
      </c>
    </row>
    <row r="1154" customFormat="false" ht="15" hidden="false" customHeight="false" outlineLevel="0" collapsed="false">
      <c r="A1154" s="61" t="n">
        <f aca="false">INDEX(Datos_Origen!$A$2:$A$2459,$Z1154)</f>
        <v>1153</v>
      </c>
      <c r="B1154" s="62" t="n">
        <f aca="false">IF(ISNUMBER($AB1154),$AB1154,IF(MID($AB1154,5,1)="-",DATE(VALUE(LEFT($AB1154,4)),VALUE(MID($AB1154,6,2)),VALUE(RIGHT($AB1154,2))),DATE(VALUE(RIGHT($AB1154,4)),VALUE(MID($AB1154,4,2)),VALUE(LEFT($AB1154,2)))))</f>
        <v>45652</v>
      </c>
      <c r="C1154" s="61" t="n">
        <f aca="false">YEAR($B1154)</f>
        <v>2024</v>
      </c>
      <c r="D1154" s="61" t="str">
        <f aca="false">"Q"&amp;ROUNDUP(MONTH($B1154)/3,0)</f>
        <v>Q4</v>
      </c>
      <c r="E1154" s="61" t="n">
        <f aca="false">MONTH($B1154)</f>
        <v>12</v>
      </c>
      <c r="F1154" s="61" t="str">
        <f aca="false">INDEX(Parametros!$I$5:$I$16,$E1154)</f>
        <v>Dic</v>
      </c>
      <c r="G1154" s="61" t="str">
        <f aca="false">TEXT($C1154,"0000")&amp;"-"&amp;TEXT($E1154,"00")</f>
        <v>2024-12</v>
      </c>
      <c r="H1154" s="61" t="str">
        <f aca="false">INDEX(Parametros!$C$71:$C$91,MATCH(TRIM(INDEX(Datos_Origen!$C$2:$C$2459,$Z1154)),Parametros!$B$71:$B$91,0))</f>
        <v>Litoral</v>
      </c>
      <c r="I1154" s="61" t="str">
        <f aca="false">IF(TRIM($AD1154)="",INDEX(Parametros!$I$20:$I$24,MATCH($H1154,Parametros!$H$20:$H$24,0)),TRIM($AD1154))</f>
        <v>Rosario</v>
      </c>
      <c r="J1154" s="61" t="str">
        <f aca="false">INDEX(Parametros!$C$95:$C$106,MATCH(TRIM(INDEX(Datos_Origen!$E$2:$E$2459,$Z1154)),Parametros!$B$95:$B$106,0))</f>
        <v>Tienda fisica</v>
      </c>
      <c r="K1154" s="61" t="str">
        <f aca="false">INDEX(Parametros!$C$48:$C$67,MATCH(TRIM(INDEX(Datos_Origen!$F$2:$F$2459,$Z1154)),Parametros!$B$48:$B$67,0))</f>
        <v>Audio</v>
      </c>
      <c r="L1154" s="61" t="str">
        <f aca="false">$K1154&amp;" "&amp;$C1154</f>
        <v>Audio 2024</v>
      </c>
      <c r="M1154" s="61" t="str">
        <f aca="false">TRIM(INDEX(Datos_Origen!$G$2:$G$2459,$Z1154))</f>
        <v>Auriculares BT Pro</v>
      </c>
      <c r="N1154" s="61" t="str">
        <f aca="false">$M1154&amp;" "&amp;$C1154</f>
        <v>Auriculares BT Pro 2024</v>
      </c>
      <c r="O1154" s="63" t="n">
        <f aca="false">IF(ISTEXT($AC1154),VALUE($AC1154),$AC1154)</f>
        <v>29</v>
      </c>
      <c r="P1154" s="64" t="n">
        <f aca="false">INDEX(Datos_Origen!$I$2:$I$2459,$Z1154)</f>
        <v>117.6</v>
      </c>
      <c r="Q1154" s="64" t="n">
        <f aca="false">INDEX(Datos_Origen!$J$2:$J$2459,$Z1154)</f>
        <v>63.6</v>
      </c>
      <c r="R1154" s="65" t="n">
        <f aca="false">ROUND($O1154*$P1154,2)</f>
        <v>3410.4</v>
      </c>
      <c r="S1154" s="65" t="n">
        <f aca="false">ROUND($O1154*$Q1154,2)</f>
        <v>1844.4</v>
      </c>
      <c r="T1154" s="65" t="n">
        <f aca="false">ROUND($R1154*SUMIFS(Parametros!$E$28:$E$43,Parametros!$B$28:$B$43,$J1154,Parametros!$C$28:$C$43,$C1154,Parametros!$D$28:$D$43,$D1154),2)</f>
        <v>44.34</v>
      </c>
      <c r="U1154" s="65" t="n">
        <f aca="false">$R1154-$S1154-$T1154</f>
        <v>1521.66</v>
      </c>
      <c r="V1154" s="66" t="n">
        <f aca="false">IFERROR($U1154/$R1154,0)</f>
        <v>0.446182266009852</v>
      </c>
      <c r="W1154" s="67" t="str">
        <f aca="false">IF(AND($V1154&gt;=Parametros!$C$8,$R1154&gt;=Parametros!$C$12),"Alta rentabilidad",IF(OR($V1154&lt;Parametros!$C$11,$R1154&lt;Parametros!$C$13),"Revisar","Estandar"))</f>
        <v>Alta rentabilidad</v>
      </c>
      <c r="X1154" s="67" t="str">
        <f aca="false">IF(AND($J1154="E-commerce",IFERROR($T1154/$R1154,0)&gt;Parametros!$C$14),"Alerta","OK")</f>
        <v>OK</v>
      </c>
      <c r="Y1154" s="61" t="str">
        <f aca="false">IF($R1154&gt;=Parametros!$C$12,"Alto",IF($R1154&lt;Parametros!$C$13,"Bajo","Medio"))</f>
        <v>Alto</v>
      </c>
      <c r="Z1154" s="61" t="n">
        <v>623</v>
      </c>
      <c r="AA1154" s="61" t="str">
        <f aca="false">IF(MATCH($A1154,Datos_Origen!$A$2:$A$2459,0)=$Z1154,"OK","REVISAR")</f>
        <v>OK</v>
      </c>
      <c r="AB1154" s="62" t="n">
        <f aca="false">INDEX(Datos_Origen!$B$2:$B$2459,$Z1154)</f>
        <v>45652</v>
      </c>
      <c r="AC1154" s="61" t="n">
        <f aca="false">INDEX(Datos_Origen!$H$2:$H$2459,$Z1154)</f>
        <v>29</v>
      </c>
      <c r="AD1154" s="61" t="str">
        <f aca="false">INDEX(Datos_Origen!$D$2:$D$2459,$Z1154)&amp;""</f>
        <v/>
      </c>
    </row>
    <row r="1155" customFormat="false" ht="15" hidden="false" customHeight="false" outlineLevel="0" collapsed="false">
      <c r="A1155" s="61" t="n">
        <f aca="false">INDEX(Datos_Origen!$A$2:$A$2459,$Z1155)</f>
        <v>1154</v>
      </c>
      <c r="B1155" s="62" t="n">
        <f aca="false">IF(ISNUMBER($AB1155),$AB1155,IF(MID($AB1155,5,1)="-",DATE(VALUE(LEFT($AB1155,4)),VALUE(MID($AB1155,6,2)),VALUE(RIGHT($AB1155,2))),DATE(VALUE(RIGHT($AB1155,4)),VALUE(MID($AB1155,4,2)),VALUE(LEFT($AB1155,2)))))</f>
        <v>45632</v>
      </c>
      <c r="C1155" s="61" t="n">
        <f aca="false">YEAR($B1155)</f>
        <v>2024</v>
      </c>
      <c r="D1155" s="61" t="str">
        <f aca="false">"Q"&amp;ROUNDUP(MONTH($B1155)/3,0)</f>
        <v>Q4</v>
      </c>
      <c r="E1155" s="61" t="n">
        <f aca="false">MONTH($B1155)</f>
        <v>12</v>
      </c>
      <c r="F1155" s="61" t="str">
        <f aca="false">INDEX(Parametros!$I$5:$I$16,$E1155)</f>
        <v>Dic</v>
      </c>
      <c r="G1155" s="61" t="str">
        <f aca="false">TEXT($C1155,"0000")&amp;"-"&amp;TEXT($E1155,"00")</f>
        <v>2024-12</v>
      </c>
      <c r="H1155" s="61" t="str">
        <f aca="false">INDEX(Parametros!$C$71:$C$91,MATCH(TRIM(INDEX(Datos_Origen!$C$2:$C$2459,$Z1155)),Parametros!$B$71:$B$91,0))</f>
        <v>Litoral</v>
      </c>
      <c r="I1155" s="61" t="str">
        <f aca="false">IF(TRIM($AD1155)="",INDEX(Parametros!$I$20:$I$24,MATCH($H1155,Parametros!$H$20:$H$24,0)),TRIM($AD1155))</f>
        <v>Rosario</v>
      </c>
      <c r="J1155" s="61" t="str">
        <f aca="false">INDEX(Parametros!$C$95:$C$106,MATCH(TRIM(INDEX(Datos_Origen!$E$2:$E$2459,$Z1155)),Parametros!$B$95:$B$106,0))</f>
        <v>E-commerce</v>
      </c>
      <c r="K1155" s="61" t="str">
        <f aca="false">INDEX(Parametros!$C$48:$C$67,MATCH(TRIM(INDEX(Datos_Origen!$F$2:$F$2459,$Z1155)),Parametros!$B$48:$B$67,0))</f>
        <v>Audio</v>
      </c>
      <c r="L1155" s="61" t="str">
        <f aca="false">$K1155&amp;" "&amp;$C1155</f>
        <v>Audio 2024</v>
      </c>
      <c r="M1155" s="61" t="str">
        <f aca="false">TRIM(INDEX(Datos_Origen!$G$2:$G$2459,$Z1155))</f>
        <v>Auriculares BT Pro</v>
      </c>
      <c r="N1155" s="61" t="str">
        <f aca="false">$M1155&amp;" "&amp;$C1155</f>
        <v>Auriculares BT Pro 2024</v>
      </c>
      <c r="O1155" s="63" t="n">
        <f aca="false">IF(ISTEXT($AC1155),VALUE($AC1155),$AC1155)</f>
        <v>10</v>
      </c>
      <c r="P1155" s="64" t="n">
        <f aca="false">INDEX(Datos_Origen!$I$2:$I$2459,$Z1155)</f>
        <v>117.6</v>
      </c>
      <c r="Q1155" s="64" t="n">
        <f aca="false">INDEX(Datos_Origen!$J$2:$J$2459,$Z1155)</f>
        <v>63.6</v>
      </c>
      <c r="R1155" s="65" t="n">
        <f aca="false">ROUND($O1155*$P1155,2)</f>
        <v>1176</v>
      </c>
      <c r="S1155" s="65" t="n">
        <f aca="false">ROUND($O1155*$Q1155,2)</f>
        <v>636</v>
      </c>
      <c r="T1155" s="65" t="n">
        <f aca="false">ROUND($R1155*SUMIFS(Parametros!$E$28:$E$43,Parametros!$B$28:$B$43,$J1155,Parametros!$C$28:$C$43,$C1155,Parametros!$D$28:$D$43,$D1155),2)</f>
        <v>56.45</v>
      </c>
      <c r="U1155" s="65" t="n">
        <f aca="false">$R1155-$S1155-$T1155</f>
        <v>483.55</v>
      </c>
      <c r="V1155" s="66" t="n">
        <f aca="false">IFERROR($U1155/$R1155,0)</f>
        <v>0.411181972789116</v>
      </c>
      <c r="W1155" s="67" t="str">
        <f aca="false">IF(AND($V1155&gt;=Parametros!$C$8,$R1155&gt;=Parametros!$C$12),"Alta rentabilidad",IF(OR($V1155&lt;Parametros!$C$11,$R1155&lt;Parametros!$C$13),"Revisar","Estandar"))</f>
        <v>Estandar</v>
      </c>
      <c r="X1155" s="67" t="str">
        <f aca="false">IF(AND($J1155="E-commerce",IFERROR($T1155/$R1155,0)&gt;Parametros!$C$14),"Alerta","OK")</f>
        <v>OK</v>
      </c>
      <c r="Y1155" s="61" t="str">
        <f aca="false">IF($R1155&gt;=Parametros!$C$12,"Alto",IF($R1155&lt;Parametros!$C$13,"Bajo","Medio"))</f>
        <v>Medio</v>
      </c>
      <c r="Z1155" s="61" t="n">
        <v>2000</v>
      </c>
      <c r="AA1155" s="61" t="str">
        <f aca="false">IF(MATCH($A1155,Datos_Origen!$A$2:$A$2459,0)=$Z1155,"OK","REVISAR")</f>
        <v>OK</v>
      </c>
      <c r="AB1155" s="62" t="n">
        <f aca="false">INDEX(Datos_Origen!$B$2:$B$2459,$Z1155)</f>
        <v>45632</v>
      </c>
      <c r="AC1155" s="61" t="n">
        <f aca="false">INDEX(Datos_Origen!$H$2:$H$2459,$Z1155)</f>
        <v>10</v>
      </c>
      <c r="AD1155" s="61" t="str">
        <f aca="false">INDEX(Datos_Origen!$D$2:$D$2459,$Z1155)&amp;""</f>
        <v>Rosario</v>
      </c>
    </row>
    <row r="1156" customFormat="false" ht="15" hidden="false" customHeight="false" outlineLevel="0" collapsed="false">
      <c r="A1156" s="61" t="n">
        <f aca="false">INDEX(Datos_Origen!$A$2:$A$2459,$Z1156)</f>
        <v>1155</v>
      </c>
      <c r="B1156" s="62" t="n">
        <f aca="false">IF(ISNUMBER($AB1156),$AB1156,IF(MID($AB1156,5,1)="-",DATE(VALUE(LEFT($AB1156,4)),VALUE(MID($AB1156,6,2)),VALUE(RIGHT($AB1156,2))),DATE(VALUE(RIGHT($AB1156,4)),VALUE(MID($AB1156,4,2)),VALUE(LEFT($AB1156,2)))))</f>
        <v>45639</v>
      </c>
      <c r="C1156" s="61" t="n">
        <f aca="false">YEAR($B1156)</f>
        <v>2024</v>
      </c>
      <c r="D1156" s="61" t="str">
        <f aca="false">"Q"&amp;ROUNDUP(MONTH($B1156)/3,0)</f>
        <v>Q4</v>
      </c>
      <c r="E1156" s="61" t="n">
        <f aca="false">MONTH($B1156)</f>
        <v>12</v>
      </c>
      <c r="F1156" s="61" t="str">
        <f aca="false">INDEX(Parametros!$I$5:$I$16,$E1156)</f>
        <v>Dic</v>
      </c>
      <c r="G1156" s="61" t="str">
        <f aca="false">TEXT($C1156,"0000")&amp;"-"&amp;TEXT($E1156,"00")</f>
        <v>2024-12</v>
      </c>
      <c r="H1156" s="61" t="str">
        <f aca="false">INDEX(Parametros!$C$71:$C$91,MATCH(TRIM(INDEX(Datos_Origen!$C$2:$C$2459,$Z1156)),Parametros!$B$71:$B$91,0))</f>
        <v>Litoral</v>
      </c>
      <c r="I1156" s="61" t="str">
        <f aca="false">IF(TRIM($AD1156)="",INDEX(Parametros!$I$20:$I$24,MATCH($H1156,Parametros!$H$20:$H$24,0)),TRIM($AD1156))</f>
        <v>Rosario</v>
      </c>
      <c r="J1156" s="61" t="str">
        <f aca="false">INDEX(Parametros!$C$95:$C$106,MATCH(TRIM(INDEX(Datos_Origen!$E$2:$E$2459,$Z1156)),Parametros!$B$95:$B$106,0))</f>
        <v>Tienda fisica</v>
      </c>
      <c r="K1156" s="61" t="str">
        <f aca="false">INDEX(Parametros!$C$48:$C$67,MATCH(TRIM(INDEX(Datos_Origen!$F$2:$F$2459,$Z1156)),Parametros!$B$48:$B$67,0))</f>
        <v>Audio</v>
      </c>
      <c r="L1156" s="61" t="str">
        <f aca="false">$K1156&amp;" "&amp;$C1156</f>
        <v>Audio 2024</v>
      </c>
      <c r="M1156" s="61" t="str">
        <f aca="false">TRIM(INDEX(Datos_Origen!$G$2:$G$2459,$Z1156))</f>
        <v>Parlante Bluetooth</v>
      </c>
      <c r="N1156" s="61" t="str">
        <f aca="false">$M1156&amp;" "&amp;$C1156</f>
        <v>Parlante Bluetooth 2024</v>
      </c>
      <c r="O1156" s="63" t="n">
        <f aca="false">IF(ISTEXT($AC1156),VALUE($AC1156),$AC1156)</f>
        <v>27</v>
      </c>
      <c r="P1156" s="64" t="n">
        <f aca="false">INDEX(Datos_Origen!$I$2:$I$2459,$Z1156)</f>
        <v>83.3</v>
      </c>
      <c r="Q1156" s="64" t="n">
        <f aca="false">INDEX(Datos_Origen!$J$2:$J$2459,$Z1156)</f>
        <v>48.03</v>
      </c>
      <c r="R1156" s="65" t="n">
        <f aca="false">ROUND($O1156*$P1156,2)</f>
        <v>2249.1</v>
      </c>
      <c r="S1156" s="65" t="n">
        <f aca="false">ROUND($O1156*$Q1156,2)</f>
        <v>1296.81</v>
      </c>
      <c r="T1156" s="65" t="n">
        <f aca="false">ROUND($R1156*SUMIFS(Parametros!$E$28:$E$43,Parametros!$B$28:$B$43,$J1156,Parametros!$C$28:$C$43,$C1156,Parametros!$D$28:$D$43,$D1156),2)</f>
        <v>29.24</v>
      </c>
      <c r="U1156" s="65" t="n">
        <f aca="false">$R1156-$S1156-$T1156</f>
        <v>923.05</v>
      </c>
      <c r="V1156" s="66" t="n">
        <f aca="false">IFERROR($U1156/$R1156,0)</f>
        <v>0.4104086078876</v>
      </c>
      <c r="W1156" s="67" t="str">
        <f aca="false">IF(AND($V1156&gt;=Parametros!$C$8,$R1156&gt;=Parametros!$C$12),"Alta rentabilidad",IF(OR($V1156&lt;Parametros!$C$11,$R1156&lt;Parametros!$C$13),"Revisar","Estandar"))</f>
        <v>Estandar</v>
      </c>
      <c r="X1156" s="67" t="str">
        <f aca="false">IF(AND($J1156="E-commerce",IFERROR($T1156/$R1156,0)&gt;Parametros!$C$14),"Alerta","OK")</f>
        <v>OK</v>
      </c>
      <c r="Y1156" s="61" t="str">
        <f aca="false">IF($R1156&gt;=Parametros!$C$12,"Alto",IF($R1156&lt;Parametros!$C$13,"Bajo","Medio"))</f>
        <v>Medio</v>
      </c>
      <c r="Z1156" s="61" t="n">
        <v>521</v>
      </c>
      <c r="AA1156" s="61" t="str">
        <f aca="false">IF(MATCH($A1156,Datos_Origen!$A$2:$A$2459,0)=$Z1156,"OK","REVISAR")</f>
        <v>OK</v>
      </c>
      <c r="AB1156" s="62" t="n">
        <f aca="false">INDEX(Datos_Origen!$B$2:$B$2459,$Z1156)</f>
        <v>45639</v>
      </c>
      <c r="AC1156" s="61" t="n">
        <f aca="false">INDEX(Datos_Origen!$H$2:$H$2459,$Z1156)</f>
        <v>27</v>
      </c>
      <c r="AD1156" s="61" t="str">
        <f aca="false">INDEX(Datos_Origen!$D$2:$D$2459,$Z1156)&amp;""</f>
        <v>Rosario</v>
      </c>
    </row>
    <row r="1157" customFormat="false" ht="15" hidden="false" customHeight="false" outlineLevel="0" collapsed="false">
      <c r="A1157" s="61" t="n">
        <f aca="false">INDEX(Datos_Origen!$A$2:$A$2459,$Z1157)</f>
        <v>1156</v>
      </c>
      <c r="B1157" s="62" t="n">
        <f aca="false">IF(ISNUMBER($AB1157),$AB1157,IF(MID($AB1157,5,1)="-",DATE(VALUE(LEFT($AB1157,4)),VALUE(MID($AB1157,6,2)),VALUE(RIGHT($AB1157,2))),DATE(VALUE(RIGHT($AB1157,4)),VALUE(MID($AB1157,4,2)),VALUE(LEFT($AB1157,2)))))</f>
        <v>45646</v>
      </c>
      <c r="C1157" s="61" t="n">
        <f aca="false">YEAR($B1157)</f>
        <v>2024</v>
      </c>
      <c r="D1157" s="61" t="str">
        <f aca="false">"Q"&amp;ROUNDUP(MONTH($B1157)/3,0)</f>
        <v>Q4</v>
      </c>
      <c r="E1157" s="61" t="n">
        <f aca="false">MONTH($B1157)</f>
        <v>12</v>
      </c>
      <c r="F1157" s="61" t="str">
        <f aca="false">INDEX(Parametros!$I$5:$I$16,$E1157)</f>
        <v>Dic</v>
      </c>
      <c r="G1157" s="61" t="str">
        <f aca="false">TEXT($C1157,"0000")&amp;"-"&amp;TEXT($E1157,"00")</f>
        <v>2024-12</v>
      </c>
      <c r="H1157" s="61" t="str">
        <f aca="false">INDEX(Parametros!$C$71:$C$91,MATCH(TRIM(INDEX(Datos_Origen!$C$2:$C$2459,$Z1157)),Parametros!$B$71:$B$91,0))</f>
        <v>Litoral</v>
      </c>
      <c r="I1157" s="61" t="str">
        <f aca="false">IF(TRIM($AD1157)="",INDEX(Parametros!$I$20:$I$24,MATCH($H1157,Parametros!$H$20:$H$24,0)),TRIM($AD1157))</f>
        <v>Rosario</v>
      </c>
      <c r="J1157" s="61" t="str">
        <f aca="false">INDEX(Parametros!$C$95:$C$106,MATCH(TRIM(INDEX(Datos_Origen!$E$2:$E$2459,$Z1157)),Parametros!$B$95:$B$106,0))</f>
        <v>E-commerce</v>
      </c>
      <c r="K1157" s="61" t="str">
        <f aca="false">INDEX(Parametros!$C$48:$C$67,MATCH(TRIM(INDEX(Datos_Origen!$F$2:$F$2459,$Z1157)),Parametros!$B$48:$B$67,0))</f>
        <v>Audio</v>
      </c>
      <c r="L1157" s="61" t="str">
        <f aca="false">$K1157&amp;" "&amp;$C1157</f>
        <v>Audio 2024</v>
      </c>
      <c r="M1157" s="61" t="str">
        <f aca="false">TRIM(INDEX(Datos_Origen!$G$2:$G$2459,$Z1157))</f>
        <v>Parlante Bluetooth</v>
      </c>
      <c r="N1157" s="61" t="str">
        <f aca="false">$M1157&amp;" "&amp;$C1157</f>
        <v>Parlante Bluetooth 2024</v>
      </c>
      <c r="O1157" s="63" t="n">
        <f aca="false">IF(ISTEXT($AC1157),VALUE($AC1157),$AC1157)</f>
        <v>11</v>
      </c>
      <c r="P1157" s="64" t="n">
        <f aca="false">INDEX(Datos_Origen!$I$2:$I$2459,$Z1157)</f>
        <v>83.3</v>
      </c>
      <c r="Q1157" s="64" t="n">
        <f aca="false">INDEX(Datos_Origen!$J$2:$J$2459,$Z1157)</f>
        <v>48.03</v>
      </c>
      <c r="R1157" s="65" t="n">
        <f aca="false">ROUND($O1157*$P1157,2)</f>
        <v>916.3</v>
      </c>
      <c r="S1157" s="65" t="n">
        <f aca="false">ROUND($O1157*$Q1157,2)</f>
        <v>528.33</v>
      </c>
      <c r="T1157" s="65" t="n">
        <f aca="false">ROUND($R1157*SUMIFS(Parametros!$E$28:$E$43,Parametros!$B$28:$B$43,$J1157,Parametros!$C$28:$C$43,$C1157,Parametros!$D$28:$D$43,$D1157),2)</f>
        <v>43.98</v>
      </c>
      <c r="U1157" s="65" t="n">
        <f aca="false">$R1157-$S1157-$T1157</f>
        <v>343.99</v>
      </c>
      <c r="V1157" s="66" t="n">
        <f aca="false">IFERROR($U1157/$R1157,0)</f>
        <v>0.375411982975008</v>
      </c>
      <c r="W1157" s="67" t="str">
        <f aca="false">IF(AND($V1157&gt;=Parametros!$C$8,$R1157&gt;=Parametros!$C$12),"Alta rentabilidad",IF(OR($V1157&lt;Parametros!$C$11,$R1157&lt;Parametros!$C$13),"Revisar","Estandar"))</f>
        <v>Estandar</v>
      </c>
      <c r="X1157" s="67" t="str">
        <f aca="false">IF(AND($J1157="E-commerce",IFERROR($T1157/$R1157,0)&gt;Parametros!$C$14),"Alerta","OK")</f>
        <v>OK</v>
      </c>
      <c r="Y1157" s="61" t="str">
        <f aca="false">IF($R1157&gt;=Parametros!$C$12,"Alto",IF($R1157&lt;Parametros!$C$13,"Bajo","Medio"))</f>
        <v>Medio</v>
      </c>
      <c r="Z1157" s="61" t="n">
        <v>2044</v>
      </c>
      <c r="AA1157" s="61" t="str">
        <f aca="false">IF(MATCH($A1157,Datos_Origen!$A$2:$A$2459,0)=$Z1157,"OK","REVISAR")</f>
        <v>OK</v>
      </c>
      <c r="AB1157" s="61" t="str">
        <f aca="false">INDEX(Datos_Origen!$B$2:$B$2459,$Z1157)</f>
        <v>20/12/2024</v>
      </c>
      <c r="AC1157" s="61" t="str">
        <f aca="false">INDEX(Datos_Origen!$H$2:$H$2459,$Z1157)</f>
        <v>11</v>
      </c>
      <c r="AD1157" s="61" t="str">
        <f aca="false">INDEX(Datos_Origen!$D$2:$D$2459,$Z1157)&amp;""</f>
        <v>Rosario</v>
      </c>
    </row>
    <row r="1158" customFormat="false" ht="15" hidden="false" customHeight="false" outlineLevel="0" collapsed="false">
      <c r="A1158" s="61" t="n">
        <f aca="false">INDEX(Datos_Origen!$A$2:$A$2459,$Z1158)</f>
        <v>1157</v>
      </c>
      <c r="B1158" s="62" t="n">
        <f aca="false">IF(ISNUMBER($AB1158),$AB1158,IF(MID($AB1158,5,1)="-",DATE(VALUE(LEFT($AB1158,4)),VALUE(MID($AB1158,6,2)),VALUE(RIGHT($AB1158,2))),DATE(VALUE(RIGHT($AB1158,4)),VALUE(MID($AB1158,4,2)),VALUE(LEFT($AB1158,2)))))</f>
        <v>45653</v>
      </c>
      <c r="C1158" s="61" t="n">
        <f aca="false">YEAR($B1158)</f>
        <v>2024</v>
      </c>
      <c r="D1158" s="61" t="str">
        <f aca="false">"Q"&amp;ROUNDUP(MONTH($B1158)/3,0)</f>
        <v>Q4</v>
      </c>
      <c r="E1158" s="61" t="n">
        <f aca="false">MONTH($B1158)</f>
        <v>12</v>
      </c>
      <c r="F1158" s="61" t="str">
        <f aca="false">INDEX(Parametros!$I$5:$I$16,$E1158)</f>
        <v>Dic</v>
      </c>
      <c r="G1158" s="61" t="str">
        <f aca="false">TEXT($C1158,"0000")&amp;"-"&amp;TEXT($E1158,"00")</f>
        <v>2024-12</v>
      </c>
      <c r="H1158" s="61" t="str">
        <f aca="false">INDEX(Parametros!$C$71:$C$91,MATCH(TRIM(INDEX(Datos_Origen!$C$2:$C$2459,$Z1158)),Parametros!$B$71:$B$91,0))</f>
        <v>Litoral</v>
      </c>
      <c r="I1158" s="61" t="str">
        <f aca="false">IF(TRIM($AD1158)="",INDEX(Parametros!$I$20:$I$24,MATCH($H1158,Parametros!$H$20:$H$24,0)),TRIM($AD1158))</f>
        <v>Rosario</v>
      </c>
      <c r="J1158" s="61" t="str">
        <f aca="false">INDEX(Parametros!$C$95:$C$106,MATCH(TRIM(INDEX(Datos_Origen!$E$2:$E$2459,$Z1158)),Parametros!$B$95:$B$106,0))</f>
        <v>Tienda fisica</v>
      </c>
      <c r="K1158" s="61" t="str">
        <f aca="false">INDEX(Parametros!$C$48:$C$67,MATCH(TRIM(INDEX(Datos_Origen!$F$2:$F$2459,$Z1158)),Parametros!$B$48:$B$67,0))</f>
        <v>Almacenamiento</v>
      </c>
      <c r="L1158" s="61" t="str">
        <f aca="false">$K1158&amp;" "&amp;$C1158</f>
        <v>Almacenamiento 2024</v>
      </c>
      <c r="M1158" s="61" t="str">
        <f aca="false">TRIM(INDEX(Datos_Origen!$G$2:$G$2459,$Z1158))</f>
        <v>SSD Externo 1TB</v>
      </c>
      <c r="N1158" s="61" t="str">
        <f aca="false">$M1158&amp;" "&amp;$C1158</f>
        <v>SSD Externo 1TB 2024</v>
      </c>
      <c r="O1158" s="63" t="n">
        <f aca="false">IF(ISTEXT($AC1158),VALUE($AC1158),$AC1158)</f>
        <v>35</v>
      </c>
      <c r="P1158" s="64" t="n">
        <f aca="false">INDEX(Datos_Origen!$I$2:$I$2459,$Z1158)</f>
        <v>127.4</v>
      </c>
      <c r="Q1158" s="64" t="n">
        <f aca="false">INDEX(Datos_Origen!$J$2:$J$2459,$Z1158)</f>
        <v>76.05</v>
      </c>
      <c r="R1158" s="65" t="n">
        <f aca="false">ROUND($O1158*$P1158,2)</f>
        <v>4459</v>
      </c>
      <c r="S1158" s="65" t="n">
        <f aca="false">ROUND($O1158*$Q1158,2)</f>
        <v>2661.75</v>
      </c>
      <c r="T1158" s="65" t="n">
        <f aca="false">ROUND($R1158*SUMIFS(Parametros!$E$28:$E$43,Parametros!$B$28:$B$43,$J1158,Parametros!$C$28:$C$43,$C1158,Parametros!$D$28:$D$43,$D1158),2)</f>
        <v>57.97</v>
      </c>
      <c r="U1158" s="65" t="n">
        <f aca="false">$R1158-$S1158-$T1158</f>
        <v>1739.28</v>
      </c>
      <c r="V1158" s="66" t="n">
        <f aca="false">IFERROR($U1158/$R1158,0)</f>
        <v>0.390060551693205</v>
      </c>
      <c r="W1158" s="67" t="str">
        <f aca="false">IF(AND($V1158&gt;=Parametros!$C$8,$R1158&gt;=Parametros!$C$12),"Alta rentabilidad",IF(OR($V1158&lt;Parametros!$C$11,$R1158&lt;Parametros!$C$13),"Revisar","Estandar"))</f>
        <v>Alta rentabilidad</v>
      </c>
      <c r="X1158" s="67" t="str">
        <f aca="false">IF(AND($J1158="E-commerce",IFERROR($T1158/$R1158,0)&gt;Parametros!$C$14),"Alerta","OK")</f>
        <v>OK</v>
      </c>
      <c r="Y1158" s="61" t="str">
        <f aca="false">IF($R1158&gt;=Parametros!$C$12,"Alto",IF($R1158&lt;Parametros!$C$13,"Bajo","Medio"))</f>
        <v>Alto</v>
      </c>
      <c r="Z1158" s="61" t="n">
        <v>1204</v>
      </c>
      <c r="AA1158" s="61" t="str">
        <f aca="false">IF(MATCH($A1158,Datos_Origen!$A$2:$A$2459,0)=$Z1158,"OK","REVISAR")</f>
        <v>OK</v>
      </c>
      <c r="AB1158" s="62" t="n">
        <f aca="false">INDEX(Datos_Origen!$B$2:$B$2459,$Z1158)</f>
        <v>45653</v>
      </c>
      <c r="AC1158" s="61" t="str">
        <f aca="false">INDEX(Datos_Origen!$H$2:$H$2459,$Z1158)</f>
        <v>35</v>
      </c>
      <c r="AD1158" s="61" t="str">
        <f aca="false">INDEX(Datos_Origen!$D$2:$D$2459,$Z1158)&amp;""</f>
        <v>Rosario</v>
      </c>
    </row>
    <row r="1159" customFormat="false" ht="15" hidden="false" customHeight="false" outlineLevel="0" collapsed="false">
      <c r="A1159" s="61" t="n">
        <f aca="false">INDEX(Datos_Origen!$A$2:$A$2459,$Z1159)</f>
        <v>1158</v>
      </c>
      <c r="B1159" s="62" t="n">
        <f aca="false">IF(ISNUMBER($AB1159),$AB1159,IF(MID($AB1159,5,1)="-",DATE(VALUE(LEFT($AB1159,4)),VALUE(MID($AB1159,6,2)),VALUE(RIGHT($AB1159,2))),DATE(VALUE(RIGHT($AB1159,4)),VALUE(MID($AB1159,4,2)),VALUE(LEFT($AB1159,2)))))</f>
        <v>45633</v>
      </c>
      <c r="C1159" s="61" t="n">
        <f aca="false">YEAR($B1159)</f>
        <v>2024</v>
      </c>
      <c r="D1159" s="61" t="str">
        <f aca="false">"Q"&amp;ROUNDUP(MONTH($B1159)/3,0)</f>
        <v>Q4</v>
      </c>
      <c r="E1159" s="61" t="n">
        <f aca="false">MONTH($B1159)</f>
        <v>12</v>
      </c>
      <c r="F1159" s="61" t="str">
        <f aca="false">INDEX(Parametros!$I$5:$I$16,$E1159)</f>
        <v>Dic</v>
      </c>
      <c r="G1159" s="61" t="str">
        <f aca="false">TEXT($C1159,"0000")&amp;"-"&amp;TEXT($E1159,"00")</f>
        <v>2024-12</v>
      </c>
      <c r="H1159" s="61" t="str">
        <f aca="false">INDEX(Parametros!$C$71:$C$91,MATCH(TRIM(INDEX(Datos_Origen!$C$2:$C$2459,$Z1159)),Parametros!$B$71:$B$91,0))</f>
        <v>Litoral</v>
      </c>
      <c r="I1159" s="61" t="str">
        <f aca="false">IF(TRIM($AD1159)="",INDEX(Parametros!$I$20:$I$24,MATCH($H1159,Parametros!$H$20:$H$24,0)),TRIM($AD1159))</f>
        <v>Rosario</v>
      </c>
      <c r="J1159" s="61" t="str">
        <f aca="false">INDEX(Parametros!$C$95:$C$106,MATCH(TRIM(INDEX(Datos_Origen!$E$2:$E$2459,$Z1159)),Parametros!$B$95:$B$106,0))</f>
        <v>E-commerce</v>
      </c>
      <c r="K1159" s="61" t="str">
        <f aca="false">INDEX(Parametros!$C$48:$C$67,MATCH(TRIM(INDEX(Datos_Origen!$F$2:$F$2459,$Z1159)),Parametros!$B$48:$B$67,0))</f>
        <v>Almacenamiento</v>
      </c>
      <c r="L1159" s="61" t="str">
        <f aca="false">$K1159&amp;" "&amp;$C1159</f>
        <v>Almacenamiento 2024</v>
      </c>
      <c r="M1159" s="61" t="str">
        <f aca="false">TRIM(INDEX(Datos_Origen!$G$2:$G$2459,$Z1159))</f>
        <v>SSD Externo 1TB</v>
      </c>
      <c r="N1159" s="61" t="str">
        <f aca="false">$M1159&amp;" "&amp;$C1159</f>
        <v>SSD Externo 1TB 2024</v>
      </c>
      <c r="O1159" s="63" t="n">
        <f aca="false">IF(ISTEXT($AC1159),VALUE($AC1159),$AC1159)</f>
        <v>11</v>
      </c>
      <c r="P1159" s="64" t="n">
        <f aca="false">INDEX(Datos_Origen!$I$2:$I$2459,$Z1159)</f>
        <v>127.4</v>
      </c>
      <c r="Q1159" s="64" t="n">
        <f aca="false">INDEX(Datos_Origen!$J$2:$J$2459,$Z1159)</f>
        <v>76.05</v>
      </c>
      <c r="R1159" s="65" t="n">
        <f aca="false">ROUND($O1159*$P1159,2)</f>
        <v>1401.4</v>
      </c>
      <c r="S1159" s="65" t="n">
        <f aca="false">ROUND($O1159*$Q1159,2)</f>
        <v>836.55</v>
      </c>
      <c r="T1159" s="65" t="n">
        <f aca="false">ROUND($R1159*SUMIFS(Parametros!$E$28:$E$43,Parametros!$B$28:$B$43,$J1159,Parametros!$C$28:$C$43,$C1159,Parametros!$D$28:$D$43,$D1159),2)</f>
        <v>67.27</v>
      </c>
      <c r="U1159" s="65" t="n">
        <f aca="false">$R1159-$S1159-$T1159</f>
        <v>497.58</v>
      </c>
      <c r="V1159" s="66" t="n">
        <f aca="false">IFERROR($U1159/$R1159,0)</f>
        <v>0.355059226487798</v>
      </c>
      <c r="W1159" s="67" t="str">
        <f aca="false">IF(AND($V1159&gt;=Parametros!$C$8,$R1159&gt;=Parametros!$C$12),"Alta rentabilidad",IF(OR($V1159&lt;Parametros!$C$11,$R1159&lt;Parametros!$C$13),"Revisar","Estandar"))</f>
        <v>Estandar</v>
      </c>
      <c r="X1159" s="67" t="str">
        <f aca="false">IF(AND($J1159="E-commerce",IFERROR($T1159/$R1159,0)&gt;Parametros!$C$14),"Alerta","OK")</f>
        <v>OK</v>
      </c>
      <c r="Y1159" s="61" t="str">
        <f aca="false">IF($R1159&gt;=Parametros!$C$12,"Alto",IF($R1159&lt;Parametros!$C$13,"Bajo","Medio"))</f>
        <v>Medio</v>
      </c>
      <c r="Z1159" s="61" t="n">
        <v>1675</v>
      </c>
      <c r="AA1159" s="61" t="str">
        <f aca="false">IF(MATCH($A1159,Datos_Origen!$A$2:$A$2459,0)=$Z1159,"OK","REVISAR")</f>
        <v>OK</v>
      </c>
      <c r="AB1159" s="62" t="n">
        <f aca="false">INDEX(Datos_Origen!$B$2:$B$2459,$Z1159)</f>
        <v>45633</v>
      </c>
      <c r="AC1159" s="61" t="n">
        <f aca="false">INDEX(Datos_Origen!$H$2:$H$2459,$Z1159)</f>
        <v>11</v>
      </c>
      <c r="AD1159" s="61" t="str">
        <f aca="false">INDEX(Datos_Origen!$D$2:$D$2459,$Z1159)&amp;""</f>
        <v>Rosario</v>
      </c>
    </row>
    <row r="1160" customFormat="false" ht="15" hidden="false" customHeight="false" outlineLevel="0" collapsed="false">
      <c r="A1160" s="61" t="n">
        <f aca="false">INDEX(Datos_Origen!$A$2:$A$2459,$Z1160)</f>
        <v>1159</v>
      </c>
      <c r="B1160" s="62" t="n">
        <f aca="false">IF(ISNUMBER($AB1160),$AB1160,IF(MID($AB1160,5,1)="-",DATE(VALUE(LEFT($AB1160,4)),VALUE(MID($AB1160,6,2)),VALUE(RIGHT($AB1160,2))),DATE(VALUE(RIGHT($AB1160,4)),VALUE(MID($AB1160,4,2)),VALUE(LEFT($AB1160,2)))))</f>
        <v>45640</v>
      </c>
      <c r="C1160" s="61" t="n">
        <f aca="false">YEAR($B1160)</f>
        <v>2024</v>
      </c>
      <c r="D1160" s="61" t="str">
        <f aca="false">"Q"&amp;ROUNDUP(MONTH($B1160)/3,0)</f>
        <v>Q4</v>
      </c>
      <c r="E1160" s="61" t="n">
        <f aca="false">MONTH($B1160)</f>
        <v>12</v>
      </c>
      <c r="F1160" s="61" t="str">
        <f aca="false">INDEX(Parametros!$I$5:$I$16,$E1160)</f>
        <v>Dic</v>
      </c>
      <c r="G1160" s="61" t="str">
        <f aca="false">TEXT($C1160,"0000")&amp;"-"&amp;TEXT($E1160,"00")</f>
        <v>2024-12</v>
      </c>
      <c r="H1160" s="61" t="str">
        <f aca="false">INDEX(Parametros!$C$71:$C$91,MATCH(TRIM(INDEX(Datos_Origen!$C$2:$C$2459,$Z1160)),Parametros!$B$71:$B$91,0))</f>
        <v>Litoral</v>
      </c>
      <c r="I1160" s="61" t="str">
        <f aca="false">IF(TRIM($AD1160)="",INDEX(Parametros!$I$20:$I$24,MATCH($H1160,Parametros!$H$20:$H$24,0)),TRIM($AD1160))</f>
        <v>Rosario</v>
      </c>
      <c r="J1160" s="61" t="str">
        <f aca="false">INDEX(Parametros!$C$95:$C$106,MATCH(TRIM(INDEX(Datos_Origen!$E$2:$E$2459,$Z1160)),Parametros!$B$95:$B$106,0))</f>
        <v>Tienda fisica</v>
      </c>
      <c r="K1160" s="61" t="str">
        <f aca="false">INDEX(Parametros!$C$48:$C$67,MATCH(TRIM(INDEX(Datos_Origen!$F$2:$F$2459,$Z1160)),Parametros!$B$48:$B$67,0))</f>
        <v>Almacenamiento</v>
      </c>
      <c r="L1160" s="61" t="str">
        <f aca="false">$K1160&amp;" "&amp;$C1160</f>
        <v>Almacenamiento 2024</v>
      </c>
      <c r="M1160" s="61" t="str">
        <f aca="false">TRIM(INDEX(Datos_Origen!$G$2:$G$2459,$Z1160))</f>
        <v>Pendrive 256GB</v>
      </c>
      <c r="N1160" s="61" t="str">
        <f aca="false">$M1160&amp;" "&amp;$C1160</f>
        <v>Pendrive 256GB 2024</v>
      </c>
      <c r="O1160" s="63" t="n">
        <f aca="false">IF(ISTEXT($AC1160),VALUE($AC1160),$AC1160)</f>
        <v>34</v>
      </c>
      <c r="P1160" s="64" t="n">
        <f aca="false">INDEX(Datos_Origen!$I$2:$I$2459,$Z1160)</f>
        <v>34.3</v>
      </c>
      <c r="Q1160" s="64" t="n">
        <f aca="false">INDEX(Datos_Origen!$J$2:$J$2459,$Z1160)</f>
        <v>17.85</v>
      </c>
      <c r="R1160" s="65" t="n">
        <f aca="false">ROUND($O1160*$P1160,2)</f>
        <v>1166.2</v>
      </c>
      <c r="S1160" s="65" t="n">
        <f aca="false">ROUND($O1160*$Q1160,2)</f>
        <v>606.9</v>
      </c>
      <c r="T1160" s="65" t="n">
        <f aca="false">ROUND($R1160*SUMIFS(Parametros!$E$28:$E$43,Parametros!$B$28:$B$43,$J1160,Parametros!$C$28:$C$43,$C1160,Parametros!$D$28:$D$43,$D1160),2)</f>
        <v>15.16</v>
      </c>
      <c r="U1160" s="65" t="n">
        <f aca="false">$R1160-$S1160-$T1160</f>
        <v>544.14</v>
      </c>
      <c r="V1160" s="66" t="n">
        <f aca="false">IFERROR($U1160/$R1160,0)</f>
        <v>0.466592351226205</v>
      </c>
      <c r="W1160" s="67" t="str">
        <f aca="false">IF(AND($V1160&gt;=Parametros!$C$8,$R1160&gt;=Parametros!$C$12),"Alta rentabilidad",IF(OR($V1160&lt;Parametros!$C$11,$R1160&lt;Parametros!$C$13),"Revisar","Estandar"))</f>
        <v>Estandar</v>
      </c>
      <c r="X1160" s="67" t="str">
        <f aca="false">IF(AND($J1160="E-commerce",IFERROR($T1160/$R1160,0)&gt;Parametros!$C$14),"Alerta","OK")</f>
        <v>OK</v>
      </c>
      <c r="Y1160" s="61" t="str">
        <f aca="false">IF($R1160&gt;=Parametros!$C$12,"Alto",IF($R1160&lt;Parametros!$C$13,"Bajo","Medio"))</f>
        <v>Medio</v>
      </c>
      <c r="Z1160" s="61" t="n">
        <v>254</v>
      </c>
      <c r="AA1160" s="61" t="str">
        <f aca="false">IF(MATCH($A1160,Datos_Origen!$A$2:$A$2459,0)=$Z1160,"OK","REVISAR")</f>
        <v>OK</v>
      </c>
      <c r="AB1160" s="62" t="n">
        <f aca="false">INDEX(Datos_Origen!$B$2:$B$2459,$Z1160)</f>
        <v>45640</v>
      </c>
      <c r="AC1160" s="61" t="n">
        <f aca="false">INDEX(Datos_Origen!$H$2:$H$2459,$Z1160)</f>
        <v>34</v>
      </c>
      <c r="AD1160" s="61" t="str">
        <f aca="false">INDEX(Datos_Origen!$D$2:$D$2459,$Z1160)&amp;""</f>
        <v/>
      </c>
    </row>
    <row r="1161" customFormat="false" ht="15" hidden="false" customHeight="false" outlineLevel="0" collapsed="false">
      <c r="A1161" s="61" t="n">
        <f aca="false">INDEX(Datos_Origen!$A$2:$A$2459,$Z1161)</f>
        <v>1160</v>
      </c>
      <c r="B1161" s="62" t="n">
        <f aca="false">IF(ISNUMBER($AB1161),$AB1161,IF(MID($AB1161,5,1)="-",DATE(VALUE(LEFT($AB1161,4)),VALUE(MID($AB1161,6,2)),VALUE(RIGHT($AB1161,2))),DATE(VALUE(RIGHT($AB1161,4)),VALUE(MID($AB1161,4,2)),VALUE(LEFT($AB1161,2)))))</f>
        <v>45647</v>
      </c>
      <c r="C1161" s="61" t="n">
        <f aca="false">YEAR($B1161)</f>
        <v>2024</v>
      </c>
      <c r="D1161" s="61" t="str">
        <f aca="false">"Q"&amp;ROUNDUP(MONTH($B1161)/3,0)</f>
        <v>Q4</v>
      </c>
      <c r="E1161" s="61" t="n">
        <f aca="false">MONTH($B1161)</f>
        <v>12</v>
      </c>
      <c r="F1161" s="61" t="str">
        <f aca="false">INDEX(Parametros!$I$5:$I$16,$E1161)</f>
        <v>Dic</v>
      </c>
      <c r="G1161" s="61" t="str">
        <f aca="false">TEXT($C1161,"0000")&amp;"-"&amp;TEXT($E1161,"00")</f>
        <v>2024-12</v>
      </c>
      <c r="H1161" s="61" t="str">
        <f aca="false">INDEX(Parametros!$C$71:$C$91,MATCH(TRIM(INDEX(Datos_Origen!$C$2:$C$2459,$Z1161)),Parametros!$B$71:$B$91,0))</f>
        <v>Litoral</v>
      </c>
      <c r="I1161" s="61" t="str">
        <f aca="false">IF(TRIM($AD1161)="",INDEX(Parametros!$I$20:$I$24,MATCH($H1161,Parametros!$H$20:$H$24,0)),TRIM($AD1161))</f>
        <v>Rosario</v>
      </c>
      <c r="J1161" s="61" t="str">
        <f aca="false">INDEX(Parametros!$C$95:$C$106,MATCH(TRIM(INDEX(Datos_Origen!$E$2:$E$2459,$Z1161)),Parametros!$B$95:$B$106,0))</f>
        <v>E-commerce</v>
      </c>
      <c r="K1161" s="61" t="str">
        <f aca="false">INDEX(Parametros!$C$48:$C$67,MATCH(TRIM(INDEX(Datos_Origen!$F$2:$F$2459,$Z1161)),Parametros!$B$48:$B$67,0))</f>
        <v>Almacenamiento</v>
      </c>
      <c r="L1161" s="61" t="str">
        <f aca="false">$K1161&amp;" "&amp;$C1161</f>
        <v>Almacenamiento 2024</v>
      </c>
      <c r="M1161" s="61" t="str">
        <f aca="false">TRIM(INDEX(Datos_Origen!$G$2:$G$2459,$Z1161))</f>
        <v>Pendrive 256GB</v>
      </c>
      <c r="N1161" s="61" t="str">
        <f aca="false">$M1161&amp;" "&amp;$C1161</f>
        <v>Pendrive 256GB 2024</v>
      </c>
      <c r="O1161" s="63" t="n">
        <f aca="false">IF(ISTEXT($AC1161),VALUE($AC1161),$AC1161)</f>
        <v>14</v>
      </c>
      <c r="P1161" s="64" t="n">
        <f aca="false">INDEX(Datos_Origen!$I$2:$I$2459,$Z1161)</f>
        <v>34.3</v>
      </c>
      <c r="Q1161" s="64" t="n">
        <f aca="false">INDEX(Datos_Origen!$J$2:$J$2459,$Z1161)</f>
        <v>17.85</v>
      </c>
      <c r="R1161" s="65" t="n">
        <f aca="false">ROUND($O1161*$P1161,2)</f>
        <v>480.2</v>
      </c>
      <c r="S1161" s="65" t="n">
        <f aca="false">ROUND($O1161*$Q1161,2)</f>
        <v>249.9</v>
      </c>
      <c r="T1161" s="65" t="n">
        <f aca="false">ROUND($R1161*SUMIFS(Parametros!$E$28:$E$43,Parametros!$B$28:$B$43,$J1161,Parametros!$C$28:$C$43,$C1161,Parametros!$D$28:$D$43,$D1161),2)</f>
        <v>23.05</v>
      </c>
      <c r="U1161" s="65" t="n">
        <f aca="false">$R1161-$S1161-$T1161</f>
        <v>207.25</v>
      </c>
      <c r="V1161" s="66" t="n">
        <f aca="false">IFERROR($U1161/$R1161,0)</f>
        <v>0.431591003748438</v>
      </c>
      <c r="W1161" s="67" t="str">
        <f aca="false">IF(AND($V1161&gt;=Parametros!$C$8,$R1161&gt;=Parametros!$C$12),"Alta rentabilidad",IF(OR($V1161&lt;Parametros!$C$11,$R1161&lt;Parametros!$C$13),"Revisar","Estandar"))</f>
        <v>Estandar</v>
      </c>
      <c r="X1161" s="67" t="str">
        <f aca="false">IF(AND($J1161="E-commerce",IFERROR($T1161/$R1161,0)&gt;Parametros!$C$14),"Alerta","OK")</f>
        <v>OK</v>
      </c>
      <c r="Y1161" s="61" t="str">
        <f aca="false">IF($R1161&gt;=Parametros!$C$12,"Alto",IF($R1161&lt;Parametros!$C$13,"Bajo","Medio"))</f>
        <v>Medio</v>
      </c>
      <c r="Z1161" s="61" t="n">
        <v>766</v>
      </c>
      <c r="AA1161" s="61" t="str">
        <f aca="false">IF(MATCH($A1161,Datos_Origen!$A$2:$A$2459,0)=$Z1161,"OK","REVISAR")</f>
        <v>OK</v>
      </c>
      <c r="AB1161" s="62" t="n">
        <f aca="false">INDEX(Datos_Origen!$B$2:$B$2459,$Z1161)</f>
        <v>45647</v>
      </c>
      <c r="AC1161" s="61" t="str">
        <f aca="false">INDEX(Datos_Origen!$H$2:$H$2459,$Z1161)</f>
        <v>14</v>
      </c>
      <c r="AD1161" s="61" t="str">
        <f aca="false">INDEX(Datos_Origen!$D$2:$D$2459,$Z1161)&amp;""</f>
        <v/>
      </c>
    </row>
    <row r="1162" customFormat="false" ht="15" hidden="false" customHeight="false" outlineLevel="0" collapsed="false">
      <c r="A1162" s="61" t="n">
        <f aca="false">INDEX(Datos_Origen!$A$2:$A$2459,$Z1162)</f>
        <v>1161</v>
      </c>
      <c r="B1162" s="62" t="n">
        <f aca="false">IF(ISNUMBER($AB1162),$AB1162,IF(MID($AB1162,5,1)="-",DATE(VALUE(LEFT($AB1162,4)),VALUE(MID($AB1162,6,2)),VALUE(RIGHT($AB1162,2))),DATE(VALUE(RIGHT($AB1162,4)),VALUE(MID($AB1162,4,2)),VALUE(LEFT($AB1162,2)))))</f>
        <v>45627</v>
      </c>
      <c r="C1162" s="61" t="n">
        <f aca="false">YEAR($B1162)</f>
        <v>2024</v>
      </c>
      <c r="D1162" s="61" t="str">
        <f aca="false">"Q"&amp;ROUNDUP(MONTH($B1162)/3,0)</f>
        <v>Q4</v>
      </c>
      <c r="E1162" s="61" t="n">
        <f aca="false">MONTH($B1162)</f>
        <v>12</v>
      </c>
      <c r="F1162" s="61" t="str">
        <f aca="false">INDEX(Parametros!$I$5:$I$16,$E1162)</f>
        <v>Dic</v>
      </c>
      <c r="G1162" s="61" t="str">
        <f aca="false">TEXT($C1162,"0000")&amp;"-"&amp;TEXT($E1162,"00")</f>
        <v>2024-12</v>
      </c>
      <c r="H1162" s="61" t="str">
        <f aca="false">INDEX(Parametros!$C$71:$C$91,MATCH(TRIM(INDEX(Datos_Origen!$C$2:$C$2459,$Z1162)),Parametros!$B$71:$B$91,0))</f>
        <v>Cuyo</v>
      </c>
      <c r="I1162" s="61" t="str">
        <f aca="false">IF(TRIM($AD1162)="",INDEX(Parametros!$I$20:$I$24,MATCH($H1162,Parametros!$H$20:$H$24,0)),TRIM($AD1162))</f>
        <v>Mendoza</v>
      </c>
      <c r="J1162" s="61" t="str">
        <f aca="false">INDEX(Parametros!$C$95:$C$106,MATCH(TRIM(INDEX(Datos_Origen!$E$2:$E$2459,$Z1162)),Parametros!$B$95:$B$106,0))</f>
        <v>Tienda fisica</v>
      </c>
      <c r="K1162" s="61" t="str">
        <f aca="false">INDEX(Parametros!$C$48:$C$67,MATCH(TRIM(INDEX(Datos_Origen!$F$2:$F$2459,$Z1162)),Parametros!$B$48:$B$67,0))</f>
        <v>Computacion</v>
      </c>
      <c r="L1162" s="61" t="str">
        <f aca="false">$K1162&amp;" "&amp;$C1162</f>
        <v>Computacion 2024</v>
      </c>
      <c r="M1162" s="61" t="str">
        <f aca="false">TRIM(INDEX(Datos_Origen!$G$2:$G$2459,$Z1162))</f>
        <v>Laptop Pro 15</v>
      </c>
      <c r="N1162" s="61" t="str">
        <f aca="false">$M1162&amp;" "&amp;$C1162</f>
        <v>Laptop Pro 15 2024</v>
      </c>
      <c r="O1162" s="63" t="n">
        <f aca="false">IF(ISTEXT($AC1162),VALUE($AC1162),$AC1162)</f>
        <v>10</v>
      </c>
      <c r="P1162" s="64" t="n">
        <f aca="false">INDEX(Datos_Origen!$I$2:$I$2459,$Z1162)</f>
        <v>1176</v>
      </c>
      <c r="Q1162" s="64" t="n">
        <f aca="false">INDEX(Datos_Origen!$J$2:$J$2459,$Z1162)</f>
        <v>744</v>
      </c>
      <c r="R1162" s="65" t="n">
        <f aca="false">ROUND($O1162*$P1162,2)</f>
        <v>11760</v>
      </c>
      <c r="S1162" s="65" t="n">
        <f aca="false">ROUND($O1162*$Q1162,2)</f>
        <v>7440</v>
      </c>
      <c r="T1162" s="65" t="n">
        <f aca="false">ROUND($R1162*SUMIFS(Parametros!$E$28:$E$43,Parametros!$B$28:$B$43,$J1162,Parametros!$C$28:$C$43,$C1162,Parametros!$D$28:$D$43,$D1162),2)</f>
        <v>152.88</v>
      </c>
      <c r="U1162" s="65" t="n">
        <f aca="false">$R1162-$S1162-$T1162</f>
        <v>4167.12</v>
      </c>
      <c r="V1162" s="66" t="n">
        <f aca="false">IFERROR($U1162/$R1162,0)</f>
        <v>0.35434693877551</v>
      </c>
      <c r="W1162" s="67" t="str">
        <f aca="false">IF(AND($V1162&gt;=Parametros!$C$8,$R1162&gt;=Parametros!$C$12),"Alta rentabilidad",IF(OR($V1162&lt;Parametros!$C$11,$R1162&lt;Parametros!$C$13),"Revisar","Estandar"))</f>
        <v>Alta rentabilidad</v>
      </c>
      <c r="X1162" s="67" t="str">
        <f aca="false">IF(AND($J1162="E-commerce",IFERROR($T1162/$R1162,0)&gt;Parametros!$C$14),"Alerta","OK")</f>
        <v>OK</v>
      </c>
      <c r="Y1162" s="61" t="str">
        <f aca="false">IF($R1162&gt;=Parametros!$C$12,"Alto",IF($R1162&lt;Parametros!$C$13,"Bajo","Medio"))</f>
        <v>Alto</v>
      </c>
      <c r="Z1162" s="61" t="n">
        <v>2015</v>
      </c>
      <c r="AA1162" s="61" t="str">
        <f aca="false">IF(MATCH($A1162,Datos_Origen!$A$2:$A$2459,0)=$Z1162,"OK","REVISAR")</f>
        <v>OK</v>
      </c>
      <c r="AB1162" s="62" t="n">
        <f aca="false">INDEX(Datos_Origen!$B$2:$B$2459,$Z1162)</f>
        <v>45627</v>
      </c>
      <c r="AC1162" s="61" t="n">
        <f aca="false">INDEX(Datos_Origen!$H$2:$H$2459,$Z1162)</f>
        <v>10</v>
      </c>
      <c r="AD1162" s="61" t="str">
        <f aca="false">INDEX(Datos_Origen!$D$2:$D$2459,$Z1162)&amp;""</f>
        <v/>
      </c>
    </row>
    <row r="1163" customFormat="false" ht="15" hidden="false" customHeight="false" outlineLevel="0" collapsed="false">
      <c r="A1163" s="61" t="n">
        <f aca="false">INDEX(Datos_Origen!$A$2:$A$2459,$Z1163)</f>
        <v>1162</v>
      </c>
      <c r="B1163" s="62" t="n">
        <f aca="false">IF(ISNUMBER($AB1163),$AB1163,IF(MID($AB1163,5,1)="-",DATE(VALUE(LEFT($AB1163,4)),VALUE(MID($AB1163,6,2)),VALUE(RIGHT($AB1163,2))),DATE(VALUE(RIGHT($AB1163,4)),VALUE(MID($AB1163,4,2)),VALUE(LEFT($AB1163,2)))))</f>
        <v>45634</v>
      </c>
      <c r="C1163" s="61" t="n">
        <f aca="false">YEAR($B1163)</f>
        <v>2024</v>
      </c>
      <c r="D1163" s="61" t="str">
        <f aca="false">"Q"&amp;ROUNDUP(MONTH($B1163)/3,0)</f>
        <v>Q4</v>
      </c>
      <c r="E1163" s="61" t="n">
        <f aca="false">MONTH($B1163)</f>
        <v>12</v>
      </c>
      <c r="F1163" s="61" t="str">
        <f aca="false">INDEX(Parametros!$I$5:$I$16,$E1163)</f>
        <v>Dic</v>
      </c>
      <c r="G1163" s="61" t="str">
        <f aca="false">TEXT($C1163,"0000")&amp;"-"&amp;TEXT($E1163,"00")</f>
        <v>2024-12</v>
      </c>
      <c r="H1163" s="61" t="str">
        <f aca="false">INDEX(Parametros!$C$71:$C$91,MATCH(TRIM(INDEX(Datos_Origen!$C$2:$C$2459,$Z1163)),Parametros!$B$71:$B$91,0))</f>
        <v>Cuyo</v>
      </c>
      <c r="I1163" s="61" t="str">
        <f aca="false">IF(TRIM($AD1163)="",INDEX(Parametros!$I$20:$I$24,MATCH($H1163,Parametros!$H$20:$H$24,0)),TRIM($AD1163))</f>
        <v>Mendoza</v>
      </c>
      <c r="J1163" s="61" t="str">
        <f aca="false">INDEX(Parametros!$C$95:$C$106,MATCH(TRIM(INDEX(Datos_Origen!$E$2:$E$2459,$Z1163)),Parametros!$B$95:$B$106,0))</f>
        <v>E-commerce</v>
      </c>
      <c r="K1163" s="61" t="str">
        <f aca="false">INDEX(Parametros!$C$48:$C$67,MATCH(TRIM(INDEX(Datos_Origen!$F$2:$F$2459,$Z1163)),Parametros!$B$48:$B$67,0))</f>
        <v>Computacion</v>
      </c>
      <c r="L1163" s="61" t="str">
        <f aca="false">$K1163&amp;" "&amp;$C1163</f>
        <v>Computacion 2024</v>
      </c>
      <c r="M1163" s="61" t="str">
        <f aca="false">TRIM(INDEX(Datos_Origen!$G$2:$G$2459,$Z1163))</f>
        <v>Laptop Pro 15</v>
      </c>
      <c r="N1163" s="61" t="str">
        <f aca="false">$M1163&amp;" "&amp;$C1163</f>
        <v>Laptop Pro 15 2024</v>
      </c>
      <c r="O1163" s="63" t="n">
        <f aca="false">IF(ISTEXT($AC1163),VALUE($AC1163),$AC1163)</f>
        <v>3</v>
      </c>
      <c r="P1163" s="64" t="n">
        <f aca="false">INDEX(Datos_Origen!$I$2:$I$2459,$Z1163)</f>
        <v>1176</v>
      </c>
      <c r="Q1163" s="64" t="n">
        <f aca="false">INDEX(Datos_Origen!$J$2:$J$2459,$Z1163)</f>
        <v>744</v>
      </c>
      <c r="R1163" s="65" t="n">
        <f aca="false">ROUND($O1163*$P1163,2)</f>
        <v>3528</v>
      </c>
      <c r="S1163" s="65" t="n">
        <f aca="false">ROUND($O1163*$Q1163,2)</f>
        <v>2232</v>
      </c>
      <c r="T1163" s="65" t="n">
        <f aca="false">ROUND($R1163*SUMIFS(Parametros!$E$28:$E$43,Parametros!$B$28:$B$43,$J1163,Parametros!$C$28:$C$43,$C1163,Parametros!$D$28:$D$43,$D1163),2)</f>
        <v>169.34</v>
      </c>
      <c r="U1163" s="65" t="n">
        <f aca="false">$R1163-$S1163-$T1163</f>
        <v>1126.66</v>
      </c>
      <c r="V1163" s="66" t="n">
        <f aca="false">IFERROR($U1163/$R1163,0)</f>
        <v>0.319348072562358</v>
      </c>
      <c r="W1163" s="67" t="str">
        <f aca="false">IF(AND($V1163&gt;=Parametros!$C$8,$R1163&gt;=Parametros!$C$12),"Alta rentabilidad",IF(OR($V1163&lt;Parametros!$C$11,$R1163&lt;Parametros!$C$13),"Revisar","Estandar"))</f>
        <v>Estandar</v>
      </c>
      <c r="X1163" s="67" t="str">
        <f aca="false">IF(AND($J1163="E-commerce",IFERROR($T1163/$R1163,0)&gt;Parametros!$C$14),"Alerta","OK")</f>
        <v>OK</v>
      </c>
      <c r="Y1163" s="61" t="str">
        <f aca="false">IF($R1163&gt;=Parametros!$C$12,"Alto",IF($R1163&lt;Parametros!$C$13,"Bajo","Medio"))</f>
        <v>Alto</v>
      </c>
      <c r="Z1163" s="61" t="n">
        <v>1369</v>
      </c>
      <c r="AA1163" s="61" t="str">
        <f aca="false">IF(MATCH($A1163,Datos_Origen!$A$2:$A$2459,0)=$Z1163,"OK","REVISAR")</f>
        <v>OK</v>
      </c>
      <c r="AB1163" s="62" t="n">
        <f aca="false">INDEX(Datos_Origen!$B$2:$B$2459,$Z1163)</f>
        <v>45634</v>
      </c>
      <c r="AC1163" s="61" t="n">
        <f aca="false">INDEX(Datos_Origen!$H$2:$H$2459,$Z1163)</f>
        <v>3</v>
      </c>
      <c r="AD1163" s="61" t="str">
        <f aca="false">INDEX(Datos_Origen!$D$2:$D$2459,$Z1163)&amp;""</f>
        <v>Mendoza</v>
      </c>
    </row>
    <row r="1164" customFormat="false" ht="15" hidden="false" customHeight="false" outlineLevel="0" collapsed="false">
      <c r="A1164" s="61" t="n">
        <f aca="false">INDEX(Datos_Origen!$A$2:$A$2459,$Z1164)</f>
        <v>1163</v>
      </c>
      <c r="B1164" s="62" t="n">
        <f aca="false">IF(ISNUMBER($AB1164),$AB1164,IF(MID($AB1164,5,1)="-",DATE(VALUE(LEFT($AB1164,4)),VALUE(MID($AB1164,6,2)),VALUE(RIGHT($AB1164,2))),DATE(VALUE(RIGHT($AB1164,4)),VALUE(MID($AB1164,4,2)),VALUE(LEFT($AB1164,2)))))</f>
        <v>45641</v>
      </c>
      <c r="C1164" s="61" t="n">
        <f aca="false">YEAR($B1164)</f>
        <v>2024</v>
      </c>
      <c r="D1164" s="61" t="str">
        <f aca="false">"Q"&amp;ROUNDUP(MONTH($B1164)/3,0)</f>
        <v>Q4</v>
      </c>
      <c r="E1164" s="61" t="n">
        <f aca="false">MONTH($B1164)</f>
        <v>12</v>
      </c>
      <c r="F1164" s="61" t="str">
        <f aca="false">INDEX(Parametros!$I$5:$I$16,$E1164)</f>
        <v>Dic</v>
      </c>
      <c r="G1164" s="61" t="str">
        <f aca="false">TEXT($C1164,"0000")&amp;"-"&amp;TEXT($E1164,"00")</f>
        <v>2024-12</v>
      </c>
      <c r="H1164" s="61" t="str">
        <f aca="false">INDEX(Parametros!$C$71:$C$91,MATCH(TRIM(INDEX(Datos_Origen!$C$2:$C$2459,$Z1164)),Parametros!$B$71:$B$91,0))</f>
        <v>Cuyo</v>
      </c>
      <c r="I1164" s="61" t="str">
        <f aca="false">IF(TRIM($AD1164)="",INDEX(Parametros!$I$20:$I$24,MATCH($H1164,Parametros!$H$20:$H$24,0)),TRIM($AD1164))</f>
        <v>Mendoza</v>
      </c>
      <c r="J1164" s="61" t="str">
        <f aca="false">INDEX(Parametros!$C$95:$C$106,MATCH(TRIM(INDEX(Datos_Origen!$E$2:$E$2459,$Z1164)),Parametros!$B$95:$B$106,0))</f>
        <v>Tienda fisica</v>
      </c>
      <c r="K1164" s="61" t="str">
        <f aca="false">INDEX(Parametros!$C$48:$C$67,MATCH(TRIM(INDEX(Datos_Origen!$F$2:$F$2459,$Z1164)),Parametros!$B$48:$B$67,0))</f>
        <v>Computacion</v>
      </c>
      <c r="L1164" s="61" t="str">
        <f aca="false">$K1164&amp;" "&amp;$C1164</f>
        <v>Computacion 2024</v>
      </c>
      <c r="M1164" s="61" t="str">
        <f aca="false">TRIM(INDEX(Datos_Origen!$G$2:$G$2459,$Z1164))</f>
        <v>Monitor 4K 27</v>
      </c>
      <c r="N1164" s="61" t="str">
        <f aca="false">$M1164&amp;" "&amp;$C1164</f>
        <v>Monitor 4K 27 2024</v>
      </c>
      <c r="O1164" s="63" t="n">
        <f aca="false">IF(ISTEXT($AC1164),VALUE($AC1164),$AC1164)</f>
        <v>9</v>
      </c>
      <c r="P1164" s="64" t="n">
        <f aca="false">INDEX(Datos_Origen!$I$2:$I$2459,$Z1164)</f>
        <v>441</v>
      </c>
      <c r="Q1164" s="64" t="n">
        <f aca="false">INDEX(Datos_Origen!$J$2:$J$2459,$Z1164)</f>
        <v>272.25</v>
      </c>
      <c r="R1164" s="65" t="n">
        <f aca="false">ROUND($O1164*$P1164,2)</f>
        <v>3969</v>
      </c>
      <c r="S1164" s="65" t="n">
        <f aca="false">ROUND($O1164*$Q1164,2)</f>
        <v>2450.25</v>
      </c>
      <c r="T1164" s="65" t="n">
        <f aca="false">ROUND($R1164*SUMIFS(Parametros!$E$28:$E$43,Parametros!$B$28:$B$43,$J1164,Parametros!$C$28:$C$43,$C1164,Parametros!$D$28:$D$43,$D1164),2)</f>
        <v>51.6</v>
      </c>
      <c r="U1164" s="65" t="n">
        <f aca="false">$R1164-$S1164-$T1164</f>
        <v>1467.15</v>
      </c>
      <c r="V1164" s="66" t="n">
        <f aca="false">IFERROR($U1164/$R1164,0)</f>
        <v>0.369652305366591</v>
      </c>
      <c r="W1164" s="67" t="str">
        <f aca="false">IF(AND($V1164&gt;=Parametros!$C$8,$R1164&gt;=Parametros!$C$12),"Alta rentabilidad",IF(OR($V1164&lt;Parametros!$C$11,$R1164&lt;Parametros!$C$13),"Revisar","Estandar"))</f>
        <v>Alta rentabilidad</v>
      </c>
      <c r="X1164" s="67" t="str">
        <f aca="false">IF(AND($J1164="E-commerce",IFERROR($T1164/$R1164,0)&gt;Parametros!$C$14),"Alerta","OK")</f>
        <v>OK</v>
      </c>
      <c r="Y1164" s="61" t="str">
        <f aca="false">IF($R1164&gt;=Parametros!$C$12,"Alto",IF($R1164&lt;Parametros!$C$13,"Bajo","Medio"))</f>
        <v>Alto</v>
      </c>
      <c r="Z1164" s="61" t="n">
        <v>839</v>
      </c>
      <c r="AA1164" s="61" t="str">
        <f aca="false">IF(MATCH($A1164,Datos_Origen!$A$2:$A$2459,0)=$Z1164,"OK","REVISAR")</f>
        <v>OK</v>
      </c>
      <c r="AB1164" s="62" t="n">
        <f aca="false">INDEX(Datos_Origen!$B$2:$B$2459,$Z1164)</f>
        <v>45641</v>
      </c>
      <c r="AC1164" s="61" t="n">
        <f aca="false">INDEX(Datos_Origen!$H$2:$H$2459,$Z1164)</f>
        <v>9</v>
      </c>
      <c r="AD1164" s="61" t="str">
        <f aca="false">INDEX(Datos_Origen!$D$2:$D$2459,$Z1164)&amp;""</f>
        <v>Mendoza</v>
      </c>
    </row>
    <row r="1165" customFormat="false" ht="15" hidden="false" customHeight="false" outlineLevel="0" collapsed="false">
      <c r="A1165" s="61" t="n">
        <f aca="false">INDEX(Datos_Origen!$A$2:$A$2459,$Z1165)</f>
        <v>1164</v>
      </c>
      <c r="B1165" s="62" t="n">
        <f aca="false">IF(ISNUMBER($AB1165),$AB1165,IF(MID($AB1165,5,1)="-",DATE(VALUE(LEFT($AB1165,4)),VALUE(MID($AB1165,6,2)),VALUE(RIGHT($AB1165,2))),DATE(VALUE(RIGHT($AB1165,4)),VALUE(MID($AB1165,4,2)),VALUE(LEFT($AB1165,2)))))</f>
        <v>45648</v>
      </c>
      <c r="C1165" s="61" t="n">
        <f aca="false">YEAR($B1165)</f>
        <v>2024</v>
      </c>
      <c r="D1165" s="61" t="str">
        <f aca="false">"Q"&amp;ROUNDUP(MONTH($B1165)/3,0)</f>
        <v>Q4</v>
      </c>
      <c r="E1165" s="61" t="n">
        <f aca="false">MONTH($B1165)</f>
        <v>12</v>
      </c>
      <c r="F1165" s="61" t="str">
        <f aca="false">INDEX(Parametros!$I$5:$I$16,$E1165)</f>
        <v>Dic</v>
      </c>
      <c r="G1165" s="61" t="str">
        <f aca="false">TEXT($C1165,"0000")&amp;"-"&amp;TEXT($E1165,"00")</f>
        <v>2024-12</v>
      </c>
      <c r="H1165" s="61" t="str">
        <f aca="false">INDEX(Parametros!$C$71:$C$91,MATCH(TRIM(INDEX(Datos_Origen!$C$2:$C$2459,$Z1165)),Parametros!$B$71:$B$91,0))</f>
        <v>Cuyo</v>
      </c>
      <c r="I1165" s="61" t="str">
        <f aca="false">IF(TRIM($AD1165)="",INDEX(Parametros!$I$20:$I$24,MATCH($H1165,Parametros!$H$20:$H$24,0)),TRIM($AD1165))</f>
        <v>Mendoza</v>
      </c>
      <c r="J1165" s="61" t="str">
        <f aca="false">INDEX(Parametros!$C$95:$C$106,MATCH(TRIM(INDEX(Datos_Origen!$E$2:$E$2459,$Z1165)),Parametros!$B$95:$B$106,0))</f>
        <v>E-commerce</v>
      </c>
      <c r="K1165" s="61" t="str">
        <f aca="false">INDEX(Parametros!$C$48:$C$67,MATCH(TRIM(INDEX(Datos_Origen!$F$2:$F$2459,$Z1165)),Parametros!$B$48:$B$67,0))</f>
        <v>Computacion</v>
      </c>
      <c r="L1165" s="61" t="str">
        <f aca="false">$K1165&amp;" "&amp;$C1165</f>
        <v>Computacion 2024</v>
      </c>
      <c r="M1165" s="61" t="str">
        <f aca="false">TRIM(INDEX(Datos_Origen!$G$2:$G$2459,$Z1165))</f>
        <v>Monitor 4K 27</v>
      </c>
      <c r="N1165" s="61" t="str">
        <f aca="false">$M1165&amp;" "&amp;$C1165</f>
        <v>Monitor 4K 27 2024</v>
      </c>
      <c r="O1165" s="63" t="n">
        <f aca="false">IF(ISTEXT($AC1165),VALUE($AC1165),$AC1165)</f>
        <v>4</v>
      </c>
      <c r="P1165" s="64" t="n">
        <f aca="false">INDEX(Datos_Origen!$I$2:$I$2459,$Z1165)</f>
        <v>441</v>
      </c>
      <c r="Q1165" s="64" t="n">
        <f aca="false">INDEX(Datos_Origen!$J$2:$J$2459,$Z1165)</f>
        <v>272.25</v>
      </c>
      <c r="R1165" s="65" t="n">
        <f aca="false">ROUND($O1165*$P1165,2)</f>
        <v>1764</v>
      </c>
      <c r="S1165" s="65" t="n">
        <f aca="false">ROUND($O1165*$Q1165,2)</f>
        <v>1089</v>
      </c>
      <c r="T1165" s="65" t="n">
        <f aca="false">ROUND($R1165*SUMIFS(Parametros!$E$28:$E$43,Parametros!$B$28:$B$43,$J1165,Parametros!$C$28:$C$43,$C1165,Parametros!$D$28:$D$43,$D1165),2)</f>
        <v>84.67</v>
      </c>
      <c r="U1165" s="65" t="n">
        <f aca="false">$R1165-$S1165-$T1165</f>
        <v>590.33</v>
      </c>
      <c r="V1165" s="66" t="n">
        <f aca="false">IFERROR($U1165/$R1165,0)</f>
        <v>0.334654195011338</v>
      </c>
      <c r="W1165" s="67" t="str">
        <f aca="false">IF(AND($V1165&gt;=Parametros!$C$8,$R1165&gt;=Parametros!$C$12),"Alta rentabilidad",IF(OR($V1165&lt;Parametros!$C$11,$R1165&lt;Parametros!$C$13),"Revisar","Estandar"))</f>
        <v>Estandar</v>
      </c>
      <c r="X1165" s="67" t="str">
        <f aca="false">IF(AND($J1165="E-commerce",IFERROR($T1165/$R1165,0)&gt;Parametros!$C$14),"Alerta","OK")</f>
        <v>OK</v>
      </c>
      <c r="Y1165" s="61" t="str">
        <f aca="false">IF($R1165&gt;=Parametros!$C$12,"Alto",IF($R1165&lt;Parametros!$C$13,"Bajo","Medio"))</f>
        <v>Medio</v>
      </c>
      <c r="Z1165" s="61" t="n">
        <v>2451</v>
      </c>
      <c r="AA1165" s="61" t="str">
        <f aca="false">IF(MATCH($A1165,Datos_Origen!$A$2:$A$2459,0)=$Z1165,"OK","REVISAR")</f>
        <v>OK</v>
      </c>
      <c r="AB1165" s="62" t="n">
        <f aca="false">INDEX(Datos_Origen!$B$2:$B$2459,$Z1165)</f>
        <v>45648</v>
      </c>
      <c r="AC1165" s="61" t="n">
        <f aca="false">INDEX(Datos_Origen!$H$2:$H$2459,$Z1165)</f>
        <v>4</v>
      </c>
      <c r="AD1165" s="61" t="str">
        <f aca="false">INDEX(Datos_Origen!$D$2:$D$2459,$Z1165)&amp;""</f>
        <v>Mendoza</v>
      </c>
    </row>
    <row r="1166" customFormat="false" ht="15" hidden="false" customHeight="false" outlineLevel="0" collapsed="false">
      <c r="A1166" s="61" t="n">
        <f aca="false">INDEX(Datos_Origen!$A$2:$A$2459,$Z1166)</f>
        <v>1165</v>
      </c>
      <c r="B1166" s="62" t="n">
        <f aca="false">IF(ISNUMBER($AB1166),$AB1166,IF(MID($AB1166,5,1)="-",DATE(VALUE(LEFT($AB1166,4)),VALUE(MID($AB1166,6,2)),VALUE(RIGHT($AB1166,2))),DATE(VALUE(RIGHT($AB1166,4)),VALUE(MID($AB1166,4,2)),VALUE(LEFT($AB1166,2)))))</f>
        <v>45628</v>
      </c>
      <c r="C1166" s="61" t="n">
        <f aca="false">YEAR($B1166)</f>
        <v>2024</v>
      </c>
      <c r="D1166" s="61" t="str">
        <f aca="false">"Q"&amp;ROUNDUP(MONTH($B1166)/3,0)</f>
        <v>Q4</v>
      </c>
      <c r="E1166" s="61" t="n">
        <f aca="false">MONTH($B1166)</f>
        <v>12</v>
      </c>
      <c r="F1166" s="61" t="str">
        <f aca="false">INDEX(Parametros!$I$5:$I$16,$E1166)</f>
        <v>Dic</v>
      </c>
      <c r="G1166" s="61" t="str">
        <f aca="false">TEXT($C1166,"0000")&amp;"-"&amp;TEXT($E1166,"00")</f>
        <v>2024-12</v>
      </c>
      <c r="H1166" s="61" t="str">
        <f aca="false">INDEX(Parametros!$C$71:$C$91,MATCH(TRIM(INDEX(Datos_Origen!$C$2:$C$2459,$Z1166)),Parametros!$B$71:$B$91,0))</f>
        <v>Cuyo</v>
      </c>
      <c r="I1166" s="61" t="str">
        <f aca="false">IF(TRIM($AD1166)="",INDEX(Parametros!$I$20:$I$24,MATCH($H1166,Parametros!$H$20:$H$24,0)),TRIM($AD1166))</f>
        <v>Mendoza</v>
      </c>
      <c r="J1166" s="61" t="str">
        <f aca="false">INDEX(Parametros!$C$95:$C$106,MATCH(TRIM(INDEX(Datos_Origen!$E$2:$E$2459,$Z1166)),Parametros!$B$95:$B$106,0))</f>
        <v>Tienda fisica</v>
      </c>
      <c r="K1166" s="61" t="str">
        <f aca="false">INDEX(Parametros!$C$48:$C$67,MATCH(TRIM(INDEX(Datos_Origen!$F$2:$F$2459,$Z1166)),Parametros!$B$48:$B$67,0))</f>
        <v>Computacion</v>
      </c>
      <c r="L1166" s="61" t="str">
        <f aca="false">$K1166&amp;" "&amp;$C1166</f>
        <v>Computacion 2024</v>
      </c>
      <c r="M1166" s="61" t="str">
        <f aca="false">TRIM(INDEX(Datos_Origen!$G$2:$G$2459,$Z1166))</f>
        <v>PC Gamer Ryzen</v>
      </c>
      <c r="N1166" s="61" t="str">
        <f aca="false">$M1166&amp;" "&amp;$C1166</f>
        <v>PC Gamer Ryzen 2024</v>
      </c>
      <c r="O1166" s="63" t="n">
        <f aca="false">IF(ISTEXT($AC1166),VALUE($AC1166),$AC1166)</f>
        <v>11</v>
      </c>
      <c r="P1166" s="64" t="n">
        <f aca="false">INDEX(Datos_Origen!$I$2:$I$2459,$Z1166)</f>
        <v>1617</v>
      </c>
      <c r="Q1166" s="64" t="n">
        <f aca="false">INDEX(Datos_Origen!$J$2:$J$2459,$Z1166)</f>
        <v>1122</v>
      </c>
      <c r="R1166" s="65" t="n">
        <f aca="false">ROUND($O1166*$P1166,2)</f>
        <v>17787</v>
      </c>
      <c r="S1166" s="65" t="n">
        <f aca="false">ROUND($O1166*$Q1166,2)</f>
        <v>12342</v>
      </c>
      <c r="T1166" s="65" t="n">
        <f aca="false">ROUND($R1166*SUMIFS(Parametros!$E$28:$E$43,Parametros!$B$28:$B$43,$J1166,Parametros!$C$28:$C$43,$C1166,Parametros!$D$28:$D$43,$D1166),2)</f>
        <v>231.23</v>
      </c>
      <c r="U1166" s="65" t="n">
        <f aca="false">$R1166-$S1166-$T1166</f>
        <v>5213.77</v>
      </c>
      <c r="V1166" s="66" t="n">
        <f aca="false">IFERROR($U1166/$R1166,0)</f>
        <v>0.293122505200427</v>
      </c>
      <c r="W1166" s="67" t="str">
        <f aca="false">IF(AND($V1166&gt;=Parametros!$C$8,$R1166&gt;=Parametros!$C$12),"Alta rentabilidad",IF(OR($V1166&lt;Parametros!$C$11,$R1166&lt;Parametros!$C$13),"Revisar","Estandar"))</f>
        <v>Estandar</v>
      </c>
      <c r="X1166" s="67" t="str">
        <f aca="false">IF(AND($J1166="E-commerce",IFERROR($T1166/$R1166,0)&gt;Parametros!$C$14),"Alerta","OK")</f>
        <v>OK</v>
      </c>
      <c r="Y1166" s="61" t="str">
        <f aca="false">IF($R1166&gt;=Parametros!$C$12,"Alto",IF($R1166&lt;Parametros!$C$13,"Bajo","Medio"))</f>
        <v>Alto</v>
      </c>
      <c r="Z1166" s="61" t="n">
        <v>1852</v>
      </c>
      <c r="AA1166" s="61" t="str">
        <f aca="false">IF(MATCH($A1166,Datos_Origen!$A$2:$A$2459,0)=$Z1166,"OK","REVISAR")</f>
        <v>OK</v>
      </c>
      <c r="AB1166" s="61" t="str">
        <f aca="false">INDEX(Datos_Origen!$B$2:$B$2459,$Z1166)</f>
        <v>02/12/2024</v>
      </c>
      <c r="AC1166" s="61" t="n">
        <f aca="false">INDEX(Datos_Origen!$H$2:$H$2459,$Z1166)</f>
        <v>11</v>
      </c>
      <c r="AD1166" s="61" t="str">
        <f aca="false">INDEX(Datos_Origen!$D$2:$D$2459,$Z1166)&amp;""</f>
        <v>Mendoza</v>
      </c>
    </row>
    <row r="1167" customFormat="false" ht="15" hidden="false" customHeight="false" outlineLevel="0" collapsed="false">
      <c r="A1167" s="61" t="n">
        <f aca="false">INDEX(Datos_Origen!$A$2:$A$2459,$Z1167)</f>
        <v>1166</v>
      </c>
      <c r="B1167" s="62" t="n">
        <f aca="false">IF(ISNUMBER($AB1167),$AB1167,IF(MID($AB1167,5,1)="-",DATE(VALUE(LEFT($AB1167,4)),VALUE(MID($AB1167,6,2)),VALUE(RIGHT($AB1167,2))),DATE(VALUE(RIGHT($AB1167,4)),VALUE(MID($AB1167,4,2)),VALUE(LEFT($AB1167,2)))))</f>
        <v>45635</v>
      </c>
      <c r="C1167" s="61" t="n">
        <f aca="false">YEAR($B1167)</f>
        <v>2024</v>
      </c>
      <c r="D1167" s="61" t="str">
        <f aca="false">"Q"&amp;ROUNDUP(MONTH($B1167)/3,0)</f>
        <v>Q4</v>
      </c>
      <c r="E1167" s="61" t="n">
        <f aca="false">MONTH($B1167)</f>
        <v>12</v>
      </c>
      <c r="F1167" s="61" t="str">
        <f aca="false">INDEX(Parametros!$I$5:$I$16,$E1167)</f>
        <v>Dic</v>
      </c>
      <c r="G1167" s="61" t="str">
        <f aca="false">TEXT($C1167,"0000")&amp;"-"&amp;TEXT($E1167,"00")</f>
        <v>2024-12</v>
      </c>
      <c r="H1167" s="61" t="str">
        <f aca="false">INDEX(Parametros!$C$71:$C$91,MATCH(TRIM(INDEX(Datos_Origen!$C$2:$C$2459,$Z1167)),Parametros!$B$71:$B$91,0))</f>
        <v>Cuyo</v>
      </c>
      <c r="I1167" s="61" t="str">
        <f aca="false">IF(TRIM($AD1167)="",INDEX(Parametros!$I$20:$I$24,MATCH($H1167,Parametros!$H$20:$H$24,0)),TRIM($AD1167))</f>
        <v>Mendoza</v>
      </c>
      <c r="J1167" s="61" t="str">
        <f aca="false">INDEX(Parametros!$C$95:$C$106,MATCH(TRIM(INDEX(Datos_Origen!$E$2:$E$2459,$Z1167)),Parametros!$B$95:$B$106,0))</f>
        <v>E-commerce</v>
      </c>
      <c r="K1167" s="61" t="str">
        <f aca="false">INDEX(Parametros!$C$48:$C$67,MATCH(TRIM(INDEX(Datos_Origen!$F$2:$F$2459,$Z1167)),Parametros!$B$48:$B$67,0))</f>
        <v>Computacion</v>
      </c>
      <c r="L1167" s="61" t="str">
        <f aca="false">$K1167&amp;" "&amp;$C1167</f>
        <v>Computacion 2024</v>
      </c>
      <c r="M1167" s="61" t="str">
        <f aca="false">TRIM(INDEX(Datos_Origen!$G$2:$G$2459,$Z1167))</f>
        <v>PC Gamer Ryzen</v>
      </c>
      <c r="N1167" s="61" t="str">
        <f aca="false">$M1167&amp;" "&amp;$C1167</f>
        <v>PC Gamer Ryzen 2024</v>
      </c>
      <c r="O1167" s="63" t="n">
        <f aca="false">IF(ISTEXT($AC1167),VALUE($AC1167),$AC1167)</f>
        <v>3</v>
      </c>
      <c r="P1167" s="64" t="n">
        <f aca="false">INDEX(Datos_Origen!$I$2:$I$2459,$Z1167)</f>
        <v>1617</v>
      </c>
      <c r="Q1167" s="64" t="n">
        <f aca="false">INDEX(Datos_Origen!$J$2:$J$2459,$Z1167)</f>
        <v>1122</v>
      </c>
      <c r="R1167" s="65" t="n">
        <f aca="false">ROUND($O1167*$P1167,2)</f>
        <v>4851</v>
      </c>
      <c r="S1167" s="65" t="n">
        <f aca="false">ROUND($O1167*$Q1167,2)</f>
        <v>3366</v>
      </c>
      <c r="T1167" s="65" t="n">
        <f aca="false">ROUND($R1167*SUMIFS(Parametros!$E$28:$E$43,Parametros!$B$28:$B$43,$J1167,Parametros!$C$28:$C$43,$C1167,Parametros!$D$28:$D$43,$D1167),2)</f>
        <v>232.85</v>
      </c>
      <c r="U1167" s="65" t="n">
        <f aca="false">$R1167-$S1167-$T1167</f>
        <v>1252.15</v>
      </c>
      <c r="V1167" s="66" t="n">
        <f aca="false">IFERROR($U1167/$R1167,0)</f>
        <v>0.258122036693465</v>
      </c>
      <c r="W1167" s="67" t="str">
        <f aca="false">IF(AND($V1167&gt;=Parametros!$C$8,$R1167&gt;=Parametros!$C$12),"Alta rentabilidad",IF(OR($V1167&lt;Parametros!$C$11,$R1167&lt;Parametros!$C$13),"Revisar","Estandar"))</f>
        <v>Revisar</v>
      </c>
      <c r="X1167" s="67" t="str">
        <f aca="false">IF(AND($J1167="E-commerce",IFERROR($T1167/$R1167,0)&gt;Parametros!$C$14),"Alerta","OK")</f>
        <v>OK</v>
      </c>
      <c r="Y1167" s="61" t="str">
        <f aca="false">IF($R1167&gt;=Parametros!$C$12,"Alto",IF($R1167&lt;Parametros!$C$13,"Bajo","Medio"))</f>
        <v>Alto</v>
      </c>
      <c r="Z1167" s="61" t="n">
        <v>988</v>
      </c>
      <c r="AA1167" s="61" t="str">
        <f aca="false">IF(MATCH($A1167,Datos_Origen!$A$2:$A$2459,0)=$Z1167,"OK","REVISAR")</f>
        <v>OK</v>
      </c>
      <c r="AB1167" s="62" t="n">
        <f aca="false">INDEX(Datos_Origen!$B$2:$B$2459,$Z1167)</f>
        <v>45635</v>
      </c>
      <c r="AC1167" s="61" t="n">
        <f aca="false">INDEX(Datos_Origen!$H$2:$H$2459,$Z1167)</f>
        <v>3</v>
      </c>
      <c r="AD1167" s="61" t="str">
        <f aca="false">INDEX(Datos_Origen!$D$2:$D$2459,$Z1167)&amp;""</f>
        <v>Mendoza</v>
      </c>
    </row>
    <row r="1168" customFormat="false" ht="15" hidden="false" customHeight="false" outlineLevel="0" collapsed="false">
      <c r="A1168" s="61" t="n">
        <f aca="false">INDEX(Datos_Origen!$A$2:$A$2459,$Z1168)</f>
        <v>1167</v>
      </c>
      <c r="B1168" s="62" t="n">
        <f aca="false">IF(ISNUMBER($AB1168),$AB1168,IF(MID($AB1168,5,1)="-",DATE(VALUE(LEFT($AB1168,4)),VALUE(MID($AB1168,6,2)),VALUE(RIGHT($AB1168,2))),DATE(VALUE(RIGHT($AB1168,4)),VALUE(MID($AB1168,4,2)),VALUE(LEFT($AB1168,2)))))</f>
        <v>45642</v>
      </c>
      <c r="C1168" s="61" t="n">
        <f aca="false">YEAR($B1168)</f>
        <v>2024</v>
      </c>
      <c r="D1168" s="61" t="str">
        <f aca="false">"Q"&amp;ROUNDUP(MONTH($B1168)/3,0)</f>
        <v>Q4</v>
      </c>
      <c r="E1168" s="61" t="n">
        <f aca="false">MONTH($B1168)</f>
        <v>12</v>
      </c>
      <c r="F1168" s="61" t="str">
        <f aca="false">INDEX(Parametros!$I$5:$I$16,$E1168)</f>
        <v>Dic</v>
      </c>
      <c r="G1168" s="61" t="str">
        <f aca="false">TEXT($C1168,"0000")&amp;"-"&amp;TEXT($E1168,"00")</f>
        <v>2024-12</v>
      </c>
      <c r="H1168" s="61" t="str">
        <f aca="false">INDEX(Parametros!$C$71:$C$91,MATCH(TRIM(INDEX(Datos_Origen!$C$2:$C$2459,$Z1168)),Parametros!$B$71:$B$91,0))</f>
        <v>Cuyo</v>
      </c>
      <c r="I1168" s="61" t="str">
        <f aca="false">IF(TRIM($AD1168)="",INDEX(Parametros!$I$20:$I$24,MATCH($H1168,Parametros!$H$20:$H$24,0)),TRIM($AD1168))</f>
        <v>Mendoza</v>
      </c>
      <c r="J1168" s="61" t="str">
        <f aca="false">INDEX(Parametros!$C$95:$C$106,MATCH(TRIM(INDEX(Datos_Origen!$E$2:$E$2459,$Z1168)),Parametros!$B$95:$B$106,0))</f>
        <v>Tienda fisica</v>
      </c>
      <c r="K1168" s="61" t="str">
        <f aca="false">INDEX(Parametros!$C$48:$C$67,MATCH(TRIM(INDEX(Datos_Origen!$F$2:$F$2459,$Z1168)),Parametros!$B$48:$B$67,0))</f>
        <v>Accesorios</v>
      </c>
      <c r="L1168" s="61" t="str">
        <f aca="false">$K1168&amp;" "&amp;$C1168</f>
        <v>Accesorios 2024</v>
      </c>
      <c r="M1168" s="61" t="str">
        <f aca="false">TRIM(INDEX(Datos_Origen!$G$2:$G$2459,$Z1168))</f>
        <v>Mouse Inalambrico</v>
      </c>
      <c r="N1168" s="61" t="str">
        <f aca="false">$M1168&amp;" "&amp;$C1168</f>
        <v>Mouse Inalambrico 2024</v>
      </c>
      <c r="O1168" s="63" t="n">
        <f aca="false">IF(ISTEXT($AC1168),VALUE($AC1168),$AC1168)</f>
        <v>49</v>
      </c>
      <c r="P1168" s="64" t="n">
        <f aca="false">INDEX(Datos_Origen!$I$2:$I$2459,$Z1168)</f>
        <v>27.44</v>
      </c>
      <c r="Q1168" s="64" t="n">
        <f aca="false">INDEX(Datos_Origen!$J$2:$J$2459,$Z1168)</f>
        <v>13.44</v>
      </c>
      <c r="R1168" s="65" t="n">
        <f aca="false">ROUND($O1168*$P1168,2)</f>
        <v>1344.56</v>
      </c>
      <c r="S1168" s="65" t="n">
        <f aca="false">ROUND($O1168*$Q1168,2)</f>
        <v>658.56</v>
      </c>
      <c r="T1168" s="65" t="n">
        <f aca="false">ROUND($R1168*SUMIFS(Parametros!$E$28:$E$43,Parametros!$B$28:$B$43,$J1168,Parametros!$C$28:$C$43,$C1168,Parametros!$D$28:$D$43,$D1168),2)</f>
        <v>17.48</v>
      </c>
      <c r="U1168" s="65" t="n">
        <f aca="false">$R1168-$S1168-$T1168</f>
        <v>668.52</v>
      </c>
      <c r="V1168" s="66" t="n">
        <f aca="false">IFERROR($U1168/$R1168,0)</f>
        <v>0.497203546141489</v>
      </c>
      <c r="W1168" s="67" t="str">
        <f aca="false">IF(AND($V1168&gt;=Parametros!$C$8,$R1168&gt;=Parametros!$C$12),"Alta rentabilidad",IF(OR($V1168&lt;Parametros!$C$11,$R1168&lt;Parametros!$C$13),"Revisar","Estandar"))</f>
        <v>Estandar</v>
      </c>
      <c r="X1168" s="67" t="str">
        <f aca="false">IF(AND($J1168="E-commerce",IFERROR($T1168/$R1168,0)&gt;Parametros!$C$14),"Alerta","OK")</f>
        <v>OK</v>
      </c>
      <c r="Y1168" s="61" t="str">
        <f aca="false">IF($R1168&gt;=Parametros!$C$12,"Alto",IF($R1168&lt;Parametros!$C$13,"Bajo","Medio"))</f>
        <v>Medio</v>
      </c>
      <c r="Z1168" s="61" t="n">
        <v>2278</v>
      </c>
      <c r="AA1168" s="61" t="str">
        <f aca="false">IF(MATCH($A1168,Datos_Origen!$A$2:$A$2459,0)=$Z1168,"OK","REVISAR")</f>
        <v>OK</v>
      </c>
      <c r="AB1168" s="62" t="n">
        <f aca="false">INDEX(Datos_Origen!$B$2:$B$2459,$Z1168)</f>
        <v>45642</v>
      </c>
      <c r="AC1168" s="61" t="str">
        <f aca="false">INDEX(Datos_Origen!$H$2:$H$2459,$Z1168)</f>
        <v>49</v>
      </c>
      <c r="AD1168" s="61" t="str">
        <f aca="false">INDEX(Datos_Origen!$D$2:$D$2459,$Z1168)&amp;""</f>
        <v>Mendoza</v>
      </c>
    </row>
    <row r="1169" customFormat="false" ht="15" hidden="false" customHeight="false" outlineLevel="0" collapsed="false">
      <c r="A1169" s="61" t="n">
        <f aca="false">INDEX(Datos_Origen!$A$2:$A$2459,$Z1169)</f>
        <v>1168</v>
      </c>
      <c r="B1169" s="62" t="n">
        <f aca="false">IF(ISNUMBER($AB1169),$AB1169,IF(MID($AB1169,5,1)="-",DATE(VALUE(LEFT($AB1169,4)),VALUE(MID($AB1169,6,2)),VALUE(RIGHT($AB1169,2))),DATE(VALUE(RIGHT($AB1169,4)),VALUE(MID($AB1169,4,2)),VALUE(LEFT($AB1169,2)))))</f>
        <v>45649</v>
      </c>
      <c r="C1169" s="61" t="n">
        <f aca="false">YEAR($B1169)</f>
        <v>2024</v>
      </c>
      <c r="D1169" s="61" t="str">
        <f aca="false">"Q"&amp;ROUNDUP(MONTH($B1169)/3,0)</f>
        <v>Q4</v>
      </c>
      <c r="E1169" s="61" t="n">
        <f aca="false">MONTH($B1169)</f>
        <v>12</v>
      </c>
      <c r="F1169" s="61" t="str">
        <f aca="false">INDEX(Parametros!$I$5:$I$16,$E1169)</f>
        <v>Dic</v>
      </c>
      <c r="G1169" s="61" t="str">
        <f aca="false">TEXT($C1169,"0000")&amp;"-"&amp;TEXT($E1169,"00")</f>
        <v>2024-12</v>
      </c>
      <c r="H1169" s="61" t="str">
        <f aca="false">INDEX(Parametros!$C$71:$C$91,MATCH(TRIM(INDEX(Datos_Origen!$C$2:$C$2459,$Z1169)),Parametros!$B$71:$B$91,0))</f>
        <v>Cuyo</v>
      </c>
      <c r="I1169" s="61" t="str">
        <f aca="false">IF(TRIM($AD1169)="",INDEX(Parametros!$I$20:$I$24,MATCH($H1169,Parametros!$H$20:$H$24,0)),TRIM($AD1169))</f>
        <v>Mendoza</v>
      </c>
      <c r="J1169" s="61" t="str">
        <f aca="false">INDEX(Parametros!$C$95:$C$106,MATCH(TRIM(INDEX(Datos_Origen!$E$2:$E$2459,$Z1169)),Parametros!$B$95:$B$106,0))</f>
        <v>E-commerce</v>
      </c>
      <c r="K1169" s="61" t="str">
        <f aca="false">INDEX(Parametros!$C$48:$C$67,MATCH(TRIM(INDEX(Datos_Origen!$F$2:$F$2459,$Z1169)),Parametros!$B$48:$B$67,0))</f>
        <v>Accesorios</v>
      </c>
      <c r="L1169" s="61" t="str">
        <f aca="false">$K1169&amp;" "&amp;$C1169</f>
        <v>Accesorios 2024</v>
      </c>
      <c r="M1169" s="61" t="str">
        <f aca="false">TRIM(INDEX(Datos_Origen!$G$2:$G$2459,$Z1169))</f>
        <v>Mouse Inalambrico</v>
      </c>
      <c r="N1169" s="61" t="str">
        <f aca="false">$M1169&amp;" "&amp;$C1169</f>
        <v>Mouse Inalambrico 2024</v>
      </c>
      <c r="O1169" s="63" t="n">
        <f aca="false">IF(ISTEXT($AC1169),VALUE($AC1169),$AC1169)</f>
        <v>17</v>
      </c>
      <c r="P1169" s="64" t="n">
        <f aca="false">INDEX(Datos_Origen!$I$2:$I$2459,$Z1169)</f>
        <v>27.44</v>
      </c>
      <c r="Q1169" s="64" t="n">
        <f aca="false">INDEX(Datos_Origen!$J$2:$J$2459,$Z1169)</f>
        <v>13.44</v>
      </c>
      <c r="R1169" s="65" t="n">
        <f aca="false">ROUND($O1169*$P1169,2)</f>
        <v>466.48</v>
      </c>
      <c r="S1169" s="65" t="n">
        <f aca="false">ROUND($O1169*$Q1169,2)</f>
        <v>228.48</v>
      </c>
      <c r="T1169" s="65" t="n">
        <f aca="false">ROUND($R1169*SUMIFS(Parametros!$E$28:$E$43,Parametros!$B$28:$B$43,$J1169,Parametros!$C$28:$C$43,$C1169,Parametros!$D$28:$D$43,$D1169),2)</f>
        <v>22.39</v>
      </c>
      <c r="U1169" s="65" t="n">
        <f aca="false">$R1169-$S1169-$T1169</f>
        <v>215.61</v>
      </c>
      <c r="V1169" s="66" t="n">
        <f aca="false">IFERROR($U1169/$R1169,0)</f>
        <v>0.462206311095867</v>
      </c>
      <c r="W1169" s="67" t="str">
        <f aca="false">IF(AND($V1169&gt;=Parametros!$C$8,$R1169&gt;=Parametros!$C$12),"Alta rentabilidad",IF(OR($V1169&lt;Parametros!$C$11,$R1169&lt;Parametros!$C$13),"Revisar","Estandar"))</f>
        <v>Estandar</v>
      </c>
      <c r="X1169" s="67" t="str">
        <f aca="false">IF(AND($J1169="E-commerce",IFERROR($T1169/$R1169,0)&gt;Parametros!$C$14),"Alerta","OK")</f>
        <v>OK</v>
      </c>
      <c r="Y1169" s="61" t="str">
        <f aca="false">IF($R1169&gt;=Parametros!$C$12,"Alto",IF($R1169&lt;Parametros!$C$13,"Bajo","Medio"))</f>
        <v>Medio</v>
      </c>
      <c r="Z1169" s="61" t="n">
        <v>298</v>
      </c>
      <c r="AA1169" s="61" t="str">
        <f aca="false">IF(MATCH($A1169,Datos_Origen!$A$2:$A$2459,0)=$Z1169,"OK","REVISAR")</f>
        <v>OK</v>
      </c>
      <c r="AB1169" s="62" t="n">
        <f aca="false">INDEX(Datos_Origen!$B$2:$B$2459,$Z1169)</f>
        <v>45649</v>
      </c>
      <c r="AC1169" s="61" t="n">
        <f aca="false">INDEX(Datos_Origen!$H$2:$H$2459,$Z1169)</f>
        <v>17</v>
      </c>
      <c r="AD1169" s="61" t="str">
        <f aca="false">INDEX(Datos_Origen!$D$2:$D$2459,$Z1169)&amp;""</f>
        <v>Mendoza</v>
      </c>
    </row>
    <row r="1170" customFormat="false" ht="15" hidden="false" customHeight="false" outlineLevel="0" collapsed="false">
      <c r="A1170" s="61" t="n">
        <f aca="false">INDEX(Datos_Origen!$A$2:$A$2459,$Z1170)</f>
        <v>1169</v>
      </c>
      <c r="B1170" s="62" t="n">
        <f aca="false">IF(ISNUMBER($AB1170),$AB1170,IF(MID($AB1170,5,1)="-",DATE(VALUE(LEFT($AB1170,4)),VALUE(MID($AB1170,6,2)),VALUE(RIGHT($AB1170,2))),DATE(VALUE(RIGHT($AB1170,4)),VALUE(MID($AB1170,4,2)),VALUE(LEFT($AB1170,2)))))</f>
        <v>45629</v>
      </c>
      <c r="C1170" s="61" t="n">
        <f aca="false">YEAR($B1170)</f>
        <v>2024</v>
      </c>
      <c r="D1170" s="61" t="str">
        <f aca="false">"Q"&amp;ROUNDUP(MONTH($B1170)/3,0)</f>
        <v>Q4</v>
      </c>
      <c r="E1170" s="61" t="n">
        <f aca="false">MONTH($B1170)</f>
        <v>12</v>
      </c>
      <c r="F1170" s="61" t="str">
        <f aca="false">INDEX(Parametros!$I$5:$I$16,$E1170)</f>
        <v>Dic</v>
      </c>
      <c r="G1170" s="61" t="str">
        <f aca="false">TEXT($C1170,"0000")&amp;"-"&amp;TEXT($E1170,"00")</f>
        <v>2024-12</v>
      </c>
      <c r="H1170" s="61" t="str">
        <f aca="false">INDEX(Parametros!$C$71:$C$91,MATCH(TRIM(INDEX(Datos_Origen!$C$2:$C$2459,$Z1170)),Parametros!$B$71:$B$91,0))</f>
        <v>Cuyo</v>
      </c>
      <c r="I1170" s="61" t="str">
        <f aca="false">IF(TRIM($AD1170)="",INDEX(Parametros!$I$20:$I$24,MATCH($H1170,Parametros!$H$20:$H$24,0)),TRIM($AD1170))</f>
        <v>Mendoza</v>
      </c>
      <c r="J1170" s="61" t="str">
        <f aca="false">INDEX(Parametros!$C$95:$C$106,MATCH(TRIM(INDEX(Datos_Origen!$E$2:$E$2459,$Z1170)),Parametros!$B$95:$B$106,0))</f>
        <v>Tienda fisica</v>
      </c>
      <c r="K1170" s="61" t="str">
        <f aca="false">INDEX(Parametros!$C$48:$C$67,MATCH(TRIM(INDEX(Datos_Origen!$F$2:$F$2459,$Z1170)),Parametros!$B$48:$B$67,0))</f>
        <v>Accesorios</v>
      </c>
      <c r="L1170" s="61" t="str">
        <f aca="false">$K1170&amp;" "&amp;$C1170</f>
        <v>Accesorios 2024</v>
      </c>
      <c r="M1170" s="61" t="str">
        <f aca="false">TRIM(INDEX(Datos_Origen!$G$2:$G$2459,$Z1170))</f>
        <v>Teclado Mecanico</v>
      </c>
      <c r="N1170" s="61" t="str">
        <f aca="false">$M1170&amp;" "&amp;$C1170</f>
        <v>Teclado Mecanico 2024</v>
      </c>
      <c r="O1170" s="63" t="n">
        <f aca="false">IF(ISTEXT($AC1170),VALUE($AC1170),$AC1170)</f>
        <v>52</v>
      </c>
      <c r="P1170" s="64" t="n">
        <f aca="false">INDEX(Datos_Origen!$I$2:$I$2459,$Z1170)</f>
        <v>93.1</v>
      </c>
      <c r="Q1170" s="64" t="n">
        <f aca="false">INDEX(Datos_Origen!$J$2:$J$2459,$Z1170)</f>
        <v>47.98</v>
      </c>
      <c r="R1170" s="65" t="n">
        <f aca="false">ROUND($O1170*$P1170,2)</f>
        <v>4841.2</v>
      </c>
      <c r="S1170" s="65" t="n">
        <f aca="false">ROUND($O1170*$Q1170,2)</f>
        <v>2494.96</v>
      </c>
      <c r="T1170" s="65" t="n">
        <f aca="false">ROUND($R1170*SUMIFS(Parametros!$E$28:$E$43,Parametros!$B$28:$B$43,$J1170,Parametros!$C$28:$C$43,$C1170,Parametros!$D$28:$D$43,$D1170),2)</f>
        <v>62.94</v>
      </c>
      <c r="U1170" s="65" t="n">
        <f aca="false">$R1170-$S1170-$T1170</f>
        <v>2283.3</v>
      </c>
      <c r="V1170" s="66" t="n">
        <f aca="false">IFERROR($U1170/$R1170,0)</f>
        <v>0.471639262992646</v>
      </c>
      <c r="W1170" s="67" t="str">
        <f aca="false">IF(AND($V1170&gt;=Parametros!$C$8,$R1170&gt;=Parametros!$C$12),"Alta rentabilidad",IF(OR($V1170&lt;Parametros!$C$11,$R1170&lt;Parametros!$C$13),"Revisar","Estandar"))</f>
        <v>Alta rentabilidad</v>
      </c>
      <c r="X1170" s="67" t="str">
        <f aca="false">IF(AND($J1170="E-commerce",IFERROR($T1170/$R1170,0)&gt;Parametros!$C$14),"Alerta","OK")</f>
        <v>OK</v>
      </c>
      <c r="Y1170" s="61" t="str">
        <f aca="false">IF($R1170&gt;=Parametros!$C$12,"Alto",IF($R1170&lt;Parametros!$C$13,"Bajo","Medio"))</f>
        <v>Alto</v>
      </c>
      <c r="Z1170" s="61" t="n">
        <v>1646</v>
      </c>
      <c r="AA1170" s="61" t="str">
        <f aca="false">IF(MATCH($A1170,Datos_Origen!$A$2:$A$2459,0)=$Z1170,"OK","REVISAR")</f>
        <v>OK</v>
      </c>
      <c r="AB1170" s="62" t="n">
        <f aca="false">INDEX(Datos_Origen!$B$2:$B$2459,$Z1170)</f>
        <v>45629</v>
      </c>
      <c r="AC1170" s="61" t="n">
        <f aca="false">INDEX(Datos_Origen!$H$2:$H$2459,$Z1170)</f>
        <v>52</v>
      </c>
      <c r="AD1170" s="61" t="str">
        <f aca="false">INDEX(Datos_Origen!$D$2:$D$2459,$Z1170)&amp;""</f>
        <v>Mendoza</v>
      </c>
    </row>
    <row r="1171" customFormat="false" ht="15" hidden="false" customHeight="false" outlineLevel="0" collapsed="false">
      <c r="A1171" s="61" t="n">
        <f aca="false">INDEX(Datos_Origen!$A$2:$A$2459,$Z1171)</f>
        <v>1170</v>
      </c>
      <c r="B1171" s="62" t="n">
        <f aca="false">IF(ISNUMBER($AB1171),$AB1171,IF(MID($AB1171,5,1)="-",DATE(VALUE(LEFT($AB1171,4)),VALUE(MID($AB1171,6,2)),VALUE(RIGHT($AB1171,2))),DATE(VALUE(RIGHT($AB1171,4)),VALUE(MID($AB1171,4,2)),VALUE(LEFT($AB1171,2)))))</f>
        <v>45636</v>
      </c>
      <c r="C1171" s="61" t="n">
        <f aca="false">YEAR($B1171)</f>
        <v>2024</v>
      </c>
      <c r="D1171" s="61" t="str">
        <f aca="false">"Q"&amp;ROUNDUP(MONTH($B1171)/3,0)</f>
        <v>Q4</v>
      </c>
      <c r="E1171" s="61" t="n">
        <f aca="false">MONTH($B1171)</f>
        <v>12</v>
      </c>
      <c r="F1171" s="61" t="str">
        <f aca="false">INDEX(Parametros!$I$5:$I$16,$E1171)</f>
        <v>Dic</v>
      </c>
      <c r="G1171" s="61" t="str">
        <f aca="false">TEXT($C1171,"0000")&amp;"-"&amp;TEXT($E1171,"00")</f>
        <v>2024-12</v>
      </c>
      <c r="H1171" s="61" t="str">
        <f aca="false">INDEX(Parametros!$C$71:$C$91,MATCH(TRIM(INDEX(Datos_Origen!$C$2:$C$2459,$Z1171)),Parametros!$B$71:$B$91,0))</f>
        <v>Cuyo</v>
      </c>
      <c r="I1171" s="61" t="str">
        <f aca="false">IF(TRIM($AD1171)="",INDEX(Parametros!$I$20:$I$24,MATCH($H1171,Parametros!$H$20:$H$24,0)),TRIM($AD1171))</f>
        <v>Mendoza</v>
      </c>
      <c r="J1171" s="61" t="str">
        <f aca="false">INDEX(Parametros!$C$95:$C$106,MATCH(TRIM(INDEX(Datos_Origen!$E$2:$E$2459,$Z1171)),Parametros!$B$95:$B$106,0))</f>
        <v>E-commerce</v>
      </c>
      <c r="K1171" s="61" t="str">
        <f aca="false">INDEX(Parametros!$C$48:$C$67,MATCH(TRIM(INDEX(Datos_Origen!$F$2:$F$2459,$Z1171)),Parametros!$B$48:$B$67,0))</f>
        <v>Accesorios</v>
      </c>
      <c r="L1171" s="61" t="str">
        <f aca="false">$K1171&amp;" "&amp;$C1171</f>
        <v>Accesorios 2024</v>
      </c>
      <c r="M1171" s="61" t="str">
        <f aca="false">TRIM(INDEX(Datos_Origen!$G$2:$G$2459,$Z1171))</f>
        <v>Teclado Mecanico</v>
      </c>
      <c r="N1171" s="61" t="str">
        <f aca="false">$M1171&amp;" "&amp;$C1171</f>
        <v>Teclado Mecanico 2024</v>
      </c>
      <c r="O1171" s="63" t="n">
        <f aca="false">IF(ISTEXT($AC1171),VALUE($AC1171),$AC1171)</f>
        <v>19</v>
      </c>
      <c r="P1171" s="64" t="n">
        <f aca="false">INDEX(Datos_Origen!$I$2:$I$2459,$Z1171)</f>
        <v>93.1</v>
      </c>
      <c r="Q1171" s="64" t="n">
        <f aca="false">INDEX(Datos_Origen!$J$2:$J$2459,$Z1171)</f>
        <v>47.98</v>
      </c>
      <c r="R1171" s="65" t="n">
        <f aca="false">ROUND($O1171*$P1171,2)</f>
        <v>1768.9</v>
      </c>
      <c r="S1171" s="65" t="n">
        <f aca="false">ROUND($O1171*$Q1171,2)</f>
        <v>911.62</v>
      </c>
      <c r="T1171" s="65" t="n">
        <f aca="false">ROUND($R1171*SUMIFS(Parametros!$E$28:$E$43,Parametros!$B$28:$B$43,$J1171,Parametros!$C$28:$C$43,$C1171,Parametros!$D$28:$D$43,$D1171),2)</f>
        <v>84.91</v>
      </c>
      <c r="U1171" s="65" t="n">
        <f aca="false">$R1171-$S1171-$T1171</f>
        <v>772.37</v>
      </c>
      <c r="V1171" s="66" t="n">
        <f aca="false">IFERROR($U1171/$R1171,0)</f>
        <v>0.436638588953587</v>
      </c>
      <c r="W1171" s="67" t="str">
        <f aca="false">IF(AND($V1171&gt;=Parametros!$C$8,$R1171&gt;=Parametros!$C$12),"Alta rentabilidad",IF(OR($V1171&lt;Parametros!$C$11,$R1171&lt;Parametros!$C$13),"Revisar","Estandar"))</f>
        <v>Estandar</v>
      </c>
      <c r="X1171" s="67" t="str">
        <f aca="false">IF(AND($J1171="E-commerce",IFERROR($T1171/$R1171,0)&gt;Parametros!$C$14),"Alerta","OK")</f>
        <v>OK</v>
      </c>
      <c r="Y1171" s="61" t="str">
        <f aca="false">IF($R1171&gt;=Parametros!$C$12,"Alto",IF($R1171&lt;Parametros!$C$13,"Bajo","Medio"))</f>
        <v>Medio</v>
      </c>
      <c r="Z1171" s="61" t="n">
        <v>827</v>
      </c>
      <c r="AA1171" s="61" t="str">
        <f aca="false">IF(MATCH($A1171,Datos_Origen!$A$2:$A$2459,0)=$Z1171,"OK","REVISAR")</f>
        <v>OK</v>
      </c>
      <c r="AB1171" s="62" t="n">
        <f aca="false">INDEX(Datos_Origen!$B$2:$B$2459,$Z1171)</f>
        <v>45636</v>
      </c>
      <c r="AC1171" s="61" t="n">
        <f aca="false">INDEX(Datos_Origen!$H$2:$H$2459,$Z1171)</f>
        <v>19</v>
      </c>
      <c r="AD1171" s="61" t="str">
        <f aca="false">INDEX(Datos_Origen!$D$2:$D$2459,$Z1171)&amp;""</f>
        <v/>
      </c>
    </row>
    <row r="1172" customFormat="false" ht="15" hidden="false" customHeight="false" outlineLevel="0" collapsed="false">
      <c r="A1172" s="61" t="n">
        <f aca="false">INDEX(Datos_Origen!$A$2:$A$2459,$Z1172)</f>
        <v>1171</v>
      </c>
      <c r="B1172" s="62" t="n">
        <f aca="false">IF(ISNUMBER($AB1172),$AB1172,IF(MID($AB1172,5,1)="-",DATE(VALUE(LEFT($AB1172,4)),VALUE(MID($AB1172,6,2)),VALUE(RIGHT($AB1172,2))),DATE(VALUE(RIGHT($AB1172,4)),VALUE(MID($AB1172,4,2)),VALUE(LEFT($AB1172,2)))))</f>
        <v>45643</v>
      </c>
      <c r="C1172" s="61" t="n">
        <f aca="false">YEAR($B1172)</f>
        <v>2024</v>
      </c>
      <c r="D1172" s="61" t="str">
        <f aca="false">"Q"&amp;ROUNDUP(MONTH($B1172)/3,0)</f>
        <v>Q4</v>
      </c>
      <c r="E1172" s="61" t="n">
        <f aca="false">MONTH($B1172)</f>
        <v>12</v>
      </c>
      <c r="F1172" s="61" t="str">
        <f aca="false">INDEX(Parametros!$I$5:$I$16,$E1172)</f>
        <v>Dic</v>
      </c>
      <c r="G1172" s="61" t="str">
        <f aca="false">TEXT($C1172,"0000")&amp;"-"&amp;TEXT($E1172,"00")</f>
        <v>2024-12</v>
      </c>
      <c r="H1172" s="61" t="str">
        <f aca="false">INDEX(Parametros!$C$71:$C$91,MATCH(TRIM(INDEX(Datos_Origen!$C$2:$C$2459,$Z1172)),Parametros!$B$71:$B$91,0))</f>
        <v>Cuyo</v>
      </c>
      <c r="I1172" s="61" t="str">
        <f aca="false">IF(TRIM($AD1172)="",INDEX(Parametros!$I$20:$I$24,MATCH($H1172,Parametros!$H$20:$H$24,0)),TRIM($AD1172))</f>
        <v>Mendoza</v>
      </c>
      <c r="J1172" s="61" t="str">
        <f aca="false">INDEX(Parametros!$C$95:$C$106,MATCH(TRIM(INDEX(Datos_Origen!$E$2:$E$2459,$Z1172)),Parametros!$B$95:$B$106,0))</f>
        <v>Tienda fisica</v>
      </c>
      <c r="K1172" s="61" t="str">
        <f aca="false">INDEX(Parametros!$C$48:$C$67,MATCH(TRIM(INDEX(Datos_Origen!$F$2:$F$2459,$Z1172)),Parametros!$B$48:$B$67,0))</f>
        <v>Accesorios</v>
      </c>
      <c r="L1172" s="61" t="str">
        <f aca="false">$K1172&amp;" "&amp;$C1172</f>
        <v>Accesorios 2024</v>
      </c>
      <c r="M1172" s="61" t="str">
        <f aca="false">TRIM(INDEX(Datos_Origen!$G$2:$G$2459,$Z1172))</f>
        <v>Webcam Full HD</v>
      </c>
      <c r="N1172" s="61" t="str">
        <f aca="false">$M1172&amp;" "&amp;$C1172</f>
        <v>Webcam Full HD 2024</v>
      </c>
      <c r="O1172" s="63" t="n">
        <f aca="false">IF(ISTEXT($AC1172),VALUE($AC1172),$AC1172)</f>
        <v>40</v>
      </c>
      <c r="P1172" s="64" t="n">
        <f aca="false">INDEX(Datos_Origen!$I$2:$I$2459,$Z1172)</f>
        <v>63.7</v>
      </c>
      <c r="Q1172" s="64" t="n">
        <f aca="false">INDEX(Datos_Origen!$J$2:$J$2459,$Z1172)</f>
        <v>35.43</v>
      </c>
      <c r="R1172" s="65" t="n">
        <f aca="false">ROUND($O1172*$P1172,2)</f>
        <v>2548</v>
      </c>
      <c r="S1172" s="65" t="n">
        <f aca="false">ROUND($O1172*$Q1172,2)</f>
        <v>1417.2</v>
      </c>
      <c r="T1172" s="65" t="n">
        <f aca="false">ROUND($R1172*SUMIFS(Parametros!$E$28:$E$43,Parametros!$B$28:$B$43,$J1172,Parametros!$C$28:$C$43,$C1172,Parametros!$D$28:$D$43,$D1172),2)</f>
        <v>33.12</v>
      </c>
      <c r="U1172" s="65" t="n">
        <f aca="false">$R1172-$S1172-$T1172</f>
        <v>1097.68</v>
      </c>
      <c r="V1172" s="66" t="n">
        <f aca="false">IFERROR($U1172/$R1172,0)</f>
        <v>0.430800627943485</v>
      </c>
      <c r="W1172" s="67" t="str">
        <f aca="false">IF(AND($V1172&gt;=Parametros!$C$8,$R1172&gt;=Parametros!$C$12),"Alta rentabilidad",IF(OR($V1172&lt;Parametros!$C$11,$R1172&lt;Parametros!$C$13),"Revisar","Estandar"))</f>
        <v>Estandar</v>
      </c>
      <c r="X1172" s="67" t="str">
        <f aca="false">IF(AND($J1172="E-commerce",IFERROR($T1172/$R1172,0)&gt;Parametros!$C$14),"Alerta","OK")</f>
        <v>OK</v>
      </c>
      <c r="Y1172" s="61" t="str">
        <f aca="false">IF($R1172&gt;=Parametros!$C$12,"Alto",IF($R1172&lt;Parametros!$C$13,"Bajo","Medio"))</f>
        <v>Medio</v>
      </c>
      <c r="Z1172" s="61" t="n">
        <v>2401</v>
      </c>
      <c r="AA1172" s="61" t="str">
        <f aca="false">IF(MATCH($A1172,Datos_Origen!$A$2:$A$2459,0)=$Z1172,"OK","REVISAR")</f>
        <v>OK</v>
      </c>
      <c r="AB1172" s="62" t="n">
        <f aca="false">INDEX(Datos_Origen!$B$2:$B$2459,$Z1172)</f>
        <v>45643</v>
      </c>
      <c r="AC1172" s="61" t="n">
        <f aca="false">INDEX(Datos_Origen!$H$2:$H$2459,$Z1172)</f>
        <v>40</v>
      </c>
      <c r="AD1172" s="61" t="str">
        <f aca="false">INDEX(Datos_Origen!$D$2:$D$2459,$Z1172)&amp;""</f>
        <v>Mendoza</v>
      </c>
    </row>
    <row r="1173" customFormat="false" ht="15" hidden="false" customHeight="false" outlineLevel="0" collapsed="false">
      <c r="A1173" s="61" t="n">
        <f aca="false">INDEX(Datos_Origen!$A$2:$A$2459,$Z1173)</f>
        <v>1172</v>
      </c>
      <c r="B1173" s="62" t="n">
        <f aca="false">IF(ISNUMBER($AB1173),$AB1173,IF(MID($AB1173,5,1)="-",DATE(VALUE(LEFT($AB1173,4)),VALUE(MID($AB1173,6,2)),VALUE(RIGHT($AB1173,2))),DATE(VALUE(RIGHT($AB1173,4)),VALUE(MID($AB1173,4,2)),VALUE(LEFT($AB1173,2)))))</f>
        <v>45650</v>
      </c>
      <c r="C1173" s="61" t="n">
        <f aca="false">YEAR($B1173)</f>
        <v>2024</v>
      </c>
      <c r="D1173" s="61" t="str">
        <f aca="false">"Q"&amp;ROUNDUP(MONTH($B1173)/3,0)</f>
        <v>Q4</v>
      </c>
      <c r="E1173" s="61" t="n">
        <f aca="false">MONTH($B1173)</f>
        <v>12</v>
      </c>
      <c r="F1173" s="61" t="str">
        <f aca="false">INDEX(Parametros!$I$5:$I$16,$E1173)</f>
        <v>Dic</v>
      </c>
      <c r="G1173" s="61" t="str">
        <f aca="false">TEXT($C1173,"0000")&amp;"-"&amp;TEXT($E1173,"00")</f>
        <v>2024-12</v>
      </c>
      <c r="H1173" s="61" t="str">
        <f aca="false">INDEX(Parametros!$C$71:$C$91,MATCH(TRIM(INDEX(Datos_Origen!$C$2:$C$2459,$Z1173)),Parametros!$B$71:$B$91,0))</f>
        <v>Cuyo</v>
      </c>
      <c r="I1173" s="61" t="str">
        <f aca="false">IF(TRIM($AD1173)="",INDEX(Parametros!$I$20:$I$24,MATCH($H1173,Parametros!$H$20:$H$24,0)),TRIM($AD1173))</f>
        <v>Mendoza</v>
      </c>
      <c r="J1173" s="61" t="str">
        <f aca="false">INDEX(Parametros!$C$95:$C$106,MATCH(TRIM(INDEX(Datos_Origen!$E$2:$E$2459,$Z1173)),Parametros!$B$95:$B$106,0))</f>
        <v>E-commerce</v>
      </c>
      <c r="K1173" s="61" t="str">
        <f aca="false">INDEX(Parametros!$C$48:$C$67,MATCH(TRIM(INDEX(Datos_Origen!$F$2:$F$2459,$Z1173)),Parametros!$B$48:$B$67,0))</f>
        <v>Accesorios</v>
      </c>
      <c r="L1173" s="61" t="str">
        <f aca="false">$K1173&amp;" "&amp;$C1173</f>
        <v>Accesorios 2024</v>
      </c>
      <c r="M1173" s="61" t="str">
        <f aca="false">TRIM(INDEX(Datos_Origen!$G$2:$G$2459,$Z1173))</f>
        <v>Webcam Full HD</v>
      </c>
      <c r="N1173" s="61" t="str">
        <f aca="false">$M1173&amp;" "&amp;$C1173</f>
        <v>Webcam Full HD 2024</v>
      </c>
      <c r="O1173" s="63" t="n">
        <f aca="false">IF(ISTEXT($AC1173),VALUE($AC1173),$AC1173)</f>
        <v>15</v>
      </c>
      <c r="P1173" s="64" t="n">
        <f aca="false">INDEX(Datos_Origen!$I$2:$I$2459,$Z1173)</f>
        <v>63.7</v>
      </c>
      <c r="Q1173" s="64" t="n">
        <f aca="false">INDEX(Datos_Origen!$J$2:$J$2459,$Z1173)</f>
        <v>35.43</v>
      </c>
      <c r="R1173" s="65" t="n">
        <f aca="false">ROUND($O1173*$P1173,2)</f>
        <v>955.5</v>
      </c>
      <c r="S1173" s="65" t="n">
        <f aca="false">ROUND($O1173*$Q1173,2)</f>
        <v>531.45</v>
      </c>
      <c r="T1173" s="65" t="n">
        <f aca="false">ROUND($R1173*SUMIFS(Parametros!$E$28:$E$43,Parametros!$B$28:$B$43,$J1173,Parametros!$C$28:$C$43,$C1173,Parametros!$D$28:$D$43,$D1173),2)</f>
        <v>45.86</v>
      </c>
      <c r="U1173" s="65" t="n">
        <f aca="false">$R1173-$S1173-$T1173</f>
        <v>378.19</v>
      </c>
      <c r="V1173" s="66" t="n">
        <f aca="false">IFERROR($U1173/$R1173,0)</f>
        <v>0.395803244374673</v>
      </c>
      <c r="W1173" s="67" t="str">
        <f aca="false">IF(AND($V1173&gt;=Parametros!$C$8,$R1173&gt;=Parametros!$C$12),"Alta rentabilidad",IF(OR($V1173&lt;Parametros!$C$11,$R1173&lt;Parametros!$C$13),"Revisar","Estandar"))</f>
        <v>Estandar</v>
      </c>
      <c r="X1173" s="67" t="str">
        <f aca="false">IF(AND($J1173="E-commerce",IFERROR($T1173/$R1173,0)&gt;Parametros!$C$14),"Alerta","OK")</f>
        <v>OK</v>
      </c>
      <c r="Y1173" s="61" t="str">
        <f aca="false">IF($R1173&gt;=Parametros!$C$12,"Alto",IF($R1173&lt;Parametros!$C$13,"Bajo","Medio"))</f>
        <v>Medio</v>
      </c>
      <c r="Z1173" s="61" t="n">
        <v>1295</v>
      </c>
      <c r="AA1173" s="61" t="str">
        <f aca="false">IF(MATCH($A1173,Datos_Origen!$A$2:$A$2459,0)=$Z1173,"OK","REVISAR")</f>
        <v>OK</v>
      </c>
      <c r="AB1173" s="62" t="n">
        <f aca="false">INDEX(Datos_Origen!$B$2:$B$2459,$Z1173)</f>
        <v>45650</v>
      </c>
      <c r="AC1173" s="61" t="n">
        <f aca="false">INDEX(Datos_Origen!$H$2:$H$2459,$Z1173)</f>
        <v>15</v>
      </c>
      <c r="AD1173" s="61" t="str">
        <f aca="false">INDEX(Datos_Origen!$D$2:$D$2459,$Z1173)&amp;""</f>
        <v/>
      </c>
    </row>
    <row r="1174" customFormat="false" ht="15" hidden="false" customHeight="false" outlineLevel="0" collapsed="false">
      <c r="A1174" s="61" t="n">
        <f aca="false">INDEX(Datos_Origen!$A$2:$A$2459,$Z1174)</f>
        <v>1173</v>
      </c>
      <c r="B1174" s="62" t="n">
        <f aca="false">IF(ISNUMBER($AB1174),$AB1174,IF(MID($AB1174,5,1)="-",DATE(VALUE(LEFT($AB1174,4)),VALUE(MID($AB1174,6,2)),VALUE(RIGHT($AB1174,2))),DATE(VALUE(RIGHT($AB1174,4)),VALUE(MID($AB1174,4,2)),VALUE(LEFT($AB1174,2)))))</f>
        <v>45630</v>
      </c>
      <c r="C1174" s="61" t="n">
        <f aca="false">YEAR($B1174)</f>
        <v>2024</v>
      </c>
      <c r="D1174" s="61" t="str">
        <f aca="false">"Q"&amp;ROUNDUP(MONTH($B1174)/3,0)</f>
        <v>Q4</v>
      </c>
      <c r="E1174" s="61" t="n">
        <f aca="false">MONTH($B1174)</f>
        <v>12</v>
      </c>
      <c r="F1174" s="61" t="str">
        <f aca="false">INDEX(Parametros!$I$5:$I$16,$E1174)</f>
        <v>Dic</v>
      </c>
      <c r="G1174" s="61" t="str">
        <f aca="false">TEXT($C1174,"0000")&amp;"-"&amp;TEXT($E1174,"00")</f>
        <v>2024-12</v>
      </c>
      <c r="H1174" s="61" t="str">
        <f aca="false">INDEX(Parametros!$C$71:$C$91,MATCH(TRIM(INDEX(Datos_Origen!$C$2:$C$2459,$Z1174)),Parametros!$B$71:$B$91,0))</f>
        <v>Cuyo</v>
      </c>
      <c r="I1174" s="61" t="str">
        <f aca="false">IF(TRIM($AD1174)="",INDEX(Parametros!$I$20:$I$24,MATCH($H1174,Parametros!$H$20:$H$24,0)),TRIM($AD1174))</f>
        <v>Mendoza</v>
      </c>
      <c r="J1174" s="61" t="str">
        <f aca="false">INDEX(Parametros!$C$95:$C$106,MATCH(TRIM(INDEX(Datos_Origen!$E$2:$E$2459,$Z1174)),Parametros!$B$95:$B$106,0))</f>
        <v>Tienda fisica</v>
      </c>
      <c r="K1174" s="61" t="str">
        <f aca="false">INDEX(Parametros!$C$48:$C$67,MATCH(TRIM(INDEX(Datos_Origen!$F$2:$F$2459,$Z1174)),Parametros!$B$48:$B$67,0))</f>
        <v>Audio</v>
      </c>
      <c r="L1174" s="61" t="str">
        <f aca="false">$K1174&amp;" "&amp;$C1174</f>
        <v>Audio 2024</v>
      </c>
      <c r="M1174" s="61" t="str">
        <f aca="false">TRIM(INDEX(Datos_Origen!$G$2:$G$2459,$Z1174))</f>
        <v>Auriculares BT Pro</v>
      </c>
      <c r="N1174" s="61" t="str">
        <f aca="false">$M1174&amp;" "&amp;$C1174</f>
        <v>Auriculares BT Pro 2024</v>
      </c>
      <c r="O1174" s="63" t="n">
        <f aca="false">IF(ISTEXT($AC1174),VALUE($AC1174),$AC1174)</f>
        <v>18</v>
      </c>
      <c r="P1174" s="64" t="n">
        <f aca="false">INDEX(Datos_Origen!$I$2:$I$2459,$Z1174)</f>
        <v>117.6</v>
      </c>
      <c r="Q1174" s="64" t="n">
        <f aca="false">INDEX(Datos_Origen!$J$2:$J$2459,$Z1174)</f>
        <v>63.6</v>
      </c>
      <c r="R1174" s="65" t="n">
        <f aca="false">ROUND($O1174*$P1174,2)</f>
        <v>2116.8</v>
      </c>
      <c r="S1174" s="65" t="n">
        <f aca="false">ROUND($O1174*$Q1174,2)</f>
        <v>1144.8</v>
      </c>
      <c r="T1174" s="65" t="n">
        <f aca="false">ROUND($R1174*SUMIFS(Parametros!$E$28:$E$43,Parametros!$B$28:$B$43,$J1174,Parametros!$C$28:$C$43,$C1174,Parametros!$D$28:$D$43,$D1174),2)</f>
        <v>27.52</v>
      </c>
      <c r="U1174" s="65" t="n">
        <f aca="false">$R1174-$S1174-$T1174</f>
        <v>944.48</v>
      </c>
      <c r="V1174" s="66" t="n">
        <f aca="false">IFERROR($U1174/$R1174,0)</f>
        <v>0.446182917611489</v>
      </c>
      <c r="W1174" s="67" t="str">
        <f aca="false">IF(AND($V1174&gt;=Parametros!$C$8,$R1174&gt;=Parametros!$C$12),"Alta rentabilidad",IF(OR($V1174&lt;Parametros!$C$11,$R1174&lt;Parametros!$C$13),"Revisar","Estandar"))</f>
        <v>Estandar</v>
      </c>
      <c r="X1174" s="67" t="str">
        <f aca="false">IF(AND($J1174="E-commerce",IFERROR($T1174/$R1174,0)&gt;Parametros!$C$14),"Alerta","OK")</f>
        <v>OK</v>
      </c>
      <c r="Y1174" s="61" t="str">
        <f aca="false">IF($R1174&gt;=Parametros!$C$12,"Alto",IF($R1174&lt;Parametros!$C$13,"Bajo","Medio"))</f>
        <v>Medio</v>
      </c>
      <c r="Z1174" s="61" t="n">
        <v>74</v>
      </c>
      <c r="AA1174" s="61" t="str">
        <f aca="false">IF(MATCH($A1174,Datos_Origen!$A$2:$A$2459,0)=$Z1174,"OK","REVISAR")</f>
        <v>OK</v>
      </c>
      <c r="AB1174" s="61" t="str">
        <f aca="false">INDEX(Datos_Origen!$B$2:$B$2459,$Z1174)</f>
        <v>04/12/2024</v>
      </c>
      <c r="AC1174" s="61" t="n">
        <f aca="false">INDEX(Datos_Origen!$H$2:$H$2459,$Z1174)</f>
        <v>18</v>
      </c>
      <c r="AD1174" s="61" t="str">
        <f aca="false">INDEX(Datos_Origen!$D$2:$D$2459,$Z1174)&amp;""</f>
        <v>Mendoza</v>
      </c>
    </row>
    <row r="1175" customFormat="false" ht="15" hidden="false" customHeight="false" outlineLevel="0" collapsed="false">
      <c r="A1175" s="61" t="n">
        <f aca="false">INDEX(Datos_Origen!$A$2:$A$2459,$Z1175)</f>
        <v>1174</v>
      </c>
      <c r="B1175" s="62" t="n">
        <f aca="false">IF(ISNUMBER($AB1175),$AB1175,IF(MID($AB1175,5,1)="-",DATE(VALUE(LEFT($AB1175,4)),VALUE(MID($AB1175,6,2)),VALUE(RIGHT($AB1175,2))),DATE(VALUE(RIGHT($AB1175,4)),VALUE(MID($AB1175,4,2)),VALUE(LEFT($AB1175,2)))))</f>
        <v>45637</v>
      </c>
      <c r="C1175" s="61" t="n">
        <f aca="false">YEAR($B1175)</f>
        <v>2024</v>
      </c>
      <c r="D1175" s="61" t="str">
        <f aca="false">"Q"&amp;ROUNDUP(MONTH($B1175)/3,0)</f>
        <v>Q4</v>
      </c>
      <c r="E1175" s="61" t="n">
        <f aca="false">MONTH($B1175)</f>
        <v>12</v>
      </c>
      <c r="F1175" s="61" t="str">
        <f aca="false">INDEX(Parametros!$I$5:$I$16,$E1175)</f>
        <v>Dic</v>
      </c>
      <c r="G1175" s="61" t="str">
        <f aca="false">TEXT($C1175,"0000")&amp;"-"&amp;TEXT($E1175,"00")</f>
        <v>2024-12</v>
      </c>
      <c r="H1175" s="61" t="str">
        <f aca="false">INDEX(Parametros!$C$71:$C$91,MATCH(TRIM(INDEX(Datos_Origen!$C$2:$C$2459,$Z1175)),Parametros!$B$71:$B$91,0))</f>
        <v>Cuyo</v>
      </c>
      <c r="I1175" s="61" t="str">
        <f aca="false">IF(TRIM($AD1175)="",INDEX(Parametros!$I$20:$I$24,MATCH($H1175,Parametros!$H$20:$H$24,0)),TRIM($AD1175))</f>
        <v>Mendoza</v>
      </c>
      <c r="J1175" s="61" t="str">
        <f aca="false">INDEX(Parametros!$C$95:$C$106,MATCH(TRIM(INDEX(Datos_Origen!$E$2:$E$2459,$Z1175)),Parametros!$B$95:$B$106,0))</f>
        <v>E-commerce</v>
      </c>
      <c r="K1175" s="61" t="str">
        <f aca="false">INDEX(Parametros!$C$48:$C$67,MATCH(TRIM(INDEX(Datos_Origen!$F$2:$F$2459,$Z1175)),Parametros!$B$48:$B$67,0))</f>
        <v>Audio</v>
      </c>
      <c r="L1175" s="61" t="str">
        <f aca="false">$K1175&amp;" "&amp;$C1175</f>
        <v>Audio 2024</v>
      </c>
      <c r="M1175" s="61" t="str">
        <f aca="false">TRIM(INDEX(Datos_Origen!$G$2:$G$2459,$Z1175))</f>
        <v>Auriculares BT Pro</v>
      </c>
      <c r="N1175" s="61" t="str">
        <f aca="false">$M1175&amp;" "&amp;$C1175</f>
        <v>Auriculares BT Pro 2024</v>
      </c>
      <c r="O1175" s="63" t="n">
        <f aca="false">IF(ISTEXT($AC1175),VALUE($AC1175),$AC1175)</f>
        <v>8</v>
      </c>
      <c r="P1175" s="64" t="n">
        <f aca="false">INDEX(Datos_Origen!$I$2:$I$2459,$Z1175)</f>
        <v>117.6</v>
      </c>
      <c r="Q1175" s="64" t="n">
        <f aca="false">INDEX(Datos_Origen!$J$2:$J$2459,$Z1175)</f>
        <v>63.6</v>
      </c>
      <c r="R1175" s="65" t="n">
        <f aca="false">ROUND($O1175*$P1175,2)</f>
        <v>940.8</v>
      </c>
      <c r="S1175" s="65" t="n">
        <f aca="false">ROUND($O1175*$Q1175,2)</f>
        <v>508.8</v>
      </c>
      <c r="T1175" s="65" t="n">
        <f aca="false">ROUND($R1175*SUMIFS(Parametros!$E$28:$E$43,Parametros!$B$28:$B$43,$J1175,Parametros!$C$28:$C$43,$C1175,Parametros!$D$28:$D$43,$D1175),2)</f>
        <v>45.16</v>
      </c>
      <c r="U1175" s="65" t="n">
        <f aca="false">$R1175-$S1175-$T1175</f>
        <v>386.84</v>
      </c>
      <c r="V1175" s="66" t="n">
        <f aca="false">IFERROR($U1175/$R1175,0)</f>
        <v>0.411181972789116</v>
      </c>
      <c r="W1175" s="67" t="str">
        <f aca="false">IF(AND($V1175&gt;=Parametros!$C$8,$R1175&gt;=Parametros!$C$12),"Alta rentabilidad",IF(OR($V1175&lt;Parametros!$C$11,$R1175&lt;Parametros!$C$13),"Revisar","Estandar"))</f>
        <v>Estandar</v>
      </c>
      <c r="X1175" s="67" t="str">
        <f aca="false">IF(AND($J1175="E-commerce",IFERROR($T1175/$R1175,0)&gt;Parametros!$C$14),"Alerta","OK")</f>
        <v>OK</v>
      </c>
      <c r="Y1175" s="61" t="str">
        <f aca="false">IF($R1175&gt;=Parametros!$C$12,"Alto",IF($R1175&lt;Parametros!$C$13,"Bajo","Medio"))</f>
        <v>Medio</v>
      </c>
      <c r="Z1175" s="61" t="n">
        <v>2095</v>
      </c>
      <c r="AA1175" s="61" t="str">
        <f aca="false">IF(MATCH($A1175,Datos_Origen!$A$2:$A$2459,0)=$Z1175,"OK","REVISAR")</f>
        <v>OK</v>
      </c>
      <c r="AB1175" s="61" t="str">
        <f aca="false">INDEX(Datos_Origen!$B$2:$B$2459,$Z1175)</f>
        <v>11/12/2024</v>
      </c>
      <c r="AC1175" s="61" t="n">
        <f aca="false">INDEX(Datos_Origen!$H$2:$H$2459,$Z1175)</f>
        <v>8</v>
      </c>
      <c r="AD1175" s="61" t="str">
        <f aca="false">INDEX(Datos_Origen!$D$2:$D$2459,$Z1175)&amp;""</f>
        <v>Mendoza</v>
      </c>
    </row>
    <row r="1176" customFormat="false" ht="15" hidden="false" customHeight="false" outlineLevel="0" collapsed="false">
      <c r="A1176" s="61" t="n">
        <f aca="false">INDEX(Datos_Origen!$A$2:$A$2459,$Z1176)</f>
        <v>1175</v>
      </c>
      <c r="B1176" s="62" t="n">
        <f aca="false">IF(ISNUMBER($AB1176),$AB1176,IF(MID($AB1176,5,1)="-",DATE(VALUE(LEFT($AB1176,4)),VALUE(MID($AB1176,6,2)),VALUE(RIGHT($AB1176,2))),DATE(VALUE(RIGHT($AB1176,4)),VALUE(MID($AB1176,4,2)),VALUE(LEFT($AB1176,2)))))</f>
        <v>45644</v>
      </c>
      <c r="C1176" s="61" t="n">
        <f aca="false">YEAR($B1176)</f>
        <v>2024</v>
      </c>
      <c r="D1176" s="61" t="str">
        <f aca="false">"Q"&amp;ROUNDUP(MONTH($B1176)/3,0)</f>
        <v>Q4</v>
      </c>
      <c r="E1176" s="61" t="n">
        <f aca="false">MONTH($B1176)</f>
        <v>12</v>
      </c>
      <c r="F1176" s="61" t="str">
        <f aca="false">INDEX(Parametros!$I$5:$I$16,$E1176)</f>
        <v>Dic</v>
      </c>
      <c r="G1176" s="61" t="str">
        <f aca="false">TEXT($C1176,"0000")&amp;"-"&amp;TEXT($E1176,"00")</f>
        <v>2024-12</v>
      </c>
      <c r="H1176" s="61" t="str">
        <f aca="false">INDEX(Parametros!$C$71:$C$91,MATCH(TRIM(INDEX(Datos_Origen!$C$2:$C$2459,$Z1176)),Parametros!$B$71:$B$91,0))</f>
        <v>Cuyo</v>
      </c>
      <c r="I1176" s="61" t="str">
        <f aca="false">IF(TRIM($AD1176)="",INDEX(Parametros!$I$20:$I$24,MATCH($H1176,Parametros!$H$20:$H$24,0)),TRIM($AD1176))</f>
        <v>Mendoza</v>
      </c>
      <c r="J1176" s="61" t="str">
        <f aca="false">INDEX(Parametros!$C$95:$C$106,MATCH(TRIM(INDEX(Datos_Origen!$E$2:$E$2459,$Z1176)),Parametros!$B$95:$B$106,0))</f>
        <v>Tienda fisica</v>
      </c>
      <c r="K1176" s="61" t="str">
        <f aca="false">INDEX(Parametros!$C$48:$C$67,MATCH(TRIM(INDEX(Datos_Origen!$F$2:$F$2459,$Z1176)),Parametros!$B$48:$B$67,0))</f>
        <v>Audio</v>
      </c>
      <c r="L1176" s="61" t="str">
        <f aca="false">$K1176&amp;" "&amp;$C1176</f>
        <v>Audio 2024</v>
      </c>
      <c r="M1176" s="61" t="str">
        <f aca="false">TRIM(INDEX(Datos_Origen!$G$2:$G$2459,$Z1176))</f>
        <v>Parlante Bluetooth</v>
      </c>
      <c r="N1176" s="61" t="str">
        <f aca="false">$M1176&amp;" "&amp;$C1176</f>
        <v>Parlante Bluetooth 2024</v>
      </c>
      <c r="O1176" s="63" t="n">
        <f aca="false">IF(ISTEXT($AC1176),VALUE($AC1176),$AC1176)</f>
        <v>21</v>
      </c>
      <c r="P1176" s="64" t="n">
        <f aca="false">INDEX(Datos_Origen!$I$2:$I$2459,$Z1176)</f>
        <v>83.3</v>
      </c>
      <c r="Q1176" s="64" t="n">
        <f aca="false">INDEX(Datos_Origen!$J$2:$J$2459,$Z1176)</f>
        <v>48.03</v>
      </c>
      <c r="R1176" s="65" t="n">
        <f aca="false">ROUND($O1176*$P1176,2)</f>
        <v>1749.3</v>
      </c>
      <c r="S1176" s="65" t="n">
        <f aca="false">ROUND($O1176*$Q1176,2)</f>
        <v>1008.63</v>
      </c>
      <c r="T1176" s="65" t="n">
        <f aca="false">ROUND($R1176*SUMIFS(Parametros!$E$28:$E$43,Parametros!$B$28:$B$43,$J1176,Parametros!$C$28:$C$43,$C1176,Parametros!$D$28:$D$43,$D1176),2)</f>
        <v>22.74</v>
      </c>
      <c r="U1176" s="65" t="n">
        <f aca="false">$R1176-$S1176-$T1176</f>
        <v>717.93</v>
      </c>
      <c r="V1176" s="66" t="n">
        <f aca="false">IFERROR($U1176/$R1176,0)</f>
        <v>0.410409878237009</v>
      </c>
      <c r="W1176" s="67" t="str">
        <f aca="false">IF(AND($V1176&gt;=Parametros!$C$8,$R1176&gt;=Parametros!$C$12),"Alta rentabilidad",IF(OR($V1176&lt;Parametros!$C$11,$R1176&lt;Parametros!$C$13),"Revisar","Estandar"))</f>
        <v>Estandar</v>
      </c>
      <c r="X1176" s="67" t="str">
        <f aca="false">IF(AND($J1176="E-commerce",IFERROR($T1176/$R1176,0)&gt;Parametros!$C$14),"Alerta","OK")</f>
        <v>OK</v>
      </c>
      <c r="Y1176" s="61" t="str">
        <f aca="false">IF($R1176&gt;=Parametros!$C$12,"Alto",IF($R1176&lt;Parametros!$C$13,"Bajo","Medio"))</f>
        <v>Medio</v>
      </c>
      <c r="Z1176" s="61" t="n">
        <v>715</v>
      </c>
      <c r="AA1176" s="61" t="str">
        <f aca="false">IF(MATCH($A1176,Datos_Origen!$A$2:$A$2459,0)=$Z1176,"OK","REVISAR")</f>
        <v>OK</v>
      </c>
      <c r="AB1176" s="62" t="n">
        <f aca="false">INDEX(Datos_Origen!$B$2:$B$2459,$Z1176)</f>
        <v>45644</v>
      </c>
      <c r="AC1176" s="61" t="n">
        <f aca="false">INDEX(Datos_Origen!$H$2:$H$2459,$Z1176)</f>
        <v>21</v>
      </c>
      <c r="AD1176" s="61" t="str">
        <f aca="false">INDEX(Datos_Origen!$D$2:$D$2459,$Z1176)&amp;""</f>
        <v>Mendoza</v>
      </c>
    </row>
    <row r="1177" customFormat="false" ht="15" hidden="false" customHeight="false" outlineLevel="0" collapsed="false">
      <c r="A1177" s="61" t="n">
        <f aca="false">INDEX(Datos_Origen!$A$2:$A$2459,$Z1177)</f>
        <v>1176</v>
      </c>
      <c r="B1177" s="62" t="n">
        <f aca="false">IF(ISNUMBER($AB1177),$AB1177,IF(MID($AB1177,5,1)="-",DATE(VALUE(LEFT($AB1177,4)),VALUE(MID($AB1177,6,2)),VALUE(RIGHT($AB1177,2))),DATE(VALUE(RIGHT($AB1177,4)),VALUE(MID($AB1177,4,2)),VALUE(LEFT($AB1177,2)))))</f>
        <v>45651</v>
      </c>
      <c r="C1177" s="61" t="n">
        <f aca="false">YEAR($B1177)</f>
        <v>2024</v>
      </c>
      <c r="D1177" s="61" t="str">
        <f aca="false">"Q"&amp;ROUNDUP(MONTH($B1177)/3,0)</f>
        <v>Q4</v>
      </c>
      <c r="E1177" s="61" t="n">
        <f aca="false">MONTH($B1177)</f>
        <v>12</v>
      </c>
      <c r="F1177" s="61" t="str">
        <f aca="false">INDEX(Parametros!$I$5:$I$16,$E1177)</f>
        <v>Dic</v>
      </c>
      <c r="G1177" s="61" t="str">
        <f aca="false">TEXT($C1177,"0000")&amp;"-"&amp;TEXT($E1177,"00")</f>
        <v>2024-12</v>
      </c>
      <c r="H1177" s="61" t="str">
        <f aca="false">INDEX(Parametros!$C$71:$C$91,MATCH(TRIM(INDEX(Datos_Origen!$C$2:$C$2459,$Z1177)),Parametros!$B$71:$B$91,0))</f>
        <v>Cuyo</v>
      </c>
      <c r="I1177" s="61" t="str">
        <f aca="false">IF(TRIM($AD1177)="",INDEX(Parametros!$I$20:$I$24,MATCH($H1177,Parametros!$H$20:$H$24,0)),TRIM($AD1177))</f>
        <v>Mendoza</v>
      </c>
      <c r="J1177" s="61" t="str">
        <f aca="false">INDEX(Parametros!$C$95:$C$106,MATCH(TRIM(INDEX(Datos_Origen!$E$2:$E$2459,$Z1177)),Parametros!$B$95:$B$106,0))</f>
        <v>E-commerce</v>
      </c>
      <c r="K1177" s="61" t="str">
        <f aca="false">INDEX(Parametros!$C$48:$C$67,MATCH(TRIM(INDEX(Datos_Origen!$F$2:$F$2459,$Z1177)),Parametros!$B$48:$B$67,0))</f>
        <v>Audio</v>
      </c>
      <c r="L1177" s="61" t="str">
        <f aca="false">$K1177&amp;" "&amp;$C1177</f>
        <v>Audio 2024</v>
      </c>
      <c r="M1177" s="61" t="str">
        <f aca="false">TRIM(INDEX(Datos_Origen!$G$2:$G$2459,$Z1177))</f>
        <v>Parlante Bluetooth</v>
      </c>
      <c r="N1177" s="61" t="str">
        <f aca="false">$M1177&amp;" "&amp;$C1177</f>
        <v>Parlante Bluetooth 2024</v>
      </c>
      <c r="O1177" s="63" t="n">
        <f aca="false">IF(ISTEXT($AC1177),VALUE($AC1177),$AC1177)</f>
        <v>9</v>
      </c>
      <c r="P1177" s="64" t="n">
        <f aca="false">INDEX(Datos_Origen!$I$2:$I$2459,$Z1177)</f>
        <v>83.3</v>
      </c>
      <c r="Q1177" s="64" t="n">
        <f aca="false">INDEX(Datos_Origen!$J$2:$J$2459,$Z1177)</f>
        <v>48.03</v>
      </c>
      <c r="R1177" s="65" t="n">
        <f aca="false">ROUND($O1177*$P1177,2)</f>
        <v>749.7</v>
      </c>
      <c r="S1177" s="65" t="n">
        <f aca="false">ROUND($O1177*$Q1177,2)</f>
        <v>432.27</v>
      </c>
      <c r="T1177" s="65" t="n">
        <f aca="false">ROUND($R1177*SUMIFS(Parametros!$E$28:$E$43,Parametros!$B$28:$B$43,$J1177,Parametros!$C$28:$C$43,$C1177,Parametros!$D$28:$D$43,$D1177),2)</f>
        <v>35.99</v>
      </c>
      <c r="U1177" s="65" t="n">
        <f aca="false">$R1177-$S1177-$T1177</f>
        <v>281.44</v>
      </c>
      <c r="V1177" s="66" t="n">
        <f aca="false">IFERROR($U1177/$R1177,0)</f>
        <v>0.375403494731226</v>
      </c>
      <c r="W1177" s="67" t="str">
        <f aca="false">IF(AND($V1177&gt;=Parametros!$C$8,$R1177&gt;=Parametros!$C$12),"Alta rentabilidad",IF(OR($V1177&lt;Parametros!$C$11,$R1177&lt;Parametros!$C$13),"Revisar","Estandar"))</f>
        <v>Estandar</v>
      </c>
      <c r="X1177" s="67" t="str">
        <f aca="false">IF(AND($J1177="E-commerce",IFERROR($T1177/$R1177,0)&gt;Parametros!$C$14),"Alerta","OK")</f>
        <v>OK</v>
      </c>
      <c r="Y1177" s="61" t="str">
        <f aca="false">IF($R1177&gt;=Parametros!$C$12,"Alto",IF($R1177&lt;Parametros!$C$13,"Bajo","Medio"))</f>
        <v>Medio</v>
      </c>
      <c r="Z1177" s="61" t="n">
        <v>2128</v>
      </c>
      <c r="AA1177" s="61" t="str">
        <f aca="false">IF(MATCH($A1177,Datos_Origen!$A$2:$A$2459,0)=$Z1177,"OK","REVISAR")</f>
        <v>OK</v>
      </c>
      <c r="AB1177" s="61" t="str">
        <f aca="false">INDEX(Datos_Origen!$B$2:$B$2459,$Z1177)</f>
        <v>25/12/2024</v>
      </c>
      <c r="AC1177" s="61" t="n">
        <f aca="false">INDEX(Datos_Origen!$H$2:$H$2459,$Z1177)</f>
        <v>9</v>
      </c>
      <c r="AD1177" s="61" t="str">
        <f aca="false">INDEX(Datos_Origen!$D$2:$D$2459,$Z1177)&amp;""</f>
        <v>Mendoza</v>
      </c>
    </row>
    <row r="1178" customFormat="false" ht="15" hidden="false" customHeight="false" outlineLevel="0" collapsed="false">
      <c r="A1178" s="61" t="n">
        <f aca="false">INDEX(Datos_Origen!$A$2:$A$2459,$Z1178)</f>
        <v>1177</v>
      </c>
      <c r="B1178" s="62" t="n">
        <f aca="false">IF(ISNUMBER($AB1178),$AB1178,IF(MID($AB1178,5,1)="-",DATE(VALUE(LEFT($AB1178,4)),VALUE(MID($AB1178,6,2)),VALUE(RIGHT($AB1178,2))),DATE(VALUE(RIGHT($AB1178,4)),VALUE(MID($AB1178,4,2)),VALUE(LEFT($AB1178,2)))))</f>
        <v>45631</v>
      </c>
      <c r="C1178" s="61" t="n">
        <f aca="false">YEAR($B1178)</f>
        <v>2024</v>
      </c>
      <c r="D1178" s="61" t="str">
        <f aca="false">"Q"&amp;ROUNDUP(MONTH($B1178)/3,0)</f>
        <v>Q4</v>
      </c>
      <c r="E1178" s="61" t="n">
        <f aca="false">MONTH($B1178)</f>
        <v>12</v>
      </c>
      <c r="F1178" s="61" t="str">
        <f aca="false">INDEX(Parametros!$I$5:$I$16,$E1178)</f>
        <v>Dic</v>
      </c>
      <c r="G1178" s="61" t="str">
        <f aca="false">TEXT($C1178,"0000")&amp;"-"&amp;TEXT($E1178,"00")</f>
        <v>2024-12</v>
      </c>
      <c r="H1178" s="61" t="str">
        <f aca="false">INDEX(Parametros!$C$71:$C$91,MATCH(TRIM(INDEX(Datos_Origen!$C$2:$C$2459,$Z1178)),Parametros!$B$71:$B$91,0))</f>
        <v>Cuyo</v>
      </c>
      <c r="I1178" s="61" t="str">
        <f aca="false">IF(TRIM($AD1178)="",INDEX(Parametros!$I$20:$I$24,MATCH($H1178,Parametros!$H$20:$H$24,0)),TRIM($AD1178))</f>
        <v>Mendoza</v>
      </c>
      <c r="J1178" s="61" t="str">
        <f aca="false">INDEX(Parametros!$C$95:$C$106,MATCH(TRIM(INDEX(Datos_Origen!$E$2:$E$2459,$Z1178)),Parametros!$B$95:$B$106,0))</f>
        <v>Tienda fisica</v>
      </c>
      <c r="K1178" s="61" t="str">
        <f aca="false">INDEX(Parametros!$C$48:$C$67,MATCH(TRIM(INDEX(Datos_Origen!$F$2:$F$2459,$Z1178)),Parametros!$B$48:$B$67,0))</f>
        <v>Almacenamiento</v>
      </c>
      <c r="L1178" s="61" t="str">
        <f aca="false">$K1178&amp;" "&amp;$C1178</f>
        <v>Almacenamiento 2024</v>
      </c>
      <c r="M1178" s="61" t="str">
        <f aca="false">TRIM(INDEX(Datos_Origen!$G$2:$G$2459,$Z1178))</f>
        <v>SSD Externo 1TB</v>
      </c>
      <c r="N1178" s="61" t="str">
        <f aca="false">$M1178&amp;" "&amp;$C1178</f>
        <v>SSD Externo 1TB 2024</v>
      </c>
      <c r="O1178" s="63" t="n">
        <f aca="false">IF(ISTEXT($AC1178),VALUE($AC1178),$AC1178)</f>
        <v>30</v>
      </c>
      <c r="P1178" s="64" t="n">
        <f aca="false">INDEX(Datos_Origen!$I$2:$I$2459,$Z1178)</f>
        <v>127.4</v>
      </c>
      <c r="Q1178" s="64" t="n">
        <f aca="false">INDEX(Datos_Origen!$J$2:$J$2459,$Z1178)</f>
        <v>76.05</v>
      </c>
      <c r="R1178" s="65" t="n">
        <f aca="false">ROUND($O1178*$P1178,2)</f>
        <v>3822</v>
      </c>
      <c r="S1178" s="65" t="n">
        <f aca="false">ROUND($O1178*$Q1178,2)</f>
        <v>2281.5</v>
      </c>
      <c r="T1178" s="65" t="n">
        <f aca="false">ROUND($R1178*SUMIFS(Parametros!$E$28:$E$43,Parametros!$B$28:$B$43,$J1178,Parametros!$C$28:$C$43,$C1178,Parametros!$D$28:$D$43,$D1178),2)</f>
        <v>49.69</v>
      </c>
      <c r="U1178" s="65" t="n">
        <f aca="false">$R1178-$S1178-$T1178</f>
        <v>1490.81</v>
      </c>
      <c r="V1178" s="66" t="n">
        <f aca="false">IFERROR($U1178/$R1178,0)</f>
        <v>0.390060177917321</v>
      </c>
      <c r="W1178" s="67" t="str">
        <f aca="false">IF(AND($V1178&gt;=Parametros!$C$8,$R1178&gt;=Parametros!$C$12),"Alta rentabilidad",IF(OR($V1178&lt;Parametros!$C$11,$R1178&lt;Parametros!$C$13),"Revisar","Estandar"))</f>
        <v>Alta rentabilidad</v>
      </c>
      <c r="X1178" s="67" t="str">
        <f aca="false">IF(AND($J1178="E-commerce",IFERROR($T1178/$R1178,0)&gt;Parametros!$C$14),"Alerta","OK")</f>
        <v>OK</v>
      </c>
      <c r="Y1178" s="61" t="str">
        <f aca="false">IF($R1178&gt;=Parametros!$C$12,"Alto",IF($R1178&lt;Parametros!$C$13,"Bajo","Medio"))</f>
        <v>Alto</v>
      </c>
      <c r="Z1178" s="61" t="n">
        <v>2268</v>
      </c>
      <c r="AA1178" s="61" t="str">
        <f aca="false">IF(MATCH($A1178,Datos_Origen!$A$2:$A$2459,0)=$Z1178,"OK","REVISAR")</f>
        <v>OK</v>
      </c>
      <c r="AB1178" s="61" t="str">
        <f aca="false">INDEX(Datos_Origen!$B$2:$B$2459,$Z1178)</f>
        <v>05/12/2024</v>
      </c>
      <c r="AC1178" s="61" t="n">
        <f aca="false">INDEX(Datos_Origen!$H$2:$H$2459,$Z1178)</f>
        <v>30</v>
      </c>
      <c r="AD1178" s="61" t="str">
        <f aca="false">INDEX(Datos_Origen!$D$2:$D$2459,$Z1178)&amp;""</f>
        <v>Mendoza</v>
      </c>
    </row>
    <row r="1179" customFormat="false" ht="15" hidden="false" customHeight="false" outlineLevel="0" collapsed="false">
      <c r="A1179" s="61" t="n">
        <f aca="false">INDEX(Datos_Origen!$A$2:$A$2459,$Z1179)</f>
        <v>1178</v>
      </c>
      <c r="B1179" s="62" t="n">
        <f aca="false">IF(ISNUMBER($AB1179),$AB1179,IF(MID($AB1179,5,1)="-",DATE(VALUE(LEFT($AB1179,4)),VALUE(MID($AB1179,6,2)),VALUE(RIGHT($AB1179,2))),DATE(VALUE(RIGHT($AB1179,4)),VALUE(MID($AB1179,4,2)),VALUE(LEFT($AB1179,2)))))</f>
        <v>45638</v>
      </c>
      <c r="C1179" s="61" t="n">
        <f aca="false">YEAR($B1179)</f>
        <v>2024</v>
      </c>
      <c r="D1179" s="61" t="str">
        <f aca="false">"Q"&amp;ROUNDUP(MONTH($B1179)/3,0)</f>
        <v>Q4</v>
      </c>
      <c r="E1179" s="61" t="n">
        <f aca="false">MONTH($B1179)</f>
        <v>12</v>
      </c>
      <c r="F1179" s="61" t="str">
        <f aca="false">INDEX(Parametros!$I$5:$I$16,$E1179)</f>
        <v>Dic</v>
      </c>
      <c r="G1179" s="61" t="str">
        <f aca="false">TEXT($C1179,"0000")&amp;"-"&amp;TEXT($E1179,"00")</f>
        <v>2024-12</v>
      </c>
      <c r="H1179" s="61" t="str">
        <f aca="false">INDEX(Parametros!$C$71:$C$91,MATCH(TRIM(INDEX(Datos_Origen!$C$2:$C$2459,$Z1179)),Parametros!$B$71:$B$91,0))</f>
        <v>Cuyo</v>
      </c>
      <c r="I1179" s="61" t="str">
        <f aca="false">IF(TRIM($AD1179)="",INDEX(Parametros!$I$20:$I$24,MATCH($H1179,Parametros!$H$20:$H$24,0)),TRIM($AD1179))</f>
        <v>Mendoza</v>
      </c>
      <c r="J1179" s="61" t="str">
        <f aca="false">INDEX(Parametros!$C$95:$C$106,MATCH(TRIM(INDEX(Datos_Origen!$E$2:$E$2459,$Z1179)),Parametros!$B$95:$B$106,0))</f>
        <v>E-commerce</v>
      </c>
      <c r="K1179" s="61" t="str">
        <f aca="false">INDEX(Parametros!$C$48:$C$67,MATCH(TRIM(INDEX(Datos_Origen!$F$2:$F$2459,$Z1179)),Parametros!$B$48:$B$67,0))</f>
        <v>Almacenamiento</v>
      </c>
      <c r="L1179" s="61" t="str">
        <f aca="false">$K1179&amp;" "&amp;$C1179</f>
        <v>Almacenamiento 2024</v>
      </c>
      <c r="M1179" s="61" t="str">
        <f aca="false">TRIM(INDEX(Datos_Origen!$G$2:$G$2459,$Z1179))</f>
        <v>SSD Externo 1TB</v>
      </c>
      <c r="N1179" s="61" t="str">
        <f aca="false">$M1179&amp;" "&amp;$C1179</f>
        <v>SSD Externo 1TB 2024</v>
      </c>
      <c r="O1179" s="63" t="n">
        <f aca="false">IF(ISTEXT($AC1179),VALUE($AC1179),$AC1179)</f>
        <v>12</v>
      </c>
      <c r="P1179" s="64" t="n">
        <f aca="false">INDEX(Datos_Origen!$I$2:$I$2459,$Z1179)</f>
        <v>127.4</v>
      </c>
      <c r="Q1179" s="64" t="n">
        <f aca="false">INDEX(Datos_Origen!$J$2:$J$2459,$Z1179)</f>
        <v>76.05</v>
      </c>
      <c r="R1179" s="65" t="n">
        <f aca="false">ROUND($O1179*$P1179,2)</f>
        <v>1528.8</v>
      </c>
      <c r="S1179" s="65" t="n">
        <f aca="false">ROUND($O1179*$Q1179,2)</f>
        <v>912.6</v>
      </c>
      <c r="T1179" s="65" t="n">
        <f aca="false">ROUND($R1179*SUMIFS(Parametros!$E$28:$E$43,Parametros!$B$28:$B$43,$J1179,Parametros!$C$28:$C$43,$C1179,Parametros!$D$28:$D$43,$D1179),2)</f>
        <v>73.38</v>
      </c>
      <c r="U1179" s="65" t="n">
        <f aca="false">$R1179-$S1179-$T1179</f>
        <v>542.82</v>
      </c>
      <c r="V1179" s="66" t="n">
        <f aca="false">IFERROR($U1179/$R1179,0)</f>
        <v>0.355062794348509</v>
      </c>
      <c r="W1179" s="67" t="str">
        <f aca="false">IF(AND($V1179&gt;=Parametros!$C$8,$R1179&gt;=Parametros!$C$12),"Alta rentabilidad",IF(OR($V1179&lt;Parametros!$C$11,$R1179&lt;Parametros!$C$13),"Revisar","Estandar"))</f>
        <v>Estandar</v>
      </c>
      <c r="X1179" s="67" t="str">
        <f aca="false">IF(AND($J1179="E-commerce",IFERROR($T1179/$R1179,0)&gt;Parametros!$C$14),"Alerta","OK")</f>
        <v>OK</v>
      </c>
      <c r="Y1179" s="61" t="str">
        <f aca="false">IF($R1179&gt;=Parametros!$C$12,"Alto",IF($R1179&lt;Parametros!$C$13,"Bajo","Medio"))</f>
        <v>Medio</v>
      </c>
      <c r="Z1179" s="61" t="n">
        <v>1080</v>
      </c>
      <c r="AA1179" s="61" t="str">
        <f aca="false">IF(MATCH($A1179,Datos_Origen!$A$2:$A$2459,0)=$Z1179,"OK","REVISAR")</f>
        <v>OK</v>
      </c>
      <c r="AB1179" s="62" t="n">
        <f aca="false">INDEX(Datos_Origen!$B$2:$B$2459,$Z1179)</f>
        <v>45638</v>
      </c>
      <c r="AC1179" s="61" t="str">
        <f aca="false">INDEX(Datos_Origen!$H$2:$H$2459,$Z1179)</f>
        <v>12</v>
      </c>
      <c r="AD1179" s="61" t="str">
        <f aca="false">INDEX(Datos_Origen!$D$2:$D$2459,$Z1179)&amp;""</f>
        <v>Mendoza</v>
      </c>
    </row>
    <row r="1180" customFormat="false" ht="15" hidden="false" customHeight="false" outlineLevel="0" collapsed="false">
      <c r="A1180" s="61" t="n">
        <f aca="false">INDEX(Datos_Origen!$A$2:$A$2459,$Z1180)</f>
        <v>1179</v>
      </c>
      <c r="B1180" s="62" t="n">
        <f aca="false">IF(ISNUMBER($AB1180),$AB1180,IF(MID($AB1180,5,1)="-",DATE(VALUE(LEFT($AB1180,4)),VALUE(MID($AB1180,6,2)),VALUE(RIGHT($AB1180,2))),DATE(VALUE(RIGHT($AB1180,4)),VALUE(MID($AB1180,4,2)),VALUE(LEFT($AB1180,2)))))</f>
        <v>45645</v>
      </c>
      <c r="C1180" s="61" t="n">
        <f aca="false">YEAR($B1180)</f>
        <v>2024</v>
      </c>
      <c r="D1180" s="61" t="str">
        <f aca="false">"Q"&amp;ROUNDUP(MONTH($B1180)/3,0)</f>
        <v>Q4</v>
      </c>
      <c r="E1180" s="61" t="n">
        <f aca="false">MONTH($B1180)</f>
        <v>12</v>
      </c>
      <c r="F1180" s="61" t="str">
        <f aca="false">INDEX(Parametros!$I$5:$I$16,$E1180)</f>
        <v>Dic</v>
      </c>
      <c r="G1180" s="61" t="str">
        <f aca="false">TEXT($C1180,"0000")&amp;"-"&amp;TEXT($E1180,"00")</f>
        <v>2024-12</v>
      </c>
      <c r="H1180" s="61" t="str">
        <f aca="false">INDEX(Parametros!$C$71:$C$91,MATCH(TRIM(INDEX(Datos_Origen!$C$2:$C$2459,$Z1180)),Parametros!$B$71:$B$91,0))</f>
        <v>Cuyo</v>
      </c>
      <c r="I1180" s="61" t="str">
        <f aca="false">IF(TRIM($AD1180)="",INDEX(Parametros!$I$20:$I$24,MATCH($H1180,Parametros!$H$20:$H$24,0)),TRIM($AD1180))</f>
        <v>Mendoza</v>
      </c>
      <c r="J1180" s="61" t="str">
        <f aca="false">INDEX(Parametros!$C$95:$C$106,MATCH(TRIM(INDEX(Datos_Origen!$E$2:$E$2459,$Z1180)),Parametros!$B$95:$B$106,0))</f>
        <v>Tienda fisica</v>
      </c>
      <c r="K1180" s="61" t="str">
        <f aca="false">INDEX(Parametros!$C$48:$C$67,MATCH(TRIM(INDEX(Datos_Origen!$F$2:$F$2459,$Z1180)),Parametros!$B$48:$B$67,0))</f>
        <v>Almacenamiento</v>
      </c>
      <c r="L1180" s="61" t="str">
        <f aca="false">$K1180&amp;" "&amp;$C1180</f>
        <v>Almacenamiento 2024</v>
      </c>
      <c r="M1180" s="61" t="str">
        <f aca="false">TRIM(INDEX(Datos_Origen!$G$2:$G$2459,$Z1180))</f>
        <v>Pendrive 256GB</v>
      </c>
      <c r="N1180" s="61" t="str">
        <f aca="false">$M1180&amp;" "&amp;$C1180</f>
        <v>Pendrive 256GB 2024</v>
      </c>
      <c r="O1180" s="63" t="n">
        <f aca="false">IF(ISTEXT($AC1180),VALUE($AC1180),$AC1180)</f>
        <v>25</v>
      </c>
      <c r="P1180" s="64" t="n">
        <f aca="false">INDEX(Datos_Origen!$I$2:$I$2459,$Z1180)</f>
        <v>34.3</v>
      </c>
      <c r="Q1180" s="64" t="n">
        <f aca="false">INDEX(Datos_Origen!$J$2:$J$2459,$Z1180)</f>
        <v>17.85</v>
      </c>
      <c r="R1180" s="65" t="n">
        <f aca="false">ROUND($O1180*$P1180,2)</f>
        <v>857.5</v>
      </c>
      <c r="S1180" s="65" t="n">
        <f aca="false">ROUND($O1180*$Q1180,2)</f>
        <v>446.25</v>
      </c>
      <c r="T1180" s="65" t="n">
        <f aca="false">ROUND($R1180*SUMIFS(Parametros!$E$28:$E$43,Parametros!$B$28:$B$43,$J1180,Parametros!$C$28:$C$43,$C1180,Parametros!$D$28:$D$43,$D1180),2)</f>
        <v>11.15</v>
      </c>
      <c r="U1180" s="65" t="n">
        <f aca="false">$R1180-$S1180-$T1180</f>
        <v>400.1</v>
      </c>
      <c r="V1180" s="66" t="n">
        <f aca="false">IFERROR($U1180/$R1180,0)</f>
        <v>0.466588921282799</v>
      </c>
      <c r="W1180" s="67" t="str">
        <f aca="false">IF(AND($V1180&gt;=Parametros!$C$8,$R1180&gt;=Parametros!$C$12),"Alta rentabilidad",IF(OR($V1180&lt;Parametros!$C$11,$R1180&lt;Parametros!$C$13),"Revisar","Estandar"))</f>
        <v>Estandar</v>
      </c>
      <c r="X1180" s="67" t="str">
        <f aca="false">IF(AND($J1180="E-commerce",IFERROR($T1180/$R1180,0)&gt;Parametros!$C$14),"Alerta","OK")</f>
        <v>OK</v>
      </c>
      <c r="Y1180" s="61" t="str">
        <f aca="false">IF($R1180&gt;=Parametros!$C$12,"Alto",IF($R1180&lt;Parametros!$C$13,"Bajo","Medio"))</f>
        <v>Medio</v>
      </c>
      <c r="Z1180" s="61" t="n">
        <v>1237</v>
      </c>
      <c r="AA1180" s="61" t="str">
        <f aca="false">IF(MATCH($A1180,Datos_Origen!$A$2:$A$2459,0)=$Z1180,"OK","REVISAR")</f>
        <v>OK</v>
      </c>
      <c r="AB1180" s="62" t="n">
        <f aca="false">INDEX(Datos_Origen!$B$2:$B$2459,$Z1180)</f>
        <v>45645</v>
      </c>
      <c r="AC1180" s="61" t="n">
        <f aca="false">INDEX(Datos_Origen!$H$2:$H$2459,$Z1180)</f>
        <v>25</v>
      </c>
      <c r="AD1180" s="61" t="str">
        <f aca="false">INDEX(Datos_Origen!$D$2:$D$2459,$Z1180)&amp;""</f>
        <v>Mendoza</v>
      </c>
    </row>
    <row r="1181" customFormat="false" ht="15" hidden="false" customHeight="false" outlineLevel="0" collapsed="false">
      <c r="A1181" s="61" t="n">
        <f aca="false">INDEX(Datos_Origen!$A$2:$A$2459,$Z1181)</f>
        <v>1180</v>
      </c>
      <c r="B1181" s="62" t="n">
        <f aca="false">IF(ISNUMBER($AB1181),$AB1181,IF(MID($AB1181,5,1)="-",DATE(VALUE(LEFT($AB1181,4)),VALUE(MID($AB1181,6,2)),VALUE(RIGHT($AB1181,2))),DATE(VALUE(RIGHT($AB1181,4)),VALUE(MID($AB1181,4,2)),VALUE(LEFT($AB1181,2)))))</f>
        <v>45652</v>
      </c>
      <c r="C1181" s="61" t="n">
        <f aca="false">YEAR($B1181)</f>
        <v>2024</v>
      </c>
      <c r="D1181" s="61" t="str">
        <f aca="false">"Q"&amp;ROUNDUP(MONTH($B1181)/3,0)</f>
        <v>Q4</v>
      </c>
      <c r="E1181" s="61" t="n">
        <f aca="false">MONTH($B1181)</f>
        <v>12</v>
      </c>
      <c r="F1181" s="61" t="str">
        <f aca="false">INDEX(Parametros!$I$5:$I$16,$E1181)</f>
        <v>Dic</v>
      </c>
      <c r="G1181" s="61" t="str">
        <f aca="false">TEXT($C1181,"0000")&amp;"-"&amp;TEXT($E1181,"00")</f>
        <v>2024-12</v>
      </c>
      <c r="H1181" s="61" t="str">
        <f aca="false">INDEX(Parametros!$C$71:$C$91,MATCH(TRIM(INDEX(Datos_Origen!$C$2:$C$2459,$Z1181)),Parametros!$B$71:$B$91,0))</f>
        <v>Cuyo</v>
      </c>
      <c r="I1181" s="61" t="str">
        <f aca="false">IF(TRIM($AD1181)="",INDEX(Parametros!$I$20:$I$24,MATCH($H1181,Parametros!$H$20:$H$24,0)),TRIM($AD1181))</f>
        <v>Mendoza</v>
      </c>
      <c r="J1181" s="61" t="str">
        <f aca="false">INDEX(Parametros!$C$95:$C$106,MATCH(TRIM(INDEX(Datos_Origen!$E$2:$E$2459,$Z1181)),Parametros!$B$95:$B$106,0))</f>
        <v>E-commerce</v>
      </c>
      <c r="K1181" s="61" t="str">
        <f aca="false">INDEX(Parametros!$C$48:$C$67,MATCH(TRIM(INDEX(Datos_Origen!$F$2:$F$2459,$Z1181)),Parametros!$B$48:$B$67,0))</f>
        <v>Almacenamiento</v>
      </c>
      <c r="L1181" s="61" t="str">
        <f aca="false">$K1181&amp;" "&amp;$C1181</f>
        <v>Almacenamiento 2024</v>
      </c>
      <c r="M1181" s="61" t="str">
        <f aca="false">TRIM(INDEX(Datos_Origen!$G$2:$G$2459,$Z1181))</f>
        <v>Pendrive 256GB</v>
      </c>
      <c r="N1181" s="61" t="str">
        <f aca="false">$M1181&amp;" "&amp;$C1181</f>
        <v>Pendrive 256GB 2024</v>
      </c>
      <c r="O1181" s="63" t="n">
        <f aca="false">IF(ISTEXT($AC1181),VALUE($AC1181),$AC1181)</f>
        <v>9</v>
      </c>
      <c r="P1181" s="64" t="n">
        <f aca="false">INDEX(Datos_Origen!$I$2:$I$2459,$Z1181)</f>
        <v>34.3</v>
      </c>
      <c r="Q1181" s="64" t="n">
        <f aca="false">INDEX(Datos_Origen!$J$2:$J$2459,$Z1181)</f>
        <v>17.85</v>
      </c>
      <c r="R1181" s="65" t="n">
        <f aca="false">ROUND($O1181*$P1181,2)</f>
        <v>308.7</v>
      </c>
      <c r="S1181" s="65" t="n">
        <f aca="false">ROUND($O1181*$Q1181,2)</f>
        <v>160.65</v>
      </c>
      <c r="T1181" s="65" t="n">
        <f aca="false">ROUND($R1181*SUMIFS(Parametros!$E$28:$E$43,Parametros!$B$28:$B$43,$J1181,Parametros!$C$28:$C$43,$C1181,Parametros!$D$28:$D$43,$D1181),2)</f>
        <v>14.82</v>
      </c>
      <c r="U1181" s="65" t="n">
        <f aca="false">$R1181-$S1181-$T1181</f>
        <v>133.23</v>
      </c>
      <c r="V1181" s="66" t="n">
        <f aca="false">IFERROR($U1181/$R1181,0)</f>
        <v>0.431584062196307</v>
      </c>
      <c r="W1181" s="67" t="str">
        <f aca="false">IF(AND($V1181&gt;=Parametros!$C$8,$R1181&gt;=Parametros!$C$12),"Alta rentabilidad",IF(OR($V1181&lt;Parametros!$C$11,$R1181&lt;Parametros!$C$13),"Revisar","Estandar"))</f>
        <v>Estandar</v>
      </c>
      <c r="X1181" s="67" t="str">
        <f aca="false">IF(AND($J1181="E-commerce",IFERROR($T1181/$R1181,0)&gt;Parametros!$C$14),"Alerta","OK")</f>
        <v>OK</v>
      </c>
      <c r="Y1181" s="61" t="str">
        <f aca="false">IF($R1181&gt;=Parametros!$C$12,"Alto",IF($R1181&lt;Parametros!$C$13,"Bajo","Medio"))</f>
        <v>Medio</v>
      </c>
      <c r="Z1181" s="61" t="n">
        <v>1759</v>
      </c>
      <c r="AA1181" s="61" t="str">
        <f aca="false">IF(MATCH($A1181,Datos_Origen!$A$2:$A$2459,0)=$Z1181,"OK","REVISAR")</f>
        <v>OK</v>
      </c>
      <c r="AB1181" s="61" t="str">
        <f aca="false">INDEX(Datos_Origen!$B$2:$B$2459,$Z1181)</f>
        <v>2024-12-26</v>
      </c>
      <c r="AC1181" s="61" t="n">
        <f aca="false">INDEX(Datos_Origen!$H$2:$H$2459,$Z1181)</f>
        <v>9</v>
      </c>
      <c r="AD1181" s="61" t="str">
        <f aca="false">INDEX(Datos_Origen!$D$2:$D$2459,$Z1181)&amp;""</f>
        <v>Mendoza</v>
      </c>
    </row>
    <row r="1182" customFormat="false" ht="15" hidden="false" customHeight="false" outlineLevel="0" collapsed="false">
      <c r="A1182" s="61" t="n">
        <f aca="false">INDEX(Datos_Origen!$A$2:$A$2459,$Z1182)</f>
        <v>1181</v>
      </c>
      <c r="B1182" s="62" t="n">
        <f aca="false">IF(ISNUMBER($AB1182),$AB1182,IF(MID($AB1182,5,1)="-",DATE(VALUE(LEFT($AB1182,4)),VALUE(MID($AB1182,6,2)),VALUE(RIGHT($AB1182,2))),DATE(VALUE(RIGHT($AB1182,4)),VALUE(MID($AB1182,4,2)),VALUE(LEFT($AB1182,2)))))</f>
        <v>45632</v>
      </c>
      <c r="C1182" s="61" t="n">
        <f aca="false">YEAR($B1182)</f>
        <v>2024</v>
      </c>
      <c r="D1182" s="61" t="str">
        <f aca="false">"Q"&amp;ROUNDUP(MONTH($B1182)/3,0)</f>
        <v>Q4</v>
      </c>
      <c r="E1182" s="61" t="n">
        <f aca="false">MONTH($B1182)</f>
        <v>12</v>
      </c>
      <c r="F1182" s="61" t="str">
        <f aca="false">INDEX(Parametros!$I$5:$I$16,$E1182)</f>
        <v>Dic</v>
      </c>
      <c r="G1182" s="61" t="str">
        <f aca="false">TEXT($C1182,"0000")&amp;"-"&amp;TEXT($E1182,"00")</f>
        <v>2024-12</v>
      </c>
      <c r="H1182" s="61" t="str">
        <f aca="false">INDEX(Parametros!$C$71:$C$91,MATCH(TRIM(INDEX(Datos_Origen!$C$2:$C$2459,$Z1182)),Parametros!$B$71:$B$91,0))</f>
        <v>NOA</v>
      </c>
      <c r="I1182" s="61" t="str">
        <f aca="false">IF(TRIM($AD1182)="",INDEX(Parametros!$I$20:$I$24,MATCH($H1182,Parametros!$H$20:$H$24,0)),TRIM($AD1182))</f>
        <v>Tucuman</v>
      </c>
      <c r="J1182" s="61" t="str">
        <f aca="false">INDEX(Parametros!$C$95:$C$106,MATCH(TRIM(INDEX(Datos_Origen!$E$2:$E$2459,$Z1182)),Parametros!$B$95:$B$106,0))</f>
        <v>Tienda fisica</v>
      </c>
      <c r="K1182" s="61" t="str">
        <f aca="false">INDEX(Parametros!$C$48:$C$67,MATCH(TRIM(INDEX(Datos_Origen!$F$2:$F$2459,$Z1182)),Parametros!$B$48:$B$67,0))</f>
        <v>Computacion</v>
      </c>
      <c r="L1182" s="61" t="str">
        <f aca="false">$K1182&amp;" "&amp;$C1182</f>
        <v>Computacion 2024</v>
      </c>
      <c r="M1182" s="61" t="str">
        <f aca="false">TRIM(INDEX(Datos_Origen!$G$2:$G$2459,$Z1182))</f>
        <v>Laptop Pro 15</v>
      </c>
      <c r="N1182" s="61" t="str">
        <f aca="false">$M1182&amp;" "&amp;$C1182</f>
        <v>Laptop Pro 15 2024</v>
      </c>
      <c r="O1182" s="63" t="n">
        <f aca="false">IF(ISTEXT($AC1182),VALUE($AC1182),$AC1182)</f>
        <v>11</v>
      </c>
      <c r="P1182" s="64" t="n">
        <f aca="false">INDEX(Datos_Origen!$I$2:$I$2459,$Z1182)</f>
        <v>1176</v>
      </c>
      <c r="Q1182" s="64" t="n">
        <f aca="false">INDEX(Datos_Origen!$J$2:$J$2459,$Z1182)</f>
        <v>744</v>
      </c>
      <c r="R1182" s="65" t="n">
        <f aca="false">ROUND($O1182*$P1182,2)</f>
        <v>12936</v>
      </c>
      <c r="S1182" s="65" t="n">
        <f aca="false">ROUND($O1182*$Q1182,2)</f>
        <v>8184</v>
      </c>
      <c r="T1182" s="65" t="n">
        <f aca="false">ROUND($R1182*SUMIFS(Parametros!$E$28:$E$43,Parametros!$B$28:$B$43,$J1182,Parametros!$C$28:$C$43,$C1182,Parametros!$D$28:$D$43,$D1182),2)</f>
        <v>168.17</v>
      </c>
      <c r="U1182" s="65" t="n">
        <f aca="false">$R1182-$S1182-$T1182</f>
        <v>4583.83</v>
      </c>
      <c r="V1182" s="66" t="n">
        <f aca="false">IFERROR($U1182/$R1182,0)</f>
        <v>0.354346784168213</v>
      </c>
      <c r="W1182" s="67" t="str">
        <f aca="false">IF(AND($V1182&gt;=Parametros!$C$8,$R1182&gt;=Parametros!$C$12),"Alta rentabilidad",IF(OR($V1182&lt;Parametros!$C$11,$R1182&lt;Parametros!$C$13),"Revisar","Estandar"))</f>
        <v>Alta rentabilidad</v>
      </c>
      <c r="X1182" s="67" t="str">
        <f aca="false">IF(AND($J1182="E-commerce",IFERROR($T1182/$R1182,0)&gt;Parametros!$C$14),"Alerta","OK")</f>
        <v>OK</v>
      </c>
      <c r="Y1182" s="61" t="str">
        <f aca="false">IF($R1182&gt;=Parametros!$C$12,"Alto",IF($R1182&lt;Parametros!$C$13,"Bajo","Medio"))</f>
        <v>Alto</v>
      </c>
      <c r="Z1182" s="61" t="n">
        <v>2008</v>
      </c>
      <c r="AA1182" s="61" t="str">
        <f aca="false">IF(MATCH($A1182,Datos_Origen!$A$2:$A$2459,0)=$Z1182,"OK","REVISAR")</f>
        <v>OK</v>
      </c>
      <c r="AB1182" s="62" t="n">
        <f aca="false">INDEX(Datos_Origen!$B$2:$B$2459,$Z1182)</f>
        <v>45632</v>
      </c>
      <c r="AC1182" s="61" t="n">
        <f aca="false">INDEX(Datos_Origen!$H$2:$H$2459,$Z1182)</f>
        <v>11</v>
      </c>
      <c r="AD1182" s="61" t="str">
        <f aca="false">INDEX(Datos_Origen!$D$2:$D$2459,$Z1182)&amp;""</f>
        <v>Tucuman</v>
      </c>
    </row>
    <row r="1183" customFormat="false" ht="15" hidden="false" customHeight="false" outlineLevel="0" collapsed="false">
      <c r="A1183" s="61" t="n">
        <f aca="false">INDEX(Datos_Origen!$A$2:$A$2459,$Z1183)</f>
        <v>1182</v>
      </c>
      <c r="B1183" s="62" t="n">
        <f aca="false">IF(ISNUMBER($AB1183),$AB1183,IF(MID($AB1183,5,1)="-",DATE(VALUE(LEFT($AB1183,4)),VALUE(MID($AB1183,6,2)),VALUE(RIGHT($AB1183,2))),DATE(VALUE(RIGHT($AB1183,4)),VALUE(MID($AB1183,4,2)),VALUE(LEFT($AB1183,2)))))</f>
        <v>45639</v>
      </c>
      <c r="C1183" s="61" t="n">
        <f aca="false">YEAR($B1183)</f>
        <v>2024</v>
      </c>
      <c r="D1183" s="61" t="str">
        <f aca="false">"Q"&amp;ROUNDUP(MONTH($B1183)/3,0)</f>
        <v>Q4</v>
      </c>
      <c r="E1183" s="61" t="n">
        <f aca="false">MONTH($B1183)</f>
        <v>12</v>
      </c>
      <c r="F1183" s="61" t="str">
        <f aca="false">INDEX(Parametros!$I$5:$I$16,$E1183)</f>
        <v>Dic</v>
      </c>
      <c r="G1183" s="61" t="str">
        <f aca="false">TEXT($C1183,"0000")&amp;"-"&amp;TEXT($E1183,"00")</f>
        <v>2024-12</v>
      </c>
      <c r="H1183" s="61" t="str">
        <f aca="false">INDEX(Parametros!$C$71:$C$91,MATCH(TRIM(INDEX(Datos_Origen!$C$2:$C$2459,$Z1183)),Parametros!$B$71:$B$91,0))</f>
        <v>NOA</v>
      </c>
      <c r="I1183" s="61" t="str">
        <f aca="false">IF(TRIM($AD1183)="",INDEX(Parametros!$I$20:$I$24,MATCH($H1183,Parametros!$H$20:$H$24,0)),TRIM($AD1183))</f>
        <v>Tucuman</v>
      </c>
      <c r="J1183" s="61" t="str">
        <f aca="false">INDEX(Parametros!$C$95:$C$106,MATCH(TRIM(INDEX(Datos_Origen!$E$2:$E$2459,$Z1183)),Parametros!$B$95:$B$106,0))</f>
        <v>E-commerce</v>
      </c>
      <c r="K1183" s="61" t="str">
        <f aca="false">INDEX(Parametros!$C$48:$C$67,MATCH(TRIM(INDEX(Datos_Origen!$F$2:$F$2459,$Z1183)),Parametros!$B$48:$B$67,0))</f>
        <v>Computacion</v>
      </c>
      <c r="L1183" s="61" t="str">
        <f aca="false">$K1183&amp;" "&amp;$C1183</f>
        <v>Computacion 2024</v>
      </c>
      <c r="M1183" s="61" t="str">
        <f aca="false">TRIM(INDEX(Datos_Origen!$G$2:$G$2459,$Z1183))</f>
        <v>Laptop Pro 15</v>
      </c>
      <c r="N1183" s="61" t="str">
        <f aca="false">$M1183&amp;" "&amp;$C1183</f>
        <v>Laptop Pro 15 2024</v>
      </c>
      <c r="O1183" s="63" t="n">
        <f aca="false">IF(ISTEXT($AC1183),VALUE($AC1183),$AC1183)</f>
        <v>4</v>
      </c>
      <c r="P1183" s="64" t="n">
        <f aca="false">INDEX(Datos_Origen!$I$2:$I$2459,$Z1183)</f>
        <v>1176</v>
      </c>
      <c r="Q1183" s="64" t="n">
        <f aca="false">INDEX(Datos_Origen!$J$2:$J$2459,$Z1183)</f>
        <v>744</v>
      </c>
      <c r="R1183" s="65" t="n">
        <f aca="false">ROUND($O1183*$P1183,2)</f>
        <v>4704</v>
      </c>
      <c r="S1183" s="65" t="n">
        <f aca="false">ROUND($O1183*$Q1183,2)</f>
        <v>2976</v>
      </c>
      <c r="T1183" s="65" t="n">
        <f aca="false">ROUND($R1183*SUMIFS(Parametros!$E$28:$E$43,Parametros!$B$28:$B$43,$J1183,Parametros!$C$28:$C$43,$C1183,Parametros!$D$28:$D$43,$D1183),2)</f>
        <v>225.79</v>
      </c>
      <c r="U1183" s="65" t="n">
        <f aca="false">$R1183-$S1183-$T1183</f>
        <v>1502.21</v>
      </c>
      <c r="V1183" s="66" t="n">
        <f aca="false">IFERROR($U1183/$R1183,0)</f>
        <v>0.319347363945578</v>
      </c>
      <c r="W1183" s="67" t="str">
        <f aca="false">IF(AND($V1183&gt;=Parametros!$C$8,$R1183&gt;=Parametros!$C$12),"Alta rentabilidad",IF(OR($V1183&lt;Parametros!$C$11,$R1183&lt;Parametros!$C$13),"Revisar","Estandar"))</f>
        <v>Estandar</v>
      </c>
      <c r="X1183" s="67" t="str">
        <f aca="false">IF(AND($J1183="E-commerce",IFERROR($T1183/$R1183,0)&gt;Parametros!$C$14),"Alerta","OK")</f>
        <v>OK</v>
      </c>
      <c r="Y1183" s="61" t="str">
        <f aca="false">IF($R1183&gt;=Parametros!$C$12,"Alto",IF($R1183&lt;Parametros!$C$13,"Bajo","Medio"))</f>
        <v>Alto</v>
      </c>
      <c r="Z1183" s="61" t="n">
        <v>431</v>
      </c>
      <c r="AA1183" s="61" t="str">
        <f aca="false">IF(MATCH($A1183,Datos_Origen!$A$2:$A$2459,0)=$Z1183,"OK","REVISAR")</f>
        <v>OK</v>
      </c>
      <c r="AB1183" s="62" t="n">
        <f aca="false">INDEX(Datos_Origen!$B$2:$B$2459,$Z1183)</f>
        <v>45639</v>
      </c>
      <c r="AC1183" s="61" t="n">
        <f aca="false">INDEX(Datos_Origen!$H$2:$H$2459,$Z1183)</f>
        <v>4</v>
      </c>
      <c r="AD1183" s="61" t="str">
        <f aca="false">INDEX(Datos_Origen!$D$2:$D$2459,$Z1183)&amp;""</f>
        <v>Tucuman</v>
      </c>
    </row>
    <row r="1184" customFormat="false" ht="15" hidden="false" customHeight="false" outlineLevel="0" collapsed="false">
      <c r="A1184" s="61" t="n">
        <f aca="false">INDEX(Datos_Origen!$A$2:$A$2459,$Z1184)</f>
        <v>1183</v>
      </c>
      <c r="B1184" s="62" t="n">
        <f aca="false">IF(ISNUMBER($AB1184),$AB1184,IF(MID($AB1184,5,1)="-",DATE(VALUE(LEFT($AB1184,4)),VALUE(MID($AB1184,6,2)),VALUE(RIGHT($AB1184,2))),DATE(VALUE(RIGHT($AB1184,4)),VALUE(MID($AB1184,4,2)),VALUE(LEFT($AB1184,2)))))</f>
        <v>45646</v>
      </c>
      <c r="C1184" s="61" t="n">
        <f aca="false">YEAR($B1184)</f>
        <v>2024</v>
      </c>
      <c r="D1184" s="61" t="str">
        <f aca="false">"Q"&amp;ROUNDUP(MONTH($B1184)/3,0)</f>
        <v>Q4</v>
      </c>
      <c r="E1184" s="61" t="n">
        <f aca="false">MONTH($B1184)</f>
        <v>12</v>
      </c>
      <c r="F1184" s="61" t="str">
        <f aca="false">INDEX(Parametros!$I$5:$I$16,$E1184)</f>
        <v>Dic</v>
      </c>
      <c r="G1184" s="61" t="str">
        <f aca="false">TEXT($C1184,"0000")&amp;"-"&amp;TEXT($E1184,"00")</f>
        <v>2024-12</v>
      </c>
      <c r="H1184" s="61" t="str">
        <f aca="false">INDEX(Parametros!$C$71:$C$91,MATCH(TRIM(INDEX(Datos_Origen!$C$2:$C$2459,$Z1184)),Parametros!$B$71:$B$91,0))</f>
        <v>NOA</v>
      </c>
      <c r="I1184" s="61" t="str">
        <f aca="false">IF(TRIM($AD1184)="",INDEX(Parametros!$I$20:$I$24,MATCH($H1184,Parametros!$H$20:$H$24,0)),TRIM($AD1184))</f>
        <v>Tucuman</v>
      </c>
      <c r="J1184" s="61" t="str">
        <f aca="false">INDEX(Parametros!$C$95:$C$106,MATCH(TRIM(INDEX(Datos_Origen!$E$2:$E$2459,$Z1184)),Parametros!$B$95:$B$106,0))</f>
        <v>Tienda fisica</v>
      </c>
      <c r="K1184" s="61" t="str">
        <f aca="false">INDEX(Parametros!$C$48:$C$67,MATCH(TRIM(INDEX(Datos_Origen!$F$2:$F$2459,$Z1184)),Parametros!$B$48:$B$67,0))</f>
        <v>Computacion</v>
      </c>
      <c r="L1184" s="61" t="str">
        <f aca="false">$K1184&amp;" "&amp;$C1184</f>
        <v>Computacion 2024</v>
      </c>
      <c r="M1184" s="61" t="str">
        <f aca="false">TRIM(INDEX(Datos_Origen!$G$2:$G$2459,$Z1184))</f>
        <v>Monitor 4K 27</v>
      </c>
      <c r="N1184" s="61" t="str">
        <f aca="false">$M1184&amp;" "&amp;$C1184</f>
        <v>Monitor 4K 27 2024</v>
      </c>
      <c r="O1184" s="63" t="n">
        <f aca="false">IF(ISTEXT($AC1184),VALUE($AC1184),$AC1184)</f>
        <v>9</v>
      </c>
      <c r="P1184" s="64" t="n">
        <f aca="false">INDEX(Datos_Origen!$I$2:$I$2459,$Z1184)</f>
        <v>441</v>
      </c>
      <c r="Q1184" s="64" t="n">
        <f aca="false">INDEX(Datos_Origen!$J$2:$J$2459,$Z1184)</f>
        <v>272.25</v>
      </c>
      <c r="R1184" s="65" t="n">
        <f aca="false">ROUND($O1184*$P1184,2)</f>
        <v>3969</v>
      </c>
      <c r="S1184" s="65" t="n">
        <f aca="false">ROUND($O1184*$Q1184,2)</f>
        <v>2450.25</v>
      </c>
      <c r="T1184" s="65" t="n">
        <f aca="false">ROUND($R1184*SUMIFS(Parametros!$E$28:$E$43,Parametros!$B$28:$B$43,$J1184,Parametros!$C$28:$C$43,$C1184,Parametros!$D$28:$D$43,$D1184),2)</f>
        <v>51.6</v>
      </c>
      <c r="U1184" s="65" t="n">
        <f aca="false">$R1184-$S1184-$T1184</f>
        <v>1467.15</v>
      </c>
      <c r="V1184" s="66" t="n">
        <f aca="false">IFERROR($U1184/$R1184,0)</f>
        <v>0.369652305366591</v>
      </c>
      <c r="W1184" s="67" t="str">
        <f aca="false">IF(AND($V1184&gt;=Parametros!$C$8,$R1184&gt;=Parametros!$C$12),"Alta rentabilidad",IF(OR($V1184&lt;Parametros!$C$11,$R1184&lt;Parametros!$C$13),"Revisar","Estandar"))</f>
        <v>Alta rentabilidad</v>
      </c>
      <c r="X1184" s="67" t="str">
        <f aca="false">IF(AND($J1184="E-commerce",IFERROR($T1184/$R1184,0)&gt;Parametros!$C$14),"Alerta","OK")</f>
        <v>OK</v>
      </c>
      <c r="Y1184" s="61" t="str">
        <f aca="false">IF($R1184&gt;=Parametros!$C$12,"Alto",IF($R1184&lt;Parametros!$C$13,"Bajo","Medio"))</f>
        <v>Alto</v>
      </c>
      <c r="Z1184" s="61" t="n">
        <v>700</v>
      </c>
      <c r="AA1184" s="61" t="str">
        <f aca="false">IF(MATCH($A1184,Datos_Origen!$A$2:$A$2459,0)=$Z1184,"OK","REVISAR")</f>
        <v>OK</v>
      </c>
      <c r="AB1184" s="61" t="str">
        <f aca="false">INDEX(Datos_Origen!$B$2:$B$2459,$Z1184)</f>
        <v>20/12/2024</v>
      </c>
      <c r="AC1184" s="61" t="n">
        <f aca="false">INDEX(Datos_Origen!$H$2:$H$2459,$Z1184)</f>
        <v>9</v>
      </c>
      <c r="AD1184" s="61" t="str">
        <f aca="false">INDEX(Datos_Origen!$D$2:$D$2459,$Z1184)&amp;""</f>
        <v>Tucuman</v>
      </c>
    </row>
    <row r="1185" customFormat="false" ht="15" hidden="false" customHeight="false" outlineLevel="0" collapsed="false">
      <c r="A1185" s="61" t="n">
        <f aca="false">INDEX(Datos_Origen!$A$2:$A$2459,$Z1185)</f>
        <v>1184</v>
      </c>
      <c r="B1185" s="62" t="n">
        <f aca="false">IF(ISNUMBER($AB1185),$AB1185,IF(MID($AB1185,5,1)="-",DATE(VALUE(LEFT($AB1185,4)),VALUE(MID($AB1185,6,2)),VALUE(RIGHT($AB1185,2))),DATE(VALUE(RIGHT($AB1185,4)),VALUE(MID($AB1185,4,2)),VALUE(LEFT($AB1185,2)))))</f>
        <v>45653</v>
      </c>
      <c r="C1185" s="61" t="n">
        <f aca="false">YEAR($B1185)</f>
        <v>2024</v>
      </c>
      <c r="D1185" s="61" t="str">
        <f aca="false">"Q"&amp;ROUNDUP(MONTH($B1185)/3,0)</f>
        <v>Q4</v>
      </c>
      <c r="E1185" s="61" t="n">
        <f aca="false">MONTH($B1185)</f>
        <v>12</v>
      </c>
      <c r="F1185" s="61" t="str">
        <f aca="false">INDEX(Parametros!$I$5:$I$16,$E1185)</f>
        <v>Dic</v>
      </c>
      <c r="G1185" s="61" t="str">
        <f aca="false">TEXT($C1185,"0000")&amp;"-"&amp;TEXT($E1185,"00")</f>
        <v>2024-12</v>
      </c>
      <c r="H1185" s="61" t="str">
        <f aca="false">INDEX(Parametros!$C$71:$C$91,MATCH(TRIM(INDEX(Datos_Origen!$C$2:$C$2459,$Z1185)),Parametros!$B$71:$B$91,0))</f>
        <v>NOA</v>
      </c>
      <c r="I1185" s="61" t="str">
        <f aca="false">IF(TRIM($AD1185)="",INDEX(Parametros!$I$20:$I$24,MATCH($H1185,Parametros!$H$20:$H$24,0)),TRIM($AD1185))</f>
        <v>Tucuman</v>
      </c>
      <c r="J1185" s="61" t="str">
        <f aca="false">INDEX(Parametros!$C$95:$C$106,MATCH(TRIM(INDEX(Datos_Origen!$E$2:$E$2459,$Z1185)),Parametros!$B$95:$B$106,0))</f>
        <v>E-commerce</v>
      </c>
      <c r="K1185" s="61" t="str">
        <f aca="false">INDEX(Parametros!$C$48:$C$67,MATCH(TRIM(INDEX(Datos_Origen!$F$2:$F$2459,$Z1185)),Parametros!$B$48:$B$67,0))</f>
        <v>Computacion</v>
      </c>
      <c r="L1185" s="61" t="str">
        <f aca="false">$K1185&amp;" "&amp;$C1185</f>
        <v>Computacion 2024</v>
      </c>
      <c r="M1185" s="61" t="str">
        <f aca="false">TRIM(INDEX(Datos_Origen!$G$2:$G$2459,$Z1185))</f>
        <v>Monitor 4K 27</v>
      </c>
      <c r="N1185" s="61" t="str">
        <f aca="false">$M1185&amp;" "&amp;$C1185</f>
        <v>Monitor 4K 27 2024</v>
      </c>
      <c r="O1185" s="63" t="n">
        <f aca="false">IF(ISTEXT($AC1185),VALUE($AC1185),$AC1185)</f>
        <v>3</v>
      </c>
      <c r="P1185" s="64" t="n">
        <f aca="false">INDEX(Datos_Origen!$I$2:$I$2459,$Z1185)</f>
        <v>441</v>
      </c>
      <c r="Q1185" s="64" t="n">
        <f aca="false">INDEX(Datos_Origen!$J$2:$J$2459,$Z1185)</f>
        <v>272.25</v>
      </c>
      <c r="R1185" s="65" t="n">
        <f aca="false">ROUND($O1185*$P1185,2)</f>
        <v>1323</v>
      </c>
      <c r="S1185" s="65" t="n">
        <f aca="false">ROUND($O1185*$Q1185,2)</f>
        <v>816.75</v>
      </c>
      <c r="T1185" s="65" t="n">
        <f aca="false">ROUND($R1185*SUMIFS(Parametros!$E$28:$E$43,Parametros!$B$28:$B$43,$J1185,Parametros!$C$28:$C$43,$C1185,Parametros!$D$28:$D$43,$D1185),2)</f>
        <v>63.5</v>
      </c>
      <c r="U1185" s="65" t="n">
        <f aca="false">$R1185-$S1185-$T1185</f>
        <v>442.75</v>
      </c>
      <c r="V1185" s="66" t="n">
        <f aca="false">IFERROR($U1185/$R1185,0)</f>
        <v>0.334656084656085</v>
      </c>
      <c r="W1185" s="67" t="str">
        <f aca="false">IF(AND($V1185&gt;=Parametros!$C$8,$R1185&gt;=Parametros!$C$12),"Alta rentabilidad",IF(OR($V1185&lt;Parametros!$C$11,$R1185&lt;Parametros!$C$13),"Revisar","Estandar"))</f>
        <v>Estandar</v>
      </c>
      <c r="X1185" s="67" t="str">
        <f aca="false">IF(AND($J1185="E-commerce",IFERROR($T1185/$R1185,0)&gt;Parametros!$C$14),"Alerta","OK")</f>
        <v>OK</v>
      </c>
      <c r="Y1185" s="61" t="str">
        <f aca="false">IF($R1185&gt;=Parametros!$C$12,"Alto",IF($R1185&lt;Parametros!$C$13,"Bajo","Medio"))</f>
        <v>Medio</v>
      </c>
      <c r="Z1185" s="61" t="n">
        <v>1090</v>
      </c>
      <c r="AA1185" s="61" t="str">
        <f aca="false">IF(MATCH($A1185,Datos_Origen!$A$2:$A$2459,0)=$Z1185,"OK","REVISAR")</f>
        <v>OK</v>
      </c>
      <c r="AB1185" s="61" t="str">
        <f aca="false">INDEX(Datos_Origen!$B$2:$B$2459,$Z1185)</f>
        <v>2024-12-27</v>
      </c>
      <c r="AC1185" s="61" t="n">
        <f aca="false">INDEX(Datos_Origen!$H$2:$H$2459,$Z1185)</f>
        <v>3</v>
      </c>
      <c r="AD1185" s="61" t="str">
        <f aca="false">INDEX(Datos_Origen!$D$2:$D$2459,$Z1185)&amp;""</f>
        <v>Tucuman</v>
      </c>
    </row>
    <row r="1186" customFormat="false" ht="15" hidden="false" customHeight="false" outlineLevel="0" collapsed="false">
      <c r="A1186" s="61" t="n">
        <f aca="false">INDEX(Datos_Origen!$A$2:$A$2459,$Z1186)</f>
        <v>1185</v>
      </c>
      <c r="B1186" s="62" t="n">
        <f aca="false">IF(ISNUMBER($AB1186),$AB1186,IF(MID($AB1186,5,1)="-",DATE(VALUE(LEFT($AB1186,4)),VALUE(MID($AB1186,6,2)),VALUE(RIGHT($AB1186,2))),DATE(VALUE(RIGHT($AB1186,4)),VALUE(MID($AB1186,4,2)),VALUE(LEFT($AB1186,2)))))</f>
        <v>45633</v>
      </c>
      <c r="C1186" s="61" t="n">
        <f aca="false">YEAR($B1186)</f>
        <v>2024</v>
      </c>
      <c r="D1186" s="61" t="str">
        <f aca="false">"Q"&amp;ROUNDUP(MONTH($B1186)/3,0)</f>
        <v>Q4</v>
      </c>
      <c r="E1186" s="61" t="n">
        <f aca="false">MONTH($B1186)</f>
        <v>12</v>
      </c>
      <c r="F1186" s="61" t="str">
        <f aca="false">INDEX(Parametros!$I$5:$I$16,$E1186)</f>
        <v>Dic</v>
      </c>
      <c r="G1186" s="61" t="str">
        <f aca="false">TEXT($C1186,"0000")&amp;"-"&amp;TEXT($E1186,"00")</f>
        <v>2024-12</v>
      </c>
      <c r="H1186" s="61" t="str">
        <f aca="false">INDEX(Parametros!$C$71:$C$91,MATCH(TRIM(INDEX(Datos_Origen!$C$2:$C$2459,$Z1186)),Parametros!$B$71:$B$91,0))</f>
        <v>NOA</v>
      </c>
      <c r="I1186" s="61" t="str">
        <f aca="false">IF(TRIM($AD1186)="",INDEX(Parametros!$I$20:$I$24,MATCH($H1186,Parametros!$H$20:$H$24,0)),TRIM($AD1186))</f>
        <v>Tucuman</v>
      </c>
      <c r="J1186" s="61" t="str">
        <f aca="false">INDEX(Parametros!$C$95:$C$106,MATCH(TRIM(INDEX(Datos_Origen!$E$2:$E$2459,$Z1186)),Parametros!$B$95:$B$106,0))</f>
        <v>Tienda fisica</v>
      </c>
      <c r="K1186" s="61" t="str">
        <f aca="false">INDEX(Parametros!$C$48:$C$67,MATCH(TRIM(INDEX(Datos_Origen!$F$2:$F$2459,$Z1186)),Parametros!$B$48:$B$67,0))</f>
        <v>Computacion</v>
      </c>
      <c r="L1186" s="61" t="str">
        <f aca="false">$K1186&amp;" "&amp;$C1186</f>
        <v>Computacion 2024</v>
      </c>
      <c r="M1186" s="61" t="str">
        <f aca="false">TRIM(INDEX(Datos_Origen!$G$2:$G$2459,$Z1186))</f>
        <v>PC Gamer Ryzen</v>
      </c>
      <c r="N1186" s="61" t="str">
        <f aca="false">$M1186&amp;" "&amp;$C1186</f>
        <v>PC Gamer Ryzen 2024</v>
      </c>
      <c r="O1186" s="63" t="n">
        <f aca="false">IF(ISTEXT($AC1186),VALUE($AC1186),$AC1186)</f>
        <v>9</v>
      </c>
      <c r="P1186" s="64" t="n">
        <f aca="false">INDEX(Datos_Origen!$I$2:$I$2459,$Z1186)</f>
        <v>1617</v>
      </c>
      <c r="Q1186" s="64" t="n">
        <f aca="false">INDEX(Datos_Origen!$J$2:$J$2459,$Z1186)</f>
        <v>1122</v>
      </c>
      <c r="R1186" s="65" t="n">
        <f aca="false">ROUND($O1186*$P1186,2)</f>
        <v>14553</v>
      </c>
      <c r="S1186" s="65" t="n">
        <f aca="false">ROUND($O1186*$Q1186,2)</f>
        <v>10098</v>
      </c>
      <c r="T1186" s="65" t="n">
        <f aca="false">ROUND($R1186*SUMIFS(Parametros!$E$28:$E$43,Parametros!$B$28:$B$43,$J1186,Parametros!$C$28:$C$43,$C1186,Parametros!$D$28:$D$43,$D1186),2)</f>
        <v>189.19</v>
      </c>
      <c r="U1186" s="65" t="n">
        <f aca="false">$R1186-$S1186-$T1186</f>
        <v>4265.81</v>
      </c>
      <c r="V1186" s="66" t="n">
        <f aca="false">IFERROR($U1186/$R1186,0)</f>
        <v>0.293122380265237</v>
      </c>
      <c r="W1186" s="67" t="str">
        <f aca="false">IF(AND($V1186&gt;=Parametros!$C$8,$R1186&gt;=Parametros!$C$12),"Alta rentabilidad",IF(OR($V1186&lt;Parametros!$C$11,$R1186&lt;Parametros!$C$13),"Revisar","Estandar"))</f>
        <v>Estandar</v>
      </c>
      <c r="X1186" s="67" t="str">
        <f aca="false">IF(AND($J1186="E-commerce",IFERROR($T1186/$R1186,0)&gt;Parametros!$C$14),"Alerta","OK")</f>
        <v>OK</v>
      </c>
      <c r="Y1186" s="61" t="str">
        <f aca="false">IF($R1186&gt;=Parametros!$C$12,"Alto",IF($R1186&lt;Parametros!$C$13,"Bajo","Medio"))</f>
        <v>Alto</v>
      </c>
      <c r="Z1186" s="61" t="n">
        <v>1634</v>
      </c>
      <c r="AA1186" s="61" t="str">
        <f aca="false">IF(MATCH($A1186,Datos_Origen!$A$2:$A$2459,0)=$Z1186,"OK","REVISAR")</f>
        <v>OK</v>
      </c>
      <c r="AB1186" s="61" t="str">
        <f aca="false">INDEX(Datos_Origen!$B$2:$B$2459,$Z1186)</f>
        <v>07/12/2024</v>
      </c>
      <c r="AC1186" s="61" t="n">
        <f aca="false">INDEX(Datos_Origen!$H$2:$H$2459,$Z1186)</f>
        <v>9</v>
      </c>
      <c r="AD1186" s="61" t="str">
        <f aca="false">INDEX(Datos_Origen!$D$2:$D$2459,$Z1186)&amp;""</f>
        <v>Tucuman</v>
      </c>
    </row>
    <row r="1187" customFormat="false" ht="15" hidden="false" customHeight="false" outlineLevel="0" collapsed="false">
      <c r="A1187" s="61" t="n">
        <f aca="false">INDEX(Datos_Origen!$A$2:$A$2459,$Z1187)</f>
        <v>1186</v>
      </c>
      <c r="B1187" s="62" t="n">
        <f aca="false">IF(ISNUMBER($AB1187),$AB1187,IF(MID($AB1187,5,1)="-",DATE(VALUE(LEFT($AB1187,4)),VALUE(MID($AB1187,6,2)),VALUE(RIGHT($AB1187,2))),DATE(VALUE(RIGHT($AB1187,4)),VALUE(MID($AB1187,4,2)),VALUE(LEFT($AB1187,2)))))</f>
        <v>45640</v>
      </c>
      <c r="C1187" s="61" t="n">
        <f aca="false">YEAR($B1187)</f>
        <v>2024</v>
      </c>
      <c r="D1187" s="61" t="str">
        <f aca="false">"Q"&amp;ROUNDUP(MONTH($B1187)/3,0)</f>
        <v>Q4</v>
      </c>
      <c r="E1187" s="61" t="n">
        <f aca="false">MONTH($B1187)</f>
        <v>12</v>
      </c>
      <c r="F1187" s="61" t="str">
        <f aca="false">INDEX(Parametros!$I$5:$I$16,$E1187)</f>
        <v>Dic</v>
      </c>
      <c r="G1187" s="61" t="str">
        <f aca="false">TEXT($C1187,"0000")&amp;"-"&amp;TEXT($E1187,"00")</f>
        <v>2024-12</v>
      </c>
      <c r="H1187" s="61" t="str">
        <f aca="false">INDEX(Parametros!$C$71:$C$91,MATCH(TRIM(INDEX(Datos_Origen!$C$2:$C$2459,$Z1187)),Parametros!$B$71:$B$91,0))</f>
        <v>NOA</v>
      </c>
      <c r="I1187" s="61" t="str">
        <f aca="false">IF(TRIM($AD1187)="",INDEX(Parametros!$I$20:$I$24,MATCH($H1187,Parametros!$H$20:$H$24,0)),TRIM($AD1187))</f>
        <v>Tucuman</v>
      </c>
      <c r="J1187" s="61" t="str">
        <f aca="false">INDEX(Parametros!$C$95:$C$106,MATCH(TRIM(INDEX(Datos_Origen!$E$2:$E$2459,$Z1187)),Parametros!$B$95:$B$106,0))</f>
        <v>E-commerce</v>
      </c>
      <c r="K1187" s="61" t="str">
        <f aca="false">INDEX(Parametros!$C$48:$C$67,MATCH(TRIM(INDEX(Datos_Origen!$F$2:$F$2459,$Z1187)),Parametros!$B$48:$B$67,0))</f>
        <v>Computacion</v>
      </c>
      <c r="L1187" s="61" t="str">
        <f aca="false">$K1187&amp;" "&amp;$C1187</f>
        <v>Computacion 2024</v>
      </c>
      <c r="M1187" s="61" t="str">
        <f aca="false">TRIM(INDEX(Datos_Origen!$G$2:$G$2459,$Z1187))</f>
        <v>PC Gamer Ryzen</v>
      </c>
      <c r="N1187" s="61" t="str">
        <f aca="false">$M1187&amp;" "&amp;$C1187</f>
        <v>PC Gamer Ryzen 2024</v>
      </c>
      <c r="O1187" s="63" t="n">
        <f aca="false">IF(ISTEXT($AC1187),VALUE($AC1187),$AC1187)</f>
        <v>4</v>
      </c>
      <c r="P1187" s="64" t="n">
        <f aca="false">INDEX(Datos_Origen!$I$2:$I$2459,$Z1187)</f>
        <v>1617</v>
      </c>
      <c r="Q1187" s="64" t="n">
        <f aca="false">INDEX(Datos_Origen!$J$2:$J$2459,$Z1187)</f>
        <v>1122</v>
      </c>
      <c r="R1187" s="65" t="n">
        <f aca="false">ROUND($O1187*$P1187,2)</f>
        <v>6468</v>
      </c>
      <c r="S1187" s="65" t="n">
        <f aca="false">ROUND($O1187*$Q1187,2)</f>
        <v>4488</v>
      </c>
      <c r="T1187" s="65" t="n">
        <f aca="false">ROUND($R1187*SUMIFS(Parametros!$E$28:$E$43,Parametros!$B$28:$B$43,$J1187,Parametros!$C$28:$C$43,$C1187,Parametros!$D$28:$D$43,$D1187),2)</f>
        <v>310.46</v>
      </c>
      <c r="U1187" s="65" t="n">
        <f aca="false">$R1187-$S1187-$T1187</f>
        <v>1669.54</v>
      </c>
      <c r="V1187" s="66" t="n">
        <f aca="false">IFERROR($U1187/$R1187,0)</f>
        <v>0.258123067408782</v>
      </c>
      <c r="W1187" s="67" t="str">
        <f aca="false">IF(AND($V1187&gt;=Parametros!$C$8,$R1187&gt;=Parametros!$C$12),"Alta rentabilidad",IF(OR($V1187&lt;Parametros!$C$11,$R1187&lt;Parametros!$C$13),"Revisar","Estandar"))</f>
        <v>Revisar</v>
      </c>
      <c r="X1187" s="67" t="str">
        <f aca="false">IF(AND($J1187="E-commerce",IFERROR($T1187/$R1187,0)&gt;Parametros!$C$14),"Alerta","OK")</f>
        <v>OK</v>
      </c>
      <c r="Y1187" s="61" t="str">
        <f aca="false">IF($R1187&gt;=Parametros!$C$12,"Alto",IF($R1187&lt;Parametros!$C$13,"Bajo","Medio"))</f>
        <v>Alto</v>
      </c>
      <c r="Z1187" s="61" t="n">
        <v>2336</v>
      </c>
      <c r="AA1187" s="61" t="str">
        <f aca="false">IF(MATCH($A1187,Datos_Origen!$A$2:$A$2459,0)=$Z1187,"OK","REVISAR")</f>
        <v>OK</v>
      </c>
      <c r="AB1187" s="62" t="n">
        <f aca="false">INDEX(Datos_Origen!$B$2:$B$2459,$Z1187)</f>
        <v>45640</v>
      </c>
      <c r="AC1187" s="61" t="n">
        <f aca="false">INDEX(Datos_Origen!$H$2:$H$2459,$Z1187)</f>
        <v>4</v>
      </c>
      <c r="AD1187" s="61" t="str">
        <f aca="false">INDEX(Datos_Origen!$D$2:$D$2459,$Z1187)&amp;""</f>
        <v>Tucuman</v>
      </c>
    </row>
    <row r="1188" customFormat="false" ht="15" hidden="false" customHeight="false" outlineLevel="0" collapsed="false">
      <c r="A1188" s="61" t="n">
        <f aca="false">INDEX(Datos_Origen!$A$2:$A$2459,$Z1188)</f>
        <v>1187</v>
      </c>
      <c r="B1188" s="62" t="n">
        <f aca="false">IF(ISNUMBER($AB1188),$AB1188,IF(MID($AB1188,5,1)="-",DATE(VALUE(LEFT($AB1188,4)),VALUE(MID($AB1188,6,2)),VALUE(RIGHT($AB1188,2))),DATE(VALUE(RIGHT($AB1188,4)),VALUE(MID($AB1188,4,2)),VALUE(LEFT($AB1188,2)))))</f>
        <v>45647</v>
      </c>
      <c r="C1188" s="61" t="n">
        <f aca="false">YEAR($B1188)</f>
        <v>2024</v>
      </c>
      <c r="D1188" s="61" t="str">
        <f aca="false">"Q"&amp;ROUNDUP(MONTH($B1188)/3,0)</f>
        <v>Q4</v>
      </c>
      <c r="E1188" s="61" t="n">
        <f aca="false">MONTH($B1188)</f>
        <v>12</v>
      </c>
      <c r="F1188" s="61" t="str">
        <f aca="false">INDEX(Parametros!$I$5:$I$16,$E1188)</f>
        <v>Dic</v>
      </c>
      <c r="G1188" s="61" t="str">
        <f aca="false">TEXT($C1188,"0000")&amp;"-"&amp;TEXT($E1188,"00")</f>
        <v>2024-12</v>
      </c>
      <c r="H1188" s="61" t="str">
        <f aca="false">INDEX(Parametros!$C$71:$C$91,MATCH(TRIM(INDEX(Datos_Origen!$C$2:$C$2459,$Z1188)),Parametros!$B$71:$B$91,0))</f>
        <v>NOA</v>
      </c>
      <c r="I1188" s="61" t="str">
        <f aca="false">IF(TRIM($AD1188)="",INDEX(Parametros!$I$20:$I$24,MATCH($H1188,Parametros!$H$20:$H$24,0)),TRIM($AD1188))</f>
        <v>Tucuman</v>
      </c>
      <c r="J1188" s="61" t="str">
        <f aca="false">INDEX(Parametros!$C$95:$C$106,MATCH(TRIM(INDEX(Datos_Origen!$E$2:$E$2459,$Z1188)),Parametros!$B$95:$B$106,0))</f>
        <v>Tienda fisica</v>
      </c>
      <c r="K1188" s="61" t="str">
        <f aca="false">INDEX(Parametros!$C$48:$C$67,MATCH(TRIM(INDEX(Datos_Origen!$F$2:$F$2459,$Z1188)),Parametros!$B$48:$B$67,0))</f>
        <v>Accesorios</v>
      </c>
      <c r="L1188" s="61" t="str">
        <f aca="false">$K1188&amp;" "&amp;$C1188</f>
        <v>Accesorios 2024</v>
      </c>
      <c r="M1188" s="61" t="str">
        <f aca="false">TRIM(INDEX(Datos_Origen!$G$2:$G$2459,$Z1188))</f>
        <v>Mouse Inalambrico</v>
      </c>
      <c r="N1188" s="61" t="str">
        <f aca="false">$M1188&amp;" "&amp;$C1188</f>
        <v>Mouse Inalambrico 2024</v>
      </c>
      <c r="O1188" s="63" t="n">
        <f aca="false">IF(ISTEXT($AC1188),VALUE($AC1188),$AC1188)</f>
        <v>42</v>
      </c>
      <c r="P1188" s="64" t="n">
        <f aca="false">INDEX(Datos_Origen!$I$2:$I$2459,$Z1188)</f>
        <v>27.44</v>
      </c>
      <c r="Q1188" s="64" t="n">
        <f aca="false">INDEX(Datos_Origen!$J$2:$J$2459,$Z1188)</f>
        <v>13.44</v>
      </c>
      <c r="R1188" s="65" t="n">
        <f aca="false">ROUND($O1188*$P1188,2)</f>
        <v>1152.48</v>
      </c>
      <c r="S1188" s="65" t="n">
        <f aca="false">ROUND($O1188*$Q1188,2)</f>
        <v>564.48</v>
      </c>
      <c r="T1188" s="65" t="n">
        <f aca="false">ROUND($R1188*SUMIFS(Parametros!$E$28:$E$43,Parametros!$B$28:$B$43,$J1188,Parametros!$C$28:$C$43,$C1188,Parametros!$D$28:$D$43,$D1188),2)</f>
        <v>14.98</v>
      </c>
      <c r="U1188" s="65" t="n">
        <f aca="false">$R1188-$S1188-$T1188</f>
        <v>573.02</v>
      </c>
      <c r="V1188" s="66" t="n">
        <f aca="false">IFERROR($U1188/$R1188,0)</f>
        <v>0.49720602526725</v>
      </c>
      <c r="W1188" s="67" t="str">
        <f aca="false">IF(AND($V1188&gt;=Parametros!$C$8,$R1188&gt;=Parametros!$C$12),"Alta rentabilidad",IF(OR($V1188&lt;Parametros!$C$11,$R1188&lt;Parametros!$C$13),"Revisar","Estandar"))</f>
        <v>Estandar</v>
      </c>
      <c r="X1188" s="67" t="str">
        <f aca="false">IF(AND($J1188="E-commerce",IFERROR($T1188/$R1188,0)&gt;Parametros!$C$14),"Alerta","OK")</f>
        <v>OK</v>
      </c>
      <c r="Y1188" s="61" t="str">
        <f aca="false">IF($R1188&gt;=Parametros!$C$12,"Alto",IF($R1188&lt;Parametros!$C$13,"Bajo","Medio"))</f>
        <v>Medio</v>
      </c>
      <c r="Z1188" s="61" t="n">
        <v>2197</v>
      </c>
      <c r="AA1188" s="61" t="str">
        <f aca="false">IF(MATCH($A1188,Datos_Origen!$A$2:$A$2459,0)=$Z1188,"OK","REVISAR")</f>
        <v>OK</v>
      </c>
      <c r="AB1188" s="62" t="n">
        <f aca="false">INDEX(Datos_Origen!$B$2:$B$2459,$Z1188)</f>
        <v>45647</v>
      </c>
      <c r="AC1188" s="61" t="n">
        <f aca="false">INDEX(Datos_Origen!$H$2:$H$2459,$Z1188)</f>
        <v>42</v>
      </c>
      <c r="AD1188" s="61" t="str">
        <f aca="false">INDEX(Datos_Origen!$D$2:$D$2459,$Z1188)&amp;""</f>
        <v>Tucuman</v>
      </c>
    </row>
    <row r="1189" customFormat="false" ht="15" hidden="false" customHeight="false" outlineLevel="0" collapsed="false">
      <c r="A1189" s="61" t="n">
        <f aca="false">INDEX(Datos_Origen!$A$2:$A$2459,$Z1189)</f>
        <v>1188</v>
      </c>
      <c r="B1189" s="62" t="n">
        <f aca="false">IF(ISNUMBER($AB1189),$AB1189,IF(MID($AB1189,5,1)="-",DATE(VALUE(LEFT($AB1189,4)),VALUE(MID($AB1189,6,2)),VALUE(RIGHT($AB1189,2))),DATE(VALUE(RIGHT($AB1189,4)),VALUE(MID($AB1189,4,2)),VALUE(LEFT($AB1189,2)))))</f>
        <v>45627</v>
      </c>
      <c r="C1189" s="61" t="n">
        <f aca="false">YEAR($B1189)</f>
        <v>2024</v>
      </c>
      <c r="D1189" s="61" t="str">
        <f aca="false">"Q"&amp;ROUNDUP(MONTH($B1189)/3,0)</f>
        <v>Q4</v>
      </c>
      <c r="E1189" s="61" t="n">
        <f aca="false">MONTH($B1189)</f>
        <v>12</v>
      </c>
      <c r="F1189" s="61" t="str">
        <f aca="false">INDEX(Parametros!$I$5:$I$16,$E1189)</f>
        <v>Dic</v>
      </c>
      <c r="G1189" s="61" t="str">
        <f aca="false">TEXT($C1189,"0000")&amp;"-"&amp;TEXT($E1189,"00")</f>
        <v>2024-12</v>
      </c>
      <c r="H1189" s="61" t="str">
        <f aca="false">INDEX(Parametros!$C$71:$C$91,MATCH(TRIM(INDEX(Datos_Origen!$C$2:$C$2459,$Z1189)),Parametros!$B$71:$B$91,0))</f>
        <v>NOA</v>
      </c>
      <c r="I1189" s="61" t="str">
        <f aca="false">IF(TRIM($AD1189)="",INDEX(Parametros!$I$20:$I$24,MATCH($H1189,Parametros!$H$20:$H$24,0)),TRIM($AD1189))</f>
        <v>Tucuman</v>
      </c>
      <c r="J1189" s="61" t="str">
        <f aca="false">INDEX(Parametros!$C$95:$C$106,MATCH(TRIM(INDEX(Datos_Origen!$E$2:$E$2459,$Z1189)),Parametros!$B$95:$B$106,0))</f>
        <v>E-commerce</v>
      </c>
      <c r="K1189" s="61" t="str">
        <f aca="false">INDEX(Parametros!$C$48:$C$67,MATCH(TRIM(INDEX(Datos_Origen!$F$2:$F$2459,$Z1189)),Parametros!$B$48:$B$67,0))</f>
        <v>Accesorios</v>
      </c>
      <c r="L1189" s="61" t="str">
        <f aca="false">$K1189&amp;" "&amp;$C1189</f>
        <v>Accesorios 2024</v>
      </c>
      <c r="M1189" s="61" t="str">
        <f aca="false">TRIM(INDEX(Datos_Origen!$G$2:$G$2459,$Z1189))</f>
        <v>Mouse Inalambrico</v>
      </c>
      <c r="N1189" s="61" t="str">
        <f aca="false">$M1189&amp;" "&amp;$C1189</f>
        <v>Mouse Inalambrico 2024</v>
      </c>
      <c r="O1189" s="63" t="n">
        <f aca="false">IF(ISTEXT($AC1189),VALUE($AC1189),$AC1189)</f>
        <v>19</v>
      </c>
      <c r="P1189" s="64" t="n">
        <f aca="false">INDEX(Datos_Origen!$I$2:$I$2459,$Z1189)</f>
        <v>27.44</v>
      </c>
      <c r="Q1189" s="64" t="n">
        <f aca="false">INDEX(Datos_Origen!$J$2:$J$2459,$Z1189)</f>
        <v>13.44</v>
      </c>
      <c r="R1189" s="65" t="n">
        <f aca="false">ROUND($O1189*$P1189,2)</f>
        <v>521.36</v>
      </c>
      <c r="S1189" s="65" t="n">
        <f aca="false">ROUND($O1189*$Q1189,2)</f>
        <v>255.36</v>
      </c>
      <c r="T1189" s="65" t="n">
        <f aca="false">ROUND($R1189*SUMIFS(Parametros!$E$28:$E$43,Parametros!$B$28:$B$43,$J1189,Parametros!$C$28:$C$43,$C1189,Parametros!$D$28:$D$43,$D1189),2)</f>
        <v>25.03</v>
      </c>
      <c r="U1189" s="65" t="n">
        <f aca="false">$R1189-$S1189-$T1189</f>
        <v>240.97</v>
      </c>
      <c r="V1189" s="66" t="n">
        <f aca="false">IFERROR($U1189/$R1189,0)</f>
        <v>0.462195028387295</v>
      </c>
      <c r="W1189" s="67" t="str">
        <f aca="false">IF(AND($V1189&gt;=Parametros!$C$8,$R1189&gt;=Parametros!$C$12),"Alta rentabilidad",IF(OR($V1189&lt;Parametros!$C$11,$R1189&lt;Parametros!$C$13),"Revisar","Estandar"))</f>
        <v>Estandar</v>
      </c>
      <c r="X1189" s="67" t="str">
        <f aca="false">IF(AND($J1189="E-commerce",IFERROR($T1189/$R1189,0)&gt;Parametros!$C$14),"Alerta","OK")</f>
        <v>OK</v>
      </c>
      <c r="Y1189" s="61" t="str">
        <f aca="false">IF($R1189&gt;=Parametros!$C$12,"Alto",IF($R1189&lt;Parametros!$C$13,"Bajo","Medio"))</f>
        <v>Medio</v>
      </c>
      <c r="Z1189" s="61" t="n">
        <v>406</v>
      </c>
      <c r="AA1189" s="61" t="str">
        <f aca="false">IF(MATCH($A1189,Datos_Origen!$A$2:$A$2459,0)=$Z1189,"OK","REVISAR")</f>
        <v>OK</v>
      </c>
      <c r="AB1189" s="62" t="n">
        <f aca="false">INDEX(Datos_Origen!$B$2:$B$2459,$Z1189)</f>
        <v>45627</v>
      </c>
      <c r="AC1189" s="61" t="n">
        <f aca="false">INDEX(Datos_Origen!$H$2:$H$2459,$Z1189)</f>
        <v>19</v>
      </c>
      <c r="AD1189" s="61" t="str">
        <f aca="false">INDEX(Datos_Origen!$D$2:$D$2459,$Z1189)&amp;""</f>
        <v>Tucuman</v>
      </c>
    </row>
    <row r="1190" customFormat="false" ht="15" hidden="false" customHeight="false" outlineLevel="0" collapsed="false">
      <c r="A1190" s="61" t="n">
        <f aca="false">INDEX(Datos_Origen!$A$2:$A$2459,$Z1190)</f>
        <v>1189</v>
      </c>
      <c r="B1190" s="62" t="n">
        <f aca="false">IF(ISNUMBER($AB1190),$AB1190,IF(MID($AB1190,5,1)="-",DATE(VALUE(LEFT($AB1190,4)),VALUE(MID($AB1190,6,2)),VALUE(RIGHT($AB1190,2))),DATE(VALUE(RIGHT($AB1190,4)),VALUE(MID($AB1190,4,2)),VALUE(LEFT($AB1190,2)))))</f>
        <v>45634</v>
      </c>
      <c r="C1190" s="61" t="n">
        <f aca="false">YEAR($B1190)</f>
        <v>2024</v>
      </c>
      <c r="D1190" s="61" t="str">
        <f aca="false">"Q"&amp;ROUNDUP(MONTH($B1190)/3,0)</f>
        <v>Q4</v>
      </c>
      <c r="E1190" s="61" t="n">
        <f aca="false">MONTH($B1190)</f>
        <v>12</v>
      </c>
      <c r="F1190" s="61" t="str">
        <f aca="false">INDEX(Parametros!$I$5:$I$16,$E1190)</f>
        <v>Dic</v>
      </c>
      <c r="G1190" s="61" t="str">
        <f aca="false">TEXT($C1190,"0000")&amp;"-"&amp;TEXT($E1190,"00")</f>
        <v>2024-12</v>
      </c>
      <c r="H1190" s="61" t="str">
        <f aca="false">INDEX(Parametros!$C$71:$C$91,MATCH(TRIM(INDEX(Datos_Origen!$C$2:$C$2459,$Z1190)),Parametros!$B$71:$B$91,0))</f>
        <v>NOA</v>
      </c>
      <c r="I1190" s="61" t="str">
        <f aca="false">IF(TRIM($AD1190)="",INDEX(Parametros!$I$20:$I$24,MATCH($H1190,Parametros!$H$20:$H$24,0)),TRIM($AD1190))</f>
        <v>Tucuman</v>
      </c>
      <c r="J1190" s="61" t="str">
        <f aca="false">INDEX(Parametros!$C$95:$C$106,MATCH(TRIM(INDEX(Datos_Origen!$E$2:$E$2459,$Z1190)),Parametros!$B$95:$B$106,0))</f>
        <v>Tienda fisica</v>
      </c>
      <c r="K1190" s="61" t="str">
        <f aca="false">INDEX(Parametros!$C$48:$C$67,MATCH(TRIM(INDEX(Datos_Origen!$F$2:$F$2459,$Z1190)),Parametros!$B$48:$B$67,0))</f>
        <v>Accesorios</v>
      </c>
      <c r="L1190" s="61" t="str">
        <f aca="false">$K1190&amp;" "&amp;$C1190</f>
        <v>Accesorios 2024</v>
      </c>
      <c r="M1190" s="61" t="str">
        <f aca="false">TRIM(INDEX(Datos_Origen!$G$2:$G$2459,$Z1190))</f>
        <v>Teclado Mecanico</v>
      </c>
      <c r="N1190" s="61" t="str">
        <f aca="false">$M1190&amp;" "&amp;$C1190</f>
        <v>Teclado Mecanico 2024</v>
      </c>
      <c r="O1190" s="63" t="n">
        <f aca="false">IF(ISTEXT($AC1190),VALUE($AC1190),$AC1190)</f>
        <v>52</v>
      </c>
      <c r="P1190" s="64" t="n">
        <f aca="false">INDEX(Datos_Origen!$I$2:$I$2459,$Z1190)</f>
        <v>93.1</v>
      </c>
      <c r="Q1190" s="64" t="n">
        <f aca="false">INDEX(Datos_Origen!$J$2:$J$2459,$Z1190)</f>
        <v>47.98</v>
      </c>
      <c r="R1190" s="65" t="n">
        <f aca="false">ROUND($O1190*$P1190,2)</f>
        <v>4841.2</v>
      </c>
      <c r="S1190" s="65" t="n">
        <f aca="false">ROUND($O1190*$Q1190,2)</f>
        <v>2494.96</v>
      </c>
      <c r="T1190" s="65" t="n">
        <f aca="false">ROUND($R1190*SUMIFS(Parametros!$E$28:$E$43,Parametros!$B$28:$B$43,$J1190,Parametros!$C$28:$C$43,$C1190,Parametros!$D$28:$D$43,$D1190),2)</f>
        <v>62.94</v>
      </c>
      <c r="U1190" s="65" t="n">
        <f aca="false">$R1190-$S1190-$T1190</f>
        <v>2283.3</v>
      </c>
      <c r="V1190" s="66" t="n">
        <f aca="false">IFERROR($U1190/$R1190,0)</f>
        <v>0.471639262992646</v>
      </c>
      <c r="W1190" s="67" t="str">
        <f aca="false">IF(AND($V1190&gt;=Parametros!$C$8,$R1190&gt;=Parametros!$C$12),"Alta rentabilidad",IF(OR($V1190&lt;Parametros!$C$11,$R1190&lt;Parametros!$C$13),"Revisar","Estandar"))</f>
        <v>Alta rentabilidad</v>
      </c>
      <c r="X1190" s="67" t="str">
        <f aca="false">IF(AND($J1190="E-commerce",IFERROR($T1190/$R1190,0)&gt;Parametros!$C$14),"Alerta","OK")</f>
        <v>OK</v>
      </c>
      <c r="Y1190" s="61" t="str">
        <f aca="false">IF($R1190&gt;=Parametros!$C$12,"Alto",IF($R1190&lt;Parametros!$C$13,"Bajo","Medio"))</f>
        <v>Alto</v>
      </c>
      <c r="Z1190" s="61" t="n">
        <v>1036</v>
      </c>
      <c r="AA1190" s="61" t="str">
        <f aca="false">IF(MATCH($A1190,Datos_Origen!$A$2:$A$2459,0)=$Z1190,"OK","REVISAR")</f>
        <v>OK</v>
      </c>
      <c r="AB1190" s="62" t="n">
        <f aca="false">INDEX(Datos_Origen!$B$2:$B$2459,$Z1190)</f>
        <v>45634</v>
      </c>
      <c r="AC1190" s="61" t="n">
        <f aca="false">INDEX(Datos_Origen!$H$2:$H$2459,$Z1190)</f>
        <v>52</v>
      </c>
      <c r="AD1190" s="61" t="str">
        <f aca="false">INDEX(Datos_Origen!$D$2:$D$2459,$Z1190)&amp;""</f>
        <v>Tucuman</v>
      </c>
    </row>
    <row r="1191" customFormat="false" ht="15" hidden="false" customHeight="false" outlineLevel="0" collapsed="false">
      <c r="A1191" s="61" t="n">
        <f aca="false">INDEX(Datos_Origen!$A$2:$A$2459,$Z1191)</f>
        <v>1190</v>
      </c>
      <c r="B1191" s="62" t="n">
        <f aca="false">IF(ISNUMBER($AB1191),$AB1191,IF(MID($AB1191,5,1)="-",DATE(VALUE(LEFT($AB1191,4)),VALUE(MID($AB1191,6,2)),VALUE(RIGHT($AB1191,2))),DATE(VALUE(RIGHT($AB1191,4)),VALUE(MID($AB1191,4,2)),VALUE(LEFT($AB1191,2)))))</f>
        <v>45641</v>
      </c>
      <c r="C1191" s="61" t="n">
        <f aca="false">YEAR($B1191)</f>
        <v>2024</v>
      </c>
      <c r="D1191" s="61" t="str">
        <f aca="false">"Q"&amp;ROUNDUP(MONTH($B1191)/3,0)</f>
        <v>Q4</v>
      </c>
      <c r="E1191" s="61" t="n">
        <f aca="false">MONTH($B1191)</f>
        <v>12</v>
      </c>
      <c r="F1191" s="61" t="str">
        <f aca="false">INDEX(Parametros!$I$5:$I$16,$E1191)</f>
        <v>Dic</v>
      </c>
      <c r="G1191" s="61" t="str">
        <f aca="false">TEXT($C1191,"0000")&amp;"-"&amp;TEXT($E1191,"00")</f>
        <v>2024-12</v>
      </c>
      <c r="H1191" s="61" t="str">
        <f aca="false">INDEX(Parametros!$C$71:$C$91,MATCH(TRIM(INDEX(Datos_Origen!$C$2:$C$2459,$Z1191)),Parametros!$B$71:$B$91,0))</f>
        <v>NOA</v>
      </c>
      <c r="I1191" s="61" t="str">
        <f aca="false">IF(TRIM($AD1191)="",INDEX(Parametros!$I$20:$I$24,MATCH($H1191,Parametros!$H$20:$H$24,0)),TRIM($AD1191))</f>
        <v>Tucuman</v>
      </c>
      <c r="J1191" s="61" t="str">
        <f aca="false">INDEX(Parametros!$C$95:$C$106,MATCH(TRIM(INDEX(Datos_Origen!$E$2:$E$2459,$Z1191)),Parametros!$B$95:$B$106,0))</f>
        <v>E-commerce</v>
      </c>
      <c r="K1191" s="61" t="str">
        <f aca="false">INDEX(Parametros!$C$48:$C$67,MATCH(TRIM(INDEX(Datos_Origen!$F$2:$F$2459,$Z1191)),Parametros!$B$48:$B$67,0))</f>
        <v>Accesorios</v>
      </c>
      <c r="L1191" s="61" t="str">
        <f aca="false">$K1191&amp;" "&amp;$C1191</f>
        <v>Accesorios 2024</v>
      </c>
      <c r="M1191" s="61" t="str">
        <f aca="false">TRIM(INDEX(Datos_Origen!$G$2:$G$2459,$Z1191))</f>
        <v>Teclado Mecanico</v>
      </c>
      <c r="N1191" s="61" t="str">
        <f aca="false">$M1191&amp;" "&amp;$C1191</f>
        <v>Teclado Mecanico 2024</v>
      </c>
      <c r="O1191" s="63" t="n">
        <f aca="false">IF(ISTEXT($AC1191),VALUE($AC1191),$AC1191)</f>
        <v>15</v>
      </c>
      <c r="P1191" s="64" t="n">
        <f aca="false">INDEX(Datos_Origen!$I$2:$I$2459,$Z1191)</f>
        <v>93.1</v>
      </c>
      <c r="Q1191" s="64" t="n">
        <f aca="false">INDEX(Datos_Origen!$J$2:$J$2459,$Z1191)</f>
        <v>47.98</v>
      </c>
      <c r="R1191" s="65" t="n">
        <f aca="false">ROUND($O1191*$P1191,2)</f>
        <v>1396.5</v>
      </c>
      <c r="S1191" s="65" t="n">
        <f aca="false">ROUND($O1191*$Q1191,2)</f>
        <v>719.7</v>
      </c>
      <c r="T1191" s="65" t="n">
        <f aca="false">ROUND($R1191*SUMIFS(Parametros!$E$28:$E$43,Parametros!$B$28:$B$43,$J1191,Parametros!$C$28:$C$43,$C1191,Parametros!$D$28:$D$43,$D1191),2)</f>
        <v>67.03</v>
      </c>
      <c r="U1191" s="65" t="n">
        <f aca="false">$R1191-$S1191-$T1191</f>
        <v>609.77</v>
      </c>
      <c r="V1191" s="66" t="n">
        <f aca="false">IFERROR($U1191/$R1191,0)</f>
        <v>0.436641604010025</v>
      </c>
      <c r="W1191" s="67" t="str">
        <f aca="false">IF(AND($V1191&gt;=Parametros!$C$8,$R1191&gt;=Parametros!$C$12),"Alta rentabilidad",IF(OR($V1191&lt;Parametros!$C$11,$R1191&lt;Parametros!$C$13),"Revisar","Estandar"))</f>
        <v>Estandar</v>
      </c>
      <c r="X1191" s="67" t="str">
        <f aca="false">IF(AND($J1191="E-commerce",IFERROR($T1191/$R1191,0)&gt;Parametros!$C$14),"Alerta","OK")</f>
        <v>OK</v>
      </c>
      <c r="Y1191" s="61" t="str">
        <f aca="false">IF($R1191&gt;=Parametros!$C$12,"Alto",IF($R1191&lt;Parametros!$C$13,"Bajo","Medio"))</f>
        <v>Medio</v>
      </c>
      <c r="Z1191" s="61" t="n">
        <v>1107</v>
      </c>
      <c r="AA1191" s="61" t="str">
        <f aca="false">IF(MATCH($A1191,Datos_Origen!$A$2:$A$2459,0)=$Z1191,"OK","REVISAR")</f>
        <v>OK</v>
      </c>
      <c r="AB1191" s="61" t="str">
        <f aca="false">INDEX(Datos_Origen!$B$2:$B$2459,$Z1191)</f>
        <v>15/12/2024</v>
      </c>
      <c r="AC1191" s="61" t="str">
        <f aca="false">INDEX(Datos_Origen!$H$2:$H$2459,$Z1191)</f>
        <v>15</v>
      </c>
      <c r="AD1191" s="61" t="str">
        <f aca="false">INDEX(Datos_Origen!$D$2:$D$2459,$Z1191)&amp;""</f>
        <v>Tucuman</v>
      </c>
    </row>
    <row r="1192" customFormat="false" ht="15" hidden="false" customHeight="false" outlineLevel="0" collapsed="false">
      <c r="A1192" s="61" t="n">
        <f aca="false">INDEX(Datos_Origen!$A$2:$A$2459,$Z1192)</f>
        <v>1191</v>
      </c>
      <c r="B1192" s="62" t="n">
        <f aca="false">IF(ISNUMBER($AB1192),$AB1192,IF(MID($AB1192,5,1)="-",DATE(VALUE(LEFT($AB1192,4)),VALUE(MID($AB1192,6,2)),VALUE(RIGHT($AB1192,2))),DATE(VALUE(RIGHT($AB1192,4)),VALUE(MID($AB1192,4,2)),VALUE(LEFT($AB1192,2)))))</f>
        <v>45648</v>
      </c>
      <c r="C1192" s="61" t="n">
        <f aca="false">YEAR($B1192)</f>
        <v>2024</v>
      </c>
      <c r="D1192" s="61" t="str">
        <f aca="false">"Q"&amp;ROUNDUP(MONTH($B1192)/3,0)</f>
        <v>Q4</v>
      </c>
      <c r="E1192" s="61" t="n">
        <f aca="false">MONTH($B1192)</f>
        <v>12</v>
      </c>
      <c r="F1192" s="61" t="str">
        <f aca="false">INDEX(Parametros!$I$5:$I$16,$E1192)</f>
        <v>Dic</v>
      </c>
      <c r="G1192" s="61" t="str">
        <f aca="false">TEXT($C1192,"0000")&amp;"-"&amp;TEXT($E1192,"00")</f>
        <v>2024-12</v>
      </c>
      <c r="H1192" s="61" t="str">
        <f aca="false">INDEX(Parametros!$C$71:$C$91,MATCH(TRIM(INDEX(Datos_Origen!$C$2:$C$2459,$Z1192)),Parametros!$B$71:$B$91,0))</f>
        <v>NOA</v>
      </c>
      <c r="I1192" s="61" t="str">
        <f aca="false">IF(TRIM($AD1192)="",INDEX(Parametros!$I$20:$I$24,MATCH($H1192,Parametros!$H$20:$H$24,0)),TRIM($AD1192))</f>
        <v>Tucuman</v>
      </c>
      <c r="J1192" s="61" t="str">
        <f aca="false">INDEX(Parametros!$C$95:$C$106,MATCH(TRIM(INDEX(Datos_Origen!$E$2:$E$2459,$Z1192)),Parametros!$B$95:$B$106,0))</f>
        <v>Tienda fisica</v>
      </c>
      <c r="K1192" s="61" t="str">
        <f aca="false">INDEX(Parametros!$C$48:$C$67,MATCH(TRIM(INDEX(Datos_Origen!$F$2:$F$2459,$Z1192)),Parametros!$B$48:$B$67,0))</f>
        <v>Accesorios</v>
      </c>
      <c r="L1192" s="61" t="str">
        <f aca="false">$K1192&amp;" "&amp;$C1192</f>
        <v>Accesorios 2024</v>
      </c>
      <c r="M1192" s="61" t="str">
        <f aca="false">TRIM(INDEX(Datos_Origen!$G$2:$G$2459,$Z1192))</f>
        <v>Webcam Full HD</v>
      </c>
      <c r="N1192" s="61" t="str">
        <f aca="false">$M1192&amp;" "&amp;$C1192</f>
        <v>Webcam Full HD 2024</v>
      </c>
      <c r="O1192" s="63" t="n">
        <f aca="false">IF(ISTEXT($AC1192),VALUE($AC1192),$AC1192)</f>
        <v>53</v>
      </c>
      <c r="P1192" s="64" t="n">
        <f aca="false">INDEX(Datos_Origen!$I$2:$I$2459,$Z1192)</f>
        <v>63.7</v>
      </c>
      <c r="Q1192" s="64" t="n">
        <f aca="false">INDEX(Datos_Origen!$J$2:$J$2459,$Z1192)</f>
        <v>35.43</v>
      </c>
      <c r="R1192" s="65" t="n">
        <f aca="false">ROUND($O1192*$P1192,2)</f>
        <v>3376.1</v>
      </c>
      <c r="S1192" s="65" t="n">
        <f aca="false">ROUND($O1192*$Q1192,2)</f>
        <v>1877.79</v>
      </c>
      <c r="T1192" s="65" t="n">
        <f aca="false">ROUND($R1192*SUMIFS(Parametros!$E$28:$E$43,Parametros!$B$28:$B$43,$J1192,Parametros!$C$28:$C$43,$C1192,Parametros!$D$28:$D$43,$D1192),2)</f>
        <v>43.89</v>
      </c>
      <c r="U1192" s="65" t="n">
        <f aca="false">$R1192-$S1192-$T1192</f>
        <v>1454.42</v>
      </c>
      <c r="V1192" s="66" t="n">
        <f aca="false">IFERROR($U1192/$R1192,0)</f>
        <v>0.430798850744942</v>
      </c>
      <c r="W1192" s="67" t="str">
        <f aca="false">IF(AND($V1192&gt;=Parametros!$C$8,$R1192&gt;=Parametros!$C$12),"Alta rentabilidad",IF(OR($V1192&lt;Parametros!$C$11,$R1192&lt;Parametros!$C$13),"Revisar","Estandar"))</f>
        <v>Alta rentabilidad</v>
      </c>
      <c r="X1192" s="67" t="str">
        <f aca="false">IF(AND($J1192="E-commerce",IFERROR($T1192/$R1192,0)&gt;Parametros!$C$14),"Alerta","OK")</f>
        <v>OK</v>
      </c>
      <c r="Y1192" s="61" t="str">
        <f aca="false">IF($R1192&gt;=Parametros!$C$12,"Alto",IF($R1192&lt;Parametros!$C$13,"Bajo","Medio"))</f>
        <v>Alto</v>
      </c>
      <c r="Z1192" s="61" t="n">
        <v>549</v>
      </c>
      <c r="AA1192" s="61" t="str">
        <f aca="false">IF(MATCH($A1192,Datos_Origen!$A$2:$A$2459,0)=$Z1192,"OK","REVISAR")</f>
        <v>OK</v>
      </c>
      <c r="AB1192" s="62" t="n">
        <f aca="false">INDEX(Datos_Origen!$B$2:$B$2459,$Z1192)</f>
        <v>45648</v>
      </c>
      <c r="AC1192" s="61" t="n">
        <f aca="false">INDEX(Datos_Origen!$H$2:$H$2459,$Z1192)</f>
        <v>53</v>
      </c>
      <c r="AD1192" s="61" t="str">
        <f aca="false">INDEX(Datos_Origen!$D$2:$D$2459,$Z1192)&amp;""</f>
        <v>Tucuman</v>
      </c>
    </row>
    <row r="1193" customFormat="false" ht="15" hidden="false" customHeight="false" outlineLevel="0" collapsed="false">
      <c r="A1193" s="61" t="n">
        <f aca="false">INDEX(Datos_Origen!$A$2:$A$2459,$Z1193)</f>
        <v>1192</v>
      </c>
      <c r="B1193" s="62" t="n">
        <f aca="false">IF(ISNUMBER($AB1193),$AB1193,IF(MID($AB1193,5,1)="-",DATE(VALUE(LEFT($AB1193,4)),VALUE(MID($AB1193,6,2)),VALUE(RIGHT($AB1193,2))),DATE(VALUE(RIGHT($AB1193,4)),VALUE(MID($AB1193,4,2)),VALUE(LEFT($AB1193,2)))))</f>
        <v>45628</v>
      </c>
      <c r="C1193" s="61" t="n">
        <f aca="false">YEAR($B1193)</f>
        <v>2024</v>
      </c>
      <c r="D1193" s="61" t="str">
        <f aca="false">"Q"&amp;ROUNDUP(MONTH($B1193)/3,0)</f>
        <v>Q4</v>
      </c>
      <c r="E1193" s="61" t="n">
        <f aca="false">MONTH($B1193)</f>
        <v>12</v>
      </c>
      <c r="F1193" s="61" t="str">
        <f aca="false">INDEX(Parametros!$I$5:$I$16,$E1193)</f>
        <v>Dic</v>
      </c>
      <c r="G1193" s="61" t="str">
        <f aca="false">TEXT($C1193,"0000")&amp;"-"&amp;TEXT($E1193,"00")</f>
        <v>2024-12</v>
      </c>
      <c r="H1193" s="61" t="str">
        <f aca="false">INDEX(Parametros!$C$71:$C$91,MATCH(TRIM(INDEX(Datos_Origen!$C$2:$C$2459,$Z1193)),Parametros!$B$71:$B$91,0))</f>
        <v>NOA</v>
      </c>
      <c r="I1193" s="61" t="str">
        <f aca="false">IF(TRIM($AD1193)="",INDEX(Parametros!$I$20:$I$24,MATCH($H1193,Parametros!$H$20:$H$24,0)),TRIM($AD1193))</f>
        <v>Tucuman</v>
      </c>
      <c r="J1193" s="61" t="str">
        <f aca="false">INDEX(Parametros!$C$95:$C$106,MATCH(TRIM(INDEX(Datos_Origen!$E$2:$E$2459,$Z1193)),Parametros!$B$95:$B$106,0))</f>
        <v>E-commerce</v>
      </c>
      <c r="K1193" s="61" t="str">
        <f aca="false">INDEX(Parametros!$C$48:$C$67,MATCH(TRIM(INDEX(Datos_Origen!$F$2:$F$2459,$Z1193)),Parametros!$B$48:$B$67,0))</f>
        <v>Accesorios</v>
      </c>
      <c r="L1193" s="61" t="str">
        <f aca="false">$K1193&amp;" "&amp;$C1193</f>
        <v>Accesorios 2024</v>
      </c>
      <c r="M1193" s="61" t="str">
        <f aca="false">TRIM(INDEX(Datos_Origen!$G$2:$G$2459,$Z1193))</f>
        <v>Webcam Full HD</v>
      </c>
      <c r="N1193" s="61" t="str">
        <f aca="false">$M1193&amp;" "&amp;$C1193</f>
        <v>Webcam Full HD 2024</v>
      </c>
      <c r="O1193" s="63" t="n">
        <f aca="false">IF(ISTEXT($AC1193),VALUE($AC1193),$AC1193)</f>
        <v>20</v>
      </c>
      <c r="P1193" s="64" t="n">
        <f aca="false">INDEX(Datos_Origen!$I$2:$I$2459,$Z1193)</f>
        <v>63.7</v>
      </c>
      <c r="Q1193" s="64" t="n">
        <f aca="false">INDEX(Datos_Origen!$J$2:$J$2459,$Z1193)</f>
        <v>35.43</v>
      </c>
      <c r="R1193" s="65" t="n">
        <f aca="false">ROUND($O1193*$P1193,2)</f>
        <v>1274</v>
      </c>
      <c r="S1193" s="65" t="n">
        <f aca="false">ROUND($O1193*$Q1193,2)</f>
        <v>708.6</v>
      </c>
      <c r="T1193" s="65" t="n">
        <f aca="false">ROUND($R1193*SUMIFS(Parametros!$E$28:$E$43,Parametros!$B$28:$B$43,$J1193,Parametros!$C$28:$C$43,$C1193,Parametros!$D$28:$D$43,$D1193),2)</f>
        <v>61.15</v>
      </c>
      <c r="U1193" s="65" t="n">
        <f aca="false">$R1193-$S1193-$T1193</f>
        <v>504.25</v>
      </c>
      <c r="V1193" s="66" t="n">
        <f aca="false">IFERROR($U1193/$R1193,0)</f>
        <v>0.395800627943485</v>
      </c>
      <c r="W1193" s="67" t="str">
        <f aca="false">IF(AND($V1193&gt;=Parametros!$C$8,$R1193&gt;=Parametros!$C$12),"Alta rentabilidad",IF(OR($V1193&lt;Parametros!$C$11,$R1193&lt;Parametros!$C$13),"Revisar","Estandar"))</f>
        <v>Estandar</v>
      </c>
      <c r="X1193" s="67" t="str">
        <f aca="false">IF(AND($J1193="E-commerce",IFERROR($T1193/$R1193,0)&gt;Parametros!$C$14),"Alerta","OK")</f>
        <v>OK</v>
      </c>
      <c r="Y1193" s="61" t="str">
        <f aca="false">IF($R1193&gt;=Parametros!$C$12,"Alto",IF($R1193&lt;Parametros!$C$13,"Bajo","Medio"))</f>
        <v>Medio</v>
      </c>
      <c r="Z1193" s="61" t="n">
        <v>1286</v>
      </c>
      <c r="AA1193" s="61" t="str">
        <f aca="false">IF(MATCH($A1193,Datos_Origen!$A$2:$A$2459,0)=$Z1193,"OK","REVISAR")</f>
        <v>OK</v>
      </c>
      <c r="AB1193" s="61" t="str">
        <f aca="false">INDEX(Datos_Origen!$B$2:$B$2459,$Z1193)</f>
        <v>02/12/2024</v>
      </c>
      <c r="AC1193" s="61" t="n">
        <f aca="false">INDEX(Datos_Origen!$H$2:$H$2459,$Z1193)</f>
        <v>20</v>
      </c>
      <c r="AD1193" s="61" t="str">
        <f aca="false">INDEX(Datos_Origen!$D$2:$D$2459,$Z1193)&amp;""</f>
        <v>Tucuman</v>
      </c>
    </row>
    <row r="1194" customFormat="false" ht="15" hidden="false" customHeight="false" outlineLevel="0" collapsed="false">
      <c r="A1194" s="61" t="n">
        <f aca="false">INDEX(Datos_Origen!$A$2:$A$2459,$Z1194)</f>
        <v>1193</v>
      </c>
      <c r="B1194" s="62" t="n">
        <f aca="false">IF(ISNUMBER($AB1194),$AB1194,IF(MID($AB1194,5,1)="-",DATE(VALUE(LEFT($AB1194,4)),VALUE(MID($AB1194,6,2)),VALUE(RIGHT($AB1194,2))),DATE(VALUE(RIGHT($AB1194,4)),VALUE(MID($AB1194,4,2)),VALUE(LEFT($AB1194,2)))))</f>
        <v>45635</v>
      </c>
      <c r="C1194" s="61" t="n">
        <f aca="false">YEAR($B1194)</f>
        <v>2024</v>
      </c>
      <c r="D1194" s="61" t="str">
        <f aca="false">"Q"&amp;ROUNDUP(MONTH($B1194)/3,0)</f>
        <v>Q4</v>
      </c>
      <c r="E1194" s="61" t="n">
        <f aca="false">MONTH($B1194)</f>
        <v>12</v>
      </c>
      <c r="F1194" s="61" t="str">
        <f aca="false">INDEX(Parametros!$I$5:$I$16,$E1194)</f>
        <v>Dic</v>
      </c>
      <c r="G1194" s="61" t="str">
        <f aca="false">TEXT($C1194,"0000")&amp;"-"&amp;TEXT($E1194,"00")</f>
        <v>2024-12</v>
      </c>
      <c r="H1194" s="61" t="str">
        <f aca="false">INDEX(Parametros!$C$71:$C$91,MATCH(TRIM(INDEX(Datos_Origen!$C$2:$C$2459,$Z1194)),Parametros!$B$71:$B$91,0))</f>
        <v>NOA</v>
      </c>
      <c r="I1194" s="61" t="str">
        <f aca="false">IF(TRIM($AD1194)="",INDEX(Parametros!$I$20:$I$24,MATCH($H1194,Parametros!$H$20:$H$24,0)),TRIM($AD1194))</f>
        <v>Tucuman</v>
      </c>
      <c r="J1194" s="61" t="str">
        <f aca="false">INDEX(Parametros!$C$95:$C$106,MATCH(TRIM(INDEX(Datos_Origen!$E$2:$E$2459,$Z1194)),Parametros!$B$95:$B$106,0))</f>
        <v>Tienda fisica</v>
      </c>
      <c r="K1194" s="61" t="str">
        <f aca="false">INDEX(Parametros!$C$48:$C$67,MATCH(TRIM(INDEX(Datos_Origen!$F$2:$F$2459,$Z1194)),Parametros!$B$48:$B$67,0))</f>
        <v>Audio</v>
      </c>
      <c r="L1194" s="61" t="str">
        <f aca="false">$K1194&amp;" "&amp;$C1194</f>
        <v>Audio 2024</v>
      </c>
      <c r="M1194" s="61" t="str">
        <f aca="false">TRIM(INDEX(Datos_Origen!$G$2:$G$2459,$Z1194))</f>
        <v>Auriculares BT Pro</v>
      </c>
      <c r="N1194" s="61" t="str">
        <f aca="false">$M1194&amp;" "&amp;$C1194</f>
        <v>Auriculares BT Pro 2024</v>
      </c>
      <c r="O1194" s="63" t="n">
        <f aca="false">IF(ISTEXT($AC1194),VALUE($AC1194),$AC1194)</f>
        <v>21</v>
      </c>
      <c r="P1194" s="64" t="n">
        <f aca="false">INDEX(Datos_Origen!$I$2:$I$2459,$Z1194)</f>
        <v>117.6</v>
      </c>
      <c r="Q1194" s="64" t="n">
        <f aca="false">INDEX(Datos_Origen!$J$2:$J$2459,$Z1194)</f>
        <v>63.6</v>
      </c>
      <c r="R1194" s="65" t="n">
        <f aca="false">ROUND($O1194*$P1194,2)</f>
        <v>2469.6</v>
      </c>
      <c r="S1194" s="65" t="n">
        <f aca="false">ROUND($O1194*$Q1194,2)</f>
        <v>1335.6</v>
      </c>
      <c r="T1194" s="65" t="n">
        <f aca="false">ROUND($R1194*SUMIFS(Parametros!$E$28:$E$43,Parametros!$B$28:$B$43,$J1194,Parametros!$C$28:$C$43,$C1194,Parametros!$D$28:$D$43,$D1194),2)</f>
        <v>32.1</v>
      </c>
      <c r="U1194" s="65" t="n">
        <f aca="false">$R1194-$S1194-$T1194</f>
        <v>1101.9</v>
      </c>
      <c r="V1194" s="66" t="n">
        <f aca="false">IFERROR($U1194/$R1194,0)</f>
        <v>0.446185617103985</v>
      </c>
      <c r="W1194" s="67" t="str">
        <f aca="false">IF(AND($V1194&gt;=Parametros!$C$8,$R1194&gt;=Parametros!$C$12),"Alta rentabilidad",IF(OR($V1194&lt;Parametros!$C$11,$R1194&lt;Parametros!$C$13),"Revisar","Estandar"))</f>
        <v>Estandar</v>
      </c>
      <c r="X1194" s="67" t="str">
        <f aca="false">IF(AND($J1194="E-commerce",IFERROR($T1194/$R1194,0)&gt;Parametros!$C$14),"Alerta","OK")</f>
        <v>OK</v>
      </c>
      <c r="Y1194" s="61" t="str">
        <f aca="false">IF($R1194&gt;=Parametros!$C$12,"Alto",IF($R1194&lt;Parametros!$C$13,"Bajo","Medio"))</f>
        <v>Medio</v>
      </c>
      <c r="Z1194" s="61" t="n">
        <v>2066</v>
      </c>
      <c r="AA1194" s="61" t="str">
        <f aca="false">IF(MATCH($A1194,Datos_Origen!$A$2:$A$2459,0)=$Z1194,"OK","REVISAR")</f>
        <v>OK</v>
      </c>
      <c r="AB1194" s="62" t="n">
        <f aca="false">INDEX(Datos_Origen!$B$2:$B$2459,$Z1194)</f>
        <v>45635</v>
      </c>
      <c r="AC1194" s="61" t="n">
        <f aca="false">INDEX(Datos_Origen!$H$2:$H$2459,$Z1194)</f>
        <v>21</v>
      </c>
      <c r="AD1194" s="61" t="str">
        <f aca="false">INDEX(Datos_Origen!$D$2:$D$2459,$Z1194)&amp;""</f>
        <v>Tucuman</v>
      </c>
    </row>
    <row r="1195" customFormat="false" ht="15" hidden="false" customHeight="false" outlineLevel="0" collapsed="false">
      <c r="A1195" s="61" t="n">
        <f aca="false">INDEX(Datos_Origen!$A$2:$A$2459,$Z1195)</f>
        <v>1194</v>
      </c>
      <c r="B1195" s="62" t="n">
        <f aca="false">IF(ISNUMBER($AB1195),$AB1195,IF(MID($AB1195,5,1)="-",DATE(VALUE(LEFT($AB1195,4)),VALUE(MID($AB1195,6,2)),VALUE(RIGHT($AB1195,2))),DATE(VALUE(RIGHT($AB1195,4)),VALUE(MID($AB1195,4,2)),VALUE(LEFT($AB1195,2)))))</f>
        <v>45642</v>
      </c>
      <c r="C1195" s="61" t="n">
        <f aca="false">YEAR($B1195)</f>
        <v>2024</v>
      </c>
      <c r="D1195" s="61" t="str">
        <f aca="false">"Q"&amp;ROUNDUP(MONTH($B1195)/3,0)</f>
        <v>Q4</v>
      </c>
      <c r="E1195" s="61" t="n">
        <f aca="false">MONTH($B1195)</f>
        <v>12</v>
      </c>
      <c r="F1195" s="61" t="str">
        <f aca="false">INDEX(Parametros!$I$5:$I$16,$E1195)</f>
        <v>Dic</v>
      </c>
      <c r="G1195" s="61" t="str">
        <f aca="false">TEXT($C1195,"0000")&amp;"-"&amp;TEXT($E1195,"00")</f>
        <v>2024-12</v>
      </c>
      <c r="H1195" s="61" t="str">
        <f aca="false">INDEX(Parametros!$C$71:$C$91,MATCH(TRIM(INDEX(Datos_Origen!$C$2:$C$2459,$Z1195)),Parametros!$B$71:$B$91,0))</f>
        <v>NOA</v>
      </c>
      <c r="I1195" s="61" t="str">
        <f aca="false">IF(TRIM($AD1195)="",INDEX(Parametros!$I$20:$I$24,MATCH($H1195,Parametros!$H$20:$H$24,0)),TRIM($AD1195))</f>
        <v>Tucuman</v>
      </c>
      <c r="J1195" s="61" t="str">
        <f aca="false">INDEX(Parametros!$C$95:$C$106,MATCH(TRIM(INDEX(Datos_Origen!$E$2:$E$2459,$Z1195)),Parametros!$B$95:$B$106,0))</f>
        <v>E-commerce</v>
      </c>
      <c r="K1195" s="61" t="str">
        <f aca="false">INDEX(Parametros!$C$48:$C$67,MATCH(TRIM(INDEX(Datos_Origen!$F$2:$F$2459,$Z1195)),Parametros!$B$48:$B$67,0))</f>
        <v>Audio</v>
      </c>
      <c r="L1195" s="61" t="str">
        <f aca="false">$K1195&amp;" "&amp;$C1195</f>
        <v>Audio 2024</v>
      </c>
      <c r="M1195" s="61" t="str">
        <f aca="false">TRIM(INDEX(Datos_Origen!$G$2:$G$2459,$Z1195))</f>
        <v>Auriculares BT Pro</v>
      </c>
      <c r="N1195" s="61" t="str">
        <f aca="false">$M1195&amp;" "&amp;$C1195</f>
        <v>Auriculares BT Pro 2024</v>
      </c>
      <c r="O1195" s="63" t="n">
        <f aca="false">IF(ISTEXT($AC1195),VALUE($AC1195),$AC1195)</f>
        <v>8</v>
      </c>
      <c r="P1195" s="64" t="n">
        <f aca="false">INDEX(Datos_Origen!$I$2:$I$2459,$Z1195)</f>
        <v>117.6</v>
      </c>
      <c r="Q1195" s="64" t="n">
        <f aca="false">INDEX(Datos_Origen!$J$2:$J$2459,$Z1195)</f>
        <v>63.6</v>
      </c>
      <c r="R1195" s="65" t="n">
        <f aca="false">ROUND($O1195*$P1195,2)</f>
        <v>940.8</v>
      </c>
      <c r="S1195" s="65" t="n">
        <f aca="false">ROUND($O1195*$Q1195,2)</f>
        <v>508.8</v>
      </c>
      <c r="T1195" s="65" t="n">
        <f aca="false">ROUND($R1195*SUMIFS(Parametros!$E$28:$E$43,Parametros!$B$28:$B$43,$J1195,Parametros!$C$28:$C$43,$C1195,Parametros!$D$28:$D$43,$D1195),2)</f>
        <v>45.16</v>
      </c>
      <c r="U1195" s="65" t="n">
        <f aca="false">$R1195-$S1195-$T1195</f>
        <v>386.84</v>
      </c>
      <c r="V1195" s="66" t="n">
        <f aca="false">IFERROR($U1195/$R1195,0)</f>
        <v>0.411181972789116</v>
      </c>
      <c r="W1195" s="67" t="str">
        <f aca="false">IF(AND($V1195&gt;=Parametros!$C$8,$R1195&gt;=Parametros!$C$12),"Alta rentabilidad",IF(OR($V1195&lt;Parametros!$C$11,$R1195&lt;Parametros!$C$13),"Revisar","Estandar"))</f>
        <v>Estandar</v>
      </c>
      <c r="X1195" s="67" t="str">
        <f aca="false">IF(AND($J1195="E-commerce",IFERROR($T1195/$R1195,0)&gt;Parametros!$C$14),"Alerta","OK")</f>
        <v>OK</v>
      </c>
      <c r="Y1195" s="61" t="str">
        <f aca="false">IF($R1195&gt;=Parametros!$C$12,"Alto",IF($R1195&lt;Parametros!$C$13,"Bajo","Medio"))</f>
        <v>Medio</v>
      </c>
      <c r="Z1195" s="61" t="n">
        <v>938</v>
      </c>
      <c r="AA1195" s="61" t="str">
        <f aca="false">IF(MATCH($A1195,Datos_Origen!$A$2:$A$2459,0)=$Z1195,"OK","REVISAR")</f>
        <v>OK</v>
      </c>
      <c r="AB1195" s="61" t="str">
        <f aca="false">INDEX(Datos_Origen!$B$2:$B$2459,$Z1195)</f>
        <v>16/12/2024</v>
      </c>
      <c r="AC1195" s="61" t="n">
        <f aca="false">INDEX(Datos_Origen!$H$2:$H$2459,$Z1195)</f>
        <v>8</v>
      </c>
      <c r="AD1195" s="61" t="str">
        <f aca="false">INDEX(Datos_Origen!$D$2:$D$2459,$Z1195)&amp;""</f>
        <v>Tucuman</v>
      </c>
    </row>
    <row r="1196" customFormat="false" ht="15" hidden="false" customHeight="false" outlineLevel="0" collapsed="false">
      <c r="A1196" s="61" t="n">
        <f aca="false">INDEX(Datos_Origen!$A$2:$A$2459,$Z1196)</f>
        <v>1195</v>
      </c>
      <c r="B1196" s="62" t="n">
        <f aca="false">IF(ISNUMBER($AB1196),$AB1196,IF(MID($AB1196,5,1)="-",DATE(VALUE(LEFT($AB1196,4)),VALUE(MID($AB1196,6,2)),VALUE(RIGHT($AB1196,2))),DATE(VALUE(RIGHT($AB1196,4)),VALUE(MID($AB1196,4,2)),VALUE(LEFT($AB1196,2)))))</f>
        <v>45649</v>
      </c>
      <c r="C1196" s="61" t="n">
        <f aca="false">YEAR($B1196)</f>
        <v>2024</v>
      </c>
      <c r="D1196" s="61" t="str">
        <f aca="false">"Q"&amp;ROUNDUP(MONTH($B1196)/3,0)</f>
        <v>Q4</v>
      </c>
      <c r="E1196" s="61" t="n">
        <f aca="false">MONTH($B1196)</f>
        <v>12</v>
      </c>
      <c r="F1196" s="61" t="str">
        <f aca="false">INDEX(Parametros!$I$5:$I$16,$E1196)</f>
        <v>Dic</v>
      </c>
      <c r="G1196" s="61" t="str">
        <f aca="false">TEXT($C1196,"0000")&amp;"-"&amp;TEXT($E1196,"00")</f>
        <v>2024-12</v>
      </c>
      <c r="H1196" s="61" t="str">
        <f aca="false">INDEX(Parametros!$C$71:$C$91,MATCH(TRIM(INDEX(Datos_Origen!$C$2:$C$2459,$Z1196)),Parametros!$B$71:$B$91,0))</f>
        <v>NOA</v>
      </c>
      <c r="I1196" s="61" t="str">
        <f aca="false">IF(TRIM($AD1196)="",INDEX(Parametros!$I$20:$I$24,MATCH($H1196,Parametros!$H$20:$H$24,0)),TRIM($AD1196))</f>
        <v>Tucuman</v>
      </c>
      <c r="J1196" s="61" t="str">
        <f aca="false">INDEX(Parametros!$C$95:$C$106,MATCH(TRIM(INDEX(Datos_Origen!$E$2:$E$2459,$Z1196)),Parametros!$B$95:$B$106,0))</f>
        <v>Tienda fisica</v>
      </c>
      <c r="K1196" s="61" t="str">
        <f aca="false">INDEX(Parametros!$C$48:$C$67,MATCH(TRIM(INDEX(Datos_Origen!$F$2:$F$2459,$Z1196)),Parametros!$B$48:$B$67,0))</f>
        <v>Audio</v>
      </c>
      <c r="L1196" s="61" t="str">
        <f aca="false">$K1196&amp;" "&amp;$C1196</f>
        <v>Audio 2024</v>
      </c>
      <c r="M1196" s="61" t="str">
        <f aca="false">TRIM(INDEX(Datos_Origen!$G$2:$G$2459,$Z1196))</f>
        <v>Parlante Bluetooth</v>
      </c>
      <c r="N1196" s="61" t="str">
        <f aca="false">$M1196&amp;" "&amp;$C1196</f>
        <v>Parlante Bluetooth 2024</v>
      </c>
      <c r="O1196" s="63" t="n">
        <f aca="false">IF(ISTEXT($AC1196),VALUE($AC1196),$AC1196)</f>
        <v>24</v>
      </c>
      <c r="P1196" s="64" t="n">
        <f aca="false">INDEX(Datos_Origen!$I$2:$I$2459,$Z1196)</f>
        <v>83.3</v>
      </c>
      <c r="Q1196" s="64" t="n">
        <f aca="false">INDEX(Datos_Origen!$J$2:$J$2459,$Z1196)</f>
        <v>48.03</v>
      </c>
      <c r="R1196" s="65" t="n">
        <f aca="false">ROUND($O1196*$P1196,2)</f>
        <v>1999.2</v>
      </c>
      <c r="S1196" s="65" t="n">
        <f aca="false">ROUND($O1196*$Q1196,2)</f>
        <v>1152.72</v>
      </c>
      <c r="T1196" s="65" t="n">
        <f aca="false">ROUND($R1196*SUMIFS(Parametros!$E$28:$E$43,Parametros!$B$28:$B$43,$J1196,Parametros!$C$28:$C$43,$C1196,Parametros!$D$28:$D$43,$D1196),2)</f>
        <v>25.99</v>
      </c>
      <c r="U1196" s="65" t="n">
        <f aca="false">$R1196-$S1196-$T1196</f>
        <v>820.49</v>
      </c>
      <c r="V1196" s="66" t="n">
        <f aca="false">IFERROR($U1196/$R1196,0)</f>
        <v>0.410409163665466</v>
      </c>
      <c r="W1196" s="67" t="str">
        <f aca="false">IF(AND($V1196&gt;=Parametros!$C$8,$R1196&gt;=Parametros!$C$12),"Alta rentabilidad",IF(OR($V1196&lt;Parametros!$C$11,$R1196&lt;Parametros!$C$13),"Revisar","Estandar"))</f>
        <v>Estandar</v>
      </c>
      <c r="X1196" s="67" t="str">
        <f aca="false">IF(AND($J1196="E-commerce",IFERROR($T1196/$R1196,0)&gt;Parametros!$C$14),"Alerta","OK")</f>
        <v>OK</v>
      </c>
      <c r="Y1196" s="61" t="str">
        <f aca="false">IF($R1196&gt;=Parametros!$C$12,"Alto",IF($R1196&lt;Parametros!$C$13,"Bajo","Medio"))</f>
        <v>Medio</v>
      </c>
      <c r="Z1196" s="61" t="n">
        <v>1064</v>
      </c>
      <c r="AA1196" s="61" t="str">
        <f aca="false">IF(MATCH($A1196,Datos_Origen!$A$2:$A$2459,0)=$Z1196,"OK","REVISAR")</f>
        <v>OK</v>
      </c>
      <c r="AB1196" s="62" t="n">
        <f aca="false">INDEX(Datos_Origen!$B$2:$B$2459,$Z1196)</f>
        <v>45649</v>
      </c>
      <c r="AC1196" s="61" t="n">
        <f aca="false">INDEX(Datos_Origen!$H$2:$H$2459,$Z1196)</f>
        <v>24</v>
      </c>
      <c r="AD1196" s="61" t="str">
        <f aca="false">INDEX(Datos_Origen!$D$2:$D$2459,$Z1196)&amp;""</f>
        <v>Tucuman</v>
      </c>
    </row>
    <row r="1197" customFormat="false" ht="15" hidden="false" customHeight="false" outlineLevel="0" collapsed="false">
      <c r="A1197" s="61" t="n">
        <f aca="false">INDEX(Datos_Origen!$A$2:$A$2459,$Z1197)</f>
        <v>1196</v>
      </c>
      <c r="B1197" s="62" t="n">
        <f aca="false">IF(ISNUMBER($AB1197),$AB1197,IF(MID($AB1197,5,1)="-",DATE(VALUE(LEFT($AB1197,4)),VALUE(MID($AB1197,6,2)),VALUE(RIGHT($AB1197,2))),DATE(VALUE(RIGHT($AB1197,4)),VALUE(MID($AB1197,4,2)),VALUE(LEFT($AB1197,2)))))</f>
        <v>45629</v>
      </c>
      <c r="C1197" s="61" t="n">
        <f aca="false">YEAR($B1197)</f>
        <v>2024</v>
      </c>
      <c r="D1197" s="61" t="str">
        <f aca="false">"Q"&amp;ROUNDUP(MONTH($B1197)/3,0)</f>
        <v>Q4</v>
      </c>
      <c r="E1197" s="61" t="n">
        <f aca="false">MONTH($B1197)</f>
        <v>12</v>
      </c>
      <c r="F1197" s="61" t="str">
        <f aca="false">INDEX(Parametros!$I$5:$I$16,$E1197)</f>
        <v>Dic</v>
      </c>
      <c r="G1197" s="61" t="str">
        <f aca="false">TEXT($C1197,"0000")&amp;"-"&amp;TEXT($E1197,"00")</f>
        <v>2024-12</v>
      </c>
      <c r="H1197" s="61" t="str">
        <f aca="false">INDEX(Parametros!$C$71:$C$91,MATCH(TRIM(INDEX(Datos_Origen!$C$2:$C$2459,$Z1197)),Parametros!$B$71:$B$91,0))</f>
        <v>NOA</v>
      </c>
      <c r="I1197" s="61" t="str">
        <f aca="false">IF(TRIM($AD1197)="",INDEX(Parametros!$I$20:$I$24,MATCH($H1197,Parametros!$H$20:$H$24,0)),TRIM($AD1197))</f>
        <v>Tucuman</v>
      </c>
      <c r="J1197" s="61" t="str">
        <f aca="false">INDEX(Parametros!$C$95:$C$106,MATCH(TRIM(INDEX(Datos_Origen!$E$2:$E$2459,$Z1197)),Parametros!$B$95:$B$106,0))</f>
        <v>E-commerce</v>
      </c>
      <c r="K1197" s="61" t="str">
        <f aca="false">INDEX(Parametros!$C$48:$C$67,MATCH(TRIM(INDEX(Datos_Origen!$F$2:$F$2459,$Z1197)),Parametros!$B$48:$B$67,0))</f>
        <v>Audio</v>
      </c>
      <c r="L1197" s="61" t="str">
        <f aca="false">$K1197&amp;" "&amp;$C1197</f>
        <v>Audio 2024</v>
      </c>
      <c r="M1197" s="61" t="str">
        <f aca="false">TRIM(INDEX(Datos_Origen!$G$2:$G$2459,$Z1197))</f>
        <v>Parlante Bluetooth</v>
      </c>
      <c r="N1197" s="61" t="str">
        <f aca="false">$M1197&amp;" "&amp;$C1197</f>
        <v>Parlante Bluetooth 2024</v>
      </c>
      <c r="O1197" s="63" t="n">
        <f aca="false">IF(ISTEXT($AC1197),VALUE($AC1197),$AC1197)</f>
        <v>9</v>
      </c>
      <c r="P1197" s="64" t="n">
        <f aca="false">INDEX(Datos_Origen!$I$2:$I$2459,$Z1197)</f>
        <v>83.3</v>
      </c>
      <c r="Q1197" s="64" t="n">
        <f aca="false">INDEX(Datos_Origen!$J$2:$J$2459,$Z1197)</f>
        <v>48.03</v>
      </c>
      <c r="R1197" s="65" t="n">
        <f aca="false">ROUND($O1197*$P1197,2)</f>
        <v>749.7</v>
      </c>
      <c r="S1197" s="65" t="n">
        <f aca="false">ROUND($O1197*$Q1197,2)</f>
        <v>432.27</v>
      </c>
      <c r="T1197" s="65" t="n">
        <f aca="false">ROUND($R1197*SUMIFS(Parametros!$E$28:$E$43,Parametros!$B$28:$B$43,$J1197,Parametros!$C$28:$C$43,$C1197,Parametros!$D$28:$D$43,$D1197),2)</f>
        <v>35.99</v>
      </c>
      <c r="U1197" s="65" t="n">
        <f aca="false">$R1197-$S1197-$T1197</f>
        <v>281.44</v>
      </c>
      <c r="V1197" s="66" t="n">
        <f aca="false">IFERROR($U1197/$R1197,0)</f>
        <v>0.375403494731226</v>
      </c>
      <c r="W1197" s="67" t="str">
        <f aca="false">IF(AND($V1197&gt;=Parametros!$C$8,$R1197&gt;=Parametros!$C$12),"Alta rentabilidad",IF(OR($V1197&lt;Parametros!$C$11,$R1197&lt;Parametros!$C$13),"Revisar","Estandar"))</f>
        <v>Estandar</v>
      </c>
      <c r="X1197" s="67" t="str">
        <f aca="false">IF(AND($J1197="E-commerce",IFERROR($T1197/$R1197,0)&gt;Parametros!$C$14),"Alerta","OK")</f>
        <v>OK</v>
      </c>
      <c r="Y1197" s="61" t="str">
        <f aca="false">IF($R1197&gt;=Parametros!$C$12,"Alto",IF($R1197&lt;Parametros!$C$13,"Bajo","Medio"))</f>
        <v>Medio</v>
      </c>
      <c r="Z1197" s="61" t="n">
        <v>545</v>
      </c>
      <c r="AA1197" s="61" t="str">
        <f aca="false">IF(MATCH($A1197,Datos_Origen!$A$2:$A$2459,0)=$Z1197,"OK","REVISAR")</f>
        <v>OK</v>
      </c>
      <c r="AB1197" s="62" t="n">
        <f aca="false">INDEX(Datos_Origen!$B$2:$B$2459,$Z1197)</f>
        <v>45629</v>
      </c>
      <c r="AC1197" s="61" t="n">
        <f aca="false">INDEX(Datos_Origen!$H$2:$H$2459,$Z1197)</f>
        <v>9</v>
      </c>
      <c r="AD1197" s="61" t="str">
        <f aca="false">INDEX(Datos_Origen!$D$2:$D$2459,$Z1197)&amp;""</f>
        <v>Tucuman</v>
      </c>
    </row>
    <row r="1198" customFormat="false" ht="15" hidden="false" customHeight="false" outlineLevel="0" collapsed="false">
      <c r="A1198" s="61" t="n">
        <f aca="false">INDEX(Datos_Origen!$A$2:$A$2459,$Z1198)</f>
        <v>1197</v>
      </c>
      <c r="B1198" s="62" t="n">
        <f aca="false">IF(ISNUMBER($AB1198),$AB1198,IF(MID($AB1198,5,1)="-",DATE(VALUE(LEFT($AB1198,4)),VALUE(MID($AB1198,6,2)),VALUE(RIGHT($AB1198,2))),DATE(VALUE(RIGHT($AB1198,4)),VALUE(MID($AB1198,4,2)),VALUE(LEFT($AB1198,2)))))</f>
        <v>45636</v>
      </c>
      <c r="C1198" s="61" t="n">
        <f aca="false">YEAR($B1198)</f>
        <v>2024</v>
      </c>
      <c r="D1198" s="61" t="str">
        <f aca="false">"Q"&amp;ROUNDUP(MONTH($B1198)/3,0)</f>
        <v>Q4</v>
      </c>
      <c r="E1198" s="61" t="n">
        <f aca="false">MONTH($B1198)</f>
        <v>12</v>
      </c>
      <c r="F1198" s="61" t="str">
        <f aca="false">INDEX(Parametros!$I$5:$I$16,$E1198)</f>
        <v>Dic</v>
      </c>
      <c r="G1198" s="61" t="str">
        <f aca="false">TEXT($C1198,"0000")&amp;"-"&amp;TEXT($E1198,"00")</f>
        <v>2024-12</v>
      </c>
      <c r="H1198" s="61" t="str">
        <f aca="false">INDEX(Parametros!$C$71:$C$91,MATCH(TRIM(INDEX(Datos_Origen!$C$2:$C$2459,$Z1198)),Parametros!$B$71:$B$91,0))</f>
        <v>NOA</v>
      </c>
      <c r="I1198" s="61" t="str">
        <f aca="false">IF(TRIM($AD1198)="",INDEX(Parametros!$I$20:$I$24,MATCH($H1198,Parametros!$H$20:$H$24,0)),TRIM($AD1198))</f>
        <v>Tucuman</v>
      </c>
      <c r="J1198" s="61" t="str">
        <f aca="false">INDEX(Parametros!$C$95:$C$106,MATCH(TRIM(INDEX(Datos_Origen!$E$2:$E$2459,$Z1198)),Parametros!$B$95:$B$106,0))</f>
        <v>Tienda fisica</v>
      </c>
      <c r="K1198" s="61" t="str">
        <f aca="false">INDEX(Parametros!$C$48:$C$67,MATCH(TRIM(INDEX(Datos_Origen!$F$2:$F$2459,$Z1198)),Parametros!$B$48:$B$67,0))</f>
        <v>Almacenamiento</v>
      </c>
      <c r="L1198" s="61" t="str">
        <f aca="false">$K1198&amp;" "&amp;$C1198</f>
        <v>Almacenamiento 2024</v>
      </c>
      <c r="M1198" s="61" t="str">
        <f aca="false">TRIM(INDEX(Datos_Origen!$G$2:$G$2459,$Z1198))</f>
        <v>SSD Externo 1TB</v>
      </c>
      <c r="N1198" s="61" t="str">
        <f aca="false">$M1198&amp;" "&amp;$C1198</f>
        <v>SSD Externo 1TB 2024</v>
      </c>
      <c r="O1198" s="63" t="n">
        <f aca="false">IF(ISTEXT($AC1198),VALUE($AC1198),$AC1198)</f>
        <v>24</v>
      </c>
      <c r="P1198" s="64" t="n">
        <f aca="false">INDEX(Datos_Origen!$I$2:$I$2459,$Z1198)</f>
        <v>127.4</v>
      </c>
      <c r="Q1198" s="64" t="n">
        <f aca="false">INDEX(Datos_Origen!$J$2:$J$2459,$Z1198)</f>
        <v>76.05</v>
      </c>
      <c r="R1198" s="65" t="n">
        <f aca="false">ROUND($O1198*$P1198,2)</f>
        <v>3057.6</v>
      </c>
      <c r="S1198" s="65" t="n">
        <f aca="false">ROUND($O1198*$Q1198,2)</f>
        <v>1825.2</v>
      </c>
      <c r="T1198" s="65" t="n">
        <f aca="false">ROUND($R1198*SUMIFS(Parametros!$E$28:$E$43,Parametros!$B$28:$B$43,$J1198,Parametros!$C$28:$C$43,$C1198,Parametros!$D$28:$D$43,$D1198),2)</f>
        <v>39.75</v>
      </c>
      <c r="U1198" s="65" t="n">
        <f aca="false">$R1198-$S1198-$T1198</f>
        <v>1192.65</v>
      </c>
      <c r="V1198" s="66" t="n">
        <f aca="false">IFERROR($U1198/$R1198,0)</f>
        <v>0.390060832025118</v>
      </c>
      <c r="W1198" s="67" t="str">
        <f aca="false">IF(AND($V1198&gt;=Parametros!$C$8,$R1198&gt;=Parametros!$C$12),"Alta rentabilidad",IF(OR($V1198&lt;Parametros!$C$11,$R1198&lt;Parametros!$C$13),"Revisar","Estandar"))</f>
        <v>Alta rentabilidad</v>
      </c>
      <c r="X1198" s="67" t="str">
        <f aca="false">IF(AND($J1198="E-commerce",IFERROR($T1198/$R1198,0)&gt;Parametros!$C$14),"Alerta","OK")</f>
        <v>OK</v>
      </c>
      <c r="Y1198" s="61" t="str">
        <f aca="false">IF($R1198&gt;=Parametros!$C$12,"Alto",IF($R1198&lt;Parametros!$C$13,"Bajo","Medio"))</f>
        <v>Alto</v>
      </c>
      <c r="Z1198" s="61" t="n">
        <v>2081</v>
      </c>
      <c r="AA1198" s="61" t="str">
        <f aca="false">IF(MATCH($A1198,Datos_Origen!$A$2:$A$2459,0)=$Z1198,"OK","REVISAR")</f>
        <v>OK</v>
      </c>
      <c r="AB1198" s="62" t="n">
        <f aca="false">INDEX(Datos_Origen!$B$2:$B$2459,$Z1198)</f>
        <v>45636</v>
      </c>
      <c r="AC1198" s="61" t="n">
        <f aca="false">INDEX(Datos_Origen!$H$2:$H$2459,$Z1198)</f>
        <v>24</v>
      </c>
      <c r="AD1198" s="61" t="str">
        <f aca="false">INDEX(Datos_Origen!$D$2:$D$2459,$Z1198)&amp;""</f>
        <v>Tucuman</v>
      </c>
    </row>
    <row r="1199" customFormat="false" ht="15" hidden="false" customHeight="false" outlineLevel="0" collapsed="false">
      <c r="A1199" s="61" t="n">
        <f aca="false">INDEX(Datos_Origen!$A$2:$A$2459,$Z1199)</f>
        <v>1198</v>
      </c>
      <c r="B1199" s="62" t="n">
        <f aca="false">IF(ISNUMBER($AB1199),$AB1199,IF(MID($AB1199,5,1)="-",DATE(VALUE(LEFT($AB1199,4)),VALUE(MID($AB1199,6,2)),VALUE(RIGHT($AB1199,2))),DATE(VALUE(RIGHT($AB1199,4)),VALUE(MID($AB1199,4,2)),VALUE(LEFT($AB1199,2)))))</f>
        <v>45643</v>
      </c>
      <c r="C1199" s="61" t="n">
        <f aca="false">YEAR($B1199)</f>
        <v>2024</v>
      </c>
      <c r="D1199" s="61" t="str">
        <f aca="false">"Q"&amp;ROUNDUP(MONTH($B1199)/3,0)</f>
        <v>Q4</v>
      </c>
      <c r="E1199" s="61" t="n">
        <f aca="false">MONTH($B1199)</f>
        <v>12</v>
      </c>
      <c r="F1199" s="61" t="str">
        <f aca="false">INDEX(Parametros!$I$5:$I$16,$E1199)</f>
        <v>Dic</v>
      </c>
      <c r="G1199" s="61" t="str">
        <f aca="false">TEXT($C1199,"0000")&amp;"-"&amp;TEXT($E1199,"00")</f>
        <v>2024-12</v>
      </c>
      <c r="H1199" s="61" t="str">
        <f aca="false">INDEX(Parametros!$C$71:$C$91,MATCH(TRIM(INDEX(Datos_Origen!$C$2:$C$2459,$Z1199)),Parametros!$B$71:$B$91,0))</f>
        <v>NOA</v>
      </c>
      <c r="I1199" s="61" t="str">
        <f aca="false">IF(TRIM($AD1199)="",INDEX(Parametros!$I$20:$I$24,MATCH($H1199,Parametros!$H$20:$H$24,0)),TRIM($AD1199))</f>
        <v>Tucuman</v>
      </c>
      <c r="J1199" s="61" t="str">
        <f aca="false">INDEX(Parametros!$C$95:$C$106,MATCH(TRIM(INDEX(Datos_Origen!$E$2:$E$2459,$Z1199)),Parametros!$B$95:$B$106,0))</f>
        <v>E-commerce</v>
      </c>
      <c r="K1199" s="61" t="str">
        <f aca="false">INDEX(Parametros!$C$48:$C$67,MATCH(TRIM(INDEX(Datos_Origen!$F$2:$F$2459,$Z1199)),Parametros!$B$48:$B$67,0))</f>
        <v>Almacenamiento</v>
      </c>
      <c r="L1199" s="61" t="str">
        <f aca="false">$K1199&amp;" "&amp;$C1199</f>
        <v>Almacenamiento 2024</v>
      </c>
      <c r="M1199" s="61" t="str">
        <f aca="false">TRIM(INDEX(Datos_Origen!$G$2:$G$2459,$Z1199))</f>
        <v>SSD Externo 1TB</v>
      </c>
      <c r="N1199" s="61" t="str">
        <f aca="false">$M1199&amp;" "&amp;$C1199</f>
        <v>SSD Externo 1TB 2024</v>
      </c>
      <c r="O1199" s="63" t="n">
        <f aca="false">IF(ISTEXT($AC1199),VALUE($AC1199),$AC1199)</f>
        <v>11</v>
      </c>
      <c r="P1199" s="64" t="n">
        <f aca="false">INDEX(Datos_Origen!$I$2:$I$2459,$Z1199)</f>
        <v>127.4</v>
      </c>
      <c r="Q1199" s="64" t="n">
        <f aca="false">INDEX(Datos_Origen!$J$2:$J$2459,$Z1199)</f>
        <v>76.05</v>
      </c>
      <c r="R1199" s="65" t="n">
        <f aca="false">ROUND($O1199*$P1199,2)</f>
        <v>1401.4</v>
      </c>
      <c r="S1199" s="65" t="n">
        <f aca="false">ROUND($O1199*$Q1199,2)</f>
        <v>836.55</v>
      </c>
      <c r="T1199" s="65" t="n">
        <f aca="false">ROUND($R1199*SUMIFS(Parametros!$E$28:$E$43,Parametros!$B$28:$B$43,$J1199,Parametros!$C$28:$C$43,$C1199,Parametros!$D$28:$D$43,$D1199),2)</f>
        <v>67.27</v>
      </c>
      <c r="U1199" s="65" t="n">
        <f aca="false">$R1199-$S1199-$T1199</f>
        <v>497.58</v>
      </c>
      <c r="V1199" s="66" t="n">
        <f aca="false">IFERROR($U1199/$R1199,0)</f>
        <v>0.355059226487798</v>
      </c>
      <c r="W1199" s="67" t="str">
        <f aca="false">IF(AND($V1199&gt;=Parametros!$C$8,$R1199&gt;=Parametros!$C$12),"Alta rentabilidad",IF(OR($V1199&lt;Parametros!$C$11,$R1199&lt;Parametros!$C$13),"Revisar","Estandar"))</f>
        <v>Estandar</v>
      </c>
      <c r="X1199" s="67" t="str">
        <f aca="false">IF(AND($J1199="E-commerce",IFERROR($T1199/$R1199,0)&gt;Parametros!$C$14),"Alerta","OK")</f>
        <v>OK</v>
      </c>
      <c r="Y1199" s="61" t="str">
        <f aca="false">IF($R1199&gt;=Parametros!$C$12,"Alto",IF($R1199&lt;Parametros!$C$13,"Bajo","Medio"))</f>
        <v>Medio</v>
      </c>
      <c r="Z1199" s="61" t="n">
        <v>1155</v>
      </c>
      <c r="AA1199" s="61" t="str">
        <f aca="false">IF(MATCH($A1199,Datos_Origen!$A$2:$A$2459,0)=$Z1199,"OK","REVISAR")</f>
        <v>OK</v>
      </c>
      <c r="AB1199" s="62" t="n">
        <f aca="false">INDEX(Datos_Origen!$B$2:$B$2459,$Z1199)</f>
        <v>45643</v>
      </c>
      <c r="AC1199" s="61" t="n">
        <f aca="false">INDEX(Datos_Origen!$H$2:$H$2459,$Z1199)</f>
        <v>11</v>
      </c>
      <c r="AD1199" s="61" t="str">
        <f aca="false">INDEX(Datos_Origen!$D$2:$D$2459,$Z1199)&amp;""</f>
        <v>Tucuman</v>
      </c>
    </row>
    <row r="1200" customFormat="false" ht="15" hidden="false" customHeight="false" outlineLevel="0" collapsed="false">
      <c r="A1200" s="61" t="n">
        <f aca="false">INDEX(Datos_Origen!$A$2:$A$2459,$Z1200)</f>
        <v>1199</v>
      </c>
      <c r="B1200" s="62" t="n">
        <f aca="false">IF(ISNUMBER($AB1200),$AB1200,IF(MID($AB1200,5,1)="-",DATE(VALUE(LEFT($AB1200,4)),VALUE(MID($AB1200,6,2)),VALUE(RIGHT($AB1200,2))),DATE(VALUE(RIGHT($AB1200,4)),VALUE(MID($AB1200,4,2)),VALUE(LEFT($AB1200,2)))))</f>
        <v>45650</v>
      </c>
      <c r="C1200" s="61" t="n">
        <f aca="false">YEAR($B1200)</f>
        <v>2024</v>
      </c>
      <c r="D1200" s="61" t="str">
        <f aca="false">"Q"&amp;ROUNDUP(MONTH($B1200)/3,0)</f>
        <v>Q4</v>
      </c>
      <c r="E1200" s="61" t="n">
        <f aca="false">MONTH($B1200)</f>
        <v>12</v>
      </c>
      <c r="F1200" s="61" t="str">
        <f aca="false">INDEX(Parametros!$I$5:$I$16,$E1200)</f>
        <v>Dic</v>
      </c>
      <c r="G1200" s="61" t="str">
        <f aca="false">TEXT($C1200,"0000")&amp;"-"&amp;TEXT($E1200,"00")</f>
        <v>2024-12</v>
      </c>
      <c r="H1200" s="61" t="str">
        <f aca="false">INDEX(Parametros!$C$71:$C$91,MATCH(TRIM(INDEX(Datos_Origen!$C$2:$C$2459,$Z1200)),Parametros!$B$71:$B$91,0))</f>
        <v>NOA</v>
      </c>
      <c r="I1200" s="61" t="str">
        <f aca="false">IF(TRIM($AD1200)="",INDEX(Parametros!$I$20:$I$24,MATCH($H1200,Parametros!$H$20:$H$24,0)),TRIM($AD1200))</f>
        <v>Tucuman</v>
      </c>
      <c r="J1200" s="61" t="str">
        <f aca="false">INDEX(Parametros!$C$95:$C$106,MATCH(TRIM(INDEX(Datos_Origen!$E$2:$E$2459,$Z1200)),Parametros!$B$95:$B$106,0))</f>
        <v>Tienda fisica</v>
      </c>
      <c r="K1200" s="61" t="str">
        <f aca="false">INDEX(Parametros!$C$48:$C$67,MATCH(TRIM(INDEX(Datos_Origen!$F$2:$F$2459,$Z1200)),Parametros!$B$48:$B$67,0))</f>
        <v>Almacenamiento</v>
      </c>
      <c r="L1200" s="61" t="str">
        <f aca="false">$K1200&amp;" "&amp;$C1200</f>
        <v>Almacenamiento 2024</v>
      </c>
      <c r="M1200" s="61" t="str">
        <f aca="false">TRIM(INDEX(Datos_Origen!$G$2:$G$2459,$Z1200))</f>
        <v>Pendrive 256GB</v>
      </c>
      <c r="N1200" s="61" t="str">
        <f aca="false">$M1200&amp;" "&amp;$C1200</f>
        <v>Pendrive 256GB 2024</v>
      </c>
      <c r="O1200" s="63" t="n">
        <f aca="false">IF(ISTEXT($AC1200),VALUE($AC1200),$AC1200)</f>
        <v>24</v>
      </c>
      <c r="P1200" s="64" t="n">
        <f aca="false">INDEX(Datos_Origen!$I$2:$I$2459,$Z1200)</f>
        <v>34.3</v>
      </c>
      <c r="Q1200" s="64" t="n">
        <f aca="false">INDEX(Datos_Origen!$J$2:$J$2459,$Z1200)</f>
        <v>17.85</v>
      </c>
      <c r="R1200" s="65" t="n">
        <f aca="false">ROUND($O1200*$P1200,2)</f>
        <v>823.2</v>
      </c>
      <c r="S1200" s="65" t="n">
        <f aca="false">ROUND($O1200*$Q1200,2)</f>
        <v>428.4</v>
      </c>
      <c r="T1200" s="65" t="n">
        <f aca="false">ROUND($R1200*SUMIFS(Parametros!$E$28:$E$43,Parametros!$B$28:$B$43,$J1200,Parametros!$C$28:$C$43,$C1200,Parametros!$D$28:$D$43,$D1200),2)</f>
        <v>10.7</v>
      </c>
      <c r="U1200" s="65" t="n">
        <f aca="false">$R1200-$S1200-$T1200</f>
        <v>384.1</v>
      </c>
      <c r="V1200" s="66" t="n">
        <f aca="false">IFERROR($U1200/$R1200,0)</f>
        <v>0.466593780369291</v>
      </c>
      <c r="W1200" s="67" t="str">
        <f aca="false">IF(AND($V1200&gt;=Parametros!$C$8,$R1200&gt;=Parametros!$C$12),"Alta rentabilidad",IF(OR($V1200&lt;Parametros!$C$11,$R1200&lt;Parametros!$C$13),"Revisar","Estandar"))</f>
        <v>Estandar</v>
      </c>
      <c r="X1200" s="67" t="str">
        <f aca="false">IF(AND($J1200="E-commerce",IFERROR($T1200/$R1200,0)&gt;Parametros!$C$14),"Alerta","OK")</f>
        <v>OK</v>
      </c>
      <c r="Y1200" s="61" t="str">
        <f aca="false">IF($R1200&gt;=Parametros!$C$12,"Alto",IF($R1200&lt;Parametros!$C$13,"Bajo","Medio"))</f>
        <v>Medio</v>
      </c>
      <c r="Z1200" s="61" t="n">
        <v>1992</v>
      </c>
      <c r="AA1200" s="61" t="str">
        <f aca="false">IF(MATCH($A1200,Datos_Origen!$A$2:$A$2459,0)=$Z1200,"OK","REVISAR")</f>
        <v>OK</v>
      </c>
      <c r="AB1200" s="62" t="n">
        <f aca="false">INDEX(Datos_Origen!$B$2:$B$2459,$Z1200)</f>
        <v>45650</v>
      </c>
      <c r="AC1200" s="61" t="n">
        <f aca="false">INDEX(Datos_Origen!$H$2:$H$2459,$Z1200)</f>
        <v>24</v>
      </c>
      <c r="AD1200" s="61" t="str">
        <f aca="false">INDEX(Datos_Origen!$D$2:$D$2459,$Z1200)&amp;""</f>
        <v>Tucuman</v>
      </c>
    </row>
    <row r="1201" customFormat="false" ht="15" hidden="false" customHeight="false" outlineLevel="0" collapsed="false">
      <c r="A1201" s="61" t="n">
        <f aca="false">INDEX(Datos_Origen!$A$2:$A$2459,$Z1201)</f>
        <v>1200</v>
      </c>
      <c r="B1201" s="62" t="n">
        <f aca="false">IF(ISNUMBER($AB1201),$AB1201,IF(MID($AB1201,5,1)="-",DATE(VALUE(LEFT($AB1201,4)),VALUE(MID($AB1201,6,2)),VALUE(RIGHT($AB1201,2))),DATE(VALUE(RIGHT($AB1201,4)),VALUE(MID($AB1201,4,2)),VALUE(LEFT($AB1201,2)))))</f>
        <v>45630</v>
      </c>
      <c r="C1201" s="61" t="n">
        <f aca="false">YEAR($B1201)</f>
        <v>2024</v>
      </c>
      <c r="D1201" s="61" t="str">
        <f aca="false">"Q"&amp;ROUNDUP(MONTH($B1201)/3,0)</f>
        <v>Q4</v>
      </c>
      <c r="E1201" s="61" t="n">
        <f aca="false">MONTH($B1201)</f>
        <v>12</v>
      </c>
      <c r="F1201" s="61" t="str">
        <f aca="false">INDEX(Parametros!$I$5:$I$16,$E1201)</f>
        <v>Dic</v>
      </c>
      <c r="G1201" s="61" t="str">
        <f aca="false">TEXT($C1201,"0000")&amp;"-"&amp;TEXT($E1201,"00")</f>
        <v>2024-12</v>
      </c>
      <c r="H1201" s="61" t="str">
        <f aca="false">INDEX(Parametros!$C$71:$C$91,MATCH(TRIM(INDEX(Datos_Origen!$C$2:$C$2459,$Z1201)),Parametros!$B$71:$B$91,0))</f>
        <v>NOA</v>
      </c>
      <c r="I1201" s="61" t="str">
        <f aca="false">IF(TRIM($AD1201)="",INDEX(Parametros!$I$20:$I$24,MATCH($H1201,Parametros!$H$20:$H$24,0)),TRIM($AD1201))</f>
        <v>Tucuman</v>
      </c>
      <c r="J1201" s="61" t="str">
        <f aca="false">INDEX(Parametros!$C$95:$C$106,MATCH(TRIM(INDEX(Datos_Origen!$E$2:$E$2459,$Z1201)),Parametros!$B$95:$B$106,0))</f>
        <v>E-commerce</v>
      </c>
      <c r="K1201" s="61" t="str">
        <f aca="false">INDEX(Parametros!$C$48:$C$67,MATCH(TRIM(INDEX(Datos_Origen!$F$2:$F$2459,$Z1201)),Parametros!$B$48:$B$67,0))</f>
        <v>Almacenamiento</v>
      </c>
      <c r="L1201" s="61" t="str">
        <f aca="false">$K1201&amp;" "&amp;$C1201</f>
        <v>Almacenamiento 2024</v>
      </c>
      <c r="M1201" s="61" t="str">
        <f aca="false">TRIM(INDEX(Datos_Origen!$G$2:$G$2459,$Z1201))</f>
        <v>Pendrive 256GB</v>
      </c>
      <c r="N1201" s="61" t="str">
        <f aca="false">$M1201&amp;" "&amp;$C1201</f>
        <v>Pendrive 256GB 2024</v>
      </c>
      <c r="O1201" s="63" t="n">
        <f aca="false">IF(ISTEXT($AC1201),VALUE($AC1201),$AC1201)</f>
        <v>9</v>
      </c>
      <c r="P1201" s="64" t="n">
        <f aca="false">INDEX(Datos_Origen!$I$2:$I$2459,$Z1201)</f>
        <v>34.3</v>
      </c>
      <c r="Q1201" s="64" t="n">
        <f aca="false">INDEX(Datos_Origen!$J$2:$J$2459,$Z1201)</f>
        <v>17.85</v>
      </c>
      <c r="R1201" s="65" t="n">
        <f aca="false">ROUND($O1201*$P1201,2)</f>
        <v>308.7</v>
      </c>
      <c r="S1201" s="65" t="n">
        <f aca="false">ROUND($O1201*$Q1201,2)</f>
        <v>160.65</v>
      </c>
      <c r="T1201" s="65" t="n">
        <f aca="false">ROUND($R1201*SUMIFS(Parametros!$E$28:$E$43,Parametros!$B$28:$B$43,$J1201,Parametros!$C$28:$C$43,$C1201,Parametros!$D$28:$D$43,$D1201),2)</f>
        <v>14.82</v>
      </c>
      <c r="U1201" s="65" t="n">
        <f aca="false">$R1201-$S1201-$T1201</f>
        <v>133.23</v>
      </c>
      <c r="V1201" s="66" t="n">
        <f aca="false">IFERROR($U1201/$R1201,0)</f>
        <v>0.431584062196307</v>
      </c>
      <c r="W1201" s="67" t="str">
        <f aca="false">IF(AND($V1201&gt;=Parametros!$C$8,$R1201&gt;=Parametros!$C$12),"Alta rentabilidad",IF(OR($V1201&lt;Parametros!$C$11,$R1201&lt;Parametros!$C$13),"Revisar","Estandar"))</f>
        <v>Estandar</v>
      </c>
      <c r="X1201" s="67" t="str">
        <f aca="false">IF(AND($J1201="E-commerce",IFERROR($T1201/$R1201,0)&gt;Parametros!$C$14),"Alerta","OK")</f>
        <v>OK</v>
      </c>
      <c r="Y1201" s="61" t="str">
        <f aca="false">IF($R1201&gt;=Parametros!$C$12,"Alto",IF($R1201&lt;Parametros!$C$13,"Bajo","Medio"))</f>
        <v>Medio</v>
      </c>
      <c r="Z1201" s="61" t="n">
        <v>1354</v>
      </c>
      <c r="AA1201" s="61" t="str">
        <f aca="false">IF(MATCH($A1201,Datos_Origen!$A$2:$A$2459,0)=$Z1201,"OK","REVISAR")</f>
        <v>OK</v>
      </c>
      <c r="AB1201" s="62" t="n">
        <f aca="false">INDEX(Datos_Origen!$B$2:$B$2459,$Z1201)</f>
        <v>45630</v>
      </c>
      <c r="AC1201" s="61" t="n">
        <f aca="false">INDEX(Datos_Origen!$H$2:$H$2459,$Z1201)</f>
        <v>9</v>
      </c>
      <c r="AD1201" s="61" t="str">
        <f aca="false">INDEX(Datos_Origen!$D$2:$D$2459,$Z1201)&amp;""</f>
        <v>Tucuman</v>
      </c>
    </row>
    <row r="1202" customFormat="false" ht="15" hidden="false" customHeight="false" outlineLevel="0" collapsed="false">
      <c r="A1202" s="61" t="n">
        <f aca="false">INDEX(Datos_Origen!$A$2:$A$2459,$Z1202)</f>
        <v>1201</v>
      </c>
      <c r="B1202" s="62" t="n">
        <f aca="false">IF(ISNUMBER($AB1202),$AB1202,IF(MID($AB1202,5,1)="-",DATE(VALUE(LEFT($AB1202,4)),VALUE(MID($AB1202,6,2)),VALUE(RIGHT($AB1202,2))),DATE(VALUE(RIGHT($AB1202,4)),VALUE(MID($AB1202,4,2)),VALUE(LEFT($AB1202,2)))))</f>
        <v>45668</v>
      </c>
      <c r="C1202" s="61" t="n">
        <f aca="false">YEAR($B1202)</f>
        <v>2025</v>
      </c>
      <c r="D1202" s="61" t="str">
        <f aca="false">"Q"&amp;ROUNDUP(MONTH($B1202)/3,0)</f>
        <v>Q1</v>
      </c>
      <c r="E1202" s="61" t="n">
        <f aca="false">MONTH($B1202)</f>
        <v>1</v>
      </c>
      <c r="F1202" s="61" t="str">
        <f aca="false">INDEX(Parametros!$I$5:$I$16,$E1202)</f>
        <v>Ene</v>
      </c>
      <c r="G1202" s="61" t="str">
        <f aca="false">TEXT($C1202,"0000")&amp;"-"&amp;TEXT($E1202,"00")</f>
        <v>2025-01</v>
      </c>
      <c r="H1202" s="61" t="str">
        <f aca="false">INDEX(Parametros!$C$71:$C$91,MATCH(TRIM(INDEX(Datos_Origen!$C$2:$C$2459,$Z1202)),Parametros!$B$71:$B$91,0))</f>
        <v>AMBA</v>
      </c>
      <c r="I1202" s="61" t="str">
        <f aca="false">IF(TRIM($AD1202)="",INDEX(Parametros!$I$20:$I$24,MATCH($H1202,Parametros!$H$20:$H$24,0)),TRIM($AD1202))</f>
        <v>Buenos Aires</v>
      </c>
      <c r="J1202" s="61" t="str">
        <f aca="false">INDEX(Parametros!$C$95:$C$106,MATCH(TRIM(INDEX(Datos_Origen!$E$2:$E$2459,$Z1202)),Parametros!$B$95:$B$106,0))</f>
        <v>Tienda fisica</v>
      </c>
      <c r="K1202" s="61" t="str">
        <f aca="false">INDEX(Parametros!$C$48:$C$67,MATCH(TRIM(INDEX(Datos_Origen!$F$2:$F$2459,$Z1202)),Parametros!$B$48:$B$67,0))</f>
        <v>Computacion</v>
      </c>
      <c r="L1202" s="61" t="str">
        <f aca="false">$K1202&amp;" "&amp;$C1202</f>
        <v>Computacion 2025</v>
      </c>
      <c r="M1202" s="61" t="str">
        <f aca="false">TRIM(INDEX(Datos_Origen!$G$2:$G$2459,$Z1202))</f>
        <v>Laptop Pro 15</v>
      </c>
      <c r="N1202" s="61" t="str">
        <f aca="false">$M1202&amp;" "&amp;$C1202</f>
        <v>Laptop Pro 15 2025</v>
      </c>
      <c r="O1202" s="63" t="n">
        <f aca="false">IF(ISTEXT($AC1202),VALUE($AC1202),$AC1202)</f>
        <v>19</v>
      </c>
      <c r="P1202" s="64" t="n">
        <f aca="false">INDEX(Datos_Origen!$I$2:$I$2459,$Z1202)</f>
        <v>1155.06</v>
      </c>
      <c r="Q1202" s="64" t="n">
        <f aca="false">INDEX(Datos_Origen!$J$2:$J$2459,$Z1202)</f>
        <v>766.32</v>
      </c>
      <c r="R1202" s="65" t="n">
        <f aca="false">ROUND($O1202*$P1202,2)</f>
        <v>21946.14</v>
      </c>
      <c r="S1202" s="65" t="n">
        <f aca="false">ROUND($O1202*$Q1202,2)</f>
        <v>14560.08</v>
      </c>
      <c r="T1202" s="65" t="n">
        <f aca="false">ROUND($R1202*SUMIFS(Parametros!$E$28:$E$43,Parametros!$B$28:$B$43,$J1202,Parametros!$C$28:$C$43,$C1202,Parametros!$D$28:$D$43,$D1202),2)</f>
        <v>285.3</v>
      </c>
      <c r="U1202" s="65" t="n">
        <f aca="false">$R1202-$S1202-$T1202</f>
        <v>7100.76</v>
      </c>
      <c r="V1202" s="66" t="n">
        <f aca="false">IFERROR($U1202/$R1202,0)</f>
        <v>0.323553937047699</v>
      </c>
      <c r="W1202" s="67" t="str">
        <f aca="false">IF(AND($V1202&gt;=Parametros!$C$8,$R1202&gt;=Parametros!$C$12),"Alta rentabilidad",IF(OR($V1202&lt;Parametros!$C$11,$R1202&lt;Parametros!$C$13),"Revisar","Estandar"))</f>
        <v>Estandar</v>
      </c>
      <c r="X1202" s="67" t="str">
        <f aca="false">IF(AND($J1202="E-commerce",IFERROR($T1202/$R1202,0)&gt;Parametros!$C$14),"Alerta","OK")</f>
        <v>OK</v>
      </c>
      <c r="Y1202" s="61" t="str">
        <f aca="false">IF($R1202&gt;=Parametros!$C$12,"Alto",IF($R1202&lt;Parametros!$C$13,"Bajo","Medio"))</f>
        <v>Alto</v>
      </c>
      <c r="Z1202" s="61" t="n">
        <v>2298</v>
      </c>
      <c r="AA1202" s="61" t="str">
        <f aca="false">IF(MATCH($A1202,Datos_Origen!$A$2:$A$2459,0)=$Z1202,"OK","REVISAR")</f>
        <v>OK</v>
      </c>
      <c r="AB1202" s="62" t="n">
        <f aca="false">INDEX(Datos_Origen!$B$2:$B$2459,$Z1202)</f>
        <v>45668</v>
      </c>
      <c r="AC1202" s="61" t="n">
        <f aca="false">INDEX(Datos_Origen!$H$2:$H$2459,$Z1202)</f>
        <v>19</v>
      </c>
      <c r="AD1202" s="61" t="str">
        <f aca="false">INDEX(Datos_Origen!$D$2:$D$2459,$Z1202)&amp;""</f>
        <v>Buenos Aires</v>
      </c>
    </row>
    <row r="1203" customFormat="false" ht="15" hidden="false" customHeight="false" outlineLevel="0" collapsed="false">
      <c r="A1203" s="61" t="n">
        <f aca="false">INDEX(Datos_Origen!$A$2:$A$2459,$Z1203)</f>
        <v>1202</v>
      </c>
      <c r="B1203" s="62" t="n">
        <f aca="false">IF(ISNUMBER($AB1203),$AB1203,IF(MID($AB1203,5,1)="-",DATE(VALUE(LEFT($AB1203,4)),VALUE(MID($AB1203,6,2)),VALUE(RIGHT($AB1203,2))),DATE(VALUE(RIGHT($AB1203,4)),VALUE(MID($AB1203,4,2)),VALUE(LEFT($AB1203,2)))))</f>
        <v>45675</v>
      </c>
      <c r="C1203" s="61" t="n">
        <f aca="false">YEAR($B1203)</f>
        <v>2025</v>
      </c>
      <c r="D1203" s="61" t="str">
        <f aca="false">"Q"&amp;ROUNDUP(MONTH($B1203)/3,0)</f>
        <v>Q1</v>
      </c>
      <c r="E1203" s="61" t="n">
        <f aca="false">MONTH($B1203)</f>
        <v>1</v>
      </c>
      <c r="F1203" s="61" t="str">
        <f aca="false">INDEX(Parametros!$I$5:$I$16,$E1203)</f>
        <v>Ene</v>
      </c>
      <c r="G1203" s="61" t="str">
        <f aca="false">TEXT($C1203,"0000")&amp;"-"&amp;TEXT($E1203,"00")</f>
        <v>2025-01</v>
      </c>
      <c r="H1203" s="61" t="str">
        <f aca="false">INDEX(Parametros!$C$71:$C$91,MATCH(TRIM(INDEX(Datos_Origen!$C$2:$C$2459,$Z1203)),Parametros!$B$71:$B$91,0))</f>
        <v>AMBA</v>
      </c>
      <c r="I1203" s="61" t="str">
        <f aca="false">IF(TRIM($AD1203)="",INDEX(Parametros!$I$20:$I$24,MATCH($H1203,Parametros!$H$20:$H$24,0)),TRIM($AD1203))</f>
        <v>Buenos Aires</v>
      </c>
      <c r="J1203" s="61" t="str">
        <f aca="false">INDEX(Parametros!$C$95:$C$106,MATCH(TRIM(INDEX(Datos_Origen!$E$2:$E$2459,$Z1203)),Parametros!$B$95:$B$106,0))</f>
        <v>E-commerce</v>
      </c>
      <c r="K1203" s="61" t="str">
        <f aca="false">INDEX(Parametros!$C$48:$C$67,MATCH(TRIM(INDEX(Datos_Origen!$F$2:$F$2459,$Z1203)),Parametros!$B$48:$B$67,0))</f>
        <v>Computacion</v>
      </c>
      <c r="L1203" s="61" t="str">
        <f aca="false">$K1203&amp;" "&amp;$C1203</f>
        <v>Computacion 2025</v>
      </c>
      <c r="M1203" s="61" t="str">
        <f aca="false">TRIM(INDEX(Datos_Origen!$G$2:$G$2459,$Z1203))</f>
        <v>Laptop Pro 15</v>
      </c>
      <c r="N1203" s="61" t="str">
        <f aca="false">$M1203&amp;" "&amp;$C1203</f>
        <v>Laptop Pro 15 2025</v>
      </c>
      <c r="O1203" s="63" t="n">
        <f aca="false">IF(ISTEXT($AC1203),VALUE($AC1203),$AC1203)</f>
        <v>10</v>
      </c>
      <c r="P1203" s="64" t="n">
        <f aca="false">INDEX(Datos_Origen!$I$2:$I$2459,$Z1203)</f>
        <v>1155.06</v>
      </c>
      <c r="Q1203" s="64" t="n">
        <f aca="false">INDEX(Datos_Origen!$J$2:$J$2459,$Z1203)</f>
        <v>766.32</v>
      </c>
      <c r="R1203" s="65" t="n">
        <f aca="false">ROUND($O1203*$P1203,2)</f>
        <v>11550.6</v>
      </c>
      <c r="S1203" s="65" t="n">
        <f aca="false">ROUND($O1203*$Q1203,2)</f>
        <v>7663.2</v>
      </c>
      <c r="T1203" s="65" t="n">
        <f aca="false">ROUND($R1203*SUMIFS(Parametros!$E$28:$E$43,Parametros!$B$28:$B$43,$J1203,Parametros!$C$28:$C$43,$C1203,Parametros!$D$28:$D$43,$D1203),2)</f>
        <v>785.44</v>
      </c>
      <c r="U1203" s="65" t="n">
        <f aca="false">$R1203-$S1203-$T1203</f>
        <v>3101.96</v>
      </c>
      <c r="V1203" s="66" t="n">
        <f aca="false">IFERROR($U1203/$R1203,0)</f>
        <v>0.268554014510069</v>
      </c>
      <c r="W1203" s="67" t="str">
        <f aca="false">IF(AND($V1203&gt;=Parametros!$C$8,$R1203&gt;=Parametros!$C$12),"Alta rentabilidad",IF(OR($V1203&lt;Parametros!$C$11,$R1203&lt;Parametros!$C$13),"Revisar","Estandar"))</f>
        <v>Revisar</v>
      </c>
      <c r="X1203" s="67" t="str">
        <f aca="false">IF(AND($J1203="E-commerce",IFERROR($T1203/$R1203,0)&gt;Parametros!$C$14),"Alerta","OK")</f>
        <v>Alerta</v>
      </c>
      <c r="Y1203" s="61" t="str">
        <f aca="false">IF($R1203&gt;=Parametros!$C$12,"Alto",IF($R1203&lt;Parametros!$C$13,"Bajo","Medio"))</f>
        <v>Alto</v>
      </c>
      <c r="Z1203" s="61" t="n">
        <v>2025</v>
      </c>
      <c r="AA1203" s="61" t="str">
        <f aca="false">IF(MATCH($A1203,Datos_Origen!$A$2:$A$2459,0)=$Z1203,"OK","REVISAR")</f>
        <v>OK</v>
      </c>
      <c r="AB1203" s="62" t="n">
        <f aca="false">INDEX(Datos_Origen!$B$2:$B$2459,$Z1203)</f>
        <v>45675</v>
      </c>
      <c r="AC1203" s="61" t="str">
        <f aca="false">INDEX(Datos_Origen!$H$2:$H$2459,$Z1203)</f>
        <v>10</v>
      </c>
      <c r="AD1203" s="61" t="str">
        <f aca="false">INDEX(Datos_Origen!$D$2:$D$2459,$Z1203)&amp;""</f>
        <v/>
      </c>
    </row>
    <row r="1204" customFormat="false" ht="15" hidden="false" customHeight="false" outlineLevel="0" collapsed="false">
      <c r="A1204" s="61" t="n">
        <f aca="false">INDEX(Datos_Origen!$A$2:$A$2459,$Z1204)</f>
        <v>1203</v>
      </c>
      <c r="B1204" s="62" t="n">
        <f aca="false">IF(ISNUMBER($AB1204),$AB1204,IF(MID($AB1204,5,1)="-",DATE(VALUE(LEFT($AB1204,4)),VALUE(MID($AB1204,6,2)),VALUE(RIGHT($AB1204,2))),DATE(VALUE(RIGHT($AB1204,4)),VALUE(MID($AB1204,4,2)),VALUE(LEFT($AB1204,2)))))</f>
        <v>45682</v>
      </c>
      <c r="C1204" s="61" t="n">
        <f aca="false">YEAR($B1204)</f>
        <v>2025</v>
      </c>
      <c r="D1204" s="61" t="str">
        <f aca="false">"Q"&amp;ROUNDUP(MONTH($B1204)/3,0)</f>
        <v>Q1</v>
      </c>
      <c r="E1204" s="61" t="n">
        <f aca="false">MONTH($B1204)</f>
        <v>1</v>
      </c>
      <c r="F1204" s="61" t="str">
        <f aca="false">INDEX(Parametros!$I$5:$I$16,$E1204)</f>
        <v>Ene</v>
      </c>
      <c r="G1204" s="61" t="str">
        <f aca="false">TEXT($C1204,"0000")&amp;"-"&amp;TEXT($E1204,"00")</f>
        <v>2025-01</v>
      </c>
      <c r="H1204" s="61" t="str">
        <f aca="false">INDEX(Parametros!$C$71:$C$91,MATCH(TRIM(INDEX(Datos_Origen!$C$2:$C$2459,$Z1204)),Parametros!$B$71:$B$91,0))</f>
        <v>AMBA</v>
      </c>
      <c r="I1204" s="61" t="str">
        <f aca="false">IF(TRIM($AD1204)="",INDEX(Parametros!$I$20:$I$24,MATCH($H1204,Parametros!$H$20:$H$24,0)),TRIM($AD1204))</f>
        <v>Buenos Aires</v>
      </c>
      <c r="J1204" s="61" t="str">
        <f aca="false">INDEX(Parametros!$C$95:$C$106,MATCH(TRIM(INDEX(Datos_Origen!$E$2:$E$2459,$Z1204)),Parametros!$B$95:$B$106,0))</f>
        <v>Tienda fisica</v>
      </c>
      <c r="K1204" s="61" t="str">
        <f aca="false">INDEX(Parametros!$C$48:$C$67,MATCH(TRIM(INDEX(Datos_Origen!$F$2:$F$2459,$Z1204)),Parametros!$B$48:$B$67,0))</f>
        <v>Computacion</v>
      </c>
      <c r="L1204" s="61" t="str">
        <f aca="false">$K1204&amp;" "&amp;$C1204</f>
        <v>Computacion 2025</v>
      </c>
      <c r="M1204" s="61" t="str">
        <f aca="false">TRIM(INDEX(Datos_Origen!$G$2:$G$2459,$Z1204))</f>
        <v>Monitor 4K 27</v>
      </c>
      <c r="N1204" s="61" t="str">
        <f aca="false">$M1204&amp;" "&amp;$C1204</f>
        <v>Monitor 4K 27 2025</v>
      </c>
      <c r="O1204" s="63" t="n">
        <f aca="false">IF(ISTEXT($AC1204),VALUE($AC1204),$AC1204)</f>
        <v>19</v>
      </c>
      <c r="P1204" s="64" t="n">
        <f aca="false">INDEX(Datos_Origen!$I$2:$I$2459,$Z1204)</f>
        <v>433.15</v>
      </c>
      <c r="Q1204" s="64" t="n">
        <f aca="false">INDEX(Datos_Origen!$J$2:$J$2459,$Z1204)</f>
        <v>280.42</v>
      </c>
      <c r="R1204" s="65" t="n">
        <f aca="false">ROUND($O1204*$P1204,2)</f>
        <v>8229.85</v>
      </c>
      <c r="S1204" s="65" t="n">
        <f aca="false">ROUND($O1204*$Q1204,2)</f>
        <v>5327.98</v>
      </c>
      <c r="T1204" s="65" t="n">
        <f aca="false">ROUND($R1204*SUMIFS(Parametros!$E$28:$E$43,Parametros!$B$28:$B$43,$J1204,Parametros!$C$28:$C$43,$C1204,Parametros!$D$28:$D$43,$D1204),2)</f>
        <v>106.99</v>
      </c>
      <c r="U1204" s="65" t="n">
        <f aca="false">$R1204-$S1204-$T1204</f>
        <v>2794.88</v>
      </c>
      <c r="V1204" s="66" t="n">
        <f aca="false">IFERROR($U1204/$R1204,0)</f>
        <v>0.339602787414109</v>
      </c>
      <c r="W1204" s="67" t="str">
        <f aca="false">IF(AND($V1204&gt;=Parametros!$C$8,$R1204&gt;=Parametros!$C$12),"Alta rentabilidad",IF(OR($V1204&lt;Parametros!$C$11,$R1204&lt;Parametros!$C$13),"Revisar","Estandar"))</f>
        <v>Estandar</v>
      </c>
      <c r="X1204" s="67" t="str">
        <f aca="false">IF(AND($J1204="E-commerce",IFERROR($T1204/$R1204,0)&gt;Parametros!$C$14),"Alerta","OK")</f>
        <v>OK</v>
      </c>
      <c r="Y1204" s="61" t="str">
        <f aca="false">IF($R1204&gt;=Parametros!$C$12,"Alto",IF($R1204&lt;Parametros!$C$13,"Bajo","Medio"))</f>
        <v>Alto</v>
      </c>
      <c r="Z1204" s="61" t="n">
        <v>1744</v>
      </c>
      <c r="AA1204" s="61" t="str">
        <f aca="false">IF(MATCH($A1204,Datos_Origen!$A$2:$A$2459,0)=$Z1204,"OK","REVISAR")</f>
        <v>OK</v>
      </c>
      <c r="AB1204" s="61" t="str">
        <f aca="false">INDEX(Datos_Origen!$B$2:$B$2459,$Z1204)</f>
        <v>2025-01-25</v>
      </c>
      <c r="AC1204" s="61" t="n">
        <f aca="false">INDEX(Datos_Origen!$H$2:$H$2459,$Z1204)</f>
        <v>19</v>
      </c>
      <c r="AD1204" s="61" t="str">
        <f aca="false">INDEX(Datos_Origen!$D$2:$D$2459,$Z1204)&amp;""</f>
        <v>Buenos Aires</v>
      </c>
    </row>
    <row r="1205" customFormat="false" ht="15" hidden="false" customHeight="false" outlineLevel="0" collapsed="false">
      <c r="A1205" s="61" t="n">
        <f aca="false">INDEX(Datos_Origen!$A$2:$A$2459,$Z1205)</f>
        <v>1204</v>
      </c>
      <c r="B1205" s="62" t="n">
        <f aca="false">IF(ISNUMBER($AB1205),$AB1205,IF(MID($AB1205,5,1)="-",DATE(VALUE(LEFT($AB1205,4)),VALUE(MID($AB1205,6,2)),VALUE(RIGHT($AB1205,2))),DATE(VALUE(RIGHT($AB1205,4)),VALUE(MID($AB1205,4,2)),VALUE(LEFT($AB1205,2)))))</f>
        <v>45662</v>
      </c>
      <c r="C1205" s="61" t="n">
        <f aca="false">YEAR($B1205)</f>
        <v>2025</v>
      </c>
      <c r="D1205" s="61" t="str">
        <f aca="false">"Q"&amp;ROUNDUP(MONTH($B1205)/3,0)</f>
        <v>Q1</v>
      </c>
      <c r="E1205" s="61" t="n">
        <f aca="false">MONTH($B1205)</f>
        <v>1</v>
      </c>
      <c r="F1205" s="61" t="str">
        <f aca="false">INDEX(Parametros!$I$5:$I$16,$E1205)</f>
        <v>Ene</v>
      </c>
      <c r="G1205" s="61" t="str">
        <f aca="false">TEXT($C1205,"0000")&amp;"-"&amp;TEXT($E1205,"00")</f>
        <v>2025-01</v>
      </c>
      <c r="H1205" s="61" t="str">
        <f aca="false">INDEX(Parametros!$C$71:$C$91,MATCH(TRIM(INDEX(Datos_Origen!$C$2:$C$2459,$Z1205)),Parametros!$B$71:$B$91,0))</f>
        <v>AMBA</v>
      </c>
      <c r="I1205" s="61" t="str">
        <f aca="false">IF(TRIM($AD1205)="",INDEX(Parametros!$I$20:$I$24,MATCH($H1205,Parametros!$H$20:$H$24,0)),TRIM($AD1205))</f>
        <v>Buenos Aires</v>
      </c>
      <c r="J1205" s="61" t="str">
        <f aca="false">INDEX(Parametros!$C$95:$C$106,MATCH(TRIM(INDEX(Datos_Origen!$E$2:$E$2459,$Z1205)),Parametros!$B$95:$B$106,0))</f>
        <v>E-commerce</v>
      </c>
      <c r="K1205" s="61" t="str">
        <f aca="false">INDEX(Parametros!$C$48:$C$67,MATCH(TRIM(INDEX(Datos_Origen!$F$2:$F$2459,$Z1205)),Parametros!$B$48:$B$67,0))</f>
        <v>Computacion</v>
      </c>
      <c r="L1205" s="61" t="str">
        <f aca="false">$K1205&amp;" "&amp;$C1205</f>
        <v>Computacion 2025</v>
      </c>
      <c r="M1205" s="61" t="str">
        <f aca="false">TRIM(INDEX(Datos_Origen!$G$2:$G$2459,$Z1205))</f>
        <v>Monitor 4K 27</v>
      </c>
      <c r="N1205" s="61" t="str">
        <f aca="false">$M1205&amp;" "&amp;$C1205</f>
        <v>Monitor 4K 27 2025</v>
      </c>
      <c r="O1205" s="63" t="n">
        <f aca="false">IF(ISTEXT($AC1205),VALUE($AC1205),$AC1205)</f>
        <v>10</v>
      </c>
      <c r="P1205" s="64" t="n">
        <f aca="false">INDEX(Datos_Origen!$I$2:$I$2459,$Z1205)</f>
        <v>433.15</v>
      </c>
      <c r="Q1205" s="64" t="n">
        <f aca="false">INDEX(Datos_Origen!$J$2:$J$2459,$Z1205)</f>
        <v>280.42</v>
      </c>
      <c r="R1205" s="65" t="n">
        <f aca="false">ROUND($O1205*$P1205,2)</f>
        <v>4331.5</v>
      </c>
      <c r="S1205" s="65" t="n">
        <f aca="false">ROUND($O1205*$Q1205,2)</f>
        <v>2804.2</v>
      </c>
      <c r="T1205" s="65" t="n">
        <f aca="false">ROUND($R1205*SUMIFS(Parametros!$E$28:$E$43,Parametros!$B$28:$B$43,$J1205,Parametros!$C$28:$C$43,$C1205,Parametros!$D$28:$D$43,$D1205),2)</f>
        <v>294.54</v>
      </c>
      <c r="U1205" s="65" t="n">
        <f aca="false">$R1205-$S1205-$T1205</f>
        <v>1232.76</v>
      </c>
      <c r="V1205" s="66" t="n">
        <f aca="false">IFERROR($U1205/$R1205,0)</f>
        <v>0.284603486090269</v>
      </c>
      <c r="W1205" s="67" t="str">
        <f aca="false">IF(AND($V1205&gt;=Parametros!$C$8,$R1205&gt;=Parametros!$C$12),"Alta rentabilidad",IF(OR($V1205&lt;Parametros!$C$11,$R1205&lt;Parametros!$C$13),"Revisar","Estandar"))</f>
        <v>Estandar</v>
      </c>
      <c r="X1205" s="67" t="str">
        <f aca="false">IF(AND($J1205="E-commerce",IFERROR($T1205/$R1205,0)&gt;Parametros!$C$14),"Alerta","OK")</f>
        <v>Alerta</v>
      </c>
      <c r="Y1205" s="61" t="str">
        <f aca="false">IF($R1205&gt;=Parametros!$C$12,"Alto",IF($R1205&lt;Parametros!$C$13,"Bajo","Medio"))</f>
        <v>Alto</v>
      </c>
      <c r="Z1205" s="61" t="n">
        <v>1855</v>
      </c>
      <c r="AA1205" s="61" t="str">
        <f aca="false">IF(MATCH($A1205,Datos_Origen!$A$2:$A$2459,0)=$Z1205,"OK","REVISAR")</f>
        <v>OK</v>
      </c>
      <c r="AB1205" s="62" t="n">
        <f aca="false">INDEX(Datos_Origen!$B$2:$B$2459,$Z1205)</f>
        <v>45662</v>
      </c>
      <c r="AC1205" s="61" t="n">
        <f aca="false">INDEX(Datos_Origen!$H$2:$H$2459,$Z1205)</f>
        <v>10</v>
      </c>
      <c r="AD1205" s="61" t="str">
        <f aca="false">INDEX(Datos_Origen!$D$2:$D$2459,$Z1205)&amp;""</f>
        <v>Buenos Aires</v>
      </c>
    </row>
    <row r="1206" customFormat="false" ht="15" hidden="false" customHeight="false" outlineLevel="0" collapsed="false">
      <c r="A1206" s="61" t="n">
        <f aca="false">INDEX(Datos_Origen!$A$2:$A$2459,$Z1206)</f>
        <v>1205</v>
      </c>
      <c r="B1206" s="62" t="n">
        <f aca="false">IF(ISNUMBER($AB1206),$AB1206,IF(MID($AB1206,5,1)="-",DATE(VALUE(LEFT($AB1206,4)),VALUE(MID($AB1206,6,2)),VALUE(RIGHT($AB1206,2))),DATE(VALUE(RIGHT($AB1206,4)),VALUE(MID($AB1206,4,2)),VALUE(LEFT($AB1206,2)))))</f>
        <v>45669</v>
      </c>
      <c r="C1206" s="61" t="n">
        <f aca="false">YEAR($B1206)</f>
        <v>2025</v>
      </c>
      <c r="D1206" s="61" t="str">
        <f aca="false">"Q"&amp;ROUNDUP(MONTH($B1206)/3,0)</f>
        <v>Q1</v>
      </c>
      <c r="E1206" s="61" t="n">
        <f aca="false">MONTH($B1206)</f>
        <v>1</v>
      </c>
      <c r="F1206" s="61" t="str">
        <f aca="false">INDEX(Parametros!$I$5:$I$16,$E1206)</f>
        <v>Ene</v>
      </c>
      <c r="G1206" s="61" t="str">
        <f aca="false">TEXT($C1206,"0000")&amp;"-"&amp;TEXT($E1206,"00")</f>
        <v>2025-01</v>
      </c>
      <c r="H1206" s="61" t="str">
        <f aca="false">INDEX(Parametros!$C$71:$C$91,MATCH(TRIM(INDEX(Datos_Origen!$C$2:$C$2459,$Z1206)),Parametros!$B$71:$B$91,0))</f>
        <v>AMBA</v>
      </c>
      <c r="I1206" s="61" t="str">
        <f aca="false">IF(TRIM($AD1206)="",INDEX(Parametros!$I$20:$I$24,MATCH($H1206,Parametros!$H$20:$H$24,0)),TRIM($AD1206))</f>
        <v>Buenos Aires</v>
      </c>
      <c r="J1206" s="61" t="str">
        <f aca="false">INDEX(Parametros!$C$95:$C$106,MATCH(TRIM(INDEX(Datos_Origen!$E$2:$E$2459,$Z1206)),Parametros!$B$95:$B$106,0))</f>
        <v>Tienda fisica</v>
      </c>
      <c r="K1206" s="61" t="str">
        <f aca="false">INDEX(Parametros!$C$48:$C$67,MATCH(TRIM(INDEX(Datos_Origen!$F$2:$F$2459,$Z1206)),Parametros!$B$48:$B$67,0))</f>
        <v>Computacion</v>
      </c>
      <c r="L1206" s="61" t="str">
        <f aca="false">$K1206&amp;" "&amp;$C1206</f>
        <v>Computacion 2025</v>
      </c>
      <c r="M1206" s="61" t="str">
        <f aca="false">TRIM(INDEX(Datos_Origen!$G$2:$G$2459,$Z1206))</f>
        <v>PC Gamer Ryzen</v>
      </c>
      <c r="N1206" s="61" t="str">
        <f aca="false">$M1206&amp;" "&amp;$C1206</f>
        <v>PC Gamer Ryzen 2025</v>
      </c>
      <c r="O1206" s="63" t="n">
        <f aca="false">IF(ISTEXT($AC1206),VALUE($AC1206),$AC1206)</f>
        <v>15</v>
      </c>
      <c r="P1206" s="64" t="n">
        <f aca="false">INDEX(Datos_Origen!$I$2:$I$2459,$Z1206)</f>
        <v>1588.21</v>
      </c>
      <c r="Q1206" s="64" t="n">
        <f aca="false">INDEX(Datos_Origen!$J$2:$J$2459,$Z1206)</f>
        <v>1155.66</v>
      </c>
      <c r="R1206" s="65" t="n">
        <f aca="false">ROUND($O1206*$P1206,2)</f>
        <v>23823.15</v>
      </c>
      <c r="S1206" s="65" t="n">
        <f aca="false">ROUND($O1206*$Q1206,2)</f>
        <v>17334.9</v>
      </c>
      <c r="T1206" s="65" t="n">
        <f aca="false">ROUND($R1206*SUMIFS(Parametros!$E$28:$E$43,Parametros!$B$28:$B$43,$J1206,Parametros!$C$28:$C$43,$C1206,Parametros!$D$28:$D$43,$D1206),2)</f>
        <v>309.7</v>
      </c>
      <c r="U1206" s="65" t="n">
        <f aca="false">$R1206-$S1206-$T1206</f>
        <v>6178.55</v>
      </c>
      <c r="V1206" s="66" t="n">
        <f aca="false">IFERROR($U1206/$R1206,0)</f>
        <v>0.259350673609493</v>
      </c>
      <c r="W1206" s="67" t="str">
        <f aca="false">IF(AND($V1206&gt;=Parametros!$C$8,$R1206&gt;=Parametros!$C$12),"Alta rentabilidad",IF(OR($V1206&lt;Parametros!$C$11,$R1206&lt;Parametros!$C$13),"Revisar","Estandar"))</f>
        <v>Revisar</v>
      </c>
      <c r="X1206" s="67" t="str">
        <f aca="false">IF(AND($J1206="E-commerce",IFERROR($T1206/$R1206,0)&gt;Parametros!$C$14),"Alerta","OK")</f>
        <v>OK</v>
      </c>
      <c r="Y1206" s="61" t="str">
        <f aca="false">IF($R1206&gt;=Parametros!$C$12,"Alto",IF($R1206&lt;Parametros!$C$13,"Bajo","Medio"))</f>
        <v>Alto</v>
      </c>
      <c r="Z1206" s="61" t="n">
        <v>610</v>
      </c>
      <c r="AA1206" s="61" t="str">
        <f aca="false">IF(MATCH($A1206,Datos_Origen!$A$2:$A$2459,0)=$Z1206,"OK","REVISAR")</f>
        <v>OK</v>
      </c>
      <c r="AB1206" s="62" t="n">
        <f aca="false">INDEX(Datos_Origen!$B$2:$B$2459,$Z1206)</f>
        <v>45669</v>
      </c>
      <c r="AC1206" s="61" t="n">
        <f aca="false">INDEX(Datos_Origen!$H$2:$H$2459,$Z1206)</f>
        <v>15</v>
      </c>
      <c r="AD1206" s="61" t="str">
        <f aca="false">INDEX(Datos_Origen!$D$2:$D$2459,$Z1206)&amp;""</f>
        <v>Buenos Aires</v>
      </c>
    </row>
    <row r="1207" customFormat="false" ht="15" hidden="false" customHeight="false" outlineLevel="0" collapsed="false">
      <c r="A1207" s="61" t="n">
        <f aca="false">INDEX(Datos_Origen!$A$2:$A$2459,$Z1207)</f>
        <v>1206</v>
      </c>
      <c r="B1207" s="62" t="n">
        <f aca="false">IF(ISNUMBER($AB1207),$AB1207,IF(MID($AB1207,5,1)="-",DATE(VALUE(LEFT($AB1207,4)),VALUE(MID($AB1207,6,2)),VALUE(RIGHT($AB1207,2))),DATE(VALUE(RIGHT($AB1207,4)),VALUE(MID($AB1207,4,2)),VALUE(LEFT($AB1207,2)))))</f>
        <v>45676</v>
      </c>
      <c r="C1207" s="61" t="n">
        <f aca="false">YEAR($B1207)</f>
        <v>2025</v>
      </c>
      <c r="D1207" s="61" t="str">
        <f aca="false">"Q"&amp;ROUNDUP(MONTH($B1207)/3,0)</f>
        <v>Q1</v>
      </c>
      <c r="E1207" s="61" t="n">
        <f aca="false">MONTH($B1207)</f>
        <v>1</v>
      </c>
      <c r="F1207" s="61" t="str">
        <f aca="false">INDEX(Parametros!$I$5:$I$16,$E1207)</f>
        <v>Ene</v>
      </c>
      <c r="G1207" s="61" t="str">
        <f aca="false">TEXT($C1207,"0000")&amp;"-"&amp;TEXT($E1207,"00")</f>
        <v>2025-01</v>
      </c>
      <c r="H1207" s="61" t="str">
        <f aca="false">INDEX(Parametros!$C$71:$C$91,MATCH(TRIM(INDEX(Datos_Origen!$C$2:$C$2459,$Z1207)),Parametros!$B$71:$B$91,0))</f>
        <v>AMBA</v>
      </c>
      <c r="I1207" s="61" t="str">
        <f aca="false">IF(TRIM($AD1207)="",INDEX(Parametros!$I$20:$I$24,MATCH($H1207,Parametros!$H$20:$H$24,0)),TRIM($AD1207))</f>
        <v>Buenos Aires</v>
      </c>
      <c r="J1207" s="61" t="str">
        <f aca="false">INDEX(Parametros!$C$95:$C$106,MATCH(TRIM(INDEX(Datos_Origen!$E$2:$E$2459,$Z1207)),Parametros!$B$95:$B$106,0))</f>
        <v>E-commerce</v>
      </c>
      <c r="K1207" s="61" t="str">
        <f aca="false">INDEX(Parametros!$C$48:$C$67,MATCH(TRIM(INDEX(Datos_Origen!$F$2:$F$2459,$Z1207)),Parametros!$B$48:$B$67,0))</f>
        <v>Computacion</v>
      </c>
      <c r="L1207" s="61" t="str">
        <f aca="false">$K1207&amp;" "&amp;$C1207</f>
        <v>Computacion 2025</v>
      </c>
      <c r="M1207" s="61" t="str">
        <f aca="false">TRIM(INDEX(Datos_Origen!$G$2:$G$2459,$Z1207))</f>
        <v>PC Gamer Ryzen</v>
      </c>
      <c r="N1207" s="61" t="str">
        <f aca="false">$M1207&amp;" "&amp;$C1207</f>
        <v>PC Gamer Ryzen 2025</v>
      </c>
      <c r="O1207" s="63" t="n">
        <f aca="false">IF(ISTEXT($AC1207),VALUE($AC1207),$AC1207)</f>
        <v>12</v>
      </c>
      <c r="P1207" s="64" t="n">
        <f aca="false">INDEX(Datos_Origen!$I$2:$I$2459,$Z1207)</f>
        <v>1588.21</v>
      </c>
      <c r="Q1207" s="64" t="n">
        <f aca="false">INDEX(Datos_Origen!$J$2:$J$2459,$Z1207)</f>
        <v>1155.66</v>
      </c>
      <c r="R1207" s="65" t="n">
        <f aca="false">ROUND($O1207*$P1207,2)</f>
        <v>19058.52</v>
      </c>
      <c r="S1207" s="65" t="n">
        <f aca="false">ROUND($O1207*$Q1207,2)</f>
        <v>13867.92</v>
      </c>
      <c r="T1207" s="65" t="n">
        <f aca="false">ROUND($R1207*SUMIFS(Parametros!$E$28:$E$43,Parametros!$B$28:$B$43,$J1207,Parametros!$C$28:$C$43,$C1207,Parametros!$D$28:$D$43,$D1207),2)</f>
        <v>1295.98</v>
      </c>
      <c r="U1207" s="65" t="n">
        <f aca="false">$R1207-$S1207-$T1207</f>
        <v>3894.62</v>
      </c>
      <c r="V1207" s="66" t="n">
        <f aca="false">IFERROR($U1207/$R1207,0)</f>
        <v>0.204350600151533</v>
      </c>
      <c r="W1207" s="67" t="str">
        <f aca="false">IF(AND($V1207&gt;=Parametros!$C$8,$R1207&gt;=Parametros!$C$12),"Alta rentabilidad",IF(OR($V1207&lt;Parametros!$C$11,$R1207&lt;Parametros!$C$13),"Revisar","Estandar"))</f>
        <v>Revisar</v>
      </c>
      <c r="X1207" s="67" t="str">
        <f aca="false">IF(AND($J1207="E-commerce",IFERROR($T1207/$R1207,0)&gt;Parametros!$C$14),"Alerta","OK")</f>
        <v>Alerta</v>
      </c>
      <c r="Y1207" s="61" t="str">
        <f aca="false">IF($R1207&gt;=Parametros!$C$12,"Alto",IF($R1207&lt;Parametros!$C$13,"Bajo","Medio"))</f>
        <v>Alto</v>
      </c>
      <c r="Z1207" s="61" t="n">
        <v>878</v>
      </c>
      <c r="AA1207" s="61" t="str">
        <f aca="false">IF(MATCH($A1207,Datos_Origen!$A$2:$A$2459,0)=$Z1207,"OK","REVISAR")</f>
        <v>OK</v>
      </c>
      <c r="AB1207" s="61" t="str">
        <f aca="false">INDEX(Datos_Origen!$B$2:$B$2459,$Z1207)</f>
        <v>19/01/2025</v>
      </c>
      <c r="AC1207" s="61" t="n">
        <f aca="false">INDEX(Datos_Origen!$H$2:$H$2459,$Z1207)</f>
        <v>12</v>
      </c>
      <c r="AD1207" s="61" t="str">
        <f aca="false">INDEX(Datos_Origen!$D$2:$D$2459,$Z1207)&amp;""</f>
        <v>Buenos Aires</v>
      </c>
    </row>
    <row r="1208" customFormat="false" ht="15" hidden="false" customHeight="false" outlineLevel="0" collapsed="false">
      <c r="A1208" s="61" t="n">
        <f aca="false">INDEX(Datos_Origen!$A$2:$A$2459,$Z1208)</f>
        <v>1207</v>
      </c>
      <c r="B1208" s="62" t="n">
        <f aca="false">IF(ISNUMBER($AB1208),$AB1208,IF(MID($AB1208,5,1)="-",DATE(VALUE(LEFT($AB1208,4)),VALUE(MID($AB1208,6,2)),VALUE(RIGHT($AB1208,2))),DATE(VALUE(RIGHT($AB1208,4)),VALUE(MID($AB1208,4,2)),VALUE(LEFT($AB1208,2)))))</f>
        <v>45683</v>
      </c>
      <c r="C1208" s="61" t="n">
        <f aca="false">YEAR($B1208)</f>
        <v>2025</v>
      </c>
      <c r="D1208" s="61" t="str">
        <f aca="false">"Q"&amp;ROUNDUP(MONTH($B1208)/3,0)</f>
        <v>Q1</v>
      </c>
      <c r="E1208" s="61" t="n">
        <f aca="false">MONTH($B1208)</f>
        <v>1</v>
      </c>
      <c r="F1208" s="61" t="str">
        <f aca="false">INDEX(Parametros!$I$5:$I$16,$E1208)</f>
        <v>Ene</v>
      </c>
      <c r="G1208" s="61" t="str">
        <f aca="false">TEXT($C1208,"0000")&amp;"-"&amp;TEXT($E1208,"00")</f>
        <v>2025-01</v>
      </c>
      <c r="H1208" s="61" t="str">
        <f aca="false">INDEX(Parametros!$C$71:$C$91,MATCH(TRIM(INDEX(Datos_Origen!$C$2:$C$2459,$Z1208)),Parametros!$B$71:$B$91,0))</f>
        <v>AMBA</v>
      </c>
      <c r="I1208" s="61" t="str">
        <f aca="false">IF(TRIM($AD1208)="",INDEX(Parametros!$I$20:$I$24,MATCH($H1208,Parametros!$H$20:$H$24,0)),TRIM($AD1208))</f>
        <v>Buenos Aires</v>
      </c>
      <c r="J1208" s="61" t="str">
        <f aca="false">INDEX(Parametros!$C$95:$C$106,MATCH(TRIM(INDEX(Datos_Origen!$E$2:$E$2459,$Z1208)),Parametros!$B$95:$B$106,0))</f>
        <v>Tienda fisica</v>
      </c>
      <c r="K1208" s="61" t="str">
        <f aca="false">INDEX(Parametros!$C$48:$C$67,MATCH(TRIM(INDEX(Datos_Origen!$F$2:$F$2459,$Z1208)),Parametros!$B$48:$B$67,0))</f>
        <v>Accesorios</v>
      </c>
      <c r="L1208" s="61" t="str">
        <f aca="false">$K1208&amp;" "&amp;$C1208</f>
        <v>Accesorios 2025</v>
      </c>
      <c r="M1208" s="61" t="str">
        <f aca="false">TRIM(INDEX(Datos_Origen!$G$2:$G$2459,$Z1208))</f>
        <v>Mouse Inalambrico</v>
      </c>
      <c r="N1208" s="61" t="str">
        <f aca="false">$M1208&amp;" "&amp;$C1208</f>
        <v>Mouse Inalambrico 2025</v>
      </c>
      <c r="O1208" s="63" t="n">
        <f aca="false">IF(ISTEXT($AC1208),VALUE($AC1208),$AC1208)</f>
        <v>93</v>
      </c>
      <c r="P1208" s="64" t="n">
        <f aca="false">INDEX(Datos_Origen!$I$2:$I$2459,$Z1208)</f>
        <v>27.82</v>
      </c>
      <c r="Q1208" s="64" t="n">
        <f aca="false">INDEX(Datos_Origen!$J$2:$J$2459,$Z1208)</f>
        <v>13.84</v>
      </c>
      <c r="R1208" s="65" t="n">
        <f aca="false">ROUND($O1208*$P1208,2)</f>
        <v>2587.26</v>
      </c>
      <c r="S1208" s="65" t="n">
        <f aca="false">ROUND($O1208*$Q1208,2)</f>
        <v>1287.12</v>
      </c>
      <c r="T1208" s="65" t="n">
        <f aca="false">ROUND($R1208*SUMIFS(Parametros!$E$28:$E$43,Parametros!$B$28:$B$43,$J1208,Parametros!$C$28:$C$43,$C1208,Parametros!$D$28:$D$43,$D1208),2)</f>
        <v>33.63</v>
      </c>
      <c r="U1208" s="65" t="n">
        <f aca="false">$R1208-$S1208-$T1208</f>
        <v>1266.51</v>
      </c>
      <c r="V1208" s="66" t="n">
        <f aca="false">IFERROR($U1208/$R1208,0)</f>
        <v>0.489517868324019</v>
      </c>
      <c r="W1208" s="67" t="str">
        <f aca="false">IF(AND($V1208&gt;=Parametros!$C$8,$R1208&gt;=Parametros!$C$12),"Alta rentabilidad",IF(OR($V1208&lt;Parametros!$C$11,$R1208&lt;Parametros!$C$13),"Revisar","Estandar"))</f>
        <v>Estandar</v>
      </c>
      <c r="X1208" s="67" t="str">
        <f aca="false">IF(AND($J1208="E-commerce",IFERROR($T1208/$R1208,0)&gt;Parametros!$C$14),"Alerta","OK")</f>
        <v>OK</v>
      </c>
      <c r="Y1208" s="61" t="str">
        <f aca="false">IF($R1208&gt;=Parametros!$C$12,"Alto",IF($R1208&lt;Parametros!$C$13,"Bajo","Medio"))</f>
        <v>Medio</v>
      </c>
      <c r="Z1208" s="61" t="n">
        <v>312</v>
      </c>
      <c r="AA1208" s="61" t="str">
        <f aca="false">IF(MATCH($A1208,Datos_Origen!$A$2:$A$2459,0)=$Z1208,"OK","REVISAR")</f>
        <v>OK</v>
      </c>
      <c r="AB1208" s="62" t="n">
        <f aca="false">INDEX(Datos_Origen!$B$2:$B$2459,$Z1208)</f>
        <v>45683</v>
      </c>
      <c r="AC1208" s="61" t="n">
        <f aca="false">INDEX(Datos_Origen!$H$2:$H$2459,$Z1208)</f>
        <v>93</v>
      </c>
      <c r="AD1208" s="61" t="str">
        <f aca="false">INDEX(Datos_Origen!$D$2:$D$2459,$Z1208)&amp;""</f>
        <v>Buenos Aires</v>
      </c>
    </row>
    <row r="1209" customFormat="false" ht="15" hidden="false" customHeight="false" outlineLevel="0" collapsed="false">
      <c r="A1209" s="61" t="n">
        <f aca="false">INDEX(Datos_Origen!$A$2:$A$2459,$Z1209)</f>
        <v>1208</v>
      </c>
      <c r="B1209" s="62" t="n">
        <f aca="false">IF(ISNUMBER($AB1209),$AB1209,IF(MID($AB1209,5,1)="-",DATE(VALUE(LEFT($AB1209,4)),VALUE(MID($AB1209,6,2)),VALUE(RIGHT($AB1209,2))),DATE(VALUE(RIGHT($AB1209,4)),VALUE(MID($AB1209,4,2)),VALUE(LEFT($AB1209,2)))))</f>
        <v>45663</v>
      </c>
      <c r="C1209" s="61" t="n">
        <f aca="false">YEAR($B1209)</f>
        <v>2025</v>
      </c>
      <c r="D1209" s="61" t="str">
        <f aca="false">"Q"&amp;ROUNDUP(MONTH($B1209)/3,0)</f>
        <v>Q1</v>
      </c>
      <c r="E1209" s="61" t="n">
        <f aca="false">MONTH($B1209)</f>
        <v>1</v>
      </c>
      <c r="F1209" s="61" t="str">
        <f aca="false">INDEX(Parametros!$I$5:$I$16,$E1209)</f>
        <v>Ene</v>
      </c>
      <c r="G1209" s="61" t="str">
        <f aca="false">TEXT($C1209,"0000")&amp;"-"&amp;TEXT($E1209,"00")</f>
        <v>2025-01</v>
      </c>
      <c r="H1209" s="61" t="str">
        <f aca="false">INDEX(Parametros!$C$71:$C$91,MATCH(TRIM(INDEX(Datos_Origen!$C$2:$C$2459,$Z1209)),Parametros!$B$71:$B$91,0))</f>
        <v>AMBA</v>
      </c>
      <c r="I1209" s="61" t="str">
        <f aca="false">IF(TRIM($AD1209)="",INDEX(Parametros!$I$20:$I$24,MATCH($H1209,Parametros!$H$20:$H$24,0)),TRIM($AD1209))</f>
        <v>Buenos Aires</v>
      </c>
      <c r="J1209" s="61" t="str">
        <f aca="false">INDEX(Parametros!$C$95:$C$106,MATCH(TRIM(INDEX(Datos_Origen!$E$2:$E$2459,$Z1209)),Parametros!$B$95:$B$106,0))</f>
        <v>E-commerce</v>
      </c>
      <c r="K1209" s="61" t="str">
        <f aca="false">INDEX(Parametros!$C$48:$C$67,MATCH(TRIM(INDEX(Datos_Origen!$F$2:$F$2459,$Z1209)),Parametros!$B$48:$B$67,0))</f>
        <v>Accesorios</v>
      </c>
      <c r="L1209" s="61" t="str">
        <f aca="false">$K1209&amp;" "&amp;$C1209</f>
        <v>Accesorios 2025</v>
      </c>
      <c r="M1209" s="61" t="str">
        <f aca="false">TRIM(INDEX(Datos_Origen!$G$2:$G$2459,$Z1209))</f>
        <v>Mouse Inalambrico</v>
      </c>
      <c r="N1209" s="61" t="str">
        <f aca="false">$M1209&amp;" "&amp;$C1209</f>
        <v>Mouse Inalambrico 2025</v>
      </c>
      <c r="O1209" s="63" t="n">
        <f aca="false">IF(ISTEXT($AC1209),VALUE($AC1209),$AC1209)</f>
        <v>47</v>
      </c>
      <c r="P1209" s="64" t="n">
        <f aca="false">INDEX(Datos_Origen!$I$2:$I$2459,$Z1209)</f>
        <v>27.82</v>
      </c>
      <c r="Q1209" s="64" t="n">
        <f aca="false">INDEX(Datos_Origen!$J$2:$J$2459,$Z1209)</f>
        <v>13.84</v>
      </c>
      <c r="R1209" s="65" t="n">
        <f aca="false">ROUND($O1209*$P1209,2)</f>
        <v>1307.54</v>
      </c>
      <c r="S1209" s="65" t="n">
        <f aca="false">ROUND($O1209*$Q1209,2)</f>
        <v>650.48</v>
      </c>
      <c r="T1209" s="65" t="n">
        <f aca="false">ROUND($R1209*SUMIFS(Parametros!$E$28:$E$43,Parametros!$B$28:$B$43,$J1209,Parametros!$C$28:$C$43,$C1209,Parametros!$D$28:$D$43,$D1209),2)</f>
        <v>88.91</v>
      </c>
      <c r="U1209" s="65" t="n">
        <f aca="false">$R1209-$S1209-$T1209</f>
        <v>568.15</v>
      </c>
      <c r="V1209" s="66" t="n">
        <f aca="false">IFERROR($U1209/$R1209,0)</f>
        <v>0.434518255655659</v>
      </c>
      <c r="W1209" s="67" t="str">
        <f aca="false">IF(AND($V1209&gt;=Parametros!$C$8,$R1209&gt;=Parametros!$C$12),"Alta rentabilidad",IF(OR($V1209&lt;Parametros!$C$11,$R1209&lt;Parametros!$C$13),"Revisar","Estandar"))</f>
        <v>Estandar</v>
      </c>
      <c r="X1209" s="67" t="str">
        <f aca="false">IF(AND($J1209="E-commerce",IFERROR($T1209/$R1209,0)&gt;Parametros!$C$14),"Alerta","OK")</f>
        <v>Alerta</v>
      </c>
      <c r="Y1209" s="61" t="str">
        <f aca="false">IF($R1209&gt;=Parametros!$C$12,"Alto",IF($R1209&lt;Parametros!$C$13,"Bajo","Medio"))</f>
        <v>Medio</v>
      </c>
      <c r="Z1209" s="61" t="n">
        <v>524</v>
      </c>
      <c r="AA1209" s="61" t="str">
        <f aca="false">IF(MATCH($A1209,Datos_Origen!$A$2:$A$2459,0)=$Z1209,"OK","REVISAR")</f>
        <v>OK</v>
      </c>
      <c r="AB1209" s="61" t="str">
        <f aca="false">INDEX(Datos_Origen!$B$2:$B$2459,$Z1209)</f>
        <v>2025-01-06</v>
      </c>
      <c r="AC1209" s="61" t="n">
        <f aca="false">INDEX(Datos_Origen!$H$2:$H$2459,$Z1209)</f>
        <v>47</v>
      </c>
      <c r="AD1209" s="61" t="str">
        <f aca="false">INDEX(Datos_Origen!$D$2:$D$2459,$Z1209)&amp;""</f>
        <v>Buenos Aires</v>
      </c>
    </row>
    <row r="1210" customFormat="false" ht="15" hidden="false" customHeight="false" outlineLevel="0" collapsed="false">
      <c r="A1210" s="61" t="n">
        <f aca="false">INDEX(Datos_Origen!$A$2:$A$2459,$Z1210)</f>
        <v>1209</v>
      </c>
      <c r="B1210" s="62" t="n">
        <f aca="false">IF(ISNUMBER($AB1210),$AB1210,IF(MID($AB1210,5,1)="-",DATE(VALUE(LEFT($AB1210,4)),VALUE(MID($AB1210,6,2)),VALUE(RIGHT($AB1210,2))),DATE(VALUE(RIGHT($AB1210,4)),VALUE(MID($AB1210,4,2)),VALUE(LEFT($AB1210,2)))))</f>
        <v>45670</v>
      </c>
      <c r="C1210" s="61" t="n">
        <f aca="false">YEAR($B1210)</f>
        <v>2025</v>
      </c>
      <c r="D1210" s="61" t="str">
        <f aca="false">"Q"&amp;ROUNDUP(MONTH($B1210)/3,0)</f>
        <v>Q1</v>
      </c>
      <c r="E1210" s="61" t="n">
        <f aca="false">MONTH($B1210)</f>
        <v>1</v>
      </c>
      <c r="F1210" s="61" t="str">
        <f aca="false">INDEX(Parametros!$I$5:$I$16,$E1210)</f>
        <v>Ene</v>
      </c>
      <c r="G1210" s="61" t="str">
        <f aca="false">TEXT($C1210,"0000")&amp;"-"&amp;TEXT($E1210,"00")</f>
        <v>2025-01</v>
      </c>
      <c r="H1210" s="61" t="str">
        <f aca="false">INDEX(Parametros!$C$71:$C$91,MATCH(TRIM(INDEX(Datos_Origen!$C$2:$C$2459,$Z1210)),Parametros!$B$71:$B$91,0))</f>
        <v>AMBA</v>
      </c>
      <c r="I1210" s="61" t="str">
        <f aca="false">IF(TRIM($AD1210)="",INDEX(Parametros!$I$20:$I$24,MATCH($H1210,Parametros!$H$20:$H$24,0)),TRIM($AD1210))</f>
        <v>Buenos Aires</v>
      </c>
      <c r="J1210" s="61" t="str">
        <f aca="false">INDEX(Parametros!$C$95:$C$106,MATCH(TRIM(INDEX(Datos_Origen!$E$2:$E$2459,$Z1210)),Parametros!$B$95:$B$106,0))</f>
        <v>Tienda fisica</v>
      </c>
      <c r="K1210" s="61" t="str">
        <f aca="false">INDEX(Parametros!$C$48:$C$67,MATCH(TRIM(INDEX(Datos_Origen!$F$2:$F$2459,$Z1210)),Parametros!$B$48:$B$67,0))</f>
        <v>Accesorios</v>
      </c>
      <c r="L1210" s="61" t="str">
        <f aca="false">$K1210&amp;" "&amp;$C1210</f>
        <v>Accesorios 2025</v>
      </c>
      <c r="M1210" s="61" t="str">
        <f aca="false">TRIM(INDEX(Datos_Origen!$G$2:$G$2459,$Z1210))</f>
        <v>Teclado Mecanico</v>
      </c>
      <c r="N1210" s="61" t="str">
        <f aca="false">$M1210&amp;" "&amp;$C1210</f>
        <v>Teclado Mecanico 2025</v>
      </c>
      <c r="O1210" s="63" t="n">
        <f aca="false">IF(ISTEXT($AC1210),VALUE($AC1210),$AC1210)</f>
        <v>66</v>
      </c>
      <c r="P1210" s="64" t="n">
        <f aca="false">INDEX(Datos_Origen!$I$2:$I$2459,$Z1210)</f>
        <v>94.39</v>
      </c>
      <c r="Q1210" s="64" t="n">
        <f aca="false">INDEX(Datos_Origen!$J$2:$J$2459,$Z1210)</f>
        <v>49.41</v>
      </c>
      <c r="R1210" s="65" t="n">
        <f aca="false">ROUND($O1210*$P1210,2)</f>
        <v>6229.74</v>
      </c>
      <c r="S1210" s="65" t="n">
        <f aca="false">ROUND($O1210*$Q1210,2)</f>
        <v>3261.06</v>
      </c>
      <c r="T1210" s="65" t="n">
        <f aca="false">ROUND($R1210*SUMIFS(Parametros!$E$28:$E$43,Parametros!$B$28:$B$43,$J1210,Parametros!$C$28:$C$43,$C1210,Parametros!$D$28:$D$43,$D1210),2)</f>
        <v>80.99</v>
      </c>
      <c r="U1210" s="65" t="n">
        <f aca="false">$R1210-$S1210-$T1210</f>
        <v>2887.69</v>
      </c>
      <c r="V1210" s="66" t="n">
        <f aca="false">IFERROR($U1210/$R1210,0)</f>
        <v>0.463532988535637</v>
      </c>
      <c r="W1210" s="67" t="str">
        <f aca="false">IF(AND($V1210&gt;=Parametros!$C$8,$R1210&gt;=Parametros!$C$12),"Alta rentabilidad",IF(OR($V1210&lt;Parametros!$C$11,$R1210&lt;Parametros!$C$13),"Revisar","Estandar"))</f>
        <v>Alta rentabilidad</v>
      </c>
      <c r="X1210" s="67" t="str">
        <f aca="false">IF(AND($J1210="E-commerce",IFERROR($T1210/$R1210,0)&gt;Parametros!$C$14),"Alerta","OK")</f>
        <v>OK</v>
      </c>
      <c r="Y1210" s="61" t="str">
        <f aca="false">IF($R1210&gt;=Parametros!$C$12,"Alto",IF($R1210&lt;Parametros!$C$13,"Bajo","Medio"))</f>
        <v>Alto</v>
      </c>
      <c r="Z1210" s="61" t="n">
        <v>258</v>
      </c>
      <c r="AA1210" s="61" t="str">
        <f aca="false">IF(MATCH($A1210,Datos_Origen!$A$2:$A$2459,0)=$Z1210,"OK","REVISAR")</f>
        <v>OK</v>
      </c>
      <c r="AB1210" s="62" t="n">
        <f aca="false">INDEX(Datos_Origen!$B$2:$B$2459,$Z1210)</f>
        <v>45670</v>
      </c>
      <c r="AC1210" s="61" t="n">
        <f aca="false">INDEX(Datos_Origen!$H$2:$H$2459,$Z1210)</f>
        <v>66</v>
      </c>
      <c r="AD1210" s="61" t="str">
        <f aca="false">INDEX(Datos_Origen!$D$2:$D$2459,$Z1210)&amp;""</f>
        <v>Buenos Aires</v>
      </c>
    </row>
    <row r="1211" customFormat="false" ht="15" hidden="false" customHeight="false" outlineLevel="0" collapsed="false">
      <c r="A1211" s="61" t="n">
        <f aca="false">INDEX(Datos_Origen!$A$2:$A$2459,$Z1211)</f>
        <v>1210</v>
      </c>
      <c r="B1211" s="62" t="n">
        <f aca="false">IF(ISNUMBER($AB1211),$AB1211,IF(MID($AB1211,5,1)="-",DATE(VALUE(LEFT($AB1211,4)),VALUE(MID($AB1211,6,2)),VALUE(RIGHT($AB1211,2))),DATE(VALUE(RIGHT($AB1211,4)),VALUE(MID($AB1211,4,2)),VALUE(LEFT($AB1211,2)))))</f>
        <v>45677</v>
      </c>
      <c r="C1211" s="61" t="n">
        <f aca="false">YEAR($B1211)</f>
        <v>2025</v>
      </c>
      <c r="D1211" s="61" t="str">
        <f aca="false">"Q"&amp;ROUNDUP(MONTH($B1211)/3,0)</f>
        <v>Q1</v>
      </c>
      <c r="E1211" s="61" t="n">
        <f aca="false">MONTH($B1211)</f>
        <v>1</v>
      </c>
      <c r="F1211" s="61" t="str">
        <f aca="false">INDEX(Parametros!$I$5:$I$16,$E1211)</f>
        <v>Ene</v>
      </c>
      <c r="G1211" s="61" t="str">
        <f aca="false">TEXT($C1211,"0000")&amp;"-"&amp;TEXT($E1211,"00")</f>
        <v>2025-01</v>
      </c>
      <c r="H1211" s="61" t="str">
        <f aca="false">INDEX(Parametros!$C$71:$C$91,MATCH(TRIM(INDEX(Datos_Origen!$C$2:$C$2459,$Z1211)),Parametros!$B$71:$B$91,0))</f>
        <v>AMBA</v>
      </c>
      <c r="I1211" s="61" t="str">
        <f aca="false">IF(TRIM($AD1211)="",INDEX(Parametros!$I$20:$I$24,MATCH($H1211,Parametros!$H$20:$H$24,0)),TRIM($AD1211))</f>
        <v>Buenos Aires</v>
      </c>
      <c r="J1211" s="61" t="str">
        <f aca="false">INDEX(Parametros!$C$95:$C$106,MATCH(TRIM(INDEX(Datos_Origen!$E$2:$E$2459,$Z1211)),Parametros!$B$95:$B$106,0))</f>
        <v>E-commerce</v>
      </c>
      <c r="K1211" s="61" t="str">
        <f aca="false">INDEX(Parametros!$C$48:$C$67,MATCH(TRIM(INDEX(Datos_Origen!$F$2:$F$2459,$Z1211)),Parametros!$B$48:$B$67,0))</f>
        <v>Accesorios</v>
      </c>
      <c r="L1211" s="61" t="str">
        <f aca="false">$K1211&amp;" "&amp;$C1211</f>
        <v>Accesorios 2025</v>
      </c>
      <c r="M1211" s="61" t="str">
        <f aca="false">TRIM(INDEX(Datos_Origen!$G$2:$G$2459,$Z1211))</f>
        <v>Teclado Mecanico</v>
      </c>
      <c r="N1211" s="61" t="str">
        <f aca="false">$M1211&amp;" "&amp;$C1211</f>
        <v>Teclado Mecanico 2025</v>
      </c>
      <c r="O1211" s="63" t="n">
        <f aca="false">IF(ISTEXT($AC1211),VALUE($AC1211),$AC1211)</f>
        <v>55</v>
      </c>
      <c r="P1211" s="64" t="n">
        <f aca="false">INDEX(Datos_Origen!$I$2:$I$2459,$Z1211)</f>
        <v>94.39</v>
      </c>
      <c r="Q1211" s="64" t="n">
        <f aca="false">INDEX(Datos_Origen!$J$2:$J$2459,$Z1211)</f>
        <v>49.41</v>
      </c>
      <c r="R1211" s="65" t="n">
        <f aca="false">ROUND($O1211*$P1211,2)</f>
        <v>5191.45</v>
      </c>
      <c r="S1211" s="65" t="n">
        <f aca="false">ROUND($O1211*$Q1211,2)</f>
        <v>2717.55</v>
      </c>
      <c r="T1211" s="65" t="n">
        <f aca="false">ROUND($R1211*SUMIFS(Parametros!$E$28:$E$43,Parametros!$B$28:$B$43,$J1211,Parametros!$C$28:$C$43,$C1211,Parametros!$D$28:$D$43,$D1211),2)</f>
        <v>353.02</v>
      </c>
      <c r="U1211" s="65" t="n">
        <f aca="false">$R1211-$S1211-$T1211</f>
        <v>2120.88</v>
      </c>
      <c r="V1211" s="66" t="n">
        <f aca="false">IFERROR($U1211/$R1211,0)</f>
        <v>0.40853326142022</v>
      </c>
      <c r="W1211" s="67" t="str">
        <f aca="false">IF(AND($V1211&gt;=Parametros!$C$8,$R1211&gt;=Parametros!$C$12),"Alta rentabilidad",IF(OR($V1211&lt;Parametros!$C$11,$R1211&lt;Parametros!$C$13),"Revisar","Estandar"))</f>
        <v>Alta rentabilidad</v>
      </c>
      <c r="X1211" s="67" t="str">
        <f aca="false">IF(AND($J1211="E-commerce",IFERROR($T1211/$R1211,0)&gt;Parametros!$C$14),"Alerta","OK")</f>
        <v>Alerta</v>
      </c>
      <c r="Y1211" s="61" t="str">
        <f aca="false">IF($R1211&gt;=Parametros!$C$12,"Alto",IF($R1211&lt;Parametros!$C$13,"Bajo","Medio"))</f>
        <v>Alto</v>
      </c>
      <c r="Z1211" s="61" t="n">
        <v>253</v>
      </c>
      <c r="AA1211" s="61" t="str">
        <f aca="false">IF(MATCH($A1211,Datos_Origen!$A$2:$A$2459,0)=$Z1211,"OK","REVISAR")</f>
        <v>OK</v>
      </c>
      <c r="AB1211" s="62" t="n">
        <f aca="false">INDEX(Datos_Origen!$B$2:$B$2459,$Z1211)</f>
        <v>45677</v>
      </c>
      <c r="AC1211" s="61" t="n">
        <f aca="false">INDEX(Datos_Origen!$H$2:$H$2459,$Z1211)</f>
        <v>55</v>
      </c>
      <c r="AD1211" s="61" t="str">
        <f aca="false">INDEX(Datos_Origen!$D$2:$D$2459,$Z1211)&amp;""</f>
        <v>Buenos Aires</v>
      </c>
    </row>
    <row r="1212" customFormat="false" ht="15" hidden="false" customHeight="false" outlineLevel="0" collapsed="false">
      <c r="A1212" s="61" t="n">
        <f aca="false">INDEX(Datos_Origen!$A$2:$A$2459,$Z1212)</f>
        <v>1211</v>
      </c>
      <c r="B1212" s="62" t="n">
        <f aca="false">IF(ISNUMBER($AB1212),$AB1212,IF(MID($AB1212,5,1)="-",DATE(VALUE(LEFT($AB1212,4)),VALUE(MID($AB1212,6,2)),VALUE(RIGHT($AB1212,2))),DATE(VALUE(RIGHT($AB1212,4)),VALUE(MID($AB1212,4,2)),VALUE(LEFT($AB1212,2)))))</f>
        <v>45684</v>
      </c>
      <c r="C1212" s="61" t="n">
        <f aca="false">YEAR($B1212)</f>
        <v>2025</v>
      </c>
      <c r="D1212" s="61" t="str">
        <f aca="false">"Q"&amp;ROUNDUP(MONTH($B1212)/3,0)</f>
        <v>Q1</v>
      </c>
      <c r="E1212" s="61" t="n">
        <f aca="false">MONTH($B1212)</f>
        <v>1</v>
      </c>
      <c r="F1212" s="61" t="str">
        <f aca="false">INDEX(Parametros!$I$5:$I$16,$E1212)</f>
        <v>Ene</v>
      </c>
      <c r="G1212" s="61" t="str">
        <f aca="false">TEXT($C1212,"0000")&amp;"-"&amp;TEXT($E1212,"00")</f>
        <v>2025-01</v>
      </c>
      <c r="H1212" s="61" t="str">
        <f aca="false">INDEX(Parametros!$C$71:$C$91,MATCH(TRIM(INDEX(Datos_Origen!$C$2:$C$2459,$Z1212)),Parametros!$B$71:$B$91,0))</f>
        <v>AMBA</v>
      </c>
      <c r="I1212" s="61" t="str">
        <f aca="false">IF(TRIM($AD1212)="",INDEX(Parametros!$I$20:$I$24,MATCH($H1212,Parametros!$H$20:$H$24,0)),TRIM($AD1212))</f>
        <v>Buenos Aires</v>
      </c>
      <c r="J1212" s="61" t="str">
        <f aca="false">INDEX(Parametros!$C$95:$C$106,MATCH(TRIM(INDEX(Datos_Origen!$E$2:$E$2459,$Z1212)),Parametros!$B$95:$B$106,0))</f>
        <v>Tienda fisica</v>
      </c>
      <c r="K1212" s="61" t="str">
        <f aca="false">INDEX(Parametros!$C$48:$C$67,MATCH(TRIM(INDEX(Datos_Origen!$F$2:$F$2459,$Z1212)),Parametros!$B$48:$B$67,0))</f>
        <v>Accesorios</v>
      </c>
      <c r="L1212" s="61" t="str">
        <f aca="false">$K1212&amp;" "&amp;$C1212</f>
        <v>Accesorios 2025</v>
      </c>
      <c r="M1212" s="61" t="str">
        <f aca="false">TRIM(INDEX(Datos_Origen!$G$2:$G$2459,$Z1212))</f>
        <v>Webcam Full HD</v>
      </c>
      <c r="N1212" s="61" t="str">
        <f aca="false">$M1212&amp;" "&amp;$C1212</f>
        <v>Webcam Full HD 2025</v>
      </c>
      <c r="O1212" s="63" t="n">
        <f aca="false">IF(ISTEXT($AC1212),VALUE($AC1212),$AC1212)</f>
        <v>73</v>
      </c>
      <c r="P1212" s="64" t="n">
        <f aca="false">INDEX(Datos_Origen!$I$2:$I$2459,$Z1212)</f>
        <v>64.58</v>
      </c>
      <c r="Q1212" s="64" t="n">
        <f aca="false">INDEX(Datos_Origen!$J$2:$J$2459,$Z1212)</f>
        <v>36.49</v>
      </c>
      <c r="R1212" s="65" t="n">
        <f aca="false">ROUND($O1212*$P1212,2)</f>
        <v>4714.34</v>
      </c>
      <c r="S1212" s="65" t="n">
        <f aca="false">ROUND($O1212*$Q1212,2)</f>
        <v>2663.77</v>
      </c>
      <c r="T1212" s="65" t="n">
        <f aca="false">ROUND($R1212*SUMIFS(Parametros!$E$28:$E$43,Parametros!$B$28:$B$43,$J1212,Parametros!$C$28:$C$43,$C1212,Parametros!$D$28:$D$43,$D1212),2)</f>
        <v>61.29</v>
      </c>
      <c r="U1212" s="65" t="n">
        <f aca="false">$R1212-$S1212-$T1212</f>
        <v>1989.28</v>
      </c>
      <c r="V1212" s="66" t="n">
        <f aca="false">IFERROR($U1212/$R1212,0)</f>
        <v>0.421963625873399</v>
      </c>
      <c r="W1212" s="67" t="str">
        <f aca="false">IF(AND($V1212&gt;=Parametros!$C$8,$R1212&gt;=Parametros!$C$12),"Alta rentabilidad",IF(OR($V1212&lt;Parametros!$C$11,$R1212&lt;Parametros!$C$13),"Revisar","Estandar"))</f>
        <v>Alta rentabilidad</v>
      </c>
      <c r="X1212" s="67" t="str">
        <f aca="false">IF(AND($J1212="E-commerce",IFERROR($T1212/$R1212,0)&gt;Parametros!$C$14),"Alerta","OK")</f>
        <v>OK</v>
      </c>
      <c r="Y1212" s="61" t="str">
        <f aca="false">IF($R1212&gt;=Parametros!$C$12,"Alto",IF($R1212&lt;Parametros!$C$13,"Bajo","Medio"))</f>
        <v>Alto</v>
      </c>
      <c r="Z1212" s="61" t="n">
        <v>1147</v>
      </c>
      <c r="AA1212" s="61" t="str">
        <f aca="false">IF(MATCH($A1212,Datos_Origen!$A$2:$A$2459,0)=$Z1212,"OK","REVISAR")</f>
        <v>OK</v>
      </c>
      <c r="AB1212" s="61" t="str">
        <f aca="false">INDEX(Datos_Origen!$B$2:$B$2459,$Z1212)</f>
        <v>2025-01-27</v>
      </c>
      <c r="AC1212" s="61" t="n">
        <f aca="false">INDEX(Datos_Origen!$H$2:$H$2459,$Z1212)</f>
        <v>73</v>
      </c>
      <c r="AD1212" s="61" t="str">
        <f aca="false">INDEX(Datos_Origen!$D$2:$D$2459,$Z1212)&amp;""</f>
        <v>Buenos Aires</v>
      </c>
    </row>
    <row r="1213" customFormat="false" ht="15" hidden="false" customHeight="false" outlineLevel="0" collapsed="false">
      <c r="A1213" s="61" t="n">
        <f aca="false">INDEX(Datos_Origen!$A$2:$A$2459,$Z1213)</f>
        <v>1212</v>
      </c>
      <c r="B1213" s="62" t="n">
        <f aca="false">IF(ISNUMBER($AB1213),$AB1213,IF(MID($AB1213,5,1)="-",DATE(VALUE(LEFT($AB1213,4)),VALUE(MID($AB1213,6,2)),VALUE(RIGHT($AB1213,2))),DATE(VALUE(RIGHT($AB1213,4)),VALUE(MID($AB1213,4,2)),VALUE(LEFT($AB1213,2)))))</f>
        <v>45664</v>
      </c>
      <c r="C1213" s="61" t="n">
        <f aca="false">YEAR($B1213)</f>
        <v>2025</v>
      </c>
      <c r="D1213" s="61" t="str">
        <f aca="false">"Q"&amp;ROUNDUP(MONTH($B1213)/3,0)</f>
        <v>Q1</v>
      </c>
      <c r="E1213" s="61" t="n">
        <f aca="false">MONTH($B1213)</f>
        <v>1</v>
      </c>
      <c r="F1213" s="61" t="str">
        <f aca="false">INDEX(Parametros!$I$5:$I$16,$E1213)</f>
        <v>Ene</v>
      </c>
      <c r="G1213" s="61" t="str">
        <f aca="false">TEXT($C1213,"0000")&amp;"-"&amp;TEXT($E1213,"00")</f>
        <v>2025-01</v>
      </c>
      <c r="H1213" s="61" t="str">
        <f aca="false">INDEX(Parametros!$C$71:$C$91,MATCH(TRIM(INDEX(Datos_Origen!$C$2:$C$2459,$Z1213)),Parametros!$B$71:$B$91,0))</f>
        <v>AMBA</v>
      </c>
      <c r="I1213" s="61" t="str">
        <f aca="false">IF(TRIM($AD1213)="",INDEX(Parametros!$I$20:$I$24,MATCH($H1213,Parametros!$H$20:$H$24,0)),TRIM($AD1213))</f>
        <v>Buenos Aires</v>
      </c>
      <c r="J1213" s="61" t="str">
        <f aca="false">INDEX(Parametros!$C$95:$C$106,MATCH(TRIM(INDEX(Datos_Origen!$E$2:$E$2459,$Z1213)),Parametros!$B$95:$B$106,0))</f>
        <v>E-commerce</v>
      </c>
      <c r="K1213" s="61" t="str">
        <f aca="false">INDEX(Parametros!$C$48:$C$67,MATCH(TRIM(INDEX(Datos_Origen!$F$2:$F$2459,$Z1213)),Parametros!$B$48:$B$67,0))</f>
        <v>Accesorios</v>
      </c>
      <c r="L1213" s="61" t="str">
        <f aca="false">$K1213&amp;" "&amp;$C1213</f>
        <v>Accesorios 2025</v>
      </c>
      <c r="M1213" s="61" t="str">
        <f aca="false">TRIM(INDEX(Datos_Origen!$G$2:$G$2459,$Z1213))</f>
        <v>Webcam Full HD</v>
      </c>
      <c r="N1213" s="61" t="str">
        <f aca="false">$M1213&amp;" "&amp;$C1213</f>
        <v>Webcam Full HD 2025</v>
      </c>
      <c r="O1213" s="63" t="n">
        <f aca="false">IF(ISTEXT($AC1213),VALUE($AC1213),$AC1213)</f>
        <v>54</v>
      </c>
      <c r="P1213" s="64" t="n">
        <f aca="false">INDEX(Datos_Origen!$I$2:$I$2459,$Z1213)</f>
        <v>64.58</v>
      </c>
      <c r="Q1213" s="64" t="n">
        <f aca="false">INDEX(Datos_Origen!$J$2:$J$2459,$Z1213)</f>
        <v>36.49</v>
      </c>
      <c r="R1213" s="65" t="n">
        <f aca="false">ROUND($O1213*$P1213,2)</f>
        <v>3487.32</v>
      </c>
      <c r="S1213" s="65" t="n">
        <f aca="false">ROUND($O1213*$Q1213,2)</f>
        <v>1970.46</v>
      </c>
      <c r="T1213" s="65" t="n">
        <f aca="false">ROUND($R1213*SUMIFS(Parametros!$E$28:$E$43,Parametros!$B$28:$B$43,$J1213,Parametros!$C$28:$C$43,$C1213,Parametros!$D$28:$D$43,$D1213),2)</f>
        <v>237.14</v>
      </c>
      <c r="U1213" s="65" t="n">
        <f aca="false">$R1213-$S1213-$T1213</f>
        <v>1279.72</v>
      </c>
      <c r="V1213" s="66" t="n">
        <f aca="false">IFERROR($U1213/$R1213,0)</f>
        <v>0.366963742931535</v>
      </c>
      <c r="W1213" s="67" t="str">
        <f aca="false">IF(AND($V1213&gt;=Parametros!$C$8,$R1213&gt;=Parametros!$C$12),"Alta rentabilidad",IF(OR($V1213&lt;Parametros!$C$11,$R1213&lt;Parametros!$C$13),"Revisar","Estandar"))</f>
        <v>Alta rentabilidad</v>
      </c>
      <c r="X1213" s="67" t="str">
        <f aca="false">IF(AND($J1213="E-commerce",IFERROR($T1213/$R1213,0)&gt;Parametros!$C$14),"Alerta","OK")</f>
        <v>Alerta</v>
      </c>
      <c r="Y1213" s="61" t="str">
        <f aca="false">IF($R1213&gt;=Parametros!$C$12,"Alto",IF($R1213&lt;Parametros!$C$13,"Bajo","Medio"))</f>
        <v>Alto</v>
      </c>
      <c r="Z1213" s="61" t="n">
        <v>604</v>
      </c>
      <c r="AA1213" s="61" t="str">
        <f aca="false">IF(MATCH($A1213,Datos_Origen!$A$2:$A$2459,0)=$Z1213,"OK","REVISAR")</f>
        <v>OK</v>
      </c>
      <c r="AB1213" s="61" t="str">
        <f aca="false">INDEX(Datos_Origen!$B$2:$B$2459,$Z1213)</f>
        <v>2025-01-07</v>
      </c>
      <c r="AC1213" s="61" t="n">
        <f aca="false">INDEX(Datos_Origen!$H$2:$H$2459,$Z1213)</f>
        <v>54</v>
      </c>
      <c r="AD1213" s="61" t="str">
        <f aca="false">INDEX(Datos_Origen!$D$2:$D$2459,$Z1213)&amp;""</f>
        <v/>
      </c>
    </row>
    <row r="1214" customFormat="false" ht="15" hidden="false" customHeight="false" outlineLevel="0" collapsed="false">
      <c r="A1214" s="61" t="n">
        <f aca="false">INDEX(Datos_Origen!$A$2:$A$2459,$Z1214)</f>
        <v>1213</v>
      </c>
      <c r="B1214" s="62" t="n">
        <f aca="false">IF(ISNUMBER($AB1214),$AB1214,IF(MID($AB1214,5,1)="-",DATE(VALUE(LEFT($AB1214,4)),VALUE(MID($AB1214,6,2)),VALUE(RIGHT($AB1214,2))),DATE(VALUE(RIGHT($AB1214,4)),VALUE(MID($AB1214,4,2)),VALUE(LEFT($AB1214,2)))))</f>
        <v>45671</v>
      </c>
      <c r="C1214" s="61" t="n">
        <f aca="false">YEAR($B1214)</f>
        <v>2025</v>
      </c>
      <c r="D1214" s="61" t="str">
        <f aca="false">"Q"&amp;ROUNDUP(MONTH($B1214)/3,0)</f>
        <v>Q1</v>
      </c>
      <c r="E1214" s="61" t="n">
        <f aca="false">MONTH($B1214)</f>
        <v>1</v>
      </c>
      <c r="F1214" s="61" t="str">
        <f aca="false">INDEX(Parametros!$I$5:$I$16,$E1214)</f>
        <v>Ene</v>
      </c>
      <c r="G1214" s="61" t="str">
        <f aca="false">TEXT($C1214,"0000")&amp;"-"&amp;TEXT($E1214,"00")</f>
        <v>2025-01</v>
      </c>
      <c r="H1214" s="61" t="str">
        <f aca="false">INDEX(Parametros!$C$71:$C$91,MATCH(TRIM(INDEX(Datos_Origen!$C$2:$C$2459,$Z1214)),Parametros!$B$71:$B$91,0))</f>
        <v>AMBA</v>
      </c>
      <c r="I1214" s="61" t="str">
        <f aca="false">IF(TRIM($AD1214)="",INDEX(Parametros!$I$20:$I$24,MATCH($H1214,Parametros!$H$20:$H$24,0)),TRIM($AD1214))</f>
        <v>Buenos Aires</v>
      </c>
      <c r="J1214" s="61" t="str">
        <f aca="false">INDEX(Parametros!$C$95:$C$106,MATCH(TRIM(INDEX(Datos_Origen!$E$2:$E$2459,$Z1214)),Parametros!$B$95:$B$106,0))</f>
        <v>Tienda fisica</v>
      </c>
      <c r="K1214" s="61" t="str">
        <f aca="false">INDEX(Parametros!$C$48:$C$67,MATCH(TRIM(INDEX(Datos_Origen!$F$2:$F$2459,$Z1214)),Parametros!$B$48:$B$67,0))</f>
        <v>Audio</v>
      </c>
      <c r="L1214" s="61" t="str">
        <f aca="false">$K1214&amp;" "&amp;$C1214</f>
        <v>Audio 2025</v>
      </c>
      <c r="M1214" s="61" t="str">
        <f aca="false">TRIM(INDEX(Datos_Origen!$G$2:$G$2459,$Z1214))</f>
        <v>Auriculares BT Pro</v>
      </c>
      <c r="N1214" s="61" t="str">
        <f aca="false">$M1214&amp;" "&amp;$C1214</f>
        <v>Auriculares BT Pro 2025</v>
      </c>
      <c r="O1214" s="63" t="n">
        <f aca="false">IF(ISTEXT($AC1214),VALUE($AC1214),$AC1214)</f>
        <v>36</v>
      </c>
      <c r="P1214" s="64" t="n">
        <f aca="false">INDEX(Datos_Origen!$I$2:$I$2459,$Z1214)</f>
        <v>119.23</v>
      </c>
      <c r="Q1214" s="64" t="n">
        <f aca="false">INDEX(Datos_Origen!$J$2:$J$2459,$Z1214)</f>
        <v>65.51</v>
      </c>
      <c r="R1214" s="65" t="n">
        <f aca="false">ROUND($O1214*$P1214,2)</f>
        <v>4292.28</v>
      </c>
      <c r="S1214" s="65" t="n">
        <f aca="false">ROUND($O1214*$Q1214,2)</f>
        <v>2358.36</v>
      </c>
      <c r="T1214" s="65" t="n">
        <f aca="false">ROUND($R1214*SUMIFS(Parametros!$E$28:$E$43,Parametros!$B$28:$B$43,$J1214,Parametros!$C$28:$C$43,$C1214,Parametros!$D$28:$D$43,$D1214),2)</f>
        <v>55.8</v>
      </c>
      <c r="U1214" s="65" t="n">
        <f aca="false">$R1214-$S1214-$T1214</f>
        <v>1878.12</v>
      </c>
      <c r="V1214" s="66" t="n">
        <f aca="false">IFERROR($U1214/$R1214,0)</f>
        <v>0.437557661662333</v>
      </c>
      <c r="W1214" s="67" t="str">
        <f aca="false">IF(AND($V1214&gt;=Parametros!$C$8,$R1214&gt;=Parametros!$C$12),"Alta rentabilidad",IF(OR($V1214&lt;Parametros!$C$11,$R1214&lt;Parametros!$C$13),"Revisar","Estandar"))</f>
        <v>Alta rentabilidad</v>
      </c>
      <c r="X1214" s="67" t="str">
        <f aca="false">IF(AND($J1214="E-commerce",IFERROR($T1214/$R1214,0)&gt;Parametros!$C$14),"Alerta","OK")</f>
        <v>OK</v>
      </c>
      <c r="Y1214" s="61" t="str">
        <f aca="false">IF($R1214&gt;=Parametros!$C$12,"Alto",IF($R1214&lt;Parametros!$C$13,"Bajo","Medio"))</f>
        <v>Alto</v>
      </c>
      <c r="Z1214" s="61" t="n">
        <v>1056</v>
      </c>
      <c r="AA1214" s="61" t="str">
        <f aca="false">IF(MATCH($A1214,Datos_Origen!$A$2:$A$2459,0)=$Z1214,"OK","REVISAR")</f>
        <v>OK</v>
      </c>
      <c r="AB1214" s="62" t="n">
        <f aca="false">INDEX(Datos_Origen!$B$2:$B$2459,$Z1214)</f>
        <v>45671</v>
      </c>
      <c r="AC1214" s="61" t="n">
        <f aca="false">INDEX(Datos_Origen!$H$2:$H$2459,$Z1214)</f>
        <v>36</v>
      </c>
      <c r="AD1214" s="61" t="str">
        <f aca="false">INDEX(Datos_Origen!$D$2:$D$2459,$Z1214)&amp;""</f>
        <v/>
      </c>
    </row>
    <row r="1215" customFormat="false" ht="15" hidden="false" customHeight="false" outlineLevel="0" collapsed="false">
      <c r="A1215" s="61" t="n">
        <f aca="false">INDEX(Datos_Origen!$A$2:$A$2459,$Z1215)</f>
        <v>1214</v>
      </c>
      <c r="B1215" s="62" t="n">
        <f aca="false">IF(ISNUMBER($AB1215),$AB1215,IF(MID($AB1215,5,1)="-",DATE(VALUE(LEFT($AB1215,4)),VALUE(MID($AB1215,6,2)),VALUE(RIGHT($AB1215,2))),DATE(VALUE(RIGHT($AB1215,4)),VALUE(MID($AB1215,4,2)),VALUE(LEFT($AB1215,2)))))</f>
        <v>45678</v>
      </c>
      <c r="C1215" s="61" t="n">
        <f aca="false">YEAR($B1215)</f>
        <v>2025</v>
      </c>
      <c r="D1215" s="61" t="str">
        <f aca="false">"Q"&amp;ROUNDUP(MONTH($B1215)/3,0)</f>
        <v>Q1</v>
      </c>
      <c r="E1215" s="61" t="n">
        <f aca="false">MONTH($B1215)</f>
        <v>1</v>
      </c>
      <c r="F1215" s="61" t="str">
        <f aca="false">INDEX(Parametros!$I$5:$I$16,$E1215)</f>
        <v>Ene</v>
      </c>
      <c r="G1215" s="61" t="str">
        <f aca="false">TEXT($C1215,"0000")&amp;"-"&amp;TEXT($E1215,"00")</f>
        <v>2025-01</v>
      </c>
      <c r="H1215" s="61" t="str">
        <f aca="false">INDEX(Parametros!$C$71:$C$91,MATCH(TRIM(INDEX(Datos_Origen!$C$2:$C$2459,$Z1215)),Parametros!$B$71:$B$91,0))</f>
        <v>AMBA</v>
      </c>
      <c r="I1215" s="61" t="str">
        <f aca="false">IF(TRIM($AD1215)="",INDEX(Parametros!$I$20:$I$24,MATCH($H1215,Parametros!$H$20:$H$24,0)),TRIM($AD1215))</f>
        <v>Buenos Aires</v>
      </c>
      <c r="J1215" s="61" t="str">
        <f aca="false">INDEX(Parametros!$C$95:$C$106,MATCH(TRIM(INDEX(Datos_Origen!$E$2:$E$2459,$Z1215)),Parametros!$B$95:$B$106,0))</f>
        <v>E-commerce</v>
      </c>
      <c r="K1215" s="61" t="str">
        <f aca="false">INDEX(Parametros!$C$48:$C$67,MATCH(TRIM(INDEX(Datos_Origen!$F$2:$F$2459,$Z1215)),Parametros!$B$48:$B$67,0))</f>
        <v>Audio</v>
      </c>
      <c r="L1215" s="61" t="str">
        <f aca="false">$K1215&amp;" "&amp;$C1215</f>
        <v>Audio 2025</v>
      </c>
      <c r="M1215" s="61" t="str">
        <f aca="false">TRIM(INDEX(Datos_Origen!$G$2:$G$2459,$Z1215))</f>
        <v>Auriculares BT Pro</v>
      </c>
      <c r="N1215" s="61" t="str">
        <f aca="false">$M1215&amp;" "&amp;$C1215</f>
        <v>Auriculares BT Pro 2025</v>
      </c>
      <c r="O1215" s="63" t="n">
        <f aca="false">IF(ISTEXT($AC1215),VALUE($AC1215),$AC1215)</f>
        <v>27</v>
      </c>
      <c r="P1215" s="64" t="n">
        <f aca="false">INDEX(Datos_Origen!$I$2:$I$2459,$Z1215)</f>
        <v>119.23</v>
      </c>
      <c r="Q1215" s="64" t="n">
        <f aca="false">INDEX(Datos_Origen!$J$2:$J$2459,$Z1215)</f>
        <v>65.51</v>
      </c>
      <c r="R1215" s="65" t="n">
        <f aca="false">ROUND($O1215*$P1215,2)</f>
        <v>3219.21</v>
      </c>
      <c r="S1215" s="65" t="n">
        <f aca="false">ROUND($O1215*$Q1215,2)</f>
        <v>1768.77</v>
      </c>
      <c r="T1215" s="65" t="n">
        <f aca="false">ROUND($R1215*SUMIFS(Parametros!$E$28:$E$43,Parametros!$B$28:$B$43,$J1215,Parametros!$C$28:$C$43,$C1215,Parametros!$D$28:$D$43,$D1215),2)</f>
        <v>218.91</v>
      </c>
      <c r="U1215" s="65" t="n">
        <f aca="false">$R1215-$S1215-$T1215</f>
        <v>1231.53</v>
      </c>
      <c r="V1215" s="66" t="n">
        <f aca="false">IFERROR($U1215/$R1215,0)</f>
        <v>0.382556589970831</v>
      </c>
      <c r="W1215" s="67" t="str">
        <f aca="false">IF(AND($V1215&gt;=Parametros!$C$8,$R1215&gt;=Parametros!$C$12),"Alta rentabilidad",IF(OR($V1215&lt;Parametros!$C$11,$R1215&lt;Parametros!$C$13),"Revisar","Estandar"))</f>
        <v>Alta rentabilidad</v>
      </c>
      <c r="X1215" s="67" t="str">
        <f aca="false">IF(AND($J1215="E-commerce",IFERROR($T1215/$R1215,0)&gt;Parametros!$C$14),"Alerta","OK")</f>
        <v>Alerta</v>
      </c>
      <c r="Y1215" s="61" t="str">
        <f aca="false">IF($R1215&gt;=Parametros!$C$12,"Alto",IF($R1215&lt;Parametros!$C$13,"Bajo","Medio"))</f>
        <v>Alto</v>
      </c>
      <c r="Z1215" s="61" t="n">
        <v>417</v>
      </c>
      <c r="AA1215" s="61" t="str">
        <f aca="false">IF(MATCH($A1215,Datos_Origen!$A$2:$A$2459,0)=$Z1215,"OK","REVISAR")</f>
        <v>OK</v>
      </c>
      <c r="AB1215" s="62" t="n">
        <f aca="false">INDEX(Datos_Origen!$B$2:$B$2459,$Z1215)</f>
        <v>45678</v>
      </c>
      <c r="AC1215" s="61" t="n">
        <f aca="false">INDEX(Datos_Origen!$H$2:$H$2459,$Z1215)</f>
        <v>27</v>
      </c>
      <c r="AD1215" s="61" t="str">
        <f aca="false">INDEX(Datos_Origen!$D$2:$D$2459,$Z1215)&amp;""</f>
        <v>Buenos Aires</v>
      </c>
    </row>
    <row r="1216" customFormat="false" ht="15" hidden="false" customHeight="false" outlineLevel="0" collapsed="false">
      <c r="A1216" s="61" t="n">
        <f aca="false">INDEX(Datos_Origen!$A$2:$A$2459,$Z1216)</f>
        <v>1215</v>
      </c>
      <c r="B1216" s="62" t="n">
        <f aca="false">IF(ISNUMBER($AB1216),$AB1216,IF(MID($AB1216,5,1)="-",DATE(VALUE(LEFT($AB1216,4)),VALUE(MID($AB1216,6,2)),VALUE(RIGHT($AB1216,2))),DATE(VALUE(RIGHT($AB1216,4)),VALUE(MID($AB1216,4,2)),VALUE(LEFT($AB1216,2)))))</f>
        <v>45658</v>
      </c>
      <c r="C1216" s="61" t="n">
        <f aca="false">YEAR($B1216)</f>
        <v>2025</v>
      </c>
      <c r="D1216" s="61" t="str">
        <f aca="false">"Q"&amp;ROUNDUP(MONTH($B1216)/3,0)</f>
        <v>Q1</v>
      </c>
      <c r="E1216" s="61" t="n">
        <f aca="false">MONTH($B1216)</f>
        <v>1</v>
      </c>
      <c r="F1216" s="61" t="str">
        <f aca="false">INDEX(Parametros!$I$5:$I$16,$E1216)</f>
        <v>Ene</v>
      </c>
      <c r="G1216" s="61" t="str">
        <f aca="false">TEXT($C1216,"0000")&amp;"-"&amp;TEXT($E1216,"00")</f>
        <v>2025-01</v>
      </c>
      <c r="H1216" s="61" t="str">
        <f aca="false">INDEX(Parametros!$C$71:$C$91,MATCH(TRIM(INDEX(Datos_Origen!$C$2:$C$2459,$Z1216)),Parametros!$B$71:$B$91,0))</f>
        <v>AMBA</v>
      </c>
      <c r="I1216" s="61" t="str">
        <f aca="false">IF(TRIM($AD1216)="",INDEX(Parametros!$I$20:$I$24,MATCH($H1216,Parametros!$H$20:$H$24,0)),TRIM($AD1216))</f>
        <v>Buenos Aires</v>
      </c>
      <c r="J1216" s="61" t="str">
        <f aca="false">INDEX(Parametros!$C$95:$C$106,MATCH(TRIM(INDEX(Datos_Origen!$E$2:$E$2459,$Z1216)),Parametros!$B$95:$B$106,0))</f>
        <v>Tienda fisica</v>
      </c>
      <c r="K1216" s="61" t="str">
        <f aca="false">INDEX(Parametros!$C$48:$C$67,MATCH(TRIM(INDEX(Datos_Origen!$F$2:$F$2459,$Z1216)),Parametros!$B$48:$B$67,0))</f>
        <v>Audio</v>
      </c>
      <c r="L1216" s="61" t="str">
        <f aca="false">$K1216&amp;" "&amp;$C1216</f>
        <v>Audio 2025</v>
      </c>
      <c r="M1216" s="61" t="str">
        <f aca="false">TRIM(INDEX(Datos_Origen!$G$2:$G$2459,$Z1216))</f>
        <v>Parlante Bluetooth</v>
      </c>
      <c r="N1216" s="61" t="str">
        <f aca="false">$M1216&amp;" "&amp;$C1216</f>
        <v>Parlante Bluetooth 2025</v>
      </c>
      <c r="O1216" s="63" t="n">
        <f aca="false">IF(ISTEXT($AC1216),VALUE($AC1216),$AC1216)</f>
        <v>33</v>
      </c>
      <c r="P1216" s="64" t="n">
        <f aca="false">INDEX(Datos_Origen!$I$2:$I$2459,$Z1216)</f>
        <v>84.46</v>
      </c>
      <c r="Q1216" s="64" t="n">
        <f aca="false">INDEX(Datos_Origen!$J$2:$J$2459,$Z1216)</f>
        <v>49.47</v>
      </c>
      <c r="R1216" s="65" t="n">
        <f aca="false">ROUND($O1216*$P1216,2)</f>
        <v>2787.18</v>
      </c>
      <c r="S1216" s="65" t="n">
        <f aca="false">ROUND($O1216*$Q1216,2)</f>
        <v>1632.51</v>
      </c>
      <c r="T1216" s="65" t="n">
        <f aca="false">ROUND($R1216*SUMIFS(Parametros!$E$28:$E$43,Parametros!$B$28:$B$43,$J1216,Parametros!$C$28:$C$43,$C1216,Parametros!$D$28:$D$43,$D1216),2)</f>
        <v>36.23</v>
      </c>
      <c r="U1216" s="65" t="n">
        <f aca="false">$R1216-$S1216-$T1216</f>
        <v>1118.44</v>
      </c>
      <c r="V1216" s="66" t="n">
        <f aca="false">IFERROR($U1216/$R1216,0)</f>
        <v>0.401280146958575</v>
      </c>
      <c r="W1216" s="67" t="str">
        <f aca="false">IF(AND($V1216&gt;=Parametros!$C$8,$R1216&gt;=Parametros!$C$12),"Alta rentabilidad",IF(OR($V1216&lt;Parametros!$C$11,$R1216&lt;Parametros!$C$13),"Revisar","Estandar"))</f>
        <v>Estandar</v>
      </c>
      <c r="X1216" s="67" t="str">
        <f aca="false">IF(AND($J1216="E-commerce",IFERROR($T1216/$R1216,0)&gt;Parametros!$C$14),"Alerta","OK")</f>
        <v>OK</v>
      </c>
      <c r="Y1216" s="61" t="str">
        <f aca="false">IF($R1216&gt;=Parametros!$C$12,"Alto",IF($R1216&lt;Parametros!$C$13,"Bajo","Medio"))</f>
        <v>Medio</v>
      </c>
      <c r="Z1216" s="61" t="n">
        <v>1494</v>
      </c>
      <c r="AA1216" s="61" t="str">
        <f aca="false">IF(MATCH($A1216,Datos_Origen!$A$2:$A$2459,0)=$Z1216,"OK","REVISAR")</f>
        <v>OK</v>
      </c>
      <c r="AB1216" s="62" t="n">
        <f aca="false">INDEX(Datos_Origen!$B$2:$B$2459,$Z1216)</f>
        <v>45658</v>
      </c>
      <c r="AC1216" s="61" t="n">
        <f aca="false">INDEX(Datos_Origen!$H$2:$H$2459,$Z1216)</f>
        <v>33</v>
      </c>
      <c r="AD1216" s="61" t="str">
        <f aca="false">INDEX(Datos_Origen!$D$2:$D$2459,$Z1216)&amp;""</f>
        <v>Buenos Aires</v>
      </c>
    </row>
    <row r="1217" customFormat="false" ht="15" hidden="false" customHeight="false" outlineLevel="0" collapsed="false">
      <c r="A1217" s="61" t="n">
        <f aca="false">INDEX(Datos_Origen!$A$2:$A$2459,$Z1217)</f>
        <v>1216</v>
      </c>
      <c r="B1217" s="62" t="n">
        <f aca="false">IF(ISNUMBER($AB1217),$AB1217,IF(MID($AB1217,5,1)="-",DATE(VALUE(LEFT($AB1217,4)),VALUE(MID($AB1217,6,2)),VALUE(RIGHT($AB1217,2))),DATE(VALUE(RIGHT($AB1217,4)),VALUE(MID($AB1217,4,2)),VALUE(LEFT($AB1217,2)))))</f>
        <v>45665</v>
      </c>
      <c r="C1217" s="61" t="n">
        <f aca="false">YEAR($B1217)</f>
        <v>2025</v>
      </c>
      <c r="D1217" s="61" t="str">
        <f aca="false">"Q"&amp;ROUNDUP(MONTH($B1217)/3,0)</f>
        <v>Q1</v>
      </c>
      <c r="E1217" s="61" t="n">
        <f aca="false">MONTH($B1217)</f>
        <v>1</v>
      </c>
      <c r="F1217" s="61" t="str">
        <f aca="false">INDEX(Parametros!$I$5:$I$16,$E1217)</f>
        <v>Ene</v>
      </c>
      <c r="G1217" s="61" t="str">
        <f aca="false">TEXT($C1217,"0000")&amp;"-"&amp;TEXT($E1217,"00")</f>
        <v>2025-01</v>
      </c>
      <c r="H1217" s="61" t="str">
        <f aca="false">INDEX(Parametros!$C$71:$C$91,MATCH(TRIM(INDEX(Datos_Origen!$C$2:$C$2459,$Z1217)),Parametros!$B$71:$B$91,0))</f>
        <v>AMBA</v>
      </c>
      <c r="I1217" s="61" t="str">
        <f aca="false">IF(TRIM($AD1217)="",INDEX(Parametros!$I$20:$I$24,MATCH($H1217,Parametros!$H$20:$H$24,0)),TRIM($AD1217))</f>
        <v>Buenos Aires</v>
      </c>
      <c r="J1217" s="61" t="str">
        <f aca="false">INDEX(Parametros!$C$95:$C$106,MATCH(TRIM(INDEX(Datos_Origen!$E$2:$E$2459,$Z1217)),Parametros!$B$95:$B$106,0))</f>
        <v>E-commerce</v>
      </c>
      <c r="K1217" s="61" t="str">
        <f aca="false">INDEX(Parametros!$C$48:$C$67,MATCH(TRIM(INDEX(Datos_Origen!$F$2:$F$2459,$Z1217)),Parametros!$B$48:$B$67,0))</f>
        <v>Audio</v>
      </c>
      <c r="L1217" s="61" t="str">
        <f aca="false">$K1217&amp;" "&amp;$C1217</f>
        <v>Audio 2025</v>
      </c>
      <c r="M1217" s="61" t="str">
        <f aca="false">TRIM(INDEX(Datos_Origen!$G$2:$G$2459,$Z1217))</f>
        <v>Parlante Bluetooth</v>
      </c>
      <c r="N1217" s="61" t="str">
        <f aca="false">$M1217&amp;" "&amp;$C1217</f>
        <v>Parlante Bluetooth 2025</v>
      </c>
      <c r="O1217" s="63" t="n">
        <f aca="false">IF(ISTEXT($AC1217),VALUE($AC1217),$AC1217)</f>
        <v>26</v>
      </c>
      <c r="P1217" s="64" t="n">
        <f aca="false">INDEX(Datos_Origen!$I$2:$I$2459,$Z1217)</f>
        <v>84.46</v>
      </c>
      <c r="Q1217" s="64" t="n">
        <f aca="false">INDEX(Datos_Origen!$J$2:$J$2459,$Z1217)</f>
        <v>49.47</v>
      </c>
      <c r="R1217" s="65" t="n">
        <f aca="false">ROUND($O1217*$P1217,2)</f>
        <v>2195.96</v>
      </c>
      <c r="S1217" s="65" t="n">
        <f aca="false">ROUND($O1217*$Q1217,2)</f>
        <v>1286.22</v>
      </c>
      <c r="T1217" s="65" t="n">
        <f aca="false">ROUND($R1217*SUMIFS(Parametros!$E$28:$E$43,Parametros!$B$28:$B$43,$J1217,Parametros!$C$28:$C$43,$C1217,Parametros!$D$28:$D$43,$D1217),2)</f>
        <v>149.33</v>
      </c>
      <c r="U1217" s="65" t="n">
        <f aca="false">$R1217-$S1217-$T1217</f>
        <v>760.41</v>
      </c>
      <c r="V1217" s="66" t="n">
        <f aca="false">IFERROR($U1217/$R1217,0)</f>
        <v>0.3462767992131</v>
      </c>
      <c r="W1217" s="67" t="str">
        <f aca="false">IF(AND($V1217&gt;=Parametros!$C$8,$R1217&gt;=Parametros!$C$12),"Alta rentabilidad",IF(OR($V1217&lt;Parametros!$C$11,$R1217&lt;Parametros!$C$13),"Revisar","Estandar"))</f>
        <v>Estandar</v>
      </c>
      <c r="X1217" s="67" t="str">
        <f aca="false">IF(AND($J1217="E-commerce",IFERROR($T1217/$R1217,0)&gt;Parametros!$C$14),"Alerta","OK")</f>
        <v>Alerta</v>
      </c>
      <c r="Y1217" s="61" t="str">
        <f aca="false">IF($R1217&gt;=Parametros!$C$12,"Alto",IF($R1217&lt;Parametros!$C$13,"Bajo","Medio"))</f>
        <v>Medio</v>
      </c>
      <c r="Z1217" s="61" t="n">
        <v>1614</v>
      </c>
      <c r="AA1217" s="61" t="str">
        <f aca="false">IF(MATCH($A1217,Datos_Origen!$A$2:$A$2459,0)=$Z1217,"OK","REVISAR")</f>
        <v>OK</v>
      </c>
      <c r="AB1217" s="62" t="n">
        <f aca="false">INDEX(Datos_Origen!$B$2:$B$2459,$Z1217)</f>
        <v>45665</v>
      </c>
      <c r="AC1217" s="61" t="str">
        <f aca="false">INDEX(Datos_Origen!$H$2:$H$2459,$Z1217)</f>
        <v>26</v>
      </c>
      <c r="AD1217" s="61" t="str">
        <f aca="false">INDEX(Datos_Origen!$D$2:$D$2459,$Z1217)&amp;""</f>
        <v>Buenos Aires</v>
      </c>
    </row>
    <row r="1218" customFormat="false" ht="15" hidden="false" customHeight="false" outlineLevel="0" collapsed="false">
      <c r="A1218" s="61" t="n">
        <f aca="false">INDEX(Datos_Origen!$A$2:$A$2459,$Z1218)</f>
        <v>1217</v>
      </c>
      <c r="B1218" s="62" t="n">
        <f aca="false">IF(ISNUMBER($AB1218),$AB1218,IF(MID($AB1218,5,1)="-",DATE(VALUE(LEFT($AB1218,4)),VALUE(MID($AB1218,6,2)),VALUE(RIGHT($AB1218,2))),DATE(VALUE(RIGHT($AB1218,4)),VALUE(MID($AB1218,4,2)),VALUE(LEFT($AB1218,2)))))</f>
        <v>45672</v>
      </c>
      <c r="C1218" s="61" t="n">
        <f aca="false">YEAR($B1218)</f>
        <v>2025</v>
      </c>
      <c r="D1218" s="61" t="str">
        <f aca="false">"Q"&amp;ROUNDUP(MONTH($B1218)/3,0)</f>
        <v>Q1</v>
      </c>
      <c r="E1218" s="61" t="n">
        <f aca="false">MONTH($B1218)</f>
        <v>1</v>
      </c>
      <c r="F1218" s="61" t="str">
        <f aca="false">INDEX(Parametros!$I$5:$I$16,$E1218)</f>
        <v>Ene</v>
      </c>
      <c r="G1218" s="61" t="str">
        <f aca="false">TEXT($C1218,"0000")&amp;"-"&amp;TEXT($E1218,"00")</f>
        <v>2025-01</v>
      </c>
      <c r="H1218" s="61" t="str">
        <f aca="false">INDEX(Parametros!$C$71:$C$91,MATCH(TRIM(INDEX(Datos_Origen!$C$2:$C$2459,$Z1218)),Parametros!$B$71:$B$91,0))</f>
        <v>AMBA</v>
      </c>
      <c r="I1218" s="61" t="str">
        <f aca="false">IF(TRIM($AD1218)="",INDEX(Parametros!$I$20:$I$24,MATCH($H1218,Parametros!$H$20:$H$24,0)),TRIM($AD1218))</f>
        <v>Buenos Aires</v>
      </c>
      <c r="J1218" s="61" t="str">
        <f aca="false">INDEX(Parametros!$C$95:$C$106,MATCH(TRIM(INDEX(Datos_Origen!$E$2:$E$2459,$Z1218)),Parametros!$B$95:$B$106,0))</f>
        <v>Tienda fisica</v>
      </c>
      <c r="K1218" s="61" t="str">
        <f aca="false">INDEX(Parametros!$C$48:$C$67,MATCH(TRIM(INDEX(Datos_Origen!$F$2:$F$2459,$Z1218)),Parametros!$B$48:$B$67,0))</f>
        <v>Almacenamiento</v>
      </c>
      <c r="L1218" s="61" t="str">
        <f aca="false">$K1218&amp;" "&amp;$C1218</f>
        <v>Almacenamiento 2025</v>
      </c>
      <c r="M1218" s="61" t="str">
        <f aca="false">TRIM(INDEX(Datos_Origen!$G$2:$G$2459,$Z1218))</f>
        <v>SSD Externo 1TB</v>
      </c>
      <c r="N1218" s="61" t="str">
        <f aca="false">$M1218&amp;" "&amp;$C1218</f>
        <v>SSD Externo 1TB 2025</v>
      </c>
      <c r="O1218" s="63" t="n">
        <f aca="false">IF(ISTEXT($AC1218),VALUE($AC1218),$AC1218)</f>
        <v>45</v>
      </c>
      <c r="P1218" s="64" t="n">
        <f aca="false">INDEX(Datos_Origen!$I$2:$I$2459,$Z1218)</f>
        <v>129.17</v>
      </c>
      <c r="Q1218" s="64" t="n">
        <f aca="false">INDEX(Datos_Origen!$J$2:$J$2459,$Z1218)</f>
        <v>78.33</v>
      </c>
      <c r="R1218" s="65" t="n">
        <f aca="false">ROUND($O1218*$P1218,2)</f>
        <v>5812.65</v>
      </c>
      <c r="S1218" s="65" t="n">
        <f aca="false">ROUND($O1218*$Q1218,2)</f>
        <v>3524.85</v>
      </c>
      <c r="T1218" s="65" t="n">
        <f aca="false">ROUND($R1218*SUMIFS(Parametros!$E$28:$E$43,Parametros!$B$28:$B$43,$J1218,Parametros!$C$28:$C$43,$C1218,Parametros!$D$28:$D$43,$D1218),2)</f>
        <v>75.56</v>
      </c>
      <c r="U1218" s="65" t="n">
        <f aca="false">$R1218-$S1218-$T1218</f>
        <v>2212.24</v>
      </c>
      <c r="V1218" s="66" t="n">
        <f aca="false">IFERROR($U1218/$R1218,0)</f>
        <v>0.380590608414407</v>
      </c>
      <c r="W1218" s="67" t="str">
        <f aca="false">IF(AND($V1218&gt;=Parametros!$C$8,$R1218&gt;=Parametros!$C$12),"Alta rentabilidad",IF(OR($V1218&lt;Parametros!$C$11,$R1218&lt;Parametros!$C$13),"Revisar","Estandar"))</f>
        <v>Alta rentabilidad</v>
      </c>
      <c r="X1218" s="67" t="str">
        <f aca="false">IF(AND($J1218="E-commerce",IFERROR($T1218/$R1218,0)&gt;Parametros!$C$14),"Alerta","OK")</f>
        <v>OK</v>
      </c>
      <c r="Y1218" s="61" t="str">
        <f aca="false">IF($R1218&gt;=Parametros!$C$12,"Alto",IF($R1218&lt;Parametros!$C$13,"Bajo","Medio"))</f>
        <v>Alto</v>
      </c>
      <c r="Z1218" s="61" t="n">
        <v>1415</v>
      </c>
      <c r="AA1218" s="61" t="str">
        <f aca="false">IF(MATCH($A1218,Datos_Origen!$A$2:$A$2459,0)=$Z1218,"OK","REVISAR")</f>
        <v>OK</v>
      </c>
      <c r="AB1218" s="61" t="str">
        <f aca="false">INDEX(Datos_Origen!$B$2:$B$2459,$Z1218)</f>
        <v>15/01/2025</v>
      </c>
      <c r="AC1218" s="61" t="n">
        <f aca="false">INDEX(Datos_Origen!$H$2:$H$2459,$Z1218)</f>
        <v>45</v>
      </c>
      <c r="AD1218" s="61" t="str">
        <f aca="false">INDEX(Datos_Origen!$D$2:$D$2459,$Z1218)&amp;""</f>
        <v>Buenos Aires</v>
      </c>
    </row>
    <row r="1219" customFormat="false" ht="15" hidden="false" customHeight="false" outlineLevel="0" collapsed="false">
      <c r="A1219" s="61" t="n">
        <f aca="false">INDEX(Datos_Origen!$A$2:$A$2459,$Z1219)</f>
        <v>1218</v>
      </c>
      <c r="B1219" s="62" t="n">
        <f aca="false">IF(ISNUMBER($AB1219),$AB1219,IF(MID($AB1219,5,1)="-",DATE(VALUE(LEFT($AB1219,4)),VALUE(MID($AB1219,6,2)),VALUE(RIGHT($AB1219,2))),DATE(VALUE(RIGHT($AB1219,4)),VALUE(MID($AB1219,4,2)),VALUE(LEFT($AB1219,2)))))</f>
        <v>45679</v>
      </c>
      <c r="C1219" s="61" t="n">
        <f aca="false">YEAR($B1219)</f>
        <v>2025</v>
      </c>
      <c r="D1219" s="61" t="str">
        <f aca="false">"Q"&amp;ROUNDUP(MONTH($B1219)/3,0)</f>
        <v>Q1</v>
      </c>
      <c r="E1219" s="61" t="n">
        <f aca="false">MONTH($B1219)</f>
        <v>1</v>
      </c>
      <c r="F1219" s="61" t="str">
        <f aca="false">INDEX(Parametros!$I$5:$I$16,$E1219)</f>
        <v>Ene</v>
      </c>
      <c r="G1219" s="61" t="str">
        <f aca="false">TEXT($C1219,"0000")&amp;"-"&amp;TEXT($E1219,"00")</f>
        <v>2025-01</v>
      </c>
      <c r="H1219" s="61" t="str">
        <f aca="false">INDEX(Parametros!$C$71:$C$91,MATCH(TRIM(INDEX(Datos_Origen!$C$2:$C$2459,$Z1219)),Parametros!$B$71:$B$91,0))</f>
        <v>AMBA</v>
      </c>
      <c r="I1219" s="61" t="str">
        <f aca="false">IF(TRIM($AD1219)="",INDEX(Parametros!$I$20:$I$24,MATCH($H1219,Parametros!$H$20:$H$24,0)),TRIM($AD1219))</f>
        <v>Buenos Aires</v>
      </c>
      <c r="J1219" s="61" t="str">
        <f aca="false">INDEX(Parametros!$C$95:$C$106,MATCH(TRIM(INDEX(Datos_Origen!$E$2:$E$2459,$Z1219)),Parametros!$B$95:$B$106,0))</f>
        <v>E-commerce</v>
      </c>
      <c r="K1219" s="61" t="str">
        <f aca="false">INDEX(Parametros!$C$48:$C$67,MATCH(TRIM(INDEX(Datos_Origen!$F$2:$F$2459,$Z1219)),Parametros!$B$48:$B$67,0))</f>
        <v>Almacenamiento</v>
      </c>
      <c r="L1219" s="61" t="str">
        <f aca="false">$K1219&amp;" "&amp;$C1219</f>
        <v>Almacenamiento 2025</v>
      </c>
      <c r="M1219" s="61" t="str">
        <f aca="false">TRIM(INDEX(Datos_Origen!$G$2:$G$2459,$Z1219))</f>
        <v>SSD Externo 1TB</v>
      </c>
      <c r="N1219" s="61" t="str">
        <f aca="false">$M1219&amp;" "&amp;$C1219</f>
        <v>SSD Externo 1TB 2025</v>
      </c>
      <c r="O1219" s="63" t="n">
        <f aca="false">IF(ISTEXT($AC1219),VALUE($AC1219),$AC1219)</f>
        <v>36</v>
      </c>
      <c r="P1219" s="64" t="n">
        <f aca="false">INDEX(Datos_Origen!$I$2:$I$2459,$Z1219)</f>
        <v>129.17</v>
      </c>
      <c r="Q1219" s="64" t="n">
        <f aca="false">INDEX(Datos_Origen!$J$2:$J$2459,$Z1219)</f>
        <v>78.33</v>
      </c>
      <c r="R1219" s="65" t="n">
        <f aca="false">ROUND($O1219*$P1219,2)</f>
        <v>4650.12</v>
      </c>
      <c r="S1219" s="65" t="n">
        <f aca="false">ROUND($O1219*$Q1219,2)</f>
        <v>2819.88</v>
      </c>
      <c r="T1219" s="65" t="n">
        <f aca="false">ROUND($R1219*SUMIFS(Parametros!$E$28:$E$43,Parametros!$B$28:$B$43,$J1219,Parametros!$C$28:$C$43,$C1219,Parametros!$D$28:$D$43,$D1219),2)</f>
        <v>316.21</v>
      </c>
      <c r="U1219" s="65" t="n">
        <f aca="false">$R1219-$S1219-$T1219</f>
        <v>1514.03</v>
      </c>
      <c r="V1219" s="66" t="n">
        <f aca="false">IFERROR($U1219/$R1219,0)</f>
        <v>0.325589447154052</v>
      </c>
      <c r="W1219" s="67" t="str">
        <f aca="false">IF(AND($V1219&gt;=Parametros!$C$8,$R1219&gt;=Parametros!$C$12),"Alta rentabilidad",IF(OR($V1219&lt;Parametros!$C$11,$R1219&lt;Parametros!$C$13),"Revisar","Estandar"))</f>
        <v>Estandar</v>
      </c>
      <c r="X1219" s="67" t="str">
        <f aca="false">IF(AND($J1219="E-commerce",IFERROR($T1219/$R1219,0)&gt;Parametros!$C$14),"Alerta","OK")</f>
        <v>Alerta</v>
      </c>
      <c r="Y1219" s="61" t="str">
        <f aca="false">IF($R1219&gt;=Parametros!$C$12,"Alto",IF($R1219&lt;Parametros!$C$13,"Bajo","Medio"))</f>
        <v>Alto</v>
      </c>
      <c r="Z1219" s="61" t="n">
        <v>1013</v>
      </c>
      <c r="AA1219" s="61" t="str">
        <f aca="false">IF(MATCH($A1219,Datos_Origen!$A$2:$A$2459,0)=$Z1219,"OK","REVISAR")</f>
        <v>OK</v>
      </c>
      <c r="AB1219" s="62" t="n">
        <f aca="false">INDEX(Datos_Origen!$B$2:$B$2459,$Z1219)</f>
        <v>45679</v>
      </c>
      <c r="AC1219" s="61" t="n">
        <f aca="false">INDEX(Datos_Origen!$H$2:$H$2459,$Z1219)</f>
        <v>36</v>
      </c>
      <c r="AD1219" s="61" t="str">
        <f aca="false">INDEX(Datos_Origen!$D$2:$D$2459,$Z1219)&amp;""</f>
        <v>Buenos Aires</v>
      </c>
    </row>
    <row r="1220" customFormat="false" ht="15" hidden="false" customHeight="false" outlineLevel="0" collapsed="false">
      <c r="A1220" s="61" t="n">
        <f aca="false">INDEX(Datos_Origen!$A$2:$A$2459,$Z1220)</f>
        <v>1219</v>
      </c>
      <c r="B1220" s="62" t="n">
        <f aca="false">IF(ISNUMBER($AB1220),$AB1220,IF(MID($AB1220,5,1)="-",DATE(VALUE(LEFT($AB1220,4)),VALUE(MID($AB1220,6,2)),VALUE(RIGHT($AB1220,2))),DATE(VALUE(RIGHT($AB1220,4)),VALUE(MID($AB1220,4,2)),VALUE(LEFT($AB1220,2)))))</f>
        <v>45659</v>
      </c>
      <c r="C1220" s="61" t="n">
        <f aca="false">YEAR($B1220)</f>
        <v>2025</v>
      </c>
      <c r="D1220" s="61" t="str">
        <f aca="false">"Q"&amp;ROUNDUP(MONTH($B1220)/3,0)</f>
        <v>Q1</v>
      </c>
      <c r="E1220" s="61" t="n">
        <f aca="false">MONTH($B1220)</f>
        <v>1</v>
      </c>
      <c r="F1220" s="61" t="str">
        <f aca="false">INDEX(Parametros!$I$5:$I$16,$E1220)</f>
        <v>Ene</v>
      </c>
      <c r="G1220" s="61" t="str">
        <f aca="false">TEXT($C1220,"0000")&amp;"-"&amp;TEXT($E1220,"00")</f>
        <v>2025-01</v>
      </c>
      <c r="H1220" s="61" t="str">
        <f aca="false">INDEX(Parametros!$C$71:$C$91,MATCH(TRIM(INDEX(Datos_Origen!$C$2:$C$2459,$Z1220)),Parametros!$B$71:$B$91,0))</f>
        <v>AMBA</v>
      </c>
      <c r="I1220" s="61" t="str">
        <f aca="false">IF(TRIM($AD1220)="",INDEX(Parametros!$I$20:$I$24,MATCH($H1220,Parametros!$H$20:$H$24,0)),TRIM($AD1220))</f>
        <v>Buenos Aires</v>
      </c>
      <c r="J1220" s="61" t="str">
        <f aca="false">INDEX(Parametros!$C$95:$C$106,MATCH(TRIM(INDEX(Datos_Origen!$E$2:$E$2459,$Z1220)),Parametros!$B$95:$B$106,0))</f>
        <v>Tienda fisica</v>
      </c>
      <c r="K1220" s="61" t="str">
        <f aca="false">INDEX(Parametros!$C$48:$C$67,MATCH(TRIM(INDEX(Datos_Origen!$F$2:$F$2459,$Z1220)),Parametros!$B$48:$B$67,0))</f>
        <v>Almacenamiento</v>
      </c>
      <c r="L1220" s="61" t="str">
        <f aca="false">$K1220&amp;" "&amp;$C1220</f>
        <v>Almacenamiento 2025</v>
      </c>
      <c r="M1220" s="61" t="str">
        <f aca="false">TRIM(INDEX(Datos_Origen!$G$2:$G$2459,$Z1220))</f>
        <v>Pendrive 256GB</v>
      </c>
      <c r="N1220" s="61" t="str">
        <f aca="false">$M1220&amp;" "&amp;$C1220</f>
        <v>Pendrive 256GB 2025</v>
      </c>
      <c r="O1220" s="63" t="n">
        <f aca="false">IF(ISTEXT($AC1220),VALUE($AC1220),$AC1220)</f>
        <v>49</v>
      </c>
      <c r="P1220" s="64" t="n">
        <f aca="false">INDEX(Datos_Origen!$I$2:$I$2459,$Z1220)</f>
        <v>34.78</v>
      </c>
      <c r="Q1220" s="64" t="n">
        <f aca="false">INDEX(Datos_Origen!$J$2:$J$2459,$Z1220)</f>
        <v>18.39</v>
      </c>
      <c r="R1220" s="65" t="n">
        <f aca="false">ROUND($O1220*$P1220,2)</f>
        <v>1704.22</v>
      </c>
      <c r="S1220" s="65" t="n">
        <f aca="false">ROUND($O1220*$Q1220,2)</f>
        <v>901.11</v>
      </c>
      <c r="T1220" s="65" t="n">
        <f aca="false">ROUND($R1220*SUMIFS(Parametros!$E$28:$E$43,Parametros!$B$28:$B$43,$J1220,Parametros!$C$28:$C$43,$C1220,Parametros!$D$28:$D$43,$D1220),2)</f>
        <v>22.15</v>
      </c>
      <c r="U1220" s="65" t="n">
        <f aca="false">$R1220-$S1220-$T1220</f>
        <v>780.96</v>
      </c>
      <c r="V1220" s="66" t="n">
        <f aca="false">IFERROR($U1220/$R1220,0)</f>
        <v>0.458250695332762</v>
      </c>
      <c r="W1220" s="67" t="str">
        <f aca="false">IF(AND($V1220&gt;=Parametros!$C$8,$R1220&gt;=Parametros!$C$12),"Alta rentabilidad",IF(OR($V1220&lt;Parametros!$C$11,$R1220&lt;Parametros!$C$13),"Revisar","Estandar"))</f>
        <v>Estandar</v>
      </c>
      <c r="X1220" s="67" t="str">
        <f aca="false">IF(AND($J1220="E-commerce",IFERROR($T1220/$R1220,0)&gt;Parametros!$C$14),"Alerta","OK")</f>
        <v>OK</v>
      </c>
      <c r="Y1220" s="61" t="str">
        <f aca="false">IF($R1220&gt;=Parametros!$C$12,"Alto",IF($R1220&lt;Parametros!$C$13,"Bajo","Medio"))</f>
        <v>Medio</v>
      </c>
      <c r="Z1220" s="61" t="n">
        <v>1239</v>
      </c>
      <c r="AA1220" s="61" t="str">
        <f aca="false">IF(MATCH($A1220,Datos_Origen!$A$2:$A$2459,0)=$Z1220,"OK","REVISAR")</f>
        <v>OK</v>
      </c>
      <c r="AB1220" s="61" t="str">
        <f aca="false">INDEX(Datos_Origen!$B$2:$B$2459,$Z1220)</f>
        <v>02/01/2025</v>
      </c>
      <c r="AC1220" s="61" t="n">
        <f aca="false">INDEX(Datos_Origen!$H$2:$H$2459,$Z1220)</f>
        <v>49</v>
      </c>
      <c r="AD1220" s="61" t="str">
        <f aca="false">INDEX(Datos_Origen!$D$2:$D$2459,$Z1220)&amp;""</f>
        <v>Buenos Aires</v>
      </c>
    </row>
    <row r="1221" customFormat="false" ht="15" hidden="false" customHeight="false" outlineLevel="0" collapsed="false">
      <c r="A1221" s="61" t="n">
        <f aca="false">INDEX(Datos_Origen!$A$2:$A$2459,$Z1221)</f>
        <v>1220</v>
      </c>
      <c r="B1221" s="62" t="n">
        <f aca="false">IF(ISNUMBER($AB1221),$AB1221,IF(MID($AB1221,5,1)="-",DATE(VALUE(LEFT($AB1221,4)),VALUE(MID($AB1221,6,2)),VALUE(RIGHT($AB1221,2))),DATE(VALUE(RIGHT($AB1221,4)),VALUE(MID($AB1221,4,2)),VALUE(LEFT($AB1221,2)))))</f>
        <v>45666</v>
      </c>
      <c r="C1221" s="61" t="n">
        <f aca="false">YEAR($B1221)</f>
        <v>2025</v>
      </c>
      <c r="D1221" s="61" t="str">
        <f aca="false">"Q"&amp;ROUNDUP(MONTH($B1221)/3,0)</f>
        <v>Q1</v>
      </c>
      <c r="E1221" s="61" t="n">
        <f aca="false">MONTH($B1221)</f>
        <v>1</v>
      </c>
      <c r="F1221" s="61" t="str">
        <f aca="false">INDEX(Parametros!$I$5:$I$16,$E1221)</f>
        <v>Ene</v>
      </c>
      <c r="G1221" s="61" t="str">
        <f aca="false">TEXT($C1221,"0000")&amp;"-"&amp;TEXT($E1221,"00")</f>
        <v>2025-01</v>
      </c>
      <c r="H1221" s="61" t="str">
        <f aca="false">INDEX(Parametros!$C$71:$C$91,MATCH(TRIM(INDEX(Datos_Origen!$C$2:$C$2459,$Z1221)),Parametros!$B$71:$B$91,0))</f>
        <v>AMBA</v>
      </c>
      <c r="I1221" s="61" t="str">
        <f aca="false">IF(TRIM($AD1221)="",INDEX(Parametros!$I$20:$I$24,MATCH($H1221,Parametros!$H$20:$H$24,0)),TRIM($AD1221))</f>
        <v>Buenos Aires</v>
      </c>
      <c r="J1221" s="61" t="str">
        <f aca="false">INDEX(Parametros!$C$95:$C$106,MATCH(TRIM(INDEX(Datos_Origen!$E$2:$E$2459,$Z1221)),Parametros!$B$95:$B$106,0))</f>
        <v>E-commerce</v>
      </c>
      <c r="K1221" s="61" t="str">
        <f aca="false">INDEX(Parametros!$C$48:$C$67,MATCH(TRIM(INDEX(Datos_Origen!$F$2:$F$2459,$Z1221)),Parametros!$B$48:$B$67,0))</f>
        <v>Almacenamiento</v>
      </c>
      <c r="L1221" s="61" t="str">
        <f aca="false">$K1221&amp;" "&amp;$C1221</f>
        <v>Almacenamiento 2025</v>
      </c>
      <c r="M1221" s="61" t="str">
        <f aca="false">TRIM(INDEX(Datos_Origen!$G$2:$G$2459,$Z1221))</f>
        <v>Pendrive 256GB</v>
      </c>
      <c r="N1221" s="61" t="str">
        <f aca="false">$M1221&amp;" "&amp;$C1221</f>
        <v>Pendrive 256GB 2025</v>
      </c>
      <c r="O1221" s="63" t="n">
        <f aca="false">IF(ISTEXT($AC1221),VALUE($AC1221),$AC1221)</f>
        <v>33</v>
      </c>
      <c r="P1221" s="64" t="n">
        <f aca="false">INDEX(Datos_Origen!$I$2:$I$2459,$Z1221)</f>
        <v>34.78</v>
      </c>
      <c r="Q1221" s="64" t="n">
        <f aca="false">INDEX(Datos_Origen!$J$2:$J$2459,$Z1221)</f>
        <v>18.39</v>
      </c>
      <c r="R1221" s="65" t="n">
        <f aca="false">ROUND($O1221*$P1221,2)</f>
        <v>1147.74</v>
      </c>
      <c r="S1221" s="65" t="n">
        <f aca="false">ROUND($O1221*$Q1221,2)</f>
        <v>606.87</v>
      </c>
      <c r="T1221" s="65" t="n">
        <f aca="false">ROUND($R1221*SUMIFS(Parametros!$E$28:$E$43,Parametros!$B$28:$B$43,$J1221,Parametros!$C$28:$C$43,$C1221,Parametros!$D$28:$D$43,$D1221),2)</f>
        <v>78.05</v>
      </c>
      <c r="U1221" s="65" t="n">
        <f aca="false">$R1221-$S1221-$T1221</f>
        <v>462.82</v>
      </c>
      <c r="V1221" s="66" t="n">
        <f aca="false">IFERROR($U1221/$R1221,0)</f>
        <v>0.40324463728719</v>
      </c>
      <c r="W1221" s="67" t="str">
        <f aca="false">IF(AND($V1221&gt;=Parametros!$C$8,$R1221&gt;=Parametros!$C$12),"Alta rentabilidad",IF(OR($V1221&lt;Parametros!$C$11,$R1221&lt;Parametros!$C$13),"Revisar","Estandar"))</f>
        <v>Estandar</v>
      </c>
      <c r="X1221" s="67" t="str">
        <f aca="false">IF(AND($J1221="E-commerce",IFERROR($T1221/$R1221,0)&gt;Parametros!$C$14),"Alerta","OK")</f>
        <v>Alerta</v>
      </c>
      <c r="Y1221" s="61" t="str">
        <f aca="false">IF($R1221&gt;=Parametros!$C$12,"Alto",IF($R1221&lt;Parametros!$C$13,"Bajo","Medio"))</f>
        <v>Medio</v>
      </c>
      <c r="Z1221" s="61" t="n">
        <v>942</v>
      </c>
      <c r="AA1221" s="61" t="str">
        <f aca="false">IF(MATCH($A1221,Datos_Origen!$A$2:$A$2459,0)=$Z1221,"OK","REVISAR")</f>
        <v>OK</v>
      </c>
      <c r="AB1221" s="62" t="n">
        <f aca="false">INDEX(Datos_Origen!$B$2:$B$2459,$Z1221)</f>
        <v>45666</v>
      </c>
      <c r="AC1221" s="61" t="n">
        <f aca="false">INDEX(Datos_Origen!$H$2:$H$2459,$Z1221)</f>
        <v>33</v>
      </c>
      <c r="AD1221" s="61" t="str">
        <f aca="false">INDEX(Datos_Origen!$D$2:$D$2459,$Z1221)&amp;""</f>
        <v>Buenos Aires</v>
      </c>
    </row>
    <row r="1222" customFormat="false" ht="15" hidden="false" customHeight="false" outlineLevel="0" collapsed="false">
      <c r="A1222" s="61" t="n">
        <f aca="false">INDEX(Datos_Origen!$A$2:$A$2459,$Z1222)</f>
        <v>1221</v>
      </c>
      <c r="B1222" s="62" t="n">
        <f aca="false">IF(ISNUMBER($AB1222),$AB1222,IF(MID($AB1222,5,1)="-",DATE(VALUE(LEFT($AB1222,4)),VALUE(MID($AB1222,6,2)),VALUE(RIGHT($AB1222,2))),DATE(VALUE(RIGHT($AB1222,4)),VALUE(MID($AB1222,4,2)),VALUE(LEFT($AB1222,2)))))</f>
        <v>45673</v>
      </c>
      <c r="C1222" s="61" t="n">
        <f aca="false">YEAR($B1222)</f>
        <v>2025</v>
      </c>
      <c r="D1222" s="61" t="str">
        <f aca="false">"Q"&amp;ROUNDUP(MONTH($B1222)/3,0)</f>
        <v>Q1</v>
      </c>
      <c r="E1222" s="61" t="n">
        <f aca="false">MONTH($B1222)</f>
        <v>1</v>
      </c>
      <c r="F1222" s="61" t="str">
        <f aca="false">INDEX(Parametros!$I$5:$I$16,$E1222)</f>
        <v>Ene</v>
      </c>
      <c r="G1222" s="61" t="str">
        <f aca="false">TEXT($C1222,"0000")&amp;"-"&amp;TEXT($E1222,"00")</f>
        <v>2025-01</v>
      </c>
      <c r="H1222" s="61" t="str">
        <f aca="false">INDEX(Parametros!$C$71:$C$91,MATCH(TRIM(INDEX(Datos_Origen!$C$2:$C$2459,$Z1222)),Parametros!$B$71:$B$91,0))</f>
        <v>Centro</v>
      </c>
      <c r="I1222" s="61" t="str">
        <f aca="false">IF(TRIM($AD1222)="",INDEX(Parametros!$I$20:$I$24,MATCH($H1222,Parametros!$H$20:$H$24,0)),TRIM($AD1222))</f>
        <v>Cordoba</v>
      </c>
      <c r="J1222" s="61" t="str">
        <f aca="false">INDEX(Parametros!$C$95:$C$106,MATCH(TRIM(INDEX(Datos_Origen!$E$2:$E$2459,$Z1222)),Parametros!$B$95:$B$106,0))</f>
        <v>Tienda fisica</v>
      </c>
      <c r="K1222" s="61" t="str">
        <f aca="false">INDEX(Parametros!$C$48:$C$67,MATCH(TRIM(INDEX(Datos_Origen!$F$2:$F$2459,$Z1222)),Parametros!$B$48:$B$67,0))</f>
        <v>Computacion</v>
      </c>
      <c r="L1222" s="61" t="str">
        <f aca="false">$K1222&amp;" "&amp;$C1222</f>
        <v>Computacion 2025</v>
      </c>
      <c r="M1222" s="61" t="str">
        <f aca="false">TRIM(INDEX(Datos_Origen!$G$2:$G$2459,$Z1222))</f>
        <v>Laptop Pro 15</v>
      </c>
      <c r="N1222" s="61" t="str">
        <f aca="false">$M1222&amp;" "&amp;$C1222</f>
        <v>Laptop Pro 15 2025</v>
      </c>
      <c r="O1222" s="63" t="n">
        <f aca="false">IF(ISTEXT($AC1222),VALUE($AC1222),$AC1222)</f>
        <v>10</v>
      </c>
      <c r="P1222" s="64" t="n">
        <f aca="false">INDEX(Datos_Origen!$I$2:$I$2459,$Z1222)</f>
        <v>1155.06</v>
      </c>
      <c r="Q1222" s="64" t="n">
        <f aca="false">INDEX(Datos_Origen!$J$2:$J$2459,$Z1222)</f>
        <v>766.32</v>
      </c>
      <c r="R1222" s="65" t="n">
        <f aca="false">ROUND($O1222*$P1222,2)</f>
        <v>11550.6</v>
      </c>
      <c r="S1222" s="65" t="n">
        <f aca="false">ROUND($O1222*$Q1222,2)</f>
        <v>7663.2</v>
      </c>
      <c r="T1222" s="65" t="n">
        <f aca="false">ROUND($R1222*SUMIFS(Parametros!$E$28:$E$43,Parametros!$B$28:$B$43,$J1222,Parametros!$C$28:$C$43,$C1222,Parametros!$D$28:$D$43,$D1222),2)</f>
        <v>150.16</v>
      </c>
      <c r="U1222" s="65" t="n">
        <f aca="false">$R1222-$S1222-$T1222</f>
        <v>3737.24</v>
      </c>
      <c r="V1222" s="66" t="n">
        <f aca="false">IFERROR($U1222/$R1222,0)</f>
        <v>0.323553754783301</v>
      </c>
      <c r="W1222" s="67" t="str">
        <f aca="false">IF(AND($V1222&gt;=Parametros!$C$8,$R1222&gt;=Parametros!$C$12),"Alta rentabilidad",IF(OR($V1222&lt;Parametros!$C$11,$R1222&lt;Parametros!$C$13),"Revisar","Estandar"))</f>
        <v>Estandar</v>
      </c>
      <c r="X1222" s="67" t="str">
        <f aca="false">IF(AND($J1222="E-commerce",IFERROR($T1222/$R1222,0)&gt;Parametros!$C$14),"Alerta","OK")</f>
        <v>OK</v>
      </c>
      <c r="Y1222" s="61" t="str">
        <f aca="false">IF($R1222&gt;=Parametros!$C$12,"Alto",IF($R1222&lt;Parametros!$C$13,"Bajo","Medio"))</f>
        <v>Alto</v>
      </c>
      <c r="Z1222" s="61" t="n">
        <v>2086</v>
      </c>
      <c r="AA1222" s="61" t="str">
        <f aca="false">IF(MATCH($A1222,Datos_Origen!$A$2:$A$2459,0)=$Z1222,"OK","REVISAR")</f>
        <v>OK</v>
      </c>
      <c r="AB1222" s="62" t="n">
        <f aca="false">INDEX(Datos_Origen!$B$2:$B$2459,$Z1222)</f>
        <v>45673</v>
      </c>
      <c r="AC1222" s="61" t="n">
        <f aca="false">INDEX(Datos_Origen!$H$2:$H$2459,$Z1222)</f>
        <v>10</v>
      </c>
      <c r="AD1222" s="61" t="str">
        <f aca="false">INDEX(Datos_Origen!$D$2:$D$2459,$Z1222)&amp;""</f>
        <v>Cordoba</v>
      </c>
    </row>
    <row r="1223" customFormat="false" ht="15" hidden="false" customHeight="false" outlineLevel="0" collapsed="false">
      <c r="A1223" s="61" t="n">
        <f aca="false">INDEX(Datos_Origen!$A$2:$A$2459,$Z1223)</f>
        <v>1222</v>
      </c>
      <c r="B1223" s="62" t="n">
        <f aca="false">IF(ISNUMBER($AB1223),$AB1223,IF(MID($AB1223,5,1)="-",DATE(VALUE(LEFT($AB1223,4)),VALUE(MID($AB1223,6,2)),VALUE(RIGHT($AB1223,2))),DATE(VALUE(RIGHT($AB1223,4)),VALUE(MID($AB1223,4,2)),VALUE(LEFT($AB1223,2)))))</f>
        <v>45680</v>
      </c>
      <c r="C1223" s="61" t="n">
        <f aca="false">YEAR($B1223)</f>
        <v>2025</v>
      </c>
      <c r="D1223" s="61" t="str">
        <f aca="false">"Q"&amp;ROUNDUP(MONTH($B1223)/3,0)</f>
        <v>Q1</v>
      </c>
      <c r="E1223" s="61" t="n">
        <f aca="false">MONTH($B1223)</f>
        <v>1</v>
      </c>
      <c r="F1223" s="61" t="str">
        <f aca="false">INDEX(Parametros!$I$5:$I$16,$E1223)</f>
        <v>Ene</v>
      </c>
      <c r="G1223" s="61" t="str">
        <f aca="false">TEXT($C1223,"0000")&amp;"-"&amp;TEXT($E1223,"00")</f>
        <v>2025-01</v>
      </c>
      <c r="H1223" s="61" t="str">
        <f aca="false">INDEX(Parametros!$C$71:$C$91,MATCH(TRIM(INDEX(Datos_Origen!$C$2:$C$2459,$Z1223)),Parametros!$B$71:$B$91,0))</f>
        <v>Centro</v>
      </c>
      <c r="I1223" s="61" t="str">
        <f aca="false">IF(TRIM($AD1223)="",INDEX(Parametros!$I$20:$I$24,MATCH($H1223,Parametros!$H$20:$H$24,0)),TRIM($AD1223))</f>
        <v>Cordoba</v>
      </c>
      <c r="J1223" s="61" t="str">
        <f aca="false">INDEX(Parametros!$C$95:$C$106,MATCH(TRIM(INDEX(Datos_Origen!$E$2:$E$2459,$Z1223)),Parametros!$B$95:$B$106,0))</f>
        <v>E-commerce</v>
      </c>
      <c r="K1223" s="61" t="str">
        <f aca="false">INDEX(Parametros!$C$48:$C$67,MATCH(TRIM(INDEX(Datos_Origen!$F$2:$F$2459,$Z1223)),Parametros!$B$48:$B$67,0))</f>
        <v>Computacion</v>
      </c>
      <c r="L1223" s="61" t="str">
        <f aca="false">$K1223&amp;" "&amp;$C1223</f>
        <v>Computacion 2025</v>
      </c>
      <c r="M1223" s="61" t="str">
        <f aca="false">TRIM(INDEX(Datos_Origen!$G$2:$G$2459,$Z1223))</f>
        <v>Laptop Pro 15</v>
      </c>
      <c r="N1223" s="61" t="str">
        <f aca="false">$M1223&amp;" "&amp;$C1223</f>
        <v>Laptop Pro 15 2025</v>
      </c>
      <c r="O1223" s="63" t="n">
        <f aca="false">IF(ISTEXT($AC1223),VALUE($AC1223),$AC1223)</f>
        <v>6</v>
      </c>
      <c r="P1223" s="64" t="n">
        <f aca="false">INDEX(Datos_Origen!$I$2:$I$2459,$Z1223)</f>
        <v>1155.06</v>
      </c>
      <c r="Q1223" s="64" t="n">
        <f aca="false">INDEX(Datos_Origen!$J$2:$J$2459,$Z1223)</f>
        <v>766.32</v>
      </c>
      <c r="R1223" s="65" t="n">
        <f aca="false">ROUND($O1223*$P1223,2)</f>
        <v>6930.36</v>
      </c>
      <c r="S1223" s="65" t="n">
        <f aca="false">ROUND($O1223*$Q1223,2)</f>
        <v>4597.92</v>
      </c>
      <c r="T1223" s="65" t="n">
        <f aca="false">ROUND($R1223*SUMIFS(Parametros!$E$28:$E$43,Parametros!$B$28:$B$43,$J1223,Parametros!$C$28:$C$43,$C1223,Parametros!$D$28:$D$43,$D1223),2)</f>
        <v>471.26</v>
      </c>
      <c r="U1223" s="65" t="n">
        <f aca="false">$R1223-$S1223-$T1223</f>
        <v>1861.18</v>
      </c>
      <c r="V1223" s="66" t="n">
        <f aca="false">IFERROR($U1223/$R1223,0)</f>
        <v>0.268554591680663</v>
      </c>
      <c r="W1223" s="67" t="str">
        <f aca="false">IF(AND($V1223&gt;=Parametros!$C$8,$R1223&gt;=Parametros!$C$12),"Alta rentabilidad",IF(OR($V1223&lt;Parametros!$C$11,$R1223&lt;Parametros!$C$13),"Revisar","Estandar"))</f>
        <v>Revisar</v>
      </c>
      <c r="X1223" s="67" t="str">
        <f aca="false">IF(AND($J1223="E-commerce",IFERROR($T1223/$R1223,0)&gt;Parametros!$C$14),"Alerta","OK")</f>
        <v>Alerta</v>
      </c>
      <c r="Y1223" s="61" t="str">
        <f aca="false">IF($R1223&gt;=Parametros!$C$12,"Alto",IF($R1223&lt;Parametros!$C$13,"Bajo","Medio"))</f>
        <v>Alto</v>
      </c>
      <c r="Z1223" s="61" t="n">
        <v>415</v>
      </c>
      <c r="AA1223" s="61" t="str">
        <f aca="false">IF(MATCH($A1223,Datos_Origen!$A$2:$A$2459,0)=$Z1223,"OK","REVISAR")</f>
        <v>OK</v>
      </c>
      <c r="AB1223" s="61" t="str">
        <f aca="false">INDEX(Datos_Origen!$B$2:$B$2459,$Z1223)</f>
        <v>23/01/2025</v>
      </c>
      <c r="AC1223" s="61" t="str">
        <f aca="false">INDEX(Datos_Origen!$H$2:$H$2459,$Z1223)</f>
        <v>6</v>
      </c>
      <c r="AD1223" s="61" t="str">
        <f aca="false">INDEX(Datos_Origen!$D$2:$D$2459,$Z1223)&amp;""</f>
        <v>Cordoba</v>
      </c>
    </row>
    <row r="1224" customFormat="false" ht="15" hidden="false" customHeight="false" outlineLevel="0" collapsed="false">
      <c r="A1224" s="61" t="n">
        <f aca="false">INDEX(Datos_Origen!$A$2:$A$2459,$Z1224)</f>
        <v>1223</v>
      </c>
      <c r="B1224" s="62" t="n">
        <f aca="false">IF(ISNUMBER($AB1224),$AB1224,IF(MID($AB1224,5,1)="-",DATE(VALUE(LEFT($AB1224,4)),VALUE(MID($AB1224,6,2)),VALUE(RIGHT($AB1224,2))),DATE(VALUE(RIGHT($AB1224,4)),VALUE(MID($AB1224,4,2)),VALUE(LEFT($AB1224,2)))))</f>
        <v>45660</v>
      </c>
      <c r="C1224" s="61" t="n">
        <f aca="false">YEAR($B1224)</f>
        <v>2025</v>
      </c>
      <c r="D1224" s="61" t="str">
        <f aca="false">"Q"&amp;ROUNDUP(MONTH($B1224)/3,0)</f>
        <v>Q1</v>
      </c>
      <c r="E1224" s="61" t="n">
        <f aca="false">MONTH($B1224)</f>
        <v>1</v>
      </c>
      <c r="F1224" s="61" t="str">
        <f aca="false">INDEX(Parametros!$I$5:$I$16,$E1224)</f>
        <v>Ene</v>
      </c>
      <c r="G1224" s="61" t="str">
        <f aca="false">TEXT($C1224,"0000")&amp;"-"&amp;TEXT($E1224,"00")</f>
        <v>2025-01</v>
      </c>
      <c r="H1224" s="61" t="str">
        <f aca="false">INDEX(Parametros!$C$71:$C$91,MATCH(TRIM(INDEX(Datos_Origen!$C$2:$C$2459,$Z1224)),Parametros!$B$71:$B$91,0))</f>
        <v>Centro</v>
      </c>
      <c r="I1224" s="61" t="str">
        <f aca="false">IF(TRIM($AD1224)="",INDEX(Parametros!$I$20:$I$24,MATCH($H1224,Parametros!$H$20:$H$24,0)),TRIM($AD1224))</f>
        <v>Cordoba</v>
      </c>
      <c r="J1224" s="61" t="str">
        <f aca="false">INDEX(Parametros!$C$95:$C$106,MATCH(TRIM(INDEX(Datos_Origen!$E$2:$E$2459,$Z1224)),Parametros!$B$95:$B$106,0))</f>
        <v>Tienda fisica</v>
      </c>
      <c r="K1224" s="61" t="str">
        <f aca="false">INDEX(Parametros!$C$48:$C$67,MATCH(TRIM(INDEX(Datos_Origen!$F$2:$F$2459,$Z1224)),Parametros!$B$48:$B$67,0))</f>
        <v>Computacion</v>
      </c>
      <c r="L1224" s="61" t="str">
        <f aca="false">$K1224&amp;" "&amp;$C1224</f>
        <v>Computacion 2025</v>
      </c>
      <c r="M1224" s="61" t="str">
        <f aca="false">TRIM(INDEX(Datos_Origen!$G$2:$G$2459,$Z1224))</f>
        <v>Monitor 4K 27</v>
      </c>
      <c r="N1224" s="61" t="str">
        <f aca="false">$M1224&amp;" "&amp;$C1224</f>
        <v>Monitor 4K 27 2025</v>
      </c>
      <c r="O1224" s="63" t="n">
        <f aca="false">IF(ISTEXT($AC1224),VALUE($AC1224),$AC1224)</f>
        <v>9</v>
      </c>
      <c r="P1224" s="64" t="n">
        <f aca="false">INDEX(Datos_Origen!$I$2:$I$2459,$Z1224)</f>
        <v>433.15</v>
      </c>
      <c r="Q1224" s="64" t="n">
        <f aca="false">INDEX(Datos_Origen!$J$2:$J$2459,$Z1224)</f>
        <v>280.42</v>
      </c>
      <c r="R1224" s="65" t="n">
        <f aca="false">ROUND($O1224*$P1224,2)</f>
        <v>3898.35</v>
      </c>
      <c r="S1224" s="65" t="n">
        <f aca="false">ROUND($O1224*$Q1224,2)</f>
        <v>2523.78</v>
      </c>
      <c r="T1224" s="65" t="n">
        <f aca="false">ROUND($R1224*SUMIFS(Parametros!$E$28:$E$43,Parametros!$B$28:$B$43,$J1224,Parametros!$C$28:$C$43,$C1224,Parametros!$D$28:$D$43,$D1224),2)</f>
        <v>50.68</v>
      </c>
      <c r="U1224" s="65" t="n">
        <f aca="false">$R1224-$S1224-$T1224</f>
        <v>1323.89</v>
      </c>
      <c r="V1224" s="66" t="n">
        <f aca="false">IFERROR($U1224/$R1224,0)</f>
        <v>0.339602652404222</v>
      </c>
      <c r="W1224" s="67" t="str">
        <f aca="false">IF(AND($V1224&gt;=Parametros!$C$8,$R1224&gt;=Parametros!$C$12),"Alta rentabilidad",IF(OR($V1224&lt;Parametros!$C$11,$R1224&lt;Parametros!$C$13),"Revisar","Estandar"))</f>
        <v>Estandar</v>
      </c>
      <c r="X1224" s="67" t="str">
        <f aca="false">IF(AND($J1224="E-commerce",IFERROR($T1224/$R1224,0)&gt;Parametros!$C$14),"Alerta","OK")</f>
        <v>OK</v>
      </c>
      <c r="Y1224" s="61" t="str">
        <f aca="false">IF($R1224&gt;=Parametros!$C$12,"Alto",IF($R1224&lt;Parametros!$C$13,"Bajo","Medio"))</f>
        <v>Alto</v>
      </c>
      <c r="Z1224" s="61" t="n">
        <v>11</v>
      </c>
      <c r="AA1224" s="61" t="str">
        <f aca="false">IF(MATCH($A1224,Datos_Origen!$A$2:$A$2459,0)=$Z1224,"OK","REVISAR")</f>
        <v>OK</v>
      </c>
      <c r="AB1224" s="62" t="n">
        <f aca="false">INDEX(Datos_Origen!$B$2:$B$2459,$Z1224)</f>
        <v>45660</v>
      </c>
      <c r="AC1224" s="61" t="str">
        <f aca="false">INDEX(Datos_Origen!$H$2:$H$2459,$Z1224)</f>
        <v>9</v>
      </c>
      <c r="AD1224" s="61" t="str">
        <f aca="false">INDEX(Datos_Origen!$D$2:$D$2459,$Z1224)&amp;""</f>
        <v>Cordoba</v>
      </c>
    </row>
    <row r="1225" customFormat="false" ht="15" hidden="false" customHeight="false" outlineLevel="0" collapsed="false">
      <c r="A1225" s="61" t="n">
        <f aca="false">INDEX(Datos_Origen!$A$2:$A$2459,$Z1225)</f>
        <v>1224</v>
      </c>
      <c r="B1225" s="62" t="n">
        <f aca="false">IF(ISNUMBER($AB1225),$AB1225,IF(MID($AB1225,5,1)="-",DATE(VALUE(LEFT($AB1225,4)),VALUE(MID($AB1225,6,2)),VALUE(RIGHT($AB1225,2))),DATE(VALUE(RIGHT($AB1225,4)),VALUE(MID($AB1225,4,2)),VALUE(LEFT($AB1225,2)))))</f>
        <v>45667</v>
      </c>
      <c r="C1225" s="61" t="n">
        <f aca="false">YEAR($B1225)</f>
        <v>2025</v>
      </c>
      <c r="D1225" s="61" t="str">
        <f aca="false">"Q"&amp;ROUNDUP(MONTH($B1225)/3,0)</f>
        <v>Q1</v>
      </c>
      <c r="E1225" s="61" t="n">
        <f aca="false">MONTH($B1225)</f>
        <v>1</v>
      </c>
      <c r="F1225" s="61" t="str">
        <f aca="false">INDEX(Parametros!$I$5:$I$16,$E1225)</f>
        <v>Ene</v>
      </c>
      <c r="G1225" s="61" t="str">
        <f aca="false">TEXT($C1225,"0000")&amp;"-"&amp;TEXT($E1225,"00")</f>
        <v>2025-01</v>
      </c>
      <c r="H1225" s="61" t="str">
        <f aca="false">INDEX(Parametros!$C$71:$C$91,MATCH(TRIM(INDEX(Datos_Origen!$C$2:$C$2459,$Z1225)),Parametros!$B$71:$B$91,0))</f>
        <v>Centro</v>
      </c>
      <c r="I1225" s="61" t="str">
        <f aca="false">IF(TRIM($AD1225)="",INDEX(Parametros!$I$20:$I$24,MATCH($H1225,Parametros!$H$20:$H$24,0)),TRIM($AD1225))</f>
        <v>Cordoba</v>
      </c>
      <c r="J1225" s="61" t="str">
        <f aca="false">INDEX(Parametros!$C$95:$C$106,MATCH(TRIM(INDEX(Datos_Origen!$E$2:$E$2459,$Z1225)),Parametros!$B$95:$B$106,0))</f>
        <v>E-commerce</v>
      </c>
      <c r="K1225" s="61" t="str">
        <f aca="false">INDEX(Parametros!$C$48:$C$67,MATCH(TRIM(INDEX(Datos_Origen!$F$2:$F$2459,$Z1225)),Parametros!$B$48:$B$67,0))</f>
        <v>Computacion</v>
      </c>
      <c r="L1225" s="61" t="str">
        <f aca="false">$K1225&amp;" "&amp;$C1225</f>
        <v>Computacion 2025</v>
      </c>
      <c r="M1225" s="61" t="str">
        <f aca="false">TRIM(INDEX(Datos_Origen!$G$2:$G$2459,$Z1225))</f>
        <v>Monitor 4K 27</v>
      </c>
      <c r="N1225" s="61" t="str">
        <f aca="false">$M1225&amp;" "&amp;$C1225</f>
        <v>Monitor 4K 27 2025</v>
      </c>
      <c r="O1225" s="63" t="n">
        <f aca="false">IF(ISTEXT($AC1225),VALUE($AC1225),$AC1225)</f>
        <v>6</v>
      </c>
      <c r="P1225" s="64" t="n">
        <f aca="false">INDEX(Datos_Origen!$I$2:$I$2459,$Z1225)</f>
        <v>433.15</v>
      </c>
      <c r="Q1225" s="64" t="n">
        <f aca="false">INDEX(Datos_Origen!$J$2:$J$2459,$Z1225)</f>
        <v>280.42</v>
      </c>
      <c r="R1225" s="65" t="n">
        <f aca="false">ROUND($O1225*$P1225,2)</f>
        <v>2598.9</v>
      </c>
      <c r="S1225" s="65" t="n">
        <f aca="false">ROUND($O1225*$Q1225,2)</f>
        <v>1682.52</v>
      </c>
      <c r="T1225" s="65" t="n">
        <f aca="false">ROUND($R1225*SUMIFS(Parametros!$E$28:$E$43,Parametros!$B$28:$B$43,$J1225,Parametros!$C$28:$C$43,$C1225,Parametros!$D$28:$D$43,$D1225),2)</f>
        <v>176.73</v>
      </c>
      <c r="U1225" s="65" t="n">
        <f aca="false">$R1225-$S1225-$T1225</f>
        <v>739.65</v>
      </c>
      <c r="V1225" s="66" t="n">
        <f aca="false">IFERROR($U1225/$R1225,0)</f>
        <v>0.284601177421217</v>
      </c>
      <c r="W1225" s="67" t="str">
        <f aca="false">IF(AND($V1225&gt;=Parametros!$C$8,$R1225&gt;=Parametros!$C$12),"Alta rentabilidad",IF(OR($V1225&lt;Parametros!$C$11,$R1225&lt;Parametros!$C$13),"Revisar","Estandar"))</f>
        <v>Estandar</v>
      </c>
      <c r="X1225" s="67" t="str">
        <f aca="false">IF(AND($J1225="E-commerce",IFERROR($T1225/$R1225,0)&gt;Parametros!$C$14),"Alerta","OK")</f>
        <v>Alerta</v>
      </c>
      <c r="Y1225" s="61" t="str">
        <f aca="false">IF($R1225&gt;=Parametros!$C$12,"Alto",IF($R1225&lt;Parametros!$C$13,"Bajo","Medio"))</f>
        <v>Medio</v>
      </c>
      <c r="Z1225" s="61" t="n">
        <v>1681</v>
      </c>
      <c r="AA1225" s="61" t="str">
        <f aca="false">IF(MATCH($A1225,Datos_Origen!$A$2:$A$2459,0)=$Z1225,"OK","REVISAR")</f>
        <v>OK</v>
      </c>
      <c r="AB1225" s="61" t="str">
        <f aca="false">INDEX(Datos_Origen!$B$2:$B$2459,$Z1225)</f>
        <v>10/01/2025</v>
      </c>
      <c r="AC1225" s="61" t="n">
        <f aca="false">INDEX(Datos_Origen!$H$2:$H$2459,$Z1225)</f>
        <v>6</v>
      </c>
      <c r="AD1225" s="61" t="str">
        <f aca="false">INDEX(Datos_Origen!$D$2:$D$2459,$Z1225)&amp;""</f>
        <v>Cordoba</v>
      </c>
    </row>
    <row r="1226" customFormat="false" ht="15" hidden="false" customHeight="false" outlineLevel="0" collapsed="false">
      <c r="A1226" s="61" t="n">
        <f aca="false">INDEX(Datos_Origen!$A$2:$A$2459,$Z1226)</f>
        <v>1225</v>
      </c>
      <c r="B1226" s="62" t="n">
        <f aca="false">IF(ISNUMBER($AB1226),$AB1226,IF(MID($AB1226,5,1)="-",DATE(VALUE(LEFT($AB1226,4)),VALUE(MID($AB1226,6,2)),VALUE(RIGHT($AB1226,2))),DATE(VALUE(RIGHT($AB1226,4)),VALUE(MID($AB1226,4,2)),VALUE(LEFT($AB1226,2)))))</f>
        <v>45674</v>
      </c>
      <c r="C1226" s="61" t="n">
        <f aca="false">YEAR($B1226)</f>
        <v>2025</v>
      </c>
      <c r="D1226" s="61" t="str">
        <f aca="false">"Q"&amp;ROUNDUP(MONTH($B1226)/3,0)</f>
        <v>Q1</v>
      </c>
      <c r="E1226" s="61" t="n">
        <f aca="false">MONTH($B1226)</f>
        <v>1</v>
      </c>
      <c r="F1226" s="61" t="str">
        <f aca="false">INDEX(Parametros!$I$5:$I$16,$E1226)</f>
        <v>Ene</v>
      </c>
      <c r="G1226" s="61" t="str">
        <f aca="false">TEXT($C1226,"0000")&amp;"-"&amp;TEXT($E1226,"00")</f>
        <v>2025-01</v>
      </c>
      <c r="H1226" s="61" t="str">
        <f aca="false">INDEX(Parametros!$C$71:$C$91,MATCH(TRIM(INDEX(Datos_Origen!$C$2:$C$2459,$Z1226)),Parametros!$B$71:$B$91,0))</f>
        <v>Centro</v>
      </c>
      <c r="I1226" s="61" t="str">
        <f aca="false">IF(TRIM($AD1226)="",INDEX(Parametros!$I$20:$I$24,MATCH($H1226,Parametros!$H$20:$H$24,0)),TRIM($AD1226))</f>
        <v>Cordoba</v>
      </c>
      <c r="J1226" s="61" t="str">
        <f aca="false">INDEX(Parametros!$C$95:$C$106,MATCH(TRIM(INDEX(Datos_Origen!$E$2:$E$2459,$Z1226)),Parametros!$B$95:$B$106,0))</f>
        <v>Tienda fisica</v>
      </c>
      <c r="K1226" s="61" t="str">
        <f aca="false">INDEX(Parametros!$C$48:$C$67,MATCH(TRIM(INDEX(Datos_Origen!$F$2:$F$2459,$Z1226)),Parametros!$B$48:$B$67,0))</f>
        <v>Computacion</v>
      </c>
      <c r="L1226" s="61" t="str">
        <f aca="false">$K1226&amp;" "&amp;$C1226</f>
        <v>Computacion 2025</v>
      </c>
      <c r="M1226" s="61" t="str">
        <f aca="false">TRIM(INDEX(Datos_Origen!$G$2:$G$2459,$Z1226))</f>
        <v>PC Gamer Ryzen</v>
      </c>
      <c r="N1226" s="61" t="str">
        <f aca="false">$M1226&amp;" "&amp;$C1226</f>
        <v>PC Gamer Ryzen 2025</v>
      </c>
      <c r="O1226" s="63" t="n">
        <f aca="false">IF(ISTEXT($AC1226),VALUE($AC1226),$AC1226)</f>
        <v>11</v>
      </c>
      <c r="P1226" s="64" t="n">
        <f aca="false">INDEX(Datos_Origen!$I$2:$I$2459,$Z1226)</f>
        <v>1588.21</v>
      </c>
      <c r="Q1226" s="64" t="n">
        <f aca="false">INDEX(Datos_Origen!$J$2:$J$2459,$Z1226)</f>
        <v>1155.66</v>
      </c>
      <c r="R1226" s="65" t="n">
        <f aca="false">ROUND($O1226*$P1226,2)</f>
        <v>17470.31</v>
      </c>
      <c r="S1226" s="65" t="n">
        <f aca="false">ROUND($O1226*$Q1226,2)</f>
        <v>12712.26</v>
      </c>
      <c r="T1226" s="65" t="n">
        <f aca="false">ROUND($R1226*SUMIFS(Parametros!$E$28:$E$43,Parametros!$B$28:$B$43,$J1226,Parametros!$C$28:$C$43,$C1226,Parametros!$D$28:$D$43,$D1226),2)</f>
        <v>227.11</v>
      </c>
      <c r="U1226" s="65" t="n">
        <f aca="false">$R1226-$S1226-$T1226</f>
        <v>4530.94</v>
      </c>
      <c r="V1226" s="66" t="n">
        <f aca="false">IFERROR($U1226/$R1226,0)</f>
        <v>0.25935086440939</v>
      </c>
      <c r="W1226" s="67" t="str">
        <f aca="false">IF(AND($V1226&gt;=Parametros!$C$8,$R1226&gt;=Parametros!$C$12),"Alta rentabilidad",IF(OR($V1226&lt;Parametros!$C$11,$R1226&lt;Parametros!$C$13),"Revisar","Estandar"))</f>
        <v>Revisar</v>
      </c>
      <c r="X1226" s="67" t="str">
        <f aca="false">IF(AND($J1226="E-commerce",IFERROR($T1226/$R1226,0)&gt;Parametros!$C$14),"Alerta","OK")</f>
        <v>OK</v>
      </c>
      <c r="Y1226" s="61" t="str">
        <f aca="false">IF($R1226&gt;=Parametros!$C$12,"Alto",IF($R1226&lt;Parametros!$C$13,"Bajo","Medio"))</f>
        <v>Alto</v>
      </c>
      <c r="Z1226" s="61" t="n">
        <v>990</v>
      </c>
      <c r="AA1226" s="61" t="str">
        <f aca="false">IF(MATCH($A1226,Datos_Origen!$A$2:$A$2459,0)=$Z1226,"OK","REVISAR")</f>
        <v>OK</v>
      </c>
      <c r="AB1226" s="62" t="n">
        <f aca="false">INDEX(Datos_Origen!$B$2:$B$2459,$Z1226)</f>
        <v>45674</v>
      </c>
      <c r="AC1226" s="61" t="n">
        <f aca="false">INDEX(Datos_Origen!$H$2:$H$2459,$Z1226)</f>
        <v>11</v>
      </c>
      <c r="AD1226" s="61" t="str">
        <f aca="false">INDEX(Datos_Origen!$D$2:$D$2459,$Z1226)&amp;""</f>
        <v>Cordoba</v>
      </c>
    </row>
    <row r="1227" customFormat="false" ht="15" hidden="false" customHeight="false" outlineLevel="0" collapsed="false">
      <c r="A1227" s="61" t="n">
        <f aca="false">INDEX(Datos_Origen!$A$2:$A$2459,$Z1227)</f>
        <v>1226</v>
      </c>
      <c r="B1227" s="62" t="n">
        <f aca="false">IF(ISNUMBER($AB1227),$AB1227,IF(MID($AB1227,5,1)="-",DATE(VALUE(LEFT($AB1227,4)),VALUE(MID($AB1227,6,2)),VALUE(RIGHT($AB1227,2))),DATE(VALUE(RIGHT($AB1227,4)),VALUE(MID($AB1227,4,2)),VALUE(LEFT($AB1227,2)))))</f>
        <v>45681</v>
      </c>
      <c r="C1227" s="61" t="n">
        <f aca="false">YEAR($B1227)</f>
        <v>2025</v>
      </c>
      <c r="D1227" s="61" t="str">
        <f aca="false">"Q"&amp;ROUNDUP(MONTH($B1227)/3,0)</f>
        <v>Q1</v>
      </c>
      <c r="E1227" s="61" t="n">
        <f aca="false">MONTH($B1227)</f>
        <v>1</v>
      </c>
      <c r="F1227" s="61" t="str">
        <f aca="false">INDEX(Parametros!$I$5:$I$16,$E1227)</f>
        <v>Ene</v>
      </c>
      <c r="G1227" s="61" t="str">
        <f aca="false">TEXT($C1227,"0000")&amp;"-"&amp;TEXT($E1227,"00")</f>
        <v>2025-01</v>
      </c>
      <c r="H1227" s="61" t="str">
        <f aca="false">INDEX(Parametros!$C$71:$C$91,MATCH(TRIM(INDEX(Datos_Origen!$C$2:$C$2459,$Z1227)),Parametros!$B$71:$B$91,0))</f>
        <v>Centro</v>
      </c>
      <c r="I1227" s="61" t="str">
        <f aca="false">IF(TRIM($AD1227)="",INDEX(Parametros!$I$20:$I$24,MATCH($H1227,Parametros!$H$20:$H$24,0)),TRIM($AD1227))</f>
        <v>Cordoba</v>
      </c>
      <c r="J1227" s="61" t="str">
        <f aca="false">INDEX(Parametros!$C$95:$C$106,MATCH(TRIM(INDEX(Datos_Origen!$E$2:$E$2459,$Z1227)),Parametros!$B$95:$B$106,0))</f>
        <v>E-commerce</v>
      </c>
      <c r="K1227" s="61" t="str">
        <f aca="false">INDEX(Parametros!$C$48:$C$67,MATCH(TRIM(INDEX(Datos_Origen!$F$2:$F$2459,$Z1227)),Parametros!$B$48:$B$67,0))</f>
        <v>Computacion</v>
      </c>
      <c r="L1227" s="61" t="str">
        <f aca="false">$K1227&amp;" "&amp;$C1227</f>
        <v>Computacion 2025</v>
      </c>
      <c r="M1227" s="61" t="str">
        <f aca="false">TRIM(INDEX(Datos_Origen!$G$2:$G$2459,$Z1227))</f>
        <v>PC Gamer Ryzen</v>
      </c>
      <c r="N1227" s="61" t="str">
        <f aca="false">$M1227&amp;" "&amp;$C1227</f>
        <v>PC Gamer Ryzen 2025</v>
      </c>
      <c r="O1227" s="63" t="n">
        <f aca="false">IF(ISTEXT($AC1227),VALUE($AC1227),$AC1227)</f>
        <v>8</v>
      </c>
      <c r="P1227" s="64" t="n">
        <f aca="false">INDEX(Datos_Origen!$I$2:$I$2459,$Z1227)</f>
        <v>1588.21</v>
      </c>
      <c r="Q1227" s="64" t="n">
        <f aca="false">INDEX(Datos_Origen!$J$2:$J$2459,$Z1227)</f>
        <v>1155.66</v>
      </c>
      <c r="R1227" s="65" t="n">
        <f aca="false">ROUND($O1227*$P1227,2)</f>
        <v>12705.68</v>
      </c>
      <c r="S1227" s="65" t="n">
        <f aca="false">ROUND($O1227*$Q1227,2)</f>
        <v>9245.28</v>
      </c>
      <c r="T1227" s="65" t="n">
        <f aca="false">ROUND($R1227*SUMIFS(Parametros!$E$28:$E$43,Parametros!$B$28:$B$43,$J1227,Parametros!$C$28:$C$43,$C1227,Parametros!$D$28:$D$43,$D1227),2)</f>
        <v>863.99</v>
      </c>
      <c r="U1227" s="65" t="n">
        <f aca="false">$R1227-$S1227-$T1227</f>
        <v>2596.41</v>
      </c>
      <c r="V1227" s="66" t="n">
        <f aca="false">IFERROR($U1227/$R1227,0)</f>
        <v>0.204350337801676</v>
      </c>
      <c r="W1227" s="67" t="str">
        <f aca="false">IF(AND($V1227&gt;=Parametros!$C$8,$R1227&gt;=Parametros!$C$12),"Alta rentabilidad",IF(OR($V1227&lt;Parametros!$C$11,$R1227&lt;Parametros!$C$13),"Revisar","Estandar"))</f>
        <v>Revisar</v>
      </c>
      <c r="X1227" s="67" t="str">
        <f aca="false">IF(AND($J1227="E-commerce",IFERROR($T1227/$R1227,0)&gt;Parametros!$C$14),"Alerta","OK")</f>
        <v>Alerta</v>
      </c>
      <c r="Y1227" s="61" t="str">
        <f aca="false">IF($R1227&gt;=Parametros!$C$12,"Alto",IF($R1227&lt;Parametros!$C$13,"Bajo","Medio"))</f>
        <v>Alto</v>
      </c>
      <c r="Z1227" s="61" t="n">
        <v>275</v>
      </c>
      <c r="AA1227" s="61" t="str">
        <f aca="false">IF(MATCH($A1227,Datos_Origen!$A$2:$A$2459,0)=$Z1227,"OK","REVISAR")</f>
        <v>OK</v>
      </c>
      <c r="AB1227" s="62" t="n">
        <f aca="false">INDEX(Datos_Origen!$B$2:$B$2459,$Z1227)</f>
        <v>45681</v>
      </c>
      <c r="AC1227" s="61" t="n">
        <f aca="false">INDEX(Datos_Origen!$H$2:$H$2459,$Z1227)</f>
        <v>8</v>
      </c>
      <c r="AD1227" s="61" t="str">
        <f aca="false">INDEX(Datos_Origen!$D$2:$D$2459,$Z1227)&amp;""</f>
        <v>Cordoba</v>
      </c>
    </row>
    <row r="1228" customFormat="false" ht="15" hidden="false" customHeight="false" outlineLevel="0" collapsed="false">
      <c r="A1228" s="61" t="n">
        <f aca="false">INDEX(Datos_Origen!$A$2:$A$2459,$Z1228)</f>
        <v>1227</v>
      </c>
      <c r="B1228" s="62" t="n">
        <f aca="false">IF(ISNUMBER($AB1228),$AB1228,IF(MID($AB1228,5,1)="-",DATE(VALUE(LEFT($AB1228,4)),VALUE(MID($AB1228,6,2)),VALUE(RIGHT($AB1228,2))),DATE(VALUE(RIGHT($AB1228,4)),VALUE(MID($AB1228,4,2)),VALUE(LEFT($AB1228,2)))))</f>
        <v>45661</v>
      </c>
      <c r="C1228" s="61" t="n">
        <f aca="false">YEAR($B1228)</f>
        <v>2025</v>
      </c>
      <c r="D1228" s="61" t="str">
        <f aca="false">"Q"&amp;ROUNDUP(MONTH($B1228)/3,0)</f>
        <v>Q1</v>
      </c>
      <c r="E1228" s="61" t="n">
        <f aca="false">MONTH($B1228)</f>
        <v>1</v>
      </c>
      <c r="F1228" s="61" t="str">
        <f aca="false">INDEX(Parametros!$I$5:$I$16,$E1228)</f>
        <v>Ene</v>
      </c>
      <c r="G1228" s="61" t="str">
        <f aca="false">TEXT($C1228,"0000")&amp;"-"&amp;TEXT($E1228,"00")</f>
        <v>2025-01</v>
      </c>
      <c r="H1228" s="61" t="str">
        <f aca="false">INDEX(Parametros!$C$71:$C$91,MATCH(TRIM(INDEX(Datos_Origen!$C$2:$C$2459,$Z1228)),Parametros!$B$71:$B$91,0))</f>
        <v>Centro</v>
      </c>
      <c r="I1228" s="61" t="str">
        <f aca="false">IF(TRIM($AD1228)="",INDEX(Parametros!$I$20:$I$24,MATCH($H1228,Parametros!$H$20:$H$24,0)),TRIM($AD1228))</f>
        <v>Cordoba</v>
      </c>
      <c r="J1228" s="61" t="str">
        <f aca="false">INDEX(Parametros!$C$95:$C$106,MATCH(TRIM(INDEX(Datos_Origen!$E$2:$E$2459,$Z1228)),Parametros!$B$95:$B$106,0))</f>
        <v>Tienda fisica</v>
      </c>
      <c r="K1228" s="61" t="str">
        <f aca="false">INDEX(Parametros!$C$48:$C$67,MATCH(TRIM(INDEX(Datos_Origen!$F$2:$F$2459,$Z1228)),Parametros!$B$48:$B$67,0))</f>
        <v>Accesorios</v>
      </c>
      <c r="L1228" s="61" t="str">
        <f aca="false">$K1228&amp;" "&amp;$C1228</f>
        <v>Accesorios 2025</v>
      </c>
      <c r="M1228" s="61" t="str">
        <f aca="false">TRIM(INDEX(Datos_Origen!$G$2:$G$2459,$Z1228))</f>
        <v>Mouse Inalambrico</v>
      </c>
      <c r="N1228" s="61" t="str">
        <f aca="false">$M1228&amp;" "&amp;$C1228</f>
        <v>Mouse Inalambrico 2025</v>
      </c>
      <c r="O1228" s="63" t="n">
        <f aca="false">IF(ISTEXT($AC1228),VALUE($AC1228),$AC1228)</f>
        <v>38</v>
      </c>
      <c r="P1228" s="64" t="n">
        <f aca="false">INDEX(Datos_Origen!$I$2:$I$2459,$Z1228)</f>
        <v>27.82</v>
      </c>
      <c r="Q1228" s="64" t="n">
        <f aca="false">INDEX(Datos_Origen!$J$2:$J$2459,$Z1228)</f>
        <v>13.84</v>
      </c>
      <c r="R1228" s="65" t="n">
        <f aca="false">ROUND($O1228*$P1228,2)</f>
        <v>1057.16</v>
      </c>
      <c r="S1228" s="65" t="n">
        <f aca="false">ROUND($O1228*$Q1228,2)</f>
        <v>525.92</v>
      </c>
      <c r="T1228" s="65" t="n">
        <f aca="false">ROUND($R1228*SUMIFS(Parametros!$E$28:$E$43,Parametros!$B$28:$B$43,$J1228,Parametros!$C$28:$C$43,$C1228,Parametros!$D$28:$D$43,$D1228),2)</f>
        <v>13.74</v>
      </c>
      <c r="U1228" s="65" t="n">
        <f aca="false">$R1228-$S1228-$T1228</f>
        <v>517.5</v>
      </c>
      <c r="V1228" s="66" t="n">
        <f aca="false">IFERROR($U1228/$R1228,0)</f>
        <v>0.48951908887964</v>
      </c>
      <c r="W1228" s="67" t="str">
        <f aca="false">IF(AND($V1228&gt;=Parametros!$C$8,$R1228&gt;=Parametros!$C$12),"Alta rentabilidad",IF(OR($V1228&lt;Parametros!$C$11,$R1228&lt;Parametros!$C$13),"Revisar","Estandar"))</f>
        <v>Estandar</v>
      </c>
      <c r="X1228" s="67" t="str">
        <f aca="false">IF(AND($J1228="E-commerce",IFERROR($T1228/$R1228,0)&gt;Parametros!$C$14),"Alerta","OK")</f>
        <v>OK</v>
      </c>
      <c r="Y1228" s="61" t="str">
        <f aca="false">IF($R1228&gt;=Parametros!$C$12,"Alto",IF($R1228&lt;Parametros!$C$13,"Bajo","Medio"))</f>
        <v>Medio</v>
      </c>
      <c r="Z1228" s="61" t="n">
        <v>785</v>
      </c>
      <c r="AA1228" s="61" t="str">
        <f aca="false">IF(MATCH($A1228,Datos_Origen!$A$2:$A$2459,0)=$Z1228,"OK","REVISAR")</f>
        <v>OK</v>
      </c>
      <c r="AB1228" s="61" t="str">
        <f aca="false">INDEX(Datos_Origen!$B$2:$B$2459,$Z1228)</f>
        <v>04/01/2025</v>
      </c>
      <c r="AC1228" s="61" t="n">
        <f aca="false">INDEX(Datos_Origen!$H$2:$H$2459,$Z1228)</f>
        <v>38</v>
      </c>
      <c r="AD1228" s="61" t="str">
        <f aca="false">INDEX(Datos_Origen!$D$2:$D$2459,$Z1228)&amp;""</f>
        <v>Cordoba</v>
      </c>
    </row>
    <row r="1229" customFormat="false" ht="15" hidden="false" customHeight="false" outlineLevel="0" collapsed="false">
      <c r="A1229" s="61" t="n">
        <f aca="false">INDEX(Datos_Origen!$A$2:$A$2459,$Z1229)</f>
        <v>1228</v>
      </c>
      <c r="B1229" s="62" t="n">
        <f aca="false">IF(ISNUMBER($AB1229),$AB1229,IF(MID($AB1229,5,1)="-",DATE(VALUE(LEFT($AB1229,4)),VALUE(MID($AB1229,6,2)),VALUE(RIGHT($AB1229,2))),DATE(VALUE(RIGHT($AB1229,4)),VALUE(MID($AB1229,4,2)),VALUE(LEFT($AB1229,2)))))</f>
        <v>45668</v>
      </c>
      <c r="C1229" s="61" t="n">
        <f aca="false">YEAR($B1229)</f>
        <v>2025</v>
      </c>
      <c r="D1229" s="61" t="str">
        <f aca="false">"Q"&amp;ROUNDUP(MONTH($B1229)/3,0)</f>
        <v>Q1</v>
      </c>
      <c r="E1229" s="61" t="n">
        <f aca="false">MONTH($B1229)</f>
        <v>1</v>
      </c>
      <c r="F1229" s="61" t="str">
        <f aca="false">INDEX(Parametros!$I$5:$I$16,$E1229)</f>
        <v>Ene</v>
      </c>
      <c r="G1229" s="61" t="str">
        <f aca="false">TEXT($C1229,"0000")&amp;"-"&amp;TEXT($E1229,"00")</f>
        <v>2025-01</v>
      </c>
      <c r="H1229" s="61" t="str">
        <f aca="false">INDEX(Parametros!$C$71:$C$91,MATCH(TRIM(INDEX(Datos_Origen!$C$2:$C$2459,$Z1229)),Parametros!$B$71:$B$91,0))</f>
        <v>Centro</v>
      </c>
      <c r="I1229" s="61" t="str">
        <f aca="false">IF(TRIM($AD1229)="",INDEX(Parametros!$I$20:$I$24,MATCH($H1229,Parametros!$H$20:$H$24,0)),TRIM($AD1229))</f>
        <v>Cordoba</v>
      </c>
      <c r="J1229" s="61" t="str">
        <f aca="false">INDEX(Parametros!$C$95:$C$106,MATCH(TRIM(INDEX(Datos_Origen!$E$2:$E$2459,$Z1229)),Parametros!$B$95:$B$106,0))</f>
        <v>E-commerce</v>
      </c>
      <c r="K1229" s="61" t="str">
        <f aca="false">INDEX(Parametros!$C$48:$C$67,MATCH(TRIM(INDEX(Datos_Origen!$F$2:$F$2459,$Z1229)),Parametros!$B$48:$B$67,0))</f>
        <v>Accesorios</v>
      </c>
      <c r="L1229" s="61" t="str">
        <f aca="false">$K1229&amp;" "&amp;$C1229</f>
        <v>Accesorios 2025</v>
      </c>
      <c r="M1229" s="61" t="str">
        <f aca="false">TRIM(INDEX(Datos_Origen!$G$2:$G$2459,$Z1229))</f>
        <v>Mouse Inalambrico</v>
      </c>
      <c r="N1229" s="61" t="str">
        <f aca="false">$M1229&amp;" "&amp;$C1229</f>
        <v>Mouse Inalambrico 2025</v>
      </c>
      <c r="O1229" s="63" t="n">
        <f aca="false">IF(ISTEXT($AC1229),VALUE($AC1229),$AC1229)</f>
        <v>33</v>
      </c>
      <c r="P1229" s="64" t="n">
        <f aca="false">INDEX(Datos_Origen!$I$2:$I$2459,$Z1229)</f>
        <v>27.82</v>
      </c>
      <c r="Q1229" s="64" t="n">
        <f aca="false">INDEX(Datos_Origen!$J$2:$J$2459,$Z1229)</f>
        <v>13.84</v>
      </c>
      <c r="R1229" s="65" t="n">
        <f aca="false">ROUND($O1229*$P1229,2)</f>
        <v>918.06</v>
      </c>
      <c r="S1229" s="65" t="n">
        <f aca="false">ROUND($O1229*$Q1229,2)</f>
        <v>456.72</v>
      </c>
      <c r="T1229" s="65" t="n">
        <f aca="false">ROUND($R1229*SUMIFS(Parametros!$E$28:$E$43,Parametros!$B$28:$B$43,$J1229,Parametros!$C$28:$C$43,$C1229,Parametros!$D$28:$D$43,$D1229),2)</f>
        <v>62.43</v>
      </c>
      <c r="U1229" s="65" t="n">
        <f aca="false">$R1229-$S1229-$T1229</f>
        <v>398.91</v>
      </c>
      <c r="V1229" s="66" t="n">
        <f aca="false">IFERROR($U1229/$R1229,0)</f>
        <v>0.434514084046794</v>
      </c>
      <c r="W1229" s="67" t="str">
        <f aca="false">IF(AND($V1229&gt;=Parametros!$C$8,$R1229&gt;=Parametros!$C$12),"Alta rentabilidad",IF(OR($V1229&lt;Parametros!$C$11,$R1229&lt;Parametros!$C$13),"Revisar","Estandar"))</f>
        <v>Estandar</v>
      </c>
      <c r="X1229" s="67" t="str">
        <f aca="false">IF(AND($J1229="E-commerce",IFERROR($T1229/$R1229,0)&gt;Parametros!$C$14),"Alerta","OK")</f>
        <v>Alerta</v>
      </c>
      <c r="Y1229" s="61" t="str">
        <f aca="false">IF($R1229&gt;=Parametros!$C$12,"Alto",IF($R1229&lt;Parametros!$C$13,"Bajo","Medio"))</f>
        <v>Medio</v>
      </c>
      <c r="Z1229" s="61" t="n">
        <v>781</v>
      </c>
      <c r="AA1229" s="61" t="str">
        <f aca="false">IF(MATCH($A1229,Datos_Origen!$A$2:$A$2459,0)=$Z1229,"OK","REVISAR")</f>
        <v>OK</v>
      </c>
      <c r="AB1229" s="61" t="str">
        <f aca="false">INDEX(Datos_Origen!$B$2:$B$2459,$Z1229)</f>
        <v>2025-01-11</v>
      </c>
      <c r="AC1229" s="61" t="str">
        <f aca="false">INDEX(Datos_Origen!$H$2:$H$2459,$Z1229)</f>
        <v>33</v>
      </c>
      <c r="AD1229" s="61" t="str">
        <f aca="false">INDEX(Datos_Origen!$D$2:$D$2459,$Z1229)&amp;""</f>
        <v>Cordoba</v>
      </c>
    </row>
    <row r="1230" customFormat="false" ht="15" hidden="false" customHeight="false" outlineLevel="0" collapsed="false">
      <c r="A1230" s="61" t="n">
        <f aca="false">INDEX(Datos_Origen!$A$2:$A$2459,$Z1230)</f>
        <v>1229</v>
      </c>
      <c r="B1230" s="62" t="n">
        <f aca="false">IF(ISNUMBER($AB1230),$AB1230,IF(MID($AB1230,5,1)="-",DATE(VALUE(LEFT($AB1230,4)),VALUE(MID($AB1230,6,2)),VALUE(RIGHT($AB1230,2))),DATE(VALUE(RIGHT($AB1230,4)),VALUE(MID($AB1230,4,2)),VALUE(LEFT($AB1230,2)))))</f>
        <v>45675</v>
      </c>
      <c r="C1230" s="61" t="n">
        <f aca="false">YEAR($B1230)</f>
        <v>2025</v>
      </c>
      <c r="D1230" s="61" t="str">
        <f aca="false">"Q"&amp;ROUNDUP(MONTH($B1230)/3,0)</f>
        <v>Q1</v>
      </c>
      <c r="E1230" s="61" t="n">
        <f aca="false">MONTH($B1230)</f>
        <v>1</v>
      </c>
      <c r="F1230" s="61" t="str">
        <f aca="false">INDEX(Parametros!$I$5:$I$16,$E1230)</f>
        <v>Ene</v>
      </c>
      <c r="G1230" s="61" t="str">
        <f aca="false">TEXT($C1230,"0000")&amp;"-"&amp;TEXT($E1230,"00")</f>
        <v>2025-01</v>
      </c>
      <c r="H1230" s="61" t="str">
        <f aca="false">INDEX(Parametros!$C$71:$C$91,MATCH(TRIM(INDEX(Datos_Origen!$C$2:$C$2459,$Z1230)),Parametros!$B$71:$B$91,0))</f>
        <v>Centro</v>
      </c>
      <c r="I1230" s="61" t="str">
        <f aca="false">IF(TRIM($AD1230)="",INDEX(Parametros!$I$20:$I$24,MATCH($H1230,Parametros!$H$20:$H$24,0)),TRIM($AD1230))</f>
        <v>Cordoba</v>
      </c>
      <c r="J1230" s="61" t="str">
        <f aca="false">INDEX(Parametros!$C$95:$C$106,MATCH(TRIM(INDEX(Datos_Origen!$E$2:$E$2459,$Z1230)),Parametros!$B$95:$B$106,0))</f>
        <v>Tienda fisica</v>
      </c>
      <c r="K1230" s="61" t="str">
        <f aca="false">INDEX(Parametros!$C$48:$C$67,MATCH(TRIM(INDEX(Datos_Origen!$F$2:$F$2459,$Z1230)),Parametros!$B$48:$B$67,0))</f>
        <v>Accesorios</v>
      </c>
      <c r="L1230" s="61" t="str">
        <f aca="false">$K1230&amp;" "&amp;$C1230</f>
        <v>Accesorios 2025</v>
      </c>
      <c r="M1230" s="61" t="str">
        <f aca="false">TRIM(INDEX(Datos_Origen!$G$2:$G$2459,$Z1230))</f>
        <v>Teclado Mecanico</v>
      </c>
      <c r="N1230" s="61" t="str">
        <f aca="false">$M1230&amp;" "&amp;$C1230</f>
        <v>Teclado Mecanico 2025</v>
      </c>
      <c r="O1230" s="63" t="n">
        <f aca="false">IF(ISTEXT($AC1230),VALUE($AC1230),$AC1230)</f>
        <v>39</v>
      </c>
      <c r="P1230" s="64" t="n">
        <f aca="false">INDEX(Datos_Origen!$I$2:$I$2459,$Z1230)</f>
        <v>94.39</v>
      </c>
      <c r="Q1230" s="64" t="n">
        <f aca="false">INDEX(Datos_Origen!$J$2:$J$2459,$Z1230)</f>
        <v>49.41</v>
      </c>
      <c r="R1230" s="65" t="n">
        <f aca="false">ROUND($O1230*$P1230,2)</f>
        <v>3681.21</v>
      </c>
      <c r="S1230" s="65" t="n">
        <f aca="false">ROUND($O1230*$Q1230,2)</f>
        <v>1926.99</v>
      </c>
      <c r="T1230" s="65" t="n">
        <f aca="false">ROUND($R1230*SUMIFS(Parametros!$E$28:$E$43,Parametros!$B$28:$B$43,$J1230,Parametros!$C$28:$C$43,$C1230,Parametros!$D$28:$D$43,$D1230),2)</f>
        <v>47.86</v>
      </c>
      <c r="U1230" s="65" t="n">
        <f aca="false">$R1230-$S1230-$T1230</f>
        <v>1706.36</v>
      </c>
      <c r="V1230" s="66" t="n">
        <f aca="false">IFERROR($U1230/$R1230,0)</f>
        <v>0.463532371149704</v>
      </c>
      <c r="W1230" s="67" t="str">
        <f aca="false">IF(AND($V1230&gt;=Parametros!$C$8,$R1230&gt;=Parametros!$C$12),"Alta rentabilidad",IF(OR($V1230&lt;Parametros!$C$11,$R1230&lt;Parametros!$C$13),"Revisar","Estandar"))</f>
        <v>Alta rentabilidad</v>
      </c>
      <c r="X1230" s="67" t="str">
        <f aca="false">IF(AND($J1230="E-commerce",IFERROR($T1230/$R1230,0)&gt;Parametros!$C$14),"Alerta","OK")</f>
        <v>OK</v>
      </c>
      <c r="Y1230" s="61" t="str">
        <f aca="false">IF($R1230&gt;=Parametros!$C$12,"Alto",IF($R1230&lt;Parametros!$C$13,"Bajo","Medio"))</f>
        <v>Alto</v>
      </c>
      <c r="Z1230" s="61" t="n">
        <v>24</v>
      </c>
      <c r="AA1230" s="61" t="str">
        <f aca="false">IF(MATCH($A1230,Datos_Origen!$A$2:$A$2459,0)=$Z1230,"OK","REVISAR")</f>
        <v>OK</v>
      </c>
      <c r="AB1230" s="62" t="n">
        <f aca="false">INDEX(Datos_Origen!$B$2:$B$2459,$Z1230)</f>
        <v>45675</v>
      </c>
      <c r="AC1230" s="61" t="n">
        <f aca="false">INDEX(Datos_Origen!$H$2:$H$2459,$Z1230)</f>
        <v>39</v>
      </c>
      <c r="AD1230" s="61" t="str">
        <f aca="false">INDEX(Datos_Origen!$D$2:$D$2459,$Z1230)&amp;""</f>
        <v>Cordoba</v>
      </c>
    </row>
    <row r="1231" customFormat="false" ht="15" hidden="false" customHeight="false" outlineLevel="0" collapsed="false">
      <c r="A1231" s="61" t="n">
        <f aca="false">INDEX(Datos_Origen!$A$2:$A$2459,$Z1231)</f>
        <v>1230</v>
      </c>
      <c r="B1231" s="62" t="n">
        <f aca="false">IF(ISNUMBER($AB1231),$AB1231,IF(MID($AB1231,5,1)="-",DATE(VALUE(LEFT($AB1231,4)),VALUE(MID($AB1231,6,2)),VALUE(RIGHT($AB1231,2))),DATE(VALUE(RIGHT($AB1231,4)),VALUE(MID($AB1231,4,2)),VALUE(LEFT($AB1231,2)))))</f>
        <v>45682</v>
      </c>
      <c r="C1231" s="61" t="n">
        <f aca="false">YEAR($B1231)</f>
        <v>2025</v>
      </c>
      <c r="D1231" s="61" t="str">
        <f aca="false">"Q"&amp;ROUNDUP(MONTH($B1231)/3,0)</f>
        <v>Q1</v>
      </c>
      <c r="E1231" s="61" t="n">
        <f aca="false">MONTH($B1231)</f>
        <v>1</v>
      </c>
      <c r="F1231" s="61" t="str">
        <f aca="false">INDEX(Parametros!$I$5:$I$16,$E1231)</f>
        <v>Ene</v>
      </c>
      <c r="G1231" s="61" t="str">
        <f aca="false">TEXT($C1231,"0000")&amp;"-"&amp;TEXT($E1231,"00")</f>
        <v>2025-01</v>
      </c>
      <c r="H1231" s="61" t="str">
        <f aca="false">INDEX(Parametros!$C$71:$C$91,MATCH(TRIM(INDEX(Datos_Origen!$C$2:$C$2459,$Z1231)),Parametros!$B$71:$B$91,0))</f>
        <v>Centro</v>
      </c>
      <c r="I1231" s="61" t="str">
        <f aca="false">IF(TRIM($AD1231)="",INDEX(Parametros!$I$20:$I$24,MATCH($H1231,Parametros!$H$20:$H$24,0)),TRIM($AD1231))</f>
        <v>Cordoba</v>
      </c>
      <c r="J1231" s="61" t="str">
        <f aca="false">INDEX(Parametros!$C$95:$C$106,MATCH(TRIM(INDEX(Datos_Origen!$E$2:$E$2459,$Z1231)),Parametros!$B$95:$B$106,0))</f>
        <v>E-commerce</v>
      </c>
      <c r="K1231" s="61" t="str">
        <f aca="false">INDEX(Parametros!$C$48:$C$67,MATCH(TRIM(INDEX(Datos_Origen!$F$2:$F$2459,$Z1231)),Parametros!$B$48:$B$67,0))</f>
        <v>Accesorios</v>
      </c>
      <c r="L1231" s="61" t="str">
        <f aca="false">$K1231&amp;" "&amp;$C1231</f>
        <v>Accesorios 2025</v>
      </c>
      <c r="M1231" s="61" t="str">
        <f aca="false">TRIM(INDEX(Datos_Origen!$G$2:$G$2459,$Z1231))</f>
        <v>Teclado Mecanico</v>
      </c>
      <c r="N1231" s="61" t="str">
        <f aca="false">$M1231&amp;" "&amp;$C1231</f>
        <v>Teclado Mecanico 2025</v>
      </c>
      <c r="O1231" s="63" t="n">
        <f aca="false">IF(ISTEXT($AC1231),VALUE($AC1231),$AC1231)</f>
        <v>35</v>
      </c>
      <c r="P1231" s="64" t="n">
        <f aca="false">INDEX(Datos_Origen!$I$2:$I$2459,$Z1231)</f>
        <v>94.39</v>
      </c>
      <c r="Q1231" s="64" t="n">
        <f aca="false">INDEX(Datos_Origen!$J$2:$J$2459,$Z1231)</f>
        <v>49.41</v>
      </c>
      <c r="R1231" s="65" t="n">
        <f aca="false">ROUND($O1231*$P1231,2)</f>
        <v>3303.65</v>
      </c>
      <c r="S1231" s="65" t="n">
        <f aca="false">ROUND($O1231*$Q1231,2)</f>
        <v>1729.35</v>
      </c>
      <c r="T1231" s="65" t="n">
        <f aca="false">ROUND($R1231*SUMIFS(Parametros!$E$28:$E$43,Parametros!$B$28:$B$43,$J1231,Parametros!$C$28:$C$43,$C1231,Parametros!$D$28:$D$43,$D1231),2)</f>
        <v>224.65</v>
      </c>
      <c r="U1231" s="65" t="n">
        <f aca="false">$R1231-$S1231-$T1231</f>
        <v>1349.65</v>
      </c>
      <c r="V1231" s="66" t="n">
        <f aca="false">IFERROR($U1231/$R1231,0)</f>
        <v>0.408532986242489</v>
      </c>
      <c r="W1231" s="67" t="str">
        <f aca="false">IF(AND($V1231&gt;=Parametros!$C$8,$R1231&gt;=Parametros!$C$12),"Alta rentabilidad",IF(OR($V1231&lt;Parametros!$C$11,$R1231&lt;Parametros!$C$13),"Revisar","Estandar"))</f>
        <v>Alta rentabilidad</v>
      </c>
      <c r="X1231" s="67" t="str">
        <f aca="false">IF(AND($J1231="E-commerce",IFERROR($T1231/$R1231,0)&gt;Parametros!$C$14),"Alerta","OK")</f>
        <v>Alerta</v>
      </c>
      <c r="Y1231" s="61" t="str">
        <f aca="false">IF($R1231&gt;=Parametros!$C$12,"Alto",IF($R1231&lt;Parametros!$C$13,"Bajo","Medio"))</f>
        <v>Alto</v>
      </c>
      <c r="Z1231" s="61" t="n">
        <v>358</v>
      </c>
      <c r="AA1231" s="61" t="str">
        <f aca="false">IF(MATCH($A1231,Datos_Origen!$A$2:$A$2459,0)=$Z1231,"OK","REVISAR")</f>
        <v>OK</v>
      </c>
      <c r="AB1231" s="62" t="n">
        <f aca="false">INDEX(Datos_Origen!$B$2:$B$2459,$Z1231)</f>
        <v>45682</v>
      </c>
      <c r="AC1231" s="61" t="n">
        <f aca="false">INDEX(Datos_Origen!$H$2:$H$2459,$Z1231)</f>
        <v>35</v>
      </c>
      <c r="AD1231" s="61" t="str">
        <f aca="false">INDEX(Datos_Origen!$D$2:$D$2459,$Z1231)&amp;""</f>
        <v>Cordoba</v>
      </c>
    </row>
    <row r="1232" customFormat="false" ht="15" hidden="false" customHeight="false" outlineLevel="0" collapsed="false">
      <c r="A1232" s="61" t="n">
        <f aca="false">INDEX(Datos_Origen!$A$2:$A$2459,$Z1232)</f>
        <v>1231</v>
      </c>
      <c r="B1232" s="62" t="n">
        <f aca="false">IF(ISNUMBER($AB1232),$AB1232,IF(MID($AB1232,5,1)="-",DATE(VALUE(LEFT($AB1232,4)),VALUE(MID($AB1232,6,2)),VALUE(RIGHT($AB1232,2))),DATE(VALUE(RIGHT($AB1232,4)),VALUE(MID($AB1232,4,2)),VALUE(LEFT($AB1232,2)))))</f>
        <v>45662</v>
      </c>
      <c r="C1232" s="61" t="n">
        <f aca="false">YEAR($B1232)</f>
        <v>2025</v>
      </c>
      <c r="D1232" s="61" t="str">
        <f aca="false">"Q"&amp;ROUNDUP(MONTH($B1232)/3,0)</f>
        <v>Q1</v>
      </c>
      <c r="E1232" s="61" t="n">
        <f aca="false">MONTH($B1232)</f>
        <v>1</v>
      </c>
      <c r="F1232" s="61" t="str">
        <f aca="false">INDEX(Parametros!$I$5:$I$16,$E1232)</f>
        <v>Ene</v>
      </c>
      <c r="G1232" s="61" t="str">
        <f aca="false">TEXT($C1232,"0000")&amp;"-"&amp;TEXT($E1232,"00")</f>
        <v>2025-01</v>
      </c>
      <c r="H1232" s="61" t="str">
        <f aca="false">INDEX(Parametros!$C$71:$C$91,MATCH(TRIM(INDEX(Datos_Origen!$C$2:$C$2459,$Z1232)),Parametros!$B$71:$B$91,0))</f>
        <v>Centro</v>
      </c>
      <c r="I1232" s="61" t="str">
        <f aca="false">IF(TRIM($AD1232)="",INDEX(Parametros!$I$20:$I$24,MATCH($H1232,Parametros!$H$20:$H$24,0)),TRIM($AD1232))</f>
        <v>Cordoba</v>
      </c>
      <c r="J1232" s="61" t="str">
        <f aca="false">INDEX(Parametros!$C$95:$C$106,MATCH(TRIM(INDEX(Datos_Origen!$E$2:$E$2459,$Z1232)),Parametros!$B$95:$B$106,0))</f>
        <v>Tienda fisica</v>
      </c>
      <c r="K1232" s="61" t="str">
        <f aca="false">INDEX(Parametros!$C$48:$C$67,MATCH(TRIM(INDEX(Datos_Origen!$F$2:$F$2459,$Z1232)),Parametros!$B$48:$B$67,0))</f>
        <v>Accesorios</v>
      </c>
      <c r="L1232" s="61" t="str">
        <f aca="false">$K1232&amp;" "&amp;$C1232</f>
        <v>Accesorios 2025</v>
      </c>
      <c r="M1232" s="61" t="str">
        <f aca="false">TRIM(INDEX(Datos_Origen!$G$2:$G$2459,$Z1232))</f>
        <v>Webcam Full HD</v>
      </c>
      <c r="N1232" s="61" t="str">
        <f aca="false">$M1232&amp;" "&amp;$C1232</f>
        <v>Webcam Full HD 2025</v>
      </c>
      <c r="O1232" s="63" t="n">
        <f aca="false">IF(ISTEXT($AC1232),VALUE($AC1232),$AC1232)</f>
        <v>43</v>
      </c>
      <c r="P1232" s="64" t="n">
        <f aca="false">INDEX(Datos_Origen!$I$2:$I$2459,$Z1232)</f>
        <v>64.58</v>
      </c>
      <c r="Q1232" s="64" t="n">
        <f aca="false">INDEX(Datos_Origen!$J$2:$J$2459,$Z1232)</f>
        <v>36.49</v>
      </c>
      <c r="R1232" s="65" t="n">
        <f aca="false">ROUND($O1232*$P1232,2)</f>
        <v>2776.94</v>
      </c>
      <c r="S1232" s="65" t="n">
        <f aca="false">ROUND($O1232*$Q1232,2)</f>
        <v>1569.07</v>
      </c>
      <c r="T1232" s="65" t="n">
        <f aca="false">ROUND($R1232*SUMIFS(Parametros!$E$28:$E$43,Parametros!$B$28:$B$43,$J1232,Parametros!$C$28:$C$43,$C1232,Parametros!$D$28:$D$43,$D1232),2)</f>
        <v>36.1</v>
      </c>
      <c r="U1232" s="65" t="n">
        <f aca="false">$R1232-$S1232-$T1232</f>
        <v>1171.77</v>
      </c>
      <c r="V1232" s="66" t="n">
        <f aca="false">IFERROR($U1232/$R1232,0)</f>
        <v>0.421964464482488</v>
      </c>
      <c r="W1232" s="67" t="str">
        <f aca="false">IF(AND($V1232&gt;=Parametros!$C$8,$R1232&gt;=Parametros!$C$12),"Alta rentabilidad",IF(OR($V1232&lt;Parametros!$C$11,$R1232&lt;Parametros!$C$13),"Revisar","Estandar"))</f>
        <v>Estandar</v>
      </c>
      <c r="X1232" s="67" t="str">
        <f aca="false">IF(AND($J1232="E-commerce",IFERROR($T1232/$R1232,0)&gt;Parametros!$C$14),"Alerta","OK")</f>
        <v>OK</v>
      </c>
      <c r="Y1232" s="61" t="str">
        <f aca="false">IF($R1232&gt;=Parametros!$C$12,"Alto",IF($R1232&lt;Parametros!$C$13,"Bajo","Medio"))</f>
        <v>Medio</v>
      </c>
      <c r="Z1232" s="61" t="n">
        <v>2107</v>
      </c>
      <c r="AA1232" s="61" t="str">
        <f aca="false">IF(MATCH($A1232,Datos_Origen!$A$2:$A$2459,0)=$Z1232,"OK","REVISAR")</f>
        <v>OK</v>
      </c>
      <c r="AB1232" s="62" t="n">
        <f aca="false">INDEX(Datos_Origen!$B$2:$B$2459,$Z1232)</f>
        <v>45662</v>
      </c>
      <c r="AC1232" s="61" t="n">
        <f aca="false">INDEX(Datos_Origen!$H$2:$H$2459,$Z1232)</f>
        <v>43</v>
      </c>
      <c r="AD1232" s="61" t="str">
        <f aca="false">INDEX(Datos_Origen!$D$2:$D$2459,$Z1232)&amp;""</f>
        <v>Cordoba</v>
      </c>
    </row>
    <row r="1233" customFormat="false" ht="15" hidden="false" customHeight="false" outlineLevel="0" collapsed="false">
      <c r="A1233" s="61" t="n">
        <f aca="false">INDEX(Datos_Origen!$A$2:$A$2459,$Z1233)</f>
        <v>1232</v>
      </c>
      <c r="B1233" s="62" t="n">
        <f aca="false">IF(ISNUMBER($AB1233),$AB1233,IF(MID($AB1233,5,1)="-",DATE(VALUE(LEFT($AB1233,4)),VALUE(MID($AB1233,6,2)),VALUE(RIGHT($AB1233,2))),DATE(VALUE(RIGHT($AB1233,4)),VALUE(MID($AB1233,4,2)),VALUE(LEFT($AB1233,2)))))</f>
        <v>45669</v>
      </c>
      <c r="C1233" s="61" t="n">
        <f aca="false">YEAR($B1233)</f>
        <v>2025</v>
      </c>
      <c r="D1233" s="61" t="str">
        <f aca="false">"Q"&amp;ROUNDUP(MONTH($B1233)/3,0)</f>
        <v>Q1</v>
      </c>
      <c r="E1233" s="61" t="n">
        <f aca="false">MONTH($B1233)</f>
        <v>1</v>
      </c>
      <c r="F1233" s="61" t="str">
        <f aca="false">INDEX(Parametros!$I$5:$I$16,$E1233)</f>
        <v>Ene</v>
      </c>
      <c r="G1233" s="61" t="str">
        <f aca="false">TEXT($C1233,"0000")&amp;"-"&amp;TEXT($E1233,"00")</f>
        <v>2025-01</v>
      </c>
      <c r="H1233" s="61" t="str">
        <f aca="false">INDEX(Parametros!$C$71:$C$91,MATCH(TRIM(INDEX(Datos_Origen!$C$2:$C$2459,$Z1233)),Parametros!$B$71:$B$91,0))</f>
        <v>Centro</v>
      </c>
      <c r="I1233" s="61" t="str">
        <f aca="false">IF(TRIM($AD1233)="",INDEX(Parametros!$I$20:$I$24,MATCH($H1233,Parametros!$H$20:$H$24,0)),TRIM($AD1233))</f>
        <v>Cordoba</v>
      </c>
      <c r="J1233" s="61" t="str">
        <f aca="false">INDEX(Parametros!$C$95:$C$106,MATCH(TRIM(INDEX(Datos_Origen!$E$2:$E$2459,$Z1233)),Parametros!$B$95:$B$106,0))</f>
        <v>E-commerce</v>
      </c>
      <c r="K1233" s="61" t="str">
        <f aca="false">INDEX(Parametros!$C$48:$C$67,MATCH(TRIM(INDEX(Datos_Origen!$F$2:$F$2459,$Z1233)),Parametros!$B$48:$B$67,0))</f>
        <v>Accesorios</v>
      </c>
      <c r="L1233" s="61" t="str">
        <f aca="false">$K1233&amp;" "&amp;$C1233</f>
        <v>Accesorios 2025</v>
      </c>
      <c r="M1233" s="61" t="str">
        <f aca="false">TRIM(INDEX(Datos_Origen!$G$2:$G$2459,$Z1233))</f>
        <v>Webcam Full HD</v>
      </c>
      <c r="N1233" s="61" t="str">
        <f aca="false">$M1233&amp;" "&amp;$C1233</f>
        <v>Webcam Full HD 2025</v>
      </c>
      <c r="O1233" s="63" t="n">
        <f aca="false">IF(ISTEXT($AC1233),VALUE($AC1233),$AC1233)</f>
        <v>31</v>
      </c>
      <c r="P1233" s="64" t="n">
        <f aca="false">INDEX(Datos_Origen!$I$2:$I$2459,$Z1233)</f>
        <v>64.58</v>
      </c>
      <c r="Q1233" s="64" t="n">
        <f aca="false">INDEX(Datos_Origen!$J$2:$J$2459,$Z1233)</f>
        <v>36.49</v>
      </c>
      <c r="R1233" s="65" t="n">
        <f aca="false">ROUND($O1233*$P1233,2)</f>
        <v>2001.98</v>
      </c>
      <c r="S1233" s="65" t="n">
        <f aca="false">ROUND($O1233*$Q1233,2)</f>
        <v>1131.19</v>
      </c>
      <c r="T1233" s="65" t="n">
        <f aca="false">ROUND($R1233*SUMIFS(Parametros!$E$28:$E$43,Parametros!$B$28:$B$43,$J1233,Parametros!$C$28:$C$43,$C1233,Parametros!$D$28:$D$43,$D1233),2)</f>
        <v>136.13</v>
      </c>
      <c r="U1233" s="65" t="n">
        <f aca="false">$R1233-$S1233-$T1233</f>
        <v>734.66</v>
      </c>
      <c r="V1233" s="66" t="n">
        <f aca="false">IFERROR($U1233/$R1233,0)</f>
        <v>0.366966702964066</v>
      </c>
      <c r="W1233" s="67" t="str">
        <f aca="false">IF(AND($V1233&gt;=Parametros!$C$8,$R1233&gt;=Parametros!$C$12),"Alta rentabilidad",IF(OR($V1233&lt;Parametros!$C$11,$R1233&lt;Parametros!$C$13),"Revisar","Estandar"))</f>
        <v>Estandar</v>
      </c>
      <c r="X1233" s="67" t="str">
        <f aca="false">IF(AND($J1233="E-commerce",IFERROR($T1233/$R1233,0)&gt;Parametros!$C$14),"Alerta","OK")</f>
        <v>Alerta</v>
      </c>
      <c r="Y1233" s="61" t="str">
        <f aca="false">IF($R1233&gt;=Parametros!$C$12,"Alto",IF($R1233&lt;Parametros!$C$13,"Bajo","Medio"))</f>
        <v>Medio</v>
      </c>
      <c r="Z1233" s="61" t="n">
        <v>1225</v>
      </c>
      <c r="AA1233" s="61" t="str">
        <f aca="false">IF(MATCH($A1233,Datos_Origen!$A$2:$A$2459,0)=$Z1233,"OK","REVISAR")</f>
        <v>OK</v>
      </c>
      <c r="AB1233" s="61" t="str">
        <f aca="false">INDEX(Datos_Origen!$B$2:$B$2459,$Z1233)</f>
        <v>12/01/2025</v>
      </c>
      <c r="AC1233" s="61" t="n">
        <f aca="false">INDEX(Datos_Origen!$H$2:$H$2459,$Z1233)</f>
        <v>31</v>
      </c>
      <c r="AD1233" s="61" t="str">
        <f aca="false">INDEX(Datos_Origen!$D$2:$D$2459,$Z1233)&amp;""</f>
        <v>Cordoba</v>
      </c>
    </row>
    <row r="1234" customFormat="false" ht="15" hidden="false" customHeight="false" outlineLevel="0" collapsed="false">
      <c r="A1234" s="61" t="n">
        <f aca="false">INDEX(Datos_Origen!$A$2:$A$2459,$Z1234)</f>
        <v>1233</v>
      </c>
      <c r="B1234" s="62" t="n">
        <f aca="false">IF(ISNUMBER($AB1234),$AB1234,IF(MID($AB1234,5,1)="-",DATE(VALUE(LEFT($AB1234,4)),VALUE(MID($AB1234,6,2)),VALUE(RIGHT($AB1234,2))),DATE(VALUE(RIGHT($AB1234,4)),VALUE(MID($AB1234,4,2)),VALUE(LEFT($AB1234,2)))))</f>
        <v>45676</v>
      </c>
      <c r="C1234" s="61" t="n">
        <f aca="false">YEAR($B1234)</f>
        <v>2025</v>
      </c>
      <c r="D1234" s="61" t="str">
        <f aca="false">"Q"&amp;ROUNDUP(MONTH($B1234)/3,0)</f>
        <v>Q1</v>
      </c>
      <c r="E1234" s="61" t="n">
        <f aca="false">MONTH($B1234)</f>
        <v>1</v>
      </c>
      <c r="F1234" s="61" t="str">
        <f aca="false">INDEX(Parametros!$I$5:$I$16,$E1234)</f>
        <v>Ene</v>
      </c>
      <c r="G1234" s="61" t="str">
        <f aca="false">TEXT($C1234,"0000")&amp;"-"&amp;TEXT($E1234,"00")</f>
        <v>2025-01</v>
      </c>
      <c r="H1234" s="61" t="str">
        <f aca="false">INDEX(Parametros!$C$71:$C$91,MATCH(TRIM(INDEX(Datos_Origen!$C$2:$C$2459,$Z1234)),Parametros!$B$71:$B$91,0))</f>
        <v>Centro</v>
      </c>
      <c r="I1234" s="61" t="str">
        <f aca="false">IF(TRIM($AD1234)="",INDEX(Parametros!$I$20:$I$24,MATCH($H1234,Parametros!$H$20:$H$24,0)),TRIM($AD1234))</f>
        <v>Cordoba</v>
      </c>
      <c r="J1234" s="61" t="str">
        <f aca="false">INDEX(Parametros!$C$95:$C$106,MATCH(TRIM(INDEX(Datos_Origen!$E$2:$E$2459,$Z1234)),Parametros!$B$95:$B$106,0))</f>
        <v>Tienda fisica</v>
      </c>
      <c r="K1234" s="61" t="str">
        <f aca="false">INDEX(Parametros!$C$48:$C$67,MATCH(TRIM(INDEX(Datos_Origen!$F$2:$F$2459,$Z1234)),Parametros!$B$48:$B$67,0))</f>
        <v>Audio</v>
      </c>
      <c r="L1234" s="61" t="str">
        <f aca="false">$K1234&amp;" "&amp;$C1234</f>
        <v>Audio 2025</v>
      </c>
      <c r="M1234" s="61" t="str">
        <f aca="false">TRIM(INDEX(Datos_Origen!$G$2:$G$2459,$Z1234))</f>
        <v>Auriculares BT Pro</v>
      </c>
      <c r="N1234" s="61" t="str">
        <f aca="false">$M1234&amp;" "&amp;$C1234</f>
        <v>Auriculares BT Pro 2025</v>
      </c>
      <c r="O1234" s="63" t="n">
        <f aca="false">IF(ISTEXT($AC1234),VALUE($AC1234),$AC1234)</f>
        <v>22</v>
      </c>
      <c r="P1234" s="64" t="n">
        <f aca="false">INDEX(Datos_Origen!$I$2:$I$2459,$Z1234)</f>
        <v>119.23</v>
      </c>
      <c r="Q1234" s="64" t="n">
        <f aca="false">INDEX(Datos_Origen!$J$2:$J$2459,$Z1234)</f>
        <v>65.51</v>
      </c>
      <c r="R1234" s="65" t="n">
        <f aca="false">ROUND($O1234*$P1234,2)</f>
        <v>2623.06</v>
      </c>
      <c r="S1234" s="65" t="n">
        <f aca="false">ROUND($O1234*$Q1234,2)</f>
        <v>1441.22</v>
      </c>
      <c r="T1234" s="65" t="n">
        <f aca="false">ROUND($R1234*SUMIFS(Parametros!$E$28:$E$43,Parametros!$B$28:$B$43,$J1234,Parametros!$C$28:$C$43,$C1234,Parametros!$D$28:$D$43,$D1234),2)</f>
        <v>34.1</v>
      </c>
      <c r="U1234" s="65" t="n">
        <f aca="false">$R1234-$S1234-$T1234</f>
        <v>1147.74</v>
      </c>
      <c r="V1234" s="66" t="n">
        <f aca="false">IFERROR($U1234/$R1234,0)</f>
        <v>0.437557661662333</v>
      </c>
      <c r="W1234" s="67" t="str">
        <f aca="false">IF(AND($V1234&gt;=Parametros!$C$8,$R1234&gt;=Parametros!$C$12),"Alta rentabilidad",IF(OR($V1234&lt;Parametros!$C$11,$R1234&lt;Parametros!$C$13),"Revisar","Estandar"))</f>
        <v>Estandar</v>
      </c>
      <c r="X1234" s="67" t="str">
        <f aca="false">IF(AND($J1234="E-commerce",IFERROR($T1234/$R1234,0)&gt;Parametros!$C$14),"Alerta","OK")</f>
        <v>OK</v>
      </c>
      <c r="Y1234" s="61" t="str">
        <f aca="false">IF($R1234&gt;=Parametros!$C$12,"Alto",IF($R1234&lt;Parametros!$C$13,"Bajo","Medio"))</f>
        <v>Medio</v>
      </c>
      <c r="Z1234" s="61" t="n">
        <v>1890</v>
      </c>
      <c r="AA1234" s="61" t="str">
        <f aca="false">IF(MATCH($A1234,Datos_Origen!$A$2:$A$2459,0)=$Z1234,"OK","REVISAR")</f>
        <v>OK</v>
      </c>
      <c r="AB1234" s="61" t="str">
        <f aca="false">INDEX(Datos_Origen!$B$2:$B$2459,$Z1234)</f>
        <v>19/01/2025</v>
      </c>
      <c r="AC1234" s="61" t="n">
        <f aca="false">INDEX(Datos_Origen!$H$2:$H$2459,$Z1234)</f>
        <v>22</v>
      </c>
      <c r="AD1234" s="61" t="str">
        <f aca="false">INDEX(Datos_Origen!$D$2:$D$2459,$Z1234)&amp;""</f>
        <v>Cordoba</v>
      </c>
    </row>
    <row r="1235" customFormat="false" ht="15" hidden="false" customHeight="false" outlineLevel="0" collapsed="false">
      <c r="A1235" s="61" t="n">
        <f aca="false">INDEX(Datos_Origen!$A$2:$A$2459,$Z1235)</f>
        <v>1234</v>
      </c>
      <c r="B1235" s="62" t="n">
        <f aca="false">IF(ISNUMBER($AB1235),$AB1235,IF(MID($AB1235,5,1)="-",DATE(VALUE(LEFT($AB1235,4)),VALUE(MID($AB1235,6,2)),VALUE(RIGHT($AB1235,2))),DATE(VALUE(RIGHT($AB1235,4)),VALUE(MID($AB1235,4,2)),VALUE(LEFT($AB1235,2)))))</f>
        <v>45683</v>
      </c>
      <c r="C1235" s="61" t="n">
        <f aca="false">YEAR($B1235)</f>
        <v>2025</v>
      </c>
      <c r="D1235" s="61" t="str">
        <f aca="false">"Q"&amp;ROUNDUP(MONTH($B1235)/3,0)</f>
        <v>Q1</v>
      </c>
      <c r="E1235" s="61" t="n">
        <f aca="false">MONTH($B1235)</f>
        <v>1</v>
      </c>
      <c r="F1235" s="61" t="str">
        <f aca="false">INDEX(Parametros!$I$5:$I$16,$E1235)</f>
        <v>Ene</v>
      </c>
      <c r="G1235" s="61" t="str">
        <f aca="false">TEXT($C1235,"0000")&amp;"-"&amp;TEXT($E1235,"00")</f>
        <v>2025-01</v>
      </c>
      <c r="H1235" s="61" t="str">
        <f aca="false">INDEX(Parametros!$C$71:$C$91,MATCH(TRIM(INDEX(Datos_Origen!$C$2:$C$2459,$Z1235)),Parametros!$B$71:$B$91,0))</f>
        <v>Centro</v>
      </c>
      <c r="I1235" s="61" t="str">
        <f aca="false">IF(TRIM($AD1235)="",INDEX(Parametros!$I$20:$I$24,MATCH($H1235,Parametros!$H$20:$H$24,0)),TRIM($AD1235))</f>
        <v>Cordoba</v>
      </c>
      <c r="J1235" s="61" t="str">
        <f aca="false">INDEX(Parametros!$C$95:$C$106,MATCH(TRIM(INDEX(Datos_Origen!$E$2:$E$2459,$Z1235)),Parametros!$B$95:$B$106,0))</f>
        <v>E-commerce</v>
      </c>
      <c r="K1235" s="61" t="str">
        <f aca="false">INDEX(Parametros!$C$48:$C$67,MATCH(TRIM(INDEX(Datos_Origen!$F$2:$F$2459,$Z1235)),Parametros!$B$48:$B$67,0))</f>
        <v>Audio</v>
      </c>
      <c r="L1235" s="61" t="str">
        <f aca="false">$K1235&amp;" "&amp;$C1235</f>
        <v>Audio 2025</v>
      </c>
      <c r="M1235" s="61" t="str">
        <f aca="false">TRIM(INDEX(Datos_Origen!$G$2:$G$2459,$Z1235))</f>
        <v>Auriculares BT Pro</v>
      </c>
      <c r="N1235" s="61" t="str">
        <f aca="false">$M1235&amp;" "&amp;$C1235</f>
        <v>Auriculares BT Pro 2025</v>
      </c>
      <c r="O1235" s="63" t="n">
        <f aca="false">IF(ISTEXT($AC1235),VALUE($AC1235),$AC1235)</f>
        <v>16</v>
      </c>
      <c r="P1235" s="64" t="n">
        <f aca="false">INDEX(Datos_Origen!$I$2:$I$2459,$Z1235)</f>
        <v>119.23</v>
      </c>
      <c r="Q1235" s="64" t="n">
        <f aca="false">INDEX(Datos_Origen!$J$2:$J$2459,$Z1235)</f>
        <v>65.51</v>
      </c>
      <c r="R1235" s="65" t="n">
        <f aca="false">ROUND($O1235*$P1235,2)</f>
        <v>1907.68</v>
      </c>
      <c r="S1235" s="65" t="n">
        <f aca="false">ROUND($O1235*$Q1235,2)</f>
        <v>1048.16</v>
      </c>
      <c r="T1235" s="65" t="n">
        <f aca="false">ROUND($R1235*SUMIFS(Parametros!$E$28:$E$43,Parametros!$B$28:$B$43,$J1235,Parametros!$C$28:$C$43,$C1235,Parametros!$D$28:$D$43,$D1235),2)</f>
        <v>129.72</v>
      </c>
      <c r="U1235" s="65" t="n">
        <f aca="false">$R1235-$S1235-$T1235</f>
        <v>729.8</v>
      </c>
      <c r="V1235" s="66" t="n">
        <f aca="false">IFERROR($U1235/$R1235,0)</f>
        <v>0.382558919734966</v>
      </c>
      <c r="W1235" s="67" t="str">
        <f aca="false">IF(AND($V1235&gt;=Parametros!$C$8,$R1235&gt;=Parametros!$C$12),"Alta rentabilidad",IF(OR($V1235&lt;Parametros!$C$11,$R1235&lt;Parametros!$C$13),"Revisar","Estandar"))</f>
        <v>Estandar</v>
      </c>
      <c r="X1235" s="67" t="str">
        <f aca="false">IF(AND($J1235="E-commerce",IFERROR($T1235/$R1235,0)&gt;Parametros!$C$14),"Alerta","OK")</f>
        <v>Alerta</v>
      </c>
      <c r="Y1235" s="61" t="str">
        <f aca="false">IF($R1235&gt;=Parametros!$C$12,"Alto",IF($R1235&lt;Parametros!$C$13,"Bajo","Medio"))</f>
        <v>Medio</v>
      </c>
      <c r="Z1235" s="61" t="n">
        <v>1666</v>
      </c>
      <c r="AA1235" s="61" t="str">
        <f aca="false">IF(MATCH($A1235,Datos_Origen!$A$2:$A$2459,0)=$Z1235,"OK","REVISAR")</f>
        <v>OK</v>
      </c>
      <c r="AB1235" s="62" t="n">
        <f aca="false">INDEX(Datos_Origen!$B$2:$B$2459,$Z1235)</f>
        <v>45683</v>
      </c>
      <c r="AC1235" s="61" t="n">
        <f aca="false">INDEX(Datos_Origen!$H$2:$H$2459,$Z1235)</f>
        <v>16</v>
      </c>
      <c r="AD1235" s="61" t="str">
        <f aca="false">INDEX(Datos_Origen!$D$2:$D$2459,$Z1235)&amp;""</f>
        <v/>
      </c>
    </row>
    <row r="1236" customFormat="false" ht="15" hidden="false" customHeight="false" outlineLevel="0" collapsed="false">
      <c r="A1236" s="61" t="n">
        <f aca="false">INDEX(Datos_Origen!$A$2:$A$2459,$Z1236)</f>
        <v>1235</v>
      </c>
      <c r="B1236" s="62" t="n">
        <f aca="false">IF(ISNUMBER($AB1236),$AB1236,IF(MID($AB1236,5,1)="-",DATE(VALUE(LEFT($AB1236,4)),VALUE(MID($AB1236,6,2)),VALUE(RIGHT($AB1236,2))),DATE(VALUE(RIGHT($AB1236,4)),VALUE(MID($AB1236,4,2)),VALUE(LEFT($AB1236,2)))))</f>
        <v>45663</v>
      </c>
      <c r="C1236" s="61" t="n">
        <f aca="false">YEAR($B1236)</f>
        <v>2025</v>
      </c>
      <c r="D1236" s="61" t="str">
        <f aca="false">"Q"&amp;ROUNDUP(MONTH($B1236)/3,0)</f>
        <v>Q1</v>
      </c>
      <c r="E1236" s="61" t="n">
        <f aca="false">MONTH($B1236)</f>
        <v>1</v>
      </c>
      <c r="F1236" s="61" t="str">
        <f aca="false">INDEX(Parametros!$I$5:$I$16,$E1236)</f>
        <v>Ene</v>
      </c>
      <c r="G1236" s="61" t="str">
        <f aca="false">TEXT($C1236,"0000")&amp;"-"&amp;TEXT($E1236,"00")</f>
        <v>2025-01</v>
      </c>
      <c r="H1236" s="61" t="str">
        <f aca="false">INDEX(Parametros!$C$71:$C$91,MATCH(TRIM(INDEX(Datos_Origen!$C$2:$C$2459,$Z1236)),Parametros!$B$71:$B$91,0))</f>
        <v>Centro</v>
      </c>
      <c r="I1236" s="61" t="str">
        <f aca="false">IF(TRIM($AD1236)="",INDEX(Parametros!$I$20:$I$24,MATCH($H1236,Parametros!$H$20:$H$24,0)),TRIM($AD1236))</f>
        <v>Cordoba</v>
      </c>
      <c r="J1236" s="61" t="str">
        <f aca="false">INDEX(Parametros!$C$95:$C$106,MATCH(TRIM(INDEX(Datos_Origen!$E$2:$E$2459,$Z1236)),Parametros!$B$95:$B$106,0))</f>
        <v>Tienda fisica</v>
      </c>
      <c r="K1236" s="61" t="str">
        <f aca="false">INDEX(Parametros!$C$48:$C$67,MATCH(TRIM(INDEX(Datos_Origen!$F$2:$F$2459,$Z1236)),Parametros!$B$48:$B$67,0))</f>
        <v>Audio</v>
      </c>
      <c r="L1236" s="61" t="str">
        <f aca="false">$K1236&amp;" "&amp;$C1236</f>
        <v>Audio 2025</v>
      </c>
      <c r="M1236" s="61" t="str">
        <f aca="false">TRIM(INDEX(Datos_Origen!$G$2:$G$2459,$Z1236))</f>
        <v>Parlante Bluetooth</v>
      </c>
      <c r="N1236" s="61" t="str">
        <f aca="false">$M1236&amp;" "&amp;$C1236</f>
        <v>Parlante Bluetooth 2025</v>
      </c>
      <c r="O1236" s="63" t="n">
        <f aca="false">IF(ISTEXT($AC1236),VALUE($AC1236),$AC1236)</f>
        <v>20</v>
      </c>
      <c r="P1236" s="64" t="n">
        <f aca="false">INDEX(Datos_Origen!$I$2:$I$2459,$Z1236)</f>
        <v>84.46</v>
      </c>
      <c r="Q1236" s="64" t="n">
        <f aca="false">INDEX(Datos_Origen!$J$2:$J$2459,$Z1236)</f>
        <v>49.47</v>
      </c>
      <c r="R1236" s="65" t="n">
        <f aca="false">ROUND($O1236*$P1236,2)</f>
        <v>1689.2</v>
      </c>
      <c r="S1236" s="65" t="n">
        <f aca="false">ROUND($O1236*$Q1236,2)</f>
        <v>989.4</v>
      </c>
      <c r="T1236" s="65" t="n">
        <f aca="false">ROUND($R1236*SUMIFS(Parametros!$E$28:$E$43,Parametros!$B$28:$B$43,$J1236,Parametros!$C$28:$C$43,$C1236,Parametros!$D$28:$D$43,$D1236),2)</f>
        <v>21.96</v>
      </c>
      <c r="U1236" s="65" t="n">
        <f aca="false">$R1236-$S1236-$T1236</f>
        <v>677.84</v>
      </c>
      <c r="V1236" s="66" t="n">
        <f aca="false">IFERROR($U1236/$R1236,0)</f>
        <v>0.401278711816244</v>
      </c>
      <c r="W1236" s="67" t="str">
        <f aca="false">IF(AND($V1236&gt;=Parametros!$C$8,$R1236&gt;=Parametros!$C$12),"Alta rentabilidad",IF(OR($V1236&lt;Parametros!$C$11,$R1236&lt;Parametros!$C$13),"Revisar","Estandar"))</f>
        <v>Estandar</v>
      </c>
      <c r="X1236" s="67" t="str">
        <f aca="false">IF(AND($J1236="E-commerce",IFERROR($T1236/$R1236,0)&gt;Parametros!$C$14),"Alerta","OK")</f>
        <v>OK</v>
      </c>
      <c r="Y1236" s="61" t="str">
        <f aca="false">IF($R1236&gt;=Parametros!$C$12,"Alto",IF($R1236&lt;Parametros!$C$13,"Bajo","Medio"))</f>
        <v>Medio</v>
      </c>
      <c r="Z1236" s="61" t="n">
        <v>192</v>
      </c>
      <c r="AA1236" s="61" t="str">
        <f aca="false">IF(MATCH($A1236,Datos_Origen!$A$2:$A$2459,0)=$Z1236,"OK","REVISAR")</f>
        <v>OK</v>
      </c>
      <c r="AB1236" s="62" t="n">
        <f aca="false">INDEX(Datos_Origen!$B$2:$B$2459,$Z1236)</f>
        <v>45663</v>
      </c>
      <c r="AC1236" s="61" t="str">
        <f aca="false">INDEX(Datos_Origen!$H$2:$H$2459,$Z1236)</f>
        <v>20</v>
      </c>
      <c r="AD1236" s="61" t="str">
        <f aca="false">INDEX(Datos_Origen!$D$2:$D$2459,$Z1236)&amp;""</f>
        <v>Cordoba</v>
      </c>
    </row>
    <row r="1237" customFormat="false" ht="15" hidden="false" customHeight="false" outlineLevel="0" collapsed="false">
      <c r="A1237" s="61" t="n">
        <f aca="false">INDEX(Datos_Origen!$A$2:$A$2459,$Z1237)</f>
        <v>1236</v>
      </c>
      <c r="B1237" s="62" t="n">
        <f aca="false">IF(ISNUMBER($AB1237),$AB1237,IF(MID($AB1237,5,1)="-",DATE(VALUE(LEFT($AB1237,4)),VALUE(MID($AB1237,6,2)),VALUE(RIGHT($AB1237,2))),DATE(VALUE(RIGHT($AB1237,4)),VALUE(MID($AB1237,4,2)),VALUE(LEFT($AB1237,2)))))</f>
        <v>45670</v>
      </c>
      <c r="C1237" s="61" t="n">
        <f aca="false">YEAR($B1237)</f>
        <v>2025</v>
      </c>
      <c r="D1237" s="61" t="str">
        <f aca="false">"Q"&amp;ROUNDUP(MONTH($B1237)/3,0)</f>
        <v>Q1</v>
      </c>
      <c r="E1237" s="61" t="n">
        <f aca="false">MONTH($B1237)</f>
        <v>1</v>
      </c>
      <c r="F1237" s="61" t="str">
        <f aca="false">INDEX(Parametros!$I$5:$I$16,$E1237)</f>
        <v>Ene</v>
      </c>
      <c r="G1237" s="61" t="str">
        <f aca="false">TEXT($C1237,"0000")&amp;"-"&amp;TEXT($E1237,"00")</f>
        <v>2025-01</v>
      </c>
      <c r="H1237" s="61" t="str">
        <f aca="false">INDEX(Parametros!$C$71:$C$91,MATCH(TRIM(INDEX(Datos_Origen!$C$2:$C$2459,$Z1237)),Parametros!$B$71:$B$91,0))</f>
        <v>Centro</v>
      </c>
      <c r="I1237" s="61" t="str">
        <f aca="false">IF(TRIM($AD1237)="",INDEX(Parametros!$I$20:$I$24,MATCH($H1237,Parametros!$H$20:$H$24,0)),TRIM($AD1237))</f>
        <v>Cordoba</v>
      </c>
      <c r="J1237" s="61" t="str">
        <f aca="false">INDEX(Parametros!$C$95:$C$106,MATCH(TRIM(INDEX(Datos_Origen!$E$2:$E$2459,$Z1237)),Parametros!$B$95:$B$106,0))</f>
        <v>E-commerce</v>
      </c>
      <c r="K1237" s="61" t="str">
        <f aca="false">INDEX(Parametros!$C$48:$C$67,MATCH(TRIM(INDEX(Datos_Origen!$F$2:$F$2459,$Z1237)),Parametros!$B$48:$B$67,0))</f>
        <v>Audio</v>
      </c>
      <c r="L1237" s="61" t="str">
        <f aca="false">$K1237&amp;" "&amp;$C1237</f>
        <v>Audio 2025</v>
      </c>
      <c r="M1237" s="61" t="str">
        <f aca="false">TRIM(INDEX(Datos_Origen!$G$2:$G$2459,$Z1237))</f>
        <v>Parlante Bluetooth</v>
      </c>
      <c r="N1237" s="61" t="str">
        <f aca="false">$M1237&amp;" "&amp;$C1237</f>
        <v>Parlante Bluetooth 2025</v>
      </c>
      <c r="O1237" s="63" t="n">
        <f aca="false">IF(ISTEXT($AC1237),VALUE($AC1237),$AC1237)</f>
        <v>14</v>
      </c>
      <c r="P1237" s="64" t="n">
        <f aca="false">INDEX(Datos_Origen!$I$2:$I$2459,$Z1237)</f>
        <v>84.46</v>
      </c>
      <c r="Q1237" s="64" t="n">
        <f aca="false">INDEX(Datos_Origen!$J$2:$J$2459,$Z1237)</f>
        <v>49.47</v>
      </c>
      <c r="R1237" s="65" t="n">
        <f aca="false">ROUND($O1237*$P1237,2)</f>
        <v>1182.44</v>
      </c>
      <c r="S1237" s="65" t="n">
        <f aca="false">ROUND($O1237*$Q1237,2)</f>
        <v>692.58</v>
      </c>
      <c r="T1237" s="65" t="n">
        <f aca="false">ROUND($R1237*SUMIFS(Parametros!$E$28:$E$43,Parametros!$B$28:$B$43,$J1237,Parametros!$C$28:$C$43,$C1237,Parametros!$D$28:$D$43,$D1237),2)</f>
        <v>80.41</v>
      </c>
      <c r="U1237" s="65" t="n">
        <f aca="false">$R1237-$S1237-$T1237</f>
        <v>409.45</v>
      </c>
      <c r="V1237" s="66" t="n">
        <f aca="false">IFERROR($U1237/$R1237,0)</f>
        <v>0.346275498122526</v>
      </c>
      <c r="W1237" s="67" t="str">
        <f aca="false">IF(AND($V1237&gt;=Parametros!$C$8,$R1237&gt;=Parametros!$C$12),"Alta rentabilidad",IF(OR($V1237&lt;Parametros!$C$11,$R1237&lt;Parametros!$C$13),"Revisar","Estandar"))</f>
        <v>Estandar</v>
      </c>
      <c r="X1237" s="67" t="str">
        <f aca="false">IF(AND($J1237="E-commerce",IFERROR($T1237/$R1237,0)&gt;Parametros!$C$14),"Alerta","OK")</f>
        <v>Alerta</v>
      </c>
      <c r="Y1237" s="61" t="str">
        <f aca="false">IF($R1237&gt;=Parametros!$C$12,"Alto",IF($R1237&lt;Parametros!$C$13,"Bajo","Medio"))</f>
        <v>Medio</v>
      </c>
      <c r="Z1237" s="61" t="n">
        <v>1004</v>
      </c>
      <c r="AA1237" s="61" t="str">
        <f aca="false">IF(MATCH($A1237,Datos_Origen!$A$2:$A$2459,0)=$Z1237,"OK","REVISAR")</f>
        <v>OK</v>
      </c>
      <c r="AB1237" s="62" t="n">
        <f aca="false">INDEX(Datos_Origen!$B$2:$B$2459,$Z1237)</f>
        <v>45670</v>
      </c>
      <c r="AC1237" s="61" t="n">
        <f aca="false">INDEX(Datos_Origen!$H$2:$H$2459,$Z1237)</f>
        <v>14</v>
      </c>
      <c r="AD1237" s="61" t="str">
        <f aca="false">INDEX(Datos_Origen!$D$2:$D$2459,$Z1237)&amp;""</f>
        <v>Cordoba</v>
      </c>
    </row>
    <row r="1238" customFormat="false" ht="15" hidden="false" customHeight="false" outlineLevel="0" collapsed="false">
      <c r="A1238" s="61" t="n">
        <f aca="false">INDEX(Datos_Origen!$A$2:$A$2459,$Z1238)</f>
        <v>1237</v>
      </c>
      <c r="B1238" s="62" t="n">
        <f aca="false">IF(ISNUMBER($AB1238),$AB1238,IF(MID($AB1238,5,1)="-",DATE(VALUE(LEFT($AB1238,4)),VALUE(MID($AB1238,6,2)),VALUE(RIGHT($AB1238,2))),DATE(VALUE(RIGHT($AB1238,4)),VALUE(MID($AB1238,4,2)),VALUE(LEFT($AB1238,2)))))</f>
        <v>45677</v>
      </c>
      <c r="C1238" s="61" t="n">
        <f aca="false">YEAR($B1238)</f>
        <v>2025</v>
      </c>
      <c r="D1238" s="61" t="str">
        <f aca="false">"Q"&amp;ROUNDUP(MONTH($B1238)/3,0)</f>
        <v>Q1</v>
      </c>
      <c r="E1238" s="61" t="n">
        <f aca="false">MONTH($B1238)</f>
        <v>1</v>
      </c>
      <c r="F1238" s="61" t="str">
        <f aca="false">INDEX(Parametros!$I$5:$I$16,$E1238)</f>
        <v>Ene</v>
      </c>
      <c r="G1238" s="61" t="str">
        <f aca="false">TEXT($C1238,"0000")&amp;"-"&amp;TEXT($E1238,"00")</f>
        <v>2025-01</v>
      </c>
      <c r="H1238" s="61" t="str">
        <f aca="false">INDEX(Parametros!$C$71:$C$91,MATCH(TRIM(INDEX(Datos_Origen!$C$2:$C$2459,$Z1238)),Parametros!$B$71:$B$91,0))</f>
        <v>Centro</v>
      </c>
      <c r="I1238" s="61" t="str">
        <f aca="false">IF(TRIM($AD1238)="",INDEX(Parametros!$I$20:$I$24,MATCH($H1238,Parametros!$H$20:$H$24,0)),TRIM($AD1238))</f>
        <v>Cordoba</v>
      </c>
      <c r="J1238" s="61" t="str">
        <f aca="false">INDEX(Parametros!$C$95:$C$106,MATCH(TRIM(INDEX(Datos_Origen!$E$2:$E$2459,$Z1238)),Parametros!$B$95:$B$106,0))</f>
        <v>Tienda fisica</v>
      </c>
      <c r="K1238" s="61" t="str">
        <f aca="false">INDEX(Parametros!$C$48:$C$67,MATCH(TRIM(INDEX(Datos_Origen!$F$2:$F$2459,$Z1238)),Parametros!$B$48:$B$67,0))</f>
        <v>Almacenamiento</v>
      </c>
      <c r="L1238" s="61" t="str">
        <f aca="false">$K1238&amp;" "&amp;$C1238</f>
        <v>Almacenamiento 2025</v>
      </c>
      <c r="M1238" s="61" t="str">
        <f aca="false">TRIM(INDEX(Datos_Origen!$G$2:$G$2459,$Z1238))</f>
        <v>SSD Externo 1TB</v>
      </c>
      <c r="N1238" s="61" t="str">
        <f aca="false">$M1238&amp;" "&amp;$C1238</f>
        <v>SSD Externo 1TB 2025</v>
      </c>
      <c r="O1238" s="63" t="n">
        <f aca="false">IF(ISTEXT($AC1238),VALUE($AC1238),$AC1238)</f>
        <v>24</v>
      </c>
      <c r="P1238" s="64" t="n">
        <f aca="false">INDEX(Datos_Origen!$I$2:$I$2459,$Z1238)</f>
        <v>129.17</v>
      </c>
      <c r="Q1238" s="64" t="n">
        <f aca="false">INDEX(Datos_Origen!$J$2:$J$2459,$Z1238)</f>
        <v>78.33</v>
      </c>
      <c r="R1238" s="65" t="n">
        <f aca="false">ROUND($O1238*$P1238,2)</f>
        <v>3100.08</v>
      </c>
      <c r="S1238" s="65" t="n">
        <f aca="false">ROUND($O1238*$Q1238,2)</f>
        <v>1879.92</v>
      </c>
      <c r="T1238" s="65" t="n">
        <f aca="false">ROUND($R1238*SUMIFS(Parametros!$E$28:$E$43,Parametros!$B$28:$B$43,$J1238,Parametros!$C$28:$C$43,$C1238,Parametros!$D$28:$D$43,$D1238),2)</f>
        <v>40.3</v>
      </c>
      <c r="U1238" s="65" t="n">
        <f aca="false">$R1238-$S1238-$T1238</f>
        <v>1179.86</v>
      </c>
      <c r="V1238" s="66" t="n">
        <f aca="false">IFERROR($U1238/$R1238,0)</f>
        <v>0.380590178317979</v>
      </c>
      <c r="W1238" s="67" t="str">
        <f aca="false">IF(AND($V1238&gt;=Parametros!$C$8,$R1238&gt;=Parametros!$C$12),"Alta rentabilidad",IF(OR($V1238&lt;Parametros!$C$11,$R1238&lt;Parametros!$C$13),"Revisar","Estandar"))</f>
        <v>Alta rentabilidad</v>
      </c>
      <c r="X1238" s="67" t="str">
        <f aca="false">IF(AND($J1238="E-commerce",IFERROR($T1238/$R1238,0)&gt;Parametros!$C$14),"Alerta","OK")</f>
        <v>OK</v>
      </c>
      <c r="Y1238" s="61" t="str">
        <f aca="false">IF($R1238&gt;=Parametros!$C$12,"Alto",IF($R1238&lt;Parametros!$C$13,"Bajo","Medio"))</f>
        <v>Alto</v>
      </c>
      <c r="Z1238" s="61" t="n">
        <v>1166</v>
      </c>
      <c r="AA1238" s="61" t="str">
        <f aca="false">IF(MATCH($A1238,Datos_Origen!$A$2:$A$2459,0)=$Z1238,"OK","REVISAR")</f>
        <v>OK</v>
      </c>
      <c r="AB1238" s="62" t="n">
        <f aca="false">INDEX(Datos_Origen!$B$2:$B$2459,$Z1238)</f>
        <v>45677</v>
      </c>
      <c r="AC1238" s="61" t="n">
        <f aca="false">INDEX(Datos_Origen!$H$2:$H$2459,$Z1238)</f>
        <v>24</v>
      </c>
      <c r="AD1238" s="61" t="str">
        <f aca="false">INDEX(Datos_Origen!$D$2:$D$2459,$Z1238)&amp;""</f>
        <v>Cordoba</v>
      </c>
    </row>
    <row r="1239" customFormat="false" ht="15" hidden="false" customHeight="false" outlineLevel="0" collapsed="false">
      <c r="A1239" s="61" t="n">
        <f aca="false">INDEX(Datos_Origen!$A$2:$A$2459,$Z1239)</f>
        <v>1238</v>
      </c>
      <c r="B1239" s="62" t="n">
        <f aca="false">IF(ISNUMBER($AB1239),$AB1239,IF(MID($AB1239,5,1)="-",DATE(VALUE(LEFT($AB1239,4)),VALUE(MID($AB1239,6,2)),VALUE(RIGHT($AB1239,2))),DATE(VALUE(RIGHT($AB1239,4)),VALUE(MID($AB1239,4,2)),VALUE(LEFT($AB1239,2)))))</f>
        <v>45684</v>
      </c>
      <c r="C1239" s="61" t="n">
        <f aca="false">YEAR($B1239)</f>
        <v>2025</v>
      </c>
      <c r="D1239" s="61" t="str">
        <f aca="false">"Q"&amp;ROUNDUP(MONTH($B1239)/3,0)</f>
        <v>Q1</v>
      </c>
      <c r="E1239" s="61" t="n">
        <f aca="false">MONTH($B1239)</f>
        <v>1</v>
      </c>
      <c r="F1239" s="61" t="str">
        <f aca="false">INDEX(Parametros!$I$5:$I$16,$E1239)</f>
        <v>Ene</v>
      </c>
      <c r="G1239" s="61" t="str">
        <f aca="false">TEXT($C1239,"0000")&amp;"-"&amp;TEXT($E1239,"00")</f>
        <v>2025-01</v>
      </c>
      <c r="H1239" s="61" t="str">
        <f aca="false">INDEX(Parametros!$C$71:$C$91,MATCH(TRIM(INDEX(Datos_Origen!$C$2:$C$2459,$Z1239)),Parametros!$B$71:$B$91,0))</f>
        <v>Centro</v>
      </c>
      <c r="I1239" s="61" t="str">
        <f aca="false">IF(TRIM($AD1239)="",INDEX(Parametros!$I$20:$I$24,MATCH($H1239,Parametros!$H$20:$H$24,0)),TRIM($AD1239))</f>
        <v>Cordoba</v>
      </c>
      <c r="J1239" s="61" t="str">
        <f aca="false">INDEX(Parametros!$C$95:$C$106,MATCH(TRIM(INDEX(Datos_Origen!$E$2:$E$2459,$Z1239)),Parametros!$B$95:$B$106,0))</f>
        <v>E-commerce</v>
      </c>
      <c r="K1239" s="61" t="str">
        <f aca="false">INDEX(Parametros!$C$48:$C$67,MATCH(TRIM(INDEX(Datos_Origen!$F$2:$F$2459,$Z1239)),Parametros!$B$48:$B$67,0))</f>
        <v>Almacenamiento</v>
      </c>
      <c r="L1239" s="61" t="str">
        <f aca="false">$K1239&amp;" "&amp;$C1239</f>
        <v>Almacenamiento 2025</v>
      </c>
      <c r="M1239" s="61" t="str">
        <f aca="false">TRIM(INDEX(Datos_Origen!$G$2:$G$2459,$Z1239))</f>
        <v>SSD Externo 1TB</v>
      </c>
      <c r="N1239" s="61" t="str">
        <f aca="false">$M1239&amp;" "&amp;$C1239</f>
        <v>SSD Externo 1TB 2025</v>
      </c>
      <c r="O1239" s="63" t="n">
        <f aca="false">IF(ISTEXT($AC1239),VALUE($AC1239),$AC1239)</f>
        <v>16</v>
      </c>
      <c r="P1239" s="64" t="n">
        <f aca="false">INDEX(Datos_Origen!$I$2:$I$2459,$Z1239)</f>
        <v>129.17</v>
      </c>
      <c r="Q1239" s="64" t="n">
        <f aca="false">INDEX(Datos_Origen!$J$2:$J$2459,$Z1239)</f>
        <v>78.33</v>
      </c>
      <c r="R1239" s="65" t="n">
        <f aca="false">ROUND($O1239*$P1239,2)</f>
        <v>2066.72</v>
      </c>
      <c r="S1239" s="65" t="n">
        <f aca="false">ROUND($O1239*$Q1239,2)</f>
        <v>1253.28</v>
      </c>
      <c r="T1239" s="65" t="n">
        <f aca="false">ROUND($R1239*SUMIFS(Parametros!$E$28:$E$43,Parametros!$B$28:$B$43,$J1239,Parametros!$C$28:$C$43,$C1239,Parametros!$D$28:$D$43,$D1239),2)</f>
        <v>140.54</v>
      </c>
      <c r="U1239" s="65" t="n">
        <f aca="false">$R1239-$S1239-$T1239</f>
        <v>672.9</v>
      </c>
      <c r="V1239" s="66" t="n">
        <f aca="false">IFERROR($U1239/$R1239,0)</f>
        <v>0.325588371912983</v>
      </c>
      <c r="W1239" s="67" t="str">
        <f aca="false">IF(AND($V1239&gt;=Parametros!$C$8,$R1239&gt;=Parametros!$C$12),"Alta rentabilidad",IF(OR($V1239&lt;Parametros!$C$11,$R1239&lt;Parametros!$C$13),"Revisar","Estandar"))</f>
        <v>Estandar</v>
      </c>
      <c r="X1239" s="67" t="str">
        <f aca="false">IF(AND($J1239="E-commerce",IFERROR($T1239/$R1239,0)&gt;Parametros!$C$14),"Alerta","OK")</f>
        <v>Alerta</v>
      </c>
      <c r="Y1239" s="61" t="str">
        <f aca="false">IF($R1239&gt;=Parametros!$C$12,"Alto",IF($R1239&lt;Parametros!$C$13,"Bajo","Medio"))</f>
        <v>Medio</v>
      </c>
      <c r="Z1239" s="61" t="n">
        <v>885</v>
      </c>
      <c r="AA1239" s="61" t="str">
        <f aca="false">IF(MATCH($A1239,Datos_Origen!$A$2:$A$2459,0)=$Z1239,"OK","REVISAR")</f>
        <v>OK</v>
      </c>
      <c r="AB1239" s="61" t="str">
        <f aca="false">INDEX(Datos_Origen!$B$2:$B$2459,$Z1239)</f>
        <v>2025-01-27</v>
      </c>
      <c r="AC1239" s="61" t="n">
        <f aca="false">INDEX(Datos_Origen!$H$2:$H$2459,$Z1239)</f>
        <v>16</v>
      </c>
      <c r="AD1239" s="61" t="str">
        <f aca="false">INDEX(Datos_Origen!$D$2:$D$2459,$Z1239)&amp;""</f>
        <v>Cordoba</v>
      </c>
    </row>
    <row r="1240" customFormat="false" ht="15" hidden="false" customHeight="false" outlineLevel="0" collapsed="false">
      <c r="A1240" s="61" t="n">
        <f aca="false">INDEX(Datos_Origen!$A$2:$A$2459,$Z1240)</f>
        <v>1239</v>
      </c>
      <c r="B1240" s="62" t="n">
        <f aca="false">IF(ISNUMBER($AB1240),$AB1240,IF(MID($AB1240,5,1)="-",DATE(VALUE(LEFT($AB1240,4)),VALUE(MID($AB1240,6,2)),VALUE(RIGHT($AB1240,2))),DATE(VALUE(RIGHT($AB1240,4)),VALUE(MID($AB1240,4,2)),VALUE(LEFT($AB1240,2)))))</f>
        <v>45664</v>
      </c>
      <c r="C1240" s="61" t="n">
        <f aca="false">YEAR($B1240)</f>
        <v>2025</v>
      </c>
      <c r="D1240" s="61" t="str">
        <f aca="false">"Q"&amp;ROUNDUP(MONTH($B1240)/3,0)</f>
        <v>Q1</v>
      </c>
      <c r="E1240" s="61" t="n">
        <f aca="false">MONTH($B1240)</f>
        <v>1</v>
      </c>
      <c r="F1240" s="61" t="str">
        <f aca="false">INDEX(Parametros!$I$5:$I$16,$E1240)</f>
        <v>Ene</v>
      </c>
      <c r="G1240" s="61" t="str">
        <f aca="false">TEXT($C1240,"0000")&amp;"-"&amp;TEXT($E1240,"00")</f>
        <v>2025-01</v>
      </c>
      <c r="H1240" s="61" t="str">
        <f aca="false">INDEX(Parametros!$C$71:$C$91,MATCH(TRIM(INDEX(Datos_Origen!$C$2:$C$2459,$Z1240)),Parametros!$B$71:$B$91,0))</f>
        <v>Centro</v>
      </c>
      <c r="I1240" s="61" t="str">
        <f aca="false">IF(TRIM($AD1240)="",INDEX(Parametros!$I$20:$I$24,MATCH($H1240,Parametros!$H$20:$H$24,0)),TRIM($AD1240))</f>
        <v>Cordoba</v>
      </c>
      <c r="J1240" s="61" t="str">
        <f aca="false">INDEX(Parametros!$C$95:$C$106,MATCH(TRIM(INDEX(Datos_Origen!$E$2:$E$2459,$Z1240)),Parametros!$B$95:$B$106,0))</f>
        <v>Tienda fisica</v>
      </c>
      <c r="K1240" s="61" t="str">
        <f aca="false">INDEX(Parametros!$C$48:$C$67,MATCH(TRIM(INDEX(Datos_Origen!$F$2:$F$2459,$Z1240)),Parametros!$B$48:$B$67,0))</f>
        <v>Almacenamiento</v>
      </c>
      <c r="L1240" s="61" t="str">
        <f aca="false">$K1240&amp;" "&amp;$C1240</f>
        <v>Almacenamiento 2025</v>
      </c>
      <c r="M1240" s="61" t="str">
        <f aca="false">TRIM(INDEX(Datos_Origen!$G$2:$G$2459,$Z1240))</f>
        <v>Pendrive 256GB</v>
      </c>
      <c r="N1240" s="61" t="str">
        <f aca="false">$M1240&amp;" "&amp;$C1240</f>
        <v>Pendrive 256GB 2025</v>
      </c>
      <c r="O1240" s="63" t="n">
        <f aca="false">IF(ISTEXT($AC1240),VALUE($AC1240),$AC1240)</f>
        <v>25</v>
      </c>
      <c r="P1240" s="64" t="n">
        <f aca="false">INDEX(Datos_Origen!$I$2:$I$2459,$Z1240)</f>
        <v>34.78</v>
      </c>
      <c r="Q1240" s="64" t="n">
        <f aca="false">INDEX(Datos_Origen!$J$2:$J$2459,$Z1240)</f>
        <v>18.39</v>
      </c>
      <c r="R1240" s="65" t="n">
        <f aca="false">ROUND($O1240*$P1240,2)</f>
        <v>869.5</v>
      </c>
      <c r="S1240" s="65" t="n">
        <f aca="false">ROUND($O1240*$Q1240,2)</f>
        <v>459.75</v>
      </c>
      <c r="T1240" s="65" t="n">
        <f aca="false">ROUND($R1240*SUMIFS(Parametros!$E$28:$E$43,Parametros!$B$28:$B$43,$J1240,Parametros!$C$28:$C$43,$C1240,Parametros!$D$28:$D$43,$D1240),2)</f>
        <v>11.3</v>
      </c>
      <c r="U1240" s="65" t="n">
        <f aca="false">$R1240-$S1240-$T1240</f>
        <v>398.45</v>
      </c>
      <c r="V1240" s="66" t="n">
        <f aca="false">IFERROR($U1240/$R1240,0)</f>
        <v>0.458251868890167</v>
      </c>
      <c r="W1240" s="67" t="str">
        <f aca="false">IF(AND($V1240&gt;=Parametros!$C$8,$R1240&gt;=Parametros!$C$12),"Alta rentabilidad",IF(OR($V1240&lt;Parametros!$C$11,$R1240&lt;Parametros!$C$13),"Revisar","Estandar"))</f>
        <v>Estandar</v>
      </c>
      <c r="X1240" s="67" t="str">
        <f aca="false">IF(AND($J1240="E-commerce",IFERROR($T1240/$R1240,0)&gt;Parametros!$C$14),"Alerta","OK")</f>
        <v>OK</v>
      </c>
      <c r="Y1240" s="61" t="str">
        <f aca="false">IF($R1240&gt;=Parametros!$C$12,"Alto",IF($R1240&lt;Parametros!$C$13,"Bajo","Medio"))</f>
        <v>Medio</v>
      </c>
      <c r="Z1240" s="61" t="n">
        <v>2241</v>
      </c>
      <c r="AA1240" s="61" t="str">
        <f aca="false">IF(MATCH($A1240,Datos_Origen!$A$2:$A$2459,0)=$Z1240,"OK","REVISAR")</f>
        <v>OK</v>
      </c>
      <c r="AB1240" s="62" t="n">
        <f aca="false">INDEX(Datos_Origen!$B$2:$B$2459,$Z1240)</f>
        <v>45664</v>
      </c>
      <c r="AC1240" s="61" t="n">
        <f aca="false">INDEX(Datos_Origen!$H$2:$H$2459,$Z1240)</f>
        <v>25</v>
      </c>
      <c r="AD1240" s="61" t="str">
        <f aca="false">INDEX(Datos_Origen!$D$2:$D$2459,$Z1240)&amp;""</f>
        <v/>
      </c>
    </row>
    <row r="1241" customFormat="false" ht="15" hidden="false" customHeight="false" outlineLevel="0" collapsed="false">
      <c r="A1241" s="61" t="n">
        <f aca="false">INDEX(Datos_Origen!$A$2:$A$2459,$Z1241)</f>
        <v>1240</v>
      </c>
      <c r="B1241" s="62" t="n">
        <f aca="false">IF(ISNUMBER($AB1241),$AB1241,IF(MID($AB1241,5,1)="-",DATE(VALUE(LEFT($AB1241,4)),VALUE(MID($AB1241,6,2)),VALUE(RIGHT($AB1241,2))),DATE(VALUE(RIGHT($AB1241,4)),VALUE(MID($AB1241,4,2)),VALUE(LEFT($AB1241,2)))))</f>
        <v>45671</v>
      </c>
      <c r="C1241" s="61" t="n">
        <f aca="false">YEAR($B1241)</f>
        <v>2025</v>
      </c>
      <c r="D1241" s="61" t="str">
        <f aca="false">"Q"&amp;ROUNDUP(MONTH($B1241)/3,0)</f>
        <v>Q1</v>
      </c>
      <c r="E1241" s="61" t="n">
        <f aca="false">MONTH($B1241)</f>
        <v>1</v>
      </c>
      <c r="F1241" s="61" t="str">
        <f aca="false">INDEX(Parametros!$I$5:$I$16,$E1241)</f>
        <v>Ene</v>
      </c>
      <c r="G1241" s="61" t="str">
        <f aca="false">TEXT($C1241,"0000")&amp;"-"&amp;TEXT($E1241,"00")</f>
        <v>2025-01</v>
      </c>
      <c r="H1241" s="61" t="str">
        <f aca="false">INDEX(Parametros!$C$71:$C$91,MATCH(TRIM(INDEX(Datos_Origen!$C$2:$C$2459,$Z1241)),Parametros!$B$71:$B$91,0))</f>
        <v>Centro</v>
      </c>
      <c r="I1241" s="61" t="str">
        <f aca="false">IF(TRIM($AD1241)="",INDEX(Parametros!$I$20:$I$24,MATCH($H1241,Parametros!$H$20:$H$24,0)),TRIM($AD1241))</f>
        <v>Cordoba</v>
      </c>
      <c r="J1241" s="61" t="str">
        <f aca="false">INDEX(Parametros!$C$95:$C$106,MATCH(TRIM(INDEX(Datos_Origen!$E$2:$E$2459,$Z1241)),Parametros!$B$95:$B$106,0))</f>
        <v>E-commerce</v>
      </c>
      <c r="K1241" s="61" t="str">
        <f aca="false">INDEX(Parametros!$C$48:$C$67,MATCH(TRIM(INDEX(Datos_Origen!$F$2:$F$2459,$Z1241)),Parametros!$B$48:$B$67,0))</f>
        <v>Almacenamiento</v>
      </c>
      <c r="L1241" s="61" t="str">
        <f aca="false">$K1241&amp;" "&amp;$C1241</f>
        <v>Almacenamiento 2025</v>
      </c>
      <c r="M1241" s="61" t="str">
        <f aca="false">TRIM(INDEX(Datos_Origen!$G$2:$G$2459,$Z1241))</f>
        <v>Pendrive 256GB</v>
      </c>
      <c r="N1241" s="61" t="str">
        <f aca="false">$M1241&amp;" "&amp;$C1241</f>
        <v>Pendrive 256GB 2025</v>
      </c>
      <c r="O1241" s="63" t="n">
        <f aca="false">IF(ISTEXT($AC1241),VALUE($AC1241),$AC1241)</f>
        <v>19</v>
      </c>
      <c r="P1241" s="64" t="n">
        <f aca="false">INDEX(Datos_Origen!$I$2:$I$2459,$Z1241)</f>
        <v>34.78</v>
      </c>
      <c r="Q1241" s="64" t="n">
        <f aca="false">INDEX(Datos_Origen!$J$2:$J$2459,$Z1241)</f>
        <v>18.39</v>
      </c>
      <c r="R1241" s="65" t="n">
        <f aca="false">ROUND($O1241*$P1241,2)</f>
        <v>660.82</v>
      </c>
      <c r="S1241" s="65" t="n">
        <f aca="false">ROUND($O1241*$Q1241,2)</f>
        <v>349.41</v>
      </c>
      <c r="T1241" s="65" t="n">
        <f aca="false">ROUND($R1241*SUMIFS(Parametros!$E$28:$E$43,Parametros!$B$28:$B$43,$J1241,Parametros!$C$28:$C$43,$C1241,Parametros!$D$28:$D$43,$D1241),2)</f>
        <v>44.94</v>
      </c>
      <c r="U1241" s="65" t="n">
        <f aca="false">$R1241-$S1241-$T1241</f>
        <v>266.47</v>
      </c>
      <c r="V1241" s="66" t="n">
        <f aca="false">IFERROR($U1241/$R1241,0)</f>
        <v>0.403241427317575</v>
      </c>
      <c r="W1241" s="67" t="str">
        <f aca="false">IF(AND($V1241&gt;=Parametros!$C$8,$R1241&gt;=Parametros!$C$12),"Alta rentabilidad",IF(OR($V1241&lt;Parametros!$C$11,$R1241&lt;Parametros!$C$13),"Revisar","Estandar"))</f>
        <v>Estandar</v>
      </c>
      <c r="X1241" s="67" t="str">
        <f aca="false">IF(AND($J1241="E-commerce",IFERROR($T1241/$R1241,0)&gt;Parametros!$C$14),"Alerta","OK")</f>
        <v>Alerta</v>
      </c>
      <c r="Y1241" s="61" t="str">
        <f aca="false">IF($R1241&gt;=Parametros!$C$12,"Alto",IF($R1241&lt;Parametros!$C$13,"Bajo","Medio"))</f>
        <v>Medio</v>
      </c>
      <c r="Z1241" s="61" t="n">
        <v>90</v>
      </c>
      <c r="AA1241" s="61" t="str">
        <f aca="false">IF(MATCH($A1241,Datos_Origen!$A$2:$A$2459,0)=$Z1241,"OK","REVISAR")</f>
        <v>OK</v>
      </c>
      <c r="AB1241" s="61" t="str">
        <f aca="false">INDEX(Datos_Origen!$B$2:$B$2459,$Z1241)</f>
        <v>2025-01-14</v>
      </c>
      <c r="AC1241" s="61" t="n">
        <f aca="false">INDEX(Datos_Origen!$H$2:$H$2459,$Z1241)</f>
        <v>19</v>
      </c>
      <c r="AD1241" s="61" t="str">
        <f aca="false">INDEX(Datos_Origen!$D$2:$D$2459,$Z1241)&amp;""</f>
        <v>Cordoba</v>
      </c>
    </row>
    <row r="1242" customFormat="false" ht="15" hidden="false" customHeight="false" outlineLevel="0" collapsed="false">
      <c r="A1242" s="61" t="n">
        <f aca="false">INDEX(Datos_Origen!$A$2:$A$2459,$Z1242)</f>
        <v>1241</v>
      </c>
      <c r="B1242" s="62" t="n">
        <f aca="false">IF(ISNUMBER($AB1242),$AB1242,IF(MID($AB1242,5,1)="-",DATE(VALUE(LEFT($AB1242,4)),VALUE(MID($AB1242,6,2)),VALUE(RIGHT($AB1242,2))),DATE(VALUE(RIGHT($AB1242,4)),VALUE(MID($AB1242,4,2)),VALUE(LEFT($AB1242,2)))))</f>
        <v>45678</v>
      </c>
      <c r="C1242" s="61" t="n">
        <f aca="false">YEAR($B1242)</f>
        <v>2025</v>
      </c>
      <c r="D1242" s="61" t="str">
        <f aca="false">"Q"&amp;ROUNDUP(MONTH($B1242)/3,0)</f>
        <v>Q1</v>
      </c>
      <c r="E1242" s="61" t="n">
        <f aca="false">MONTH($B1242)</f>
        <v>1</v>
      </c>
      <c r="F1242" s="61" t="str">
        <f aca="false">INDEX(Parametros!$I$5:$I$16,$E1242)</f>
        <v>Ene</v>
      </c>
      <c r="G1242" s="61" t="str">
        <f aca="false">TEXT($C1242,"0000")&amp;"-"&amp;TEXT($E1242,"00")</f>
        <v>2025-01</v>
      </c>
      <c r="H1242" s="61" t="str">
        <f aca="false">INDEX(Parametros!$C$71:$C$91,MATCH(TRIM(INDEX(Datos_Origen!$C$2:$C$2459,$Z1242)),Parametros!$B$71:$B$91,0))</f>
        <v>Litoral</v>
      </c>
      <c r="I1242" s="61" t="str">
        <f aca="false">IF(TRIM($AD1242)="",INDEX(Parametros!$I$20:$I$24,MATCH($H1242,Parametros!$H$20:$H$24,0)),TRIM($AD1242))</f>
        <v>Rosario</v>
      </c>
      <c r="J1242" s="61" t="str">
        <f aca="false">INDEX(Parametros!$C$95:$C$106,MATCH(TRIM(INDEX(Datos_Origen!$E$2:$E$2459,$Z1242)),Parametros!$B$95:$B$106,0))</f>
        <v>Tienda fisica</v>
      </c>
      <c r="K1242" s="61" t="str">
        <f aca="false">INDEX(Parametros!$C$48:$C$67,MATCH(TRIM(INDEX(Datos_Origen!$F$2:$F$2459,$Z1242)),Parametros!$B$48:$B$67,0))</f>
        <v>Computacion</v>
      </c>
      <c r="L1242" s="61" t="str">
        <f aca="false">$K1242&amp;" "&amp;$C1242</f>
        <v>Computacion 2025</v>
      </c>
      <c r="M1242" s="61" t="str">
        <f aca="false">TRIM(INDEX(Datos_Origen!$G$2:$G$2459,$Z1242))</f>
        <v>Laptop Pro 15</v>
      </c>
      <c r="N1242" s="61" t="str">
        <f aca="false">$M1242&amp;" "&amp;$C1242</f>
        <v>Laptop Pro 15 2025</v>
      </c>
      <c r="O1242" s="63" t="n">
        <f aca="false">IF(ISTEXT($AC1242),VALUE($AC1242),$AC1242)</f>
        <v>7</v>
      </c>
      <c r="P1242" s="64" t="n">
        <f aca="false">INDEX(Datos_Origen!$I$2:$I$2459,$Z1242)</f>
        <v>1155.06</v>
      </c>
      <c r="Q1242" s="64" t="n">
        <f aca="false">INDEX(Datos_Origen!$J$2:$J$2459,$Z1242)</f>
        <v>766.32</v>
      </c>
      <c r="R1242" s="65" t="n">
        <f aca="false">ROUND($O1242*$P1242,2)</f>
        <v>8085.42</v>
      </c>
      <c r="S1242" s="65" t="n">
        <f aca="false">ROUND($O1242*$Q1242,2)</f>
        <v>5364.24</v>
      </c>
      <c r="T1242" s="65" t="n">
        <f aca="false">ROUND($R1242*SUMIFS(Parametros!$E$28:$E$43,Parametros!$B$28:$B$43,$J1242,Parametros!$C$28:$C$43,$C1242,Parametros!$D$28:$D$43,$D1242),2)</f>
        <v>105.11</v>
      </c>
      <c r="U1242" s="65" t="n">
        <f aca="false">$R1242-$S1242-$T1242</f>
        <v>2616.07</v>
      </c>
      <c r="V1242" s="66" t="n">
        <f aca="false">IFERROR($U1242/$R1242,0)</f>
        <v>0.323554002142127</v>
      </c>
      <c r="W1242" s="67" t="str">
        <f aca="false">IF(AND($V1242&gt;=Parametros!$C$8,$R1242&gt;=Parametros!$C$12),"Alta rentabilidad",IF(OR($V1242&lt;Parametros!$C$11,$R1242&lt;Parametros!$C$13),"Revisar","Estandar"))</f>
        <v>Estandar</v>
      </c>
      <c r="X1242" s="67" t="str">
        <f aca="false">IF(AND($J1242="E-commerce",IFERROR($T1242/$R1242,0)&gt;Parametros!$C$14),"Alerta","OK")</f>
        <v>OK</v>
      </c>
      <c r="Y1242" s="61" t="str">
        <f aca="false">IF($R1242&gt;=Parametros!$C$12,"Alto",IF($R1242&lt;Parametros!$C$13,"Bajo","Medio"))</f>
        <v>Alto</v>
      </c>
      <c r="Z1242" s="61" t="n">
        <v>1972</v>
      </c>
      <c r="AA1242" s="61" t="str">
        <f aca="false">IF(MATCH($A1242,Datos_Origen!$A$2:$A$2459,0)=$Z1242,"OK","REVISAR")</f>
        <v>OK</v>
      </c>
      <c r="AB1242" s="62" t="n">
        <f aca="false">INDEX(Datos_Origen!$B$2:$B$2459,$Z1242)</f>
        <v>45678</v>
      </c>
      <c r="AC1242" s="61" t="n">
        <f aca="false">INDEX(Datos_Origen!$H$2:$H$2459,$Z1242)</f>
        <v>7</v>
      </c>
      <c r="AD1242" s="61" t="str">
        <f aca="false">INDEX(Datos_Origen!$D$2:$D$2459,$Z1242)&amp;""</f>
        <v>Rosario</v>
      </c>
    </row>
    <row r="1243" customFormat="false" ht="15" hidden="false" customHeight="false" outlineLevel="0" collapsed="false">
      <c r="A1243" s="61" t="n">
        <f aca="false">INDEX(Datos_Origen!$A$2:$A$2459,$Z1243)</f>
        <v>1242</v>
      </c>
      <c r="B1243" s="62" t="n">
        <f aca="false">IF(ISNUMBER($AB1243),$AB1243,IF(MID($AB1243,5,1)="-",DATE(VALUE(LEFT($AB1243,4)),VALUE(MID($AB1243,6,2)),VALUE(RIGHT($AB1243,2))),DATE(VALUE(RIGHT($AB1243,4)),VALUE(MID($AB1243,4,2)),VALUE(LEFT($AB1243,2)))))</f>
        <v>45658</v>
      </c>
      <c r="C1243" s="61" t="n">
        <f aca="false">YEAR($B1243)</f>
        <v>2025</v>
      </c>
      <c r="D1243" s="61" t="str">
        <f aca="false">"Q"&amp;ROUNDUP(MONTH($B1243)/3,0)</f>
        <v>Q1</v>
      </c>
      <c r="E1243" s="61" t="n">
        <f aca="false">MONTH($B1243)</f>
        <v>1</v>
      </c>
      <c r="F1243" s="61" t="str">
        <f aca="false">INDEX(Parametros!$I$5:$I$16,$E1243)</f>
        <v>Ene</v>
      </c>
      <c r="G1243" s="61" t="str">
        <f aca="false">TEXT($C1243,"0000")&amp;"-"&amp;TEXT($E1243,"00")</f>
        <v>2025-01</v>
      </c>
      <c r="H1243" s="61" t="str">
        <f aca="false">INDEX(Parametros!$C$71:$C$91,MATCH(TRIM(INDEX(Datos_Origen!$C$2:$C$2459,$Z1243)),Parametros!$B$71:$B$91,0))</f>
        <v>Litoral</v>
      </c>
      <c r="I1243" s="61" t="str">
        <f aca="false">IF(TRIM($AD1243)="",INDEX(Parametros!$I$20:$I$24,MATCH($H1243,Parametros!$H$20:$H$24,0)),TRIM($AD1243))</f>
        <v>Rosario</v>
      </c>
      <c r="J1243" s="61" t="str">
        <f aca="false">INDEX(Parametros!$C$95:$C$106,MATCH(TRIM(INDEX(Datos_Origen!$E$2:$E$2459,$Z1243)),Parametros!$B$95:$B$106,0))</f>
        <v>E-commerce</v>
      </c>
      <c r="K1243" s="61" t="str">
        <f aca="false">INDEX(Parametros!$C$48:$C$67,MATCH(TRIM(INDEX(Datos_Origen!$F$2:$F$2459,$Z1243)),Parametros!$B$48:$B$67,0))</f>
        <v>Computacion</v>
      </c>
      <c r="L1243" s="61" t="str">
        <f aca="false">$K1243&amp;" "&amp;$C1243</f>
        <v>Computacion 2025</v>
      </c>
      <c r="M1243" s="61" t="str">
        <f aca="false">TRIM(INDEX(Datos_Origen!$G$2:$G$2459,$Z1243))</f>
        <v>Laptop Pro 15</v>
      </c>
      <c r="N1243" s="61" t="str">
        <f aca="false">$M1243&amp;" "&amp;$C1243</f>
        <v>Laptop Pro 15 2025</v>
      </c>
      <c r="O1243" s="63" t="n">
        <f aca="false">IF(ISTEXT($AC1243),VALUE($AC1243),$AC1243)</f>
        <v>5</v>
      </c>
      <c r="P1243" s="64" t="n">
        <f aca="false">INDEX(Datos_Origen!$I$2:$I$2459,$Z1243)</f>
        <v>1155.06</v>
      </c>
      <c r="Q1243" s="64" t="n">
        <f aca="false">INDEX(Datos_Origen!$J$2:$J$2459,$Z1243)</f>
        <v>766.32</v>
      </c>
      <c r="R1243" s="65" t="n">
        <f aca="false">ROUND($O1243*$P1243,2)</f>
        <v>5775.3</v>
      </c>
      <c r="S1243" s="65" t="n">
        <f aca="false">ROUND($O1243*$Q1243,2)</f>
        <v>3831.6</v>
      </c>
      <c r="T1243" s="65" t="n">
        <f aca="false">ROUND($R1243*SUMIFS(Parametros!$E$28:$E$43,Parametros!$B$28:$B$43,$J1243,Parametros!$C$28:$C$43,$C1243,Parametros!$D$28:$D$43,$D1243),2)</f>
        <v>392.72</v>
      </c>
      <c r="U1243" s="65" t="n">
        <f aca="false">$R1243-$S1243-$T1243</f>
        <v>1550.98</v>
      </c>
      <c r="V1243" s="66" t="n">
        <f aca="false">IFERROR($U1243/$R1243,0)</f>
        <v>0.268554014510069</v>
      </c>
      <c r="W1243" s="67" t="str">
        <f aca="false">IF(AND($V1243&gt;=Parametros!$C$8,$R1243&gt;=Parametros!$C$12),"Alta rentabilidad",IF(OR($V1243&lt;Parametros!$C$11,$R1243&lt;Parametros!$C$13),"Revisar","Estandar"))</f>
        <v>Revisar</v>
      </c>
      <c r="X1243" s="67" t="str">
        <f aca="false">IF(AND($J1243="E-commerce",IFERROR($T1243/$R1243,0)&gt;Parametros!$C$14),"Alerta","OK")</f>
        <v>Alerta</v>
      </c>
      <c r="Y1243" s="61" t="str">
        <f aca="false">IF($R1243&gt;=Parametros!$C$12,"Alto",IF($R1243&lt;Parametros!$C$13,"Bajo","Medio"))</f>
        <v>Alto</v>
      </c>
      <c r="Z1243" s="61" t="n">
        <v>1565</v>
      </c>
      <c r="AA1243" s="61" t="str">
        <f aca="false">IF(MATCH($A1243,Datos_Origen!$A$2:$A$2459,0)=$Z1243,"OK","REVISAR")</f>
        <v>OK</v>
      </c>
      <c r="AB1243" s="62" t="n">
        <f aca="false">INDEX(Datos_Origen!$B$2:$B$2459,$Z1243)</f>
        <v>45658</v>
      </c>
      <c r="AC1243" s="61" t="str">
        <f aca="false">INDEX(Datos_Origen!$H$2:$H$2459,$Z1243)</f>
        <v>5</v>
      </c>
      <c r="AD1243" s="61" t="str">
        <f aca="false">INDEX(Datos_Origen!$D$2:$D$2459,$Z1243)&amp;""</f>
        <v>Rosario</v>
      </c>
    </row>
    <row r="1244" customFormat="false" ht="15" hidden="false" customHeight="false" outlineLevel="0" collapsed="false">
      <c r="A1244" s="61" t="n">
        <f aca="false">INDEX(Datos_Origen!$A$2:$A$2459,$Z1244)</f>
        <v>1243</v>
      </c>
      <c r="B1244" s="62" t="n">
        <f aca="false">IF(ISNUMBER($AB1244),$AB1244,IF(MID($AB1244,5,1)="-",DATE(VALUE(LEFT($AB1244,4)),VALUE(MID($AB1244,6,2)),VALUE(RIGHT($AB1244,2))),DATE(VALUE(RIGHT($AB1244,4)),VALUE(MID($AB1244,4,2)),VALUE(LEFT($AB1244,2)))))</f>
        <v>45665</v>
      </c>
      <c r="C1244" s="61" t="n">
        <f aca="false">YEAR($B1244)</f>
        <v>2025</v>
      </c>
      <c r="D1244" s="61" t="str">
        <f aca="false">"Q"&amp;ROUNDUP(MONTH($B1244)/3,0)</f>
        <v>Q1</v>
      </c>
      <c r="E1244" s="61" t="n">
        <f aca="false">MONTH($B1244)</f>
        <v>1</v>
      </c>
      <c r="F1244" s="61" t="str">
        <f aca="false">INDEX(Parametros!$I$5:$I$16,$E1244)</f>
        <v>Ene</v>
      </c>
      <c r="G1244" s="61" t="str">
        <f aca="false">TEXT($C1244,"0000")&amp;"-"&amp;TEXT($E1244,"00")</f>
        <v>2025-01</v>
      </c>
      <c r="H1244" s="61" t="str">
        <f aca="false">INDEX(Parametros!$C$71:$C$91,MATCH(TRIM(INDEX(Datos_Origen!$C$2:$C$2459,$Z1244)),Parametros!$B$71:$B$91,0))</f>
        <v>Litoral</v>
      </c>
      <c r="I1244" s="61" t="str">
        <f aca="false">IF(TRIM($AD1244)="",INDEX(Parametros!$I$20:$I$24,MATCH($H1244,Parametros!$H$20:$H$24,0)),TRIM($AD1244))</f>
        <v>Rosario</v>
      </c>
      <c r="J1244" s="61" t="str">
        <f aca="false">INDEX(Parametros!$C$95:$C$106,MATCH(TRIM(INDEX(Datos_Origen!$E$2:$E$2459,$Z1244)),Parametros!$B$95:$B$106,0))</f>
        <v>Tienda fisica</v>
      </c>
      <c r="K1244" s="61" t="str">
        <f aca="false">INDEX(Parametros!$C$48:$C$67,MATCH(TRIM(INDEX(Datos_Origen!$F$2:$F$2459,$Z1244)),Parametros!$B$48:$B$67,0))</f>
        <v>Computacion</v>
      </c>
      <c r="L1244" s="61" t="str">
        <f aca="false">$K1244&amp;" "&amp;$C1244</f>
        <v>Computacion 2025</v>
      </c>
      <c r="M1244" s="61" t="str">
        <f aca="false">TRIM(INDEX(Datos_Origen!$G$2:$G$2459,$Z1244))</f>
        <v>Monitor 4K 27</v>
      </c>
      <c r="N1244" s="61" t="str">
        <f aca="false">$M1244&amp;" "&amp;$C1244</f>
        <v>Monitor 4K 27 2025</v>
      </c>
      <c r="O1244" s="63" t="n">
        <f aca="false">IF(ISTEXT($AC1244),VALUE($AC1244),$AC1244)</f>
        <v>7</v>
      </c>
      <c r="P1244" s="64" t="n">
        <f aca="false">INDEX(Datos_Origen!$I$2:$I$2459,$Z1244)</f>
        <v>433.15</v>
      </c>
      <c r="Q1244" s="64" t="n">
        <f aca="false">INDEX(Datos_Origen!$J$2:$J$2459,$Z1244)</f>
        <v>280.42</v>
      </c>
      <c r="R1244" s="65" t="n">
        <f aca="false">ROUND($O1244*$P1244,2)</f>
        <v>3032.05</v>
      </c>
      <c r="S1244" s="65" t="n">
        <f aca="false">ROUND($O1244*$Q1244,2)</f>
        <v>1962.94</v>
      </c>
      <c r="T1244" s="65" t="n">
        <f aca="false">ROUND($R1244*SUMIFS(Parametros!$E$28:$E$43,Parametros!$B$28:$B$43,$J1244,Parametros!$C$28:$C$43,$C1244,Parametros!$D$28:$D$43,$D1244),2)</f>
        <v>39.42</v>
      </c>
      <c r="U1244" s="65" t="n">
        <f aca="false">$R1244-$S1244-$T1244</f>
        <v>1029.69</v>
      </c>
      <c r="V1244" s="66" t="n">
        <f aca="false">IFERROR($U1244/$R1244,0)</f>
        <v>0.339601919493412</v>
      </c>
      <c r="W1244" s="67" t="str">
        <f aca="false">IF(AND($V1244&gt;=Parametros!$C$8,$R1244&gt;=Parametros!$C$12),"Alta rentabilidad",IF(OR($V1244&lt;Parametros!$C$11,$R1244&lt;Parametros!$C$13),"Revisar","Estandar"))</f>
        <v>Estandar</v>
      </c>
      <c r="X1244" s="67" t="str">
        <f aca="false">IF(AND($J1244="E-commerce",IFERROR($T1244/$R1244,0)&gt;Parametros!$C$14),"Alerta","OK")</f>
        <v>OK</v>
      </c>
      <c r="Y1244" s="61" t="str">
        <f aca="false">IF($R1244&gt;=Parametros!$C$12,"Alto",IF($R1244&lt;Parametros!$C$13,"Bajo","Medio"))</f>
        <v>Alto</v>
      </c>
      <c r="Z1244" s="61" t="n">
        <v>643</v>
      </c>
      <c r="AA1244" s="61" t="str">
        <f aca="false">IF(MATCH($A1244,Datos_Origen!$A$2:$A$2459,0)=$Z1244,"OK","REVISAR")</f>
        <v>OK</v>
      </c>
      <c r="AB1244" s="62" t="n">
        <f aca="false">INDEX(Datos_Origen!$B$2:$B$2459,$Z1244)</f>
        <v>45665</v>
      </c>
      <c r="AC1244" s="61" t="n">
        <f aca="false">INDEX(Datos_Origen!$H$2:$H$2459,$Z1244)</f>
        <v>7</v>
      </c>
      <c r="AD1244" s="61" t="str">
        <f aca="false">INDEX(Datos_Origen!$D$2:$D$2459,$Z1244)&amp;""</f>
        <v>Rosario</v>
      </c>
    </row>
    <row r="1245" customFormat="false" ht="15" hidden="false" customHeight="false" outlineLevel="0" collapsed="false">
      <c r="A1245" s="61" t="n">
        <f aca="false">INDEX(Datos_Origen!$A$2:$A$2459,$Z1245)</f>
        <v>1244</v>
      </c>
      <c r="B1245" s="62" t="n">
        <f aca="false">IF(ISNUMBER($AB1245),$AB1245,IF(MID($AB1245,5,1)="-",DATE(VALUE(LEFT($AB1245,4)),VALUE(MID($AB1245,6,2)),VALUE(RIGHT($AB1245,2))),DATE(VALUE(RIGHT($AB1245,4)),VALUE(MID($AB1245,4,2)),VALUE(LEFT($AB1245,2)))))</f>
        <v>45672</v>
      </c>
      <c r="C1245" s="61" t="n">
        <f aca="false">YEAR($B1245)</f>
        <v>2025</v>
      </c>
      <c r="D1245" s="61" t="str">
        <f aca="false">"Q"&amp;ROUNDUP(MONTH($B1245)/3,0)</f>
        <v>Q1</v>
      </c>
      <c r="E1245" s="61" t="n">
        <f aca="false">MONTH($B1245)</f>
        <v>1</v>
      </c>
      <c r="F1245" s="61" t="str">
        <f aca="false">INDEX(Parametros!$I$5:$I$16,$E1245)</f>
        <v>Ene</v>
      </c>
      <c r="G1245" s="61" t="str">
        <f aca="false">TEXT($C1245,"0000")&amp;"-"&amp;TEXT($E1245,"00")</f>
        <v>2025-01</v>
      </c>
      <c r="H1245" s="61" t="str">
        <f aca="false">INDEX(Parametros!$C$71:$C$91,MATCH(TRIM(INDEX(Datos_Origen!$C$2:$C$2459,$Z1245)),Parametros!$B$71:$B$91,0))</f>
        <v>Litoral</v>
      </c>
      <c r="I1245" s="61" t="str">
        <f aca="false">IF(TRIM($AD1245)="",INDEX(Parametros!$I$20:$I$24,MATCH($H1245,Parametros!$H$20:$H$24,0)),TRIM($AD1245))</f>
        <v>Rosario</v>
      </c>
      <c r="J1245" s="61" t="str">
        <f aca="false">INDEX(Parametros!$C$95:$C$106,MATCH(TRIM(INDEX(Datos_Origen!$E$2:$E$2459,$Z1245)),Parametros!$B$95:$B$106,0))</f>
        <v>E-commerce</v>
      </c>
      <c r="K1245" s="61" t="str">
        <f aca="false">INDEX(Parametros!$C$48:$C$67,MATCH(TRIM(INDEX(Datos_Origen!$F$2:$F$2459,$Z1245)),Parametros!$B$48:$B$67,0))</f>
        <v>Computacion</v>
      </c>
      <c r="L1245" s="61" t="str">
        <f aca="false">$K1245&amp;" "&amp;$C1245</f>
        <v>Computacion 2025</v>
      </c>
      <c r="M1245" s="61" t="str">
        <f aca="false">TRIM(INDEX(Datos_Origen!$G$2:$G$2459,$Z1245))</f>
        <v>Monitor 4K 27</v>
      </c>
      <c r="N1245" s="61" t="str">
        <f aca="false">$M1245&amp;" "&amp;$C1245</f>
        <v>Monitor 4K 27 2025</v>
      </c>
      <c r="O1245" s="63" t="n">
        <f aca="false">IF(ISTEXT($AC1245),VALUE($AC1245),$AC1245)</f>
        <v>5</v>
      </c>
      <c r="P1245" s="64" t="n">
        <f aca="false">INDEX(Datos_Origen!$I$2:$I$2459,$Z1245)</f>
        <v>433.15</v>
      </c>
      <c r="Q1245" s="64" t="n">
        <f aca="false">INDEX(Datos_Origen!$J$2:$J$2459,$Z1245)</f>
        <v>280.42</v>
      </c>
      <c r="R1245" s="65" t="n">
        <f aca="false">ROUND($O1245*$P1245,2)</f>
        <v>2165.75</v>
      </c>
      <c r="S1245" s="65" t="n">
        <f aca="false">ROUND($O1245*$Q1245,2)</f>
        <v>1402.1</v>
      </c>
      <c r="T1245" s="65" t="n">
        <f aca="false">ROUND($R1245*SUMIFS(Parametros!$E$28:$E$43,Parametros!$B$28:$B$43,$J1245,Parametros!$C$28:$C$43,$C1245,Parametros!$D$28:$D$43,$D1245),2)</f>
        <v>147.27</v>
      </c>
      <c r="U1245" s="65" t="n">
        <f aca="false">$R1245-$S1245-$T1245</f>
        <v>616.38</v>
      </c>
      <c r="V1245" s="66" t="n">
        <f aca="false">IFERROR($U1245/$R1245,0)</f>
        <v>0.284603486090269</v>
      </c>
      <c r="W1245" s="67" t="str">
        <f aca="false">IF(AND($V1245&gt;=Parametros!$C$8,$R1245&gt;=Parametros!$C$12),"Alta rentabilidad",IF(OR($V1245&lt;Parametros!$C$11,$R1245&lt;Parametros!$C$13),"Revisar","Estandar"))</f>
        <v>Estandar</v>
      </c>
      <c r="X1245" s="67" t="str">
        <f aca="false">IF(AND($J1245="E-commerce",IFERROR($T1245/$R1245,0)&gt;Parametros!$C$14),"Alerta","OK")</f>
        <v>Alerta</v>
      </c>
      <c r="Y1245" s="61" t="str">
        <f aca="false">IF($R1245&gt;=Parametros!$C$12,"Alto",IF($R1245&lt;Parametros!$C$13,"Bajo","Medio"))</f>
        <v>Medio</v>
      </c>
      <c r="Z1245" s="61" t="n">
        <v>729</v>
      </c>
      <c r="AA1245" s="61" t="str">
        <f aca="false">IF(MATCH($A1245,Datos_Origen!$A$2:$A$2459,0)=$Z1245,"OK","REVISAR")</f>
        <v>OK</v>
      </c>
      <c r="AB1245" s="61" t="str">
        <f aca="false">INDEX(Datos_Origen!$B$2:$B$2459,$Z1245)</f>
        <v>15/01/2025</v>
      </c>
      <c r="AC1245" s="61" t="n">
        <f aca="false">INDEX(Datos_Origen!$H$2:$H$2459,$Z1245)</f>
        <v>5</v>
      </c>
      <c r="AD1245" s="61" t="str">
        <f aca="false">INDEX(Datos_Origen!$D$2:$D$2459,$Z1245)&amp;""</f>
        <v>Rosario</v>
      </c>
    </row>
    <row r="1246" customFormat="false" ht="15" hidden="false" customHeight="false" outlineLevel="0" collapsed="false">
      <c r="A1246" s="61" t="n">
        <f aca="false">INDEX(Datos_Origen!$A$2:$A$2459,$Z1246)</f>
        <v>1245</v>
      </c>
      <c r="B1246" s="62" t="n">
        <f aca="false">IF(ISNUMBER($AB1246),$AB1246,IF(MID($AB1246,5,1)="-",DATE(VALUE(LEFT($AB1246,4)),VALUE(MID($AB1246,6,2)),VALUE(RIGHT($AB1246,2))),DATE(VALUE(RIGHT($AB1246,4)),VALUE(MID($AB1246,4,2)),VALUE(LEFT($AB1246,2)))))</f>
        <v>45679</v>
      </c>
      <c r="C1246" s="61" t="n">
        <f aca="false">YEAR($B1246)</f>
        <v>2025</v>
      </c>
      <c r="D1246" s="61" t="str">
        <f aca="false">"Q"&amp;ROUNDUP(MONTH($B1246)/3,0)</f>
        <v>Q1</v>
      </c>
      <c r="E1246" s="61" t="n">
        <f aca="false">MONTH($B1246)</f>
        <v>1</v>
      </c>
      <c r="F1246" s="61" t="str">
        <f aca="false">INDEX(Parametros!$I$5:$I$16,$E1246)</f>
        <v>Ene</v>
      </c>
      <c r="G1246" s="61" t="str">
        <f aca="false">TEXT($C1246,"0000")&amp;"-"&amp;TEXT($E1246,"00")</f>
        <v>2025-01</v>
      </c>
      <c r="H1246" s="61" t="str">
        <f aca="false">INDEX(Parametros!$C$71:$C$91,MATCH(TRIM(INDEX(Datos_Origen!$C$2:$C$2459,$Z1246)),Parametros!$B$71:$B$91,0))</f>
        <v>Litoral</v>
      </c>
      <c r="I1246" s="61" t="str">
        <f aca="false">IF(TRIM($AD1246)="",INDEX(Parametros!$I$20:$I$24,MATCH($H1246,Parametros!$H$20:$H$24,0)),TRIM($AD1246))</f>
        <v>Rosario</v>
      </c>
      <c r="J1246" s="61" t="str">
        <f aca="false">INDEX(Parametros!$C$95:$C$106,MATCH(TRIM(INDEX(Datos_Origen!$E$2:$E$2459,$Z1246)),Parametros!$B$95:$B$106,0))</f>
        <v>Tienda fisica</v>
      </c>
      <c r="K1246" s="61" t="str">
        <f aca="false">INDEX(Parametros!$C$48:$C$67,MATCH(TRIM(INDEX(Datos_Origen!$F$2:$F$2459,$Z1246)),Parametros!$B$48:$B$67,0))</f>
        <v>Computacion</v>
      </c>
      <c r="L1246" s="61" t="str">
        <f aca="false">$K1246&amp;" "&amp;$C1246</f>
        <v>Computacion 2025</v>
      </c>
      <c r="M1246" s="61" t="str">
        <f aca="false">TRIM(INDEX(Datos_Origen!$G$2:$G$2459,$Z1246))</f>
        <v>PC Gamer Ryzen</v>
      </c>
      <c r="N1246" s="61" t="str">
        <f aca="false">$M1246&amp;" "&amp;$C1246</f>
        <v>PC Gamer Ryzen 2025</v>
      </c>
      <c r="O1246" s="63" t="n">
        <f aca="false">IF(ISTEXT($AC1246),VALUE($AC1246),$AC1246)</f>
        <v>8</v>
      </c>
      <c r="P1246" s="64" t="n">
        <f aca="false">INDEX(Datos_Origen!$I$2:$I$2459,$Z1246)</f>
        <v>1588.21</v>
      </c>
      <c r="Q1246" s="64" t="n">
        <f aca="false">INDEX(Datos_Origen!$J$2:$J$2459,$Z1246)</f>
        <v>1155.66</v>
      </c>
      <c r="R1246" s="65" t="n">
        <f aca="false">ROUND($O1246*$P1246,2)</f>
        <v>12705.68</v>
      </c>
      <c r="S1246" s="65" t="n">
        <f aca="false">ROUND($O1246*$Q1246,2)</f>
        <v>9245.28</v>
      </c>
      <c r="T1246" s="65" t="n">
        <f aca="false">ROUND($R1246*SUMIFS(Parametros!$E$28:$E$43,Parametros!$B$28:$B$43,$J1246,Parametros!$C$28:$C$43,$C1246,Parametros!$D$28:$D$43,$D1246),2)</f>
        <v>165.17</v>
      </c>
      <c r="U1246" s="65" t="n">
        <f aca="false">$R1246-$S1246-$T1246</f>
        <v>3295.23</v>
      </c>
      <c r="V1246" s="66" t="n">
        <f aca="false">IFERROR($U1246/$R1246,0)</f>
        <v>0.25935093595935</v>
      </c>
      <c r="W1246" s="67" t="str">
        <f aca="false">IF(AND($V1246&gt;=Parametros!$C$8,$R1246&gt;=Parametros!$C$12),"Alta rentabilidad",IF(OR($V1246&lt;Parametros!$C$11,$R1246&lt;Parametros!$C$13),"Revisar","Estandar"))</f>
        <v>Revisar</v>
      </c>
      <c r="X1246" s="67" t="str">
        <f aca="false">IF(AND($J1246="E-commerce",IFERROR($T1246/$R1246,0)&gt;Parametros!$C$14),"Alerta","OK")</f>
        <v>OK</v>
      </c>
      <c r="Y1246" s="61" t="str">
        <f aca="false">IF($R1246&gt;=Parametros!$C$12,"Alto",IF($R1246&lt;Parametros!$C$13,"Bajo","Medio"))</f>
        <v>Alto</v>
      </c>
      <c r="Z1246" s="61" t="n">
        <v>909</v>
      </c>
      <c r="AA1246" s="61" t="str">
        <f aca="false">IF(MATCH($A1246,Datos_Origen!$A$2:$A$2459,0)=$Z1246,"OK","REVISAR")</f>
        <v>OK</v>
      </c>
      <c r="AB1246" s="61" t="str">
        <f aca="false">INDEX(Datos_Origen!$B$2:$B$2459,$Z1246)</f>
        <v>2025-01-22</v>
      </c>
      <c r="AC1246" s="61" t="n">
        <f aca="false">INDEX(Datos_Origen!$H$2:$H$2459,$Z1246)</f>
        <v>8</v>
      </c>
      <c r="AD1246" s="61" t="str">
        <f aca="false">INDEX(Datos_Origen!$D$2:$D$2459,$Z1246)&amp;""</f>
        <v>Rosario</v>
      </c>
    </row>
    <row r="1247" customFormat="false" ht="15" hidden="false" customHeight="false" outlineLevel="0" collapsed="false">
      <c r="A1247" s="61" t="n">
        <f aca="false">INDEX(Datos_Origen!$A$2:$A$2459,$Z1247)</f>
        <v>1246</v>
      </c>
      <c r="B1247" s="62" t="n">
        <f aca="false">IF(ISNUMBER($AB1247),$AB1247,IF(MID($AB1247,5,1)="-",DATE(VALUE(LEFT($AB1247,4)),VALUE(MID($AB1247,6,2)),VALUE(RIGHT($AB1247,2))),DATE(VALUE(RIGHT($AB1247,4)),VALUE(MID($AB1247,4,2)),VALUE(LEFT($AB1247,2)))))</f>
        <v>45659</v>
      </c>
      <c r="C1247" s="61" t="n">
        <f aca="false">YEAR($B1247)</f>
        <v>2025</v>
      </c>
      <c r="D1247" s="61" t="str">
        <f aca="false">"Q"&amp;ROUNDUP(MONTH($B1247)/3,0)</f>
        <v>Q1</v>
      </c>
      <c r="E1247" s="61" t="n">
        <f aca="false">MONTH($B1247)</f>
        <v>1</v>
      </c>
      <c r="F1247" s="61" t="str">
        <f aca="false">INDEX(Parametros!$I$5:$I$16,$E1247)</f>
        <v>Ene</v>
      </c>
      <c r="G1247" s="61" t="str">
        <f aca="false">TEXT($C1247,"0000")&amp;"-"&amp;TEXT($E1247,"00")</f>
        <v>2025-01</v>
      </c>
      <c r="H1247" s="61" t="str">
        <f aca="false">INDEX(Parametros!$C$71:$C$91,MATCH(TRIM(INDEX(Datos_Origen!$C$2:$C$2459,$Z1247)),Parametros!$B$71:$B$91,0))</f>
        <v>Litoral</v>
      </c>
      <c r="I1247" s="61" t="str">
        <f aca="false">IF(TRIM($AD1247)="",INDEX(Parametros!$I$20:$I$24,MATCH($H1247,Parametros!$H$20:$H$24,0)),TRIM($AD1247))</f>
        <v>Rosario</v>
      </c>
      <c r="J1247" s="61" t="str">
        <f aca="false">INDEX(Parametros!$C$95:$C$106,MATCH(TRIM(INDEX(Datos_Origen!$E$2:$E$2459,$Z1247)),Parametros!$B$95:$B$106,0))</f>
        <v>E-commerce</v>
      </c>
      <c r="K1247" s="61" t="str">
        <f aca="false">INDEX(Parametros!$C$48:$C$67,MATCH(TRIM(INDEX(Datos_Origen!$F$2:$F$2459,$Z1247)),Parametros!$B$48:$B$67,0))</f>
        <v>Computacion</v>
      </c>
      <c r="L1247" s="61" t="str">
        <f aca="false">$K1247&amp;" "&amp;$C1247</f>
        <v>Computacion 2025</v>
      </c>
      <c r="M1247" s="61" t="str">
        <f aca="false">TRIM(INDEX(Datos_Origen!$G$2:$G$2459,$Z1247))</f>
        <v>PC Gamer Ryzen</v>
      </c>
      <c r="N1247" s="61" t="str">
        <f aca="false">$M1247&amp;" "&amp;$C1247</f>
        <v>PC Gamer Ryzen 2025</v>
      </c>
      <c r="O1247" s="63" t="n">
        <f aca="false">IF(ISTEXT($AC1247),VALUE($AC1247),$AC1247)</f>
        <v>6</v>
      </c>
      <c r="P1247" s="64" t="n">
        <f aca="false">INDEX(Datos_Origen!$I$2:$I$2459,$Z1247)</f>
        <v>1588.21</v>
      </c>
      <c r="Q1247" s="64" t="n">
        <f aca="false">INDEX(Datos_Origen!$J$2:$J$2459,$Z1247)</f>
        <v>1155.66</v>
      </c>
      <c r="R1247" s="65" t="n">
        <f aca="false">ROUND($O1247*$P1247,2)</f>
        <v>9529.26</v>
      </c>
      <c r="S1247" s="65" t="n">
        <f aca="false">ROUND($O1247*$Q1247,2)</f>
        <v>6933.96</v>
      </c>
      <c r="T1247" s="65" t="n">
        <f aca="false">ROUND($R1247*SUMIFS(Parametros!$E$28:$E$43,Parametros!$B$28:$B$43,$J1247,Parametros!$C$28:$C$43,$C1247,Parametros!$D$28:$D$43,$D1247),2)</f>
        <v>647.99</v>
      </c>
      <c r="U1247" s="65" t="n">
        <f aca="false">$R1247-$S1247-$T1247</f>
        <v>1947.31</v>
      </c>
      <c r="V1247" s="66" t="n">
        <f aca="false">IFERROR($U1247/$R1247,0)</f>
        <v>0.204350600151533</v>
      </c>
      <c r="W1247" s="67" t="str">
        <f aca="false">IF(AND($V1247&gt;=Parametros!$C$8,$R1247&gt;=Parametros!$C$12),"Alta rentabilidad",IF(OR($V1247&lt;Parametros!$C$11,$R1247&lt;Parametros!$C$13),"Revisar","Estandar"))</f>
        <v>Revisar</v>
      </c>
      <c r="X1247" s="67" t="str">
        <f aca="false">IF(AND($J1247="E-commerce",IFERROR($T1247/$R1247,0)&gt;Parametros!$C$14),"Alerta","OK")</f>
        <v>Alerta</v>
      </c>
      <c r="Y1247" s="61" t="str">
        <f aca="false">IF($R1247&gt;=Parametros!$C$12,"Alto",IF($R1247&lt;Parametros!$C$13,"Bajo","Medio"))</f>
        <v>Alto</v>
      </c>
      <c r="Z1247" s="61" t="n">
        <v>1014</v>
      </c>
      <c r="AA1247" s="61" t="str">
        <f aca="false">IF(MATCH($A1247,Datos_Origen!$A$2:$A$2459,0)=$Z1247,"OK","REVISAR")</f>
        <v>OK</v>
      </c>
      <c r="AB1247" s="62" t="n">
        <f aca="false">INDEX(Datos_Origen!$B$2:$B$2459,$Z1247)</f>
        <v>45659</v>
      </c>
      <c r="AC1247" s="61" t="n">
        <f aca="false">INDEX(Datos_Origen!$H$2:$H$2459,$Z1247)</f>
        <v>6</v>
      </c>
      <c r="AD1247" s="61" t="str">
        <f aca="false">INDEX(Datos_Origen!$D$2:$D$2459,$Z1247)&amp;""</f>
        <v>Rosario</v>
      </c>
    </row>
    <row r="1248" customFormat="false" ht="15" hidden="false" customHeight="false" outlineLevel="0" collapsed="false">
      <c r="A1248" s="61" t="n">
        <f aca="false">INDEX(Datos_Origen!$A$2:$A$2459,$Z1248)</f>
        <v>1247</v>
      </c>
      <c r="B1248" s="62" t="n">
        <f aca="false">IF(ISNUMBER($AB1248),$AB1248,IF(MID($AB1248,5,1)="-",DATE(VALUE(LEFT($AB1248,4)),VALUE(MID($AB1248,6,2)),VALUE(RIGHT($AB1248,2))),DATE(VALUE(RIGHT($AB1248,4)),VALUE(MID($AB1248,4,2)),VALUE(LEFT($AB1248,2)))))</f>
        <v>45666</v>
      </c>
      <c r="C1248" s="61" t="n">
        <f aca="false">YEAR($B1248)</f>
        <v>2025</v>
      </c>
      <c r="D1248" s="61" t="str">
        <f aca="false">"Q"&amp;ROUNDUP(MONTH($B1248)/3,0)</f>
        <v>Q1</v>
      </c>
      <c r="E1248" s="61" t="n">
        <f aca="false">MONTH($B1248)</f>
        <v>1</v>
      </c>
      <c r="F1248" s="61" t="str">
        <f aca="false">INDEX(Parametros!$I$5:$I$16,$E1248)</f>
        <v>Ene</v>
      </c>
      <c r="G1248" s="61" t="str">
        <f aca="false">TEXT($C1248,"0000")&amp;"-"&amp;TEXT($E1248,"00")</f>
        <v>2025-01</v>
      </c>
      <c r="H1248" s="61" t="str">
        <f aca="false">INDEX(Parametros!$C$71:$C$91,MATCH(TRIM(INDEX(Datos_Origen!$C$2:$C$2459,$Z1248)),Parametros!$B$71:$B$91,0))</f>
        <v>Litoral</v>
      </c>
      <c r="I1248" s="61" t="str">
        <f aca="false">IF(TRIM($AD1248)="",INDEX(Parametros!$I$20:$I$24,MATCH($H1248,Parametros!$H$20:$H$24,0)),TRIM($AD1248))</f>
        <v>Rosario</v>
      </c>
      <c r="J1248" s="61" t="str">
        <f aca="false">INDEX(Parametros!$C$95:$C$106,MATCH(TRIM(INDEX(Datos_Origen!$E$2:$E$2459,$Z1248)),Parametros!$B$95:$B$106,0))</f>
        <v>Tienda fisica</v>
      </c>
      <c r="K1248" s="61" t="str">
        <f aca="false">INDEX(Parametros!$C$48:$C$67,MATCH(TRIM(INDEX(Datos_Origen!$F$2:$F$2459,$Z1248)),Parametros!$B$48:$B$67,0))</f>
        <v>Accesorios</v>
      </c>
      <c r="L1248" s="61" t="str">
        <f aca="false">$K1248&amp;" "&amp;$C1248</f>
        <v>Accesorios 2025</v>
      </c>
      <c r="M1248" s="61" t="str">
        <f aca="false">TRIM(INDEX(Datos_Origen!$G$2:$G$2459,$Z1248))</f>
        <v>Mouse Inalambrico</v>
      </c>
      <c r="N1248" s="61" t="str">
        <f aca="false">$M1248&amp;" "&amp;$C1248</f>
        <v>Mouse Inalambrico 2025</v>
      </c>
      <c r="O1248" s="63" t="n">
        <f aca="false">IF(ISTEXT($AC1248),VALUE($AC1248),$AC1248)</f>
        <v>30</v>
      </c>
      <c r="P1248" s="64" t="n">
        <f aca="false">INDEX(Datos_Origen!$I$2:$I$2459,$Z1248)</f>
        <v>27.82</v>
      </c>
      <c r="Q1248" s="64" t="n">
        <f aca="false">INDEX(Datos_Origen!$J$2:$J$2459,$Z1248)</f>
        <v>13.84</v>
      </c>
      <c r="R1248" s="65" t="n">
        <f aca="false">ROUND($O1248*$P1248,2)</f>
        <v>834.6</v>
      </c>
      <c r="S1248" s="65" t="n">
        <f aca="false">ROUND($O1248*$Q1248,2)</f>
        <v>415.2</v>
      </c>
      <c r="T1248" s="65" t="n">
        <f aca="false">ROUND($R1248*SUMIFS(Parametros!$E$28:$E$43,Parametros!$B$28:$B$43,$J1248,Parametros!$C$28:$C$43,$C1248,Parametros!$D$28:$D$43,$D1248),2)</f>
        <v>10.85</v>
      </c>
      <c r="U1248" s="65" t="n">
        <f aca="false">$R1248-$S1248-$T1248</f>
        <v>408.55</v>
      </c>
      <c r="V1248" s="66" t="n">
        <f aca="false">IFERROR($U1248/$R1248,0)</f>
        <v>0.489515935777618</v>
      </c>
      <c r="W1248" s="67" t="str">
        <f aca="false">IF(AND($V1248&gt;=Parametros!$C$8,$R1248&gt;=Parametros!$C$12),"Alta rentabilidad",IF(OR($V1248&lt;Parametros!$C$11,$R1248&lt;Parametros!$C$13),"Revisar","Estandar"))</f>
        <v>Estandar</v>
      </c>
      <c r="X1248" s="67" t="str">
        <f aca="false">IF(AND($J1248="E-commerce",IFERROR($T1248/$R1248,0)&gt;Parametros!$C$14),"Alerta","OK")</f>
        <v>OK</v>
      </c>
      <c r="Y1248" s="61" t="str">
        <f aca="false">IF($R1248&gt;=Parametros!$C$12,"Alto",IF($R1248&lt;Parametros!$C$13,"Bajo","Medio"))</f>
        <v>Medio</v>
      </c>
      <c r="Z1248" s="61" t="n">
        <v>1111</v>
      </c>
      <c r="AA1248" s="61" t="str">
        <f aca="false">IF(MATCH($A1248,Datos_Origen!$A$2:$A$2459,0)=$Z1248,"OK","REVISAR")</f>
        <v>OK</v>
      </c>
      <c r="AB1248" s="62" t="n">
        <f aca="false">INDEX(Datos_Origen!$B$2:$B$2459,$Z1248)</f>
        <v>45666</v>
      </c>
      <c r="AC1248" s="61" t="n">
        <f aca="false">INDEX(Datos_Origen!$H$2:$H$2459,$Z1248)</f>
        <v>30</v>
      </c>
      <c r="AD1248" s="61" t="str">
        <f aca="false">INDEX(Datos_Origen!$D$2:$D$2459,$Z1248)&amp;""</f>
        <v>Rosario</v>
      </c>
    </row>
    <row r="1249" customFormat="false" ht="15" hidden="false" customHeight="false" outlineLevel="0" collapsed="false">
      <c r="A1249" s="61" t="n">
        <f aca="false">INDEX(Datos_Origen!$A$2:$A$2459,$Z1249)</f>
        <v>1248</v>
      </c>
      <c r="B1249" s="62" t="n">
        <f aca="false">IF(ISNUMBER($AB1249),$AB1249,IF(MID($AB1249,5,1)="-",DATE(VALUE(LEFT($AB1249,4)),VALUE(MID($AB1249,6,2)),VALUE(RIGHT($AB1249,2))),DATE(VALUE(RIGHT($AB1249,4)),VALUE(MID($AB1249,4,2)),VALUE(LEFT($AB1249,2)))))</f>
        <v>45673</v>
      </c>
      <c r="C1249" s="61" t="n">
        <f aca="false">YEAR($B1249)</f>
        <v>2025</v>
      </c>
      <c r="D1249" s="61" t="str">
        <f aca="false">"Q"&amp;ROUNDUP(MONTH($B1249)/3,0)</f>
        <v>Q1</v>
      </c>
      <c r="E1249" s="61" t="n">
        <f aca="false">MONTH($B1249)</f>
        <v>1</v>
      </c>
      <c r="F1249" s="61" t="str">
        <f aca="false">INDEX(Parametros!$I$5:$I$16,$E1249)</f>
        <v>Ene</v>
      </c>
      <c r="G1249" s="61" t="str">
        <f aca="false">TEXT($C1249,"0000")&amp;"-"&amp;TEXT($E1249,"00")</f>
        <v>2025-01</v>
      </c>
      <c r="H1249" s="61" t="str">
        <f aca="false">INDEX(Parametros!$C$71:$C$91,MATCH(TRIM(INDEX(Datos_Origen!$C$2:$C$2459,$Z1249)),Parametros!$B$71:$B$91,0))</f>
        <v>Litoral</v>
      </c>
      <c r="I1249" s="61" t="str">
        <f aca="false">IF(TRIM($AD1249)="",INDEX(Parametros!$I$20:$I$24,MATCH($H1249,Parametros!$H$20:$H$24,0)),TRIM($AD1249))</f>
        <v>Rosario</v>
      </c>
      <c r="J1249" s="61" t="str">
        <f aca="false">INDEX(Parametros!$C$95:$C$106,MATCH(TRIM(INDEX(Datos_Origen!$E$2:$E$2459,$Z1249)),Parametros!$B$95:$B$106,0))</f>
        <v>E-commerce</v>
      </c>
      <c r="K1249" s="61" t="str">
        <f aca="false">INDEX(Parametros!$C$48:$C$67,MATCH(TRIM(INDEX(Datos_Origen!$F$2:$F$2459,$Z1249)),Parametros!$B$48:$B$67,0))</f>
        <v>Accesorios</v>
      </c>
      <c r="L1249" s="61" t="str">
        <f aca="false">$K1249&amp;" "&amp;$C1249</f>
        <v>Accesorios 2025</v>
      </c>
      <c r="M1249" s="61" t="str">
        <f aca="false">TRIM(INDEX(Datos_Origen!$G$2:$G$2459,$Z1249))</f>
        <v>Mouse Inalambrico</v>
      </c>
      <c r="N1249" s="61" t="str">
        <f aca="false">$M1249&amp;" "&amp;$C1249</f>
        <v>Mouse Inalambrico 2025</v>
      </c>
      <c r="O1249" s="63" t="n">
        <f aca="false">IF(ISTEXT($AC1249),VALUE($AC1249),$AC1249)</f>
        <v>27</v>
      </c>
      <c r="P1249" s="64" t="n">
        <f aca="false">INDEX(Datos_Origen!$I$2:$I$2459,$Z1249)</f>
        <v>27.82</v>
      </c>
      <c r="Q1249" s="64" t="n">
        <f aca="false">INDEX(Datos_Origen!$J$2:$J$2459,$Z1249)</f>
        <v>13.84</v>
      </c>
      <c r="R1249" s="65" t="n">
        <f aca="false">ROUND($O1249*$P1249,2)</f>
        <v>751.14</v>
      </c>
      <c r="S1249" s="65" t="n">
        <f aca="false">ROUND($O1249*$Q1249,2)</f>
        <v>373.68</v>
      </c>
      <c r="T1249" s="65" t="n">
        <f aca="false">ROUND($R1249*SUMIFS(Parametros!$E$28:$E$43,Parametros!$B$28:$B$43,$J1249,Parametros!$C$28:$C$43,$C1249,Parametros!$D$28:$D$43,$D1249),2)</f>
        <v>51.08</v>
      </c>
      <c r="U1249" s="65" t="n">
        <f aca="false">$R1249-$S1249-$T1249</f>
        <v>326.38</v>
      </c>
      <c r="V1249" s="66" t="n">
        <f aca="false">IFERROR($U1249/$R1249,0)</f>
        <v>0.43451287376521</v>
      </c>
      <c r="W1249" s="67" t="str">
        <f aca="false">IF(AND($V1249&gt;=Parametros!$C$8,$R1249&gt;=Parametros!$C$12),"Alta rentabilidad",IF(OR($V1249&lt;Parametros!$C$11,$R1249&lt;Parametros!$C$13),"Revisar","Estandar"))</f>
        <v>Estandar</v>
      </c>
      <c r="X1249" s="67" t="str">
        <f aca="false">IF(AND($J1249="E-commerce",IFERROR($T1249/$R1249,0)&gt;Parametros!$C$14),"Alerta","OK")</f>
        <v>Alerta</v>
      </c>
      <c r="Y1249" s="61" t="str">
        <f aca="false">IF($R1249&gt;=Parametros!$C$12,"Alto",IF($R1249&lt;Parametros!$C$13,"Bajo","Medio"))</f>
        <v>Medio</v>
      </c>
      <c r="Z1249" s="61" t="n">
        <v>985</v>
      </c>
      <c r="AA1249" s="61" t="str">
        <f aca="false">IF(MATCH($A1249,Datos_Origen!$A$2:$A$2459,0)=$Z1249,"OK","REVISAR")</f>
        <v>OK</v>
      </c>
      <c r="AB1249" s="61" t="str">
        <f aca="false">INDEX(Datos_Origen!$B$2:$B$2459,$Z1249)</f>
        <v>16/01/2025</v>
      </c>
      <c r="AC1249" s="61" t="n">
        <f aca="false">INDEX(Datos_Origen!$H$2:$H$2459,$Z1249)</f>
        <v>27</v>
      </c>
      <c r="AD1249" s="61" t="str">
        <f aca="false">INDEX(Datos_Origen!$D$2:$D$2459,$Z1249)&amp;""</f>
        <v>Rosario</v>
      </c>
    </row>
    <row r="1250" customFormat="false" ht="15" hidden="false" customHeight="false" outlineLevel="0" collapsed="false">
      <c r="A1250" s="61" t="n">
        <f aca="false">INDEX(Datos_Origen!$A$2:$A$2459,$Z1250)</f>
        <v>1249</v>
      </c>
      <c r="B1250" s="62" t="n">
        <f aca="false">IF(ISNUMBER($AB1250),$AB1250,IF(MID($AB1250,5,1)="-",DATE(VALUE(LEFT($AB1250,4)),VALUE(MID($AB1250,6,2)),VALUE(RIGHT($AB1250,2))),DATE(VALUE(RIGHT($AB1250,4)),VALUE(MID($AB1250,4,2)),VALUE(LEFT($AB1250,2)))))</f>
        <v>45680</v>
      </c>
      <c r="C1250" s="61" t="n">
        <f aca="false">YEAR($B1250)</f>
        <v>2025</v>
      </c>
      <c r="D1250" s="61" t="str">
        <f aca="false">"Q"&amp;ROUNDUP(MONTH($B1250)/3,0)</f>
        <v>Q1</v>
      </c>
      <c r="E1250" s="61" t="n">
        <f aca="false">MONTH($B1250)</f>
        <v>1</v>
      </c>
      <c r="F1250" s="61" t="str">
        <f aca="false">INDEX(Parametros!$I$5:$I$16,$E1250)</f>
        <v>Ene</v>
      </c>
      <c r="G1250" s="61" t="str">
        <f aca="false">TEXT($C1250,"0000")&amp;"-"&amp;TEXT($E1250,"00")</f>
        <v>2025-01</v>
      </c>
      <c r="H1250" s="61" t="str">
        <f aca="false">INDEX(Parametros!$C$71:$C$91,MATCH(TRIM(INDEX(Datos_Origen!$C$2:$C$2459,$Z1250)),Parametros!$B$71:$B$91,0))</f>
        <v>Litoral</v>
      </c>
      <c r="I1250" s="61" t="str">
        <f aca="false">IF(TRIM($AD1250)="",INDEX(Parametros!$I$20:$I$24,MATCH($H1250,Parametros!$H$20:$H$24,0)),TRIM($AD1250))</f>
        <v>Rosario</v>
      </c>
      <c r="J1250" s="61" t="str">
        <f aca="false">INDEX(Parametros!$C$95:$C$106,MATCH(TRIM(INDEX(Datos_Origen!$E$2:$E$2459,$Z1250)),Parametros!$B$95:$B$106,0))</f>
        <v>Tienda fisica</v>
      </c>
      <c r="K1250" s="61" t="str">
        <f aca="false">INDEX(Parametros!$C$48:$C$67,MATCH(TRIM(INDEX(Datos_Origen!$F$2:$F$2459,$Z1250)),Parametros!$B$48:$B$67,0))</f>
        <v>Accesorios</v>
      </c>
      <c r="L1250" s="61" t="str">
        <f aca="false">$K1250&amp;" "&amp;$C1250</f>
        <v>Accesorios 2025</v>
      </c>
      <c r="M1250" s="61" t="str">
        <f aca="false">TRIM(INDEX(Datos_Origen!$G$2:$G$2459,$Z1250))</f>
        <v>Teclado Mecanico</v>
      </c>
      <c r="N1250" s="61" t="str">
        <f aca="false">$M1250&amp;" "&amp;$C1250</f>
        <v>Teclado Mecanico 2025</v>
      </c>
      <c r="O1250" s="63" t="n">
        <f aca="false">IF(ISTEXT($AC1250),VALUE($AC1250),$AC1250)</f>
        <v>39</v>
      </c>
      <c r="P1250" s="64" t="n">
        <f aca="false">INDEX(Datos_Origen!$I$2:$I$2459,$Z1250)</f>
        <v>94.39</v>
      </c>
      <c r="Q1250" s="64" t="n">
        <f aca="false">INDEX(Datos_Origen!$J$2:$J$2459,$Z1250)</f>
        <v>49.41</v>
      </c>
      <c r="R1250" s="65" t="n">
        <f aca="false">ROUND($O1250*$P1250,2)</f>
        <v>3681.21</v>
      </c>
      <c r="S1250" s="65" t="n">
        <f aca="false">ROUND($O1250*$Q1250,2)</f>
        <v>1926.99</v>
      </c>
      <c r="T1250" s="65" t="n">
        <f aca="false">ROUND($R1250*SUMIFS(Parametros!$E$28:$E$43,Parametros!$B$28:$B$43,$J1250,Parametros!$C$28:$C$43,$C1250,Parametros!$D$28:$D$43,$D1250),2)</f>
        <v>47.86</v>
      </c>
      <c r="U1250" s="65" t="n">
        <f aca="false">$R1250-$S1250-$T1250</f>
        <v>1706.36</v>
      </c>
      <c r="V1250" s="66" t="n">
        <f aca="false">IFERROR($U1250/$R1250,0)</f>
        <v>0.463532371149704</v>
      </c>
      <c r="W1250" s="67" t="str">
        <f aca="false">IF(AND($V1250&gt;=Parametros!$C$8,$R1250&gt;=Parametros!$C$12),"Alta rentabilidad",IF(OR($V1250&lt;Parametros!$C$11,$R1250&lt;Parametros!$C$13),"Revisar","Estandar"))</f>
        <v>Alta rentabilidad</v>
      </c>
      <c r="X1250" s="67" t="str">
        <f aca="false">IF(AND($J1250="E-commerce",IFERROR($T1250/$R1250,0)&gt;Parametros!$C$14),"Alerta","OK")</f>
        <v>OK</v>
      </c>
      <c r="Y1250" s="61" t="str">
        <f aca="false">IF($R1250&gt;=Parametros!$C$12,"Alto",IF($R1250&lt;Parametros!$C$13,"Bajo","Medio"))</f>
        <v>Alto</v>
      </c>
      <c r="Z1250" s="61" t="n">
        <v>2458</v>
      </c>
      <c r="AA1250" s="61" t="str">
        <f aca="false">IF(MATCH($A1250,Datos_Origen!$A$2:$A$2459,0)=$Z1250,"OK","REVISAR")</f>
        <v>OK</v>
      </c>
      <c r="AB1250" s="62" t="n">
        <f aca="false">INDEX(Datos_Origen!$B$2:$B$2459,$Z1250)</f>
        <v>45680</v>
      </c>
      <c r="AC1250" s="61" t="n">
        <f aca="false">INDEX(Datos_Origen!$H$2:$H$2459,$Z1250)</f>
        <v>39</v>
      </c>
      <c r="AD1250" s="61" t="str">
        <f aca="false">INDEX(Datos_Origen!$D$2:$D$2459,$Z1250)&amp;""</f>
        <v>Rosario</v>
      </c>
    </row>
    <row r="1251" customFormat="false" ht="15" hidden="false" customHeight="false" outlineLevel="0" collapsed="false">
      <c r="A1251" s="61" t="n">
        <f aca="false">INDEX(Datos_Origen!$A$2:$A$2459,$Z1251)</f>
        <v>1250</v>
      </c>
      <c r="B1251" s="62" t="n">
        <f aca="false">IF(ISNUMBER($AB1251),$AB1251,IF(MID($AB1251,5,1)="-",DATE(VALUE(LEFT($AB1251,4)),VALUE(MID($AB1251,6,2)),VALUE(RIGHT($AB1251,2))),DATE(VALUE(RIGHT($AB1251,4)),VALUE(MID($AB1251,4,2)),VALUE(LEFT($AB1251,2)))))</f>
        <v>45660</v>
      </c>
      <c r="C1251" s="61" t="n">
        <f aca="false">YEAR($B1251)</f>
        <v>2025</v>
      </c>
      <c r="D1251" s="61" t="str">
        <f aca="false">"Q"&amp;ROUNDUP(MONTH($B1251)/3,0)</f>
        <v>Q1</v>
      </c>
      <c r="E1251" s="61" t="n">
        <f aca="false">MONTH($B1251)</f>
        <v>1</v>
      </c>
      <c r="F1251" s="61" t="str">
        <f aca="false">INDEX(Parametros!$I$5:$I$16,$E1251)</f>
        <v>Ene</v>
      </c>
      <c r="G1251" s="61" t="str">
        <f aca="false">TEXT($C1251,"0000")&amp;"-"&amp;TEXT($E1251,"00")</f>
        <v>2025-01</v>
      </c>
      <c r="H1251" s="61" t="str">
        <f aca="false">INDEX(Parametros!$C$71:$C$91,MATCH(TRIM(INDEX(Datos_Origen!$C$2:$C$2459,$Z1251)),Parametros!$B$71:$B$91,0))</f>
        <v>Litoral</v>
      </c>
      <c r="I1251" s="61" t="str">
        <f aca="false">IF(TRIM($AD1251)="",INDEX(Parametros!$I$20:$I$24,MATCH($H1251,Parametros!$H$20:$H$24,0)),TRIM($AD1251))</f>
        <v>Rosario</v>
      </c>
      <c r="J1251" s="61" t="str">
        <f aca="false">INDEX(Parametros!$C$95:$C$106,MATCH(TRIM(INDEX(Datos_Origen!$E$2:$E$2459,$Z1251)),Parametros!$B$95:$B$106,0))</f>
        <v>E-commerce</v>
      </c>
      <c r="K1251" s="61" t="str">
        <f aca="false">INDEX(Parametros!$C$48:$C$67,MATCH(TRIM(INDEX(Datos_Origen!$F$2:$F$2459,$Z1251)),Parametros!$B$48:$B$67,0))</f>
        <v>Accesorios</v>
      </c>
      <c r="L1251" s="61" t="str">
        <f aca="false">$K1251&amp;" "&amp;$C1251</f>
        <v>Accesorios 2025</v>
      </c>
      <c r="M1251" s="61" t="str">
        <f aca="false">TRIM(INDEX(Datos_Origen!$G$2:$G$2459,$Z1251))</f>
        <v>Teclado Mecanico</v>
      </c>
      <c r="N1251" s="61" t="str">
        <f aca="false">$M1251&amp;" "&amp;$C1251</f>
        <v>Teclado Mecanico 2025</v>
      </c>
      <c r="O1251" s="63" t="n">
        <f aca="false">IF(ISTEXT($AC1251),VALUE($AC1251),$AC1251)</f>
        <v>22</v>
      </c>
      <c r="P1251" s="64" t="n">
        <f aca="false">INDEX(Datos_Origen!$I$2:$I$2459,$Z1251)</f>
        <v>94.39</v>
      </c>
      <c r="Q1251" s="64" t="n">
        <f aca="false">INDEX(Datos_Origen!$J$2:$J$2459,$Z1251)</f>
        <v>49.41</v>
      </c>
      <c r="R1251" s="65" t="n">
        <f aca="false">ROUND($O1251*$P1251,2)</f>
        <v>2076.58</v>
      </c>
      <c r="S1251" s="65" t="n">
        <f aca="false">ROUND($O1251*$Q1251,2)</f>
        <v>1087.02</v>
      </c>
      <c r="T1251" s="65" t="n">
        <f aca="false">ROUND($R1251*SUMIFS(Parametros!$E$28:$E$43,Parametros!$B$28:$B$43,$J1251,Parametros!$C$28:$C$43,$C1251,Parametros!$D$28:$D$43,$D1251),2)</f>
        <v>141.21</v>
      </c>
      <c r="U1251" s="65" t="n">
        <f aca="false">$R1251-$S1251-$T1251</f>
        <v>848.35</v>
      </c>
      <c r="V1251" s="66" t="n">
        <f aca="false">IFERROR($U1251/$R1251,0)</f>
        <v>0.408532298298163</v>
      </c>
      <c r="W1251" s="67" t="str">
        <f aca="false">IF(AND($V1251&gt;=Parametros!$C$8,$R1251&gt;=Parametros!$C$12),"Alta rentabilidad",IF(OR($V1251&lt;Parametros!$C$11,$R1251&lt;Parametros!$C$13),"Revisar","Estandar"))</f>
        <v>Estandar</v>
      </c>
      <c r="X1251" s="67" t="str">
        <f aca="false">IF(AND($J1251="E-commerce",IFERROR($T1251/$R1251,0)&gt;Parametros!$C$14),"Alerta","OK")</f>
        <v>Alerta</v>
      </c>
      <c r="Y1251" s="61" t="str">
        <f aca="false">IF($R1251&gt;=Parametros!$C$12,"Alto",IF($R1251&lt;Parametros!$C$13,"Bajo","Medio"))</f>
        <v>Medio</v>
      </c>
      <c r="Z1251" s="61" t="n">
        <v>1643</v>
      </c>
      <c r="AA1251" s="61" t="str">
        <f aca="false">IF(MATCH($A1251,Datos_Origen!$A$2:$A$2459,0)=$Z1251,"OK","REVISAR")</f>
        <v>OK</v>
      </c>
      <c r="AB1251" s="62" t="n">
        <f aca="false">INDEX(Datos_Origen!$B$2:$B$2459,$Z1251)</f>
        <v>45660</v>
      </c>
      <c r="AC1251" s="61" t="n">
        <f aca="false">INDEX(Datos_Origen!$H$2:$H$2459,$Z1251)</f>
        <v>22</v>
      </c>
      <c r="AD1251" s="61" t="str">
        <f aca="false">INDEX(Datos_Origen!$D$2:$D$2459,$Z1251)&amp;""</f>
        <v>Rosario</v>
      </c>
    </row>
    <row r="1252" customFormat="false" ht="15" hidden="false" customHeight="false" outlineLevel="0" collapsed="false">
      <c r="A1252" s="61" t="n">
        <f aca="false">INDEX(Datos_Origen!$A$2:$A$2459,$Z1252)</f>
        <v>1251</v>
      </c>
      <c r="B1252" s="62" t="n">
        <f aca="false">IF(ISNUMBER($AB1252),$AB1252,IF(MID($AB1252,5,1)="-",DATE(VALUE(LEFT($AB1252,4)),VALUE(MID($AB1252,6,2)),VALUE(RIGHT($AB1252,2))),DATE(VALUE(RIGHT($AB1252,4)),VALUE(MID($AB1252,4,2)),VALUE(LEFT($AB1252,2)))))</f>
        <v>45667</v>
      </c>
      <c r="C1252" s="61" t="n">
        <f aca="false">YEAR($B1252)</f>
        <v>2025</v>
      </c>
      <c r="D1252" s="61" t="str">
        <f aca="false">"Q"&amp;ROUNDUP(MONTH($B1252)/3,0)</f>
        <v>Q1</v>
      </c>
      <c r="E1252" s="61" t="n">
        <f aca="false">MONTH($B1252)</f>
        <v>1</v>
      </c>
      <c r="F1252" s="61" t="str">
        <f aca="false">INDEX(Parametros!$I$5:$I$16,$E1252)</f>
        <v>Ene</v>
      </c>
      <c r="G1252" s="61" t="str">
        <f aca="false">TEXT($C1252,"0000")&amp;"-"&amp;TEXT($E1252,"00")</f>
        <v>2025-01</v>
      </c>
      <c r="H1252" s="61" t="str">
        <f aca="false">INDEX(Parametros!$C$71:$C$91,MATCH(TRIM(INDEX(Datos_Origen!$C$2:$C$2459,$Z1252)),Parametros!$B$71:$B$91,0))</f>
        <v>Litoral</v>
      </c>
      <c r="I1252" s="61" t="str">
        <f aca="false">IF(TRIM($AD1252)="",INDEX(Parametros!$I$20:$I$24,MATCH($H1252,Parametros!$H$20:$H$24,0)),TRIM($AD1252))</f>
        <v>Rosario</v>
      </c>
      <c r="J1252" s="61" t="str">
        <f aca="false">INDEX(Parametros!$C$95:$C$106,MATCH(TRIM(INDEX(Datos_Origen!$E$2:$E$2459,$Z1252)),Parametros!$B$95:$B$106,0))</f>
        <v>Tienda fisica</v>
      </c>
      <c r="K1252" s="61" t="str">
        <f aca="false">INDEX(Parametros!$C$48:$C$67,MATCH(TRIM(INDEX(Datos_Origen!$F$2:$F$2459,$Z1252)),Parametros!$B$48:$B$67,0))</f>
        <v>Accesorios</v>
      </c>
      <c r="L1252" s="61" t="str">
        <f aca="false">$K1252&amp;" "&amp;$C1252</f>
        <v>Accesorios 2025</v>
      </c>
      <c r="M1252" s="61" t="str">
        <f aca="false">TRIM(INDEX(Datos_Origen!$G$2:$G$2459,$Z1252))</f>
        <v>Webcam Full HD</v>
      </c>
      <c r="N1252" s="61" t="str">
        <f aca="false">$M1252&amp;" "&amp;$C1252</f>
        <v>Webcam Full HD 2025</v>
      </c>
      <c r="O1252" s="63" t="n">
        <f aca="false">IF(ISTEXT($AC1252),VALUE($AC1252),$AC1252)</f>
        <v>31</v>
      </c>
      <c r="P1252" s="64" t="n">
        <f aca="false">INDEX(Datos_Origen!$I$2:$I$2459,$Z1252)</f>
        <v>64.58</v>
      </c>
      <c r="Q1252" s="64" t="n">
        <f aca="false">INDEX(Datos_Origen!$J$2:$J$2459,$Z1252)</f>
        <v>36.49</v>
      </c>
      <c r="R1252" s="65" t="n">
        <f aca="false">ROUND($O1252*$P1252,2)</f>
        <v>2001.98</v>
      </c>
      <c r="S1252" s="65" t="n">
        <f aca="false">ROUND($O1252*$Q1252,2)</f>
        <v>1131.19</v>
      </c>
      <c r="T1252" s="65" t="n">
        <f aca="false">ROUND($R1252*SUMIFS(Parametros!$E$28:$E$43,Parametros!$B$28:$B$43,$J1252,Parametros!$C$28:$C$43,$C1252,Parametros!$D$28:$D$43,$D1252),2)</f>
        <v>26.03</v>
      </c>
      <c r="U1252" s="65" t="n">
        <f aca="false">$R1252-$S1252-$T1252</f>
        <v>844.76</v>
      </c>
      <c r="V1252" s="66" t="n">
        <f aca="false">IFERROR($U1252/$R1252,0)</f>
        <v>0.421962257365208</v>
      </c>
      <c r="W1252" s="67" t="str">
        <f aca="false">IF(AND($V1252&gt;=Parametros!$C$8,$R1252&gt;=Parametros!$C$12),"Alta rentabilidad",IF(OR($V1252&lt;Parametros!$C$11,$R1252&lt;Parametros!$C$13),"Revisar","Estandar"))</f>
        <v>Estandar</v>
      </c>
      <c r="X1252" s="67" t="str">
        <f aca="false">IF(AND($J1252="E-commerce",IFERROR($T1252/$R1252,0)&gt;Parametros!$C$14),"Alerta","OK")</f>
        <v>OK</v>
      </c>
      <c r="Y1252" s="61" t="str">
        <f aca="false">IF($R1252&gt;=Parametros!$C$12,"Alto",IF($R1252&lt;Parametros!$C$13,"Bajo","Medio"))</f>
        <v>Medio</v>
      </c>
      <c r="Z1252" s="61" t="n">
        <v>1916</v>
      </c>
      <c r="AA1252" s="61" t="str">
        <f aca="false">IF(MATCH($A1252,Datos_Origen!$A$2:$A$2459,0)=$Z1252,"OK","REVISAR")</f>
        <v>OK</v>
      </c>
      <c r="AB1252" s="62" t="n">
        <f aca="false">INDEX(Datos_Origen!$B$2:$B$2459,$Z1252)</f>
        <v>45667</v>
      </c>
      <c r="AC1252" s="61" t="n">
        <f aca="false">INDEX(Datos_Origen!$H$2:$H$2459,$Z1252)</f>
        <v>31</v>
      </c>
      <c r="AD1252" s="61" t="str">
        <f aca="false">INDEX(Datos_Origen!$D$2:$D$2459,$Z1252)&amp;""</f>
        <v>Rosario</v>
      </c>
    </row>
    <row r="1253" customFormat="false" ht="15" hidden="false" customHeight="false" outlineLevel="0" collapsed="false">
      <c r="A1253" s="61" t="n">
        <f aca="false">INDEX(Datos_Origen!$A$2:$A$2459,$Z1253)</f>
        <v>1252</v>
      </c>
      <c r="B1253" s="62" t="n">
        <f aca="false">IF(ISNUMBER($AB1253),$AB1253,IF(MID($AB1253,5,1)="-",DATE(VALUE(LEFT($AB1253,4)),VALUE(MID($AB1253,6,2)),VALUE(RIGHT($AB1253,2))),DATE(VALUE(RIGHT($AB1253,4)),VALUE(MID($AB1253,4,2)),VALUE(LEFT($AB1253,2)))))</f>
        <v>45674</v>
      </c>
      <c r="C1253" s="61" t="n">
        <f aca="false">YEAR($B1253)</f>
        <v>2025</v>
      </c>
      <c r="D1253" s="61" t="str">
        <f aca="false">"Q"&amp;ROUNDUP(MONTH($B1253)/3,0)</f>
        <v>Q1</v>
      </c>
      <c r="E1253" s="61" t="n">
        <f aca="false">MONTH($B1253)</f>
        <v>1</v>
      </c>
      <c r="F1253" s="61" t="str">
        <f aca="false">INDEX(Parametros!$I$5:$I$16,$E1253)</f>
        <v>Ene</v>
      </c>
      <c r="G1253" s="61" t="str">
        <f aca="false">TEXT($C1253,"0000")&amp;"-"&amp;TEXT($E1253,"00")</f>
        <v>2025-01</v>
      </c>
      <c r="H1253" s="61" t="str">
        <f aca="false">INDEX(Parametros!$C$71:$C$91,MATCH(TRIM(INDEX(Datos_Origen!$C$2:$C$2459,$Z1253)),Parametros!$B$71:$B$91,0))</f>
        <v>Litoral</v>
      </c>
      <c r="I1253" s="61" t="str">
        <f aca="false">IF(TRIM($AD1253)="",INDEX(Parametros!$I$20:$I$24,MATCH($H1253,Parametros!$H$20:$H$24,0)),TRIM($AD1253))</f>
        <v>Rosario</v>
      </c>
      <c r="J1253" s="61" t="str">
        <f aca="false">INDEX(Parametros!$C$95:$C$106,MATCH(TRIM(INDEX(Datos_Origen!$E$2:$E$2459,$Z1253)),Parametros!$B$95:$B$106,0))</f>
        <v>E-commerce</v>
      </c>
      <c r="K1253" s="61" t="str">
        <f aca="false">INDEX(Parametros!$C$48:$C$67,MATCH(TRIM(INDEX(Datos_Origen!$F$2:$F$2459,$Z1253)),Parametros!$B$48:$B$67,0))</f>
        <v>Accesorios</v>
      </c>
      <c r="L1253" s="61" t="str">
        <f aca="false">$K1253&amp;" "&amp;$C1253</f>
        <v>Accesorios 2025</v>
      </c>
      <c r="M1253" s="61" t="str">
        <f aca="false">TRIM(INDEX(Datos_Origen!$G$2:$G$2459,$Z1253))</f>
        <v>Webcam Full HD</v>
      </c>
      <c r="N1253" s="61" t="str">
        <f aca="false">$M1253&amp;" "&amp;$C1253</f>
        <v>Webcam Full HD 2025</v>
      </c>
      <c r="O1253" s="63" t="n">
        <f aca="false">IF(ISTEXT($AC1253),VALUE($AC1253),$AC1253)</f>
        <v>21</v>
      </c>
      <c r="P1253" s="64" t="n">
        <f aca="false">INDEX(Datos_Origen!$I$2:$I$2459,$Z1253)</f>
        <v>64.58</v>
      </c>
      <c r="Q1253" s="64" t="n">
        <f aca="false">INDEX(Datos_Origen!$J$2:$J$2459,$Z1253)</f>
        <v>36.49</v>
      </c>
      <c r="R1253" s="65" t="n">
        <f aca="false">ROUND($O1253*$P1253,2)</f>
        <v>1356.18</v>
      </c>
      <c r="S1253" s="65" t="n">
        <f aca="false">ROUND($O1253*$Q1253,2)</f>
        <v>766.29</v>
      </c>
      <c r="T1253" s="65" t="n">
        <f aca="false">ROUND($R1253*SUMIFS(Parametros!$E$28:$E$43,Parametros!$B$28:$B$43,$J1253,Parametros!$C$28:$C$43,$C1253,Parametros!$D$28:$D$43,$D1253),2)</f>
        <v>92.22</v>
      </c>
      <c r="U1253" s="65" t="n">
        <f aca="false">$R1253-$S1253-$T1253</f>
        <v>497.67</v>
      </c>
      <c r="V1253" s="66" t="n">
        <f aca="false">IFERROR($U1253/$R1253,0)</f>
        <v>0.366964562226253</v>
      </c>
      <c r="W1253" s="67" t="str">
        <f aca="false">IF(AND($V1253&gt;=Parametros!$C$8,$R1253&gt;=Parametros!$C$12),"Alta rentabilidad",IF(OR($V1253&lt;Parametros!$C$11,$R1253&lt;Parametros!$C$13),"Revisar","Estandar"))</f>
        <v>Estandar</v>
      </c>
      <c r="X1253" s="67" t="str">
        <f aca="false">IF(AND($J1253="E-commerce",IFERROR($T1253/$R1253,0)&gt;Parametros!$C$14),"Alerta","OK")</f>
        <v>Alerta</v>
      </c>
      <c r="Y1253" s="61" t="str">
        <f aca="false">IF($R1253&gt;=Parametros!$C$12,"Alto",IF($R1253&lt;Parametros!$C$13,"Bajo","Medio"))</f>
        <v>Medio</v>
      </c>
      <c r="Z1253" s="61" t="n">
        <v>1578</v>
      </c>
      <c r="AA1253" s="61" t="str">
        <f aca="false">IF(MATCH($A1253,Datos_Origen!$A$2:$A$2459,0)=$Z1253,"OK","REVISAR")</f>
        <v>OK</v>
      </c>
      <c r="AB1253" s="61" t="str">
        <f aca="false">INDEX(Datos_Origen!$B$2:$B$2459,$Z1253)</f>
        <v>17/01/2025</v>
      </c>
      <c r="AC1253" s="61" t="n">
        <f aca="false">INDEX(Datos_Origen!$H$2:$H$2459,$Z1253)</f>
        <v>21</v>
      </c>
      <c r="AD1253" s="61" t="str">
        <f aca="false">INDEX(Datos_Origen!$D$2:$D$2459,$Z1253)&amp;""</f>
        <v>Rosario</v>
      </c>
    </row>
    <row r="1254" customFormat="false" ht="15" hidden="false" customHeight="false" outlineLevel="0" collapsed="false">
      <c r="A1254" s="61" t="n">
        <f aca="false">INDEX(Datos_Origen!$A$2:$A$2459,$Z1254)</f>
        <v>1253</v>
      </c>
      <c r="B1254" s="62" t="n">
        <f aca="false">IF(ISNUMBER($AB1254),$AB1254,IF(MID($AB1254,5,1)="-",DATE(VALUE(LEFT($AB1254,4)),VALUE(MID($AB1254,6,2)),VALUE(RIGHT($AB1254,2))),DATE(VALUE(RIGHT($AB1254,4)),VALUE(MID($AB1254,4,2)),VALUE(LEFT($AB1254,2)))))</f>
        <v>45681</v>
      </c>
      <c r="C1254" s="61" t="n">
        <f aca="false">YEAR($B1254)</f>
        <v>2025</v>
      </c>
      <c r="D1254" s="61" t="str">
        <f aca="false">"Q"&amp;ROUNDUP(MONTH($B1254)/3,0)</f>
        <v>Q1</v>
      </c>
      <c r="E1254" s="61" t="n">
        <f aca="false">MONTH($B1254)</f>
        <v>1</v>
      </c>
      <c r="F1254" s="61" t="str">
        <f aca="false">INDEX(Parametros!$I$5:$I$16,$E1254)</f>
        <v>Ene</v>
      </c>
      <c r="G1254" s="61" t="str">
        <f aca="false">TEXT($C1254,"0000")&amp;"-"&amp;TEXT($E1254,"00")</f>
        <v>2025-01</v>
      </c>
      <c r="H1254" s="61" t="str">
        <f aca="false">INDEX(Parametros!$C$71:$C$91,MATCH(TRIM(INDEX(Datos_Origen!$C$2:$C$2459,$Z1254)),Parametros!$B$71:$B$91,0))</f>
        <v>Litoral</v>
      </c>
      <c r="I1254" s="61" t="str">
        <f aca="false">IF(TRIM($AD1254)="",INDEX(Parametros!$I$20:$I$24,MATCH($H1254,Parametros!$H$20:$H$24,0)),TRIM($AD1254))</f>
        <v>Rosario</v>
      </c>
      <c r="J1254" s="61" t="str">
        <f aca="false">INDEX(Parametros!$C$95:$C$106,MATCH(TRIM(INDEX(Datos_Origen!$E$2:$E$2459,$Z1254)),Parametros!$B$95:$B$106,0))</f>
        <v>Tienda fisica</v>
      </c>
      <c r="K1254" s="61" t="str">
        <f aca="false">INDEX(Parametros!$C$48:$C$67,MATCH(TRIM(INDEX(Datos_Origen!$F$2:$F$2459,$Z1254)),Parametros!$B$48:$B$67,0))</f>
        <v>Audio</v>
      </c>
      <c r="L1254" s="61" t="str">
        <f aca="false">$K1254&amp;" "&amp;$C1254</f>
        <v>Audio 2025</v>
      </c>
      <c r="M1254" s="61" t="str">
        <f aca="false">TRIM(INDEX(Datos_Origen!$G$2:$G$2459,$Z1254))</f>
        <v>Auriculares BT Pro</v>
      </c>
      <c r="N1254" s="61" t="str">
        <f aca="false">$M1254&amp;" "&amp;$C1254</f>
        <v>Auriculares BT Pro 2025</v>
      </c>
      <c r="O1254" s="63" t="n">
        <f aca="false">IF(ISTEXT($AC1254),VALUE($AC1254),$AC1254)</f>
        <v>17</v>
      </c>
      <c r="P1254" s="64" t="n">
        <f aca="false">INDEX(Datos_Origen!$I$2:$I$2459,$Z1254)</f>
        <v>119.23</v>
      </c>
      <c r="Q1254" s="64" t="n">
        <f aca="false">INDEX(Datos_Origen!$J$2:$J$2459,$Z1254)</f>
        <v>65.51</v>
      </c>
      <c r="R1254" s="65" t="n">
        <f aca="false">ROUND($O1254*$P1254,2)</f>
        <v>2026.91</v>
      </c>
      <c r="S1254" s="65" t="n">
        <f aca="false">ROUND($O1254*$Q1254,2)</f>
        <v>1113.67</v>
      </c>
      <c r="T1254" s="65" t="n">
        <f aca="false">ROUND($R1254*SUMIFS(Parametros!$E$28:$E$43,Parametros!$B$28:$B$43,$J1254,Parametros!$C$28:$C$43,$C1254,Parametros!$D$28:$D$43,$D1254),2)</f>
        <v>26.35</v>
      </c>
      <c r="U1254" s="65" t="n">
        <f aca="false">$R1254-$S1254-$T1254</f>
        <v>886.89</v>
      </c>
      <c r="V1254" s="66" t="n">
        <f aca="false">IFERROR($U1254/$R1254,0)</f>
        <v>0.437557661662333</v>
      </c>
      <c r="W1254" s="67" t="str">
        <f aca="false">IF(AND($V1254&gt;=Parametros!$C$8,$R1254&gt;=Parametros!$C$12),"Alta rentabilidad",IF(OR($V1254&lt;Parametros!$C$11,$R1254&lt;Parametros!$C$13),"Revisar","Estandar"))</f>
        <v>Estandar</v>
      </c>
      <c r="X1254" s="67" t="str">
        <f aca="false">IF(AND($J1254="E-commerce",IFERROR($T1254/$R1254,0)&gt;Parametros!$C$14),"Alerta","OK")</f>
        <v>OK</v>
      </c>
      <c r="Y1254" s="61" t="str">
        <f aca="false">IF($R1254&gt;=Parametros!$C$12,"Alto",IF($R1254&lt;Parametros!$C$13,"Bajo","Medio"))</f>
        <v>Medio</v>
      </c>
      <c r="Z1254" s="61" t="n">
        <v>213</v>
      </c>
      <c r="AA1254" s="61" t="str">
        <f aca="false">IF(MATCH($A1254,Datos_Origen!$A$2:$A$2459,0)=$Z1254,"OK","REVISAR")</f>
        <v>OK</v>
      </c>
      <c r="AB1254" s="62" t="n">
        <f aca="false">INDEX(Datos_Origen!$B$2:$B$2459,$Z1254)</f>
        <v>45681</v>
      </c>
      <c r="AC1254" s="61" t="n">
        <f aca="false">INDEX(Datos_Origen!$H$2:$H$2459,$Z1254)</f>
        <v>17</v>
      </c>
      <c r="AD1254" s="61" t="str">
        <f aca="false">INDEX(Datos_Origen!$D$2:$D$2459,$Z1254)&amp;""</f>
        <v>Rosario</v>
      </c>
    </row>
    <row r="1255" customFormat="false" ht="15" hidden="false" customHeight="false" outlineLevel="0" collapsed="false">
      <c r="A1255" s="61" t="n">
        <f aca="false">INDEX(Datos_Origen!$A$2:$A$2459,$Z1255)</f>
        <v>1254</v>
      </c>
      <c r="B1255" s="62" t="n">
        <f aca="false">IF(ISNUMBER($AB1255),$AB1255,IF(MID($AB1255,5,1)="-",DATE(VALUE(LEFT($AB1255,4)),VALUE(MID($AB1255,6,2)),VALUE(RIGHT($AB1255,2))),DATE(VALUE(RIGHT($AB1255,4)),VALUE(MID($AB1255,4,2)),VALUE(LEFT($AB1255,2)))))</f>
        <v>45661</v>
      </c>
      <c r="C1255" s="61" t="n">
        <f aca="false">YEAR($B1255)</f>
        <v>2025</v>
      </c>
      <c r="D1255" s="61" t="str">
        <f aca="false">"Q"&amp;ROUNDUP(MONTH($B1255)/3,0)</f>
        <v>Q1</v>
      </c>
      <c r="E1255" s="61" t="n">
        <f aca="false">MONTH($B1255)</f>
        <v>1</v>
      </c>
      <c r="F1255" s="61" t="str">
        <f aca="false">INDEX(Parametros!$I$5:$I$16,$E1255)</f>
        <v>Ene</v>
      </c>
      <c r="G1255" s="61" t="str">
        <f aca="false">TEXT($C1255,"0000")&amp;"-"&amp;TEXT($E1255,"00")</f>
        <v>2025-01</v>
      </c>
      <c r="H1255" s="61" t="str">
        <f aca="false">INDEX(Parametros!$C$71:$C$91,MATCH(TRIM(INDEX(Datos_Origen!$C$2:$C$2459,$Z1255)),Parametros!$B$71:$B$91,0))</f>
        <v>Litoral</v>
      </c>
      <c r="I1255" s="61" t="str">
        <f aca="false">IF(TRIM($AD1255)="",INDEX(Parametros!$I$20:$I$24,MATCH($H1255,Parametros!$H$20:$H$24,0)),TRIM($AD1255))</f>
        <v>Rosario</v>
      </c>
      <c r="J1255" s="61" t="str">
        <f aca="false">INDEX(Parametros!$C$95:$C$106,MATCH(TRIM(INDEX(Datos_Origen!$E$2:$E$2459,$Z1255)),Parametros!$B$95:$B$106,0))</f>
        <v>E-commerce</v>
      </c>
      <c r="K1255" s="61" t="str">
        <f aca="false">INDEX(Parametros!$C$48:$C$67,MATCH(TRIM(INDEX(Datos_Origen!$F$2:$F$2459,$Z1255)),Parametros!$B$48:$B$67,0))</f>
        <v>Audio</v>
      </c>
      <c r="L1255" s="61" t="str">
        <f aca="false">$K1255&amp;" "&amp;$C1255</f>
        <v>Audio 2025</v>
      </c>
      <c r="M1255" s="61" t="str">
        <f aca="false">TRIM(INDEX(Datos_Origen!$G$2:$G$2459,$Z1255))</f>
        <v>Auriculares BT Pro</v>
      </c>
      <c r="N1255" s="61" t="str">
        <f aca="false">$M1255&amp;" "&amp;$C1255</f>
        <v>Auriculares BT Pro 2025</v>
      </c>
      <c r="O1255" s="63" t="n">
        <f aca="false">IF(ISTEXT($AC1255),VALUE($AC1255),$AC1255)</f>
        <v>11</v>
      </c>
      <c r="P1255" s="64" t="n">
        <f aca="false">INDEX(Datos_Origen!$I$2:$I$2459,$Z1255)</f>
        <v>119.23</v>
      </c>
      <c r="Q1255" s="64" t="n">
        <f aca="false">INDEX(Datos_Origen!$J$2:$J$2459,$Z1255)</f>
        <v>65.51</v>
      </c>
      <c r="R1255" s="65" t="n">
        <f aca="false">ROUND($O1255*$P1255,2)</f>
        <v>1311.53</v>
      </c>
      <c r="S1255" s="65" t="n">
        <f aca="false">ROUND($O1255*$Q1255,2)</f>
        <v>720.61</v>
      </c>
      <c r="T1255" s="65" t="n">
        <f aca="false">ROUND($R1255*SUMIFS(Parametros!$E$28:$E$43,Parametros!$B$28:$B$43,$J1255,Parametros!$C$28:$C$43,$C1255,Parametros!$D$28:$D$43,$D1255),2)</f>
        <v>89.18</v>
      </c>
      <c r="U1255" s="65" t="n">
        <f aca="false">$R1255-$S1255-$T1255</f>
        <v>501.74</v>
      </c>
      <c r="V1255" s="66" t="n">
        <f aca="false">IFERROR($U1255/$R1255,0)</f>
        <v>0.382560825905622</v>
      </c>
      <c r="W1255" s="67" t="str">
        <f aca="false">IF(AND($V1255&gt;=Parametros!$C$8,$R1255&gt;=Parametros!$C$12),"Alta rentabilidad",IF(OR($V1255&lt;Parametros!$C$11,$R1255&lt;Parametros!$C$13),"Revisar","Estandar"))</f>
        <v>Estandar</v>
      </c>
      <c r="X1255" s="67" t="str">
        <f aca="false">IF(AND($J1255="E-commerce",IFERROR($T1255/$R1255,0)&gt;Parametros!$C$14),"Alerta","OK")</f>
        <v>Alerta</v>
      </c>
      <c r="Y1255" s="61" t="str">
        <f aca="false">IF($R1255&gt;=Parametros!$C$12,"Alto",IF($R1255&lt;Parametros!$C$13,"Bajo","Medio"))</f>
        <v>Medio</v>
      </c>
      <c r="Z1255" s="61" t="n">
        <v>612</v>
      </c>
      <c r="AA1255" s="61" t="str">
        <f aca="false">IF(MATCH($A1255,Datos_Origen!$A$2:$A$2459,0)=$Z1255,"OK","REVISAR")</f>
        <v>OK</v>
      </c>
      <c r="AB1255" s="62" t="n">
        <f aca="false">INDEX(Datos_Origen!$B$2:$B$2459,$Z1255)</f>
        <v>45661</v>
      </c>
      <c r="AC1255" s="61" t="n">
        <f aca="false">INDEX(Datos_Origen!$H$2:$H$2459,$Z1255)</f>
        <v>11</v>
      </c>
      <c r="AD1255" s="61" t="str">
        <f aca="false">INDEX(Datos_Origen!$D$2:$D$2459,$Z1255)&amp;""</f>
        <v>Rosario</v>
      </c>
    </row>
    <row r="1256" customFormat="false" ht="15" hidden="false" customHeight="false" outlineLevel="0" collapsed="false">
      <c r="A1256" s="61" t="n">
        <f aca="false">INDEX(Datos_Origen!$A$2:$A$2459,$Z1256)</f>
        <v>1255</v>
      </c>
      <c r="B1256" s="62" t="n">
        <f aca="false">IF(ISNUMBER($AB1256),$AB1256,IF(MID($AB1256,5,1)="-",DATE(VALUE(LEFT($AB1256,4)),VALUE(MID($AB1256,6,2)),VALUE(RIGHT($AB1256,2))),DATE(VALUE(RIGHT($AB1256,4)),VALUE(MID($AB1256,4,2)),VALUE(LEFT($AB1256,2)))))</f>
        <v>45668</v>
      </c>
      <c r="C1256" s="61" t="n">
        <f aca="false">YEAR($B1256)</f>
        <v>2025</v>
      </c>
      <c r="D1256" s="61" t="str">
        <f aca="false">"Q"&amp;ROUNDUP(MONTH($B1256)/3,0)</f>
        <v>Q1</v>
      </c>
      <c r="E1256" s="61" t="n">
        <f aca="false">MONTH($B1256)</f>
        <v>1</v>
      </c>
      <c r="F1256" s="61" t="str">
        <f aca="false">INDEX(Parametros!$I$5:$I$16,$E1256)</f>
        <v>Ene</v>
      </c>
      <c r="G1256" s="61" t="str">
        <f aca="false">TEXT($C1256,"0000")&amp;"-"&amp;TEXT($E1256,"00")</f>
        <v>2025-01</v>
      </c>
      <c r="H1256" s="61" t="str">
        <f aca="false">INDEX(Parametros!$C$71:$C$91,MATCH(TRIM(INDEX(Datos_Origen!$C$2:$C$2459,$Z1256)),Parametros!$B$71:$B$91,0))</f>
        <v>Litoral</v>
      </c>
      <c r="I1256" s="61" t="str">
        <f aca="false">IF(TRIM($AD1256)="",INDEX(Parametros!$I$20:$I$24,MATCH($H1256,Parametros!$H$20:$H$24,0)),TRIM($AD1256))</f>
        <v>Rosario</v>
      </c>
      <c r="J1256" s="61" t="str">
        <f aca="false">INDEX(Parametros!$C$95:$C$106,MATCH(TRIM(INDEX(Datos_Origen!$E$2:$E$2459,$Z1256)),Parametros!$B$95:$B$106,0))</f>
        <v>Tienda fisica</v>
      </c>
      <c r="K1256" s="61" t="str">
        <f aca="false">INDEX(Parametros!$C$48:$C$67,MATCH(TRIM(INDEX(Datos_Origen!$F$2:$F$2459,$Z1256)),Parametros!$B$48:$B$67,0))</f>
        <v>Audio</v>
      </c>
      <c r="L1256" s="61" t="str">
        <f aca="false">$K1256&amp;" "&amp;$C1256</f>
        <v>Audio 2025</v>
      </c>
      <c r="M1256" s="61" t="str">
        <f aca="false">TRIM(INDEX(Datos_Origen!$G$2:$G$2459,$Z1256))</f>
        <v>Parlante Bluetooth</v>
      </c>
      <c r="N1256" s="61" t="str">
        <f aca="false">$M1256&amp;" "&amp;$C1256</f>
        <v>Parlante Bluetooth 2025</v>
      </c>
      <c r="O1256" s="63" t="n">
        <f aca="false">IF(ISTEXT($AC1256),VALUE($AC1256),$AC1256)</f>
        <v>16</v>
      </c>
      <c r="P1256" s="64" t="n">
        <f aca="false">INDEX(Datos_Origen!$I$2:$I$2459,$Z1256)</f>
        <v>84.46</v>
      </c>
      <c r="Q1256" s="64" t="n">
        <f aca="false">INDEX(Datos_Origen!$J$2:$J$2459,$Z1256)</f>
        <v>49.47</v>
      </c>
      <c r="R1256" s="65" t="n">
        <f aca="false">ROUND($O1256*$P1256,2)</f>
        <v>1351.36</v>
      </c>
      <c r="S1256" s="65" t="n">
        <f aca="false">ROUND($O1256*$Q1256,2)</f>
        <v>791.52</v>
      </c>
      <c r="T1256" s="65" t="n">
        <f aca="false">ROUND($R1256*SUMIFS(Parametros!$E$28:$E$43,Parametros!$B$28:$B$43,$J1256,Parametros!$C$28:$C$43,$C1256,Parametros!$D$28:$D$43,$D1256),2)</f>
        <v>17.57</v>
      </c>
      <c r="U1256" s="65" t="n">
        <f aca="false">$R1256-$S1256-$T1256</f>
        <v>542.27</v>
      </c>
      <c r="V1256" s="66" t="n">
        <f aca="false">IFERROR($U1256/$R1256,0)</f>
        <v>0.401277231825716</v>
      </c>
      <c r="W1256" s="67" t="str">
        <f aca="false">IF(AND($V1256&gt;=Parametros!$C$8,$R1256&gt;=Parametros!$C$12),"Alta rentabilidad",IF(OR($V1256&lt;Parametros!$C$11,$R1256&lt;Parametros!$C$13),"Revisar","Estandar"))</f>
        <v>Estandar</v>
      </c>
      <c r="X1256" s="67" t="str">
        <f aca="false">IF(AND($J1256="E-commerce",IFERROR($T1256/$R1256,0)&gt;Parametros!$C$14),"Alerta","OK")</f>
        <v>OK</v>
      </c>
      <c r="Y1256" s="61" t="str">
        <f aca="false">IF($R1256&gt;=Parametros!$C$12,"Alto",IF($R1256&lt;Parametros!$C$13,"Bajo","Medio"))</f>
        <v>Medio</v>
      </c>
      <c r="Z1256" s="61" t="n">
        <v>576</v>
      </c>
      <c r="AA1256" s="61" t="str">
        <f aca="false">IF(MATCH($A1256,Datos_Origen!$A$2:$A$2459,0)=$Z1256,"OK","REVISAR")</f>
        <v>OK</v>
      </c>
      <c r="AB1256" s="62" t="n">
        <f aca="false">INDEX(Datos_Origen!$B$2:$B$2459,$Z1256)</f>
        <v>45668</v>
      </c>
      <c r="AC1256" s="61" t="n">
        <f aca="false">INDEX(Datos_Origen!$H$2:$H$2459,$Z1256)</f>
        <v>16</v>
      </c>
      <c r="AD1256" s="61" t="str">
        <f aca="false">INDEX(Datos_Origen!$D$2:$D$2459,$Z1256)&amp;""</f>
        <v>Rosario</v>
      </c>
    </row>
    <row r="1257" customFormat="false" ht="15" hidden="false" customHeight="false" outlineLevel="0" collapsed="false">
      <c r="A1257" s="61" t="n">
        <f aca="false">INDEX(Datos_Origen!$A$2:$A$2459,$Z1257)</f>
        <v>1256</v>
      </c>
      <c r="B1257" s="62" t="n">
        <f aca="false">IF(ISNUMBER($AB1257),$AB1257,IF(MID($AB1257,5,1)="-",DATE(VALUE(LEFT($AB1257,4)),VALUE(MID($AB1257,6,2)),VALUE(RIGHT($AB1257,2))),DATE(VALUE(RIGHT($AB1257,4)),VALUE(MID($AB1257,4,2)),VALUE(LEFT($AB1257,2)))))</f>
        <v>45675</v>
      </c>
      <c r="C1257" s="61" t="n">
        <f aca="false">YEAR($B1257)</f>
        <v>2025</v>
      </c>
      <c r="D1257" s="61" t="str">
        <f aca="false">"Q"&amp;ROUNDUP(MONTH($B1257)/3,0)</f>
        <v>Q1</v>
      </c>
      <c r="E1257" s="61" t="n">
        <f aca="false">MONTH($B1257)</f>
        <v>1</v>
      </c>
      <c r="F1257" s="61" t="str">
        <f aca="false">INDEX(Parametros!$I$5:$I$16,$E1257)</f>
        <v>Ene</v>
      </c>
      <c r="G1257" s="61" t="str">
        <f aca="false">TEXT($C1257,"0000")&amp;"-"&amp;TEXT($E1257,"00")</f>
        <v>2025-01</v>
      </c>
      <c r="H1257" s="61" t="str">
        <f aca="false">INDEX(Parametros!$C$71:$C$91,MATCH(TRIM(INDEX(Datos_Origen!$C$2:$C$2459,$Z1257)),Parametros!$B$71:$B$91,0))</f>
        <v>Litoral</v>
      </c>
      <c r="I1257" s="61" t="str">
        <f aca="false">IF(TRIM($AD1257)="",INDEX(Parametros!$I$20:$I$24,MATCH($H1257,Parametros!$H$20:$H$24,0)),TRIM($AD1257))</f>
        <v>Rosario</v>
      </c>
      <c r="J1257" s="61" t="str">
        <f aca="false">INDEX(Parametros!$C$95:$C$106,MATCH(TRIM(INDEX(Datos_Origen!$E$2:$E$2459,$Z1257)),Parametros!$B$95:$B$106,0))</f>
        <v>E-commerce</v>
      </c>
      <c r="K1257" s="61" t="str">
        <f aca="false">INDEX(Parametros!$C$48:$C$67,MATCH(TRIM(INDEX(Datos_Origen!$F$2:$F$2459,$Z1257)),Parametros!$B$48:$B$67,0))</f>
        <v>Audio</v>
      </c>
      <c r="L1257" s="61" t="str">
        <f aca="false">$K1257&amp;" "&amp;$C1257</f>
        <v>Audio 2025</v>
      </c>
      <c r="M1257" s="61" t="str">
        <f aca="false">TRIM(INDEX(Datos_Origen!$G$2:$G$2459,$Z1257))</f>
        <v>Parlante Bluetooth</v>
      </c>
      <c r="N1257" s="61" t="str">
        <f aca="false">$M1257&amp;" "&amp;$C1257</f>
        <v>Parlante Bluetooth 2025</v>
      </c>
      <c r="O1257" s="63" t="n">
        <f aca="false">IF(ISTEXT($AC1257),VALUE($AC1257),$AC1257)</f>
        <v>11</v>
      </c>
      <c r="P1257" s="64" t="n">
        <f aca="false">INDEX(Datos_Origen!$I$2:$I$2459,$Z1257)</f>
        <v>84.46</v>
      </c>
      <c r="Q1257" s="64" t="n">
        <f aca="false">INDEX(Datos_Origen!$J$2:$J$2459,$Z1257)</f>
        <v>49.47</v>
      </c>
      <c r="R1257" s="65" t="n">
        <f aca="false">ROUND($O1257*$P1257,2)</f>
        <v>929.06</v>
      </c>
      <c r="S1257" s="65" t="n">
        <f aca="false">ROUND($O1257*$Q1257,2)</f>
        <v>544.17</v>
      </c>
      <c r="T1257" s="65" t="n">
        <f aca="false">ROUND($R1257*SUMIFS(Parametros!$E$28:$E$43,Parametros!$B$28:$B$43,$J1257,Parametros!$C$28:$C$43,$C1257,Parametros!$D$28:$D$43,$D1257),2)</f>
        <v>63.18</v>
      </c>
      <c r="U1257" s="65" t="n">
        <f aca="false">$R1257-$S1257-$T1257</f>
        <v>321.71</v>
      </c>
      <c r="V1257" s="66" t="n">
        <f aca="false">IFERROR($U1257/$R1257,0)</f>
        <v>0.346274729296278</v>
      </c>
      <c r="W1257" s="67" t="str">
        <f aca="false">IF(AND($V1257&gt;=Parametros!$C$8,$R1257&gt;=Parametros!$C$12),"Alta rentabilidad",IF(OR($V1257&lt;Parametros!$C$11,$R1257&lt;Parametros!$C$13),"Revisar","Estandar"))</f>
        <v>Estandar</v>
      </c>
      <c r="X1257" s="67" t="str">
        <f aca="false">IF(AND($J1257="E-commerce",IFERROR($T1257/$R1257,0)&gt;Parametros!$C$14),"Alerta","OK")</f>
        <v>Alerta</v>
      </c>
      <c r="Y1257" s="61" t="str">
        <f aca="false">IF($R1257&gt;=Parametros!$C$12,"Alto",IF($R1257&lt;Parametros!$C$13,"Bajo","Medio"))</f>
        <v>Medio</v>
      </c>
      <c r="Z1257" s="61" t="n">
        <v>1305</v>
      </c>
      <c r="AA1257" s="61" t="str">
        <f aca="false">IF(MATCH($A1257,Datos_Origen!$A$2:$A$2459,0)=$Z1257,"OK","REVISAR")</f>
        <v>OK</v>
      </c>
      <c r="AB1257" s="62" t="n">
        <f aca="false">INDEX(Datos_Origen!$B$2:$B$2459,$Z1257)</f>
        <v>45675</v>
      </c>
      <c r="AC1257" s="61" t="n">
        <f aca="false">INDEX(Datos_Origen!$H$2:$H$2459,$Z1257)</f>
        <v>11</v>
      </c>
      <c r="AD1257" s="61" t="str">
        <f aca="false">INDEX(Datos_Origen!$D$2:$D$2459,$Z1257)&amp;""</f>
        <v>Rosario</v>
      </c>
    </row>
    <row r="1258" customFormat="false" ht="15" hidden="false" customHeight="false" outlineLevel="0" collapsed="false">
      <c r="A1258" s="61" t="n">
        <f aca="false">INDEX(Datos_Origen!$A$2:$A$2459,$Z1258)</f>
        <v>1257</v>
      </c>
      <c r="B1258" s="62" t="n">
        <f aca="false">IF(ISNUMBER($AB1258),$AB1258,IF(MID($AB1258,5,1)="-",DATE(VALUE(LEFT($AB1258,4)),VALUE(MID($AB1258,6,2)),VALUE(RIGHT($AB1258,2))),DATE(VALUE(RIGHT($AB1258,4)),VALUE(MID($AB1258,4,2)),VALUE(LEFT($AB1258,2)))))</f>
        <v>45682</v>
      </c>
      <c r="C1258" s="61" t="n">
        <f aca="false">YEAR($B1258)</f>
        <v>2025</v>
      </c>
      <c r="D1258" s="61" t="str">
        <f aca="false">"Q"&amp;ROUNDUP(MONTH($B1258)/3,0)</f>
        <v>Q1</v>
      </c>
      <c r="E1258" s="61" t="n">
        <f aca="false">MONTH($B1258)</f>
        <v>1</v>
      </c>
      <c r="F1258" s="61" t="str">
        <f aca="false">INDEX(Parametros!$I$5:$I$16,$E1258)</f>
        <v>Ene</v>
      </c>
      <c r="G1258" s="61" t="str">
        <f aca="false">TEXT($C1258,"0000")&amp;"-"&amp;TEXT($E1258,"00")</f>
        <v>2025-01</v>
      </c>
      <c r="H1258" s="61" t="str">
        <f aca="false">INDEX(Parametros!$C$71:$C$91,MATCH(TRIM(INDEX(Datos_Origen!$C$2:$C$2459,$Z1258)),Parametros!$B$71:$B$91,0))</f>
        <v>Litoral</v>
      </c>
      <c r="I1258" s="61" t="str">
        <f aca="false">IF(TRIM($AD1258)="",INDEX(Parametros!$I$20:$I$24,MATCH($H1258,Parametros!$H$20:$H$24,0)),TRIM($AD1258))</f>
        <v>Rosario</v>
      </c>
      <c r="J1258" s="61" t="str">
        <f aca="false">INDEX(Parametros!$C$95:$C$106,MATCH(TRIM(INDEX(Datos_Origen!$E$2:$E$2459,$Z1258)),Parametros!$B$95:$B$106,0))</f>
        <v>Tienda fisica</v>
      </c>
      <c r="K1258" s="61" t="str">
        <f aca="false">INDEX(Parametros!$C$48:$C$67,MATCH(TRIM(INDEX(Datos_Origen!$F$2:$F$2459,$Z1258)),Parametros!$B$48:$B$67,0))</f>
        <v>Almacenamiento</v>
      </c>
      <c r="L1258" s="61" t="str">
        <f aca="false">$K1258&amp;" "&amp;$C1258</f>
        <v>Almacenamiento 2025</v>
      </c>
      <c r="M1258" s="61" t="str">
        <f aca="false">TRIM(INDEX(Datos_Origen!$G$2:$G$2459,$Z1258))</f>
        <v>SSD Externo 1TB</v>
      </c>
      <c r="N1258" s="61" t="str">
        <f aca="false">$M1258&amp;" "&amp;$C1258</f>
        <v>SSD Externo 1TB 2025</v>
      </c>
      <c r="O1258" s="63" t="n">
        <f aca="false">IF(ISTEXT($AC1258),VALUE($AC1258),$AC1258)</f>
        <v>21</v>
      </c>
      <c r="P1258" s="64" t="n">
        <f aca="false">INDEX(Datos_Origen!$I$2:$I$2459,$Z1258)</f>
        <v>129.17</v>
      </c>
      <c r="Q1258" s="64" t="n">
        <f aca="false">INDEX(Datos_Origen!$J$2:$J$2459,$Z1258)</f>
        <v>78.33</v>
      </c>
      <c r="R1258" s="65" t="n">
        <f aca="false">ROUND($O1258*$P1258,2)</f>
        <v>2712.57</v>
      </c>
      <c r="S1258" s="65" t="n">
        <f aca="false">ROUND($O1258*$Q1258,2)</f>
        <v>1644.93</v>
      </c>
      <c r="T1258" s="65" t="n">
        <f aca="false">ROUND($R1258*SUMIFS(Parametros!$E$28:$E$43,Parametros!$B$28:$B$43,$J1258,Parametros!$C$28:$C$43,$C1258,Parametros!$D$28:$D$43,$D1258),2)</f>
        <v>35.26</v>
      </c>
      <c r="U1258" s="65" t="n">
        <f aca="false">$R1258-$S1258-$T1258</f>
        <v>1032.38</v>
      </c>
      <c r="V1258" s="66" t="n">
        <f aca="false">IFERROR($U1258/$R1258,0)</f>
        <v>0.380591099953181</v>
      </c>
      <c r="W1258" s="67" t="str">
        <f aca="false">IF(AND($V1258&gt;=Parametros!$C$8,$R1258&gt;=Parametros!$C$12),"Alta rentabilidad",IF(OR($V1258&lt;Parametros!$C$11,$R1258&lt;Parametros!$C$13),"Revisar","Estandar"))</f>
        <v>Estandar</v>
      </c>
      <c r="X1258" s="67" t="str">
        <f aca="false">IF(AND($J1258="E-commerce",IFERROR($T1258/$R1258,0)&gt;Parametros!$C$14),"Alerta","OK")</f>
        <v>OK</v>
      </c>
      <c r="Y1258" s="61" t="str">
        <f aca="false">IF($R1258&gt;=Parametros!$C$12,"Alto",IF($R1258&lt;Parametros!$C$13,"Bajo","Medio"))</f>
        <v>Medio</v>
      </c>
      <c r="Z1258" s="61" t="n">
        <v>1774</v>
      </c>
      <c r="AA1258" s="61" t="str">
        <f aca="false">IF(MATCH($A1258,Datos_Origen!$A$2:$A$2459,0)=$Z1258,"OK","REVISAR")</f>
        <v>OK</v>
      </c>
      <c r="AB1258" s="61" t="str">
        <f aca="false">INDEX(Datos_Origen!$B$2:$B$2459,$Z1258)</f>
        <v>2025-01-25</v>
      </c>
      <c r="AC1258" s="61" t="n">
        <f aca="false">INDEX(Datos_Origen!$H$2:$H$2459,$Z1258)</f>
        <v>21</v>
      </c>
      <c r="AD1258" s="61" t="str">
        <f aca="false">INDEX(Datos_Origen!$D$2:$D$2459,$Z1258)&amp;""</f>
        <v>Rosario</v>
      </c>
    </row>
    <row r="1259" customFormat="false" ht="15" hidden="false" customHeight="false" outlineLevel="0" collapsed="false">
      <c r="A1259" s="61" t="n">
        <f aca="false">INDEX(Datos_Origen!$A$2:$A$2459,$Z1259)</f>
        <v>1258</v>
      </c>
      <c r="B1259" s="62" t="n">
        <f aca="false">IF(ISNUMBER($AB1259),$AB1259,IF(MID($AB1259,5,1)="-",DATE(VALUE(LEFT($AB1259,4)),VALUE(MID($AB1259,6,2)),VALUE(RIGHT($AB1259,2))),DATE(VALUE(RIGHT($AB1259,4)),VALUE(MID($AB1259,4,2)),VALUE(LEFT($AB1259,2)))))</f>
        <v>45662</v>
      </c>
      <c r="C1259" s="61" t="n">
        <f aca="false">YEAR($B1259)</f>
        <v>2025</v>
      </c>
      <c r="D1259" s="61" t="str">
        <f aca="false">"Q"&amp;ROUNDUP(MONTH($B1259)/3,0)</f>
        <v>Q1</v>
      </c>
      <c r="E1259" s="61" t="n">
        <f aca="false">MONTH($B1259)</f>
        <v>1</v>
      </c>
      <c r="F1259" s="61" t="str">
        <f aca="false">INDEX(Parametros!$I$5:$I$16,$E1259)</f>
        <v>Ene</v>
      </c>
      <c r="G1259" s="61" t="str">
        <f aca="false">TEXT($C1259,"0000")&amp;"-"&amp;TEXT($E1259,"00")</f>
        <v>2025-01</v>
      </c>
      <c r="H1259" s="61" t="str">
        <f aca="false">INDEX(Parametros!$C$71:$C$91,MATCH(TRIM(INDEX(Datos_Origen!$C$2:$C$2459,$Z1259)),Parametros!$B$71:$B$91,0))</f>
        <v>Litoral</v>
      </c>
      <c r="I1259" s="61" t="str">
        <f aca="false">IF(TRIM($AD1259)="",INDEX(Parametros!$I$20:$I$24,MATCH($H1259,Parametros!$H$20:$H$24,0)),TRIM($AD1259))</f>
        <v>Rosario</v>
      </c>
      <c r="J1259" s="61" t="str">
        <f aca="false">INDEX(Parametros!$C$95:$C$106,MATCH(TRIM(INDEX(Datos_Origen!$E$2:$E$2459,$Z1259)),Parametros!$B$95:$B$106,0))</f>
        <v>E-commerce</v>
      </c>
      <c r="K1259" s="61" t="str">
        <f aca="false">INDEX(Parametros!$C$48:$C$67,MATCH(TRIM(INDEX(Datos_Origen!$F$2:$F$2459,$Z1259)),Parametros!$B$48:$B$67,0))</f>
        <v>Almacenamiento</v>
      </c>
      <c r="L1259" s="61" t="str">
        <f aca="false">$K1259&amp;" "&amp;$C1259</f>
        <v>Almacenamiento 2025</v>
      </c>
      <c r="M1259" s="61" t="str">
        <f aca="false">TRIM(INDEX(Datos_Origen!$G$2:$G$2459,$Z1259))</f>
        <v>SSD Externo 1TB</v>
      </c>
      <c r="N1259" s="61" t="str">
        <f aca="false">$M1259&amp;" "&amp;$C1259</f>
        <v>SSD Externo 1TB 2025</v>
      </c>
      <c r="O1259" s="63" t="n">
        <f aca="false">IF(ISTEXT($AC1259),VALUE($AC1259),$AC1259)</f>
        <v>15</v>
      </c>
      <c r="P1259" s="64" t="n">
        <f aca="false">INDEX(Datos_Origen!$I$2:$I$2459,$Z1259)</f>
        <v>129.17</v>
      </c>
      <c r="Q1259" s="64" t="n">
        <f aca="false">INDEX(Datos_Origen!$J$2:$J$2459,$Z1259)</f>
        <v>78.33</v>
      </c>
      <c r="R1259" s="65" t="n">
        <f aca="false">ROUND($O1259*$P1259,2)</f>
        <v>1937.55</v>
      </c>
      <c r="S1259" s="65" t="n">
        <f aca="false">ROUND($O1259*$Q1259,2)</f>
        <v>1174.95</v>
      </c>
      <c r="T1259" s="65" t="n">
        <f aca="false">ROUND($R1259*SUMIFS(Parametros!$E$28:$E$43,Parametros!$B$28:$B$43,$J1259,Parametros!$C$28:$C$43,$C1259,Parametros!$D$28:$D$43,$D1259),2)</f>
        <v>131.75</v>
      </c>
      <c r="U1259" s="65" t="n">
        <f aca="false">$R1259-$S1259-$T1259</f>
        <v>630.85</v>
      </c>
      <c r="V1259" s="66" t="n">
        <f aca="false">IFERROR($U1259/$R1259,0)</f>
        <v>0.32559159763619</v>
      </c>
      <c r="W1259" s="67" t="str">
        <f aca="false">IF(AND($V1259&gt;=Parametros!$C$8,$R1259&gt;=Parametros!$C$12),"Alta rentabilidad",IF(OR($V1259&lt;Parametros!$C$11,$R1259&lt;Parametros!$C$13),"Revisar","Estandar"))</f>
        <v>Estandar</v>
      </c>
      <c r="X1259" s="67" t="str">
        <f aca="false">IF(AND($J1259="E-commerce",IFERROR($T1259/$R1259,0)&gt;Parametros!$C$14),"Alerta","OK")</f>
        <v>Alerta</v>
      </c>
      <c r="Y1259" s="61" t="str">
        <f aca="false">IF($R1259&gt;=Parametros!$C$12,"Alto",IF($R1259&lt;Parametros!$C$13,"Bajo","Medio"))</f>
        <v>Medio</v>
      </c>
      <c r="Z1259" s="61" t="n">
        <v>769</v>
      </c>
      <c r="AA1259" s="61" t="str">
        <f aca="false">IF(MATCH($A1259,Datos_Origen!$A$2:$A$2459,0)=$Z1259,"OK","REVISAR")</f>
        <v>OK</v>
      </c>
      <c r="AB1259" s="62" t="n">
        <f aca="false">INDEX(Datos_Origen!$B$2:$B$2459,$Z1259)</f>
        <v>45662</v>
      </c>
      <c r="AC1259" s="61" t="n">
        <f aca="false">INDEX(Datos_Origen!$H$2:$H$2459,$Z1259)</f>
        <v>15</v>
      </c>
      <c r="AD1259" s="61" t="str">
        <f aca="false">INDEX(Datos_Origen!$D$2:$D$2459,$Z1259)&amp;""</f>
        <v/>
      </c>
    </row>
    <row r="1260" customFormat="false" ht="15" hidden="false" customHeight="false" outlineLevel="0" collapsed="false">
      <c r="A1260" s="61" t="n">
        <f aca="false">INDEX(Datos_Origen!$A$2:$A$2459,$Z1260)</f>
        <v>1259</v>
      </c>
      <c r="B1260" s="62" t="n">
        <f aca="false">IF(ISNUMBER($AB1260),$AB1260,IF(MID($AB1260,5,1)="-",DATE(VALUE(LEFT($AB1260,4)),VALUE(MID($AB1260,6,2)),VALUE(RIGHT($AB1260,2))),DATE(VALUE(RIGHT($AB1260,4)),VALUE(MID($AB1260,4,2)),VALUE(LEFT($AB1260,2)))))</f>
        <v>45669</v>
      </c>
      <c r="C1260" s="61" t="n">
        <f aca="false">YEAR($B1260)</f>
        <v>2025</v>
      </c>
      <c r="D1260" s="61" t="str">
        <f aca="false">"Q"&amp;ROUNDUP(MONTH($B1260)/3,0)</f>
        <v>Q1</v>
      </c>
      <c r="E1260" s="61" t="n">
        <f aca="false">MONTH($B1260)</f>
        <v>1</v>
      </c>
      <c r="F1260" s="61" t="str">
        <f aca="false">INDEX(Parametros!$I$5:$I$16,$E1260)</f>
        <v>Ene</v>
      </c>
      <c r="G1260" s="61" t="str">
        <f aca="false">TEXT($C1260,"0000")&amp;"-"&amp;TEXT($E1260,"00")</f>
        <v>2025-01</v>
      </c>
      <c r="H1260" s="61" t="str">
        <f aca="false">INDEX(Parametros!$C$71:$C$91,MATCH(TRIM(INDEX(Datos_Origen!$C$2:$C$2459,$Z1260)),Parametros!$B$71:$B$91,0))</f>
        <v>Litoral</v>
      </c>
      <c r="I1260" s="61" t="str">
        <f aca="false">IF(TRIM($AD1260)="",INDEX(Parametros!$I$20:$I$24,MATCH($H1260,Parametros!$H$20:$H$24,0)),TRIM($AD1260))</f>
        <v>Rosario</v>
      </c>
      <c r="J1260" s="61" t="str">
        <f aca="false">INDEX(Parametros!$C$95:$C$106,MATCH(TRIM(INDEX(Datos_Origen!$E$2:$E$2459,$Z1260)),Parametros!$B$95:$B$106,0))</f>
        <v>Tienda fisica</v>
      </c>
      <c r="K1260" s="61" t="str">
        <f aca="false">INDEX(Parametros!$C$48:$C$67,MATCH(TRIM(INDEX(Datos_Origen!$F$2:$F$2459,$Z1260)),Parametros!$B$48:$B$67,0))</f>
        <v>Almacenamiento</v>
      </c>
      <c r="L1260" s="61" t="str">
        <f aca="false">$K1260&amp;" "&amp;$C1260</f>
        <v>Almacenamiento 2025</v>
      </c>
      <c r="M1260" s="61" t="str">
        <f aca="false">TRIM(INDEX(Datos_Origen!$G$2:$G$2459,$Z1260))</f>
        <v>Pendrive 256GB</v>
      </c>
      <c r="N1260" s="61" t="str">
        <f aca="false">$M1260&amp;" "&amp;$C1260</f>
        <v>Pendrive 256GB 2025</v>
      </c>
      <c r="O1260" s="63" t="n">
        <f aca="false">IF(ISTEXT($AC1260),VALUE($AC1260),$AC1260)</f>
        <v>22</v>
      </c>
      <c r="P1260" s="64" t="n">
        <f aca="false">INDEX(Datos_Origen!$I$2:$I$2459,$Z1260)</f>
        <v>34.78</v>
      </c>
      <c r="Q1260" s="64" t="n">
        <f aca="false">INDEX(Datos_Origen!$J$2:$J$2459,$Z1260)</f>
        <v>18.39</v>
      </c>
      <c r="R1260" s="65" t="n">
        <f aca="false">ROUND($O1260*$P1260,2)</f>
        <v>765.16</v>
      </c>
      <c r="S1260" s="65" t="n">
        <f aca="false">ROUND($O1260*$Q1260,2)</f>
        <v>404.58</v>
      </c>
      <c r="T1260" s="65" t="n">
        <f aca="false">ROUND($R1260*SUMIFS(Parametros!$E$28:$E$43,Parametros!$B$28:$B$43,$J1260,Parametros!$C$28:$C$43,$C1260,Parametros!$D$28:$D$43,$D1260),2)</f>
        <v>9.95</v>
      </c>
      <c r="U1260" s="65" t="n">
        <f aca="false">$R1260-$S1260-$T1260</f>
        <v>350.63</v>
      </c>
      <c r="V1260" s="66" t="n">
        <f aca="false">IFERROR($U1260/$R1260,0)</f>
        <v>0.458244027392964</v>
      </c>
      <c r="W1260" s="67" t="str">
        <f aca="false">IF(AND($V1260&gt;=Parametros!$C$8,$R1260&gt;=Parametros!$C$12),"Alta rentabilidad",IF(OR($V1260&lt;Parametros!$C$11,$R1260&lt;Parametros!$C$13),"Revisar","Estandar"))</f>
        <v>Estandar</v>
      </c>
      <c r="X1260" s="67" t="str">
        <f aca="false">IF(AND($J1260="E-commerce",IFERROR($T1260/$R1260,0)&gt;Parametros!$C$14),"Alerta","OK")</f>
        <v>OK</v>
      </c>
      <c r="Y1260" s="61" t="str">
        <f aca="false">IF($R1260&gt;=Parametros!$C$12,"Alto",IF($R1260&lt;Parametros!$C$13,"Bajo","Medio"))</f>
        <v>Medio</v>
      </c>
      <c r="Z1260" s="61" t="n">
        <v>679</v>
      </c>
      <c r="AA1260" s="61" t="str">
        <f aca="false">IF(MATCH($A1260,Datos_Origen!$A$2:$A$2459,0)=$Z1260,"OK","REVISAR")</f>
        <v>OK</v>
      </c>
      <c r="AB1260" s="62" t="n">
        <f aca="false">INDEX(Datos_Origen!$B$2:$B$2459,$Z1260)</f>
        <v>45669</v>
      </c>
      <c r="AC1260" s="61" t="n">
        <f aca="false">INDEX(Datos_Origen!$H$2:$H$2459,$Z1260)</f>
        <v>22</v>
      </c>
      <c r="AD1260" s="61" t="str">
        <f aca="false">INDEX(Datos_Origen!$D$2:$D$2459,$Z1260)&amp;""</f>
        <v>Rosario</v>
      </c>
    </row>
    <row r="1261" customFormat="false" ht="15" hidden="false" customHeight="false" outlineLevel="0" collapsed="false">
      <c r="A1261" s="61" t="n">
        <f aca="false">INDEX(Datos_Origen!$A$2:$A$2459,$Z1261)</f>
        <v>1260</v>
      </c>
      <c r="B1261" s="62" t="n">
        <f aca="false">IF(ISNUMBER($AB1261),$AB1261,IF(MID($AB1261,5,1)="-",DATE(VALUE(LEFT($AB1261,4)),VALUE(MID($AB1261,6,2)),VALUE(RIGHT($AB1261,2))),DATE(VALUE(RIGHT($AB1261,4)),VALUE(MID($AB1261,4,2)),VALUE(LEFT($AB1261,2)))))</f>
        <v>45676</v>
      </c>
      <c r="C1261" s="61" t="n">
        <f aca="false">YEAR($B1261)</f>
        <v>2025</v>
      </c>
      <c r="D1261" s="61" t="str">
        <f aca="false">"Q"&amp;ROUNDUP(MONTH($B1261)/3,0)</f>
        <v>Q1</v>
      </c>
      <c r="E1261" s="61" t="n">
        <f aca="false">MONTH($B1261)</f>
        <v>1</v>
      </c>
      <c r="F1261" s="61" t="str">
        <f aca="false">INDEX(Parametros!$I$5:$I$16,$E1261)</f>
        <v>Ene</v>
      </c>
      <c r="G1261" s="61" t="str">
        <f aca="false">TEXT($C1261,"0000")&amp;"-"&amp;TEXT($E1261,"00")</f>
        <v>2025-01</v>
      </c>
      <c r="H1261" s="61" t="str">
        <f aca="false">INDEX(Parametros!$C$71:$C$91,MATCH(TRIM(INDEX(Datos_Origen!$C$2:$C$2459,$Z1261)),Parametros!$B$71:$B$91,0))</f>
        <v>Litoral</v>
      </c>
      <c r="I1261" s="61" t="str">
        <f aca="false">IF(TRIM($AD1261)="",INDEX(Parametros!$I$20:$I$24,MATCH($H1261,Parametros!$H$20:$H$24,0)),TRIM($AD1261))</f>
        <v>Rosario</v>
      </c>
      <c r="J1261" s="61" t="str">
        <f aca="false">INDEX(Parametros!$C$95:$C$106,MATCH(TRIM(INDEX(Datos_Origen!$E$2:$E$2459,$Z1261)),Parametros!$B$95:$B$106,0))</f>
        <v>E-commerce</v>
      </c>
      <c r="K1261" s="61" t="str">
        <f aca="false">INDEX(Parametros!$C$48:$C$67,MATCH(TRIM(INDEX(Datos_Origen!$F$2:$F$2459,$Z1261)),Parametros!$B$48:$B$67,0))</f>
        <v>Almacenamiento</v>
      </c>
      <c r="L1261" s="61" t="str">
        <f aca="false">$K1261&amp;" "&amp;$C1261</f>
        <v>Almacenamiento 2025</v>
      </c>
      <c r="M1261" s="61" t="str">
        <f aca="false">TRIM(INDEX(Datos_Origen!$G$2:$G$2459,$Z1261))</f>
        <v>Pendrive 256GB</v>
      </c>
      <c r="N1261" s="61" t="str">
        <f aca="false">$M1261&amp;" "&amp;$C1261</f>
        <v>Pendrive 256GB 2025</v>
      </c>
      <c r="O1261" s="63" t="n">
        <f aca="false">IF(ISTEXT($AC1261),VALUE($AC1261),$AC1261)</f>
        <v>15</v>
      </c>
      <c r="P1261" s="64" t="n">
        <f aca="false">INDEX(Datos_Origen!$I$2:$I$2459,$Z1261)</f>
        <v>34.78</v>
      </c>
      <c r="Q1261" s="64" t="n">
        <f aca="false">INDEX(Datos_Origen!$J$2:$J$2459,$Z1261)</f>
        <v>18.39</v>
      </c>
      <c r="R1261" s="65" t="n">
        <f aca="false">ROUND($O1261*$P1261,2)</f>
        <v>521.7</v>
      </c>
      <c r="S1261" s="65" t="n">
        <f aca="false">ROUND($O1261*$Q1261,2)</f>
        <v>275.85</v>
      </c>
      <c r="T1261" s="65" t="n">
        <f aca="false">ROUND($R1261*SUMIFS(Parametros!$E$28:$E$43,Parametros!$B$28:$B$43,$J1261,Parametros!$C$28:$C$43,$C1261,Parametros!$D$28:$D$43,$D1261),2)</f>
        <v>35.48</v>
      </c>
      <c r="U1261" s="65" t="n">
        <f aca="false">$R1261-$S1261-$T1261</f>
        <v>210.37</v>
      </c>
      <c r="V1261" s="66" t="n">
        <f aca="false">IFERROR($U1261/$R1261,0)</f>
        <v>0.403239409622388</v>
      </c>
      <c r="W1261" s="67" t="str">
        <f aca="false">IF(AND($V1261&gt;=Parametros!$C$8,$R1261&gt;=Parametros!$C$12),"Alta rentabilidad",IF(OR($V1261&lt;Parametros!$C$11,$R1261&lt;Parametros!$C$13),"Revisar","Estandar"))</f>
        <v>Estandar</v>
      </c>
      <c r="X1261" s="67" t="str">
        <f aca="false">IF(AND($J1261="E-commerce",IFERROR($T1261/$R1261,0)&gt;Parametros!$C$14),"Alerta","OK")</f>
        <v>Alerta</v>
      </c>
      <c r="Y1261" s="61" t="str">
        <f aca="false">IF($R1261&gt;=Parametros!$C$12,"Alto",IF($R1261&lt;Parametros!$C$13,"Bajo","Medio"))</f>
        <v>Medio</v>
      </c>
      <c r="Z1261" s="61" t="n">
        <v>2408</v>
      </c>
      <c r="AA1261" s="61" t="str">
        <f aca="false">IF(MATCH($A1261,Datos_Origen!$A$2:$A$2459,0)=$Z1261,"OK","REVISAR")</f>
        <v>OK</v>
      </c>
      <c r="AB1261" s="62" t="n">
        <f aca="false">INDEX(Datos_Origen!$B$2:$B$2459,$Z1261)</f>
        <v>45676</v>
      </c>
      <c r="AC1261" s="61" t="n">
        <f aca="false">INDEX(Datos_Origen!$H$2:$H$2459,$Z1261)</f>
        <v>15</v>
      </c>
      <c r="AD1261" s="61" t="str">
        <f aca="false">INDEX(Datos_Origen!$D$2:$D$2459,$Z1261)&amp;""</f>
        <v>Rosario</v>
      </c>
    </row>
    <row r="1262" customFormat="false" ht="15" hidden="false" customHeight="false" outlineLevel="0" collapsed="false">
      <c r="A1262" s="61" t="n">
        <f aca="false">INDEX(Datos_Origen!$A$2:$A$2459,$Z1262)</f>
        <v>1261</v>
      </c>
      <c r="B1262" s="62" t="n">
        <f aca="false">IF(ISNUMBER($AB1262),$AB1262,IF(MID($AB1262,5,1)="-",DATE(VALUE(LEFT($AB1262,4)),VALUE(MID($AB1262,6,2)),VALUE(RIGHT($AB1262,2))),DATE(VALUE(RIGHT($AB1262,4)),VALUE(MID($AB1262,4,2)),VALUE(LEFT($AB1262,2)))))</f>
        <v>45683</v>
      </c>
      <c r="C1262" s="61" t="n">
        <f aca="false">YEAR($B1262)</f>
        <v>2025</v>
      </c>
      <c r="D1262" s="61" t="str">
        <f aca="false">"Q"&amp;ROUNDUP(MONTH($B1262)/3,0)</f>
        <v>Q1</v>
      </c>
      <c r="E1262" s="61" t="n">
        <f aca="false">MONTH($B1262)</f>
        <v>1</v>
      </c>
      <c r="F1262" s="61" t="str">
        <f aca="false">INDEX(Parametros!$I$5:$I$16,$E1262)</f>
        <v>Ene</v>
      </c>
      <c r="G1262" s="61" t="str">
        <f aca="false">TEXT($C1262,"0000")&amp;"-"&amp;TEXT($E1262,"00")</f>
        <v>2025-01</v>
      </c>
      <c r="H1262" s="61" t="str">
        <f aca="false">INDEX(Parametros!$C$71:$C$91,MATCH(TRIM(INDEX(Datos_Origen!$C$2:$C$2459,$Z1262)),Parametros!$B$71:$B$91,0))</f>
        <v>Cuyo</v>
      </c>
      <c r="I1262" s="61" t="str">
        <f aca="false">IF(TRIM($AD1262)="",INDEX(Parametros!$I$20:$I$24,MATCH($H1262,Parametros!$H$20:$H$24,0)),TRIM($AD1262))</f>
        <v>Mendoza</v>
      </c>
      <c r="J1262" s="61" t="str">
        <f aca="false">INDEX(Parametros!$C$95:$C$106,MATCH(TRIM(INDEX(Datos_Origen!$E$2:$E$2459,$Z1262)),Parametros!$B$95:$B$106,0))</f>
        <v>Tienda fisica</v>
      </c>
      <c r="K1262" s="61" t="str">
        <f aca="false">INDEX(Parametros!$C$48:$C$67,MATCH(TRIM(INDEX(Datos_Origen!$F$2:$F$2459,$Z1262)),Parametros!$B$48:$B$67,0))</f>
        <v>Computacion</v>
      </c>
      <c r="L1262" s="61" t="str">
        <f aca="false">$K1262&amp;" "&amp;$C1262</f>
        <v>Computacion 2025</v>
      </c>
      <c r="M1262" s="61" t="str">
        <f aca="false">TRIM(INDEX(Datos_Origen!$G$2:$G$2459,$Z1262))</f>
        <v>Laptop Pro 15</v>
      </c>
      <c r="N1262" s="61" t="str">
        <f aca="false">$M1262&amp;" "&amp;$C1262</f>
        <v>Laptop Pro 15 2025</v>
      </c>
      <c r="O1262" s="63" t="n">
        <f aca="false">IF(ISTEXT($AC1262),VALUE($AC1262),$AC1262)</f>
        <v>6</v>
      </c>
      <c r="P1262" s="64" t="n">
        <f aca="false">INDEX(Datos_Origen!$I$2:$I$2459,$Z1262)</f>
        <v>1155.06</v>
      </c>
      <c r="Q1262" s="64" t="n">
        <f aca="false">INDEX(Datos_Origen!$J$2:$J$2459,$Z1262)</f>
        <v>766.32</v>
      </c>
      <c r="R1262" s="65" t="n">
        <f aca="false">ROUND($O1262*$P1262,2)</f>
        <v>6930.36</v>
      </c>
      <c r="S1262" s="65" t="n">
        <f aca="false">ROUND($O1262*$Q1262,2)</f>
        <v>4597.92</v>
      </c>
      <c r="T1262" s="65" t="n">
        <f aca="false">ROUND($R1262*SUMIFS(Parametros!$E$28:$E$43,Parametros!$B$28:$B$43,$J1262,Parametros!$C$28:$C$43,$C1262,Parametros!$D$28:$D$43,$D1262),2)</f>
        <v>90.09</v>
      </c>
      <c r="U1262" s="65" t="n">
        <f aca="false">$R1262-$S1262-$T1262</f>
        <v>2242.35</v>
      </c>
      <c r="V1262" s="66" t="n">
        <f aca="false">IFERROR($U1262/$R1262,0)</f>
        <v>0.323554620539193</v>
      </c>
      <c r="W1262" s="67" t="str">
        <f aca="false">IF(AND($V1262&gt;=Parametros!$C$8,$R1262&gt;=Parametros!$C$12),"Alta rentabilidad",IF(OR($V1262&lt;Parametros!$C$11,$R1262&lt;Parametros!$C$13),"Revisar","Estandar"))</f>
        <v>Estandar</v>
      </c>
      <c r="X1262" s="67" t="str">
        <f aca="false">IF(AND($J1262="E-commerce",IFERROR($T1262/$R1262,0)&gt;Parametros!$C$14),"Alerta","OK")</f>
        <v>OK</v>
      </c>
      <c r="Y1262" s="61" t="str">
        <f aca="false">IF($R1262&gt;=Parametros!$C$12,"Alto",IF($R1262&lt;Parametros!$C$13,"Bajo","Medio"))</f>
        <v>Alto</v>
      </c>
      <c r="Z1262" s="61" t="n">
        <v>16</v>
      </c>
      <c r="AA1262" s="61" t="str">
        <f aca="false">IF(MATCH($A1262,Datos_Origen!$A$2:$A$2459,0)=$Z1262,"OK","REVISAR")</f>
        <v>OK</v>
      </c>
      <c r="AB1262" s="62" t="n">
        <f aca="false">INDEX(Datos_Origen!$B$2:$B$2459,$Z1262)</f>
        <v>45683</v>
      </c>
      <c r="AC1262" s="61" t="n">
        <f aca="false">INDEX(Datos_Origen!$H$2:$H$2459,$Z1262)</f>
        <v>6</v>
      </c>
      <c r="AD1262" s="61" t="str">
        <f aca="false">INDEX(Datos_Origen!$D$2:$D$2459,$Z1262)&amp;""</f>
        <v>Mendoza</v>
      </c>
    </row>
    <row r="1263" customFormat="false" ht="15" hidden="false" customHeight="false" outlineLevel="0" collapsed="false">
      <c r="A1263" s="61" t="n">
        <f aca="false">INDEX(Datos_Origen!$A$2:$A$2459,$Z1263)</f>
        <v>1262</v>
      </c>
      <c r="B1263" s="62" t="n">
        <f aca="false">IF(ISNUMBER($AB1263),$AB1263,IF(MID($AB1263,5,1)="-",DATE(VALUE(LEFT($AB1263,4)),VALUE(MID($AB1263,6,2)),VALUE(RIGHT($AB1263,2))),DATE(VALUE(RIGHT($AB1263,4)),VALUE(MID($AB1263,4,2)),VALUE(LEFT($AB1263,2)))))</f>
        <v>45663</v>
      </c>
      <c r="C1263" s="61" t="n">
        <f aca="false">YEAR($B1263)</f>
        <v>2025</v>
      </c>
      <c r="D1263" s="61" t="str">
        <f aca="false">"Q"&amp;ROUNDUP(MONTH($B1263)/3,0)</f>
        <v>Q1</v>
      </c>
      <c r="E1263" s="61" t="n">
        <f aca="false">MONTH($B1263)</f>
        <v>1</v>
      </c>
      <c r="F1263" s="61" t="str">
        <f aca="false">INDEX(Parametros!$I$5:$I$16,$E1263)</f>
        <v>Ene</v>
      </c>
      <c r="G1263" s="61" t="str">
        <f aca="false">TEXT($C1263,"0000")&amp;"-"&amp;TEXT($E1263,"00")</f>
        <v>2025-01</v>
      </c>
      <c r="H1263" s="61" t="str">
        <f aca="false">INDEX(Parametros!$C$71:$C$91,MATCH(TRIM(INDEX(Datos_Origen!$C$2:$C$2459,$Z1263)),Parametros!$B$71:$B$91,0))</f>
        <v>Cuyo</v>
      </c>
      <c r="I1263" s="61" t="str">
        <f aca="false">IF(TRIM($AD1263)="",INDEX(Parametros!$I$20:$I$24,MATCH($H1263,Parametros!$H$20:$H$24,0)),TRIM($AD1263))</f>
        <v>Mendoza</v>
      </c>
      <c r="J1263" s="61" t="str">
        <f aca="false">INDEX(Parametros!$C$95:$C$106,MATCH(TRIM(INDEX(Datos_Origen!$E$2:$E$2459,$Z1263)),Parametros!$B$95:$B$106,0))</f>
        <v>E-commerce</v>
      </c>
      <c r="K1263" s="61" t="str">
        <f aca="false">INDEX(Parametros!$C$48:$C$67,MATCH(TRIM(INDEX(Datos_Origen!$F$2:$F$2459,$Z1263)),Parametros!$B$48:$B$67,0))</f>
        <v>Computacion</v>
      </c>
      <c r="L1263" s="61" t="str">
        <f aca="false">$K1263&amp;" "&amp;$C1263</f>
        <v>Computacion 2025</v>
      </c>
      <c r="M1263" s="61" t="str">
        <f aca="false">TRIM(INDEX(Datos_Origen!$G$2:$G$2459,$Z1263))</f>
        <v>Laptop Pro 15</v>
      </c>
      <c r="N1263" s="61" t="str">
        <f aca="false">$M1263&amp;" "&amp;$C1263</f>
        <v>Laptop Pro 15 2025</v>
      </c>
      <c r="O1263" s="63" t="n">
        <f aca="false">IF(ISTEXT($AC1263),VALUE($AC1263),$AC1263)</f>
        <v>4</v>
      </c>
      <c r="P1263" s="64" t="n">
        <f aca="false">INDEX(Datos_Origen!$I$2:$I$2459,$Z1263)</f>
        <v>1155.06</v>
      </c>
      <c r="Q1263" s="64" t="n">
        <f aca="false">INDEX(Datos_Origen!$J$2:$J$2459,$Z1263)</f>
        <v>766.32</v>
      </c>
      <c r="R1263" s="65" t="n">
        <f aca="false">ROUND($O1263*$P1263,2)</f>
        <v>4620.24</v>
      </c>
      <c r="S1263" s="65" t="n">
        <f aca="false">ROUND($O1263*$Q1263,2)</f>
        <v>3065.28</v>
      </c>
      <c r="T1263" s="65" t="n">
        <f aca="false">ROUND($R1263*SUMIFS(Parametros!$E$28:$E$43,Parametros!$B$28:$B$43,$J1263,Parametros!$C$28:$C$43,$C1263,Parametros!$D$28:$D$43,$D1263),2)</f>
        <v>314.18</v>
      </c>
      <c r="U1263" s="65" t="n">
        <f aca="false">$R1263-$S1263-$T1263</f>
        <v>1240.78</v>
      </c>
      <c r="V1263" s="66" t="n">
        <f aca="false">IFERROR($U1263/$R1263,0)</f>
        <v>0.268553148754177</v>
      </c>
      <c r="W1263" s="67" t="str">
        <f aca="false">IF(AND($V1263&gt;=Parametros!$C$8,$R1263&gt;=Parametros!$C$12),"Alta rentabilidad",IF(OR($V1263&lt;Parametros!$C$11,$R1263&lt;Parametros!$C$13),"Revisar","Estandar"))</f>
        <v>Revisar</v>
      </c>
      <c r="X1263" s="67" t="str">
        <f aca="false">IF(AND($J1263="E-commerce",IFERROR($T1263/$R1263,0)&gt;Parametros!$C$14),"Alerta","OK")</f>
        <v>Alerta</v>
      </c>
      <c r="Y1263" s="61" t="str">
        <f aca="false">IF($R1263&gt;=Parametros!$C$12,"Alto",IF($R1263&lt;Parametros!$C$13,"Bajo","Medio"))</f>
        <v>Alto</v>
      </c>
      <c r="Z1263" s="61" t="n">
        <v>547</v>
      </c>
      <c r="AA1263" s="61" t="str">
        <f aca="false">IF(MATCH($A1263,Datos_Origen!$A$2:$A$2459,0)=$Z1263,"OK","REVISAR")</f>
        <v>OK</v>
      </c>
      <c r="AB1263" s="61" t="str">
        <f aca="false">INDEX(Datos_Origen!$B$2:$B$2459,$Z1263)</f>
        <v>2025-01-06</v>
      </c>
      <c r="AC1263" s="61" t="n">
        <f aca="false">INDEX(Datos_Origen!$H$2:$H$2459,$Z1263)</f>
        <v>4</v>
      </c>
      <c r="AD1263" s="61" t="str">
        <f aca="false">INDEX(Datos_Origen!$D$2:$D$2459,$Z1263)&amp;""</f>
        <v>Mendoza</v>
      </c>
    </row>
    <row r="1264" customFormat="false" ht="15" hidden="false" customHeight="false" outlineLevel="0" collapsed="false">
      <c r="A1264" s="61" t="n">
        <f aca="false">INDEX(Datos_Origen!$A$2:$A$2459,$Z1264)</f>
        <v>1263</v>
      </c>
      <c r="B1264" s="62" t="n">
        <f aca="false">IF(ISNUMBER($AB1264),$AB1264,IF(MID($AB1264,5,1)="-",DATE(VALUE(LEFT($AB1264,4)),VALUE(MID($AB1264,6,2)),VALUE(RIGHT($AB1264,2))),DATE(VALUE(RIGHT($AB1264,4)),VALUE(MID($AB1264,4,2)),VALUE(LEFT($AB1264,2)))))</f>
        <v>45670</v>
      </c>
      <c r="C1264" s="61" t="n">
        <f aca="false">YEAR($B1264)</f>
        <v>2025</v>
      </c>
      <c r="D1264" s="61" t="str">
        <f aca="false">"Q"&amp;ROUNDUP(MONTH($B1264)/3,0)</f>
        <v>Q1</v>
      </c>
      <c r="E1264" s="61" t="n">
        <f aca="false">MONTH($B1264)</f>
        <v>1</v>
      </c>
      <c r="F1264" s="61" t="str">
        <f aca="false">INDEX(Parametros!$I$5:$I$16,$E1264)</f>
        <v>Ene</v>
      </c>
      <c r="G1264" s="61" t="str">
        <f aca="false">TEXT($C1264,"0000")&amp;"-"&amp;TEXT($E1264,"00")</f>
        <v>2025-01</v>
      </c>
      <c r="H1264" s="61" t="str">
        <f aca="false">INDEX(Parametros!$C$71:$C$91,MATCH(TRIM(INDEX(Datos_Origen!$C$2:$C$2459,$Z1264)),Parametros!$B$71:$B$91,0))</f>
        <v>Cuyo</v>
      </c>
      <c r="I1264" s="61" t="str">
        <f aca="false">IF(TRIM($AD1264)="",INDEX(Parametros!$I$20:$I$24,MATCH($H1264,Parametros!$H$20:$H$24,0)),TRIM($AD1264))</f>
        <v>Mendoza</v>
      </c>
      <c r="J1264" s="61" t="str">
        <f aca="false">INDEX(Parametros!$C$95:$C$106,MATCH(TRIM(INDEX(Datos_Origen!$E$2:$E$2459,$Z1264)),Parametros!$B$95:$B$106,0))</f>
        <v>Tienda fisica</v>
      </c>
      <c r="K1264" s="61" t="str">
        <f aca="false">INDEX(Parametros!$C$48:$C$67,MATCH(TRIM(INDEX(Datos_Origen!$F$2:$F$2459,$Z1264)),Parametros!$B$48:$B$67,0))</f>
        <v>Computacion</v>
      </c>
      <c r="L1264" s="61" t="str">
        <f aca="false">$K1264&amp;" "&amp;$C1264</f>
        <v>Computacion 2025</v>
      </c>
      <c r="M1264" s="61" t="str">
        <f aca="false">TRIM(INDEX(Datos_Origen!$G$2:$G$2459,$Z1264))</f>
        <v>Monitor 4K 27</v>
      </c>
      <c r="N1264" s="61" t="str">
        <f aca="false">$M1264&amp;" "&amp;$C1264</f>
        <v>Monitor 4K 27 2025</v>
      </c>
      <c r="O1264" s="63" t="n">
        <f aca="false">IF(ISTEXT($AC1264),VALUE($AC1264),$AC1264)</f>
        <v>5</v>
      </c>
      <c r="P1264" s="64" t="n">
        <f aca="false">INDEX(Datos_Origen!$I$2:$I$2459,$Z1264)</f>
        <v>433.15</v>
      </c>
      <c r="Q1264" s="64" t="n">
        <f aca="false">INDEX(Datos_Origen!$J$2:$J$2459,$Z1264)</f>
        <v>280.42</v>
      </c>
      <c r="R1264" s="65" t="n">
        <f aca="false">ROUND($O1264*$P1264,2)</f>
        <v>2165.75</v>
      </c>
      <c r="S1264" s="65" t="n">
        <f aca="false">ROUND($O1264*$Q1264,2)</f>
        <v>1402.1</v>
      </c>
      <c r="T1264" s="65" t="n">
        <f aca="false">ROUND($R1264*SUMIFS(Parametros!$E$28:$E$43,Parametros!$B$28:$B$43,$J1264,Parametros!$C$28:$C$43,$C1264,Parametros!$D$28:$D$43,$D1264),2)</f>
        <v>28.15</v>
      </c>
      <c r="U1264" s="65" t="n">
        <f aca="false">$R1264-$S1264-$T1264</f>
        <v>735.5</v>
      </c>
      <c r="V1264" s="66" t="n">
        <f aca="false">IFERROR($U1264/$R1264,0)</f>
        <v>0.339605217592058</v>
      </c>
      <c r="W1264" s="67" t="str">
        <f aca="false">IF(AND($V1264&gt;=Parametros!$C$8,$R1264&gt;=Parametros!$C$12),"Alta rentabilidad",IF(OR($V1264&lt;Parametros!$C$11,$R1264&lt;Parametros!$C$13),"Revisar","Estandar"))</f>
        <v>Estandar</v>
      </c>
      <c r="X1264" s="67" t="str">
        <f aca="false">IF(AND($J1264="E-commerce",IFERROR($T1264/$R1264,0)&gt;Parametros!$C$14),"Alerta","OK")</f>
        <v>OK</v>
      </c>
      <c r="Y1264" s="61" t="str">
        <f aca="false">IF($R1264&gt;=Parametros!$C$12,"Alto",IF($R1264&lt;Parametros!$C$13,"Bajo","Medio"))</f>
        <v>Medio</v>
      </c>
      <c r="Z1264" s="61" t="n">
        <v>2252</v>
      </c>
      <c r="AA1264" s="61" t="str">
        <f aca="false">IF(MATCH($A1264,Datos_Origen!$A$2:$A$2459,0)=$Z1264,"OK","REVISAR")</f>
        <v>OK</v>
      </c>
      <c r="AB1264" s="62" t="n">
        <f aca="false">INDEX(Datos_Origen!$B$2:$B$2459,$Z1264)</f>
        <v>45670</v>
      </c>
      <c r="AC1264" s="61" t="n">
        <f aca="false">INDEX(Datos_Origen!$H$2:$H$2459,$Z1264)</f>
        <v>5</v>
      </c>
      <c r="AD1264" s="61" t="str">
        <f aca="false">INDEX(Datos_Origen!$D$2:$D$2459,$Z1264)&amp;""</f>
        <v>Mendoza</v>
      </c>
    </row>
    <row r="1265" customFormat="false" ht="15" hidden="false" customHeight="false" outlineLevel="0" collapsed="false">
      <c r="A1265" s="61" t="n">
        <f aca="false">INDEX(Datos_Origen!$A$2:$A$2459,$Z1265)</f>
        <v>1264</v>
      </c>
      <c r="B1265" s="62" t="n">
        <f aca="false">IF(ISNUMBER($AB1265),$AB1265,IF(MID($AB1265,5,1)="-",DATE(VALUE(LEFT($AB1265,4)),VALUE(MID($AB1265,6,2)),VALUE(RIGHT($AB1265,2))),DATE(VALUE(RIGHT($AB1265,4)),VALUE(MID($AB1265,4,2)),VALUE(LEFT($AB1265,2)))))</f>
        <v>45677</v>
      </c>
      <c r="C1265" s="61" t="n">
        <f aca="false">YEAR($B1265)</f>
        <v>2025</v>
      </c>
      <c r="D1265" s="61" t="str">
        <f aca="false">"Q"&amp;ROUNDUP(MONTH($B1265)/3,0)</f>
        <v>Q1</v>
      </c>
      <c r="E1265" s="61" t="n">
        <f aca="false">MONTH($B1265)</f>
        <v>1</v>
      </c>
      <c r="F1265" s="61" t="str">
        <f aca="false">INDEX(Parametros!$I$5:$I$16,$E1265)</f>
        <v>Ene</v>
      </c>
      <c r="G1265" s="61" t="str">
        <f aca="false">TEXT($C1265,"0000")&amp;"-"&amp;TEXT($E1265,"00")</f>
        <v>2025-01</v>
      </c>
      <c r="H1265" s="61" t="str">
        <f aca="false">INDEX(Parametros!$C$71:$C$91,MATCH(TRIM(INDEX(Datos_Origen!$C$2:$C$2459,$Z1265)),Parametros!$B$71:$B$91,0))</f>
        <v>Cuyo</v>
      </c>
      <c r="I1265" s="61" t="str">
        <f aca="false">IF(TRIM($AD1265)="",INDEX(Parametros!$I$20:$I$24,MATCH($H1265,Parametros!$H$20:$H$24,0)),TRIM($AD1265))</f>
        <v>Mendoza</v>
      </c>
      <c r="J1265" s="61" t="str">
        <f aca="false">INDEX(Parametros!$C$95:$C$106,MATCH(TRIM(INDEX(Datos_Origen!$E$2:$E$2459,$Z1265)),Parametros!$B$95:$B$106,0))</f>
        <v>E-commerce</v>
      </c>
      <c r="K1265" s="61" t="str">
        <f aca="false">INDEX(Parametros!$C$48:$C$67,MATCH(TRIM(INDEX(Datos_Origen!$F$2:$F$2459,$Z1265)),Parametros!$B$48:$B$67,0))</f>
        <v>Computacion</v>
      </c>
      <c r="L1265" s="61" t="str">
        <f aca="false">$K1265&amp;" "&amp;$C1265</f>
        <v>Computacion 2025</v>
      </c>
      <c r="M1265" s="61" t="str">
        <f aca="false">TRIM(INDEX(Datos_Origen!$G$2:$G$2459,$Z1265))</f>
        <v>Monitor 4K 27</v>
      </c>
      <c r="N1265" s="61" t="str">
        <f aca="false">$M1265&amp;" "&amp;$C1265</f>
        <v>Monitor 4K 27 2025</v>
      </c>
      <c r="O1265" s="63" t="n">
        <f aca="false">IF(ISTEXT($AC1265),VALUE($AC1265),$AC1265)</f>
        <v>4</v>
      </c>
      <c r="P1265" s="64" t="n">
        <f aca="false">INDEX(Datos_Origen!$I$2:$I$2459,$Z1265)</f>
        <v>433.15</v>
      </c>
      <c r="Q1265" s="64" t="n">
        <f aca="false">INDEX(Datos_Origen!$J$2:$J$2459,$Z1265)</f>
        <v>280.42</v>
      </c>
      <c r="R1265" s="65" t="n">
        <f aca="false">ROUND($O1265*$P1265,2)</f>
        <v>1732.6</v>
      </c>
      <c r="S1265" s="65" t="n">
        <f aca="false">ROUND($O1265*$Q1265,2)</f>
        <v>1121.68</v>
      </c>
      <c r="T1265" s="65" t="n">
        <f aca="false">ROUND($R1265*SUMIFS(Parametros!$E$28:$E$43,Parametros!$B$28:$B$43,$J1265,Parametros!$C$28:$C$43,$C1265,Parametros!$D$28:$D$43,$D1265),2)</f>
        <v>117.82</v>
      </c>
      <c r="U1265" s="65" t="n">
        <f aca="false">$R1265-$S1265-$T1265</f>
        <v>493.1</v>
      </c>
      <c r="V1265" s="66" t="n">
        <f aca="false">IFERROR($U1265/$R1265,0)</f>
        <v>0.284601177421217</v>
      </c>
      <c r="W1265" s="67" t="str">
        <f aca="false">IF(AND($V1265&gt;=Parametros!$C$8,$R1265&gt;=Parametros!$C$12),"Alta rentabilidad",IF(OR($V1265&lt;Parametros!$C$11,$R1265&lt;Parametros!$C$13),"Revisar","Estandar"))</f>
        <v>Estandar</v>
      </c>
      <c r="X1265" s="67" t="str">
        <f aca="false">IF(AND($J1265="E-commerce",IFERROR($T1265/$R1265,0)&gt;Parametros!$C$14),"Alerta","OK")</f>
        <v>Alerta</v>
      </c>
      <c r="Y1265" s="61" t="str">
        <f aca="false">IF($R1265&gt;=Parametros!$C$12,"Alto",IF($R1265&lt;Parametros!$C$13,"Bajo","Medio"))</f>
        <v>Medio</v>
      </c>
      <c r="Z1265" s="61" t="n">
        <v>1809</v>
      </c>
      <c r="AA1265" s="61" t="str">
        <f aca="false">IF(MATCH($A1265,Datos_Origen!$A$2:$A$2459,0)=$Z1265,"OK","REVISAR")</f>
        <v>OK</v>
      </c>
      <c r="AB1265" s="62" t="n">
        <f aca="false">INDEX(Datos_Origen!$B$2:$B$2459,$Z1265)</f>
        <v>45677</v>
      </c>
      <c r="AC1265" s="61" t="n">
        <f aca="false">INDEX(Datos_Origen!$H$2:$H$2459,$Z1265)</f>
        <v>4</v>
      </c>
      <c r="AD1265" s="61" t="str">
        <f aca="false">INDEX(Datos_Origen!$D$2:$D$2459,$Z1265)&amp;""</f>
        <v/>
      </c>
    </row>
    <row r="1266" customFormat="false" ht="15" hidden="false" customHeight="false" outlineLevel="0" collapsed="false">
      <c r="A1266" s="61" t="n">
        <f aca="false">INDEX(Datos_Origen!$A$2:$A$2459,$Z1266)</f>
        <v>1265</v>
      </c>
      <c r="B1266" s="62" t="n">
        <f aca="false">IF(ISNUMBER($AB1266),$AB1266,IF(MID($AB1266,5,1)="-",DATE(VALUE(LEFT($AB1266,4)),VALUE(MID($AB1266,6,2)),VALUE(RIGHT($AB1266,2))),DATE(VALUE(RIGHT($AB1266,4)),VALUE(MID($AB1266,4,2)),VALUE(LEFT($AB1266,2)))))</f>
        <v>45684</v>
      </c>
      <c r="C1266" s="61" t="n">
        <f aca="false">YEAR($B1266)</f>
        <v>2025</v>
      </c>
      <c r="D1266" s="61" t="str">
        <f aca="false">"Q"&amp;ROUNDUP(MONTH($B1266)/3,0)</f>
        <v>Q1</v>
      </c>
      <c r="E1266" s="61" t="n">
        <f aca="false">MONTH($B1266)</f>
        <v>1</v>
      </c>
      <c r="F1266" s="61" t="str">
        <f aca="false">INDEX(Parametros!$I$5:$I$16,$E1266)</f>
        <v>Ene</v>
      </c>
      <c r="G1266" s="61" t="str">
        <f aca="false">TEXT($C1266,"0000")&amp;"-"&amp;TEXT($E1266,"00")</f>
        <v>2025-01</v>
      </c>
      <c r="H1266" s="61" t="str">
        <f aca="false">INDEX(Parametros!$C$71:$C$91,MATCH(TRIM(INDEX(Datos_Origen!$C$2:$C$2459,$Z1266)),Parametros!$B$71:$B$91,0))</f>
        <v>Cuyo</v>
      </c>
      <c r="I1266" s="61" t="str">
        <f aca="false">IF(TRIM($AD1266)="",INDEX(Parametros!$I$20:$I$24,MATCH($H1266,Parametros!$H$20:$H$24,0)),TRIM($AD1266))</f>
        <v>Mendoza</v>
      </c>
      <c r="J1266" s="61" t="str">
        <f aca="false">INDEX(Parametros!$C$95:$C$106,MATCH(TRIM(INDEX(Datos_Origen!$E$2:$E$2459,$Z1266)),Parametros!$B$95:$B$106,0))</f>
        <v>Tienda fisica</v>
      </c>
      <c r="K1266" s="61" t="str">
        <f aca="false">INDEX(Parametros!$C$48:$C$67,MATCH(TRIM(INDEX(Datos_Origen!$F$2:$F$2459,$Z1266)),Parametros!$B$48:$B$67,0))</f>
        <v>Computacion</v>
      </c>
      <c r="L1266" s="61" t="str">
        <f aca="false">$K1266&amp;" "&amp;$C1266</f>
        <v>Computacion 2025</v>
      </c>
      <c r="M1266" s="61" t="str">
        <f aca="false">TRIM(INDEX(Datos_Origen!$G$2:$G$2459,$Z1266))</f>
        <v>PC Gamer Ryzen</v>
      </c>
      <c r="N1266" s="61" t="str">
        <f aca="false">$M1266&amp;" "&amp;$C1266</f>
        <v>PC Gamer Ryzen 2025</v>
      </c>
      <c r="O1266" s="63" t="n">
        <f aca="false">IF(ISTEXT($AC1266),VALUE($AC1266),$AC1266)</f>
        <v>5</v>
      </c>
      <c r="P1266" s="64" t="n">
        <f aca="false">INDEX(Datos_Origen!$I$2:$I$2459,$Z1266)</f>
        <v>1588.21</v>
      </c>
      <c r="Q1266" s="64" t="n">
        <f aca="false">INDEX(Datos_Origen!$J$2:$J$2459,$Z1266)</f>
        <v>1155.66</v>
      </c>
      <c r="R1266" s="65" t="n">
        <f aca="false">ROUND($O1266*$P1266,2)</f>
        <v>7941.05</v>
      </c>
      <c r="S1266" s="65" t="n">
        <f aca="false">ROUND($O1266*$Q1266,2)</f>
        <v>5778.3</v>
      </c>
      <c r="T1266" s="65" t="n">
        <f aca="false">ROUND($R1266*SUMIFS(Parametros!$E$28:$E$43,Parametros!$B$28:$B$43,$J1266,Parametros!$C$28:$C$43,$C1266,Parametros!$D$28:$D$43,$D1266),2)</f>
        <v>103.23</v>
      </c>
      <c r="U1266" s="65" t="n">
        <f aca="false">$R1266-$S1266-$T1266</f>
        <v>2059.52</v>
      </c>
      <c r="V1266" s="66" t="n">
        <f aca="false">IFERROR($U1266/$R1266,0)</f>
        <v>0.259351093369265</v>
      </c>
      <c r="W1266" s="67" t="str">
        <f aca="false">IF(AND($V1266&gt;=Parametros!$C$8,$R1266&gt;=Parametros!$C$12),"Alta rentabilidad",IF(OR($V1266&lt;Parametros!$C$11,$R1266&lt;Parametros!$C$13),"Revisar","Estandar"))</f>
        <v>Revisar</v>
      </c>
      <c r="X1266" s="67" t="str">
        <f aca="false">IF(AND($J1266="E-commerce",IFERROR($T1266/$R1266,0)&gt;Parametros!$C$14),"Alerta","OK")</f>
        <v>OK</v>
      </c>
      <c r="Y1266" s="61" t="str">
        <f aca="false">IF($R1266&gt;=Parametros!$C$12,"Alto",IF($R1266&lt;Parametros!$C$13,"Bajo","Medio"))</f>
        <v>Alto</v>
      </c>
      <c r="Z1266" s="61" t="n">
        <v>1130</v>
      </c>
      <c r="AA1266" s="61" t="str">
        <f aca="false">IF(MATCH($A1266,Datos_Origen!$A$2:$A$2459,0)=$Z1266,"OK","REVISAR")</f>
        <v>OK</v>
      </c>
      <c r="AB1266" s="62" t="n">
        <f aca="false">INDEX(Datos_Origen!$B$2:$B$2459,$Z1266)</f>
        <v>45684</v>
      </c>
      <c r="AC1266" s="61" t="n">
        <f aca="false">INDEX(Datos_Origen!$H$2:$H$2459,$Z1266)</f>
        <v>5</v>
      </c>
      <c r="AD1266" s="61" t="str">
        <f aca="false">INDEX(Datos_Origen!$D$2:$D$2459,$Z1266)&amp;""</f>
        <v>Mendoza</v>
      </c>
    </row>
    <row r="1267" customFormat="false" ht="15" hidden="false" customHeight="false" outlineLevel="0" collapsed="false">
      <c r="A1267" s="61" t="n">
        <f aca="false">INDEX(Datos_Origen!$A$2:$A$2459,$Z1267)</f>
        <v>1266</v>
      </c>
      <c r="B1267" s="62" t="n">
        <f aca="false">IF(ISNUMBER($AB1267),$AB1267,IF(MID($AB1267,5,1)="-",DATE(VALUE(LEFT($AB1267,4)),VALUE(MID($AB1267,6,2)),VALUE(RIGHT($AB1267,2))),DATE(VALUE(RIGHT($AB1267,4)),VALUE(MID($AB1267,4,2)),VALUE(LEFT($AB1267,2)))))</f>
        <v>45664</v>
      </c>
      <c r="C1267" s="61" t="n">
        <f aca="false">YEAR($B1267)</f>
        <v>2025</v>
      </c>
      <c r="D1267" s="61" t="str">
        <f aca="false">"Q"&amp;ROUNDUP(MONTH($B1267)/3,0)</f>
        <v>Q1</v>
      </c>
      <c r="E1267" s="61" t="n">
        <f aca="false">MONTH($B1267)</f>
        <v>1</v>
      </c>
      <c r="F1267" s="61" t="str">
        <f aca="false">INDEX(Parametros!$I$5:$I$16,$E1267)</f>
        <v>Ene</v>
      </c>
      <c r="G1267" s="61" t="str">
        <f aca="false">TEXT($C1267,"0000")&amp;"-"&amp;TEXT($E1267,"00")</f>
        <v>2025-01</v>
      </c>
      <c r="H1267" s="61" t="str">
        <f aca="false">INDEX(Parametros!$C$71:$C$91,MATCH(TRIM(INDEX(Datos_Origen!$C$2:$C$2459,$Z1267)),Parametros!$B$71:$B$91,0))</f>
        <v>Cuyo</v>
      </c>
      <c r="I1267" s="61" t="str">
        <f aca="false">IF(TRIM($AD1267)="",INDEX(Parametros!$I$20:$I$24,MATCH($H1267,Parametros!$H$20:$H$24,0)),TRIM($AD1267))</f>
        <v>Mendoza</v>
      </c>
      <c r="J1267" s="61" t="str">
        <f aca="false">INDEX(Parametros!$C$95:$C$106,MATCH(TRIM(INDEX(Datos_Origen!$E$2:$E$2459,$Z1267)),Parametros!$B$95:$B$106,0))</f>
        <v>E-commerce</v>
      </c>
      <c r="K1267" s="61" t="str">
        <f aca="false">INDEX(Parametros!$C$48:$C$67,MATCH(TRIM(INDEX(Datos_Origen!$F$2:$F$2459,$Z1267)),Parametros!$B$48:$B$67,0))</f>
        <v>Computacion</v>
      </c>
      <c r="L1267" s="61" t="str">
        <f aca="false">$K1267&amp;" "&amp;$C1267</f>
        <v>Computacion 2025</v>
      </c>
      <c r="M1267" s="61" t="str">
        <f aca="false">TRIM(INDEX(Datos_Origen!$G$2:$G$2459,$Z1267))</f>
        <v>PC Gamer Ryzen</v>
      </c>
      <c r="N1267" s="61" t="str">
        <f aca="false">$M1267&amp;" "&amp;$C1267</f>
        <v>PC Gamer Ryzen 2025</v>
      </c>
      <c r="O1267" s="63" t="n">
        <f aca="false">IF(ISTEXT($AC1267),VALUE($AC1267),$AC1267)</f>
        <v>4</v>
      </c>
      <c r="P1267" s="64" t="n">
        <f aca="false">INDEX(Datos_Origen!$I$2:$I$2459,$Z1267)</f>
        <v>1588.21</v>
      </c>
      <c r="Q1267" s="64" t="n">
        <f aca="false">INDEX(Datos_Origen!$J$2:$J$2459,$Z1267)</f>
        <v>1155.66</v>
      </c>
      <c r="R1267" s="65" t="n">
        <f aca="false">ROUND($O1267*$P1267,2)</f>
        <v>6352.84</v>
      </c>
      <c r="S1267" s="65" t="n">
        <f aca="false">ROUND($O1267*$Q1267,2)</f>
        <v>4622.64</v>
      </c>
      <c r="T1267" s="65" t="n">
        <f aca="false">ROUND($R1267*SUMIFS(Parametros!$E$28:$E$43,Parametros!$B$28:$B$43,$J1267,Parametros!$C$28:$C$43,$C1267,Parametros!$D$28:$D$43,$D1267),2)</f>
        <v>431.99</v>
      </c>
      <c r="U1267" s="65" t="n">
        <f aca="false">$R1267-$S1267-$T1267</f>
        <v>1298.21</v>
      </c>
      <c r="V1267" s="66" t="n">
        <f aca="false">IFERROR($U1267/$R1267,0)</f>
        <v>0.204351124851248</v>
      </c>
      <c r="W1267" s="67" t="str">
        <f aca="false">IF(AND($V1267&gt;=Parametros!$C$8,$R1267&gt;=Parametros!$C$12),"Alta rentabilidad",IF(OR($V1267&lt;Parametros!$C$11,$R1267&lt;Parametros!$C$13),"Revisar","Estandar"))</f>
        <v>Revisar</v>
      </c>
      <c r="X1267" s="67" t="str">
        <f aca="false">IF(AND($J1267="E-commerce",IFERROR($T1267/$R1267,0)&gt;Parametros!$C$14),"Alerta","OK")</f>
        <v>Alerta</v>
      </c>
      <c r="Y1267" s="61" t="str">
        <f aca="false">IF($R1267&gt;=Parametros!$C$12,"Alto",IF($R1267&lt;Parametros!$C$13,"Bajo","Medio"))</f>
        <v>Alto</v>
      </c>
      <c r="Z1267" s="61" t="n">
        <v>64</v>
      </c>
      <c r="AA1267" s="61" t="str">
        <f aca="false">IF(MATCH($A1267,Datos_Origen!$A$2:$A$2459,0)=$Z1267,"OK","REVISAR")</f>
        <v>OK</v>
      </c>
      <c r="AB1267" s="61" t="str">
        <f aca="false">INDEX(Datos_Origen!$B$2:$B$2459,$Z1267)</f>
        <v>07/01/2025</v>
      </c>
      <c r="AC1267" s="61" t="n">
        <f aca="false">INDEX(Datos_Origen!$H$2:$H$2459,$Z1267)</f>
        <v>4</v>
      </c>
      <c r="AD1267" s="61" t="str">
        <f aca="false">INDEX(Datos_Origen!$D$2:$D$2459,$Z1267)&amp;""</f>
        <v>Mendoza</v>
      </c>
    </row>
    <row r="1268" customFormat="false" ht="15" hidden="false" customHeight="false" outlineLevel="0" collapsed="false">
      <c r="A1268" s="61" t="n">
        <f aca="false">INDEX(Datos_Origen!$A$2:$A$2459,$Z1268)</f>
        <v>1267</v>
      </c>
      <c r="B1268" s="62" t="n">
        <f aca="false">IF(ISNUMBER($AB1268),$AB1268,IF(MID($AB1268,5,1)="-",DATE(VALUE(LEFT($AB1268,4)),VALUE(MID($AB1268,6,2)),VALUE(RIGHT($AB1268,2))),DATE(VALUE(RIGHT($AB1268,4)),VALUE(MID($AB1268,4,2)),VALUE(LEFT($AB1268,2)))))</f>
        <v>45671</v>
      </c>
      <c r="C1268" s="61" t="n">
        <f aca="false">YEAR($B1268)</f>
        <v>2025</v>
      </c>
      <c r="D1268" s="61" t="str">
        <f aca="false">"Q"&amp;ROUNDUP(MONTH($B1268)/3,0)</f>
        <v>Q1</v>
      </c>
      <c r="E1268" s="61" t="n">
        <f aca="false">MONTH($B1268)</f>
        <v>1</v>
      </c>
      <c r="F1268" s="61" t="str">
        <f aca="false">INDEX(Parametros!$I$5:$I$16,$E1268)</f>
        <v>Ene</v>
      </c>
      <c r="G1268" s="61" t="str">
        <f aca="false">TEXT($C1268,"0000")&amp;"-"&amp;TEXT($E1268,"00")</f>
        <v>2025-01</v>
      </c>
      <c r="H1268" s="61" t="str">
        <f aca="false">INDEX(Parametros!$C$71:$C$91,MATCH(TRIM(INDEX(Datos_Origen!$C$2:$C$2459,$Z1268)),Parametros!$B$71:$B$91,0))</f>
        <v>Cuyo</v>
      </c>
      <c r="I1268" s="61" t="str">
        <f aca="false">IF(TRIM($AD1268)="",INDEX(Parametros!$I$20:$I$24,MATCH($H1268,Parametros!$H$20:$H$24,0)),TRIM($AD1268))</f>
        <v>Mendoza</v>
      </c>
      <c r="J1268" s="61" t="str">
        <f aca="false">INDEX(Parametros!$C$95:$C$106,MATCH(TRIM(INDEX(Datos_Origen!$E$2:$E$2459,$Z1268)),Parametros!$B$95:$B$106,0))</f>
        <v>Tienda fisica</v>
      </c>
      <c r="K1268" s="61" t="str">
        <f aca="false">INDEX(Parametros!$C$48:$C$67,MATCH(TRIM(INDEX(Datos_Origen!$F$2:$F$2459,$Z1268)),Parametros!$B$48:$B$67,0))</f>
        <v>Accesorios</v>
      </c>
      <c r="L1268" s="61" t="str">
        <f aca="false">$K1268&amp;" "&amp;$C1268</f>
        <v>Accesorios 2025</v>
      </c>
      <c r="M1268" s="61" t="str">
        <f aca="false">TRIM(INDEX(Datos_Origen!$G$2:$G$2459,$Z1268))</f>
        <v>Mouse Inalambrico</v>
      </c>
      <c r="N1268" s="61" t="str">
        <f aca="false">$M1268&amp;" "&amp;$C1268</f>
        <v>Mouse Inalambrico 2025</v>
      </c>
      <c r="O1268" s="63" t="n">
        <f aca="false">IF(ISTEXT($AC1268),VALUE($AC1268),$AC1268)</f>
        <v>21</v>
      </c>
      <c r="P1268" s="64" t="n">
        <f aca="false">INDEX(Datos_Origen!$I$2:$I$2459,$Z1268)</f>
        <v>27.82</v>
      </c>
      <c r="Q1268" s="64" t="n">
        <f aca="false">INDEX(Datos_Origen!$J$2:$J$2459,$Z1268)</f>
        <v>13.84</v>
      </c>
      <c r="R1268" s="65" t="n">
        <f aca="false">ROUND($O1268*$P1268,2)</f>
        <v>584.22</v>
      </c>
      <c r="S1268" s="65" t="n">
        <f aca="false">ROUND($O1268*$Q1268,2)</f>
        <v>290.64</v>
      </c>
      <c r="T1268" s="65" t="n">
        <f aca="false">ROUND($R1268*SUMIFS(Parametros!$E$28:$E$43,Parametros!$B$28:$B$43,$J1268,Parametros!$C$28:$C$43,$C1268,Parametros!$D$28:$D$43,$D1268),2)</f>
        <v>7.59</v>
      </c>
      <c r="U1268" s="65" t="n">
        <f aca="false">$R1268-$S1268-$T1268</f>
        <v>285.99</v>
      </c>
      <c r="V1268" s="66" t="n">
        <f aca="false">IFERROR($U1268/$R1268,0)</f>
        <v>0.489524494197391</v>
      </c>
      <c r="W1268" s="67" t="str">
        <f aca="false">IF(AND($V1268&gt;=Parametros!$C$8,$R1268&gt;=Parametros!$C$12),"Alta rentabilidad",IF(OR($V1268&lt;Parametros!$C$11,$R1268&lt;Parametros!$C$13),"Revisar","Estandar"))</f>
        <v>Estandar</v>
      </c>
      <c r="X1268" s="67" t="str">
        <f aca="false">IF(AND($J1268="E-commerce",IFERROR($T1268/$R1268,0)&gt;Parametros!$C$14),"Alerta","OK")</f>
        <v>OK</v>
      </c>
      <c r="Y1268" s="61" t="str">
        <f aca="false">IF($R1268&gt;=Parametros!$C$12,"Alto",IF($R1268&lt;Parametros!$C$13,"Bajo","Medio"))</f>
        <v>Medio</v>
      </c>
      <c r="Z1268" s="61" t="n">
        <v>1906</v>
      </c>
      <c r="AA1268" s="61" t="str">
        <f aca="false">IF(MATCH($A1268,Datos_Origen!$A$2:$A$2459,0)=$Z1268,"OK","REVISAR")</f>
        <v>OK</v>
      </c>
      <c r="AB1268" s="61" t="str">
        <f aca="false">INDEX(Datos_Origen!$B$2:$B$2459,$Z1268)</f>
        <v>2025-01-14</v>
      </c>
      <c r="AC1268" s="61" t="n">
        <f aca="false">INDEX(Datos_Origen!$H$2:$H$2459,$Z1268)</f>
        <v>21</v>
      </c>
      <c r="AD1268" s="61" t="str">
        <f aca="false">INDEX(Datos_Origen!$D$2:$D$2459,$Z1268)&amp;""</f>
        <v>Mendoza</v>
      </c>
    </row>
    <row r="1269" customFormat="false" ht="15" hidden="false" customHeight="false" outlineLevel="0" collapsed="false">
      <c r="A1269" s="61" t="n">
        <f aca="false">INDEX(Datos_Origen!$A$2:$A$2459,$Z1269)</f>
        <v>1268</v>
      </c>
      <c r="B1269" s="62" t="n">
        <f aca="false">IF(ISNUMBER($AB1269),$AB1269,IF(MID($AB1269,5,1)="-",DATE(VALUE(LEFT($AB1269,4)),VALUE(MID($AB1269,6,2)),VALUE(RIGHT($AB1269,2))),DATE(VALUE(RIGHT($AB1269,4)),VALUE(MID($AB1269,4,2)),VALUE(LEFT($AB1269,2)))))</f>
        <v>45678</v>
      </c>
      <c r="C1269" s="61" t="n">
        <f aca="false">YEAR($B1269)</f>
        <v>2025</v>
      </c>
      <c r="D1269" s="61" t="str">
        <f aca="false">"Q"&amp;ROUNDUP(MONTH($B1269)/3,0)</f>
        <v>Q1</v>
      </c>
      <c r="E1269" s="61" t="n">
        <f aca="false">MONTH($B1269)</f>
        <v>1</v>
      </c>
      <c r="F1269" s="61" t="str">
        <f aca="false">INDEX(Parametros!$I$5:$I$16,$E1269)</f>
        <v>Ene</v>
      </c>
      <c r="G1269" s="61" t="str">
        <f aca="false">TEXT($C1269,"0000")&amp;"-"&amp;TEXT($E1269,"00")</f>
        <v>2025-01</v>
      </c>
      <c r="H1269" s="61" t="str">
        <f aca="false">INDEX(Parametros!$C$71:$C$91,MATCH(TRIM(INDEX(Datos_Origen!$C$2:$C$2459,$Z1269)),Parametros!$B$71:$B$91,0))</f>
        <v>Cuyo</v>
      </c>
      <c r="I1269" s="61" t="str">
        <f aca="false">IF(TRIM($AD1269)="",INDEX(Parametros!$I$20:$I$24,MATCH($H1269,Parametros!$H$20:$H$24,0)),TRIM($AD1269))</f>
        <v>Mendoza</v>
      </c>
      <c r="J1269" s="61" t="str">
        <f aca="false">INDEX(Parametros!$C$95:$C$106,MATCH(TRIM(INDEX(Datos_Origen!$E$2:$E$2459,$Z1269)),Parametros!$B$95:$B$106,0))</f>
        <v>E-commerce</v>
      </c>
      <c r="K1269" s="61" t="str">
        <f aca="false">INDEX(Parametros!$C$48:$C$67,MATCH(TRIM(INDEX(Datos_Origen!$F$2:$F$2459,$Z1269)),Parametros!$B$48:$B$67,0))</f>
        <v>Accesorios</v>
      </c>
      <c r="L1269" s="61" t="str">
        <f aca="false">$K1269&amp;" "&amp;$C1269</f>
        <v>Accesorios 2025</v>
      </c>
      <c r="M1269" s="61" t="str">
        <f aca="false">TRIM(INDEX(Datos_Origen!$G$2:$G$2459,$Z1269))</f>
        <v>Mouse Inalambrico</v>
      </c>
      <c r="N1269" s="61" t="str">
        <f aca="false">$M1269&amp;" "&amp;$C1269</f>
        <v>Mouse Inalambrico 2025</v>
      </c>
      <c r="O1269" s="63" t="n">
        <f aca="false">IF(ISTEXT($AC1269),VALUE($AC1269),$AC1269)</f>
        <v>18</v>
      </c>
      <c r="P1269" s="64" t="n">
        <f aca="false">INDEX(Datos_Origen!$I$2:$I$2459,$Z1269)</f>
        <v>27.82</v>
      </c>
      <c r="Q1269" s="64" t="n">
        <f aca="false">INDEX(Datos_Origen!$J$2:$J$2459,$Z1269)</f>
        <v>13.84</v>
      </c>
      <c r="R1269" s="65" t="n">
        <f aca="false">ROUND($O1269*$P1269,2)</f>
        <v>500.76</v>
      </c>
      <c r="S1269" s="65" t="n">
        <f aca="false">ROUND($O1269*$Q1269,2)</f>
        <v>249.12</v>
      </c>
      <c r="T1269" s="65" t="n">
        <f aca="false">ROUND($R1269*SUMIFS(Parametros!$E$28:$E$43,Parametros!$B$28:$B$43,$J1269,Parametros!$C$28:$C$43,$C1269,Parametros!$D$28:$D$43,$D1269),2)</f>
        <v>34.05</v>
      </c>
      <c r="U1269" s="65" t="n">
        <f aca="false">$R1269-$S1269-$T1269</f>
        <v>217.59</v>
      </c>
      <c r="V1269" s="66" t="n">
        <f aca="false">IFERROR($U1269/$R1269,0)</f>
        <v>0.434519530313923</v>
      </c>
      <c r="W1269" s="67" t="str">
        <f aca="false">IF(AND($V1269&gt;=Parametros!$C$8,$R1269&gt;=Parametros!$C$12),"Alta rentabilidad",IF(OR($V1269&lt;Parametros!$C$11,$R1269&lt;Parametros!$C$13),"Revisar","Estandar"))</f>
        <v>Estandar</v>
      </c>
      <c r="X1269" s="67" t="str">
        <f aca="false">IF(AND($J1269="E-commerce",IFERROR($T1269/$R1269,0)&gt;Parametros!$C$14),"Alerta","OK")</f>
        <v>Alerta</v>
      </c>
      <c r="Y1269" s="61" t="str">
        <f aca="false">IF($R1269&gt;=Parametros!$C$12,"Alto",IF($R1269&lt;Parametros!$C$13,"Bajo","Medio"))</f>
        <v>Medio</v>
      </c>
      <c r="Z1269" s="61" t="n">
        <v>1341</v>
      </c>
      <c r="AA1269" s="61" t="str">
        <f aca="false">IF(MATCH($A1269,Datos_Origen!$A$2:$A$2459,0)=$Z1269,"OK","REVISAR")</f>
        <v>OK</v>
      </c>
      <c r="AB1269" s="62" t="n">
        <f aca="false">INDEX(Datos_Origen!$B$2:$B$2459,$Z1269)</f>
        <v>45678</v>
      </c>
      <c r="AC1269" s="61" t="n">
        <f aca="false">INDEX(Datos_Origen!$H$2:$H$2459,$Z1269)</f>
        <v>18</v>
      </c>
      <c r="AD1269" s="61" t="str">
        <f aca="false">INDEX(Datos_Origen!$D$2:$D$2459,$Z1269)&amp;""</f>
        <v>Mendoza</v>
      </c>
    </row>
    <row r="1270" customFormat="false" ht="15" hidden="false" customHeight="false" outlineLevel="0" collapsed="false">
      <c r="A1270" s="61" t="n">
        <f aca="false">INDEX(Datos_Origen!$A$2:$A$2459,$Z1270)</f>
        <v>1269</v>
      </c>
      <c r="B1270" s="62" t="n">
        <f aca="false">IF(ISNUMBER($AB1270),$AB1270,IF(MID($AB1270,5,1)="-",DATE(VALUE(LEFT($AB1270,4)),VALUE(MID($AB1270,6,2)),VALUE(RIGHT($AB1270,2))),DATE(VALUE(RIGHT($AB1270,4)),VALUE(MID($AB1270,4,2)),VALUE(LEFT($AB1270,2)))))</f>
        <v>45658</v>
      </c>
      <c r="C1270" s="61" t="n">
        <f aca="false">YEAR($B1270)</f>
        <v>2025</v>
      </c>
      <c r="D1270" s="61" t="str">
        <f aca="false">"Q"&amp;ROUNDUP(MONTH($B1270)/3,0)</f>
        <v>Q1</v>
      </c>
      <c r="E1270" s="61" t="n">
        <f aca="false">MONTH($B1270)</f>
        <v>1</v>
      </c>
      <c r="F1270" s="61" t="str">
        <f aca="false">INDEX(Parametros!$I$5:$I$16,$E1270)</f>
        <v>Ene</v>
      </c>
      <c r="G1270" s="61" t="str">
        <f aca="false">TEXT($C1270,"0000")&amp;"-"&amp;TEXT($E1270,"00")</f>
        <v>2025-01</v>
      </c>
      <c r="H1270" s="61" t="str">
        <f aca="false">INDEX(Parametros!$C$71:$C$91,MATCH(TRIM(INDEX(Datos_Origen!$C$2:$C$2459,$Z1270)),Parametros!$B$71:$B$91,0))</f>
        <v>Cuyo</v>
      </c>
      <c r="I1270" s="61" t="str">
        <f aca="false">IF(TRIM($AD1270)="",INDEX(Parametros!$I$20:$I$24,MATCH($H1270,Parametros!$H$20:$H$24,0)),TRIM($AD1270))</f>
        <v>Mendoza</v>
      </c>
      <c r="J1270" s="61" t="str">
        <f aca="false">INDEX(Parametros!$C$95:$C$106,MATCH(TRIM(INDEX(Datos_Origen!$E$2:$E$2459,$Z1270)),Parametros!$B$95:$B$106,0))</f>
        <v>Tienda fisica</v>
      </c>
      <c r="K1270" s="61" t="str">
        <f aca="false">INDEX(Parametros!$C$48:$C$67,MATCH(TRIM(INDEX(Datos_Origen!$F$2:$F$2459,$Z1270)),Parametros!$B$48:$B$67,0))</f>
        <v>Accesorios</v>
      </c>
      <c r="L1270" s="61" t="str">
        <f aca="false">$K1270&amp;" "&amp;$C1270</f>
        <v>Accesorios 2025</v>
      </c>
      <c r="M1270" s="61" t="str">
        <f aca="false">TRIM(INDEX(Datos_Origen!$G$2:$G$2459,$Z1270))</f>
        <v>Teclado Mecanico</v>
      </c>
      <c r="N1270" s="61" t="str">
        <f aca="false">$M1270&amp;" "&amp;$C1270</f>
        <v>Teclado Mecanico 2025</v>
      </c>
      <c r="O1270" s="63" t="n">
        <f aca="false">IF(ISTEXT($AC1270),VALUE($AC1270),$AC1270)</f>
        <v>27</v>
      </c>
      <c r="P1270" s="64" t="n">
        <f aca="false">INDEX(Datos_Origen!$I$2:$I$2459,$Z1270)</f>
        <v>94.39</v>
      </c>
      <c r="Q1270" s="64" t="n">
        <f aca="false">INDEX(Datos_Origen!$J$2:$J$2459,$Z1270)</f>
        <v>49.41</v>
      </c>
      <c r="R1270" s="65" t="n">
        <f aca="false">ROUND($O1270*$P1270,2)</f>
        <v>2548.53</v>
      </c>
      <c r="S1270" s="65" t="n">
        <f aca="false">ROUND($O1270*$Q1270,2)</f>
        <v>1334.07</v>
      </c>
      <c r="T1270" s="65" t="n">
        <f aca="false">ROUND($R1270*SUMIFS(Parametros!$E$28:$E$43,Parametros!$B$28:$B$43,$J1270,Parametros!$C$28:$C$43,$C1270,Parametros!$D$28:$D$43,$D1270),2)</f>
        <v>33.13</v>
      </c>
      <c r="U1270" s="65" t="n">
        <f aca="false">$R1270-$S1270-$T1270</f>
        <v>1181.33</v>
      </c>
      <c r="V1270" s="66" t="n">
        <f aca="false">IFERROR($U1270/$R1270,0)</f>
        <v>0.463533880315319</v>
      </c>
      <c r="W1270" s="67" t="str">
        <f aca="false">IF(AND($V1270&gt;=Parametros!$C$8,$R1270&gt;=Parametros!$C$12),"Alta rentabilidad",IF(OR($V1270&lt;Parametros!$C$11,$R1270&lt;Parametros!$C$13),"Revisar","Estandar"))</f>
        <v>Estandar</v>
      </c>
      <c r="X1270" s="67" t="str">
        <f aca="false">IF(AND($J1270="E-commerce",IFERROR($T1270/$R1270,0)&gt;Parametros!$C$14),"Alerta","OK")</f>
        <v>OK</v>
      </c>
      <c r="Y1270" s="61" t="str">
        <f aca="false">IF($R1270&gt;=Parametros!$C$12,"Alto",IF($R1270&lt;Parametros!$C$13,"Bajo","Medio"))</f>
        <v>Medio</v>
      </c>
      <c r="Z1270" s="61" t="n">
        <v>1843</v>
      </c>
      <c r="AA1270" s="61" t="str">
        <f aca="false">IF(MATCH($A1270,Datos_Origen!$A$2:$A$2459,0)=$Z1270,"OK","REVISAR")</f>
        <v>OK</v>
      </c>
      <c r="AB1270" s="62" t="n">
        <f aca="false">INDEX(Datos_Origen!$B$2:$B$2459,$Z1270)</f>
        <v>45658</v>
      </c>
      <c r="AC1270" s="61" t="n">
        <f aca="false">INDEX(Datos_Origen!$H$2:$H$2459,$Z1270)</f>
        <v>27</v>
      </c>
      <c r="AD1270" s="61" t="str">
        <f aca="false">INDEX(Datos_Origen!$D$2:$D$2459,$Z1270)&amp;""</f>
        <v>Mendoza</v>
      </c>
    </row>
    <row r="1271" customFormat="false" ht="15" hidden="false" customHeight="false" outlineLevel="0" collapsed="false">
      <c r="A1271" s="61" t="n">
        <f aca="false">INDEX(Datos_Origen!$A$2:$A$2459,$Z1271)</f>
        <v>1270</v>
      </c>
      <c r="B1271" s="62" t="n">
        <f aca="false">IF(ISNUMBER($AB1271),$AB1271,IF(MID($AB1271,5,1)="-",DATE(VALUE(LEFT($AB1271,4)),VALUE(MID($AB1271,6,2)),VALUE(RIGHT($AB1271,2))),DATE(VALUE(RIGHT($AB1271,4)),VALUE(MID($AB1271,4,2)),VALUE(LEFT($AB1271,2)))))</f>
        <v>45665</v>
      </c>
      <c r="C1271" s="61" t="n">
        <f aca="false">YEAR($B1271)</f>
        <v>2025</v>
      </c>
      <c r="D1271" s="61" t="str">
        <f aca="false">"Q"&amp;ROUNDUP(MONTH($B1271)/3,0)</f>
        <v>Q1</v>
      </c>
      <c r="E1271" s="61" t="n">
        <f aca="false">MONTH($B1271)</f>
        <v>1</v>
      </c>
      <c r="F1271" s="61" t="str">
        <f aca="false">INDEX(Parametros!$I$5:$I$16,$E1271)</f>
        <v>Ene</v>
      </c>
      <c r="G1271" s="61" t="str">
        <f aca="false">TEXT($C1271,"0000")&amp;"-"&amp;TEXT($E1271,"00")</f>
        <v>2025-01</v>
      </c>
      <c r="H1271" s="61" t="str">
        <f aca="false">INDEX(Parametros!$C$71:$C$91,MATCH(TRIM(INDEX(Datos_Origen!$C$2:$C$2459,$Z1271)),Parametros!$B$71:$B$91,0))</f>
        <v>Cuyo</v>
      </c>
      <c r="I1271" s="61" t="str">
        <f aca="false">IF(TRIM($AD1271)="",INDEX(Parametros!$I$20:$I$24,MATCH($H1271,Parametros!$H$20:$H$24,0)),TRIM($AD1271))</f>
        <v>Mendoza</v>
      </c>
      <c r="J1271" s="61" t="str">
        <f aca="false">INDEX(Parametros!$C$95:$C$106,MATCH(TRIM(INDEX(Datos_Origen!$E$2:$E$2459,$Z1271)),Parametros!$B$95:$B$106,0))</f>
        <v>E-commerce</v>
      </c>
      <c r="K1271" s="61" t="str">
        <f aca="false">INDEX(Parametros!$C$48:$C$67,MATCH(TRIM(INDEX(Datos_Origen!$F$2:$F$2459,$Z1271)),Parametros!$B$48:$B$67,0))</f>
        <v>Accesorios</v>
      </c>
      <c r="L1271" s="61" t="str">
        <f aca="false">$K1271&amp;" "&amp;$C1271</f>
        <v>Accesorios 2025</v>
      </c>
      <c r="M1271" s="61" t="str">
        <f aca="false">TRIM(INDEX(Datos_Origen!$G$2:$G$2459,$Z1271))</f>
        <v>Teclado Mecanico</v>
      </c>
      <c r="N1271" s="61" t="str">
        <f aca="false">$M1271&amp;" "&amp;$C1271</f>
        <v>Teclado Mecanico 2025</v>
      </c>
      <c r="O1271" s="63" t="n">
        <f aca="false">IF(ISTEXT($AC1271),VALUE($AC1271),$AC1271)</f>
        <v>20</v>
      </c>
      <c r="P1271" s="64" t="n">
        <f aca="false">INDEX(Datos_Origen!$I$2:$I$2459,$Z1271)</f>
        <v>94.39</v>
      </c>
      <c r="Q1271" s="64" t="n">
        <f aca="false">INDEX(Datos_Origen!$J$2:$J$2459,$Z1271)</f>
        <v>49.41</v>
      </c>
      <c r="R1271" s="65" t="n">
        <f aca="false">ROUND($O1271*$P1271,2)</f>
        <v>1887.8</v>
      </c>
      <c r="S1271" s="65" t="n">
        <f aca="false">ROUND($O1271*$Q1271,2)</f>
        <v>988.2</v>
      </c>
      <c r="T1271" s="65" t="n">
        <f aca="false">ROUND($R1271*SUMIFS(Parametros!$E$28:$E$43,Parametros!$B$28:$B$43,$J1271,Parametros!$C$28:$C$43,$C1271,Parametros!$D$28:$D$43,$D1271),2)</f>
        <v>128.37</v>
      </c>
      <c r="U1271" s="65" t="n">
        <f aca="false">$R1271-$S1271-$T1271</f>
        <v>771.23</v>
      </c>
      <c r="V1271" s="66" t="n">
        <f aca="false">IFERROR($U1271/$R1271,0)</f>
        <v>0.408533742981248</v>
      </c>
      <c r="W1271" s="67" t="str">
        <f aca="false">IF(AND($V1271&gt;=Parametros!$C$8,$R1271&gt;=Parametros!$C$12),"Alta rentabilidad",IF(OR($V1271&lt;Parametros!$C$11,$R1271&lt;Parametros!$C$13),"Revisar","Estandar"))</f>
        <v>Estandar</v>
      </c>
      <c r="X1271" s="67" t="str">
        <f aca="false">IF(AND($J1271="E-commerce",IFERROR($T1271/$R1271,0)&gt;Parametros!$C$14),"Alerta","OK")</f>
        <v>Alerta</v>
      </c>
      <c r="Y1271" s="61" t="str">
        <f aca="false">IF($R1271&gt;=Parametros!$C$12,"Alto",IF($R1271&lt;Parametros!$C$13,"Bajo","Medio"))</f>
        <v>Medio</v>
      </c>
      <c r="Z1271" s="61" t="n">
        <v>868</v>
      </c>
      <c r="AA1271" s="61" t="str">
        <f aca="false">IF(MATCH($A1271,Datos_Origen!$A$2:$A$2459,0)=$Z1271,"OK","REVISAR")</f>
        <v>OK</v>
      </c>
      <c r="AB1271" s="62" t="n">
        <f aca="false">INDEX(Datos_Origen!$B$2:$B$2459,$Z1271)</f>
        <v>45665</v>
      </c>
      <c r="AC1271" s="61" t="n">
        <f aca="false">INDEX(Datos_Origen!$H$2:$H$2459,$Z1271)</f>
        <v>20</v>
      </c>
      <c r="AD1271" s="61" t="str">
        <f aca="false">INDEX(Datos_Origen!$D$2:$D$2459,$Z1271)&amp;""</f>
        <v>Mendoza</v>
      </c>
    </row>
    <row r="1272" customFormat="false" ht="15" hidden="false" customHeight="false" outlineLevel="0" collapsed="false">
      <c r="A1272" s="61" t="n">
        <f aca="false">INDEX(Datos_Origen!$A$2:$A$2459,$Z1272)</f>
        <v>1271</v>
      </c>
      <c r="B1272" s="62" t="n">
        <f aca="false">IF(ISNUMBER($AB1272),$AB1272,IF(MID($AB1272,5,1)="-",DATE(VALUE(LEFT($AB1272,4)),VALUE(MID($AB1272,6,2)),VALUE(RIGHT($AB1272,2))),DATE(VALUE(RIGHT($AB1272,4)),VALUE(MID($AB1272,4,2)),VALUE(LEFT($AB1272,2)))))</f>
        <v>45672</v>
      </c>
      <c r="C1272" s="61" t="n">
        <f aca="false">YEAR($B1272)</f>
        <v>2025</v>
      </c>
      <c r="D1272" s="61" t="str">
        <f aca="false">"Q"&amp;ROUNDUP(MONTH($B1272)/3,0)</f>
        <v>Q1</v>
      </c>
      <c r="E1272" s="61" t="n">
        <f aca="false">MONTH($B1272)</f>
        <v>1</v>
      </c>
      <c r="F1272" s="61" t="str">
        <f aca="false">INDEX(Parametros!$I$5:$I$16,$E1272)</f>
        <v>Ene</v>
      </c>
      <c r="G1272" s="61" t="str">
        <f aca="false">TEXT($C1272,"0000")&amp;"-"&amp;TEXT($E1272,"00")</f>
        <v>2025-01</v>
      </c>
      <c r="H1272" s="61" t="str">
        <f aca="false">INDEX(Parametros!$C$71:$C$91,MATCH(TRIM(INDEX(Datos_Origen!$C$2:$C$2459,$Z1272)),Parametros!$B$71:$B$91,0))</f>
        <v>Cuyo</v>
      </c>
      <c r="I1272" s="61" t="str">
        <f aca="false">IF(TRIM($AD1272)="",INDEX(Parametros!$I$20:$I$24,MATCH($H1272,Parametros!$H$20:$H$24,0)),TRIM($AD1272))</f>
        <v>Mendoza</v>
      </c>
      <c r="J1272" s="61" t="str">
        <f aca="false">INDEX(Parametros!$C$95:$C$106,MATCH(TRIM(INDEX(Datos_Origen!$E$2:$E$2459,$Z1272)),Parametros!$B$95:$B$106,0))</f>
        <v>Tienda fisica</v>
      </c>
      <c r="K1272" s="61" t="str">
        <f aca="false">INDEX(Parametros!$C$48:$C$67,MATCH(TRIM(INDEX(Datos_Origen!$F$2:$F$2459,$Z1272)),Parametros!$B$48:$B$67,0))</f>
        <v>Accesorios</v>
      </c>
      <c r="L1272" s="61" t="str">
        <f aca="false">$K1272&amp;" "&amp;$C1272</f>
        <v>Accesorios 2025</v>
      </c>
      <c r="M1272" s="61" t="str">
        <f aca="false">TRIM(INDEX(Datos_Origen!$G$2:$G$2459,$Z1272))</f>
        <v>Webcam Full HD</v>
      </c>
      <c r="N1272" s="61" t="str">
        <f aca="false">$M1272&amp;" "&amp;$C1272</f>
        <v>Webcam Full HD 2025</v>
      </c>
      <c r="O1272" s="63" t="n">
        <f aca="false">IF(ISTEXT($AC1272),VALUE($AC1272),$AC1272)</f>
        <v>25</v>
      </c>
      <c r="P1272" s="64" t="n">
        <f aca="false">INDEX(Datos_Origen!$I$2:$I$2459,$Z1272)</f>
        <v>64.58</v>
      </c>
      <c r="Q1272" s="64" t="n">
        <f aca="false">INDEX(Datos_Origen!$J$2:$J$2459,$Z1272)</f>
        <v>36.49</v>
      </c>
      <c r="R1272" s="65" t="n">
        <f aca="false">ROUND($O1272*$P1272,2)</f>
        <v>1614.5</v>
      </c>
      <c r="S1272" s="65" t="n">
        <f aca="false">ROUND($O1272*$Q1272,2)</f>
        <v>912.25</v>
      </c>
      <c r="T1272" s="65" t="n">
        <f aca="false">ROUND($R1272*SUMIFS(Parametros!$E$28:$E$43,Parametros!$B$28:$B$43,$J1272,Parametros!$C$28:$C$43,$C1272,Parametros!$D$28:$D$43,$D1272),2)</f>
        <v>20.99</v>
      </c>
      <c r="U1272" s="65" t="n">
        <f aca="false">$R1272-$S1272-$T1272</f>
        <v>681.26</v>
      </c>
      <c r="V1272" s="66" t="n">
        <f aca="false">IFERROR($U1272/$R1272,0)</f>
        <v>0.421963456178383</v>
      </c>
      <c r="W1272" s="67" t="str">
        <f aca="false">IF(AND($V1272&gt;=Parametros!$C$8,$R1272&gt;=Parametros!$C$12),"Alta rentabilidad",IF(OR($V1272&lt;Parametros!$C$11,$R1272&lt;Parametros!$C$13),"Revisar","Estandar"))</f>
        <v>Estandar</v>
      </c>
      <c r="X1272" s="67" t="str">
        <f aca="false">IF(AND($J1272="E-commerce",IFERROR($T1272/$R1272,0)&gt;Parametros!$C$14),"Alerta","OK")</f>
        <v>OK</v>
      </c>
      <c r="Y1272" s="61" t="str">
        <f aca="false">IF($R1272&gt;=Parametros!$C$12,"Alto",IF($R1272&lt;Parametros!$C$13,"Bajo","Medio"))</f>
        <v>Medio</v>
      </c>
      <c r="Z1272" s="61" t="n">
        <v>809</v>
      </c>
      <c r="AA1272" s="61" t="str">
        <f aca="false">IF(MATCH($A1272,Datos_Origen!$A$2:$A$2459,0)=$Z1272,"OK","REVISAR")</f>
        <v>OK</v>
      </c>
      <c r="AB1272" s="62" t="n">
        <f aca="false">INDEX(Datos_Origen!$B$2:$B$2459,$Z1272)</f>
        <v>45672</v>
      </c>
      <c r="AC1272" s="61" t="n">
        <f aca="false">INDEX(Datos_Origen!$H$2:$H$2459,$Z1272)</f>
        <v>25</v>
      </c>
      <c r="AD1272" s="61" t="str">
        <f aca="false">INDEX(Datos_Origen!$D$2:$D$2459,$Z1272)&amp;""</f>
        <v>Mendoza</v>
      </c>
    </row>
    <row r="1273" customFormat="false" ht="15" hidden="false" customHeight="false" outlineLevel="0" collapsed="false">
      <c r="A1273" s="61" t="n">
        <f aca="false">INDEX(Datos_Origen!$A$2:$A$2459,$Z1273)</f>
        <v>1272</v>
      </c>
      <c r="B1273" s="62" t="n">
        <f aca="false">IF(ISNUMBER($AB1273),$AB1273,IF(MID($AB1273,5,1)="-",DATE(VALUE(LEFT($AB1273,4)),VALUE(MID($AB1273,6,2)),VALUE(RIGHT($AB1273,2))),DATE(VALUE(RIGHT($AB1273,4)),VALUE(MID($AB1273,4,2)),VALUE(LEFT($AB1273,2)))))</f>
        <v>45679</v>
      </c>
      <c r="C1273" s="61" t="n">
        <f aca="false">YEAR($B1273)</f>
        <v>2025</v>
      </c>
      <c r="D1273" s="61" t="str">
        <f aca="false">"Q"&amp;ROUNDUP(MONTH($B1273)/3,0)</f>
        <v>Q1</v>
      </c>
      <c r="E1273" s="61" t="n">
        <f aca="false">MONTH($B1273)</f>
        <v>1</v>
      </c>
      <c r="F1273" s="61" t="str">
        <f aca="false">INDEX(Parametros!$I$5:$I$16,$E1273)</f>
        <v>Ene</v>
      </c>
      <c r="G1273" s="61" t="str">
        <f aca="false">TEXT($C1273,"0000")&amp;"-"&amp;TEXT($E1273,"00")</f>
        <v>2025-01</v>
      </c>
      <c r="H1273" s="61" t="str">
        <f aca="false">INDEX(Parametros!$C$71:$C$91,MATCH(TRIM(INDEX(Datos_Origen!$C$2:$C$2459,$Z1273)),Parametros!$B$71:$B$91,0))</f>
        <v>Cuyo</v>
      </c>
      <c r="I1273" s="61" t="str">
        <f aca="false">IF(TRIM($AD1273)="",INDEX(Parametros!$I$20:$I$24,MATCH($H1273,Parametros!$H$20:$H$24,0)),TRIM($AD1273))</f>
        <v>Mendoza</v>
      </c>
      <c r="J1273" s="61" t="str">
        <f aca="false">INDEX(Parametros!$C$95:$C$106,MATCH(TRIM(INDEX(Datos_Origen!$E$2:$E$2459,$Z1273)),Parametros!$B$95:$B$106,0))</f>
        <v>E-commerce</v>
      </c>
      <c r="K1273" s="61" t="str">
        <f aca="false">INDEX(Parametros!$C$48:$C$67,MATCH(TRIM(INDEX(Datos_Origen!$F$2:$F$2459,$Z1273)),Parametros!$B$48:$B$67,0))</f>
        <v>Accesorios</v>
      </c>
      <c r="L1273" s="61" t="str">
        <f aca="false">$K1273&amp;" "&amp;$C1273</f>
        <v>Accesorios 2025</v>
      </c>
      <c r="M1273" s="61" t="str">
        <f aca="false">TRIM(INDEX(Datos_Origen!$G$2:$G$2459,$Z1273))</f>
        <v>Webcam Full HD</v>
      </c>
      <c r="N1273" s="61" t="str">
        <f aca="false">$M1273&amp;" "&amp;$C1273</f>
        <v>Webcam Full HD 2025</v>
      </c>
      <c r="O1273" s="63" t="n">
        <f aca="false">IF(ISTEXT($AC1273),VALUE($AC1273),$AC1273)</f>
        <v>16</v>
      </c>
      <c r="P1273" s="64" t="n">
        <f aca="false">INDEX(Datos_Origen!$I$2:$I$2459,$Z1273)</f>
        <v>64.58</v>
      </c>
      <c r="Q1273" s="64" t="n">
        <f aca="false">INDEX(Datos_Origen!$J$2:$J$2459,$Z1273)</f>
        <v>36.49</v>
      </c>
      <c r="R1273" s="65" t="n">
        <f aca="false">ROUND($O1273*$P1273,2)</f>
        <v>1033.28</v>
      </c>
      <c r="S1273" s="65" t="n">
        <f aca="false">ROUND($O1273*$Q1273,2)</f>
        <v>583.84</v>
      </c>
      <c r="T1273" s="65" t="n">
        <f aca="false">ROUND($R1273*SUMIFS(Parametros!$E$28:$E$43,Parametros!$B$28:$B$43,$J1273,Parametros!$C$28:$C$43,$C1273,Parametros!$D$28:$D$43,$D1273),2)</f>
        <v>70.26</v>
      </c>
      <c r="U1273" s="65" t="n">
        <f aca="false">$R1273-$S1273-$T1273</f>
        <v>379.18</v>
      </c>
      <c r="V1273" s="66" t="n">
        <f aca="false">IFERROR($U1273/$R1273,0)</f>
        <v>0.366967327345928</v>
      </c>
      <c r="W1273" s="67" t="str">
        <f aca="false">IF(AND($V1273&gt;=Parametros!$C$8,$R1273&gt;=Parametros!$C$12),"Alta rentabilidad",IF(OR($V1273&lt;Parametros!$C$11,$R1273&lt;Parametros!$C$13),"Revisar","Estandar"))</f>
        <v>Estandar</v>
      </c>
      <c r="X1273" s="67" t="str">
        <f aca="false">IF(AND($J1273="E-commerce",IFERROR($T1273/$R1273,0)&gt;Parametros!$C$14),"Alerta","OK")</f>
        <v>Alerta</v>
      </c>
      <c r="Y1273" s="61" t="str">
        <f aca="false">IF($R1273&gt;=Parametros!$C$12,"Alto",IF($R1273&lt;Parametros!$C$13,"Bajo","Medio"))</f>
        <v>Medio</v>
      </c>
      <c r="Z1273" s="61" t="n">
        <v>925</v>
      </c>
      <c r="AA1273" s="61" t="str">
        <f aca="false">IF(MATCH($A1273,Datos_Origen!$A$2:$A$2459,0)=$Z1273,"OK","REVISAR")</f>
        <v>OK</v>
      </c>
      <c r="AB1273" s="62" t="n">
        <f aca="false">INDEX(Datos_Origen!$B$2:$B$2459,$Z1273)</f>
        <v>45679</v>
      </c>
      <c r="AC1273" s="61" t="n">
        <f aca="false">INDEX(Datos_Origen!$H$2:$H$2459,$Z1273)</f>
        <v>16</v>
      </c>
      <c r="AD1273" s="61" t="str">
        <f aca="false">INDEX(Datos_Origen!$D$2:$D$2459,$Z1273)&amp;""</f>
        <v>Mendoza</v>
      </c>
    </row>
    <row r="1274" customFormat="false" ht="15" hidden="false" customHeight="false" outlineLevel="0" collapsed="false">
      <c r="A1274" s="61" t="n">
        <f aca="false">INDEX(Datos_Origen!$A$2:$A$2459,$Z1274)</f>
        <v>1273</v>
      </c>
      <c r="B1274" s="62" t="n">
        <f aca="false">IF(ISNUMBER($AB1274),$AB1274,IF(MID($AB1274,5,1)="-",DATE(VALUE(LEFT($AB1274,4)),VALUE(MID($AB1274,6,2)),VALUE(RIGHT($AB1274,2))),DATE(VALUE(RIGHT($AB1274,4)),VALUE(MID($AB1274,4,2)),VALUE(LEFT($AB1274,2)))))</f>
        <v>45659</v>
      </c>
      <c r="C1274" s="61" t="n">
        <f aca="false">YEAR($B1274)</f>
        <v>2025</v>
      </c>
      <c r="D1274" s="61" t="str">
        <f aca="false">"Q"&amp;ROUNDUP(MONTH($B1274)/3,0)</f>
        <v>Q1</v>
      </c>
      <c r="E1274" s="61" t="n">
        <f aca="false">MONTH($B1274)</f>
        <v>1</v>
      </c>
      <c r="F1274" s="61" t="str">
        <f aca="false">INDEX(Parametros!$I$5:$I$16,$E1274)</f>
        <v>Ene</v>
      </c>
      <c r="G1274" s="61" t="str">
        <f aca="false">TEXT($C1274,"0000")&amp;"-"&amp;TEXT($E1274,"00")</f>
        <v>2025-01</v>
      </c>
      <c r="H1274" s="61" t="str">
        <f aca="false">INDEX(Parametros!$C$71:$C$91,MATCH(TRIM(INDEX(Datos_Origen!$C$2:$C$2459,$Z1274)),Parametros!$B$71:$B$91,0))</f>
        <v>Cuyo</v>
      </c>
      <c r="I1274" s="61" t="str">
        <f aca="false">IF(TRIM($AD1274)="",INDEX(Parametros!$I$20:$I$24,MATCH($H1274,Parametros!$H$20:$H$24,0)),TRIM($AD1274))</f>
        <v>Mendoza</v>
      </c>
      <c r="J1274" s="61" t="str">
        <f aca="false">INDEX(Parametros!$C$95:$C$106,MATCH(TRIM(INDEX(Datos_Origen!$E$2:$E$2459,$Z1274)),Parametros!$B$95:$B$106,0))</f>
        <v>Tienda fisica</v>
      </c>
      <c r="K1274" s="61" t="str">
        <f aca="false">INDEX(Parametros!$C$48:$C$67,MATCH(TRIM(INDEX(Datos_Origen!$F$2:$F$2459,$Z1274)),Parametros!$B$48:$B$67,0))</f>
        <v>Audio</v>
      </c>
      <c r="L1274" s="61" t="str">
        <f aca="false">$K1274&amp;" "&amp;$C1274</f>
        <v>Audio 2025</v>
      </c>
      <c r="M1274" s="61" t="str">
        <f aca="false">TRIM(INDEX(Datos_Origen!$G$2:$G$2459,$Z1274))</f>
        <v>Auriculares BT Pro</v>
      </c>
      <c r="N1274" s="61" t="str">
        <f aca="false">$M1274&amp;" "&amp;$C1274</f>
        <v>Auriculares BT Pro 2025</v>
      </c>
      <c r="O1274" s="63" t="n">
        <f aca="false">IF(ISTEXT($AC1274),VALUE($AC1274),$AC1274)</f>
        <v>12</v>
      </c>
      <c r="P1274" s="64" t="n">
        <f aca="false">INDEX(Datos_Origen!$I$2:$I$2459,$Z1274)</f>
        <v>119.23</v>
      </c>
      <c r="Q1274" s="64" t="n">
        <f aca="false">INDEX(Datos_Origen!$J$2:$J$2459,$Z1274)</f>
        <v>65.51</v>
      </c>
      <c r="R1274" s="65" t="n">
        <f aca="false">ROUND($O1274*$P1274,2)</f>
        <v>1430.76</v>
      </c>
      <c r="S1274" s="65" t="n">
        <f aca="false">ROUND($O1274*$Q1274,2)</f>
        <v>786.12</v>
      </c>
      <c r="T1274" s="65" t="n">
        <f aca="false">ROUND($R1274*SUMIFS(Parametros!$E$28:$E$43,Parametros!$B$28:$B$43,$J1274,Parametros!$C$28:$C$43,$C1274,Parametros!$D$28:$D$43,$D1274),2)</f>
        <v>18.6</v>
      </c>
      <c r="U1274" s="65" t="n">
        <f aca="false">$R1274-$S1274-$T1274</f>
        <v>626.04</v>
      </c>
      <c r="V1274" s="66" t="n">
        <f aca="false">IFERROR($U1274/$R1274,0)</f>
        <v>0.437557661662333</v>
      </c>
      <c r="W1274" s="67" t="str">
        <f aca="false">IF(AND($V1274&gt;=Parametros!$C$8,$R1274&gt;=Parametros!$C$12),"Alta rentabilidad",IF(OR($V1274&lt;Parametros!$C$11,$R1274&lt;Parametros!$C$13),"Revisar","Estandar"))</f>
        <v>Estandar</v>
      </c>
      <c r="X1274" s="67" t="str">
        <f aca="false">IF(AND($J1274="E-commerce",IFERROR($T1274/$R1274,0)&gt;Parametros!$C$14),"Alerta","OK")</f>
        <v>OK</v>
      </c>
      <c r="Y1274" s="61" t="str">
        <f aca="false">IF($R1274&gt;=Parametros!$C$12,"Alto",IF($R1274&lt;Parametros!$C$13,"Bajo","Medio"))</f>
        <v>Medio</v>
      </c>
      <c r="Z1274" s="61" t="n">
        <v>188</v>
      </c>
      <c r="AA1274" s="61" t="str">
        <f aca="false">IF(MATCH($A1274,Datos_Origen!$A$2:$A$2459,0)=$Z1274,"OK","REVISAR")</f>
        <v>OK</v>
      </c>
      <c r="AB1274" s="62" t="n">
        <f aca="false">INDEX(Datos_Origen!$B$2:$B$2459,$Z1274)</f>
        <v>45659</v>
      </c>
      <c r="AC1274" s="61" t="n">
        <f aca="false">INDEX(Datos_Origen!$H$2:$H$2459,$Z1274)</f>
        <v>12</v>
      </c>
      <c r="AD1274" s="61" t="str">
        <f aca="false">INDEX(Datos_Origen!$D$2:$D$2459,$Z1274)&amp;""</f>
        <v>Mendoza</v>
      </c>
    </row>
    <row r="1275" customFormat="false" ht="15" hidden="false" customHeight="false" outlineLevel="0" collapsed="false">
      <c r="A1275" s="61" t="n">
        <f aca="false">INDEX(Datos_Origen!$A$2:$A$2459,$Z1275)</f>
        <v>1274</v>
      </c>
      <c r="B1275" s="62" t="n">
        <f aca="false">IF(ISNUMBER($AB1275),$AB1275,IF(MID($AB1275,5,1)="-",DATE(VALUE(LEFT($AB1275,4)),VALUE(MID($AB1275,6,2)),VALUE(RIGHT($AB1275,2))),DATE(VALUE(RIGHT($AB1275,4)),VALUE(MID($AB1275,4,2)),VALUE(LEFT($AB1275,2)))))</f>
        <v>45666</v>
      </c>
      <c r="C1275" s="61" t="n">
        <f aca="false">YEAR($B1275)</f>
        <v>2025</v>
      </c>
      <c r="D1275" s="61" t="str">
        <f aca="false">"Q"&amp;ROUNDUP(MONTH($B1275)/3,0)</f>
        <v>Q1</v>
      </c>
      <c r="E1275" s="61" t="n">
        <f aca="false">MONTH($B1275)</f>
        <v>1</v>
      </c>
      <c r="F1275" s="61" t="str">
        <f aca="false">INDEX(Parametros!$I$5:$I$16,$E1275)</f>
        <v>Ene</v>
      </c>
      <c r="G1275" s="61" t="str">
        <f aca="false">TEXT($C1275,"0000")&amp;"-"&amp;TEXT($E1275,"00")</f>
        <v>2025-01</v>
      </c>
      <c r="H1275" s="61" t="str">
        <f aca="false">INDEX(Parametros!$C$71:$C$91,MATCH(TRIM(INDEX(Datos_Origen!$C$2:$C$2459,$Z1275)),Parametros!$B$71:$B$91,0))</f>
        <v>Cuyo</v>
      </c>
      <c r="I1275" s="61" t="str">
        <f aca="false">IF(TRIM($AD1275)="",INDEX(Parametros!$I$20:$I$24,MATCH($H1275,Parametros!$H$20:$H$24,0)),TRIM($AD1275))</f>
        <v>Mendoza</v>
      </c>
      <c r="J1275" s="61" t="str">
        <f aca="false">INDEX(Parametros!$C$95:$C$106,MATCH(TRIM(INDEX(Datos_Origen!$E$2:$E$2459,$Z1275)),Parametros!$B$95:$B$106,0))</f>
        <v>E-commerce</v>
      </c>
      <c r="K1275" s="61" t="str">
        <f aca="false">INDEX(Parametros!$C$48:$C$67,MATCH(TRIM(INDEX(Datos_Origen!$F$2:$F$2459,$Z1275)),Parametros!$B$48:$B$67,0))</f>
        <v>Audio</v>
      </c>
      <c r="L1275" s="61" t="str">
        <f aca="false">$K1275&amp;" "&amp;$C1275</f>
        <v>Audio 2025</v>
      </c>
      <c r="M1275" s="61" t="str">
        <f aca="false">TRIM(INDEX(Datos_Origen!$G$2:$G$2459,$Z1275))</f>
        <v>Auriculares BT Pro</v>
      </c>
      <c r="N1275" s="61" t="str">
        <f aca="false">$M1275&amp;" "&amp;$C1275</f>
        <v>Auriculares BT Pro 2025</v>
      </c>
      <c r="O1275" s="63" t="n">
        <f aca="false">IF(ISTEXT($AC1275),VALUE($AC1275),$AC1275)</f>
        <v>9</v>
      </c>
      <c r="P1275" s="64" t="n">
        <f aca="false">INDEX(Datos_Origen!$I$2:$I$2459,$Z1275)</f>
        <v>119.23</v>
      </c>
      <c r="Q1275" s="64" t="n">
        <f aca="false">INDEX(Datos_Origen!$J$2:$J$2459,$Z1275)</f>
        <v>65.51</v>
      </c>
      <c r="R1275" s="65" t="n">
        <f aca="false">ROUND($O1275*$P1275,2)</f>
        <v>1073.07</v>
      </c>
      <c r="S1275" s="65" t="n">
        <f aca="false">ROUND($O1275*$Q1275,2)</f>
        <v>589.59</v>
      </c>
      <c r="T1275" s="65" t="n">
        <f aca="false">ROUND($R1275*SUMIFS(Parametros!$E$28:$E$43,Parametros!$B$28:$B$43,$J1275,Parametros!$C$28:$C$43,$C1275,Parametros!$D$28:$D$43,$D1275),2)</f>
        <v>72.97</v>
      </c>
      <c r="U1275" s="65" t="n">
        <f aca="false">$R1275-$S1275-$T1275</f>
        <v>410.51</v>
      </c>
      <c r="V1275" s="66" t="n">
        <f aca="false">IFERROR($U1275/$R1275,0)</f>
        <v>0.382556589970831</v>
      </c>
      <c r="W1275" s="67" t="str">
        <f aca="false">IF(AND($V1275&gt;=Parametros!$C$8,$R1275&gt;=Parametros!$C$12),"Alta rentabilidad",IF(OR($V1275&lt;Parametros!$C$11,$R1275&lt;Parametros!$C$13),"Revisar","Estandar"))</f>
        <v>Estandar</v>
      </c>
      <c r="X1275" s="67" t="str">
        <f aca="false">IF(AND($J1275="E-commerce",IFERROR($T1275/$R1275,0)&gt;Parametros!$C$14),"Alerta","OK")</f>
        <v>Alerta</v>
      </c>
      <c r="Y1275" s="61" t="str">
        <f aca="false">IF($R1275&gt;=Parametros!$C$12,"Alto",IF($R1275&lt;Parametros!$C$13,"Bajo","Medio"))</f>
        <v>Medio</v>
      </c>
      <c r="Z1275" s="61" t="n">
        <v>1618</v>
      </c>
      <c r="AA1275" s="61" t="str">
        <f aca="false">IF(MATCH($A1275,Datos_Origen!$A$2:$A$2459,0)=$Z1275,"OK","REVISAR")</f>
        <v>OK</v>
      </c>
      <c r="AB1275" s="61" t="str">
        <f aca="false">INDEX(Datos_Origen!$B$2:$B$2459,$Z1275)</f>
        <v>09/01/2025</v>
      </c>
      <c r="AC1275" s="61" t="n">
        <f aca="false">INDEX(Datos_Origen!$H$2:$H$2459,$Z1275)</f>
        <v>9</v>
      </c>
      <c r="AD1275" s="61" t="str">
        <f aca="false">INDEX(Datos_Origen!$D$2:$D$2459,$Z1275)&amp;""</f>
        <v>Mendoza</v>
      </c>
    </row>
    <row r="1276" customFormat="false" ht="15" hidden="false" customHeight="false" outlineLevel="0" collapsed="false">
      <c r="A1276" s="61" t="n">
        <f aca="false">INDEX(Datos_Origen!$A$2:$A$2459,$Z1276)</f>
        <v>1275</v>
      </c>
      <c r="B1276" s="62" t="n">
        <f aca="false">IF(ISNUMBER($AB1276),$AB1276,IF(MID($AB1276,5,1)="-",DATE(VALUE(LEFT($AB1276,4)),VALUE(MID($AB1276,6,2)),VALUE(RIGHT($AB1276,2))),DATE(VALUE(RIGHT($AB1276,4)),VALUE(MID($AB1276,4,2)),VALUE(LEFT($AB1276,2)))))</f>
        <v>45673</v>
      </c>
      <c r="C1276" s="61" t="n">
        <f aca="false">YEAR($B1276)</f>
        <v>2025</v>
      </c>
      <c r="D1276" s="61" t="str">
        <f aca="false">"Q"&amp;ROUNDUP(MONTH($B1276)/3,0)</f>
        <v>Q1</v>
      </c>
      <c r="E1276" s="61" t="n">
        <f aca="false">MONTH($B1276)</f>
        <v>1</v>
      </c>
      <c r="F1276" s="61" t="str">
        <f aca="false">INDEX(Parametros!$I$5:$I$16,$E1276)</f>
        <v>Ene</v>
      </c>
      <c r="G1276" s="61" t="str">
        <f aca="false">TEXT($C1276,"0000")&amp;"-"&amp;TEXT($E1276,"00")</f>
        <v>2025-01</v>
      </c>
      <c r="H1276" s="61" t="str">
        <f aca="false">INDEX(Parametros!$C$71:$C$91,MATCH(TRIM(INDEX(Datos_Origen!$C$2:$C$2459,$Z1276)),Parametros!$B$71:$B$91,0))</f>
        <v>Cuyo</v>
      </c>
      <c r="I1276" s="61" t="str">
        <f aca="false">IF(TRIM($AD1276)="",INDEX(Parametros!$I$20:$I$24,MATCH($H1276,Parametros!$H$20:$H$24,0)),TRIM($AD1276))</f>
        <v>Mendoza</v>
      </c>
      <c r="J1276" s="61" t="str">
        <f aca="false">INDEX(Parametros!$C$95:$C$106,MATCH(TRIM(INDEX(Datos_Origen!$E$2:$E$2459,$Z1276)),Parametros!$B$95:$B$106,0))</f>
        <v>Tienda fisica</v>
      </c>
      <c r="K1276" s="61" t="str">
        <f aca="false">INDEX(Parametros!$C$48:$C$67,MATCH(TRIM(INDEX(Datos_Origen!$F$2:$F$2459,$Z1276)),Parametros!$B$48:$B$67,0))</f>
        <v>Audio</v>
      </c>
      <c r="L1276" s="61" t="str">
        <f aca="false">$K1276&amp;" "&amp;$C1276</f>
        <v>Audio 2025</v>
      </c>
      <c r="M1276" s="61" t="str">
        <f aca="false">TRIM(INDEX(Datos_Origen!$G$2:$G$2459,$Z1276))</f>
        <v>Parlante Bluetooth</v>
      </c>
      <c r="N1276" s="61" t="str">
        <f aca="false">$M1276&amp;" "&amp;$C1276</f>
        <v>Parlante Bluetooth 2025</v>
      </c>
      <c r="O1276" s="63" t="n">
        <f aca="false">IF(ISTEXT($AC1276),VALUE($AC1276),$AC1276)</f>
        <v>11</v>
      </c>
      <c r="P1276" s="64" t="n">
        <f aca="false">INDEX(Datos_Origen!$I$2:$I$2459,$Z1276)</f>
        <v>84.46</v>
      </c>
      <c r="Q1276" s="64" t="n">
        <f aca="false">INDEX(Datos_Origen!$J$2:$J$2459,$Z1276)</f>
        <v>49.47</v>
      </c>
      <c r="R1276" s="65" t="n">
        <f aca="false">ROUND($O1276*$P1276,2)</f>
        <v>929.06</v>
      </c>
      <c r="S1276" s="65" t="n">
        <f aca="false">ROUND($O1276*$Q1276,2)</f>
        <v>544.17</v>
      </c>
      <c r="T1276" s="65" t="n">
        <f aca="false">ROUND($R1276*SUMIFS(Parametros!$E$28:$E$43,Parametros!$B$28:$B$43,$J1276,Parametros!$C$28:$C$43,$C1276,Parametros!$D$28:$D$43,$D1276),2)</f>
        <v>12.08</v>
      </c>
      <c r="U1276" s="65" t="n">
        <f aca="false">$R1276-$S1276-$T1276</f>
        <v>372.81</v>
      </c>
      <c r="V1276" s="66" t="n">
        <f aca="false">IFERROR($U1276/$R1276,0)</f>
        <v>0.401276559102749</v>
      </c>
      <c r="W1276" s="67" t="str">
        <f aca="false">IF(AND($V1276&gt;=Parametros!$C$8,$R1276&gt;=Parametros!$C$12),"Alta rentabilidad",IF(OR($V1276&lt;Parametros!$C$11,$R1276&lt;Parametros!$C$13),"Revisar","Estandar"))</f>
        <v>Estandar</v>
      </c>
      <c r="X1276" s="67" t="str">
        <f aca="false">IF(AND($J1276="E-commerce",IFERROR($T1276/$R1276,0)&gt;Parametros!$C$14),"Alerta","OK")</f>
        <v>OK</v>
      </c>
      <c r="Y1276" s="61" t="str">
        <f aca="false">IF($R1276&gt;=Parametros!$C$12,"Alto",IF($R1276&lt;Parametros!$C$13,"Bajo","Medio"))</f>
        <v>Medio</v>
      </c>
      <c r="Z1276" s="61" t="n">
        <v>411</v>
      </c>
      <c r="AA1276" s="61" t="str">
        <f aca="false">IF(MATCH($A1276,Datos_Origen!$A$2:$A$2459,0)=$Z1276,"OK","REVISAR")</f>
        <v>OK</v>
      </c>
      <c r="AB1276" s="62" t="n">
        <f aca="false">INDEX(Datos_Origen!$B$2:$B$2459,$Z1276)</f>
        <v>45673</v>
      </c>
      <c r="AC1276" s="61" t="n">
        <f aca="false">INDEX(Datos_Origen!$H$2:$H$2459,$Z1276)</f>
        <v>11</v>
      </c>
      <c r="AD1276" s="61" t="str">
        <f aca="false">INDEX(Datos_Origen!$D$2:$D$2459,$Z1276)&amp;""</f>
        <v>Mendoza</v>
      </c>
    </row>
    <row r="1277" customFormat="false" ht="15" hidden="false" customHeight="false" outlineLevel="0" collapsed="false">
      <c r="A1277" s="61" t="n">
        <f aca="false">INDEX(Datos_Origen!$A$2:$A$2459,$Z1277)</f>
        <v>1276</v>
      </c>
      <c r="B1277" s="62" t="n">
        <f aca="false">IF(ISNUMBER($AB1277),$AB1277,IF(MID($AB1277,5,1)="-",DATE(VALUE(LEFT($AB1277,4)),VALUE(MID($AB1277,6,2)),VALUE(RIGHT($AB1277,2))),DATE(VALUE(RIGHT($AB1277,4)),VALUE(MID($AB1277,4,2)),VALUE(LEFT($AB1277,2)))))</f>
        <v>45680</v>
      </c>
      <c r="C1277" s="61" t="n">
        <f aca="false">YEAR($B1277)</f>
        <v>2025</v>
      </c>
      <c r="D1277" s="61" t="str">
        <f aca="false">"Q"&amp;ROUNDUP(MONTH($B1277)/3,0)</f>
        <v>Q1</v>
      </c>
      <c r="E1277" s="61" t="n">
        <f aca="false">MONTH($B1277)</f>
        <v>1</v>
      </c>
      <c r="F1277" s="61" t="str">
        <f aca="false">INDEX(Parametros!$I$5:$I$16,$E1277)</f>
        <v>Ene</v>
      </c>
      <c r="G1277" s="61" t="str">
        <f aca="false">TEXT($C1277,"0000")&amp;"-"&amp;TEXT($E1277,"00")</f>
        <v>2025-01</v>
      </c>
      <c r="H1277" s="61" t="str">
        <f aca="false">INDEX(Parametros!$C$71:$C$91,MATCH(TRIM(INDEX(Datos_Origen!$C$2:$C$2459,$Z1277)),Parametros!$B$71:$B$91,0))</f>
        <v>Cuyo</v>
      </c>
      <c r="I1277" s="61" t="str">
        <f aca="false">IF(TRIM($AD1277)="",INDEX(Parametros!$I$20:$I$24,MATCH($H1277,Parametros!$H$20:$H$24,0)),TRIM($AD1277))</f>
        <v>Mendoza</v>
      </c>
      <c r="J1277" s="61" t="str">
        <f aca="false">INDEX(Parametros!$C$95:$C$106,MATCH(TRIM(INDEX(Datos_Origen!$E$2:$E$2459,$Z1277)),Parametros!$B$95:$B$106,0))</f>
        <v>E-commerce</v>
      </c>
      <c r="K1277" s="61" t="str">
        <f aca="false">INDEX(Parametros!$C$48:$C$67,MATCH(TRIM(INDEX(Datos_Origen!$F$2:$F$2459,$Z1277)),Parametros!$B$48:$B$67,0))</f>
        <v>Audio</v>
      </c>
      <c r="L1277" s="61" t="str">
        <f aca="false">$K1277&amp;" "&amp;$C1277</f>
        <v>Audio 2025</v>
      </c>
      <c r="M1277" s="61" t="str">
        <f aca="false">TRIM(INDEX(Datos_Origen!$G$2:$G$2459,$Z1277))</f>
        <v>Parlante Bluetooth</v>
      </c>
      <c r="N1277" s="61" t="str">
        <f aca="false">$M1277&amp;" "&amp;$C1277</f>
        <v>Parlante Bluetooth 2025</v>
      </c>
      <c r="O1277" s="63" t="n">
        <f aca="false">IF(ISTEXT($AC1277),VALUE($AC1277),$AC1277)</f>
        <v>9</v>
      </c>
      <c r="P1277" s="64" t="n">
        <f aca="false">INDEX(Datos_Origen!$I$2:$I$2459,$Z1277)</f>
        <v>84.46</v>
      </c>
      <c r="Q1277" s="64" t="n">
        <f aca="false">INDEX(Datos_Origen!$J$2:$J$2459,$Z1277)</f>
        <v>49.47</v>
      </c>
      <c r="R1277" s="65" t="n">
        <f aca="false">ROUND($O1277*$P1277,2)</f>
        <v>760.14</v>
      </c>
      <c r="S1277" s="65" t="n">
        <f aca="false">ROUND($O1277*$Q1277,2)</f>
        <v>445.23</v>
      </c>
      <c r="T1277" s="65" t="n">
        <f aca="false">ROUND($R1277*SUMIFS(Parametros!$E$28:$E$43,Parametros!$B$28:$B$43,$J1277,Parametros!$C$28:$C$43,$C1277,Parametros!$D$28:$D$43,$D1277),2)</f>
        <v>51.69</v>
      </c>
      <c r="U1277" s="65" t="n">
        <f aca="false">$R1277-$S1277-$T1277</f>
        <v>263.22</v>
      </c>
      <c r="V1277" s="66" t="n">
        <f aca="false">IFERROR($U1277/$R1277,0)</f>
        <v>0.346278317152104</v>
      </c>
      <c r="W1277" s="67" t="str">
        <f aca="false">IF(AND($V1277&gt;=Parametros!$C$8,$R1277&gt;=Parametros!$C$12),"Alta rentabilidad",IF(OR($V1277&lt;Parametros!$C$11,$R1277&lt;Parametros!$C$13),"Revisar","Estandar"))</f>
        <v>Estandar</v>
      </c>
      <c r="X1277" s="67" t="str">
        <f aca="false">IF(AND($J1277="E-commerce",IFERROR($T1277/$R1277,0)&gt;Parametros!$C$14),"Alerta","OK")</f>
        <v>Alerta</v>
      </c>
      <c r="Y1277" s="61" t="str">
        <f aca="false">IF($R1277&gt;=Parametros!$C$12,"Alto",IF($R1277&lt;Parametros!$C$13,"Bajo","Medio"))</f>
        <v>Medio</v>
      </c>
      <c r="Z1277" s="61" t="n">
        <v>1173</v>
      </c>
      <c r="AA1277" s="61" t="str">
        <f aca="false">IF(MATCH($A1277,Datos_Origen!$A$2:$A$2459,0)=$Z1277,"OK","REVISAR")</f>
        <v>OK</v>
      </c>
      <c r="AB1277" s="62" t="n">
        <f aca="false">INDEX(Datos_Origen!$B$2:$B$2459,$Z1277)</f>
        <v>45680</v>
      </c>
      <c r="AC1277" s="61" t="n">
        <f aca="false">INDEX(Datos_Origen!$H$2:$H$2459,$Z1277)</f>
        <v>9</v>
      </c>
      <c r="AD1277" s="61" t="str">
        <f aca="false">INDEX(Datos_Origen!$D$2:$D$2459,$Z1277)&amp;""</f>
        <v>Mendoza</v>
      </c>
    </row>
    <row r="1278" customFormat="false" ht="15" hidden="false" customHeight="false" outlineLevel="0" collapsed="false">
      <c r="A1278" s="61" t="n">
        <f aca="false">INDEX(Datos_Origen!$A$2:$A$2459,$Z1278)</f>
        <v>1277</v>
      </c>
      <c r="B1278" s="62" t="n">
        <f aca="false">IF(ISNUMBER($AB1278),$AB1278,IF(MID($AB1278,5,1)="-",DATE(VALUE(LEFT($AB1278,4)),VALUE(MID($AB1278,6,2)),VALUE(RIGHT($AB1278,2))),DATE(VALUE(RIGHT($AB1278,4)),VALUE(MID($AB1278,4,2)),VALUE(LEFT($AB1278,2)))))</f>
        <v>45660</v>
      </c>
      <c r="C1278" s="61" t="n">
        <f aca="false">YEAR($B1278)</f>
        <v>2025</v>
      </c>
      <c r="D1278" s="61" t="str">
        <f aca="false">"Q"&amp;ROUNDUP(MONTH($B1278)/3,0)</f>
        <v>Q1</v>
      </c>
      <c r="E1278" s="61" t="n">
        <f aca="false">MONTH($B1278)</f>
        <v>1</v>
      </c>
      <c r="F1278" s="61" t="str">
        <f aca="false">INDEX(Parametros!$I$5:$I$16,$E1278)</f>
        <v>Ene</v>
      </c>
      <c r="G1278" s="61" t="str">
        <f aca="false">TEXT($C1278,"0000")&amp;"-"&amp;TEXT($E1278,"00")</f>
        <v>2025-01</v>
      </c>
      <c r="H1278" s="61" t="str">
        <f aca="false">INDEX(Parametros!$C$71:$C$91,MATCH(TRIM(INDEX(Datos_Origen!$C$2:$C$2459,$Z1278)),Parametros!$B$71:$B$91,0))</f>
        <v>Cuyo</v>
      </c>
      <c r="I1278" s="61" t="str">
        <f aca="false">IF(TRIM($AD1278)="",INDEX(Parametros!$I$20:$I$24,MATCH($H1278,Parametros!$H$20:$H$24,0)),TRIM($AD1278))</f>
        <v>Mendoza</v>
      </c>
      <c r="J1278" s="61" t="str">
        <f aca="false">INDEX(Parametros!$C$95:$C$106,MATCH(TRIM(INDEX(Datos_Origen!$E$2:$E$2459,$Z1278)),Parametros!$B$95:$B$106,0))</f>
        <v>Tienda fisica</v>
      </c>
      <c r="K1278" s="61" t="str">
        <f aca="false">INDEX(Parametros!$C$48:$C$67,MATCH(TRIM(INDEX(Datos_Origen!$F$2:$F$2459,$Z1278)),Parametros!$B$48:$B$67,0))</f>
        <v>Almacenamiento</v>
      </c>
      <c r="L1278" s="61" t="str">
        <f aca="false">$K1278&amp;" "&amp;$C1278</f>
        <v>Almacenamiento 2025</v>
      </c>
      <c r="M1278" s="61" t="str">
        <f aca="false">TRIM(INDEX(Datos_Origen!$G$2:$G$2459,$Z1278))</f>
        <v>SSD Externo 1TB</v>
      </c>
      <c r="N1278" s="61" t="str">
        <f aca="false">$M1278&amp;" "&amp;$C1278</f>
        <v>SSD Externo 1TB 2025</v>
      </c>
      <c r="O1278" s="63" t="n">
        <f aca="false">IF(ISTEXT($AC1278),VALUE($AC1278),$AC1278)</f>
        <v>15</v>
      </c>
      <c r="P1278" s="64" t="n">
        <f aca="false">INDEX(Datos_Origen!$I$2:$I$2459,$Z1278)</f>
        <v>129.17</v>
      </c>
      <c r="Q1278" s="64" t="n">
        <f aca="false">INDEX(Datos_Origen!$J$2:$J$2459,$Z1278)</f>
        <v>78.33</v>
      </c>
      <c r="R1278" s="65" t="n">
        <f aca="false">ROUND($O1278*$P1278,2)</f>
        <v>1937.55</v>
      </c>
      <c r="S1278" s="65" t="n">
        <f aca="false">ROUND($O1278*$Q1278,2)</f>
        <v>1174.95</v>
      </c>
      <c r="T1278" s="65" t="n">
        <f aca="false">ROUND($R1278*SUMIFS(Parametros!$E$28:$E$43,Parametros!$B$28:$B$43,$J1278,Parametros!$C$28:$C$43,$C1278,Parametros!$D$28:$D$43,$D1278),2)</f>
        <v>25.19</v>
      </c>
      <c r="U1278" s="65" t="n">
        <f aca="false">$R1278-$S1278-$T1278</f>
        <v>737.41</v>
      </c>
      <c r="V1278" s="66" t="n">
        <f aca="false">IFERROR($U1278/$R1278,0)</f>
        <v>0.380588888028696</v>
      </c>
      <c r="W1278" s="67" t="str">
        <f aca="false">IF(AND($V1278&gt;=Parametros!$C$8,$R1278&gt;=Parametros!$C$12),"Alta rentabilidad",IF(OR($V1278&lt;Parametros!$C$11,$R1278&lt;Parametros!$C$13),"Revisar","Estandar"))</f>
        <v>Estandar</v>
      </c>
      <c r="X1278" s="67" t="str">
        <f aca="false">IF(AND($J1278="E-commerce",IFERROR($T1278/$R1278,0)&gt;Parametros!$C$14),"Alerta","OK")</f>
        <v>OK</v>
      </c>
      <c r="Y1278" s="61" t="str">
        <f aca="false">IF($R1278&gt;=Parametros!$C$12,"Alto",IF($R1278&lt;Parametros!$C$13,"Bajo","Medio"))</f>
        <v>Medio</v>
      </c>
      <c r="Z1278" s="61" t="n">
        <v>407</v>
      </c>
      <c r="AA1278" s="61" t="str">
        <f aca="false">IF(MATCH($A1278,Datos_Origen!$A$2:$A$2459,0)=$Z1278,"OK","REVISAR")</f>
        <v>OK</v>
      </c>
      <c r="AB1278" s="62" t="n">
        <f aca="false">INDEX(Datos_Origen!$B$2:$B$2459,$Z1278)</f>
        <v>45660</v>
      </c>
      <c r="AC1278" s="61" t="n">
        <f aca="false">INDEX(Datos_Origen!$H$2:$H$2459,$Z1278)</f>
        <v>15</v>
      </c>
      <c r="AD1278" s="61" t="str">
        <f aca="false">INDEX(Datos_Origen!$D$2:$D$2459,$Z1278)&amp;""</f>
        <v>Mendoza</v>
      </c>
    </row>
    <row r="1279" customFormat="false" ht="15" hidden="false" customHeight="false" outlineLevel="0" collapsed="false">
      <c r="A1279" s="61" t="n">
        <f aca="false">INDEX(Datos_Origen!$A$2:$A$2459,$Z1279)</f>
        <v>1278</v>
      </c>
      <c r="B1279" s="62" t="n">
        <f aca="false">IF(ISNUMBER($AB1279),$AB1279,IF(MID($AB1279,5,1)="-",DATE(VALUE(LEFT($AB1279,4)),VALUE(MID($AB1279,6,2)),VALUE(RIGHT($AB1279,2))),DATE(VALUE(RIGHT($AB1279,4)),VALUE(MID($AB1279,4,2)),VALUE(LEFT($AB1279,2)))))</f>
        <v>45667</v>
      </c>
      <c r="C1279" s="61" t="n">
        <f aca="false">YEAR($B1279)</f>
        <v>2025</v>
      </c>
      <c r="D1279" s="61" t="str">
        <f aca="false">"Q"&amp;ROUNDUP(MONTH($B1279)/3,0)</f>
        <v>Q1</v>
      </c>
      <c r="E1279" s="61" t="n">
        <f aca="false">MONTH($B1279)</f>
        <v>1</v>
      </c>
      <c r="F1279" s="61" t="str">
        <f aca="false">INDEX(Parametros!$I$5:$I$16,$E1279)</f>
        <v>Ene</v>
      </c>
      <c r="G1279" s="61" t="str">
        <f aca="false">TEXT($C1279,"0000")&amp;"-"&amp;TEXT($E1279,"00")</f>
        <v>2025-01</v>
      </c>
      <c r="H1279" s="61" t="str">
        <f aca="false">INDEX(Parametros!$C$71:$C$91,MATCH(TRIM(INDEX(Datos_Origen!$C$2:$C$2459,$Z1279)),Parametros!$B$71:$B$91,0))</f>
        <v>Cuyo</v>
      </c>
      <c r="I1279" s="61" t="str">
        <f aca="false">IF(TRIM($AD1279)="",INDEX(Parametros!$I$20:$I$24,MATCH($H1279,Parametros!$H$20:$H$24,0)),TRIM($AD1279))</f>
        <v>Mendoza</v>
      </c>
      <c r="J1279" s="61" t="str">
        <f aca="false">INDEX(Parametros!$C$95:$C$106,MATCH(TRIM(INDEX(Datos_Origen!$E$2:$E$2459,$Z1279)),Parametros!$B$95:$B$106,0))</f>
        <v>E-commerce</v>
      </c>
      <c r="K1279" s="61" t="str">
        <f aca="false">INDEX(Parametros!$C$48:$C$67,MATCH(TRIM(INDEX(Datos_Origen!$F$2:$F$2459,$Z1279)),Parametros!$B$48:$B$67,0))</f>
        <v>Almacenamiento</v>
      </c>
      <c r="L1279" s="61" t="str">
        <f aca="false">$K1279&amp;" "&amp;$C1279</f>
        <v>Almacenamiento 2025</v>
      </c>
      <c r="M1279" s="61" t="str">
        <f aca="false">TRIM(INDEX(Datos_Origen!$G$2:$G$2459,$Z1279))</f>
        <v>SSD Externo 1TB</v>
      </c>
      <c r="N1279" s="61" t="str">
        <f aca="false">$M1279&amp;" "&amp;$C1279</f>
        <v>SSD Externo 1TB 2025</v>
      </c>
      <c r="O1279" s="63" t="n">
        <f aca="false">IF(ISTEXT($AC1279),VALUE($AC1279),$AC1279)</f>
        <v>11</v>
      </c>
      <c r="P1279" s="64" t="n">
        <f aca="false">INDEX(Datos_Origen!$I$2:$I$2459,$Z1279)</f>
        <v>129.17</v>
      </c>
      <c r="Q1279" s="64" t="n">
        <f aca="false">INDEX(Datos_Origen!$J$2:$J$2459,$Z1279)</f>
        <v>78.33</v>
      </c>
      <c r="R1279" s="65" t="n">
        <f aca="false">ROUND($O1279*$P1279,2)</f>
        <v>1420.87</v>
      </c>
      <c r="S1279" s="65" t="n">
        <f aca="false">ROUND($O1279*$Q1279,2)</f>
        <v>861.63</v>
      </c>
      <c r="T1279" s="65" t="n">
        <f aca="false">ROUND($R1279*SUMIFS(Parametros!$E$28:$E$43,Parametros!$B$28:$B$43,$J1279,Parametros!$C$28:$C$43,$C1279,Parametros!$D$28:$D$43,$D1279),2)</f>
        <v>96.62</v>
      </c>
      <c r="U1279" s="65" t="n">
        <f aca="false">$R1279-$S1279-$T1279</f>
        <v>462.62</v>
      </c>
      <c r="V1279" s="66" t="n">
        <f aca="false">IFERROR($U1279/$R1279,0)</f>
        <v>0.325589251655676</v>
      </c>
      <c r="W1279" s="67" t="str">
        <f aca="false">IF(AND($V1279&gt;=Parametros!$C$8,$R1279&gt;=Parametros!$C$12),"Alta rentabilidad",IF(OR($V1279&lt;Parametros!$C$11,$R1279&lt;Parametros!$C$13),"Revisar","Estandar"))</f>
        <v>Estandar</v>
      </c>
      <c r="X1279" s="67" t="str">
        <f aca="false">IF(AND($J1279="E-commerce",IFERROR($T1279/$R1279,0)&gt;Parametros!$C$14),"Alerta","OK")</f>
        <v>Alerta</v>
      </c>
      <c r="Y1279" s="61" t="str">
        <f aca="false">IF($R1279&gt;=Parametros!$C$12,"Alto",IF($R1279&lt;Parametros!$C$13,"Bajo","Medio"))</f>
        <v>Medio</v>
      </c>
      <c r="Z1279" s="61" t="n">
        <v>44</v>
      </c>
      <c r="AA1279" s="61" t="str">
        <f aca="false">IF(MATCH($A1279,Datos_Origen!$A$2:$A$2459,0)=$Z1279,"OK","REVISAR")</f>
        <v>OK</v>
      </c>
      <c r="AB1279" s="62" t="n">
        <f aca="false">INDEX(Datos_Origen!$B$2:$B$2459,$Z1279)</f>
        <v>45667</v>
      </c>
      <c r="AC1279" s="61" t="n">
        <f aca="false">INDEX(Datos_Origen!$H$2:$H$2459,$Z1279)</f>
        <v>11</v>
      </c>
      <c r="AD1279" s="61" t="str">
        <f aca="false">INDEX(Datos_Origen!$D$2:$D$2459,$Z1279)&amp;""</f>
        <v/>
      </c>
    </row>
    <row r="1280" customFormat="false" ht="15" hidden="false" customHeight="false" outlineLevel="0" collapsed="false">
      <c r="A1280" s="61" t="n">
        <f aca="false">INDEX(Datos_Origen!$A$2:$A$2459,$Z1280)</f>
        <v>1279</v>
      </c>
      <c r="B1280" s="62" t="n">
        <f aca="false">IF(ISNUMBER($AB1280),$AB1280,IF(MID($AB1280,5,1)="-",DATE(VALUE(LEFT($AB1280,4)),VALUE(MID($AB1280,6,2)),VALUE(RIGHT($AB1280,2))),DATE(VALUE(RIGHT($AB1280,4)),VALUE(MID($AB1280,4,2)),VALUE(LEFT($AB1280,2)))))</f>
        <v>45674</v>
      </c>
      <c r="C1280" s="61" t="n">
        <f aca="false">YEAR($B1280)</f>
        <v>2025</v>
      </c>
      <c r="D1280" s="61" t="str">
        <f aca="false">"Q"&amp;ROUNDUP(MONTH($B1280)/3,0)</f>
        <v>Q1</v>
      </c>
      <c r="E1280" s="61" t="n">
        <f aca="false">MONTH($B1280)</f>
        <v>1</v>
      </c>
      <c r="F1280" s="61" t="str">
        <f aca="false">INDEX(Parametros!$I$5:$I$16,$E1280)</f>
        <v>Ene</v>
      </c>
      <c r="G1280" s="61" t="str">
        <f aca="false">TEXT($C1280,"0000")&amp;"-"&amp;TEXT($E1280,"00")</f>
        <v>2025-01</v>
      </c>
      <c r="H1280" s="61" t="str">
        <f aca="false">INDEX(Parametros!$C$71:$C$91,MATCH(TRIM(INDEX(Datos_Origen!$C$2:$C$2459,$Z1280)),Parametros!$B$71:$B$91,0))</f>
        <v>Cuyo</v>
      </c>
      <c r="I1280" s="61" t="str">
        <f aca="false">IF(TRIM($AD1280)="",INDEX(Parametros!$I$20:$I$24,MATCH($H1280,Parametros!$H$20:$H$24,0)),TRIM($AD1280))</f>
        <v>Mendoza</v>
      </c>
      <c r="J1280" s="61" t="str">
        <f aca="false">INDEX(Parametros!$C$95:$C$106,MATCH(TRIM(INDEX(Datos_Origen!$E$2:$E$2459,$Z1280)),Parametros!$B$95:$B$106,0))</f>
        <v>Tienda fisica</v>
      </c>
      <c r="K1280" s="61" t="str">
        <f aca="false">INDEX(Parametros!$C$48:$C$67,MATCH(TRIM(INDEX(Datos_Origen!$F$2:$F$2459,$Z1280)),Parametros!$B$48:$B$67,0))</f>
        <v>Almacenamiento</v>
      </c>
      <c r="L1280" s="61" t="str">
        <f aca="false">$K1280&amp;" "&amp;$C1280</f>
        <v>Almacenamiento 2025</v>
      </c>
      <c r="M1280" s="61" t="str">
        <f aca="false">TRIM(INDEX(Datos_Origen!$G$2:$G$2459,$Z1280))</f>
        <v>Pendrive 256GB</v>
      </c>
      <c r="N1280" s="61" t="str">
        <f aca="false">$M1280&amp;" "&amp;$C1280</f>
        <v>Pendrive 256GB 2025</v>
      </c>
      <c r="O1280" s="63" t="n">
        <f aca="false">IF(ISTEXT($AC1280),VALUE($AC1280),$AC1280)</f>
        <v>13</v>
      </c>
      <c r="P1280" s="64" t="n">
        <f aca="false">INDEX(Datos_Origen!$I$2:$I$2459,$Z1280)</f>
        <v>34.78</v>
      </c>
      <c r="Q1280" s="64" t="n">
        <f aca="false">INDEX(Datos_Origen!$J$2:$J$2459,$Z1280)</f>
        <v>18.39</v>
      </c>
      <c r="R1280" s="65" t="n">
        <f aca="false">ROUND($O1280*$P1280,2)</f>
        <v>452.14</v>
      </c>
      <c r="S1280" s="65" t="n">
        <f aca="false">ROUND($O1280*$Q1280,2)</f>
        <v>239.07</v>
      </c>
      <c r="T1280" s="65" t="n">
        <f aca="false">ROUND($R1280*SUMIFS(Parametros!$E$28:$E$43,Parametros!$B$28:$B$43,$J1280,Parametros!$C$28:$C$43,$C1280,Parametros!$D$28:$D$43,$D1280),2)</f>
        <v>5.88</v>
      </c>
      <c r="U1280" s="65" t="n">
        <f aca="false">$R1280-$S1280-$T1280</f>
        <v>207.19</v>
      </c>
      <c r="V1280" s="66" t="n">
        <f aca="false">IFERROR($U1280/$R1280,0)</f>
        <v>0.458243022072809</v>
      </c>
      <c r="W1280" s="67" t="str">
        <f aca="false">IF(AND($V1280&gt;=Parametros!$C$8,$R1280&gt;=Parametros!$C$12),"Alta rentabilidad",IF(OR($V1280&lt;Parametros!$C$11,$R1280&lt;Parametros!$C$13),"Revisar","Estandar"))</f>
        <v>Estandar</v>
      </c>
      <c r="X1280" s="67" t="str">
        <f aca="false">IF(AND($J1280="E-commerce",IFERROR($T1280/$R1280,0)&gt;Parametros!$C$14),"Alerta","OK")</f>
        <v>OK</v>
      </c>
      <c r="Y1280" s="61" t="str">
        <f aca="false">IF($R1280&gt;=Parametros!$C$12,"Alto",IF($R1280&lt;Parametros!$C$13,"Bajo","Medio"))</f>
        <v>Medio</v>
      </c>
      <c r="Z1280" s="61" t="n">
        <v>2103</v>
      </c>
      <c r="AA1280" s="61" t="str">
        <f aca="false">IF(MATCH($A1280,Datos_Origen!$A$2:$A$2459,0)=$Z1280,"OK","REVISAR")</f>
        <v>OK</v>
      </c>
      <c r="AB1280" s="62" t="n">
        <f aca="false">INDEX(Datos_Origen!$B$2:$B$2459,$Z1280)</f>
        <v>45674</v>
      </c>
      <c r="AC1280" s="61" t="n">
        <f aca="false">INDEX(Datos_Origen!$H$2:$H$2459,$Z1280)</f>
        <v>13</v>
      </c>
      <c r="AD1280" s="61" t="str">
        <f aca="false">INDEX(Datos_Origen!$D$2:$D$2459,$Z1280)&amp;""</f>
        <v>Mendoza</v>
      </c>
    </row>
    <row r="1281" customFormat="false" ht="15" hidden="false" customHeight="false" outlineLevel="0" collapsed="false">
      <c r="A1281" s="61" t="n">
        <f aca="false">INDEX(Datos_Origen!$A$2:$A$2459,$Z1281)</f>
        <v>1280</v>
      </c>
      <c r="B1281" s="62" t="n">
        <f aca="false">IF(ISNUMBER($AB1281),$AB1281,IF(MID($AB1281,5,1)="-",DATE(VALUE(LEFT($AB1281,4)),VALUE(MID($AB1281,6,2)),VALUE(RIGHT($AB1281,2))),DATE(VALUE(RIGHT($AB1281,4)),VALUE(MID($AB1281,4,2)),VALUE(LEFT($AB1281,2)))))</f>
        <v>45681</v>
      </c>
      <c r="C1281" s="61" t="n">
        <f aca="false">YEAR($B1281)</f>
        <v>2025</v>
      </c>
      <c r="D1281" s="61" t="str">
        <f aca="false">"Q"&amp;ROUNDUP(MONTH($B1281)/3,0)</f>
        <v>Q1</v>
      </c>
      <c r="E1281" s="61" t="n">
        <f aca="false">MONTH($B1281)</f>
        <v>1</v>
      </c>
      <c r="F1281" s="61" t="str">
        <f aca="false">INDEX(Parametros!$I$5:$I$16,$E1281)</f>
        <v>Ene</v>
      </c>
      <c r="G1281" s="61" t="str">
        <f aca="false">TEXT($C1281,"0000")&amp;"-"&amp;TEXT($E1281,"00")</f>
        <v>2025-01</v>
      </c>
      <c r="H1281" s="61" t="str">
        <f aca="false">INDEX(Parametros!$C$71:$C$91,MATCH(TRIM(INDEX(Datos_Origen!$C$2:$C$2459,$Z1281)),Parametros!$B$71:$B$91,0))</f>
        <v>Cuyo</v>
      </c>
      <c r="I1281" s="61" t="str">
        <f aca="false">IF(TRIM($AD1281)="",INDEX(Parametros!$I$20:$I$24,MATCH($H1281,Parametros!$H$20:$H$24,0)),TRIM($AD1281))</f>
        <v>Mendoza</v>
      </c>
      <c r="J1281" s="61" t="str">
        <f aca="false">INDEX(Parametros!$C$95:$C$106,MATCH(TRIM(INDEX(Datos_Origen!$E$2:$E$2459,$Z1281)),Parametros!$B$95:$B$106,0))</f>
        <v>E-commerce</v>
      </c>
      <c r="K1281" s="61" t="str">
        <f aca="false">INDEX(Parametros!$C$48:$C$67,MATCH(TRIM(INDEX(Datos_Origen!$F$2:$F$2459,$Z1281)),Parametros!$B$48:$B$67,0))</f>
        <v>Almacenamiento</v>
      </c>
      <c r="L1281" s="61" t="str">
        <f aca="false">$K1281&amp;" "&amp;$C1281</f>
        <v>Almacenamiento 2025</v>
      </c>
      <c r="M1281" s="61" t="str">
        <f aca="false">TRIM(INDEX(Datos_Origen!$G$2:$G$2459,$Z1281))</f>
        <v>Pendrive 256GB</v>
      </c>
      <c r="N1281" s="61" t="str">
        <f aca="false">$M1281&amp;" "&amp;$C1281</f>
        <v>Pendrive 256GB 2025</v>
      </c>
      <c r="O1281" s="63" t="n">
        <f aca="false">IF(ISTEXT($AC1281),VALUE($AC1281),$AC1281)</f>
        <v>10</v>
      </c>
      <c r="P1281" s="64" t="n">
        <f aca="false">INDEX(Datos_Origen!$I$2:$I$2459,$Z1281)</f>
        <v>34.78</v>
      </c>
      <c r="Q1281" s="64" t="n">
        <f aca="false">INDEX(Datos_Origen!$J$2:$J$2459,$Z1281)</f>
        <v>18.39</v>
      </c>
      <c r="R1281" s="65" t="n">
        <f aca="false">ROUND($O1281*$P1281,2)</f>
        <v>347.8</v>
      </c>
      <c r="S1281" s="65" t="n">
        <f aca="false">ROUND($O1281*$Q1281,2)</f>
        <v>183.9</v>
      </c>
      <c r="T1281" s="65" t="n">
        <f aca="false">ROUND($R1281*SUMIFS(Parametros!$E$28:$E$43,Parametros!$B$28:$B$43,$J1281,Parametros!$C$28:$C$43,$C1281,Parametros!$D$28:$D$43,$D1281),2)</f>
        <v>23.65</v>
      </c>
      <c r="U1281" s="65" t="n">
        <f aca="false">$R1281-$S1281-$T1281</f>
        <v>140.25</v>
      </c>
      <c r="V1281" s="66" t="n">
        <f aca="false">IFERROR($U1281/$R1281,0)</f>
        <v>0.403248993674526</v>
      </c>
      <c r="W1281" s="67" t="str">
        <f aca="false">IF(AND($V1281&gt;=Parametros!$C$8,$R1281&gt;=Parametros!$C$12),"Alta rentabilidad",IF(OR($V1281&lt;Parametros!$C$11,$R1281&lt;Parametros!$C$13),"Revisar","Estandar"))</f>
        <v>Estandar</v>
      </c>
      <c r="X1281" s="67" t="str">
        <f aca="false">IF(AND($J1281="E-commerce",IFERROR($T1281/$R1281,0)&gt;Parametros!$C$14),"Alerta","OK")</f>
        <v>Alerta</v>
      </c>
      <c r="Y1281" s="61" t="str">
        <f aca="false">IF($R1281&gt;=Parametros!$C$12,"Alto",IF($R1281&lt;Parametros!$C$13,"Bajo","Medio"))</f>
        <v>Medio</v>
      </c>
      <c r="Z1281" s="61" t="n">
        <v>695</v>
      </c>
      <c r="AA1281" s="61" t="str">
        <f aca="false">IF(MATCH($A1281,Datos_Origen!$A$2:$A$2459,0)=$Z1281,"OK","REVISAR")</f>
        <v>OK</v>
      </c>
      <c r="AB1281" s="62" t="n">
        <f aca="false">INDEX(Datos_Origen!$B$2:$B$2459,$Z1281)</f>
        <v>45681</v>
      </c>
      <c r="AC1281" s="61" t="n">
        <f aca="false">INDEX(Datos_Origen!$H$2:$H$2459,$Z1281)</f>
        <v>10</v>
      </c>
      <c r="AD1281" s="61" t="str">
        <f aca="false">INDEX(Datos_Origen!$D$2:$D$2459,$Z1281)&amp;""</f>
        <v>Mendoza</v>
      </c>
    </row>
    <row r="1282" customFormat="false" ht="15" hidden="false" customHeight="false" outlineLevel="0" collapsed="false">
      <c r="A1282" s="61" t="n">
        <f aca="false">INDEX(Datos_Origen!$A$2:$A$2459,$Z1282)</f>
        <v>1281</v>
      </c>
      <c r="B1282" s="62" t="n">
        <f aca="false">IF(ISNUMBER($AB1282),$AB1282,IF(MID($AB1282,5,1)="-",DATE(VALUE(LEFT($AB1282,4)),VALUE(MID($AB1282,6,2)),VALUE(RIGHT($AB1282,2))),DATE(VALUE(RIGHT($AB1282,4)),VALUE(MID($AB1282,4,2)),VALUE(LEFT($AB1282,2)))))</f>
        <v>45661</v>
      </c>
      <c r="C1282" s="61" t="n">
        <f aca="false">YEAR($B1282)</f>
        <v>2025</v>
      </c>
      <c r="D1282" s="61" t="str">
        <f aca="false">"Q"&amp;ROUNDUP(MONTH($B1282)/3,0)</f>
        <v>Q1</v>
      </c>
      <c r="E1282" s="61" t="n">
        <f aca="false">MONTH($B1282)</f>
        <v>1</v>
      </c>
      <c r="F1282" s="61" t="str">
        <f aca="false">INDEX(Parametros!$I$5:$I$16,$E1282)</f>
        <v>Ene</v>
      </c>
      <c r="G1282" s="61" t="str">
        <f aca="false">TEXT($C1282,"0000")&amp;"-"&amp;TEXT($E1282,"00")</f>
        <v>2025-01</v>
      </c>
      <c r="H1282" s="61" t="str">
        <f aca="false">INDEX(Parametros!$C$71:$C$91,MATCH(TRIM(INDEX(Datos_Origen!$C$2:$C$2459,$Z1282)),Parametros!$B$71:$B$91,0))</f>
        <v>NOA</v>
      </c>
      <c r="I1282" s="61" t="str">
        <f aca="false">IF(TRIM($AD1282)="",INDEX(Parametros!$I$20:$I$24,MATCH($H1282,Parametros!$H$20:$H$24,0)),TRIM($AD1282))</f>
        <v>Tucuman</v>
      </c>
      <c r="J1282" s="61" t="str">
        <f aca="false">INDEX(Parametros!$C$95:$C$106,MATCH(TRIM(INDEX(Datos_Origen!$E$2:$E$2459,$Z1282)),Parametros!$B$95:$B$106,0))</f>
        <v>Tienda fisica</v>
      </c>
      <c r="K1282" s="61" t="str">
        <f aca="false">INDEX(Parametros!$C$48:$C$67,MATCH(TRIM(INDEX(Datos_Origen!$F$2:$F$2459,$Z1282)),Parametros!$B$48:$B$67,0))</f>
        <v>Computacion</v>
      </c>
      <c r="L1282" s="61" t="str">
        <f aca="false">$K1282&amp;" "&amp;$C1282</f>
        <v>Computacion 2025</v>
      </c>
      <c r="M1282" s="61" t="str">
        <f aca="false">TRIM(INDEX(Datos_Origen!$G$2:$G$2459,$Z1282))</f>
        <v>Laptop Pro 15</v>
      </c>
      <c r="N1282" s="61" t="str">
        <f aca="false">$M1282&amp;" "&amp;$C1282</f>
        <v>Laptop Pro 15 2025</v>
      </c>
      <c r="O1282" s="63" t="n">
        <f aca="false">IF(ISTEXT($AC1282),VALUE($AC1282),$AC1282)</f>
        <v>6</v>
      </c>
      <c r="P1282" s="64" t="n">
        <f aca="false">INDEX(Datos_Origen!$I$2:$I$2459,$Z1282)</f>
        <v>1155.06</v>
      </c>
      <c r="Q1282" s="64" t="n">
        <f aca="false">INDEX(Datos_Origen!$J$2:$J$2459,$Z1282)</f>
        <v>766.32</v>
      </c>
      <c r="R1282" s="65" t="n">
        <f aca="false">ROUND($O1282*$P1282,2)</f>
        <v>6930.36</v>
      </c>
      <c r="S1282" s="65" t="n">
        <f aca="false">ROUND($O1282*$Q1282,2)</f>
        <v>4597.92</v>
      </c>
      <c r="T1282" s="65" t="n">
        <f aca="false">ROUND($R1282*SUMIFS(Parametros!$E$28:$E$43,Parametros!$B$28:$B$43,$J1282,Parametros!$C$28:$C$43,$C1282,Parametros!$D$28:$D$43,$D1282),2)</f>
        <v>90.09</v>
      </c>
      <c r="U1282" s="65" t="n">
        <f aca="false">$R1282-$S1282-$T1282</f>
        <v>2242.35</v>
      </c>
      <c r="V1282" s="66" t="n">
        <f aca="false">IFERROR($U1282/$R1282,0)</f>
        <v>0.323554620539193</v>
      </c>
      <c r="W1282" s="67" t="str">
        <f aca="false">IF(AND($V1282&gt;=Parametros!$C$8,$R1282&gt;=Parametros!$C$12),"Alta rentabilidad",IF(OR($V1282&lt;Parametros!$C$11,$R1282&lt;Parametros!$C$13),"Revisar","Estandar"))</f>
        <v>Estandar</v>
      </c>
      <c r="X1282" s="67" t="str">
        <f aca="false">IF(AND($J1282="E-commerce",IFERROR($T1282/$R1282,0)&gt;Parametros!$C$14),"Alerta","OK")</f>
        <v>OK</v>
      </c>
      <c r="Y1282" s="61" t="str">
        <f aca="false">IF($R1282&gt;=Parametros!$C$12,"Alto",IF($R1282&lt;Parametros!$C$13,"Bajo","Medio"))</f>
        <v>Alto</v>
      </c>
      <c r="Z1282" s="61" t="n">
        <v>2186</v>
      </c>
      <c r="AA1282" s="61" t="str">
        <f aca="false">IF(MATCH($A1282,Datos_Origen!$A$2:$A$2459,0)=$Z1282,"OK","REVISAR")</f>
        <v>OK</v>
      </c>
      <c r="AB1282" s="62" t="n">
        <f aca="false">INDEX(Datos_Origen!$B$2:$B$2459,$Z1282)</f>
        <v>45661</v>
      </c>
      <c r="AC1282" s="61" t="n">
        <f aca="false">INDEX(Datos_Origen!$H$2:$H$2459,$Z1282)</f>
        <v>6</v>
      </c>
      <c r="AD1282" s="61" t="str">
        <f aca="false">INDEX(Datos_Origen!$D$2:$D$2459,$Z1282)&amp;""</f>
        <v>Tucuman</v>
      </c>
    </row>
    <row r="1283" customFormat="false" ht="15" hidden="false" customHeight="false" outlineLevel="0" collapsed="false">
      <c r="A1283" s="61" t="n">
        <f aca="false">INDEX(Datos_Origen!$A$2:$A$2459,$Z1283)</f>
        <v>1282</v>
      </c>
      <c r="B1283" s="62" t="n">
        <f aca="false">IF(ISNUMBER($AB1283),$AB1283,IF(MID($AB1283,5,1)="-",DATE(VALUE(LEFT($AB1283,4)),VALUE(MID($AB1283,6,2)),VALUE(RIGHT($AB1283,2))),DATE(VALUE(RIGHT($AB1283,4)),VALUE(MID($AB1283,4,2)),VALUE(LEFT($AB1283,2)))))</f>
        <v>45668</v>
      </c>
      <c r="C1283" s="61" t="n">
        <f aca="false">YEAR($B1283)</f>
        <v>2025</v>
      </c>
      <c r="D1283" s="61" t="str">
        <f aca="false">"Q"&amp;ROUNDUP(MONTH($B1283)/3,0)</f>
        <v>Q1</v>
      </c>
      <c r="E1283" s="61" t="n">
        <f aca="false">MONTH($B1283)</f>
        <v>1</v>
      </c>
      <c r="F1283" s="61" t="str">
        <f aca="false">INDEX(Parametros!$I$5:$I$16,$E1283)</f>
        <v>Ene</v>
      </c>
      <c r="G1283" s="61" t="str">
        <f aca="false">TEXT($C1283,"0000")&amp;"-"&amp;TEXT($E1283,"00")</f>
        <v>2025-01</v>
      </c>
      <c r="H1283" s="61" t="str">
        <f aca="false">INDEX(Parametros!$C$71:$C$91,MATCH(TRIM(INDEX(Datos_Origen!$C$2:$C$2459,$Z1283)),Parametros!$B$71:$B$91,0))</f>
        <v>NOA</v>
      </c>
      <c r="I1283" s="61" t="str">
        <f aca="false">IF(TRIM($AD1283)="",INDEX(Parametros!$I$20:$I$24,MATCH($H1283,Parametros!$H$20:$H$24,0)),TRIM($AD1283))</f>
        <v>Tucuman</v>
      </c>
      <c r="J1283" s="61" t="str">
        <f aca="false">INDEX(Parametros!$C$95:$C$106,MATCH(TRIM(INDEX(Datos_Origen!$E$2:$E$2459,$Z1283)),Parametros!$B$95:$B$106,0))</f>
        <v>E-commerce</v>
      </c>
      <c r="K1283" s="61" t="str">
        <f aca="false">INDEX(Parametros!$C$48:$C$67,MATCH(TRIM(INDEX(Datos_Origen!$F$2:$F$2459,$Z1283)),Parametros!$B$48:$B$67,0))</f>
        <v>Computacion</v>
      </c>
      <c r="L1283" s="61" t="str">
        <f aca="false">$K1283&amp;" "&amp;$C1283</f>
        <v>Computacion 2025</v>
      </c>
      <c r="M1283" s="61" t="str">
        <f aca="false">TRIM(INDEX(Datos_Origen!$G$2:$G$2459,$Z1283))</f>
        <v>Laptop Pro 15</v>
      </c>
      <c r="N1283" s="61" t="str">
        <f aca="false">$M1283&amp;" "&amp;$C1283</f>
        <v>Laptop Pro 15 2025</v>
      </c>
      <c r="O1283" s="63" t="n">
        <f aca="false">IF(ISTEXT($AC1283),VALUE($AC1283),$AC1283)</f>
        <v>3</v>
      </c>
      <c r="P1283" s="64" t="n">
        <f aca="false">INDEX(Datos_Origen!$I$2:$I$2459,$Z1283)</f>
        <v>1155.06</v>
      </c>
      <c r="Q1283" s="64" t="n">
        <f aca="false">INDEX(Datos_Origen!$J$2:$J$2459,$Z1283)</f>
        <v>766.32</v>
      </c>
      <c r="R1283" s="65" t="n">
        <f aca="false">ROUND($O1283*$P1283,2)</f>
        <v>3465.18</v>
      </c>
      <c r="S1283" s="65" t="n">
        <f aca="false">ROUND($O1283*$Q1283,2)</f>
        <v>2298.96</v>
      </c>
      <c r="T1283" s="65" t="n">
        <f aca="false">ROUND($R1283*SUMIFS(Parametros!$E$28:$E$43,Parametros!$B$28:$B$43,$J1283,Parametros!$C$28:$C$43,$C1283,Parametros!$D$28:$D$43,$D1283),2)</f>
        <v>235.63</v>
      </c>
      <c r="U1283" s="65" t="n">
        <f aca="false">$R1283-$S1283-$T1283</f>
        <v>930.59</v>
      </c>
      <c r="V1283" s="66" t="n">
        <f aca="false">IFERROR($U1283/$R1283,0)</f>
        <v>0.268554591680663</v>
      </c>
      <c r="W1283" s="67" t="str">
        <f aca="false">IF(AND($V1283&gt;=Parametros!$C$8,$R1283&gt;=Parametros!$C$12),"Alta rentabilidad",IF(OR($V1283&lt;Parametros!$C$11,$R1283&lt;Parametros!$C$13),"Revisar","Estandar"))</f>
        <v>Revisar</v>
      </c>
      <c r="X1283" s="67" t="str">
        <f aca="false">IF(AND($J1283="E-commerce",IFERROR($T1283/$R1283,0)&gt;Parametros!$C$14),"Alerta","OK")</f>
        <v>Alerta</v>
      </c>
      <c r="Y1283" s="61" t="str">
        <f aca="false">IF($R1283&gt;=Parametros!$C$12,"Alto",IF($R1283&lt;Parametros!$C$13,"Bajo","Medio"))</f>
        <v>Alto</v>
      </c>
      <c r="Z1283" s="61" t="n">
        <v>645</v>
      </c>
      <c r="AA1283" s="61" t="str">
        <f aca="false">IF(MATCH($A1283,Datos_Origen!$A$2:$A$2459,0)=$Z1283,"OK","REVISAR")</f>
        <v>OK</v>
      </c>
      <c r="AB1283" s="62" t="n">
        <f aca="false">INDEX(Datos_Origen!$B$2:$B$2459,$Z1283)</f>
        <v>45668</v>
      </c>
      <c r="AC1283" s="61" t="n">
        <f aca="false">INDEX(Datos_Origen!$H$2:$H$2459,$Z1283)</f>
        <v>3</v>
      </c>
      <c r="AD1283" s="61" t="str">
        <f aca="false">INDEX(Datos_Origen!$D$2:$D$2459,$Z1283)&amp;""</f>
        <v>Tucuman</v>
      </c>
    </row>
    <row r="1284" customFormat="false" ht="15" hidden="false" customHeight="false" outlineLevel="0" collapsed="false">
      <c r="A1284" s="61" t="n">
        <f aca="false">INDEX(Datos_Origen!$A$2:$A$2459,$Z1284)</f>
        <v>1283</v>
      </c>
      <c r="B1284" s="62" t="n">
        <f aca="false">IF(ISNUMBER($AB1284),$AB1284,IF(MID($AB1284,5,1)="-",DATE(VALUE(LEFT($AB1284,4)),VALUE(MID($AB1284,6,2)),VALUE(RIGHT($AB1284,2))),DATE(VALUE(RIGHT($AB1284,4)),VALUE(MID($AB1284,4,2)),VALUE(LEFT($AB1284,2)))))</f>
        <v>45675</v>
      </c>
      <c r="C1284" s="61" t="n">
        <f aca="false">YEAR($B1284)</f>
        <v>2025</v>
      </c>
      <c r="D1284" s="61" t="str">
        <f aca="false">"Q"&amp;ROUNDUP(MONTH($B1284)/3,0)</f>
        <v>Q1</v>
      </c>
      <c r="E1284" s="61" t="n">
        <f aca="false">MONTH($B1284)</f>
        <v>1</v>
      </c>
      <c r="F1284" s="61" t="str">
        <f aca="false">INDEX(Parametros!$I$5:$I$16,$E1284)</f>
        <v>Ene</v>
      </c>
      <c r="G1284" s="61" t="str">
        <f aca="false">TEXT($C1284,"0000")&amp;"-"&amp;TEXT($E1284,"00")</f>
        <v>2025-01</v>
      </c>
      <c r="H1284" s="61" t="str">
        <f aca="false">INDEX(Parametros!$C$71:$C$91,MATCH(TRIM(INDEX(Datos_Origen!$C$2:$C$2459,$Z1284)),Parametros!$B$71:$B$91,0))</f>
        <v>NOA</v>
      </c>
      <c r="I1284" s="61" t="str">
        <f aca="false">IF(TRIM($AD1284)="",INDEX(Parametros!$I$20:$I$24,MATCH($H1284,Parametros!$H$20:$H$24,0)),TRIM($AD1284))</f>
        <v>Tucuman</v>
      </c>
      <c r="J1284" s="61" t="str">
        <f aca="false">INDEX(Parametros!$C$95:$C$106,MATCH(TRIM(INDEX(Datos_Origen!$E$2:$E$2459,$Z1284)),Parametros!$B$95:$B$106,0))</f>
        <v>Tienda fisica</v>
      </c>
      <c r="K1284" s="61" t="str">
        <f aca="false">INDEX(Parametros!$C$48:$C$67,MATCH(TRIM(INDEX(Datos_Origen!$F$2:$F$2459,$Z1284)),Parametros!$B$48:$B$67,0))</f>
        <v>Computacion</v>
      </c>
      <c r="L1284" s="61" t="str">
        <f aca="false">$K1284&amp;" "&amp;$C1284</f>
        <v>Computacion 2025</v>
      </c>
      <c r="M1284" s="61" t="str">
        <f aca="false">TRIM(INDEX(Datos_Origen!$G$2:$G$2459,$Z1284))</f>
        <v>Monitor 4K 27</v>
      </c>
      <c r="N1284" s="61" t="str">
        <f aca="false">$M1284&amp;" "&amp;$C1284</f>
        <v>Monitor 4K 27 2025</v>
      </c>
      <c r="O1284" s="63" t="n">
        <f aca="false">IF(ISTEXT($AC1284),VALUE($AC1284),$AC1284)</f>
        <v>5</v>
      </c>
      <c r="P1284" s="64" t="n">
        <f aca="false">INDEX(Datos_Origen!$I$2:$I$2459,$Z1284)</f>
        <v>433.15</v>
      </c>
      <c r="Q1284" s="64" t="n">
        <f aca="false">INDEX(Datos_Origen!$J$2:$J$2459,$Z1284)</f>
        <v>280.42</v>
      </c>
      <c r="R1284" s="65" t="n">
        <f aca="false">ROUND($O1284*$P1284,2)</f>
        <v>2165.75</v>
      </c>
      <c r="S1284" s="65" t="n">
        <f aca="false">ROUND($O1284*$Q1284,2)</f>
        <v>1402.1</v>
      </c>
      <c r="T1284" s="65" t="n">
        <f aca="false">ROUND($R1284*SUMIFS(Parametros!$E$28:$E$43,Parametros!$B$28:$B$43,$J1284,Parametros!$C$28:$C$43,$C1284,Parametros!$D$28:$D$43,$D1284),2)</f>
        <v>28.15</v>
      </c>
      <c r="U1284" s="65" t="n">
        <f aca="false">$R1284-$S1284-$T1284</f>
        <v>735.5</v>
      </c>
      <c r="V1284" s="66" t="n">
        <f aca="false">IFERROR($U1284/$R1284,0)</f>
        <v>0.339605217592058</v>
      </c>
      <c r="W1284" s="67" t="str">
        <f aca="false">IF(AND($V1284&gt;=Parametros!$C$8,$R1284&gt;=Parametros!$C$12),"Alta rentabilidad",IF(OR($V1284&lt;Parametros!$C$11,$R1284&lt;Parametros!$C$13),"Revisar","Estandar"))</f>
        <v>Estandar</v>
      </c>
      <c r="X1284" s="67" t="str">
        <f aca="false">IF(AND($J1284="E-commerce",IFERROR($T1284/$R1284,0)&gt;Parametros!$C$14),"Alerta","OK")</f>
        <v>OK</v>
      </c>
      <c r="Y1284" s="61" t="str">
        <f aca="false">IF($R1284&gt;=Parametros!$C$12,"Alto",IF($R1284&lt;Parametros!$C$13,"Bajo","Medio"))</f>
        <v>Medio</v>
      </c>
      <c r="Z1284" s="61" t="n">
        <v>2152</v>
      </c>
      <c r="AA1284" s="61" t="str">
        <f aca="false">IF(MATCH($A1284,Datos_Origen!$A$2:$A$2459,0)=$Z1284,"OK","REVISAR")</f>
        <v>OK</v>
      </c>
      <c r="AB1284" s="61" t="str">
        <f aca="false">INDEX(Datos_Origen!$B$2:$B$2459,$Z1284)</f>
        <v>18/01/2025</v>
      </c>
      <c r="AC1284" s="61" t="n">
        <f aca="false">INDEX(Datos_Origen!$H$2:$H$2459,$Z1284)</f>
        <v>5</v>
      </c>
      <c r="AD1284" s="61" t="str">
        <f aca="false">INDEX(Datos_Origen!$D$2:$D$2459,$Z1284)&amp;""</f>
        <v>Tucuman</v>
      </c>
    </row>
    <row r="1285" customFormat="false" ht="15" hidden="false" customHeight="false" outlineLevel="0" collapsed="false">
      <c r="A1285" s="61" t="n">
        <f aca="false">INDEX(Datos_Origen!$A$2:$A$2459,$Z1285)</f>
        <v>1284</v>
      </c>
      <c r="B1285" s="62" t="n">
        <f aca="false">IF(ISNUMBER($AB1285),$AB1285,IF(MID($AB1285,5,1)="-",DATE(VALUE(LEFT($AB1285,4)),VALUE(MID($AB1285,6,2)),VALUE(RIGHT($AB1285,2))),DATE(VALUE(RIGHT($AB1285,4)),VALUE(MID($AB1285,4,2)),VALUE(LEFT($AB1285,2)))))</f>
        <v>45682</v>
      </c>
      <c r="C1285" s="61" t="n">
        <f aca="false">YEAR($B1285)</f>
        <v>2025</v>
      </c>
      <c r="D1285" s="61" t="str">
        <f aca="false">"Q"&amp;ROUNDUP(MONTH($B1285)/3,0)</f>
        <v>Q1</v>
      </c>
      <c r="E1285" s="61" t="n">
        <f aca="false">MONTH($B1285)</f>
        <v>1</v>
      </c>
      <c r="F1285" s="61" t="str">
        <f aca="false">INDEX(Parametros!$I$5:$I$16,$E1285)</f>
        <v>Ene</v>
      </c>
      <c r="G1285" s="61" t="str">
        <f aca="false">TEXT($C1285,"0000")&amp;"-"&amp;TEXT($E1285,"00")</f>
        <v>2025-01</v>
      </c>
      <c r="H1285" s="61" t="str">
        <f aca="false">INDEX(Parametros!$C$71:$C$91,MATCH(TRIM(INDEX(Datos_Origen!$C$2:$C$2459,$Z1285)),Parametros!$B$71:$B$91,0))</f>
        <v>NOA</v>
      </c>
      <c r="I1285" s="61" t="str">
        <f aca="false">IF(TRIM($AD1285)="",INDEX(Parametros!$I$20:$I$24,MATCH($H1285,Parametros!$H$20:$H$24,0)),TRIM($AD1285))</f>
        <v>Tucuman</v>
      </c>
      <c r="J1285" s="61" t="str">
        <f aca="false">INDEX(Parametros!$C$95:$C$106,MATCH(TRIM(INDEX(Datos_Origen!$E$2:$E$2459,$Z1285)),Parametros!$B$95:$B$106,0))</f>
        <v>E-commerce</v>
      </c>
      <c r="K1285" s="61" t="str">
        <f aca="false">INDEX(Parametros!$C$48:$C$67,MATCH(TRIM(INDEX(Datos_Origen!$F$2:$F$2459,$Z1285)),Parametros!$B$48:$B$67,0))</f>
        <v>Computacion</v>
      </c>
      <c r="L1285" s="61" t="str">
        <f aca="false">$K1285&amp;" "&amp;$C1285</f>
        <v>Computacion 2025</v>
      </c>
      <c r="M1285" s="61" t="str">
        <f aca="false">TRIM(INDEX(Datos_Origen!$G$2:$G$2459,$Z1285))</f>
        <v>Monitor 4K 27</v>
      </c>
      <c r="N1285" s="61" t="str">
        <f aca="false">$M1285&amp;" "&amp;$C1285</f>
        <v>Monitor 4K 27 2025</v>
      </c>
      <c r="O1285" s="63" t="n">
        <f aca="false">IF(ISTEXT($AC1285),VALUE($AC1285),$AC1285)</f>
        <v>3</v>
      </c>
      <c r="P1285" s="64" t="n">
        <f aca="false">INDEX(Datos_Origen!$I$2:$I$2459,$Z1285)</f>
        <v>433.15</v>
      </c>
      <c r="Q1285" s="64" t="n">
        <f aca="false">INDEX(Datos_Origen!$J$2:$J$2459,$Z1285)</f>
        <v>280.42</v>
      </c>
      <c r="R1285" s="65" t="n">
        <f aca="false">ROUND($O1285*$P1285,2)</f>
        <v>1299.45</v>
      </c>
      <c r="S1285" s="65" t="n">
        <f aca="false">ROUND($O1285*$Q1285,2)</f>
        <v>841.26</v>
      </c>
      <c r="T1285" s="65" t="n">
        <f aca="false">ROUND($R1285*SUMIFS(Parametros!$E$28:$E$43,Parametros!$B$28:$B$43,$J1285,Parametros!$C$28:$C$43,$C1285,Parametros!$D$28:$D$43,$D1285),2)</f>
        <v>88.36</v>
      </c>
      <c r="U1285" s="65" t="n">
        <f aca="false">$R1285-$S1285-$T1285</f>
        <v>369.83</v>
      </c>
      <c r="V1285" s="66" t="n">
        <f aca="false">IFERROR($U1285/$R1285,0)</f>
        <v>0.284605025202971</v>
      </c>
      <c r="W1285" s="67" t="str">
        <f aca="false">IF(AND($V1285&gt;=Parametros!$C$8,$R1285&gt;=Parametros!$C$12),"Alta rentabilidad",IF(OR($V1285&lt;Parametros!$C$11,$R1285&lt;Parametros!$C$13),"Revisar","Estandar"))</f>
        <v>Estandar</v>
      </c>
      <c r="X1285" s="67" t="str">
        <f aca="false">IF(AND($J1285="E-commerce",IFERROR($T1285/$R1285,0)&gt;Parametros!$C$14),"Alerta","OK")</f>
        <v>Alerta</v>
      </c>
      <c r="Y1285" s="61" t="str">
        <f aca="false">IF($R1285&gt;=Parametros!$C$12,"Alto",IF($R1285&lt;Parametros!$C$13,"Bajo","Medio"))</f>
        <v>Medio</v>
      </c>
      <c r="Z1285" s="61" t="n">
        <v>1688</v>
      </c>
      <c r="AA1285" s="61" t="str">
        <f aca="false">IF(MATCH($A1285,Datos_Origen!$A$2:$A$2459,0)=$Z1285,"OK","REVISAR")</f>
        <v>OK</v>
      </c>
      <c r="AB1285" s="62" t="n">
        <f aca="false">INDEX(Datos_Origen!$B$2:$B$2459,$Z1285)</f>
        <v>45682</v>
      </c>
      <c r="AC1285" s="61" t="n">
        <f aca="false">INDEX(Datos_Origen!$H$2:$H$2459,$Z1285)</f>
        <v>3</v>
      </c>
      <c r="AD1285" s="61" t="str">
        <f aca="false">INDEX(Datos_Origen!$D$2:$D$2459,$Z1285)&amp;""</f>
        <v>Tucuman</v>
      </c>
    </row>
    <row r="1286" customFormat="false" ht="15" hidden="false" customHeight="false" outlineLevel="0" collapsed="false">
      <c r="A1286" s="61" t="n">
        <f aca="false">INDEX(Datos_Origen!$A$2:$A$2459,$Z1286)</f>
        <v>1285</v>
      </c>
      <c r="B1286" s="62" t="n">
        <f aca="false">IF(ISNUMBER($AB1286),$AB1286,IF(MID($AB1286,5,1)="-",DATE(VALUE(LEFT($AB1286,4)),VALUE(MID($AB1286,6,2)),VALUE(RIGHT($AB1286,2))),DATE(VALUE(RIGHT($AB1286,4)),VALUE(MID($AB1286,4,2)),VALUE(LEFT($AB1286,2)))))</f>
        <v>45662</v>
      </c>
      <c r="C1286" s="61" t="n">
        <f aca="false">YEAR($B1286)</f>
        <v>2025</v>
      </c>
      <c r="D1286" s="61" t="str">
        <f aca="false">"Q"&amp;ROUNDUP(MONTH($B1286)/3,0)</f>
        <v>Q1</v>
      </c>
      <c r="E1286" s="61" t="n">
        <f aca="false">MONTH($B1286)</f>
        <v>1</v>
      </c>
      <c r="F1286" s="61" t="str">
        <f aca="false">INDEX(Parametros!$I$5:$I$16,$E1286)</f>
        <v>Ene</v>
      </c>
      <c r="G1286" s="61" t="str">
        <f aca="false">TEXT($C1286,"0000")&amp;"-"&amp;TEXT($E1286,"00")</f>
        <v>2025-01</v>
      </c>
      <c r="H1286" s="61" t="str">
        <f aca="false">INDEX(Parametros!$C$71:$C$91,MATCH(TRIM(INDEX(Datos_Origen!$C$2:$C$2459,$Z1286)),Parametros!$B$71:$B$91,0))</f>
        <v>NOA</v>
      </c>
      <c r="I1286" s="61" t="str">
        <f aca="false">IF(TRIM($AD1286)="",INDEX(Parametros!$I$20:$I$24,MATCH($H1286,Parametros!$H$20:$H$24,0)),TRIM($AD1286))</f>
        <v>Tucuman</v>
      </c>
      <c r="J1286" s="61" t="str">
        <f aca="false">INDEX(Parametros!$C$95:$C$106,MATCH(TRIM(INDEX(Datos_Origen!$E$2:$E$2459,$Z1286)),Parametros!$B$95:$B$106,0))</f>
        <v>Tienda fisica</v>
      </c>
      <c r="K1286" s="61" t="str">
        <f aca="false">INDEX(Parametros!$C$48:$C$67,MATCH(TRIM(INDEX(Datos_Origen!$F$2:$F$2459,$Z1286)),Parametros!$B$48:$B$67,0))</f>
        <v>Computacion</v>
      </c>
      <c r="L1286" s="61" t="str">
        <f aca="false">$K1286&amp;" "&amp;$C1286</f>
        <v>Computacion 2025</v>
      </c>
      <c r="M1286" s="61" t="str">
        <f aca="false">TRIM(INDEX(Datos_Origen!$G$2:$G$2459,$Z1286))</f>
        <v>PC Gamer Ryzen</v>
      </c>
      <c r="N1286" s="61" t="str">
        <f aca="false">$M1286&amp;" "&amp;$C1286</f>
        <v>PC Gamer Ryzen 2025</v>
      </c>
      <c r="O1286" s="63" t="n">
        <f aca="false">IF(ISTEXT($AC1286),VALUE($AC1286),$AC1286)</f>
        <v>6</v>
      </c>
      <c r="P1286" s="64" t="n">
        <f aca="false">INDEX(Datos_Origen!$I$2:$I$2459,$Z1286)</f>
        <v>1588.21</v>
      </c>
      <c r="Q1286" s="64" t="n">
        <f aca="false">INDEX(Datos_Origen!$J$2:$J$2459,$Z1286)</f>
        <v>1155.66</v>
      </c>
      <c r="R1286" s="65" t="n">
        <f aca="false">ROUND($O1286*$P1286,2)</f>
        <v>9529.26</v>
      </c>
      <c r="S1286" s="65" t="n">
        <f aca="false">ROUND($O1286*$Q1286,2)</f>
        <v>6933.96</v>
      </c>
      <c r="T1286" s="65" t="n">
        <f aca="false">ROUND($R1286*SUMIFS(Parametros!$E$28:$E$43,Parametros!$B$28:$B$43,$J1286,Parametros!$C$28:$C$43,$C1286,Parametros!$D$28:$D$43,$D1286),2)</f>
        <v>123.88</v>
      </c>
      <c r="U1286" s="65" t="n">
        <f aca="false">$R1286-$S1286-$T1286</f>
        <v>2471.42</v>
      </c>
      <c r="V1286" s="66" t="n">
        <f aca="false">IFERROR($U1286/$R1286,0)</f>
        <v>0.259350673609493</v>
      </c>
      <c r="W1286" s="67" t="str">
        <f aca="false">IF(AND($V1286&gt;=Parametros!$C$8,$R1286&gt;=Parametros!$C$12),"Alta rentabilidad",IF(OR($V1286&lt;Parametros!$C$11,$R1286&lt;Parametros!$C$13),"Revisar","Estandar"))</f>
        <v>Revisar</v>
      </c>
      <c r="X1286" s="67" t="str">
        <f aca="false">IF(AND($J1286="E-commerce",IFERROR($T1286/$R1286,0)&gt;Parametros!$C$14),"Alerta","OK")</f>
        <v>OK</v>
      </c>
      <c r="Y1286" s="61" t="str">
        <f aca="false">IF($R1286&gt;=Parametros!$C$12,"Alto",IF($R1286&lt;Parametros!$C$13,"Bajo","Medio"))</f>
        <v>Alto</v>
      </c>
      <c r="Z1286" s="61" t="n">
        <v>1421</v>
      </c>
      <c r="AA1286" s="61" t="str">
        <f aca="false">IF(MATCH($A1286,Datos_Origen!$A$2:$A$2459,0)=$Z1286,"OK","REVISAR")</f>
        <v>OK</v>
      </c>
      <c r="AB1286" s="61" t="str">
        <f aca="false">INDEX(Datos_Origen!$B$2:$B$2459,$Z1286)</f>
        <v>05/01/2025</v>
      </c>
      <c r="AC1286" s="61" t="n">
        <f aca="false">INDEX(Datos_Origen!$H$2:$H$2459,$Z1286)</f>
        <v>6</v>
      </c>
      <c r="AD1286" s="61" t="str">
        <f aca="false">INDEX(Datos_Origen!$D$2:$D$2459,$Z1286)&amp;""</f>
        <v>Tucuman</v>
      </c>
    </row>
    <row r="1287" customFormat="false" ht="15" hidden="false" customHeight="false" outlineLevel="0" collapsed="false">
      <c r="A1287" s="61" t="n">
        <f aca="false">INDEX(Datos_Origen!$A$2:$A$2459,$Z1287)</f>
        <v>1286</v>
      </c>
      <c r="B1287" s="62" t="n">
        <f aca="false">IF(ISNUMBER($AB1287),$AB1287,IF(MID($AB1287,5,1)="-",DATE(VALUE(LEFT($AB1287,4)),VALUE(MID($AB1287,6,2)),VALUE(RIGHT($AB1287,2))),DATE(VALUE(RIGHT($AB1287,4)),VALUE(MID($AB1287,4,2)),VALUE(LEFT($AB1287,2)))))</f>
        <v>45669</v>
      </c>
      <c r="C1287" s="61" t="n">
        <f aca="false">YEAR($B1287)</f>
        <v>2025</v>
      </c>
      <c r="D1287" s="61" t="str">
        <f aca="false">"Q"&amp;ROUNDUP(MONTH($B1287)/3,0)</f>
        <v>Q1</v>
      </c>
      <c r="E1287" s="61" t="n">
        <f aca="false">MONTH($B1287)</f>
        <v>1</v>
      </c>
      <c r="F1287" s="61" t="str">
        <f aca="false">INDEX(Parametros!$I$5:$I$16,$E1287)</f>
        <v>Ene</v>
      </c>
      <c r="G1287" s="61" t="str">
        <f aca="false">TEXT($C1287,"0000")&amp;"-"&amp;TEXT($E1287,"00")</f>
        <v>2025-01</v>
      </c>
      <c r="H1287" s="61" t="str">
        <f aca="false">INDEX(Parametros!$C$71:$C$91,MATCH(TRIM(INDEX(Datos_Origen!$C$2:$C$2459,$Z1287)),Parametros!$B$71:$B$91,0))</f>
        <v>NOA</v>
      </c>
      <c r="I1287" s="61" t="str">
        <f aca="false">IF(TRIM($AD1287)="",INDEX(Parametros!$I$20:$I$24,MATCH($H1287,Parametros!$H$20:$H$24,0)),TRIM($AD1287))</f>
        <v>Tucuman</v>
      </c>
      <c r="J1287" s="61" t="str">
        <f aca="false">INDEX(Parametros!$C$95:$C$106,MATCH(TRIM(INDEX(Datos_Origen!$E$2:$E$2459,$Z1287)),Parametros!$B$95:$B$106,0))</f>
        <v>E-commerce</v>
      </c>
      <c r="K1287" s="61" t="str">
        <f aca="false">INDEX(Parametros!$C$48:$C$67,MATCH(TRIM(INDEX(Datos_Origen!$F$2:$F$2459,$Z1287)),Parametros!$B$48:$B$67,0))</f>
        <v>Computacion</v>
      </c>
      <c r="L1287" s="61" t="str">
        <f aca="false">$K1287&amp;" "&amp;$C1287</f>
        <v>Computacion 2025</v>
      </c>
      <c r="M1287" s="61" t="str">
        <f aca="false">TRIM(INDEX(Datos_Origen!$G$2:$G$2459,$Z1287))</f>
        <v>PC Gamer Ryzen</v>
      </c>
      <c r="N1287" s="61" t="str">
        <f aca="false">$M1287&amp;" "&amp;$C1287</f>
        <v>PC Gamer Ryzen 2025</v>
      </c>
      <c r="O1287" s="63" t="n">
        <f aca="false">IF(ISTEXT($AC1287),VALUE($AC1287),$AC1287)</f>
        <v>4</v>
      </c>
      <c r="P1287" s="64" t="n">
        <f aca="false">INDEX(Datos_Origen!$I$2:$I$2459,$Z1287)</f>
        <v>1588.21</v>
      </c>
      <c r="Q1287" s="64" t="n">
        <f aca="false">INDEX(Datos_Origen!$J$2:$J$2459,$Z1287)</f>
        <v>1155.66</v>
      </c>
      <c r="R1287" s="65" t="n">
        <f aca="false">ROUND($O1287*$P1287,2)</f>
        <v>6352.84</v>
      </c>
      <c r="S1287" s="65" t="n">
        <f aca="false">ROUND($O1287*$Q1287,2)</f>
        <v>4622.64</v>
      </c>
      <c r="T1287" s="65" t="n">
        <f aca="false">ROUND($R1287*SUMIFS(Parametros!$E$28:$E$43,Parametros!$B$28:$B$43,$J1287,Parametros!$C$28:$C$43,$C1287,Parametros!$D$28:$D$43,$D1287),2)</f>
        <v>431.99</v>
      </c>
      <c r="U1287" s="65" t="n">
        <f aca="false">$R1287-$S1287-$T1287</f>
        <v>1298.21</v>
      </c>
      <c r="V1287" s="66" t="n">
        <f aca="false">IFERROR($U1287/$R1287,0)</f>
        <v>0.204351124851248</v>
      </c>
      <c r="W1287" s="67" t="str">
        <f aca="false">IF(AND($V1287&gt;=Parametros!$C$8,$R1287&gt;=Parametros!$C$12),"Alta rentabilidad",IF(OR($V1287&lt;Parametros!$C$11,$R1287&lt;Parametros!$C$13),"Revisar","Estandar"))</f>
        <v>Revisar</v>
      </c>
      <c r="X1287" s="67" t="str">
        <f aca="false">IF(AND($J1287="E-commerce",IFERROR($T1287/$R1287,0)&gt;Parametros!$C$14),"Alerta","OK")</f>
        <v>Alerta</v>
      </c>
      <c r="Y1287" s="61" t="str">
        <f aca="false">IF($R1287&gt;=Parametros!$C$12,"Alto",IF($R1287&lt;Parametros!$C$13,"Bajo","Medio"))</f>
        <v>Alto</v>
      </c>
      <c r="Z1287" s="61" t="n">
        <v>1596</v>
      </c>
      <c r="AA1287" s="61" t="str">
        <f aca="false">IF(MATCH($A1287,Datos_Origen!$A$2:$A$2459,0)=$Z1287,"OK","REVISAR")</f>
        <v>OK</v>
      </c>
      <c r="AB1287" s="62" t="n">
        <f aca="false">INDEX(Datos_Origen!$B$2:$B$2459,$Z1287)</f>
        <v>45669</v>
      </c>
      <c r="AC1287" s="61" t="n">
        <f aca="false">INDEX(Datos_Origen!$H$2:$H$2459,$Z1287)</f>
        <v>4</v>
      </c>
      <c r="AD1287" s="61" t="str">
        <f aca="false">INDEX(Datos_Origen!$D$2:$D$2459,$Z1287)&amp;""</f>
        <v>Tucuman</v>
      </c>
    </row>
    <row r="1288" customFormat="false" ht="15" hidden="false" customHeight="false" outlineLevel="0" collapsed="false">
      <c r="A1288" s="61" t="n">
        <f aca="false">INDEX(Datos_Origen!$A$2:$A$2459,$Z1288)</f>
        <v>1287</v>
      </c>
      <c r="B1288" s="62" t="n">
        <f aca="false">IF(ISNUMBER($AB1288),$AB1288,IF(MID($AB1288,5,1)="-",DATE(VALUE(LEFT($AB1288,4)),VALUE(MID($AB1288,6,2)),VALUE(RIGHT($AB1288,2))),DATE(VALUE(RIGHT($AB1288,4)),VALUE(MID($AB1288,4,2)),VALUE(LEFT($AB1288,2)))))</f>
        <v>45676</v>
      </c>
      <c r="C1288" s="61" t="n">
        <f aca="false">YEAR($B1288)</f>
        <v>2025</v>
      </c>
      <c r="D1288" s="61" t="str">
        <f aca="false">"Q"&amp;ROUNDUP(MONTH($B1288)/3,0)</f>
        <v>Q1</v>
      </c>
      <c r="E1288" s="61" t="n">
        <f aca="false">MONTH($B1288)</f>
        <v>1</v>
      </c>
      <c r="F1288" s="61" t="str">
        <f aca="false">INDEX(Parametros!$I$5:$I$16,$E1288)</f>
        <v>Ene</v>
      </c>
      <c r="G1288" s="61" t="str">
        <f aca="false">TEXT($C1288,"0000")&amp;"-"&amp;TEXT($E1288,"00")</f>
        <v>2025-01</v>
      </c>
      <c r="H1288" s="61" t="str">
        <f aca="false">INDEX(Parametros!$C$71:$C$91,MATCH(TRIM(INDEX(Datos_Origen!$C$2:$C$2459,$Z1288)),Parametros!$B$71:$B$91,0))</f>
        <v>NOA</v>
      </c>
      <c r="I1288" s="61" t="str">
        <f aca="false">IF(TRIM($AD1288)="",INDEX(Parametros!$I$20:$I$24,MATCH($H1288,Parametros!$H$20:$H$24,0)),TRIM($AD1288))</f>
        <v>Tucuman</v>
      </c>
      <c r="J1288" s="61" t="str">
        <f aca="false">INDEX(Parametros!$C$95:$C$106,MATCH(TRIM(INDEX(Datos_Origen!$E$2:$E$2459,$Z1288)),Parametros!$B$95:$B$106,0))</f>
        <v>Tienda fisica</v>
      </c>
      <c r="K1288" s="61" t="str">
        <f aca="false">INDEX(Parametros!$C$48:$C$67,MATCH(TRIM(INDEX(Datos_Origen!$F$2:$F$2459,$Z1288)),Parametros!$B$48:$B$67,0))</f>
        <v>Accesorios</v>
      </c>
      <c r="L1288" s="61" t="str">
        <f aca="false">$K1288&amp;" "&amp;$C1288</f>
        <v>Accesorios 2025</v>
      </c>
      <c r="M1288" s="61" t="str">
        <f aca="false">TRIM(INDEX(Datos_Origen!$G$2:$G$2459,$Z1288))</f>
        <v>Mouse Inalambrico</v>
      </c>
      <c r="N1288" s="61" t="str">
        <f aca="false">$M1288&amp;" "&amp;$C1288</f>
        <v>Mouse Inalambrico 2025</v>
      </c>
      <c r="O1288" s="63" t="n">
        <f aca="false">IF(ISTEXT($AC1288),VALUE($AC1288),$AC1288)</f>
        <v>26</v>
      </c>
      <c r="P1288" s="64" t="n">
        <f aca="false">INDEX(Datos_Origen!$I$2:$I$2459,$Z1288)</f>
        <v>27.82</v>
      </c>
      <c r="Q1288" s="64" t="n">
        <f aca="false">INDEX(Datos_Origen!$J$2:$J$2459,$Z1288)</f>
        <v>13.84</v>
      </c>
      <c r="R1288" s="65" t="n">
        <f aca="false">ROUND($O1288*$P1288,2)</f>
        <v>723.32</v>
      </c>
      <c r="S1288" s="65" t="n">
        <f aca="false">ROUND($O1288*$Q1288,2)</f>
        <v>359.84</v>
      </c>
      <c r="T1288" s="65" t="n">
        <f aca="false">ROUND($R1288*SUMIFS(Parametros!$E$28:$E$43,Parametros!$B$28:$B$43,$J1288,Parametros!$C$28:$C$43,$C1288,Parametros!$D$28:$D$43,$D1288),2)</f>
        <v>9.4</v>
      </c>
      <c r="U1288" s="65" t="n">
        <f aca="false">$R1288-$S1288-$T1288</f>
        <v>354.08</v>
      </c>
      <c r="V1288" s="66" t="n">
        <f aca="false">IFERROR($U1288/$R1288,0)</f>
        <v>0.489520544157496</v>
      </c>
      <c r="W1288" s="67" t="str">
        <f aca="false">IF(AND($V1288&gt;=Parametros!$C$8,$R1288&gt;=Parametros!$C$12),"Alta rentabilidad",IF(OR($V1288&lt;Parametros!$C$11,$R1288&lt;Parametros!$C$13),"Revisar","Estandar"))</f>
        <v>Estandar</v>
      </c>
      <c r="X1288" s="67" t="str">
        <f aca="false">IF(AND($J1288="E-commerce",IFERROR($T1288/$R1288,0)&gt;Parametros!$C$14),"Alerta","OK")</f>
        <v>OK</v>
      </c>
      <c r="Y1288" s="61" t="str">
        <f aca="false">IF($R1288&gt;=Parametros!$C$12,"Alto",IF($R1288&lt;Parametros!$C$13,"Bajo","Medio"))</f>
        <v>Medio</v>
      </c>
      <c r="Z1288" s="61" t="n">
        <v>1929</v>
      </c>
      <c r="AA1288" s="61" t="str">
        <f aca="false">IF(MATCH($A1288,Datos_Origen!$A$2:$A$2459,0)=$Z1288,"OK","REVISAR")</f>
        <v>OK</v>
      </c>
      <c r="AB1288" s="61" t="str">
        <f aca="false">INDEX(Datos_Origen!$B$2:$B$2459,$Z1288)</f>
        <v>19/01/2025</v>
      </c>
      <c r="AC1288" s="61" t="n">
        <f aca="false">INDEX(Datos_Origen!$H$2:$H$2459,$Z1288)</f>
        <v>26</v>
      </c>
      <c r="AD1288" s="61" t="str">
        <f aca="false">INDEX(Datos_Origen!$D$2:$D$2459,$Z1288)&amp;""</f>
        <v>Tucuman</v>
      </c>
    </row>
    <row r="1289" customFormat="false" ht="15" hidden="false" customHeight="false" outlineLevel="0" collapsed="false">
      <c r="A1289" s="61" t="n">
        <f aca="false">INDEX(Datos_Origen!$A$2:$A$2459,$Z1289)</f>
        <v>1288</v>
      </c>
      <c r="B1289" s="62" t="n">
        <f aca="false">IF(ISNUMBER($AB1289),$AB1289,IF(MID($AB1289,5,1)="-",DATE(VALUE(LEFT($AB1289,4)),VALUE(MID($AB1289,6,2)),VALUE(RIGHT($AB1289,2))),DATE(VALUE(RIGHT($AB1289,4)),VALUE(MID($AB1289,4,2)),VALUE(LEFT($AB1289,2)))))</f>
        <v>45683</v>
      </c>
      <c r="C1289" s="61" t="n">
        <f aca="false">YEAR($B1289)</f>
        <v>2025</v>
      </c>
      <c r="D1289" s="61" t="str">
        <f aca="false">"Q"&amp;ROUNDUP(MONTH($B1289)/3,0)</f>
        <v>Q1</v>
      </c>
      <c r="E1289" s="61" t="n">
        <f aca="false">MONTH($B1289)</f>
        <v>1</v>
      </c>
      <c r="F1289" s="61" t="str">
        <f aca="false">INDEX(Parametros!$I$5:$I$16,$E1289)</f>
        <v>Ene</v>
      </c>
      <c r="G1289" s="61" t="str">
        <f aca="false">TEXT($C1289,"0000")&amp;"-"&amp;TEXT($E1289,"00")</f>
        <v>2025-01</v>
      </c>
      <c r="H1289" s="61" t="str">
        <f aca="false">INDEX(Parametros!$C$71:$C$91,MATCH(TRIM(INDEX(Datos_Origen!$C$2:$C$2459,$Z1289)),Parametros!$B$71:$B$91,0))</f>
        <v>NOA</v>
      </c>
      <c r="I1289" s="61" t="str">
        <f aca="false">IF(TRIM($AD1289)="",INDEX(Parametros!$I$20:$I$24,MATCH($H1289,Parametros!$H$20:$H$24,0)),TRIM($AD1289))</f>
        <v>Tucuman</v>
      </c>
      <c r="J1289" s="61" t="str">
        <f aca="false">INDEX(Parametros!$C$95:$C$106,MATCH(TRIM(INDEX(Datos_Origen!$E$2:$E$2459,$Z1289)),Parametros!$B$95:$B$106,0))</f>
        <v>E-commerce</v>
      </c>
      <c r="K1289" s="61" t="str">
        <f aca="false">INDEX(Parametros!$C$48:$C$67,MATCH(TRIM(INDEX(Datos_Origen!$F$2:$F$2459,$Z1289)),Parametros!$B$48:$B$67,0))</f>
        <v>Accesorios</v>
      </c>
      <c r="L1289" s="61" t="str">
        <f aca="false">$K1289&amp;" "&amp;$C1289</f>
        <v>Accesorios 2025</v>
      </c>
      <c r="M1289" s="61" t="str">
        <f aca="false">TRIM(INDEX(Datos_Origen!$G$2:$G$2459,$Z1289))</f>
        <v>Mouse Inalambrico</v>
      </c>
      <c r="N1289" s="61" t="str">
        <f aca="false">$M1289&amp;" "&amp;$C1289</f>
        <v>Mouse Inalambrico 2025</v>
      </c>
      <c r="O1289" s="63" t="n">
        <f aca="false">IF(ISTEXT($AC1289),VALUE($AC1289),$AC1289)</f>
        <v>20</v>
      </c>
      <c r="P1289" s="64" t="n">
        <f aca="false">INDEX(Datos_Origen!$I$2:$I$2459,$Z1289)</f>
        <v>27.82</v>
      </c>
      <c r="Q1289" s="64" t="n">
        <f aca="false">INDEX(Datos_Origen!$J$2:$J$2459,$Z1289)</f>
        <v>13.84</v>
      </c>
      <c r="R1289" s="65" t="n">
        <f aca="false">ROUND($O1289*$P1289,2)</f>
        <v>556.4</v>
      </c>
      <c r="S1289" s="65" t="n">
        <f aca="false">ROUND($O1289*$Q1289,2)</f>
        <v>276.8</v>
      </c>
      <c r="T1289" s="65" t="n">
        <f aca="false">ROUND($R1289*SUMIFS(Parametros!$E$28:$E$43,Parametros!$B$28:$B$43,$J1289,Parametros!$C$28:$C$43,$C1289,Parametros!$D$28:$D$43,$D1289),2)</f>
        <v>37.84</v>
      </c>
      <c r="U1289" s="65" t="n">
        <f aca="false">$R1289-$S1289-$T1289</f>
        <v>241.76</v>
      </c>
      <c r="V1289" s="66" t="n">
        <f aca="false">IFERROR($U1289/$R1289,0)</f>
        <v>0.43450754852624</v>
      </c>
      <c r="W1289" s="67" t="str">
        <f aca="false">IF(AND($V1289&gt;=Parametros!$C$8,$R1289&gt;=Parametros!$C$12),"Alta rentabilidad",IF(OR($V1289&lt;Parametros!$C$11,$R1289&lt;Parametros!$C$13),"Revisar","Estandar"))</f>
        <v>Estandar</v>
      </c>
      <c r="X1289" s="67" t="str">
        <f aca="false">IF(AND($J1289="E-commerce",IFERROR($T1289/$R1289,0)&gt;Parametros!$C$14),"Alerta","OK")</f>
        <v>Alerta</v>
      </c>
      <c r="Y1289" s="61" t="str">
        <f aca="false">IF($R1289&gt;=Parametros!$C$12,"Alto",IF($R1289&lt;Parametros!$C$13,"Bajo","Medio"))</f>
        <v>Medio</v>
      </c>
      <c r="Z1289" s="61" t="n">
        <v>1535</v>
      </c>
      <c r="AA1289" s="61" t="str">
        <f aca="false">IF(MATCH($A1289,Datos_Origen!$A$2:$A$2459,0)=$Z1289,"OK","REVISAR")</f>
        <v>OK</v>
      </c>
      <c r="AB1289" s="62" t="n">
        <f aca="false">INDEX(Datos_Origen!$B$2:$B$2459,$Z1289)</f>
        <v>45683</v>
      </c>
      <c r="AC1289" s="61" t="n">
        <f aca="false">INDEX(Datos_Origen!$H$2:$H$2459,$Z1289)</f>
        <v>20</v>
      </c>
      <c r="AD1289" s="61" t="str">
        <f aca="false">INDEX(Datos_Origen!$D$2:$D$2459,$Z1289)&amp;""</f>
        <v>Tucuman</v>
      </c>
    </row>
    <row r="1290" customFormat="false" ht="15" hidden="false" customHeight="false" outlineLevel="0" collapsed="false">
      <c r="A1290" s="61" t="n">
        <f aca="false">INDEX(Datos_Origen!$A$2:$A$2459,$Z1290)</f>
        <v>1289</v>
      </c>
      <c r="B1290" s="62" t="n">
        <f aca="false">IF(ISNUMBER($AB1290),$AB1290,IF(MID($AB1290,5,1)="-",DATE(VALUE(LEFT($AB1290,4)),VALUE(MID($AB1290,6,2)),VALUE(RIGHT($AB1290,2))),DATE(VALUE(RIGHT($AB1290,4)),VALUE(MID($AB1290,4,2)),VALUE(LEFT($AB1290,2)))))</f>
        <v>45663</v>
      </c>
      <c r="C1290" s="61" t="n">
        <f aca="false">YEAR($B1290)</f>
        <v>2025</v>
      </c>
      <c r="D1290" s="61" t="str">
        <f aca="false">"Q"&amp;ROUNDUP(MONTH($B1290)/3,0)</f>
        <v>Q1</v>
      </c>
      <c r="E1290" s="61" t="n">
        <f aca="false">MONTH($B1290)</f>
        <v>1</v>
      </c>
      <c r="F1290" s="61" t="str">
        <f aca="false">INDEX(Parametros!$I$5:$I$16,$E1290)</f>
        <v>Ene</v>
      </c>
      <c r="G1290" s="61" t="str">
        <f aca="false">TEXT($C1290,"0000")&amp;"-"&amp;TEXT($E1290,"00")</f>
        <v>2025-01</v>
      </c>
      <c r="H1290" s="61" t="str">
        <f aca="false">INDEX(Parametros!$C$71:$C$91,MATCH(TRIM(INDEX(Datos_Origen!$C$2:$C$2459,$Z1290)),Parametros!$B$71:$B$91,0))</f>
        <v>NOA</v>
      </c>
      <c r="I1290" s="61" t="str">
        <f aca="false">IF(TRIM($AD1290)="",INDEX(Parametros!$I$20:$I$24,MATCH($H1290,Parametros!$H$20:$H$24,0)),TRIM($AD1290))</f>
        <v>Tucuman</v>
      </c>
      <c r="J1290" s="61" t="str">
        <f aca="false">INDEX(Parametros!$C$95:$C$106,MATCH(TRIM(INDEX(Datos_Origen!$E$2:$E$2459,$Z1290)),Parametros!$B$95:$B$106,0))</f>
        <v>Tienda fisica</v>
      </c>
      <c r="K1290" s="61" t="str">
        <f aca="false">INDEX(Parametros!$C$48:$C$67,MATCH(TRIM(INDEX(Datos_Origen!$F$2:$F$2459,$Z1290)),Parametros!$B$48:$B$67,0))</f>
        <v>Accesorios</v>
      </c>
      <c r="L1290" s="61" t="str">
        <f aca="false">$K1290&amp;" "&amp;$C1290</f>
        <v>Accesorios 2025</v>
      </c>
      <c r="M1290" s="61" t="str">
        <f aca="false">TRIM(INDEX(Datos_Origen!$G$2:$G$2459,$Z1290))</f>
        <v>Teclado Mecanico</v>
      </c>
      <c r="N1290" s="61" t="str">
        <f aca="false">$M1290&amp;" "&amp;$C1290</f>
        <v>Teclado Mecanico 2025</v>
      </c>
      <c r="O1290" s="63" t="n">
        <f aca="false">IF(ISTEXT($AC1290),VALUE($AC1290),$AC1290)</f>
        <v>22</v>
      </c>
      <c r="P1290" s="64" t="n">
        <f aca="false">INDEX(Datos_Origen!$I$2:$I$2459,$Z1290)</f>
        <v>94.39</v>
      </c>
      <c r="Q1290" s="64" t="n">
        <f aca="false">INDEX(Datos_Origen!$J$2:$J$2459,$Z1290)</f>
        <v>49.41</v>
      </c>
      <c r="R1290" s="65" t="n">
        <f aca="false">ROUND($O1290*$P1290,2)</f>
        <v>2076.58</v>
      </c>
      <c r="S1290" s="65" t="n">
        <f aca="false">ROUND($O1290*$Q1290,2)</f>
        <v>1087.02</v>
      </c>
      <c r="T1290" s="65" t="n">
        <f aca="false">ROUND($R1290*SUMIFS(Parametros!$E$28:$E$43,Parametros!$B$28:$B$43,$J1290,Parametros!$C$28:$C$43,$C1290,Parametros!$D$28:$D$43,$D1290),2)</f>
        <v>27</v>
      </c>
      <c r="U1290" s="65" t="n">
        <f aca="false">$R1290-$S1290-$T1290</f>
        <v>962.56</v>
      </c>
      <c r="V1290" s="66" t="n">
        <f aca="false">IFERROR($U1290/$R1290,0)</f>
        <v>0.46353138333221</v>
      </c>
      <c r="W1290" s="67" t="str">
        <f aca="false">IF(AND($V1290&gt;=Parametros!$C$8,$R1290&gt;=Parametros!$C$12),"Alta rentabilidad",IF(OR($V1290&lt;Parametros!$C$11,$R1290&lt;Parametros!$C$13),"Revisar","Estandar"))</f>
        <v>Estandar</v>
      </c>
      <c r="X1290" s="67" t="str">
        <f aca="false">IF(AND($J1290="E-commerce",IFERROR($T1290/$R1290,0)&gt;Parametros!$C$14),"Alerta","OK")</f>
        <v>OK</v>
      </c>
      <c r="Y1290" s="61" t="str">
        <f aca="false">IF($R1290&gt;=Parametros!$C$12,"Alto",IF($R1290&lt;Parametros!$C$13,"Bajo","Medio"))</f>
        <v>Medio</v>
      </c>
      <c r="Z1290" s="61" t="n">
        <v>1452</v>
      </c>
      <c r="AA1290" s="61" t="str">
        <f aca="false">IF(MATCH($A1290,Datos_Origen!$A$2:$A$2459,0)=$Z1290,"OK","REVISAR")</f>
        <v>OK</v>
      </c>
      <c r="AB1290" s="62" t="n">
        <f aca="false">INDEX(Datos_Origen!$B$2:$B$2459,$Z1290)</f>
        <v>45663</v>
      </c>
      <c r="AC1290" s="61" t="n">
        <f aca="false">INDEX(Datos_Origen!$H$2:$H$2459,$Z1290)</f>
        <v>22</v>
      </c>
      <c r="AD1290" s="61" t="str">
        <f aca="false">INDEX(Datos_Origen!$D$2:$D$2459,$Z1290)&amp;""</f>
        <v>Tucuman</v>
      </c>
    </row>
    <row r="1291" customFormat="false" ht="15" hidden="false" customHeight="false" outlineLevel="0" collapsed="false">
      <c r="A1291" s="61" t="n">
        <f aca="false">INDEX(Datos_Origen!$A$2:$A$2459,$Z1291)</f>
        <v>1290</v>
      </c>
      <c r="B1291" s="62" t="n">
        <f aca="false">IF(ISNUMBER($AB1291),$AB1291,IF(MID($AB1291,5,1)="-",DATE(VALUE(LEFT($AB1291,4)),VALUE(MID($AB1291,6,2)),VALUE(RIGHT($AB1291,2))),DATE(VALUE(RIGHT($AB1291,4)),VALUE(MID($AB1291,4,2)),VALUE(LEFT($AB1291,2)))))</f>
        <v>45670</v>
      </c>
      <c r="C1291" s="61" t="n">
        <f aca="false">YEAR($B1291)</f>
        <v>2025</v>
      </c>
      <c r="D1291" s="61" t="str">
        <f aca="false">"Q"&amp;ROUNDUP(MONTH($B1291)/3,0)</f>
        <v>Q1</v>
      </c>
      <c r="E1291" s="61" t="n">
        <f aca="false">MONTH($B1291)</f>
        <v>1</v>
      </c>
      <c r="F1291" s="61" t="str">
        <f aca="false">INDEX(Parametros!$I$5:$I$16,$E1291)</f>
        <v>Ene</v>
      </c>
      <c r="G1291" s="61" t="str">
        <f aca="false">TEXT($C1291,"0000")&amp;"-"&amp;TEXT($E1291,"00")</f>
        <v>2025-01</v>
      </c>
      <c r="H1291" s="61" t="str">
        <f aca="false">INDEX(Parametros!$C$71:$C$91,MATCH(TRIM(INDEX(Datos_Origen!$C$2:$C$2459,$Z1291)),Parametros!$B$71:$B$91,0))</f>
        <v>NOA</v>
      </c>
      <c r="I1291" s="61" t="str">
        <f aca="false">IF(TRIM($AD1291)="",INDEX(Parametros!$I$20:$I$24,MATCH($H1291,Parametros!$H$20:$H$24,0)),TRIM($AD1291))</f>
        <v>Tucuman</v>
      </c>
      <c r="J1291" s="61" t="str">
        <f aca="false">INDEX(Parametros!$C$95:$C$106,MATCH(TRIM(INDEX(Datos_Origen!$E$2:$E$2459,$Z1291)),Parametros!$B$95:$B$106,0))</f>
        <v>E-commerce</v>
      </c>
      <c r="K1291" s="61" t="str">
        <f aca="false">INDEX(Parametros!$C$48:$C$67,MATCH(TRIM(INDEX(Datos_Origen!$F$2:$F$2459,$Z1291)),Parametros!$B$48:$B$67,0))</f>
        <v>Accesorios</v>
      </c>
      <c r="L1291" s="61" t="str">
        <f aca="false">$K1291&amp;" "&amp;$C1291</f>
        <v>Accesorios 2025</v>
      </c>
      <c r="M1291" s="61" t="str">
        <f aca="false">TRIM(INDEX(Datos_Origen!$G$2:$G$2459,$Z1291))</f>
        <v>Teclado Mecanico</v>
      </c>
      <c r="N1291" s="61" t="str">
        <f aca="false">$M1291&amp;" "&amp;$C1291</f>
        <v>Teclado Mecanico 2025</v>
      </c>
      <c r="O1291" s="63" t="n">
        <f aca="false">IF(ISTEXT($AC1291),VALUE($AC1291),$AC1291)</f>
        <v>15</v>
      </c>
      <c r="P1291" s="64" t="n">
        <f aca="false">INDEX(Datos_Origen!$I$2:$I$2459,$Z1291)</f>
        <v>94.39</v>
      </c>
      <c r="Q1291" s="64" t="n">
        <f aca="false">INDEX(Datos_Origen!$J$2:$J$2459,$Z1291)</f>
        <v>49.41</v>
      </c>
      <c r="R1291" s="65" t="n">
        <f aca="false">ROUND($O1291*$P1291,2)</f>
        <v>1415.85</v>
      </c>
      <c r="S1291" s="65" t="n">
        <f aca="false">ROUND($O1291*$Q1291,2)</f>
        <v>741.15</v>
      </c>
      <c r="T1291" s="65" t="n">
        <f aca="false">ROUND($R1291*SUMIFS(Parametros!$E$28:$E$43,Parametros!$B$28:$B$43,$J1291,Parametros!$C$28:$C$43,$C1291,Parametros!$D$28:$D$43,$D1291),2)</f>
        <v>96.28</v>
      </c>
      <c r="U1291" s="65" t="n">
        <f aca="false">$R1291-$S1291-$T1291</f>
        <v>578.42</v>
      </c>
      <c r="V1291" s="66" t="n">
        <f aca="false">IFERROR($U1291/$R1291,0)</f>
        <v>0.408531977257478</v>
      </c>
      <c r="W1291" s="67" t="str">
        <f aca="false">IF(AND($V1291&gt;=Parametros!$C$8,$R1291&gt;=Parametros!$C$12),"Alta rentabilidad",IF(OR($V1291&lt;Parametros!$C$11,$R1291&lt;Parametros!$C$13),"Revisar","Estandar"))</f>
        <v>Estandar</v>
      </c>
      <c r="X1291" s="67" t="str">
        <f aca="false">IF(AND($J1291="E-commerce",IFERROR($T1291/$R1291,0)&gt;Parametros!$C$14),"Alerta","OK")</f>
        <v>Alerta</v>
      </c>
      <c r="Y1291" s="61" t="str">
        <f aca="false">IF($R1291&gt;=Parametros!$C$12,"Alto",IF($R1291&lt;Parametros!$C$13,"Bajo","Medio"))</f>
        <v>Medio</v>
      </c>
      <c r="Z1291" s="61" t="n">
        <v>1474</v>
      </c>
      <c r="AA1291" s="61" t="str">
        <f aca="false">IF(MATCH($A1291,Datos_Origen!$A$2:$A$2459,0)=$Z1291,"OK","REVISAR")</f>
        <v>OK</v>
      </c>
      <c r="AB1291" s="62" t="n">
        <f aca="false">INDEX(Datos_Origen!$B$2:$B$2459,$Z1291)</f>
        <v>45670</v>
      </c>
      <c r="AC1291" s="61" t="n">
        <f aca="false">INDEX(Datos_Origen!$H$2:$H$2459,$Z1291)</f>
        <v>15</v>
      </c>
      <c r="AD1291" s="61" t="str">
        <f aca="false">INDEX(Datos_Origen!$D$2:$D$2459,$Z1291)&amp;""</f>
        <v/>
      </c>
    </row>
    <row r="1292" customFormat="false" ht="15" hidden="false" customHeight="false" outlineLevel="0" collapsed="false">
      <c r="A1292" s="61" t="n">
        <f aca="false">INDEX(Datos_Origen!$A$2:$A$2459,$Z1292)</f>
        <v>1291</v>
      </c>
      <c r="B1292" s="62" t="n">
        <f aca="false">IF(ISNUMBER($AB1292),$AB1292,IF(MID($AB1292,5,1)="-",DATE(VALUE(LEFT($AB1292,4)),VALUE(MID($AB1292,6,2)),VALUE(RIGHT($AB1292,2))),DATE(VALUE(RIGHT($AB1292,4)),VALUE(MID($AB1292,4,2)),VALUE(LEFT($AB1292,2)))))</f>
        <v>45677</v>
      </c>
      <c r="C1292" s="61" t="n">
        <f aca="false">YEAR($B1292)</f>
        <v>2025</v>
      </c>
      <c r="D1292" s="61" t="str">
        <f aca="false">"Q"&amp;ROUNDUP(MONTH($B1292)/3,0)</f>
        <v>Q1</v>
      </c>
      <c r="E1292" s="61" t="n">
        <f aca="false">MONTH($B1292)</f>
        <v>1</v>
      </c>
      <c r="F1292" s="61" t="str">
        <f aca="false">INDEX(Parametros!$I$5:$I$16,$E1292)</f>
        <v>Ene</v>
      </c>
      <c r="G1292" s="61" t="str">
        <f aca="false">TEXT($C1292,"0000")&amp;"-"&amp;TEXT($E1292,"00")</f>
        <v>2025-01</v>
      </c>
      <c r="H1292" s="61" t="str">
        <f aca="false">INDEX(Parametros!$C$71:$C$91,MATCH(TRIM(INDEX(Datos_Origen!$C$2:$C$2459,$Z1292)),Parametros!$B$71:$B$91,0))</f>
        <v>NOA</v>
      </c>
      <c r="I1292" s="61" t="str">
        <f aca="false">IF(TRIM($AD1292)="",INDEX(Parametros!$I$20:$I$24,MATCH($H1292,Parametros!$H$20:$H$24,0)),TRIM($AD1292))</f>
        <v>Tucuman</v>
      </c>
      <c r="J1292" s="61" t="str">
        <f aca="false">INDEX(Parametros!$C$95:$C$106,MATCH(TRIM(INDEX(Datos_Origen!$E$2:$E$2459,$Z1292)),Parametros!$B$95:$B$106,0))</f>
        <v>Tienda fisica</v>
      </c>
      <c r="K1292" s="61" t="str">
        <f aca="false">INDEX(Parametros!$C$48:$C$67,MATCH(TRIM(INDEX(Datos_Origen!$F$2:$F$2459,$Z1292)),Parametros!$B$48:$B$67,0))</f>
        <v>Accesorios</v>
      </c>
      <c r="L1292" s="61" t="str">
        <f aca="false">$K1292&amp;" "&amp;$C1292</f>
        <v>Accesorios 2025</v>
      </c>
      <c r="M1292" s="61" t="str">
        <f aca="false">TRIM(INDEX(Datos_Origen!$G$2:$G$2459,$Z1292))</f>
        <v>Webcam Full HD</v>
      </c>
      <c r="N1292" s="61" t="str">
        <f aca="false">$M1292&amp;" "&amp;$C1292</f>
        <v>Webcam Full HD 2025</v>
      </c>
      <c r="O1292" s="63" t="n">
        <f aca="false">IF(ISTEXT($AC1292),VALUE($AC1292),$AC1292)</f>
        <v>28</v>
      </c>
      <c r="P1292" s="64" t="n">
        <f aca="false">INDEX(Datos_Origen!$I$2:$I$2459,$Z1292)</f>
        <v>64.58</v>
      </c>
      <c r="Q1292" s="64" t="n">
        <f aca="false">INDEX(Datos_Origen!$J$2:$J$2459,$Z1292)</f>
        <v>36.49</v>
      </c>
      <c r="R1292" s="65" t="n">
        <f aca="false">ROUND($O1292*$P1292,2)</f>
        <v>1808.24</v>
      </c>
      <c r="S1292" s="65" t="n">
        <f aca="false">ROUND($O1292*$Q1292,2)</f>
        <v>1021.72</v>
      </c>
      <c r="T1292" s="65" t="n">
        <f aca="false">ROUND($R1292*SUMIFS(Parametros!$E$28:$E$43,Parametros!$B$28:$B$43,$J1292,Parametros!$C$28:$C$43,$C1292,Parametros!$D$28:$D$43,$D1292),2)</f>
        <v>23.51</v>
      </c>
      <c r="U1292" s="65" t="n">
        <f aca="false">$R1292-$S1292-$T1292</f>
        <v>763.01</v>
      </c>
      <c r="V1292" s="66" t="n">
        <f aca="false">IFERROR($U1292/$R1292,0)</f>
        <v>0.421962792549662</v>
      </c>
      <c r="W1292" s="67" t="str">
        <f aca="false">IF(AND($V1292&gt;=Parametros!$C$8,$R1292&gt;=Parametros!$C$12),"Alta rentabilidad",IF(OR($V1292&lt;Parametros!$C$11,$R1292&lt;Parametros!$C$13),"Revisar","Estandar"))</f>
        <v>Estandar</v>
      </c>
      <c r="X1292" s="67" t="str">
        <f aca="false">IF(AND($J1292="E-commerce",IFERROR($T1292/$R1292,0)&gt;Parametros!$C$14),"Alerta","OK")</f>
        <v>OK</v>
      </c>
      <c r="Y1292" s="61" t="str">
        <f aca="false">IF($R1292&gt;=Parametros!$C$12,"Alto",IF($R1292&lt;Parametros!$C$13,"Bajo","Medio"))</f>
        <v>Medio</v>
      </c>
      <c r="Z1292" s="61" t="n">
        <v>113</v>
      </c>
      <c r="AA1292" s="61" t="str">
        <f aca="false">IF(MATCH($A1292,Datos_Origen!$A$2:$A$2459,0)=$Z1292,"OK","REVISAR")</f>
        <v>OK</v>
      </c>
      <c r="AB1292" s="61" t="str">
        <f aca="false">INDEX(Datos_Origen!$B$2:$B$2459,$Z1292)</f>
        <v>2025-01-20</v>
      </c>
      <c r="AC1292" s="61" t="n">
        <f aca="false">INDEX(Datos_Origen!$H$2:$H$2459,$Z1292)</f>
        <v>28</v>
      </c>
      <c r="AD1292" s="61" t="str">
        <f aca="false">INDEX(Datos_Origen!$D$2:$D$2459,$Z1292)&amp;""</f>
        <v>Tucuman</v>
      </c>
    </row>
    <row r="1293" customFormat="false" ht="15" hidden="false" customHeight="false" outlineLevel="0" collapsed="false">
      <c r="A1293" s="61" t="n">
        <f aca="false">INDEX(Datos_Origen!$A$2:$A$2459,$Z1293)</f>
        <v>1292</v>
      </c>
      <c r="B1293" s="62" t="n">
        <f aca="false">IF(ISNUMBER($AB1293),$AB1293,IF(MID($AB1293,5,1)="-",DATE(VALUE(LEFT($AB1293,4)),VALUE(MID($AB1293,6,2)),VALUE(RIGHT($AB1293,2))),DATE(VALUE(RIGHT($AB1293,4)),VALUE(MID($AB1293,4,2)),VALUE(LEFT($AB1293,2)))))</f>
        <v>45684</v>
      </c>
      <c r="C1293" s="61" t="n">
        <f aca="false">YEAR($B1293)</f>
        <v>2025</v>
      </c>
      <c r="D1293" s="61" t="str">
        <f aca="false">"Q"&amp;ROUNDUP(MONTH($B1293)/3,0)</f>
        <v>Q1</v>
      </c>
      <c r="E1293" s="61" t="n">
        <f aca="false">MONTH($B1293)</f>
        <v>1</v>
      </c>
      <c r="F1293" s="61" t="str">
        <f aca="false">INDEX(Parametros!$I$5:$I$16,$E1293)</f>
        <v>Ene</v>
      </c>
      <c r="G1293" s="61" t="str">
        <f aca="false">TEXT($C1293,"0000")&amp;"-"&amp;TEXT($E1293,"00")</f>
        <v>2025-01</v>
      </c>
      <c r="H1293" s="61" t="str">
        <f aca="false">INDEX(Parametros!$C$71:$C$91,MATCH(TRIM(INDEX(Datos_Origen!$C$2:$C$2459,$Z1293)),Parametros!$B$71:$B$91,0))</f>
        <v>NOA</v>
      </c>
      <c r="I1293" s="61" t="str">
        <f aca="false">IF(TRIM($AD1293)="",INDEX(Parametros!$I$20:$I$24,MATCH($H1293,Parametros!$H$20:$H$24,0)),TRIM($AD1293))</f>
        <v>Tucuman</v>
      </c>
      <c r="J1293" s="61" t="str">
        <f aca="false">INDEX(Parametros!$C$95:$C$106,MATCH(TRIM(INDEX(Datos_Origen!$E$2:$E$2459,$Z1293)),Parametros!$B$95:$B$106,0))</f>
        <v>E-commerce</v>
      </c>
      <c r="K1293" s="61" t="str">
        <f aca="false">INDEX(Parametros!$C$48:$C$67,MATCH(TRIM(INDEX(Datos_Origen!$F$2:$F$2459,$Z1293)),Parametros!$B$48:$B$67,0))</f>
        <v>Accesorios</v>
      </c>
      <c r="L1293" s="61" t="str">
        <f aca="false">$K1293&amp;" "&amp;$C1293</f>
        <v>Accesorios 2025</v>
      </c>
      <c r="M1293" s="61" t="str">
        <f aca="false">TRIM(INDEX(Datos_Origen!$G$2:$G$2459,$Z1293))</f>
        <v>Webcam Full HD</v>
      </c>
      <c r="N1293" s="61" t="str">
        <f aca="false">$M1293&amp;" "&amp;$C1293</f>
        <v>Webcam Full HD 2025</v>
      </c>
      <c r="O1293" s="63" t="n">
        <f aca="false">IF(ISTEXT($AC1293),VALUE($AC1293),$AC1293)</f>
        <v>20</v>
      </c>
      <c r="P1293" s="64" t="n">
        <f aca="false">INDEX(Datos_Origen!$I$2:$I$2459,$Z1293)</f>
        <v>64.58</v>
      </c>
      <c r="Q1293" s="64" t="n">
        <f aca="false">INDEX(Datos_Origen!$J$2:$J$2459,$Z1293)</f>
        <v>36.49</v>
      </c>
      <c r="R1293" s="65" t="n">
        <f aca="false">ROUND($O1293*$P1293,2)</f>
        <v>1291.6</v>
      </c>
      <c r="S1293" s="65" t="n">
        <f aca="false">ROUND($O1293*$Q1293,2)</f>
        <v>729.8</v>
      </c>
      <c r="T1293" s="65" t="n">
        <f aca="false">ROUND($R1293*SUMIFS(Parametros!$E$28:$E$43,Parametros!$B$28:$B$43,$J1293,Parametros!$C$28:$C$43,$C1293,Parametros!$D$28:$D$43,$D1293),2)</f>
        <v>87.83</v>
      </c>
      <c r="U1293" s="65" t="n">
        <f aca="false">$R1293-$S1293-$T1293</f>
        <v>473.97</v>
      </c>
      <c r="V1293" s="66" t="n">
        <f aca="false">IFERROR($U1293/$R1293,0)</f>
        <v>0.366963456178383</v>
      </c>
      <c r="W1293" s="67" t="str">
        <f aca="false">IF(AND($V1293&gt;=Parametros!$C$8,$R1293&gt;=Parametros!$C$12),"Alta rentabilidad",IF(OR($V1293&lt;Parametros!$C$11,$R1293&lt;Parametros!$C$13),"Revisar","Estandar"))</f>
        <v>Estandar</v>
      </c>
      <c r="X1293" s="67" t="str">
        <f aca="false">IF(AND($J1293="E-commerce",IFERROR($T1293/$R1293,0)&gt;Parametros!$C$14),"Alerta","OK")</f>
        <v>Alerta</v>
      </c>
      <c r="Y1293" s="61" t="str">
        <f aca="false">IF($R1293&gt;=Parametros!$C$12,"Alto",IF($R1293&lt;Parametros!$C$13,"Bajo","Medio"))</f>
        <v>Medio</v>
      </c>
      <c r="Z1293" s="61" t="n">
        <v>1517</v>
      </c>
      <c r="AA1293" s="61" t="str">
        <f aca="false">IF(MATCH($A1293,Datos_Origen!$A$2:$A$2459,0)=$Z1293,"OK","REVISAR")</f>
        <v>OK</v>
      </c>
      <c r="AB1293" s="62" t="n">
        <f aca="false">INDEX(Datos_Origen!$B$2:$B$2459,$Z1293)</f>
        <v>45684</v>
      </c>
      <c r="AC1293" s="61" t="n">
        <f aca="false">INDEX(Datos_Origen!$H$2:$H$2459,$Z1293)</f>
        <v>20</v>
      </c>
      <c r="AD1293" s="61" t="str">
        <f aca="false">INDEX(Datos_Origen!$D$2:$D$2459,$Z1293)&amp;""</f>
        <v>Tucuman</v>
      </c>
    </row>
    <row r="1294" customFormat="false" ht="15" hidden="false" customHeight="false" outlineLevel="0" collapsed="false">
      <c r="A1294" s="61" t="n">
        <f aca="false">INDEX(Datos_Origen!$A$2:$A$2459,$Z1294)</f>
        <v>1293</v>
      </c>
      <c r="B1294" s="62" t="n">
        <f aca="false">IF(ISNUMBER($AB1294),$AB1294,IF(MID($AB1294,5,1)="-",DATE(VALUE(LEFT($AB1294,4)),VALUE(MID($AB1294,6,2)),VALUE(RIGHT($AB1294,2))),DATE(VALUE(RIGHT($AB1294,4)),VALUE(MID($AB1294,4,2)),VALUE(LEFT($AB1294,2)))))</f>
        <v>45664</v>
      </c>
      <c r="C1294" s="61" t="n">
        <f aca="false">YEAR($B1294)</f>
        <v>2025</v>
      </c>
      <c r="D1294" s="61" t="str">
        <f aca="false">"Q"&amp;ROUNDUP(MONTH($B1294)/3,0)</f>
        <v>Q1</v>
      </c>
      <c r="E1294" s="61" t="n">
        <f aca="false">MONTH($B1294)</f>
        <v>1</v>
      </c>
      <c r="F1294" s="61" t="str">
        <f aca="false">INDEX(Parametros!$I$5:$I$16,$E1294)</f>
        <v>Ene</v>
      </c>
      <c r="G1294" s="61" t="str">
        <f aca="false">TEXT($C1294,"0000")&amp;"-"&amp;TEXT($E1294,"00")</f>
        <v>2025-01</v>
      </c>
      <c r="H1294" s="61" t="str">
        <f aca="false">INDEX(Parametros!$C$71:$C$91,MATCH(TRIM(INDEX(Datos_Origen!$C$2:$C$2459,$Z1294)),Parametros!$B$71:$B$91,0))</f>
        <v>NOA</v>
      </c>
      <c r="I1294" s="61" t="str">
        <f aca="false">IF(TRIM($AD1294)="",INDEX(Parametros!$I$20:$I$24,MATCH($H1294,Parametros!$H$20:$H$24,0)),TRIM($AD1294))</f>
        <v>Tucuman</v>
      </c>
      <c r="J1294" s="61" t="str">
        <f aca="false">INDEX(Parametros!$C$95:$C$106,MATCH(TRIM(INDEX(Datos_Origen!$E$2:$E$2459,$Z1294)),Parametros!$B$95:$B$106,0))</f>
        <v>Tienda fisica</v>
      </c>
      <c r="K1294" s="61" t="str">
        <f aca="false">INDEX(Parametros!$C$48:$C$67,MATCH(TRIM(INDEX(Datos_Origen!$F$2:$F$2459,$Z1294)),Parametros!$B$48:$B$67,0))</f>
        <v>Audio</v>
      </c>
      <c r="L1294" s="61" t="str">
        <f aca="false">$K1294&amp;" "&amp;$C1294</f>
        <v>Audio 2025</v>
      </c>
      <c r="M1294" s="61" t="str">
        <f aca="false">TRIM(INDEX(Datos_Origen!$G$2:$G$2459,$Z1294))</f>
        <v>Auriculares BT Pro</v>
      </c>
      <c r="N1294" s="61" t="str">
        <f aca="false">$M1294&amp;" "&amp;$C1294</f>
        <v>Auriculares BT Pro 2025</v>
      </c>
      <c r="O1294" s="63" t="n">
        <f aca="false">IF(ISTEXT($AC1294),VALUE($AC1294),$AC1294)</f>
        <v>10</v>
      </c>
      <c r="P1294" s="64" t="n">
        <f aca="false">INDEX(Datos_Origen!$I$2:$I$2459,$Z1294)</f>
        <v>119.23</v>
      </c>
      <c r="Q1294" s="64" t="n">
        <f aca="false">INDEX(Datos_Origen!$J$2:$J$2459,$Z1294)</f>
        <v>65.51</v>
      </c>
      <c r="R1294" s="65" t="n">
        <f aca="false">ROUND($O1294*$P1294,2)</f>
        <v>1192.3</v>
      </c>
      <c r="S1294" s="65" t="n">
        <f aca="false">ROUND($O1294*$Q1294,2)</f>
        <v>655.1</v>
      </c>
      <c r="T1294" s="65" t="n">
        <f aca="false">ROUND($R1294*SUMIFS(Parametros!$E$28:$E$43,Parametros!$B$28:$B$43,$J1294,Parametros!$C$28:$C$43,$C1294,Parametros!$D$28:$D$43,$D1294),2)</f>
        <v>15.5</v>
      </c>
      <c r="U1294" s="65" t="n">
        <f aca="false">$R1294-$S1294-$T1294</f>
        <v>521.7</v>
      </c>
      <c r="V1294" s="66" t="n">
        <f aca="false">IFERROR($U1294/$R1294,0)</f>
        <v>0.437557661662333</v>
      </c>
      <c r="W1294" s="67" t="str">
        <f aca="false">IF(AND($V1294&gt;=Parametros!$C$8,$R1294&gt;=Parametros!$C$12),"Alta rentabilidad",IF(OR($V1294&lt;Parametros!$C$11,$R1294&lt;Parametros!$C$13),"Revisar","Estandar"))</f>
        <v>Estandar</v>
      </c>
      <c r="X1294" s="67" t="str">
        <f aca="false">IF(AND($J1294="E-commerce",IFERROR($T1294/$R1294,0)&gt;Parametros!$C$14),"Alerta","OK")</f>
        <v>OK</v>
      </c>
      <c r="Y1294" s="61" t="str">
        <f aca="false">IF($R1294&gt;=Parametros!$C$12,"Alto",IF($R1294&lt;Parametros!$C$13,"Bajo","Medio"))</f>
        <v>Medio</v>
      </c>
      <c r="Z1294" s="61" t="n">
        <v>971</v>
      </c>
      <c r="AA1294" s="61" t="str">
        <f aca="false">IF(MATCH($A1294,Datos_Origen!$A$2:$A$2459,0)=$Z1294,"OK","REVISAR")</f>
        <v>OK</v>
      </c>
      <c r="AB1294" s="62" t="n">
        <f aca="false">INDEX(Datos_Origen!$B$2:$B$2459,$Z1294)</f>
        <v>45664</v>
      </c>
      <c r="AC1294" s="61" t="n">
        <f aca="false">INDEX(Datos_Origen!$H$2:$H$2459,$Z1294)</f>
        <v>10</v>
      </c>
      <c r="AD1294" s="61" t="str">
        <f aca="false">INDEX(Datos_Origen!$D$2:$D$2459,$Z1294)&amp;""</f>
        <v>Tucuman</v>
      </c>
    </row>
    <row r="1295" customFormat="false" ht="15" hidden="false" customHeight="false" outlineLevel="0" collapsed="false">
      <c r="A1295" s="61" t="n">
        <f aca="false">INDEX(Datos_Origen!$A$2:$A$2459,$Z1295)</f>
        <v>1294</v>
      </c>
      <c r="B1295" s="62" t="n">
        <f aca="false">IF(ISNUMBER($AB1295),$AB1295,IF(MID($AB1295,5,1)="-",DATE(VALUE(LEFT($AB1295,4)),VALUE(MID($AB1295,6,2)),VALUE(RIGHT($AB1295,2))),DATE(VALUE(RIGHT($AB1295,4)),VALUE(MID($AB1295,4,2)),VALUE(LEFT($AB1295,2)))))</f>
        <v>45671</v>
      </c>
      <c r="C1295" s="61" t="n">
        <f aca="false">YEAR($B1295)</f>
        <v>2025</v>
      </c>
      <c r="D1295" s="61" t="str">
        <f aca="false">"Q"&amp;ROUNDUP(MONTH($B1295)/3,0)</f>
        <v>Q1</v>
      </c>
      <c r="E1295" s="61" t="n">
        <f aca="false">MONTH($B1295)</f>
        <v>1</v>
      </c>
      <c r="F1295" s="61" t="str">
        <f aca="false">INDEX(Parametros!$I$5:$I$16,$E1295)</f>
        <v>Ene</v>
      </c>
      <c r="G1295" s="61" t="str">
        <f aca="false">TEXT($C1295,"0000")&amp;"-"&amp;TEXT($E1295,"00")</f>
        <v>2025-01</v>
      </c>
      <c r="H1295" s="61" t="str">
        <f aca="false">INDEX(Parametros!$C$71:$C$91,MATCH(TRIM(INDEX(Datos_Origen!$C$2:$C$2459,$Z1295)),Parametros!$B$71:$B$91,0))</f>
        <v>NOA</v>
      </c>
      <c r="I1295" s="61" t="str">
        <f aca="false">IF(TRIM($AD1295)="",INDEX(Parametros!$I$20:$I$24,MATCH($H1295,Parametros!$H$20:$H$24,0)),TRIM($AD1295))</f>
        <v>Tucuman</v>
      </c>
      <c r="J1295" s="61" t="str">
        <f aca="false">INDEX(Parametros!$C$95:$C$106,MATCH(TRIM(INDEX(Datos_Origen!$E$2:$E$2459,$Z1295)),Parametros!$B$95:$B$106,0))</f>
        <v>E-commerce</v>
      </c>
      <c r="K1295" s="61" t="str">
        <f aca="false">INDEX(Parametros!$C$48:$C$67,MATCH(TRIM(INDEX(Datos_Origen!$F$2:$F$2459,$Z1295)),Parametros!$B$48:$B$67,0))</f>
        <v>Audio</v>
      </c>
      <c r="L1295" s="61" t="str">
        <f aca="false">$K1295&amp;" "&amp;$C1295</f>
        <v>Audio 2025</v>
      </c>
      <c r="M1295" s="61" t="str">
        <f aca="false">TRIM(INDEX(Datos_Origen!$G$2:$G$2459,$Z1295))</f>
        <v>Auriculares BT Pro</v>
      </c>
      <c r="N1295" s="61" t="str">
        <f aca="false">$M1295&amp;" "&amp;$C1295</f>
        <v>Auriculares BT Pro 2025</v>
      </c>
      <c r="O1295" s="63" t="n">
        <f aca="false">IF(ISTEXT($AC1295),VALUE($AC1295),$AC1295)</f>
        <v>7</v>
      </c>
      <c r="P1295" s="64" t="n">
        <f aca="false">INDEX(Datos_Origen!$I$2:$I$2459,$Z1295)</f>
        <v>119.23</v>
      </c>
      <c r="Q1295" s="64" t="n">
        <f aca="false">INDEX(Datos_Origen!$J$2:$J$2459,$Z1295)</f>
        <v>65.51</v>
      </c>
      <c r="R1295" s="65" t="n">
        <f aca="false">ROUND($O1295*$P1295,2)</f>
        <v>834.61</v>
      </c>
      <c r="S1295" s="65" t="n">
        <f aca="false">ROUND($O1295*$Q1295,2)</f>
        <v>458.57</v>
      </c>
      <c r="T1295" s="65" t="n">
        <f aca="false">ROUND($R1295*SUMIFS(Parametros!$E$28:$E$43,Parametros!$B$28:$B$43,$J1295,Parametros!$C$28:$C$43,$C1295,Parametros!$D$28:$D$43,$D1295),2)</f>
        <v>56.75</v>
      </c>
      <c r="U1295" s="65" t="n">
        <f aca="false">$R1295-$S1295-$T1295</f>
        <v>319.29</v>
      </c>
      <c r="V1295" s="66" t="n">
        <f aca="false">IFERROR($U1295/$R1295,0)</f>
        <v>0.382561915145996</v>
      </c>
      <c r="W1295" s="67" t="str">
        <f aca="false">IF(AND($V1295&gt;=Parametros!$C$8,$R1295&gt;=Parametros!$C$12),"Alta rentabilidad",IF(OR($V1295&lt;Parametros!$C$11,$R1295&lt;Parametros!$C$13),"Revisar","Estandar"))</f>
        <v>Estandar</v>
      </c>
      <c r="X1295" s="67" t="str">
        <f aca="false">IF(AND($J1295="E-commerce",IFERROR($T1295/$R1295,0)&gt;Parametros!$C$14),"Alerta","OK")</f>
        <v>Alerta</v>
      </c>
      <c r="Y1295" s="61" t="str">
        <f aca="false">IF($R1295&gt;=Parametros!$C$12,"Alto",IF($R1295&lt;Parametros!$C$13,"Bajo","Medio"))</f>
        <v>Medio</v>
      </c>
      <c r="Z1295" s="61" t="n">
        <v>1530</v>
      </c>
      <c r="AA1295" s="61" t="str">
        <f aca="false">IF(MATCH($A1295,Datos_Origen!$A$2:$A$2459,0)=$Z1295,"OK","REVISAR")</f>
        <v>OK</v>
      </c>
      <c r="AB1295" s="62" t="n">
        <f aca="false">INDEX(Datos_Origen!$B$2:$B$2459,$Z1295)</f>
        <v>45671</v>
      </c>
      <c r="AC1295" s="61" t="n">
        <f aca="false">INDEX(Datos_Origen!$H$2:$H$2459,$Z1295)</f>
        <v>7</v>
      </c>
      <c r="AD1295" s="61" t="str">
        <f aca="false">INDEX(Datos_Origen!$D$2:$D$2459,$Z1295)&amp;""</f>
        <v>Tucuman</v>
      </c>
    </row>
    <row r="1296" customFormat="false" ht="15" hidden="false" customHeight="false" outlineLevel="0" collapsed="false">
      <c r="A1296" s="61" t="n">
        <f aca="false">INDEX(Datos_Origen!$A$2:$A$2459,$Z1296)</f>
        <v>1295</v>
      </c>
      <c r="B1296" s="62" t="n">
        <f aca="false">IF(ISNUMBER($AB1296),$AB1296,IF(MID($AB1296,5,1)="-",DATE(VALUE(LEFT($AB1296,4)),VALUE(MID($AB1296,6,2)),VALUE(RIGHT($AB1296,2))),DATE(VALUE(RIGHT($AB1296,4)),VALUE(MID($AB1296,4,2)),VALUE(LEFT($AB1296,2)))))</f>
        <v>45678</v>
      </c>
      <c r="C1296" s="61" t="n">
        <f aca="false">YEAR($B1296)</f>
        <v>2025</v>
      </c>
      <c r="D1296" s="61" t="str">
        <f aca="false">"Q"&amp;ROUNDUP(MONTH($B1296)/3,0)</f>
        <v>Q1</v>
      </c>
      <c r="E1296" s="61" t="n">
        <f aca="false">MONTH($B1296)</f>
        <v>1</v>
      </c>
      <c r="F1296" s="61" t="str">
        <f aca="false">INDEX(Parametros!$I$5:$I$16,$E1296)</f>
        <v>Ene</v>
      </c>
      <c r="G1296" s="61" t="str">
        <f aca="false">TEXT($C1296,"0000")&amp;"-"&amp;TEXT($E1296,"00")</f>
        <v>2025-01</v>
      </c>
      <c r="H1296" s="61" t="str">
        <f aca="false">INDEX(Parametros!$C$71:$C$91,MATCH(TRIM(INDEX(Datos_Origen!$C$2:$C$2459,$Z1296)),Parametros!$B$71:$B$91,0))</f>
        <v>NOA</v>
      </c>
      <c r="I1296" s="61" t="str">
        <f aca="false">IF(TRIM($AD1296)="",INDEX(Parametros!$I$20:$I$24,MATCH($H1296,Parametros!$H$20:$H$24,0)),TRIM($AD1296))</f>
        <v>Tucuman</v>
      </c>
      <c r="J1296" s="61" t="str">
        <f aca="false">INDEX(Parametros!$C$95:$C$106,MATCH(TRIM(INDEX(Datos_Origen!$E$2:$E$2459,$Z1296)),Parametros!$B$95:$B$106,0))</f>
        <v>Tienda fisica</v>
      </c>
      <c r="K1296" s="61" t="str">
        <f aca="false">INDEX(Parametros!$C$48:$C$67,MATCH(TRIM(INDEX(Datos_Origen!$F$2:$F$2459,$Z1296)),Parametros!$B$48:$B$67,0))</f>
        <v>Audio</v>
      </c>
      <c r="L1296" s="61" t="str">
        <f aca="false">$K1296&amp;" "&amp;$C1296</f>
        <v>Audio 2025</v>
      </c>
      <c r="M1296" s="61" t="str">
        <f aca="false">TRIM(INDEX(Datos_Origen!$G$2:$G$2459,$Z1296))</f>
        <v>Parlante Bluetooth</v>
      </c>
      <c r="N1296" s="61" t="str">
        <f aca="false">$M1296&amp;" "&amp;$C1296</f>
        <v>Parlante Bluetooth 2025</v>
      </c>
      <c r="O1296" s="63" t="n">
        <f aca="false">IF(ISTEXT($AC1296),VALUE($AC1296),$AC1296)</f>
        <v>11</v>
      </c>
      <c r="P1296" s="64" t="n">
        <f aca="false">INDEX(Datos_Origen!$I$2:$I$2459,$Z1296)</f>
        <v>84.46</v>
      </c>
      <c r="Q1296" s="64" t="n">
        <f aca="false">INDEX(Datos_Origen!$J$2:$J$2459,$Z1296)</f>
        <v>49.47</v>
      </c>
      <c r="R1296" s="65" t="n">
        <f aca="false">ROUND($O1296*$P1296,2)</f>
        <v>929.06</v>
      </c>
      <c r="S1296" s="65" t="n">
        <f aca="false">ROUND($O1296*$Q1296,2)</f>
        <v>544.17</v>
      </c>
      <c r="T1296" s="65" t="n">
        <f aca="false">ROUND($R1296*SUMIFS(Parametros!$E$28:$E$43,Parametros!$B$28:$B$43,$J1296,Parametros!$C$28:$C$43,$C1296,Parametros!$D$28:$D$43,$D1296),2)</f>
        <v>12.08</v>
      </c>
      <c r="U1296" s="65" t="n">
        <f aca="false">$R1296-$S1296-$T1296</f>
        <v>372.81</v>
      </c>
      <c r="V1296" s="66" t="n">
        <f aca="false">IFERROR($U1296/$R1296,0)</f>
        <v>0.401276559102749</v>
      </c>
      <c r="W1296" s="67" t="str">
        <f aca="false">IF(AND($V1296&gt;=Parametros!$C$8,$R1296&gt;=Parametros!$C$12),"Alta rentabilidad",IF(OR($V1296&lt;Parametros!$C$11,$R1296&lt;Parametros!$C$13),"Revisar","Estandar"))</f>
        <v>Estandar</v>
      </c>
      <c r="X1296" s="67" t="str">
        <f aca="false">IF(AND($J1296="E-commerce",IFERROR($T1296/$R1296,0)&gt;Parametros!$C$14),"Alerta","OK")</f>
        <v>OK</v>
      </c>
      <c r="Y1296" s="61" t="str">
        <f aca="false">IF($R1296&gt;=Parametros!$C$12,"Alto",IF($R1296&lt;Parametros!$C$13,"Bajo","Medio"))</f>
        <v>Medio</v>
      </c>
      <c r="Z1296" s="61" t="n">
        <v>1188</v>
      </c>
      <c r="AA1296" s="61" t="str">
        <f aca="false">IF(MATCH($A1296,Datos_Origen!$A$2:$A$2459,0)=$Z1296,"OK","REVISAR")</f>
        <v>OK</v>
      </c>
      <c r="AB1296" s="62" t="n">
        <f aca="false">INDEX(Datos_Origen!$B$2:$B$2459,$Z1296)</f>
        <v>45678</v>
      </c>
      <c r="AC1296" s="61" t="n">
        <f aca="false">INDEX(Datos_Origen!$H$2:$H$2459,$Z1296)</f>
        <v>11</v>
      </c>
      <c r="AD1296" s="61" t="str">
        <f aca="false">INDEX(Datos_Origen!$D$2:$D$2459,$Z1296)&amp;""</f>
        <v>Tucuman</v>
      </c>
    </row>
    <row r="1297" customFormat="false" ht="15" hidden="false" customHeight="false" outlineLevel="0" collapsed="false">
      <c r="A1297" s="61" t="n">
        <f aca="false">INDEX(Datos_Origen!$A$2:$A$2459,$Z1297)</f>
        <v>1296</v>
      </c>
      <c r="B1297" s="62" t="n">
        <f aca="false">IF(ISNUMBER($AB1297),$AB1297,IF(MID($AB1297,5,1)="-",DATE(VALUE(LEFT($AB1297,4)),VALUE(MID($AB1297,6,2)),VALUE(RIGHT($AB1297,2))),DATE(VALUE(RIGHT($AB1297,4)),VALUE(MID($AB1297,4,2)),VALUE(LEFT($AB1297,2)))))</f>
        <v>45658</v>
      </c>
      <c r="C1297" s="61" t="n">
        <f aca="false">YEAR($B1297)</f>
        <v>2025</v>
      </c>
      <c r="D1297" s="61" t="str">
        <f aca="false">"Q"&amp;ROUNDUP(MONTH($B1297)/3,0)</f>
        <v>Q1</v>
      </c>
      <c r="E1297" s="61" t="n">
        <f aca="false">MONTH($B1297)</f>
        <v>1</v>
      </c>
      <c r="F1297" s="61" t="str">
        <f aca="false">INDEX(Parametros!$I$5:$I$16,$E1297)</f>
        <v>Ene</v>
      </c>
      <c r="G1297" s="61" t="str">
        <f aca="false">TEXT($C1297,"0000")&amp;"-"&amp;TEXT($E1297,"00")</f>
        <v>2025-01</v>
      </c>
      <c r="H1297" s="61" t="str">
        <f aca="false">INDEX(Parametros!$C$71:$C$91,MATCH(TRIM(INDEX(Datos_Origen!$C$2:$C$2459,$Z1297)),Parametros!$B$71:$B$91,0))</f>
        <v>NOA</v>
      </c>
      <c r="I1297" s="61" t="str">
        <f aca="false">IF(TRIM($AD1297)="",INDEX(Parametros!$I$20:$I$24,MATCH($H1297,Parametros!$H$20:$H$24,0)),TRIM($AD1297))</f>
        <v>Tucuman</v>
      </c>
      <c r="J1297" s="61" t="str">
        <f aca="false">INDEX(Parametros!$C$95:$C$106,MATCH(TRIM(INDEX(Datos_Origen!$E$2:$E$2459,$Z1297)),Parametros!$B$95:$B$106,0))</f>
        <v>E-commerce</v>
      </c>
      <c r="K1297" s="61" t="str">
        <f aca="false">INDEX(Parametros!$C$48:$C$67,MATCH(TRIM(INDEX(Datos_Origen!$F$2:$F$2459,$Z1297)),Parametros!$B$48:$B$67,0))</f>
        <v>Audio</v>
      </c>
      <c r="L1297" s="61" t="str">
        <f aca="false">$K1297&amp;" "&amp;$C1297</f>
        <v>Audio 2025</v>
      </c>
      <c r="M1297" s="61" t="str">
        <f aca="false">TRIM(INDEX(Datos_Origen!$G$2:$G$2459,$Z1297))</f>
        <v>Parlante Bluetooth</v>
      </c>
      <c r="N1297" s="61" t="str">
        <f aca="false">$M1297&amp;" "&amp;$C1297</f>
        <v>Parlante Bluetooth 2025</v>
      </c>
      <c r="O1297" s="63" t="n">
        <f aca="false">IF(ISTEXT($AC1297),VALUE($AC1297),$AC1297)</f>
        <v>9</v>
      </c>
      <c r="P1297" s="64" t="n">
        <f aca="false">INDEX(Datos_Origen!$I$2:$I$2459,$Z1297)</f>
        <v>84.46</v>
      </c>
      <c r="Q1297" s="64" t="n">
        <f aca="false">INDEX(Datos_Origen!$J$2:$J$2459,$Z1297)</f>
        <v>49.47</v>
      </c>
      <c r="R1297" s="65" t="n">
        <f aca="false">ROUND($O1297*$P1297,2)</f>
        <v>760.14</v>
      </c>
      <c r="S1297" s="65" t="n">
        <f aca="false">ROUND($O1297*$Q1297,2)</f>
        <v>445.23</v>
      </c>
      <c r="T1297" s="65" t="n">
        <f aca="false">ROUND($R1297*SUMIFS(Parametros!$E$28:$E$43,Parametros!$B$28:$B$43,$J1297,Parametros!$C$28:$C$43,$C1297,Parametros!$D$28:$D$43,$D1297),2)</f>
        <v>51.69</v>
      </c>
      <c r="U1297" s="65" t="n">
        <f aca="false">$R1297-$S1297-$T1297</f>
        <v>263.22</v>
      </c>
      <c r="V1297" s="66" t="n">
        <f aca="false">IFERROR($U1297/$R1297,0)</f>
        <v>0.346278317152104</v>
      </c>
      <c r="W1297" s="67" t="str">
        <f aca="false">IF(AND($V1297&gt;=Parametros!$C$8,$R1297&gt;=Parametros!$C$12),"Alta rentabilidad",IF(OR($V1297&lt;Parametros!$C$11,$R1297&lt;Parametros!$C$13),"Revisar","Estandar"))</f>
        <v>Estandar</v>
      </c>
      <c r="X1297" s="67" t="str">
        <f aca="false">IF(AND($J1297="E-commerce",IFERROR($T1297/$R1297,0)&gt;Parametros!$C$14),"Alerta","OK")</f>
        <v>Alerta</v>
      </c>
      <c r="Y1297" s="61" t="str">
        <f aca="false">IF($R1297&gt;=Parametros!$C$12,"Alto",IF($R1297&lt;Parametros!$C$13,"Bajo","Medio"))</f>
        <v>Medio</v>
      </c>
      <c r="Z1297" s="61" t="n">
        <v>1734</v>
      </c>
      <c r="AA1297" s="61" t="str">
        <f aca="false">IF(MATCH($A1297,Datos_Origen!$A$2:$A$2459,0)=$Z1297,"OK","REVISAR")</f>
        <v>OK</v>
      </c>
      <c r="AB1297" s="62" t="n">
        <f aca="false">INDEX(Datos_Origen!$B$2:$B$2459,$Z1297)</f>
        <v>45658</v>
      </c>
      <c r="AC1297" s="61" t="n">
        <f aca="false">INDEX(Datos_Origen!$H$2:$H$2459,$Z1297)</f>
        <v>9</v>
      </c>
      <c r="AD1297" s="61" t="str">
        <f aca="false">INDEX(Datos_Origen!$D$2:$D$2459,$Z1297)&amp;""</f>
        <v>Tucuman</v>
      </c>
    </row>
    <row r="1298" customFormat="false" ht="15" hidden="false" customHeight="false" outlineLevel="0" collapsed="false">
      <c r="A1298" s="61" t="n">
        <f aca="false">INDEX(Datos_Origen!$A$2:$A$2459,$Z1298)</f>
        <v>1297</v>
      </c>
      <c r="B1298" s="62" t="n">
        <f aca="false">IF(ISNUMBER($AB1298),$AB1298,IF(MID($AB1298,5,1)="-",DATE(VALUE(LEFT($AB1298,4)),VALUE(MID($AB1298,6,2)),VALUE(RIGHT($AB1298,2))),DATE(VALUE(RIGHT($AB1298,4)),VALUE(MID($AB1298,4,2)),VALUE(LEFT($AB1298,2)))))</f>
        <v>45665</v>
      </c>
      <c r="C1298" s="61" t="n">
        <f aca="false">YEAR($B1298)</f>
        <v>2025</v>
      </c>
      <c r="D1298" s="61" t="str">
        <f aca="false">"Q"&amp;ROUNDUP(MONTH($B1298)/3,0)</f>
        <v>Q1</v>
      </c>
      <c r="E1298" s="61" t="n">
        <f aca="false">MONTH($B1298)</f>
        <v>1</v>
      </c>
      <c r="F1298" s="61" t="str">
        <f aca="false">INDEX(Parametros!$I$5:$I$16,$E1298)</f>
        <v>Ene</v>
      </c>
      <c r="G1298" s="61" t="str">
        <f aca="false">TEXT($C1298,"0000")&amp;"-"&amp;TEXT($E1298,"00")</f>
        <v>2025-01</v>
      </c>
      <c r="H1298" s="61" t="str">
        <f aca="false">INDEX(Parametros!$C$71:$C$91,MATCH(TRIM(INDEX(Datos_Origen!$C$2:$C$2459,$Z1298)),Parametros!$B$71:$B$91,0))</f>
        <v>NOA</v>
      </c>
      <c r="I1298" s="61" t="str">
        <f aca="false">IF(TRIM($AD1298)="",INDEX(Parametros!$I$20:$I$24,MATCH($H1298,Parametros!$H$20:$H$24,0)),TRIM($AD1298))</f>
        <v>Tucuman</v>
      </c>
      <c r="J1298" s="61" t="str">
        <f aca="false">INDEX(Parametros!$C$95:$C$106,MATCH(TRIM(INDEX(Datos_Origen!$E$2:$E$2459,$Z1298)),Parametros!$B$95:$B$106,0))</f>
        <v>Tienda fisica</v>
      </c>
      <c r="K1298" s="61" t="str">
        <f aca="false">INDEX(Parametros!$C$48:$C$67,MATCH(TRIM(INDEX(Datos_Origen!$F$2:$F$2459,$Z1298)),Parametros!$B$48:$B$67,0))</f>
        <v>Almacenamiento</v>
      </c>
      <c r="L1298" s="61" t="str">
        <f aca="false">$K1298&amp;" "&amp;$C1298</f>
        <v>Almacenamiento 2025</v>
      </c>
      <c r="M1298" s="61" t="str">
        <f aca="false">TRIM(INDEX(Datos_Origen!$G$2:$G$2459,$Z1298))</f>
        <v>SSD Externo 1TB</v>
      </c>
      <c r="N1298" s="61" t="str">
        <f aca="false">$M1298&amp;" "&amp;$C1298</f>
        <v>SSD Externo 1TB 2025</v>
      </c>
      <c r="O1298" s="63" t="n">
        <f aca="false">IF(ISTEXT($AC1298),VALUE($AC1298),$AC1298)</f>
        <v>13</v>
      </c>
      <c r="P1298" s="64" t="n">
        <f aca="false">INDEX(Datos_Origen!$I$2:$I$2459,$Z1298)</f>
        <v>129.17</v>
      </c>
      <c r="Q1298" s="64" t="n">
        <f aca="false">INDEX(Datos_Origen!$J$2:$J$2459,$Z1298)</f>
        <v>78.33</v>
      </c>
      <c r="R1298" s="65" t="n">
        <f aca="false">ROUND($O1298*$P1298,2)</f>
        <v>1679.21</v>
      </c>
      <c r="S1298" s="65" t="n">
        <f aca="false">ROUND($O1298*$Q1298,2)</f>
        <v>1018.29</v>
      </c>
      <c r="T1298" s="65" t="n">
        <f aca="false">ROUND($R1298*SUMIFS(Parametros!$E$28:$E$43,Parametros!$B$28:$B$43,$J1298,Parametros!$C$28:$C$43,$C1298,Parametros!$D$28:$D$43,$D1298),2)</f>
        <v>21.83</v>
      </c>
      <c r="U1298" s="65" t="n">
        <f aca="false">$R1298-$S1298-$T1298</f>
        <v>639.09</v>
      </c>
      <c r="V1298" s="66" t="n">
        <f aca="false">IFERROR($U1298/$R1298,0)</f>
        <v>0.38058968205287</v>
      </c>
      <c r="W1298" s="67" t="str">
        <f aca="false">IF(AND($V1298&gt;=Parametros!$C$8,$R1298&gt;=Parametros!$C$12),"Alta rentabilidad",IF(OR($V1298&lt;Parametros!$C$11,$R1298&lt;Parametros!$C$13),"Revisar","Estandar"))</f>
        <v>Estandar</v>
      </c>
      <c r="X1298" s="67" t="str">
        <f aca="false">IF(AND($J1298="E-commerce",IFERROR($T1298/$R1298,0)&gt;Parametros!$C$14),"Alerta","OK")</f>
        <v>OK</v>
      </c>
      <c r="Y1298" s="61" t="str">
        <f aca="false">IF($R1298&gt;=Parametros!$C$12,"Alto",IF($R1298&lt;Parametros!$C$13,"Bajo","Medio"))</f>
        <v>Medio</v>
      </c>
      <c r="Z1298" s="61" t="n">
        <v>450</v>
      </c>
      <c r="AA1298" s="61" t="str">
        <f aca="false">IF(MATCH($A1298,Datos_Origen!$A$2:$A$2459,0)=$Z1298,"OK","REVISAR")</f>
        <v>OK</v>
      </c>
      <c r="AB1298" s="61" t="str">
        <f aca="false">INDEX(Datos_Origen!$B$2:$B$2459,$Z1298)</f>
        <v>08/01/2025</v>
      </c>
      <c r="AC1298" s="61" t="n">
        <f aca="false">INDEX(Datos_Origen!$H$2:$H$2459,$Z1298)</f>
        <v>13</v>
      </c>
      <c r="AD1298" s="61" t="str">
        <f aca="false">INDEX(Datos_Origen!$D$2:$D$2459,$Z1298)&amp;""</f>
        <v>Tucuman</v>
      </c>
    </row>
    <row r="1299" customFormat="false" ht="15" hidden="false" customHeight="false" outlineLevel="0" collapsed="false">
      <c r="A1299" s="61" t="n">
        <f aca="false">INDEX(Datos_Origen!$A$2:$A$2459,$Z1299)</f>
        <v>1298</v>
      </c>
      <c r="B1299" s="62" t="n">
        <f aca="false">IF(ISNUMBER($AB1299),$AB1299,IF(MID($AB1299,5,1)="-",DATE(VALUE(LEFT($AB1299,4)),VALUE(MID($AB1299,6,2)),VALUE(RIGHT($AB1299,2))),DATE(VALUE(RIGHT($AB1299,4)),VALUE(MID($AB1299,4,2)),VALUE(LEFT($AB1299,2)))))</f>
        <v>45672</v>
      </c>
      <c r="C1299" s="61" t="n">
        <f aca="false">YEAR($B1299)</f>
        <v>2025</v>
      </c>
      <c r="D1299" s="61" t="str">
        <f aca="false">"Q"&amp;ROUNDUP(MONTH($B1299)/3,0)</f>
        <v>Q1</v>
      </c>
      <c r="E1299" s="61" t="n">
        <f aca="false">MONTH($B1299)</f>
        <v>1</v>
      </c>
      <c r="F1299" s="61" t="str">
        <f aca="false">INDEX(Parametros!$I$5:$I$16,$E1299)</f>
        <v>Ene</v>
      </c>
      <c r="G1299" s="61" t="str">
        <f aca="false">TEXT($C1299,"0000")&amp;"-"&amp;TEXT($E1299,"00")</f>
        <v>2025-01</v>
      </c>
      <c r="H1299" s="61" t="str">
        <f aca="false">INDEX(Parametros!$C$71:$C$91,MATCH(TRIM(INDEX(Datos_Origen!$C$2:$C$2459,$Z1299)),Parametros!$B$71:$B$91,0))</f>
        <v>NOA</v>
      </c>
      <c r="I1299" s="61" t="str">
        <f aca="false">IF(TRIM($AD1299)="",INDEX(Parametros!$I$20:$I$24,MATCH($H1299,Parametros!$H$20:$H$24,0)),TRIM($AD1299))</f>
        <v>Tucuman</v>
      </c>
      <c r="J1299" s="61" t="str">
        <f aca="false">INDEX(Parametros!$C$95:$C$106,MATCH(TRIM(INDEX(Datos_Origen!$E$2:$E$2459,$Z1299)),Parametros!$B$95:$B$106,0))</f>
        <v>E-commerce</v>
      </c>
      <c r="K1299" s="61" t="str">
        <f aca="false">INDEX(Parametros!$C$48:$C$67,MATCH(TRIM(INDEX(Datos_Origen!$F$2:$F$2459,$Z1299)),Parametros!$B$48:$B$67,0))</f>
        <v>Almacenamiento</v>
      </c>
      <c r="L1299" s="61" t="str">
        <f aca="false">$K1299&amp;" "&amp;$C1299</f>
        <v>Almacenamiento 2025</v>
      </c>
      <c r="M1299" s="61" t="str">
        <f aca="false">TRIM(INDEX(Datos_Origen!$G$2:$G$2459,$Z1299))</f>
        <v>SSD Externo 1TB</v>
      </c>
      <c r="N1299" s="61" t="str">
        <f aca="false">$M1299&amp;" "&amp;$C1299</f>
        <v>SSD Externo 1TB 2025</v>
      </c>
      <c r="O1299" s="63" t="n">
        <f aca="false">IF(ISTEXT($AC1299),VALUE($AC1299),$AC1299)</f>
        <v>9</v>
      </c>
      <c r="P1299" s="64" t="n">
        <f aca="false">INDEX(Datos_Origen!$I$2:$I$2459,$Z1299)</f>
        <v>129.17</v>
      </c>
      <c r="Q1299" s="64" t="n">
        <f aca="false">INDEX(Datos_Origen!$J$2:$J$2459,$Z1299)</f>
        <v>78.33</v>
      </c>
      <c r="R1299" s="65" t="n">
        <f aca="false">ROUND($O1299*$P1299,2)</f>
        <v>1162.53</v>
      </c>
      <c r="S1299" s="65" t="n">
        <f aca="false">ROUND($O1299*$Q1299,2)</f>
        <v>704.97</v>
      </c>
      <c r="T1299" s="65" t="n">
        <f aca="false">ROUND($R1299*SUMIFS(Parametros!$E$28:$E$43,Parametros!$B$28:$B$43,$J1299,Parametros!$C$28:$C$43,$C1299,Parametros!$D$28:$D$43,$D1299),2)</f>
        <v>79.05</v>
      </c>
      <c r="U1299" s="65" t="n">
        <f aca="false">$R1299-$S1299-$T1299</f>
        <v>378.51</v>
      </c>
      <c r="V1299" s="66" t="n">
        <f aca="false">IFERROR($U1299/$R1299,0)</f>
        <v>0.32559159763619</v>
      </c>
      <c r="W1299" s="67" t="str">
        <f aca="false">IF(AND($V1299&gt;=Parametros!$C$8,$R1299&gt;=Parametros!$C$12),"Alta rentabilidad",IF(OR($V1299&lt;Parametros!$C$11,$R1299&lt;Parametros!$C$13),"Revisar","Estandar"))</f>
        <v>Estandar</v>
      </c>
      <c r="X1299" s="67" t="str">
        <f aca="false">IF(AND($J1299="E-commerce",IFERROR($T1299/$R1299,0)&gt;Parametros!$C$14),"Alerta","OK")</f>
        <v>Alerta</v>
      </c>
      <c r="Y1299" s="61" t="str">
        <f aca="false">IF($R1299&gt;=Parametros!$C$12,"Alto",IF($R1299&lt;Parametros!$C$13,"Bajo","Medio"))</f>
        <v>Medio</v>
      </c>
      <c r="Z1299" s="61" t="n">
        <v>792</v>
      </c>
      <c r="AA1299" s="61" t="str">
        <f aca="false">IF(MATCH($A1299,Datos_Origen!$A$2:$A$2459,0)=$Z1299,"OK","REVISAR")</f>
        <v>OK</v>
      </c>
      <c r="AB1299" s="61" t="str">
        <f aca="false">INDEX(Datos_Origen!$B$2:$B$2459,$Z1299)</f>
        <v>15/01/2025</v>
      </c>
      <c r="AC1299" s="61" t="n">
        <f aca="false">INDEX(Datos_Origen!$H$2:$H$2459,$Z1299)</f>
        <v>9</v>
      </c>
      <c r="AD1299" s="61" t="str">
        <f aca="false">INDEX(Datos_Origen!$D$2:$D$2459,$Z1299)&amp;""</f>
        <v>Tucuman</v>
      </c>
    </row>
    <row r="1300" customFormat="false" ht="15" hidden="false" customHeight="false" outlineLevel="0" collapsed="false">
      <c r="A1300" s="61" t="n">
        <f aca="false">INDEX(Datos_Origen!$A$2:$A$2459,$Z1300)</f>
        <v>1299</v>
      </c>
      <c r="B1300" s="62" t="n">
        <f aca="false">IF(ISNUMBER($AB1300),$AB1300,IF(MID($AB1300,5,1)="-",DATE(VALUE(LEFT($AB1300,4)),VALUE(MID($AB1300,6,2)),VALUE(RIGHT($AB1300,2))),DATE(VALUE(RIGHT($AB1300,4)),VALUE(MID($AB1300,4,2)),VALUE(LEFT($AB1300,2)))))</f>
        <v>45679</v>
      </c>
      <c r="C1300" s="61" t="n">
        <f aca="false">YEAR($B1300)</f>
        <v>2025</v>
      </c>
      <c r="D1300" s="61" t="str">
        <f aca="false">"Q"&amp;ROUNDUP(MONTH($B1300)/3,0)</f>
        <v>Q1</v>
      </c>
      <c r="E1300" s="61" t="n">
        <f aca="false">MONTH($B1300)</f>
        <v>1</v>
      </c>
      <c r="F1300" s="61" t="str">
        <f aca="false">INDEX(Parametros!$I$5:$I$16,$E1300)</f>
        <v>Ene</v>
      </c>
      <c r="G1300" s="61" t="str">
        <f aca="false">TEXT($C1300,"0000")&amp;"-"&amp;TEXT($E1300,"00")</f>
        <v>2025-01</v>
      </c>
      <c r="H1300" s="61" t="str">
        <f aca="false">INDEX(Parametros!$C$71:$C$91,MATCH(TRIM(INDEX(Datos_Origen!$C$2:$C$2459,$Z1300)),Parametros!$B$71:$B$91,0))</f>
        <v>NOA</v>
      </c>
      <c r="I1300" s="61" t="str">
        <f aca="false">IF(TRIM($AD1300)="",INDEX(Parametros!$I$20:$I$24,MATCH($H1300,Parametros!$H$20:$H$24,0)),TRIM($AD1300))</f>
        <v>Tucuman</v>
      </c>
      <c r="J1300" s="61" t="str">
        <f aca="false">INDEX(Parametros!$C$95:$C$106,MATCH(TRIM(INDEX(Datos_Origen!$E$2:$E$2459,$Z1300)),Parametros!$B$95:$B$106,0))</f>
        <v>Tienda fisica</v>
      </c>
      <c r="K1300" s="61" t="str">
        <f aca="false">INDEX(Parametros!$C$48:$C$67,MATCH(TRIM(INDEX(Datos_Origen!$F$2:$F$2459,$Z1300)),Parametros!$B$48:$B$67,0))</f>
        <v>Almacenamiento</v>
      </c>
      <c r="L1300" s="61" t="str">
        <f aca="false">$K1300&amp;" "&amp;$C1300</f>
        <v>Almacenamiento 2025</v>
      </c>
      <c r="M1300" s="61" t="str">
        <f aca="false">TRIM(INDEX(Datos_Origen!$G$2:$G$2459,$Z1300))</f>
        <v>Pendrive 256GB</v>
      </c>
      <c r="N1300" s="61" t="str">
        <f aca="false">$M1300&amp;" "&amp;$C1300</f>
        <v>Pendrive 256GB 2025</v>
      </c>
      <c r="O1300" s="63" t="n">
        <f aca="false">IF(ISTEXT($AC1300),VALUE($AC1300),$AC1300)</f>
        <v>14</v>
      </c>
      <c r="P1300" s="64" t="n">
        <f aca="false">INDEX(Datos_Origen!$I$2:$I$2459,$Z1300)</f>
        <v>34.78</v>
      </c>
      <c r="Q1300" s="64" t="n">
        <f aca="false">INDEX(Datos_Origen!$J$2:$J$2459,$Z1300)</f>
        <v>18.39</v>
      </c>
      <c r="R1300" s="65" t="n">
        <f aca="false">ROUND($O1300*$P1300,2)</f>
        <v>486.92</v>
      </c>
      <c r="S1300" s="65" t="n">
        <f aca="false">ROUND($O1300*$Q1300,2)</f>
        <v>257.46</v>
      </c>
      <c r="T1300" s="65" t="n">
        <f aca="false">ROUND($R1300*SUMIFS(Parametros!$E$28:$E$43,Parametros!$B$28:$B$43,$J1300,Parametros!$C$28:$C$43,$C1300,Parametros!$D$28:$D$43,$D1300),2)</f>
        <v>6.33</v>
      </c>
      <c r="U1300" s="65" t="n">
        <f aca="false">$R1300-$S1300-$T1300</f>
        <v>223.13</v>
      </c>
      <c r="V1300" s="66" t="n">
        <f aca="false">IFERROR($U1300/$R1300,0)</f>
        <v>0.458247761439251</v>
      </c>
      <c r="W1300" s="67" t="str">
        <f aca="false">IF(AND($V1300&gt;=Parametros!$C$8,$R1300&gt;=Parametros!$C$12),"Alta rentabilidad",IF(OR($V1300&lt;Parametros!$C$11,$R1300&lt;Parametros!$C$13),"Revisar","Estandar"))</f>
        <v>Estandar</v>
      </c>
      <c r="X1300" s="67" t="str">
        <f aca="false">IF(AND($J1300="E-commerce",IFERROR($T1300/$R1300,0)&gt;Parametros!$C$14),"Alerta","OK")</f>
        <v>OK</v>
      </c>
      <c r="Y1300" s="61" t="str">
        <f aca="false">IF($R1300&gt;=Parametros!$C$12,"Alto",IF($R1300&lt;Parametros!$C$13,"Bajo","Medio"))</f>
        <v>Medio</v>
      </c>
      <c r="Z1300" s="61" t="n">
        <v>132</v>
      </c>
      <c r="AA1300" s="61" t="str">
        <f aca="false">IF(MATCH($A1300,Datos_Origen!$A$2:$A$2459,0)=$Z1300,"OK","REVISAR")</f>
        <v>OK</v>
      </c>
      <c r="AB1300" s="62" t="n">
        <f aca="false">INDEX(Datos_Origen!$B$2:$B$2459,$Z1300)</f>
        <v>45679</v>
      </c>
      <c r="AC1300" s="61" t="n">
        <f aca="false">INDEX(Datos_Origen!$H$2:$H$2459,$Z1300)</f>
        <v>14</v>
      </c>
      <c r="AD1300" s="61" t="str">
        <f aca="false">INDEX(Datos_Origen!$D$2:$D$2459,$Z1300)&amp;""</f>
        <v>Tucuman</v>
      </c>
    </row>
    <row r="1301" customFormat="false" ht="15" hidden="false" customHeight="false" outlineLevel="0" collapsed="false">
      <c r="A1301" s="61" t="n">
        <f aca="false">INDEX(Datos_Origen!$A$2:$A$2459,$Z1301)</f>
        <v>1300</v>
      </c>
      <c r="B1301" s="62" t="n">
        <f aca="false">IF(ISNUMBER($AB1301),$AB1301,IF(MID($AB1301,5,1)="-",DATE(VALUE(LEFT($AB1301,4)),VALUE(MID($AB1301,6,2)),VALUE(RIGHT($AB1301,2))),DATE(VALUE(RIGHT($AB1301,4)),VALUE(MID($AB1301,4,2)),VALUE(LEFT($AB1301,2)))))</f>
        <v>45659</v>
      </c>
      <c r="C1301" s="61" t="n">
        <f aca="false">YEAR($B1301)</f>
        <v>2025</v>
      </c>
      <c r="D1301" s="61" t="str">
        <f aca="false">"Q"&amp;ROUNDUP(MONTH($B1301)/3,0)</f>
        <v>Q1</v>
      </c>
      <c r="E1301" s="61" t="n">
        <f aca="false">MONTH($B1301)</f>
        <v>1</v>
      </c>
      <c r="F1301" s="61" t="str">
        <f aca="false">INDEX(Parametros!$I$5:$I$16,$E1301)</f>
        <v>Ene</v>
      </c>
      <c r="G1301" s="61" t="str">
        <f aca="false">TEXT($C1301,"0000")&amp;"-"&amp;TEXT($E1301,"00")</f>
        <v>2025-01</v>
      </c>
      <c r="H1301" s="61" t="str">
        <f aca="false">INDEX(Parametros!$C$71:$C$91,MATCH(TRIM(INDEX(Datos_Origen!$C$2:$C$2459,$Z1301)),Parametros!$B$71:$B$91,0))</f>
        <v>NOA</v>
      </c>
      <c r="I1301" s="61" t="str">
        <f aca="false">IF(TRIM($AD1301)="",INDEX(Parametros!$I$20:$I$24,MATCH($H1301,Parametros!$H$20:$H$24,0)),TRIM($AD1301))</f>
        <v>Tucuman</v>
      </c>
      <c r="J1301" s="61" t="str">
        <f aca="false">INDEX(Parametros!$C$95:$C$106,MATCH(TRIM(INDEX(Datos_Origen!$E$2:$E$2459,$Z1301)),Parametros!$B$95:$B$106,0))</f>
        <v>E-commerce</v>
      </c>
      <c r="K1301" s="61" t="str">
        <f aca="false">INDEX(Parametros!$C$48:$C$67,MATCH(TRIM(INDEX(Datos_Origen!$F$2:$F$2459,$Z1301)),Parametros!$B$48:$B$67,0))</f>
        <v>Almacenamiento</v>
      </c>
      <c r="L1301" s="61" t="str">
        <f aca="false">$K1301&amp;" "&amp;$C1301</f>
        <v>Almacenamiento 2025</v>
      </c>
      <c r="M1301" s="61" t="str">
        <f aca="false">TRIM(INDEX(Datos_Origen!$G$2:$G$2459,$Z1301))</f>
        <v>Pendrive 256GB</v>
      </c>
      <c r="N1301" s="61" t="str">
        <f aca="false">$M1301&amp;" "&amp;$C1301</f>
        <v>Pendrive 256GB 2025</v>
      </c>
      <c r="O1301" s="63" t="n">
        <f aca="false">IF(ISTEXT($AC1301),VALUE($AC1301),$AC1301)</f>
        <v>11</v>
      </c>
      <c r="P1301" s="64" t="n">
        <f aca="false">INDEX(Datos_Origen!$I$2:$I$2459,$Z1301)</f>
        <v>34.78</v>
      </c>
      <c r="Q1301" s="64" t="n">
        <f aca="false">INDEX(Datos_Origen!$J$2:$J$2459,$Z1301)</f>
        <v>18.39</v>
      </c>
      <c r="R1301" s="65" t="n">
        <f aca="false">ROUND($O1301*$P1301,2)</f>
        <v>382.58</v>
      </c>
      <c r="S1301" s="65" t="n">
        <f aca="false">ROUND($O1301*$Q1301,2)</f>
        <v>202.29</v>
      </c>
      <c r="T1301" s="65" t="n">
        <f aca="false">ROUND($R1301*SUMIFS(Parametros!$E$28:$E$43,Parametros!$B$28:$B$43,$J1301,Parametros!$C$28:$C$43,$C1301,Parametros!$D$28:$D$43,$D1301),2)</f>
        <v>26.02</v>
      </c>
      <c r="U1301" s="65" t="n">
        <f aca="false">$R1301-$S1301-$T1301</f>
        <v>154.27</v>
      </c>
      <c r="V1301" s="66" t="n">
        <f aca="false">IFERROR($U1301/$R1301,0)</f>
        <v>0.40323592451252</v>
      </c>
      <c r="W1301" s="67" t="str">
        <f aca="false">IF(AND($V1301&gt;=Parametros!$C$8,$R1301&gt;=Parametros!$C$12),"Alta rentabilidad",IF(OR($V1301&lt;Parametros!$C$11,$R1301&lt;Parametros!$C$13),"Revisar","Estandar"))</f>
        <v>Estandar</v>
      </c>
      <c r="X1301" s="67" t="str">
        <f aca="false">IF(AND($J1301="E-commerce",IFERROR($T1301/$R1301,0)&gt;Parametros!$C$14),"Alerta","OK")</f>
        <v>Alerta</v>
      </c>
      <c r="Y1301" s="61" t="str">
        <f aca="false">IF($R1301&gt;=Parametros!$C$12,"Alto",IF($R1301&lt;Parametros!$C$13,"Bajo","Medio"))</f>
        <v>Medio</v>
      </c>
      <c r="Z1301" s="61" t="n">
        <v>1927</v>
      </c>
      <c r="AA1301" s="61" t="str">
        <f aca="false">IF(MATCH($A1301,Datos_Origen!$A$2:$A$2459,0)=$Z1301,"OK","REVISAR")</f>
        <v>OK</v>
      </c>
      <c r="AB1301" s="62" t="n">
        <f aca="false">INDEX(Datos_Origen!$B$2:$B$2459,$Z1301)</f>
        <v>45659</v>
      </c>
      <c r="AC1301" s="61" t="n">
        <f aca="false">INDEX(Datos_Origen!$H$2:$H$2459,$Z1301)</f>
        <v>11</v>
      </c>
      <c r="AD1301" s="61" t="str">
        <f aca="false">INDEX(Datos_Origen!$D$2:$D$2459,$Z1301)&amp;""</f>
        <v>Tucuman</v>
      </c>
    </row>
    <row r="1302" customFormat="false" ht="15" hidden="false" customHeight="false" outlineLevel="0" collapsed="false">
      <c r="A1302" s="61" t="n">
        <f aca="false">INDEX(Datos_Origen!$A$2:$A$2459,$Z1302)</f>
        <v>1301</v>
      </c>
      <c r="B1302" s="62" t="n">
        <f aca="false">IF(ISNUMBER($AB1302),$AB1302,IF(MID($AB1302,5,1)="-",DATE(VALUE(LEFT($AB1302,4)),VALUE(MID($AB1302,6,2)),VALUE(RIGHT($AB1302,2))),DATE(VALUE(RIGHT($AB1302,4)),VALUE(MID($AB1302,4,2)),VALUE(LEFT($AB1302,2)))))</f>
        <v>45697</v>
      </c>
      <c r="C1302" s="61" t="n">
        <f aca="false">YEAR($B1302)</f>
        <v>2025</v>
      </c>
      <c r="D1302" s="61" t="str">
        <f aca="false">"Q"&amp;ROUNDUP(MONTH($B1302)/3,0)</f>
        <v>Q1</v>
      </c>
      <c r="E1302" s="61" t="n">
        <f aca="false">MONTH($B1302)</f>
        <v>2</v>
      </c>
      <c r="F1302" s="61" t="str">
        <f aca="false">INDEX(Parametros!$I$5:$I$16,$E1302)</f>
        <v>Feb</v>
      </c>
      <c r="G1302" s="61" t="str">
        <f aca="false">TEXT($C1302,"0000")&amp;"-"&amp;TEXT($E1302,"00")</f>
        <v>2025-02</v>
      </c>
      <c r="H1302" s="61" t="str">
        <f aca="false">INDEX(Parametros!$C$71:$C$91,MATCH(TRIM(INDEX(Datos_Origen!$C$2:$C$2459,$Z1302)),Parametros!$B$71:$B$91,0))</f>
        <v>AMBA</v>
      </c>
      <c r="I1302" s="61" t="str">
        <f aca="false">IF(TRIM($AD1302)="",INDEX(Parametros!$I$20:$I$24,MATCH($H1302,Parametros!$H$20:$H$24,0)),TRIM($AD1302))</f>
        <v>Buenos Aires</v>
      </c>
      <c r="J1302" s="61" t="str">
        <f aca="false">INDEX(Parametros!$C$95:$C$106,MATCH(TRIM(INDEX(Datos_Origen!$E$2:$E$2459,$Z1302)),Parametros!$B$95:$B$106,0))</f>
        <v>Tienda fisica</v>
      </c>
      <c r="K1302" s="61" t="str">
        <f aca="false">INDEX(Parametros!$C$48:$C$67,MATCH(TRIM(INDEX(Datos_Origen!$F$2:$F$2459,$Z1302)),Parametros!$B$48:$B$67,0))</f>
        <v>Computacion</v>
      </c>
      <c r="L1302" s="61" t="str">
        <f aca="false">$K1302&amp;" "&amp;$C1302</f>
        <v>Computacion 2025</v>
      </c>
      <c r="M1302" s="61" t="str">
        <f aca="false">TRIM(INDEX(Datos_Origen!$G$2:$G$2459,$Z1302))</f>
        <v>Laptop Pro 15</v>
      </c>
      <c r="N1302" s="61" t="str">
        <f aca="false">$M1302&amp;" "&amp;$C1302</f>
        <v>Laptop Pro 15 2025</v>
      </c>
      <c r="O1302" s="63" t="n">
        <f aca="false">IF(ISTEXT($AC1302),VALUE($AC1302),$AC1302)</f>
        <v>16</v>
      </c>
      <c r="P1302" s="64" t="n">
        <f aca="false">INDEX(Datos_Origen!$I$2:$I$2459,$Z1302)</f>
        <v>1155.06</v>
      </c>
      <c r="Q1302" s="64" t="n">
        <f aca="false">INDEX(Datos_Origen!$J$2:$J$2459,$Z1302)</f>
        <v>766.32</v>
      </c>
      <c r="R1302" s="65" t="n">
        <f aca="false">ROUND($O1302*$P1302,2)</f>
        <v>18480.96</v>
      </c>
      <c r="S1302" s="65" t="n">
        <f aca="false">ROUND($O1302*$Q1302,2)</f>
        <v>12261.12</v>
      </c>
      <c r="T1302" s="65" t="n">
        <f aca="false">ROUND($R1302*SUMIFS(Parametros!$E$28:$E$43,Parametros!$B$28:$B$43,$J1302,Parametros!$C$28:$C$43,$C1302,Parametros!$D$28:$D$43,$D1302),2)</f>
        <v>240.25</v>
      </c>
      <c r="U1302" s="65" t="n">
        <f aca="false">$R1302-$S1302-$T1302</f>
        <v>5979.59</v>
      </c>
      <c r="V1302" s="66" t="n">
        <f aca="false">IFERROR($U1302/$R1302,0)</f>
        <v>0.323554079441761</v>
      </c>
      <c r="W1302" s="67" t="str">
        <f aca="false">IF(AND($V1302&gt;=Parametros!$C$8,$R1302&gt;=Parametros!$C$12),"Alta rentabilidad",IF(OR($V1302&lt;Parametros!$C$11,$R1302&lt;Parametros!$C$13),"Revisar","Estandar"))</f>
        <v>Estandar</v>
      </c>
      <c r="X1302" s="67" t="str">
        <f aca="false">IF(AND($J1302="E-commerce",IFERROR($T1302/$R1302,0)&gt;Parametros!$C$14),"Alerta","OK")</f>
        <v>OK</v>
      </c>
      <c r="Y1302" s="61" t="str">
        <f aca="false">IF($R1302&gt;=Parametros!$C$12,"Alto",IF($R1302&lt;Parametros!$C$13,"Bajo","Medio"))</f>
        <v>Alto</v>
      </c>
      <c r="Z1302" s="61" t="n">
        <v>1686</v>
      </c>
      <c r="AA1302" s="61" t="str">
        <f aca="false">IF(MATCH($A1302,Datos_Origen!$A$2:$A$2459,0)=$Z1302,"OK","REVISAR")</f>
        <v>OK</v>
      </c>
      <c r="AB1302" s="61" t="str">
        <f aca="false">INDEX(Datos_Origen!$B$2:$B$2459,$Z1302)</f>
        <v>09/02/2025</v>
      </c>
      <c r="AC1302" s="61" t="n">
        <f aca="false">INDEX(Datos_Origen!$H$2:$H$2459,$Z1302)</f>
        <v>16</v>
      </c>
      <c r="AD1302" s="61" t="str">
        <f aca="false">INDEX(Datos_Origen!$D$2:$D$2459,$Z1302)&amp;""</f>
        <v>Buenos Aires</v>
      </c>
    </row>
    <row r="1303" customFormat="false" ht="15" hidden="false" customHeight="false" outlineLevel="0" collapsed="false">
      <c r="A1303" s="61" t="n">
        <f aca="false">INDEX(Datos_Origen!$A$2:$A$2459,$Z1303)</f>
        <v>1302</v>
      </c>
      <c r="B1303" s="62" t="n">
        <f aca="false">IF(ISNUMBER($AB1303),$AB1303,IF(MID($AB1303,5,1)="-",DATE(VALUE(LEFT($AB1303,4)),VALUE(MID($AB1303,6,2)),VALUE(RIGHT($AB1303,2))),DATE(VALUE(RIGHT($AB1303,4)),VALUE(MID($AB1303,4,2)),VALUE(LEFT($AB1303,2)))))</f>
        <v>45704</v>
      </c>
      <c r="C1303" s="61" t="n">
        <f aca="false">YEAR($B1303)</f>
        <v>2025</v>
      </c>
      <c r="D1303" s="61" t="str">
        <f aca="false">"Q"&amp;ROUNDUP(MONTH($B1303)/3,0)</f>
        <v>Q1</v>
      </c>
      <c r="E1303" s="61" t="n">
        <f aca="false">MONTH($B1303)</f>
        <v>2</v>
      </c>
      <c r="F1303" s="61" t="str">
        <f aca="false">INDEX(Parametros!$I$5:$I$16,$E1303)</f>
        <v>Feb</v>
      </c>
      <c r="G1303" s="61" t="str">
        <f aca="false">TEXT($C1303,"0000")&amp;"-"&amp;TEXT($E1303,"00")</f>
        <v>2025-02</v>
      </c>
      <c r="H1303" s="61" t="str">
        <f aca="false">INDEX(Parametros!$C$71:$C$91,MATCH(TRIM(INDEX(Datos_Origen!$C$2:$C$2459,$Z1303)),Parametros!$B$71:$B$91,0))</f>
        <v>AMBA</v>
      </c>
      <c r="I1303" s="61" t="str">
        <f aca="false">IF(TRIM($AD1303)="",INDEX(Parametros!$I$20:$I$24,MATCH($H1303,Parametros!$H$20:$H$24,0)),TRIM($AD1303))</f>
        <v>Buenos Aires</v>
      </c>
      <c r="J1303" s="61" t="str">
        <f aca="false">INDEX(Parametros!$C$95:$C$106,MATCH(TRIM(INDEX(Datos_Origen!$E$2:$E$2459,$Z1303)),Parametros!$B$95:$B$106,0))</f>
        <v>E-commerce</v>
      </c>
      <c r="K1303" s="61" t="str">
        <f aca="false">INDEX(Parametros!$C$48:$C$67,MATCH(TRIM(INDEX(Datos_Origen!$F$2:$F$2459,$Z1303)),Parametros!$B$48:$B$67,0))</f>
        <v>Computacion</v>
      </c>
      <c r="L1303" s="61" t="str">
        <f aca="false">$K1303&amp;" "&amp;$C1303</f>
        <v>Computacion 2025</v>
      </c>
      <c r="M1303" s="61" t="str">
        <f aca="false">TRIM(INDEX(Datos_Origen!$G$2:$G$2459,$Z1303))</f>
        <v>Laptop Pro 15</v>
      </c>
      <c r="N1303" s="61" t="str">
        <f aca="false">$M1303&amp;" "&amp;$C1303</f>
        <v>Laptop Pro 15 2025</v>
      </c>
      <c r="O1303" s="63" t="n">
        <f aca="false">IF(ISTEXT($AC1303),VALUE($AC1303),$AC1303)</f>
        <v>13</v>
      </c>
      <c r="P1303" s="64" t="n">
        <f aca="false">INDEX(Datos_Origen!$I$2:$I$2459,$Z1303)</f>
        <v>1155.06</v>
      </c>
      <c r="Q1303" s="64" t="n">
        <f aca="false">INDEX(Datos_Origen!$J$2:$J$2459,$Z1303)</f>
        <v>766.32</v>
      </c>
      <c r="R1303" s="65" t="n">
        <f aca="false">ROUND($O1303*$P1303,2)</f>
        <v>15015.78</v>
      </c>
      <c r="S1303" s="65" t="n">
        <f aca="false">ROUND($O1303*$Q1303,2)</f>
        <v>9962.16</v>
      </c>
      <c r="T1303" s="65" t="n">
        <f aca="false">ROUND($R1303*SUMIFS(Parametros!$E$28:$E$43,Parametros!$B$28:$B$43,$J1303,Parametros!$C$28:$C$43,$C1303,Parametros!$D$28:$D$43,$D1303),2)</f>
        <v>1021.07</v>
      </c>
      <c r="U1303" s="65" t="n">
        <f aca="false">$R1303-$S1303-$T1303</f>
        <v>4032.55</v>
      </c>
      <c r="V1303" s="66" t="n">
        <f aca="false">IFERROR($U1303/$R1303,0)</f>
        <v>0.268554147703283</v>
      </c>
      <c r="W1303" s="67" t="str">
        <f aca="false">IF(AND($V1303&gt;=Parametros!$C$8,$R1303&gt;=Parametros!$C$12),"Alta rentabilidad",IF(OR($V1303&lt;Parametros!$C$11,$R1303&lt;Parametros!$C$13),"Revisar","Estandar"))</f>
        <v>Revisar</v>
      </c>
      <c r="X1303" s="67" t="str">
        <f aca="false">IF(AND($J1303="E-commerce",IFERROR($T1303/$R1303,0)&gt;Parametros!$C$14),"Alerta","OK")</f>
        <v>Alerta</v>
      </c>
      <c r="Y1303" s="61" t="str">
        <f aca="false">IF($R1303&gt;=Parametros!$C$12,"Alto",IF($R1303&lt;Parametros!$C$13,"Bajo","Medio"))</f>
        <v>Alto</v>
      </c>
      <c r="Z1303" s="61" t="n">
        <v>1589</v>
      </c>
      <c r="AA1303" s="61" t="str">
        <f aca="false">IF(MATCH($A1303,Datos_Origen!$A$2:$A$2459,0)=$Z1303,"OK","REVISAR")</f>
        <v>OK</v>
      </c>
      <c r="AB1303" s="62" t="n">
        <f aca="false">INDEX(Datos_Origen!$B$2:$B$2459,$Z1303)</f>
        <v>45704</v>
      </c>
      <c r="AC1303" s="61" t="n">
        <f aca="false">INDEX(Datos_Origen!$H$2:$H$2459,$Z1303)</f>
        <v>13</v>
      </c>
      <c r="AD1303" s="61" t="str">
        <f aca="false">INDEX(Datos_Origen!$D$2:$D$2459,$Z1303)&amp;""</f>
        <v>Buenos Aires</v>
      </c>
    </row>
    <row r="1304" customFormat="false" ht="15" hidden="false" customHeight="false" outlineLevel="0" collapsed="false">
      <c r="A1304" s="61" t="n">
        <f aca="false">INDEX(Datos_Origen!$A$2:$A$2459,$Z1304)</f>
        <v>1303</v>
      </c>
      <c r="B1304" s="62" t="n">
        <f aca="false">IF(ISNUMBER($AB1304),$AB1304,IF(MID($AB1304,5,1)="-",DATE(VALUE(LEFT($AB1304,4)),VALUE(MID($AB1304,6,2)),VALUE(RIGHT($AB1304,2))),DATE(VALUE(RIGHT($AB1304,4)),VALUE(MID($AB1304,4,2)),VALUE(LEFT($AB1304,2)))))</f>
        <v>45711</v>
      </c>
      <c r="C1304" s="61" t="n">
        <f aca="false">YEAR($B1304)</f>
        <v>2025</v>
      </c>
      <c r="D1304" s="61" t="str">
        <f aca="false">"Q"&amp;ROUNDUP(MONTH($B1304)/3,0)</f>
        <v>Q1</v>
      </c>
      <c r="E1304" s="61" t="n">
        <f aca="false">MONTH($B1304)</f>
        <v>2</v>
      </c>
      <c r="F1304" s="61" t="str">
        <f aca="false">INDEX(Parametros!$I$5:$I$16,$E1304)</f>
        <v>Feb</v>
      </c>
      <c r="G1304" s="61" t="str">
        <f aca="false">TEXT($C1304,"0000")&amp;"-"&amp;TEXT($E1304,"00")</f>
        <v>2025-02</v>
      </c>
      <c r="H1304" s="61" t="str">
        <f aca="false">INDEX(Parametros!$C$71:$C$91,MATCH(TRIM(INDEX(Datos_Origen!$C$2:$C$2459,$Z1304)),Parametros!$B$71:$B$91,0))</f>
        <v>AMBA</v>
      </c>
      <c r="I1304" s="61" t="str">
        <f aca="false">IF(TRIM($AD1304)="",INDEX(Parametros!$I$20:$I$24,MATCH($H1304,Parametros!$H$20:$H$24,0)),TRIM($AD1304))</f>
        <v>Buenos Aires</v>
      </c>
      <c r="J1304" s="61" t="str">
        <f aca="false">INDEX(Parametros!$C$95:$C$106,MATCH(TRIM(INDEX(Datos_Origen!$E$2:$E$2459,$Z1304)),Parametros!$B$95:$B$106,0))</f>
        <v>Tienda fisica</v>
      </c>
      <c r="K1304" s="61" t="str">
        <f aca="false">INDEX(Parametros!$C$48:$C$67,MATCH(TRIM(INDEX(Datos_Origen!$F$2:$F$2459,$Z1304)),Parametros!$B$48:$B$67,0))</f>
        <v>Computacion</v>
      </c>
      <c r="L1304" s="61" t="str">
        <f aca="false">$K1304&amp;" "&amp;$C1304</f>
        <v>Computacion 2025</v>
      </c>
      <c r="M1304" s="61" t="str">
        <f aca="false">TRIM(INDEX(Datos_Origen!$G$2:$G$2459,$Z1304))</f>
        <v>Monitor 4K 27</v>
      </c>
      <c r="N1304" s="61" t="str">
        <f aca="false">$M1304&amp;" "&amp;$C1304</f>
        <v>Monitor 4K 27 2025</v>
      </c>
      <c r="O1304" s="63" t="n">
        <f aca="false">IF(ISTEXT($AC1304),VALUE($AC1304),$AC1304)</f>
        <v>15</v>
      </c>
      <c r="P1304" s="64" t="n">
        <f aca="false">INDEX(Datos_Origen!$I$2:$I$2459,$Z1304)</f>
        <v>433.15</v>
      </c>
      <c r="Q1304" s="64" t="n">
        <f aca="false">INDEX(Datos_Origen!$J$2:$J$2459,$Z1304)</f>
        <v>280.42</v>
      </c>
      <c r="R1304" s="65" t="n">
        <f aca="false">ROUND($O1304*$P1304,2)</f>
        <v>6497.25</v>
      </c>
      <c r="S1304" s="65" t="n">
        <f aca="false">ROUND($O1304*$Q1304,2)</f>
        <v>4206.3</v>
      </c>
      <c r="T1304" s="65" t="n">
        <f aca="false">ROUND($R1304*SUMIFS(Parametros!$E$28:$E$43,Parametros!$B$28:$B$43,$J1304,Parametros!$C$28:$C$43,$C1304,Parametros!$D$28:$D$43,$D1304),2)</f>
        <v>84.46</v>
      </c>
      <c r="U1304" s="65" t="n">
        <f aca="false">$R1304-$S1304-$T1304</f>
        <v>2206.49</v>
      </c>
      <c r="V1304" s="66" t="n">
        <f aca="false">IFERROR($U1304/$R1304,0)</f>
        <v>0.339603678479357</v>
      </c>
      <c r="W1304" s="67" t="str">
        <f aca="false">IF(AND($V1304&gt;=Parametros!$C$8,$R1304&gt;=Parametros!$C$12),"Alta rentabilidad",IF(OR($V1304&lt;Parametros!$C$11,$R1304&lt;Parametros!$C$13),"Revisar","Estandar"))</f>
        <v>Estandar</v>
      </c>
      <c r="X1304" s="67" t="str">
        <f aca="false">IF(AND($J1304="E-commerce",IFERROR($T1304/$R1304,0)&gt;Parametros!$C$14),"Alerta","OK")</f>
        <v>OK</v>
      </c>
      <c r="Y1304" s="61" t="str">
        <f aca="false">IF($R1304&gt;=Parametros!$C$12,"Alto",IF($R1304&lt;Parametros!$C$13,"Bajo","Medio"))</f>
        <v>Alto</v>
      </c>
      <c r="Z1304" s="61" t="n">
        <v>1984</v>
      </c>
      <c r="AA1304" s="61" t="str">
        <f aca="false">IF(MATCH($A1304,Datos_Origen!$A$2:$A$2459,0)=$Z1304,"OK","REVISAR")</f>
        <v>OK</v>
      </c>
      <c r="AB1304" s="62" t="n">
        <f aca="false">INDEX(Datos_Origen!$B$2:$B$2459,$Z1304)</f>
        <v>45711</v>
      </c>
      <c r="AC1304" s="61" t="n">
        <f aca="false">INDEX(Datos_Origen!$H$2:$H$2459,$Z1304)</f>
        <v>15</v>
      </c>
      <c r="AD1304" s="61" t="str">
        <f aca="false">INDEX(Datos_Origen!$D$2:$D$2459,$Z1304)&amp;""</f>
        <v>Buenos Aires</v>
      </c>
    </row>
    <row r="1305" customFormat="false" ht="15" hidden="false" customHeight="false" outlineLevel="0" collapsed="false">
      <c r="A1305" s="61" t="n">
        <f aca="false">INDEX(Datos_Origen!$A$2:$A$2459,$Z1305)</f>
        <v>1304</v>
      </c>
      <c r="B1305" s="62" t="n">
        <f aca="false">IF(ISNUMBER($AB1305),$AB1305,IF(MID($AB1305,5,1)="-",DATE(VALUE(LEFT($AB1305,4)),VALUE(MID($AB1305,6,2)),VALUE(RIGHT($AB1305,2))),DATE(VALUE(RIGHT($AB1305,4)),VALUE(MID($AB1305,4,2)),VALUE(LEFT($AB1305,2)))))</f>
        <v>45691</v>
      </c>
      <c r="C1305" s="61" t="n">
        <f aca="false">YEAR($B1305)</f>
        <v>2025</v>
      </c>
      <c r="D1305" s="61" t="str">
        <f aca="false">"Q"&amp;ROUNDUP(MONTH($B1305)/3,0)</f>
        <v>Q1</v>
      </c>
      <c r="E1305" s="61" t="n">
        <f aca="false">MONTH($B1305)</f>
        <v>2</v>
      </c>
      <c r="F1305" s="61" t="str">
        <f aca="false">INDEX(Parametros!$I$5:$I$16,$E1305)</f>
        <v>Feb</v>
      </c>
      <c r="G1305" s="61" t="str">
        <f aca="false">TEXT($C1305,"0000")&amp;"-"&amp;TEXT($E1305,"00")</f>
        <v>2025-02</v>
      </c>
      <c r="H1305" s="61" t="str">
        <f aca="false">INDEX(Parametros!$C$71:$C$91,MATCH(TRIM(INDEX(Datos_Origen!$C$2:$C$2459,$Z1305)),Parametros!$B$71:$B$91,0))</f>
        <v>AMBA</v>
      </c>
      <c r="I1305" s="61" t="str">
        <f aca="false">IF(TRIM($AD1305)="",INDEX(Parametros!$I$20:$I$24,MATCH($H1305,Parametros!$H$20:$H$24,0)),TRIM($AD1305))</f>
        <v>Buenos Aires</v>
      </c>
      <c r="J1305" s="61" t="str">
        <f aca="false">INDEX(Parametros!$C$95:$C$106,MATCH(TRIM(INDEX(Datos_Origen!$E$2:$E$2459,$Z1305)),Parametros!$B$95:$B$106,0))</f>
        <v>E-commerce</v>
      </c>
      <c r="K1305" s="61" t="str">
        <f aca="false">INDEX(Parametros!$C$48:$C$67,MATCH(TRIM(INDEX(Datos_Origen!$F$2:$F$2459,$Z1305)),Parametros!$B$48:$B$67,0))</f>
        <v>Computacion</v>
      </c>
      <c r="L1305" s="61" t="str">
        <f aca="false">$K1305&amp;" "&amp;$C1305</f>
        <v>Computacion 2025</v>
      </c>
      <c r="M1305" s="61" t="str">
        <f aca="false">TRIM(INDEX(Datos_Origen!$G$2:$G$2459,$Z1305))</f>
        <v>Monitor 4K 27</v>
      </c>
      <c r="N1305" s="61" t="str">
        <f aca="false">$M1305&amp;" "&amp;$C1305</f>
        <v>Monitor 4K 27 2025</v>
      </c>
      <c r="O1305" s="63" t="n">
        <f aca="false">IF(ISTEXT($AC1305),VALUE($AC1305),$AC1305)</f>
        <v>12</v>
      </c>
      <c r="P1305" s="64" t="n">
        <f aca="false">INDEX(Datos_Origen!$I$2:$I$2459,$Z1305)</f>
        <v>433.15</v>
      </c>
      <c r="Q1305" s="64" t="n">
        <f aca="false">INDEX(Datos_Origen!$J$2:$J$2459,$Z1305)</f>
        <v>280.42</v>
      </c>
      <c r="R1305" s="65" t="n">
        <f aca="false">ROUND($O1305*$P1305,2)</f>
        <v>5197.8</v>
      </c>
      <c r="S1305" s="65" t="n">
        <f aca="false">ROUND($O1305*$Q1305,2)</f>
        <v>3365.04</v>
      </c>
      <c r="T1305" s="65" t="n">
        <f aca="false">ROUND($R1305*SUMIFS(Parametros!$E$28:$E$43,Parametros!$B$28:$B$43,$J1305,Parametros!$C$28:$C$43,$C1305,Parametros!$D$28:$D$43,$D1305),2)</f>
        <v>353.45</v>
      </c>
      <c r="U1305" s="65" t="n">
        <f aca="false">$R1305-$S1305-$T1305</f>
        <v>1479.31</v>
      </c>
      <c r="V1305" s="66" t="n">
        <f aca="false">IFERROR($U1305/$R1305,0)</f>
        <v>0.284603101312094</v>
      </c>
      <c r="W1305" s="67" t="str">
        <f aca="false">IF(AND($V1305&gt;=Parametros!$C$8,$R1305&gt;=Parametros!$C$12),"Alta rentabilidad",IF(OR($V1305&lt;Parametros!$C$11,$R1305&lt;Parametros!$C$13),"Revisar","Estandar"))</f>
        <v>Estandar</v>
      </c>
      <c r="X1305" s="67" t="str">
        <f aca="false">IF(AND($J1305="E-commerce",IFERROR($T1305/$R1305,0)&gt;Parametros!$C$14),"Alerta","OK")</f>
        <v>Alerta</v>
      </c>
      <c r="Y1305" s="61" t="str">
        <f aca="false">IF($R1305&gt;=Parametros!$C$12,"Alto",IF($R1305&lt;Parametros!$C$13,"Bajo","Medio"))</f>
        <v>Alto</v>
      </c>
      <c r="Z1305" s="61" t="n">
        <v>2033</v>
      </c>
      <c r="AA1305" s="61" t="str">
        <f aca="false">IF(MATCH($A1305,Datos_Origen!$A$2:$A$2459,0)=$Z1305,"OK","REVISAR")</f>
        <v>OK</v>
      </c>
      <c r="AB1305" s="62" t="n">
        <f aca="false">INDEX(Datos_Origen!$B$2:$B$2459,$Z1305)</f>
        <v>45691</v>
      </c>
      <c r="AC1305" s="61" t="n">
        <f aca="false">INDEX(Datos_Origen!$H$2:$H$2459,$Z1305)</f>
        <v>12</v>
      </c>
      <c r="AD1305" s="61" t="str">
        <f aca="false">INDEX(Datos_Origen!$D$2:$D$2459,$Z1305)&amp;""</f>
        <v>Buenos Aires</v>
      </c>
    </row>
    <row r="1306" customFormat="false" ht="15" hidden="false" customHeight="false" outlineLevel="0" collapsed="false">
      <c r="A1306" s="61" t="n">
        <f aca="false">INDEX(Datos_Origen!$A$2:$A$2459,$Z1306)</f>
        <v>1305</v>
      </c>
      <c r="B1306" s="62" t="n">
        <f aca="false">IF(ISNUMBER($AB1306),$AB1306,IF(MID($AB1306,5,1)="-",DATE(VALUE(LEFT($AB1306,4)),VALUE(MID($AB1306,6,2)),VALUE(RIGHT($AB1306,2))),DATE(VALUE(RIGHT($AB1306,4)),VALUE(MID($AB1306,4,2)),VALUE(LEFT($AB1306,2)))))</f>
        <v>45698</v>
      </c>
      <c r="C1306" s="61" t="n">
        <f aca="false">YEAR($B1306)</f>
        <v>2025</v>
      </c>
      <c r="D1306" s="61" t="str">
        <f aca="false">"Q"&amp;ROUNDUP(MONTH($B1306)/3,0)</f>
        <v>Q1</v>
      </c>
      <c r="E1306" s="61" t="n">
        <f aca="false">MONTH($B1306)</f>
        <v>2</v>
      </c>
      <c r="F1306" s="61" t="str">
        <f aca="false">INDEX(Parametros!$I$5:$I$16,$E1306)</f>
        <v>Feb</v>
      </c>
      <c r="G1306" s="61" t="str">
        <f aca="false">TEXT($C1306,"0000")&amp;"-"&amp;TEXT($E1306,"00")</f>
        <v>2025-02</v>
      </c>
      <c r="H1306" s="61" t="str">
        <f aca="false">INDEX(Parametros!$C$71:$C$91,MATCH(TRIM(INDEX(Datos_Origen!$C$2:$C$2459,$Z1306)),Parametros!$B$71:$B$91,0))</f>
        <v>AMBA</v>
      </c>
      <c r="I1306" s="61" t="str">
        <f aca="false">IF(TRIM($AD1306)="",INDEX(Parametros!$I$20:$I$24,MATCH($H1306,Parametros!$H$20:$H$24,0)),TRIM($AD1306))</f>
        <v>Buenos Aires</v>
      </c>
      <c r="J1306" s="61" t="str">
        <f aca="false">INDEX(Parametros!$C$95:$C$106,MATCH(TRIM(INDEX(Datos_Origen!$E$2:$E$2459,$Z1306)),Parametros!$B$95:$B$106,0))</f>
        <v>Tienda fisica</v>
      </c>
      <c r="K1306" s="61" t="str">
        <f aca="false">INDEX(Parametros!$C$48:$C$67,MATCH(TRIM(INDEX(Datos_Origen!$F$2:$F$2459,$Z1306)),Parametros!$B$48:$B$67,0))</f>
        <v>Computacion</v>
      </c>
      <c r="L1306" s="61" t="str">
        <f aca="false">$K1306&amp;" "&amp;$C1306</f>
        <v>Computacion 2025</v>
      </c>
      <c r="M1306" s="61" t="str">
        <f aca="false">TRIM(INDEX(Datos_Origen!$G$2:$G$2459,$Z1306))</f>
        <v>PC Gamer Ryzen</v>
      </c>
      <c r="N1306" s="61" t="str">
        <f aca="false">$M1306&amp;" "&amp;$C1306</f>
        <v>PC Gamer Ryzen 2025</v>
      </c>
      <c r="O1306" s="63" t="n">
        <f aca="false">IF(ISTEXT($AC1306),VALUE($AC1306),$AC1306)</f>
        <v>19</v>
      </c>
      <c r="P1306" s="64" t="n">
        <f aca="false">INDEX(Datos_Origen!$I$2:$I$2459,$Z1306)</f>
        <v>1588.21</v>
      </c>
      <c r="Q1306" s="64" t="n">
        <f aca="false">INDEX(Datos_Origen!$J$2:$J$2459,$Z1306)</f>
        <v>1155.66</v>
      </c>
      <c r="R1306" s="65" t="n">
        <f aca="false">ROUND($O1306*$P1306,2)</f>
        <v>30175.99</v>
      </c>
      <c r="S1306" s="65" t="n">
        <f aca="false">ROUND($O1306*$Q1306,2)</f>
        <v>21957.54</v>
      </c>
      <c r="T1306" s="65" t="n">
        <f aca="false">ROUND($R1306*SUMIFS(Parametros!$E$28:$E$43,Parametros!$B$28:$B$43,$J1306,Parametros!$C$28:$C$43,$C1306,Parametros!$D$28:$D$43,$D1306),2)</f>
        <v>392.29</v>
      </c>
      <c r="U1306" s="65" t="n">
        <f aca="false">$R1306-$S1306-$T1306</f>
        <v>7826.16</v>
      </c>
      <c r="V1306" s="66" t="n">
        <f aca="false">IFERROR($U1306/$R1306,0)</f>
        <v>0.259350563146396</v>
      </c>
      <c r="W1306" s="67" t="str">
        <f aca="false">IF(AND($V1306&gt;=Parametros!$C$8,$R1306&gt;=Parametros!$C$12),"Alta rentabilidad",IF(OR($V1306&lt;Parametros!$C$11,$R1306&lt;Parametros!$C$13),"Revisar","Estandar"))</f>
        <v>Revisar</v>
      </c>
      <c r="X1306" s="67" t="str">
        <f aca="false">IF(AND($J1306="E-commerce",IFERROR($T1306/$R1306,0)&gt;Parametros!$C$14),"Alerta","OK")</f>
        <v>OK</v>
      </c>
      <c r="Y1306" s="61" t="str">
        <f aca="false">IF($R1306&gt;=Parametros!$C$12,"Alto",IF($R1306&lt;Parametros!$C$13,"Bajo","Medio"))</f>
        <v>Alto</v>
      </c>
      <c r="Z1306" s="61" t="n">
        <v>361</v>
      </c>
      <c r="AA1306" s="61" t="str">
        <f aca="false">IF(MATCH($A1306,Datos_Origen!$A$2:$A$2459,0)=$Z1306,"OK","REVISAR")</f>
        <v>OK</v>
      </c>
      <c r="AB1306" s="61" t="str">
        <f aca="false">INDEX(Datos_Origen!$B$2:$B$2459,$Z1306)</f>
        <v>10/02/2025</v>
      </c>
      <c r="AC1306" s="61" t="n">
        <f aca="false">INDEX(Datos_Origen!$H$2:$H$2459,$Z1306)</f>
        <v>19</v>
      </c>
      <c r="AD1306" s="61" t="str">
        <f aca="false">INDEX(Datos_Origen!$D$2:$D$2459,$Z1306)&amp;""</f>
        <v>Buenos Aires</v>
      </c>
    </row>
    <row r="1307" customFormat="false" ht="15" hidden="false" customHeight="false" outlineLevel="0" collapsed="false">
      <c r="A1307" s="61" t="n">
        <f aca="false">INDEX(Datos_Origen!$A$2:$A$2459,$Z1307)</f>
        <v>1306</v>
      </c>
      <c r="B1307" s="62" t="n">
        <f aca="false">IF(ISNUMBER($AB1307),$AB1307,IF(MID($AB1307,5,1)="-",DATE(VALUE(LEFT($AB1307,4)),VALUE(MID($AB1307,6,2)),VALUE(RIGHT($AB1307,2))),DATE(VALUE(RIGHT($AB1307,4)),VALUE(MID($AB1307,4,2)),VALUE(LEFT($AB1307,2)))))</f>
        <v>45705</v>
      </c>
      <c r="C1307" s="61" t="n">
        <f aca="false">YEAR($B1307)</f>
        <v>2025</v>
      </c>
      <c r="D1307" s="61" t="str">
        <f aca="false">"Q"&amp;ROUNDUP(MONTH($B1307)/3,0)</f>
        <v>Q1</v>
      </c>
      <c r="E1307" s="61" t="n">
        <f aca="false">MONTH($B1307)</f>
        <v>2</v>
      </c>
      <c r="F1307" s="61" t="str">
        <f aca="false">INDEX(Parametros!$I$5:$I$16,$E1307)</f>
        <v>Feb</v>
      </c>
      <c r="G1307" s="61" t="str">
        <f aca="false">TEXT($C1307,"0000")&amp;"-"&amp;TEXT($E1307,"00")</f>
        <v>2025-02</v>
      </c>
      <c r="H1307" s="61" t="str">
        <f aca="false">INDEX(Parametros!$C$71:$C$91,MATCH(TRIM(INDEX(Datos_Origen!$C$2:$C$2459,$Z1307)),Parametros!$B$71:$B$91,0))</f>
        <v>AMBA</v>
      </c>
      <c r="I1307" s="61" t="str">
        <f aca="false">IF(TRIM($AD1307)="",INDEX(Parametros!$I$20:$I$24,MATCH($H1307,Parametros!$H$20:$H$24,0)),TRIM($AD1307))</f>
        <v>Buenos Aires</v>
      </c>
      <c r="J1307" s="61" t="str">
        <f aca="false">INDEX(Parametros!$C$95:$C$106,MATCH(TRIM(INDEX(Datos_Origen!$E$2:$E$2459,$Z1307)),Parametros!$B$95:$B$106,0))</f>
        <v>E-commerce</v>
      </c>
      <c r="K1307" s="61" t="str">
        <f aca="false">INDEX(Parametros!$C$48:$C$67,MATCH(TRIM(INDEX(Datos_Origen!$F$2:$F$2459,$Z1307)),Parametros!$B$48:$B$67,0))</f>
        <v>Computacion</v>
      </c>
      <c r="L1307" s="61" t="str">
        <f aca="false">$K1307&amp;" "&amp;$C1307</f>
        <v>Computacion 2025</v>
      </c>
      <c r="M1307" s="61" t="str">
        <f aca="false">TRIM(INDEX(Datos_Origen!$G$2:$G$2459,$Z1307))</f>
        <v>PC Gamer Ryzen</v>
      </c>
      <c r="N1307" s="61" t="str">
        <f aca="false">$M1307&amp;" "&amp;$C1307</f>
        <v>PC Gamer Ryzen 2025</v>
      </c>
      <c r="O1307" s="63" t="n">
        <f aca="false">IF(ISTEXT($AC1307),VALUE($AC1307),$AC1307)</f>
        <v>10</v>
      </c>
      <c r="P1307" s="64" t="n">
        <f aca="false">INDEX(Datos_Origen!$I$2:$I$2459,$Z1307)</f>
        <v>1588.21</v>
      </c>
      <c r="Q1307" s="64" t="n">
        <f aca="false">INDEX(Datos_Origen!$J$2:$J$2459,$Z1307)</f>
        <v>1155.66</v>
      </c>
      <c r="R1307" s="65" t="n">
        <f aca="false">ROUND($O1307*$P1307,2)</f>
        <v>15882.1</v>
      </c>
      <c r="S1307" s="65" t="n">
        <f aca="false">ROUND($O1307*$Q1307,2)</f>
        <v>11556.6</v>
      </c>
      <c r="T1307" s="65" t="n">
        <f aca="false">ROUND($R1307*SUMIFS(Parametros!$E$28:$E$43,Parametros!$B$28:$B$43,$J1307,Parametros!$C$28:$C$43,$C1307,Parametros!$D$28:$D$43,$D1307),2)</f>
        <v>1079.98</v>
      </c>
      <c r="U1307" s="65" t="n">
        <f aca="false">$R1307-$S1307-$T1307</f>
        <v>3245.52</v>
      </c>
      <c r="V1307" s="66" t="n">
        <f aca="false">IFERROR($U1307/$R1307,0)</f>
        <v>0.204350810031419</v>
      </c>
      <c r="W1307" s="67" t="str">
        <f aca="false">IF(AND($V1307&gt;=Parametros!$C$8,$R1307&gt;=Parametros!$C$12),"Alta rentabilidad",IF(OR($V1307&lt;Parametros!$C$11,$R1307&lt;Parametros!$C$13),"Revisar","Estandar"))</f>
        <v>Revisar</v>
      </c>
      <c r="X1307" s="67" t="str">
        <f aca="false">IF(AND($J1307="E-commerce",IFERROR($T1307/$R1307,0)&gt;Parametros!$C$14),"Alerta","OK")</f>
        <v>Alerta</v>
      </c>
      <c r="Y1307" s="61" t="str">
        <f aca="false">IF($R1307&gt;=Parametros!$C$12,"Alto",IF($R1307&lt;Parametros!$C$13,"Bajo","Medio"))</f>
        <v>Alto</v>
      </c>
      <c r="Z1307" s="61" t="n">
        <v>1379</v>
      </c>
      <c r="AA1307" s="61" t="str">
        <f aca="false">IF(MATCH($A1307,Datos_Origen!$A$2:$A$2459,0)=$Z1307,"OK","REVISAR")</f>
        <v>OK</v>
      </c>
      <c r="AB1307" s="62" t="n">
        <f aca="false">INDEX(Datos_Origen!$B$2:$B$2459,$Z1307)</f>
        <v>45705</v>
      </c>
      <c r="AC1307" s="61" t="n">
        <f aca="false">INDEX(Datos_Origen!$H$2:$H$2459,$Z1307)</f>
        <v>10</v>
      </c>
      <c r="AD1307" s="61" t="str">
        <f aca="false">INDEX(Datos_Origen!$D$2:$D$2459,$Z1307)&amp;""</f>
        <v>Buenos Aires</v>
      </c>
    </row>
    <row r="1308" customFormat="false" ht="15" hidden="false" customHeight="false" outlineLevel="0" collapsed="false">
      <c r="A1308" s="61" t="n">
        <f aca="false">INDEX(Datos_Origen!$A$2:$A$2459,$Z1308)</f>
        <v>1307</v>
      </c>
      <c r="B1308" s="62" t="n">
        <f aca="false">IF(ISNUMBER($AB1308),$AB1308,IF(MID($AB1308,5,1)="-",DATE(VALUE(LEFT($AB1308,4)),VALUE(MID($AB1308,6,2)),VALUE(RIGHT($AB1308,2))),DATE(VALUE(RIGHT($AB1308,4)),VALUE(MID($AB1308,4,2)),VALUE(LEFT($AB1308,2)))))</f>
        <v>45712</v>
      </c>
      <c r="C1308" s="61" t="n">
        <f aca="false">YEAR($B1308)</f>
        <v>2025</v>
      </c>
      <c r="D1308" s="61" t="str">
        <f aca="false">"Q"&amp;ROUNDUP(MONTH($B1308)/3,0)</f>
        <v>Q1</v>
      </c>
      <c r="E1308" s="61" t="n">
        <f aca="false">MONTH($B1308)</f>
        <v>2</v>
      </c>
      <c r="F1308" s="61" t="str">
        <f aca="false">INDEX(Parametros!$I$5:$I$16,$E1308)</f>
        <v>Feb</v>
      </c>
      <c r="G1308" s="61" t="str">
        <f aca="false">TEXT($C1308,"0000")&amp;"-"&amp;TEXT($E1308,"00")</f>
        <v>2025-02</v>
      </c>
      <c r="H1308" s="61" t="str">
        <f aca="false">INDEX(Parametros!$C$71:$C$91,MATCH(TRIM(INDEX(Datos_Origen!$C$2:$C$2459,$Z1308)),Parametros!$B$71:$B$91,0))</f>
        <v>AMBA</v>
      </c>
      <c r="I1308" s="61" t="str">
        <f aca="false">IF(TRIM($AD1308)="",INDEX(Parametros!$I$20:$I$24,MATCH($H1308,Parametros!$H$20:$H$24,0)),TRIM($AD1308))</f>
        <v>Buenos Aires</v>
      </c>
      <c r="J1308" s="61" t="str">
        <f aca="false">INDEX(Parametros!$C$95:$C$106,MATCH(TRIM(INDEX(Datos_Origen!$E$2:$E$2459,$Z1308)),Parametros!$B$95:$B$106,0))</f>
        <v>Tienda fisica</v>
      </c>
      <c r="K1308" s="61" t="str">
        <f aca="false">INDEX(Parametros!$C$48:$C$67,MATCH(TRIM(INDEX(Datos_Origen!$F$2:$F$2459,$Z1308)),Parametros!$B$48:$B$67,0))</f>
        <v>Accesorios</v>
      </c>
      <c r="L1308" s="61" t="str">
        <f aca="false">$K1308&amp;" "&amp;$C1308</f>
        <v>Accesorios 2025</v>
      </c>
      <c r="M1308" s="61" t="str">
        <f aca="false">TRIM(INDEX(Datos_Origen!$G$2:$G$2459,$Z1308))</f>
        <v>Mouse Inalambrico</v>
      </c>
      <c r="N1308" s="61" t="str">
        <f aca="false">$M1308&amp;" "&amp;$C1308</f>
        <v>Mouse Inalambrico 2025</v>
      </c>
      <c r="O1308" s="63" t="n">
        <f aca="false">IF(ISTEXT($AC1308),VALUE($AC1308),$AC1308)</f>
        <v>87</v>
      </c>
      <c r="P1308" s="64" t="n">
        <f aca="false">INDEX(Datos_Origen!$I$2:$I$2459,$Z1308)</f>
        <v>27.82</v>
      </c>
      <c r="Q1308" s="64" t="n">
        <f aca="false">INDEX(Datos_Origen!$J$2:$J$2459,$Z1308)</f>
        <v>13.84</v>
      </c>
      <c r="R1308" s="65" t="n">
        <f aca="false">ROUND($O1308*$P1308,2)</f>
        <v>2420.34</v>
      </c>
      <c r="S1308" s="65" t="n">
        <f aca="false">ROUND($O1308*$Q1308,2)</f>
        <v>1204.08</v>
      </c>
      <c r="T1308" s="65" t="n">
        <f aca="false">ROUND($R1308*SUMIFS(Parametros!$E$28:$E$43,Parametros!$B$28:$B$43,$J1308,Parametros!$C$28:$C$43,$C1308,Parametros!$D$28:$D$43,$D1308),2)</f>
        <v>31.46</v>
      </c>
      <c r="U1308" s="65" t="n">
        <f aca="false">$R1308-$S1308-$T1308</f>
        <v>1184.8</v>
      </c>
      <c r="V1308" s="66" t="n">
        <f aca="false">IFERROR($U1308/$R1308,0)</f>
        <v>0.489518001603081</v>
      </c>
      <c r="W1308" s="67" t="str">
        <f aca="false">IF(AND($V1308&gt;=Parametros!$C$8,$R1308&gt;=Parametros!$C$12),"Alta rentabilidad",IF(OR($V1308&lt;Parametros!$C$11,$R1308&lt;Parametros!$C$13),"Revisar","Estandar"))</f>
        <v>Estandar</v>
      </c>
      <c r="X1308" s="67" t="str">
        <f aca="false">IF(AND($J1308="E-commerce",IFERROR($T1308/$R1308,0)&gt;Parametros!$C$14),"Alerta","OK")</f>
        <v>OK</v>
      </c>
      <c r="Y1308" s="61" t="str">
        <f aca="false">IF($R1308&gt;=Parametros!$C$12,"Alto",IF($R1308&lt;Parametros!$C$13,"Bajo","Medio"))</f>
        <v>Medio</v>
      </c>
      <c r="Z1308" s="61" t="n">
        <v>534</v>
      </c>
      <c r="AA1308" s="61" t="str">
        <f aca="false">IF(MATCH($A1308,Datos_Origen!$A$2:$A$2459,0)=$Z1308,"OK","REVISAR")</f>
        <v>OK</v>
      </c>
      <c r="AB1308" s="61" t="str">
        <f aca="false">INDEX(Datos_Origen!$B$2:$B$2459,$Z1308)</f>
        <v>24/02/2025</v>
      </c>
      <c r="AC1308" s="61" t="n">
        <f aca="false">INDEX(Datos_Origen!$H$2:$H$2459,$Z1308)</f>
        <v>87</v>
      </c>
      <c r="AD1308" s="61" t="str">
        <f aca="false">INDEX(Datos_Origen!$D$2:$D$2459,$Z1308)&amp;""</f>
        <v>Buenos Aires</v>
      </c>
    </row>
    <row r="1309" customFormat="false" ht="15" hidden="false" customHeight="false" outlineLevel="0" collapsed="false">
      <c r="A1309" s="61" t="n">
        <f aca="false">INDEX(Datos_Origen!$A$2:$A$2459,$Z1309)</f>
        <v>1308</v>
      </c>
      <c r="B1309" s="62" t="n">
        <f aca="false">IF(ISNUMBER($AB1309),$AB1309,IF(MID($AB1309,5,1)="-",DATE(VALUE(LEFT($AB1309,4)),VALUE(MID($AB1309,6,2)),VALUE(RIGHT($AB1309,2))),DATE(VALUE(RIGHT($AB1309,4)),VALUE(MID($AB1309,4,2)),VALUE(LEFT($AB1309,2)))))</f>
        <v>45692</v>
      </c>
      <c r="C1309" s="61" t="n">
        <f aca="false">YEAR($B1309)</f>
        <v>2025</v>
      </c>
      <c r="D1309" s="61" t="str">
        <f aca="false">"Q"&amp;ROUNDUP(MONTH($B1309)/3,0)</f>
        <v>Q1</v>
      </c>
      <c r="E1309" s="61" t="n">
        <f aca="false">MONTH($B1309)</f>
        <v>2</v>
      </c>
      <c r="F1309" s="61" t="str">
        <f aca="false">INDEX(Parametros!$I$5:$I$16,$E1309)</f>
        <v>Feb</v>
      </c>
      <c r="G1309" s="61" t="str">
        <f aca="false">TEXT($C1309,"0000")&amp;"-"&amp;TEXT($E1309,"00")</f>
        <v>2025-02</v>
      </c>
      <c r="H1309" s="61" t="str">
        <f aca="false">INDEX(Parametros!$C$71:$C$91,MATCH(TRIM(INDEX(Datos_Origen!$C$2:$C$2459,$Z1309)),Parametros!$B$71:$B$91,0))</f>
        <v>AMBA</v>
      </c>
      <c r="I1309" s="61" t="str">
        <f aca="false">IF(TRIM($AD1309)="",INDEX(Parametros!$I$20:$I$24,MATCH($H1309,Parametros!$H$20:$H$24,0)),TRIM($AD1309))</f>
        <v>Buenos Aires</v>
      </c>
      <c r="J1309" s="61" t="str">
        <f aca="false">INDEX(Parametros!$C$95:$C$106,MATCH(TRIM(INDEX(Datos_Origen!$E$2:$E$2459,$Z1309)),Parametros!$B$95:$B$106,0))</f>
        <v>E-commerce</v>
      </c>
      <c r="K1309" s="61" t="str">
        <f aca="false">INDEX(Parametros!$C$48:$C$67,MATCH(TRIM(INDEX(Datos_Origen!$F$2:$F$2459,$Z1309)),Parametros!$B$48:$B$67,0))</f>
        <v>Accesorios</v>
      </c>
      <c r="L1309" s="61" t="str">
        <f aca="false">$K1309&amp;" "&amp;$C1309</f>
        <v>Accesorios 2025</v>
      </c>
      <c r="M1309" s="61" t="str">
        <f aca="false">TRIM(INDEX(Datos_Origen!$G$2:$G$2459,$Z1309))</f>
        <v>Mouse Inalambrico</v>
      </c>
      <c r="N1309" s="61" t="str">
        <f aca="false">$M1309&amp;" "&amp;$C1309</f>
        <v>Mouse Inalambrico 2025</v>
      </c>
      <c r="O1309" s="63" t="n">
        <f aca="false">IF(ISTEXT($AC1309),VALUE($AC1309),$AC1309)</f>
        <v>43</v>
      </c>
      <c r="P1309" s="64" t="n">
        <f aca="false">INDEX(Datos_Origen!$I$2:$I$2459,$Z1309)</f>
        <v>27.82</v>
      </c>
      <c r="Q1309" s="64" t="n">
        <f aca="false">INDEX(Datos_Origen!$J$2:$J$2459,$Z1309)</f>
        <v>13.84</v>
      </c>
      <c r="R1309" s="65" t="n">
        <f aca="false">ROUND($O1309*$P1309,2)</f>
        <v>1196.26</v>
      </c>
      <c r="S1309" s="65" t="n">
        <f aca="false">ROUND($O1309*$Q1309,2)</f>
        <v>595.12</v>
      </c>
      <c r="T1309" s="65" t="n">
        <f aca="false">ROUND($R1309*SUMIFS(Parametros!$E$28:$E$43,Parametros!$B$28:$B$43,$J1309,Parametros!$C$28:$C$43,$C1309,Parametros!$D$28:$D$43,$D1309),2)</f>
        <v>81.35</v>
      </c>
      <c r="U1309" s="65" t="n">
        <f aca="false">$R1309-$S1309-$T1309</f>
        <v>519.79</v>
      </c>
      <c r="V1309" s="66" t="n">
        <f aca="false">IFERROR($U1309/$R1309,0)</f>
        <v>0.434512564158293</v>
      </c>
      <c r="W1309" s="67" t="str">
        <f aca="false">IF(AND($V1309&gt;=Parametros!$C$8,$R1309&gt;=Parametros!$C$12),"Alta rentabilidad",IF(OR($V1309&lt;Parametros!$C$11,$R1309&lt;Parametros!$C$13),"Revisar","Estandar"))</f>
        <v>Estandar</v>
      </c>
      <c r="X1309" s="67" t="str">
        <f aca="false">IF(AND($J1309="E-commerce",IFERROR($T1309/$R1309,0)&gt;Parametros!$C$14),"Alerta","OK")</f>
        <v>Alerta</v>
      </c>
      <c r="Y1309" s="61" t="str">
        <f aca="false">IF($R1309&gt;=Parametros!$C$12,"Alto",IF($R1309&lt;Parametros!$C$13,"Bajo","Medio"))</f>
        <v>Medio</v>
      </c>
      <c r="Z1309" s="61" t="n">
        <v>719</v>
      </c>
      <c r="AA1309" s="61" t="str">
        <f aca="false">IF(MATCH($A1309,Datos_Origen!$A$2:$A$2459,0)=$Z1309,"OK","REVISAR")</f>
        <v>OK</v>
      </c>
      <c r="AB1309" s="62" t="n">
        <f aca="false">INDEX(Datos_Origen!$B$2:$B$2459,$Z1309)</f>
        <v>45692</v>
      </c>
      <c r="AC1309" s="61" t="n">
        <f aca="false">INDEX(Datos_Origen!$H$2:$H$2459,$Z1309)</f>
        <v>43</v>
      </c>
      <c r="AD1309" s="61" t="str">
        <f aca="false">INDEX(Datos_Origen!$D$2:$D$2459,$Z1309)&amp;""</f>
        <v>Buenos Aires</v>
      </c>
    </row>
    <row r="1310" customFormat="false" ht="15" hidden="false" customHeight="false" outlineLevel="0" collapsed="false">
      <c r="A1310" s="61" t="n">
        <f aca="false">INDEX(Datos_Origen!$A$2:$A$2459,$Z1310)</f>
        <v>1309</v>
      </c>
      <c r="B1310" s="62" t="n">
        <f aca="false">IF(ISNUMBER($AB1310),$AB1310,IF(MID($AB1310,5,1)="-",DATE(VALUE(LEFT($AB1310,4)),VALUE(MID($AB1310,6,2)),VALUE(RIGHT($AB1310,2))),DATE(VALUE(RIGHT($AB1310,4)),VALUE(MID($AB1310,4,2)),VALUE(LEFT($AB1310,2)))))</f>
        <v>45699</v>
      </c>
      <c r="C1310" s="61" t="n">
        <f aca="false">YEAR($B1310)</f>
        <v>2025</v>
      </c>
      <c r="D1310" s="61" t="str">
        <f aca="false">"Q"&amp;ROUNDUP(MONTH($B1310)/3,0)</f>
        <v>Q1</v>
      </c>
      <c r="E1310" s="61" t="n">
        <f aca="false">MONTH($B1310)</f>
        <v>2</v>
      </c>
      <c r="F1310" s="61" t="str">
        <f aca="false">INDEX(Parametros!$I$5:$I$16,$E1310)</f>
        <v>Feb</v>
      </c>
      <c r="G1310" s="61" t="str">
        <f aca="false">TEXT($C1310,"0000")&amp;"-"&amp;TEXT($E1310,"00")</f>
        <v>2025-02</v>
      </c>
      <c r="H1310" s="61" t="str">
        <f aca="false">INDEX(Parametros!$C$71:$C$91,MATCH(TRIM(INDEX(Datos_Origen!$C$2:$C$2459,$Z1310)),Parametros!$B$71:$B$91,0))</f>
        <v>AMBA</v>
      </c>
      <c r="I1310" s="61" t="str">
        <f aca="false">IF(TRIM($AD1310)="",INDEX(Parametros!$I$20:$I$24,MATCH($H1310,Parametros!$H$20:$H$24,0)),TRIM($AD1310))</f>
        <v>Buenos Aires</v>
      </c>
      <c r="J1310" s="61" t="str">
        <f aca="false">INDEX(Parametros!$C$95:$C$106,MATCH(TRIM(INDEX(Datos_Origen!$E$2:$E$2459,$Z1310)),Parametros!$B$95:$B$106,0))</f>
        <v>Tienda fisica</v>
      </c>
      <c r="K1310" s="61" t="str">
        <f aca="false">INDEX(Parametros!$C$48:$C$67,MATCH(TRIM(INDEX(Datos_Origen!$F$2:$F$2459,$Z1310)),Parametros!$B$48:$B$67,0))</f>
        <v>Accesorios</v>
      </c>
      <c r="L1310" s="61" t="str">
        <f aca="false">$K1310&amp;" "&amp;$C1310</f>
        <v>Accesorios 2025</v>
      </c>
      <c r="M1310" s="61" t="str">
        <f aca="false">TRIM(INDEX(Datos_Origen!$G$2:$G$2459,$Z1310))</f>
        <v>Teclado Mecanico</v>
      </c>
      <c r="N1310" s="61" t="str">
        <f aca="false">$M1310&amp;" "&amp;$C1310</f>
        <v>Teclado Mecanico 2025</v>
      </c>
      <c r="O1310" s="63" t="n">
        <f aca="false">IF(ISTEXT($AC1310),VALUE($AC1310),$AC1310)</f>
        <v>83</v>
      </c>
      <c r="P1310" s="64" t="n">
        <f aca="false">INDEX(Datos_Origen!$I$2:$I$2459,$Z1310)</f>
        <v>94.39</v>
      </c>
      <c r="Q1310" s="64" t="n">
        <f aca="false">INDEX(Datos_Origen!$J$2:$J$2459,$Z1310)</f>
        <v>49.41</v>
      </c>
      <c r="R1310" s="65" t="n">
        <f aca="false">ROUND($O1310*$P1310,2)</f>
        <v>7834.37</v>
      </c>
      <c r="S1310" s="65" t="n">
        <f aca="false">ROUND($O1310*$Q1310,2)</f>
        <v>4101.03</v>
      </c>
      <c r="T1310" s="65" t="n">
        <f aca="false">ROUND($R1310*SUMIFS(Parametros!$E$28:$E$43,Parametros!$B$28:$B$43,$J1310,Parametros!$C$28:$C$43,$C1310,Parametros!$D$28:$D$43,$D1310),2)</f>
        <v>101.85</v>
      </c>
      <c r="U1310" s="65" t="n">
        <f aca="false">$R1310-$S1310-$T1310</f>
        <v>3631.49</v>
      </c>
      <c r="V1310" s="66" t="n">
        <f aca="false">IFERROR($U1310/$R1310,0)</f>
        <v>0.463533123914239</v>
      </c>
      <c r="W1310" s="67" t="str">
        <f aca="false">IF(AND($V1310&gt;=Parametros!$C$8,$R1310&gt;=Parametros!$C$12),"Alta rentabilidad",IF(OR($V1310&lt;Parametros!$C$11,$R1310&lt;Parametros!$C$13),"Revisar","Estandar"))</f>
        <v>Alta rentabilidad</v>
      </c>
      <c r="X1310" s="67" t="str">
        <f aca="false">IF(AND($J1310="E-commerce",IFERROR($T1310/$R1310,0)&gt;Parametros!$C$14),"Alerta","OK")</f>
        <v>OK</v>
      </c>
      <c r="Y1310" s="61" t="str">
        <f aca="false">IF($R1310&gt;=Parametros!$C$12,"Alto",IF($R1310&lt;Parametros!$C$13,"Bajo","Medio"))</f>
        <v>Alto</v>
      </c>
      <c r="Z1310" s="61" t="n">
        <v>660</v>
      </c>
      <c r="AA1310" s="61" t="str">
        <f aca="false">IF(MATCH($A1310,Datos_Origen!$A$2:$A$2459,0)=$Z1310,"OK","REVISAR")</f>
        <v>OK</v>
      </c>
      <c r="AB1310" s="62" t="n">
        <f aca="false">INDEX(Datos_Origen!$B$2:$B$2459,$Z1310)</f>
        <v>45699</v>
      </c>
      <c r="AC1310" s="61" t="n">
        <f aca="false">INDEX(Datos_Origen!$H$2:$H$2459,$Z1310)</f>
        <v>83</v>
      </c>
      <c r="AD1310" s="61" t="str">
        <f aca="false">INDEX(Datos_Origen!$D$2:$D$2459,$Z1310)&amp;""</f>
        <v>Buenos Aires</v>
      </c>
    </row>
    <row r="1311" customFormat="false" ht="15" hidden="false" customHeight="false" outlineLevel="0" collapsed="false">
      <c r="A1311" s="61" t="n">
        <f aca="false">INDEX(Datos_Origen!$A$2:$A$2459,$Z1311)</f>
        <v>1310</v>
      </c>
      <c r="B1311" s="62" t="n">
        <f aca="false">IF(ISNUMBER($AB1311),$AB1311,IF(MID($AB1311,5,1)="-",DATE(VALUE(LEFT($AB1311,4)),VALUE(MID($AB1311,6,2)),VALUE(RIGHT($AB1311,2))),DATE(VALUE(RIGHT($AB1311,4)),VALUE(MID($AB1311,4,2)),VALUE(LEFT($AB1311,2)))))</f>
        <v>45706</v>
      </c>
      <c r="C1311" s="61" t="n">
        <f aca="false">YEAR($B1311)</f>
        <v>2025</v>
      </c>
      <c r="D1311" s="61" t="str">
        <f aca="false">"Q"&amp;ROUNDUP(MONTH($B1311)/3,0)</f>
        <v>Q1</v>
      </c>
      <c r="E1311" s="61" t="n">
        <f aca="false">MONTH($B1311)</f>
        <v>2</v>
      </c>
      <c r="F1311" s="61" t="str">
        <f aca="false">INDEX(Parametros!$I$5:$I$16,$E1311)</f>
        <v>Feb</v>
      </c>
      <c r="G1311" s="61" t="str">
        <f aca="false">TEXT($C1311,"0000")&amp;"-"&amp;TEXT($E1311,"00")</f>
        <v>2025-02</v>
      </c>
      <c r="H1311" s="61" t="str">
        <f aca="false">INDEX(Parametros!$C$71:$C$91,MATCH(TRIM(INDEX(Datos_Origen!$C$2:$C$2459,$Z1311)),Parametros!$B$71:$B$91,0))</f>
        <v>AMBA</v>
      </c>
      <c r="I1311" s="61" t="str">
        <f aca="false">IF(TRIM($AD1311)="",INDEX(Parametros!$I$20:$I$24,MATCH($H1311,Parametros!$H$20:$H$24,0)),TRIM($AD1311))</f>
        <v>Buenos Aires</v>
      </c>
      <c r="J1311" s="61" t="str">
        <f aca="false">INDEX(Parametros!$C$95:$C$106,MATCH(TRIM(INDEX(Datos_Origen!$E$2:$E$2459,$Z1311)),Parametros!$B$95:$B$106,0))</f>
        <v>E-commerce</v>
      </c>
      <c r="K1311" s="61" t="str">
        <f aca="false">INDEX(Parametros!$C$48:$C$67,MATCH(TRIM(INDEX(Datos_Origen!$F$2:$F$2459,$Z1311)),Parametros!$B$48:$B$67,0))</f>
        <v>Accesorios</v>
      </c>
      <c r="L1311" s="61" t="str">
        <f aca="false">$K1311&amp;" "&amp;$C1311</f>
        <v>Accesorios 2025</v>
      </c>
      <c r="M1311" s="61" t="str">
        <f aca="false">TRIM(INDEX(Datos_Origen!$G$2:$G$2459,$Z1311))</f>
        <v>Teclado Mecanico</v>
      </c>
      <c r="N1311" s="61" t="str">
        <f aca="false">$M1311&amp;" "&amp;$C1311</f>
        <v>Teclado Mecanico 2025</v>
      </c>
      <c r="O1311" s="63" t="n">
        <f aca="false">IF(ISTEXT($AC1311),VALUE($AC1311),$AC1311)</f>
        <v>60</v>
      </c>
      <c r="P1311" s="64" t="n">
        <f aca="false">INDEX(Datos_Origen!$I$2:$I$2459,$Z1311)</f>
        <v>94.39</v>
      </c>
      <c r="Q1311" s="64" t="n">
        <f aca="false">INDEX(Datos_Origen!$J$2:$J$2459,$Z1311)</f>
        <v>49.41</v>
      </c>
      <c r="R1311" s="65" t="n">
        <f aca="false">ROUND($O1311*$P1311,2)</f>
        <v>5663.4</v>
      </c>
      <c r="S1311" s="65" t="n">
        <f aca="false">ROUND($O1311*$Q1311,2)</f>
        <v>2964.6</v>
      </c>
      <c r="T1311" s="65" t="n">
        <f aca="false">ROUND($R1311*SUMIFS(Parametros!$E$28:$E$43,Parametros!$B$28:$B$43,$J1311,Parametros!$C$28:$C$43,$C1311,Parametros!$D$28:$D$43,$D1311),2)</f>
        <v>385.11</v>
      </c>
      <c r="U1311" s="65" t="n">
        <f aca="false">$R1311-$S1311-$T1311</f>
        <v>2313.69</v>
      </c>
      <c r="V1311" s="66" t="n">
        <f aca="false">IFERROR($U1311/$R1311,0)</f>
        <v>0.408533742981248</v>
      </c>
      <c r="W1311" s="67" t="str">
        <f aca="false">IF(AND($V1311&gt;=Parametros!$C$8,$R1311&gt;=Parametros!$C$12),"Alta rentabilidad",IF(OR($V1311&lt;Parametros!$C$11,$R1311&lt;Parametros!$C$13),"Revisar","Estandar"))</f>
        <v>Alta rentabilidad</v>
      </c>
      <c r="X1311" s="67" t="str">
        <f aca="false">IF(AND($J1311="E-commerce",IFERROR($T1311/$R1311,0)&gt;Parametros!$C$14),"Alerta","OK")</f>
        <v>Alerta</v>
      </c>
      <c r="Y1311" s="61" t="str">
        <f aca="false">IF($R1311&gt;=Parametros!$C$12,"Alto",IF($R1311&lt;Parametros!$C$13,"Bajo","Medio"))</f>
        <v>Alto</v>
      </c>
      <c r="Z1311" s="61" t="n">
        <v>234</v>
      </c>
      <c r="AA1311" s="61" t="str">
        <f aca="false">IF(MATCH($A1311,Datos_Origen!$A$2:$A$2459,0)=$Z1311,"OK","REVISAR")</f>
        <v>OK</v>
      </c>
      <c r="AB1311" s="61" t="str">
        <f aca="false">INDEX(Datos_Origen!$B$2:$B$2459,$Z1311)</f>
        <v>18/02/2025</v>
      </c>
      <c r="AC1311" s="61" t="n">
        <f aca="false">INDEX(Datos_Origen!$H$2:$H$2459,$Z1311)</f>
        <v>60</v>
      </c>
      <c r="AD1311" s="61" t="str">
        <f aca="false">INDEX(Datos_Origen!$D$2:$D$2459,$Z1311)&amp;""</f>
        <v>Buenos Aires</v>
      </c>
    </row>
    <row r="1312" customFormat="false" ht="15" hidden="false" customHeight="false" outlineLevel="0" collapsed="false">
      <c r="A1312" s="61" t="n">
        <f aca="false">INDEX(Datos_Origen!$A$2:$A$2459,$Z1312)</f>
        <v>1311</v>
      </c>
      <c r="B1312" s="62" t="n">
        <f aca="false">IF(ISNUMBER($AB1312),$AB1312,IF(MID($AB1312,5,1)="-",DATE(VALUE(LEFT($AB1312,4)),VALUE(MID($AB1312,6,2)),VALUE(RIGHT($AB1312,2))),DATE(VALUE(RIGHT($AB1312,4)),VALUE(MID($AB1312,4,2)),VALUE(LEFT($AB1312,2)))))</f>
        <v>45713</v>
      </c>
      <c r="C1312" s="61" t="n">
        <f aca="false">YEAR($B1312)</f>
        <v>2025</v>
      </c>
      <c r="D1312" s="61" t="str">
        <f aca="false">"Q"&amp;ROUNDUP(MONTH($B1312)/3,0)</f>
        <v>Q1</v>
      </c>
      <c r="E1312" s="61" t="n">
        <f aca="false">MONTH($B1312)</f>
        <v>2</v>
      </c>
      <c r="F1312" s="61" t="str">
        <f aca="false">INDEX(Parametros!$I$5:$I$16,$E1312)</f>
        <v>Feb</v>
      </c>
      <c r="G1312" s="61" t="str">
        <f aca="false">TEXT($C1312,"0000")&amp;"-"&amp;TEXT($E1312,"00")</f>
        <v>2025-02</v>
      </c>
      <c r="H1312" s="61" t="str">
        <f aca="false">INDEX(Parametros!$C$71:$C$91,MATCH(TRIM(INDEX(Datos_Origen!$C$2:$C$2459,$Z1312)),Parametros!$B$71:$B$91,0))</f>
        <v>AMBA</v>
      </c>
      <c r="I1312" s="61" t="str">
        <f aca="false">IF(TRIM($AD1312)="",INDEX(Parametros!$I$20:$I$24,MATCH($H1312,Parametros!$H$20:$H$24,0)),TRIM($AD1312))</f>
        <v>Buenos Aires</v>
      </c>
      <c r="J1312" s="61" t="str">
        <f aca="false">INDEX(Parametros!$C$95:$C$106,MATCH(TRIM(INDEX(Datos_Origen!$E$2:$E$2459,$Z1312)),Parametros!$B$95:$B$106,0))</f>
        <v>Tienda fisica</v>
      </c>
      <c r="K1312" s="61" t="str">
        <f aca="false">INDEX(Parametros!$C$48:$C$67,MATCH(TRIM(INDEX(Datos_Origen!$F$2:$F$2459,$Z1312)),Parametros!$B$48:$B$67,0))</f>
        <v>Accesorios</v>
      </c>
      <c r="L1312" s="61" t="str">
        <f aca="false">$K1312&amp;" "&amp;$C1312</f>
        <v>Accesorios 2025</v>
      </c>
      <c r="M1312" s="61" t="str">
        <f aca="false">TRIM(INDEX(Datos_Origen!$G$2:$G$2459,$Z1312))</f>
        <v>Webcam Full HD</v>
      </c>
      <c r="N1312" s="61" t="str">
        <f aca="false">$M1312&amp;" "&amp;$C1312</f>
        <v>Webcam Full HD 2025</v>
      </c>
      <c r="O1312" s="63" t="n">
        <f aca="false">IF(ISTEXT($AC1312),VALUE($AC1312),$AC1312)</f>
        <v>84</v>
      </c>
      <c r="P1312" s="64" t="n">
        <f aca="false">INDEX(Datos_Origen!$I$2:$I$2459,$Z1312)</f>
        <v>64.58</v>
      </c>
      <c r="Q1312" s="64" t="n">
        <f aca="false">INDEX(Datos_Origen!$J$2:$J$2459,$Z1312)</f>
        <v>36.49</v>
      </c>
      <c r="R1312" s="65" t="n">
        <f aca="false">ROUND($O1312*$P1312,2)</f>
        <v>5424.72</v>
      </c>
      <c r="S1312" s="65" t="n">
        <f aca="false">ROUND($O1312*$Q1312,2)</f>
        <v>3065.16</v>
      </c>
      <c r="T1312" s="65" t="n">
        <f aca="false">ROUND($R1312*SUMIFS(Parametros!$E$28:$E$43,Parametros!$B$28:$B$43,$J1312,Parametros!$C$28:$C$43,$C1312,Parametros!$D$28:$D$43,$D1312),2)</f>
        <v>70.52</v>
      </c>
      <c r="U1312" s="65" t="n">
        <f aca="false">$R1312-$S1312-$T1312</f>
        <v>2289.04</v>
      </c>
      <c r="V1312" s="66" t="n">
        <f aca="false">IFERROR($U1312/$R1312,0)</f>
        <v>0.421964635962778</v>
      </c>
      <c r="W1312" s="67" t="str">
        <f aca="false">IF(AND($V1312&gt;=Parametros!$C$8,$R1312&gt;=Parametros!$C$12),"Alta rentabilidad",IF(OR($V1312&lt;Parametros!$C$11,$R1312&lt;Parametros!$C$13),"Revisar","Estandar"))</f>
        <v>Alta rentabilidad</v>
      </c>
      <c r="X1312" s="67" t="str">
        <f aca="false">IF(AND($J1312="E-commerce",IFERROR($T1312/$R1312,0)&gt;Parametros!$C$14),"Alerta","OK")</f>
        <v>OK</v>
      </c>
      <c r="Y1312" s="61" t="str">
        <f aca="false">IF($R1312&gt;=Parametros!$C$12,"Alto",IF($R1312&lt;Parametros!$C$13,"Bajo","Medio"))</f>
        <v>Alto</v>
      </c>
      <c r="Z1312" s="61" t="n">
        <v>2167</v>
      </c>
      <c r="AA1312" s="61" t="str">
        <f aca="false">IF(MATCH($A1312,Datos_Origen!$A$2:$A$2459,0)=$Z1312,"OK","REVISAR")</f>
        <v>OK</v>
      </c>
      <c r="AB1312" s="61" t="str">
        <f aca="false">INDEX(Datos_Origen!$B$2:$B$2459,$Z1312)</f>
        <v>25/02/2025</v>
      </c>
      <c r="AC1312" s="61" t="n">
        <f aca="false">INDEX(Datos_Origen!$H$2:$H$2459,$Z1312)</f>
        <v>84</v>
      </c>
      <c r="AD1312" s="61" t="str">
        <f aca="false">INDEX(Datos_Origen!$D$2:$D$2459,$Z1312)&amp;""</f>
        <v>Buenos Aires</v>
      </c>
    </row>
    <row r="1313" customFormat="false" ht="15" hidden="false" customHeight="false" outlineLevel="0" collapsed="false">
      <c r="A1313" s="61" t="n">
        <f aca="false">INDEX(Datos_Origen!$A$2:$A$2459,$Z1313)</f>
        <v>1312</v>
      </c>
      <c r="B1313" s="62" t="n">
        <f aca="false">IF(ISNUMBER($AB1313),$AB1313,IF(MID($AB1313,5,1)="-",DATE(VALUE(LEFT($AB1313,4)),VALUE(MID($AB1313,6,2)),VALUE(RIGHT($AB1313,2))),DATE(VALUE(RIGHT($AB1313,4)),VALUE(MID($AB1313,4,2)),VALUE(LEFT($AB1313,2)))))</f>
        <v>45693</v>
      </c>
      <c r="C1313" s="61" t="n">
        <f aca="false">YEAR($B1313)</f>
        <v>2025</v>
      </c>
      <c r="D1313" s="61" t="str">
        <f aca="false">"Q"&amp;ROUNDUP(MONTH($B1313)/3,0)</f>
        <v>Q1</v>
      </c>
      <c r="E1313" s="61" t="n">
        <f aca="false">MONTH($B1313)</f>
        <v>2</v>
      </c>
      <c r="F1313" s="61" t="str">
        <f aca="false">INDEX(Parametros!$I$5:$I$16,$E1313)</f>
        <v>Feb</v>
      </c>
      <c r="G1313" s="61" t="str">
        <f aca="false">TEXT($C1313,"0000")&amp;"-"&amp;TEXT($E1313,"00")</f>
        <v>2025-02</v>
      </c>
      <c r="H1313" s="61" t="str">
        <f aca="false">INDEX(Parametros!$C$71:$C$91,MATCH(TRIM(INDEX(Datos_Origen!$C$2:$C$2459,$Z1313)),Parametros!$B$71:$B$91,0))</f>
        <v>AMBA</v>
      </c>
      <c r="I1313" s="61" t="str">
        <f aca="false">IF(TRIM($AD1313)="",INDEX(Parametros!$I$20:$I$24,MATCH($H1313,Parametros!$H$20:$H$24,0)),TRIM($AD1313))</f>
        <v>Buenos Aires</v>
      </c>
      <c r="J1313" s="61" t="str">
        <f aca="false">INDEX(Parametros!$C$95:$C$106,MATCH(TRIM(INDEX(Datos_Origen!$E$2:$E$2459,$Z1313)),Parametros!$B$95:$B$106,0))</f>
        <v>E-commerce</v>
      </c>
      <c r="K1313" s="61" t="str">
        <f aca="false">INDEX(Parametros!$C$48:$C$67,MATCH(TRIM(INDEX(Datos_Origen!$F$2:$F$2459,$Z1313)),Parametros!$B$48:$B$67,0))</f>
        <v>Accesorios</v>
      </c>
      <c r="L1313" s="61" t="str">
        <f aca="false">$K1313&amp;" "&amp;$C1313</f>
        <v>Accesorios 2025</v>
      </c>
      <c r="M1313" s="61" t="str">
        <f aca="false">TRIM(INDEX(Datos_Origen!$G$2:$G$2459,$Z1313))</f>
        <v>Webcam Full HD</v>
      </c>
      <c r="N1313" s="61" t="str">
        <f aca="false">$M1313&amp;" "&amp;$C1313</f>
        <v>Webcam Full HD 2025</v>
      </c>
      <c r="O1313" s="63" t="n">
        <f aca="false">IF(ISTEXT($AC1313),VALUE($AC1313),$AC1313)</f>
        <v>44</v>
      </c>
      <c r="P1313" s="64" t="n">
        <f aca="false">INDEX(Datos_Origen!$I$2:$I$2459,$Z1313)</f>
        <v>64.58</v>
      </c>
      <c r="Q1313" s="64" t="n">
        <f aca="false">INDEX(Datos_Origen!$J$2:$J$2459,$Z1313)</f>
        <v>36.49</v>
      </c>
      <c r="R1313" s="65" t="n">
        <f aca="false">ROUND($O1313*$P1313,2)</f>
        <v>2841.52</v>
      </c>
      <c r="S1313" s="65" t="n">
        <f aca="false">ROUND($O1313*$Q1313,2)</f>
        <v>1605.56</v>
      </c>
      <c r="T1313" s="65" t="n">
        <f aca="false">ROUND($R1313*SUMIFS(Parametros!$E$28:$E$43,Parametros!$B$28:$B$43,$J1313,Parametros!$C$28:$C$43,$C1313,Parametros!$D$28:$D$43,$D1313),2)</f>
        <v>193.22</v>
      </c>
      <c r="U1313" s="65" t="n">
        <f aca="false">$R1313-$S1313-$T1313</f>
        <v>1042.74</v>
      </c>
      <c r="V1313" s="66" t="n">
        <f aca="false">IFERROR($U1313/$R1313,0)</f>
        <v>0.366965567724317</v>
      </c>
      <c r="W1313" s="67" t="str">
        <f aca="false">IF(AND($V1313&gt;=Parametros!$C$8,$R1313&gt;=Parametros!$C$12),"Alta rentabilidad",IF(OR($V1313&lt;Parametros!$C$11,$R1313&lt;Parametros!$C$13),"Revisar","Estandar"))</f>
        <v>Estandar</v>
      </c>
      <c r="X1313" s="67" t="str">
        <f aca="false">IF(AND($J1313="E-commerce",IFERROR($T1313/$R1313,0)&gt;Parametros!$C$14),"Alerta","OK")</f>
        <v>Alerta</v>
      </c>
      <c r="Y1313" s="61" t="str">
        <f aca="false">IF($R1313&gt;=Parametros!$C$12,"Alto",IF($R1313&lt;Parametros!$C$13,"Bajo","Medio"))</f>
        <v>Medio</v>
      </c>
      <c r="Z1313" s="61" t="n">
        <v>1600</v>
      </c>
      <c r="AA1313" s="61" t="str">
        <f aca="false">IF(MATCH($A1313,Datos_Origen!$A$2:$A$2459,0)=$Z1313,"OK","REVISAR")</f>
        <v>OK</v>
      </c>
      <c r="AB1313" s="62" t="n">
        <f aca="false">INDEX(Datos_Origen!$B$2:$B$2459,$Z1313)</f>
        <v>45693</v>
      </c>
      <c r="AC1313" s="61" t="n">
        <f aca="false">INDEX(Datos_Origen!$H$2:$H$2459,$Z1313)</f>
        <v>44</v>
      </c>
      <c r="AD1313" s="61" t="str">
        <f aca="false">INDEX(Datos_Origen!$D$2:$D$2459,$Z1313)&amp;""</f>
        <v>Buenos Aires</v>
      </c>
    </row>
    <row r="1314" customFormat="false" ht="15" hidden="false" customHeight="false" outlineLevel="0" collapsed="false">
      <c r="A1314" s="61" t="n">
        <f aca="false">INDEX(Datos_Origen!$A$2:$A$2459,$Z1314)</f>
        <v>1313</v>
      </c>
      <c r="B1314" s="62" t="n">
        <f aca="false">IF(ISNUMBER($AB1314),$AB1314,IF(MID($AB1314,5,1)="-",DATE(VALUE(LEFT($AB1314,4)),VALUE(MID($AB1314,6,2)),VALUE(RIGHT($AB1314,2))),DATE(VALUE(RIGHT($AB1314,4)),VALUE(MID($AB1314,4,2)),VALUE(LEFT($AB1314,2)))))</f>
        <v>45700</v>
      </c>
      <c r="C1314" s="61" t="n">
        <f aca="false">YEAR($B1314)</f>
        <v>2025</v>
      </c>
      <c r="D1314" s="61" t="str">
        <f aca="false">"Q"&amp;ROUNDUP(MONTH($B1314)/3,0)</f>
        <v>Q1</v>
      </c>
      <c r="E1314" s="61" t="n">
        <f aca="false">MONTH($B1314)</f>
        <v>2</v>
      </c>
      <c r="F1314" s="61" t="str">
        <f aca="false">INDEX(Parametros!$I$5:$I$16,$E1314)</f>
        <v>Feb</v>
      </c>
      <c r="G1314" s="61" t="str">
        <f aca="false">TEXT($C1314,"0000")&amp;"-"&amp;TEXT($E1314,"00")</f>
        <v>2025-02</v>
      </c>
      <c r="H1314" s="61" t="str">
        <f aca="false">INDEX(Parametros!$C$71:$C$91,MATCH(TRIM(INDEX(Datos_Origen!$C$2:$C$2459,$Z1314)),Parametros!$B$71:$B$91,0))</f>
        <v>AMBA</v>
      </c>
      <c r="I1314" s="61" t="str">
        <f aca="false">IF(TRIM($AD1314)="",INDEX(Parametros!$I$20:$I$24,MATCH($H1314,Parametros!$H$20:$H$24,0)),TRIM($AD1314))</f>
        <v>Buenos Aires</v>
      </c>
      <c r="J1314" s="61" t="str">
        <f aca="false">INDEX(Parametros!$C$95:$C$106,MATCH(TRIM(INDEX(Datos_Origen!$E$2:$E$2459,$Z1314)),Parametros!$B$95:$B$106,0))</f>
        <v>Tienda fisica</v>
      </c>
      <c r="K1314" s="61" t="str">
        <f aca="false">INDEX(Parametros!$C$48:$C$67,MATCH(TRIM(INDEX(Datos_Origen!$F$2:$F$2459,$Z1314)),Parametros!$B$48:$B$67,0))</f>
        <v>Audio</v>
      </c>
      <c r="L1314" s="61" t="str">
        <f aca="false">$K1314&amp;" "&amp;$C1314</f>
        <v>Audio 2025</v>
      </c>
      <c r="M1314" s="61" t="str">
        <f aca="false">TRIM(INDEX(Datos_Origen!$G$2:$G$2459,$Z1314))</f>
        <v>Auriculares BT Pro</v>
      </c>
      <c r="N1314" s="61" t="str">
        <f aca="false">$M1314&amp;" "&amp;$C1314</f>
        <v>Auriculares BT Pro 2025</v>
      </c>
      <c r="O1314" s="63" t="n">
        <f aca="false">IF(ISTEXT($AC1314),VALUE($AC1314),$AC1314)</f>
        <v>30</v>
      </c>
      <c r="P1314" s="64" t="n">
        <f aca="false">INDEX(Datos_Origen!$I$2:$I$2459,$Z1314)</f>
        <v>119.23</v>
      </c>
      <c r="Q1314" s="64" t="n">
        <f aca="false">INDEX(Datos_Origen!$J$2:$J$2459,$Z1314)</f>
        <v>65.51</v>
      </c>
      <c r="R1314" s="65" t="n">
        <f aca="false">ROUND($O1314*$P1314,2)</f>
        <v>3576.9</v>
      </c>
      <c r="S1314" s="65" t="n">
        <f aca="false">ROUND($O1314*$Q1314,2)</f>
        <v>1965.3</v>
      </c>
      <c r="T1314" s="65" t="n">
        <f aca="false">ROUND($R1314*SUMIFS(Parametros!$E$28:$E$43,Parametros!$B$28:$B$43,$J1314,Parametros!$C$28:$C$43,$C1314,Parametros!$D$28:$D$43,$D1314),2)</f>
        <v>46.5</v>
      </c>
      <c r="U1314" s="65" t="n">
        <f aca="false">$R1314-$S1314-$T1314</f>
        <v>1565.1</v>
      </c>
      <c r="V1314" s="66" t="n">
        <f aca="false">IFERROR($U1314/$R1314,0)</f>
        <v>0.437557661662333</v>
      </c>
      <c r="W1314" s="67" t="str">
        <f aca="false">IF(AND($V1314&gt;=Parametros!$C$8,$R1314&gt;=Parametros!$C$12),"Alta rentabilidad",IF(OR($V1314&lt;Parametros!$C$11,$R1314&lt;Parametros!$C$13),"Revisar","Estandar"))</f>
        <v>Alta rentabilidad</v>
      </c>
      <c r="X1314" s="67" t="str">
        <f aca="false">IF(AND($J1314="E-commerce",IFERROR($T1314/$R1314,0)&gt;Parametros!$C$14),"Alerta","OK")</f>
        <v>OK</v>
      </c>
      <c r="Y1314" s="61" t="str">
        <f aca="false">IF($R1314&gt;=Parametros!$C$12,"Alto",IF($R1314&lt;Parametros!$C$13,"Bajo","Medio"))</f>
        <v>Alto</v>
      </c>
      <c r="Z1314" s="61" t="n">
        <v>149</v>
      </c>
      <c r="AA1314" s="61" t="str">
        <f aca="false">IF(MATCH($A1314,Datos_Origen!$A$2:$A$2459,0)=$Z1314,"OK","REVISAR")</f>
        <v>OK</v>
      </c>
      <c r="AB1314" s="62" t="n">
        <f aca="false">INDEX(Datos_Origen!$B$2:$B$2459,$Z1314)</f>
        <v>45700</v>
      </c>
      <c r="AC1314" s="61" t="n">
        <f aca="false">INDEX(Datos_Origen!$H$2:$H$2459,$Z1314)</f>
        <v>30</v>
      </c>
      <c r="AD1314" s="61" t="str">
        <f aca="false">INDEX(Datos_Origen!$D$2:$D$2459,$Z1314)&amp;""</f>
        <v>Buenos Aires</v>
      </c>
    </row>
    <row r="1315" customFormat="false" ht="15" hidden="false" customHeight="false" outlineLevel="0" collapsed="false">
      <c r="A1315" s="61" t="n">
        <f aca="false">INDEX(Datos_Origen!$A$2:$A$2459,$Z1315)</f>
        <v>1314</v>
      </c>
      <c r="B1315" s="62" t="n">
        <f aca="false">IF(ISNUMBER($AB1315),$AB1315,IF(MID($AB1315,5,1)="-",DATE(VALUE(LEFT($AB1315,4)),VALUE(MID($AB1315,6,2)),VALUE(RIGHT($AB1315,2))),DATE(VALUE(RIGHT($AB1315,4)),VALUE(MID($AB1315,4,2)),VALUE(LEFT($AB1315,2)))))</f>
        <v>45707</v>
      </c>
      <c r="C1315" s="61" t="n">
        <f aca="false">YEAR($B1315)</f>
        <v>2025</v>
      </c>
      <c r="D1315" s="61" t="str">
        <f aca="false">"Q"&amp;ROUNDUP(MONTH($B1315)/3,0)</f>
        <v>Q1</v>
      </c>
      <c r="E1315" s="61" t="n">
        <f aca="false">MONTH($B1315)</f>
        <v>2</v>
      </c>
      <c r="F1315" s="61" t="str">
        <f aca="false">INDEX(Parametros!$I$5:$I$16,$E1315)</f>
        <v>Feb</v>
      </c>
      <c r="G1315" s="61" t="str">
        <f aca="false">TEXT($C1315,"0000")&amp;"-"&amp;TEXT($E1315,"00")</f>
        <v>2025-02</v>
      </c>
      <c r="H1315" s="61" t="str">
        <f aca="false">INDEX(Parametros!$C$71:$C$91,MATCH(TRIM(INDEX(Datos_Origen!$C$2:$C$2459,$Z1315)),Parametros!$B$71:$B$91,0))</f>
        <v>AMBA</v>
      </c>
      <c r="I1315" s="61" t="str">
        <f aca="false">IF(TRIM($AD1315)="",INDEX(Parametros!$I$20:$I$24,MATCH($H1315,Parametros!$H$20:$H$24,0)),TRIM($AD1315))</f>
        <v>Buenos Aires</v>
      </c>
      <c r="J1315" s="61" t="str">
        <f aca="false">INDEX(Parametros!$C$95:$C$106,MATCH(TRIM(INDEX(Datos_Origen!$E$2:$E$2459,$Z1315)),Parametros!$B$95:$B$106,0))</f>
        <v>E-commerce</v>
      </c>
      <c r="K1315" s="61" t="str">
        <f aca="false">INDEX(Parametros!$C$48:$C$67,MATCH(TRIM(INDEX(Datos_Origen!$F$2:$F$2459,$Z1315)),Parametros!$B$48:$B$67,0))</f>
        <v>Audio</v>
      </c>
      <c r="L1315" s="61" t="str">
        <f aca="false">$K1315&amp;" "&amp;$C1315</f>
        <v>Audio 2025</v>
      </c>
      <c r="M1315" s="61" t="str">
        <f aca="false">TRIM(INDEX(Datos_Origen!$G$2:$G$2459,$Z1315))</f>
        <v>Auriculares BT Pro</v>
      </c>
      <c r="N1315" s="61" t="str">
        <f aca="false">$M1315&amp;" "&amp;$C1315</f>
        <v>Auriculares BT Pro 2025</v>
      </c>
      <c r="O1315" s="63" t="n">
        <f aca="false">IF(ISTEXT($AC1315),VALUE($AC1315),$AC1315)</f>
        <v>22</v>
      </c>
      <c r="P1315" s="64" t="n">
        <f aca="false">INDEX(Datos_Origen!$I$2:$I$2459,$Z1315)</f>
        <v>119.23</v>
      </c>
      <c r="Q1315" s="64" t="n">
        <f aca="false">INDEX(Datos_Origen!$J$2:$J$2459,$Z1315)</f>
        <v>65.51</v>
      </c>
      <c r="R1315" s="65" t="n">
        <f aca="false">ROUND($O1315*$P1315,2)</f>
        <v>2623.06</v>
      </c>
      <c r="S1315" s="65" t="n">
        <f aca="false">ROUND($O1315*$Q1315,2)</f>
        <v>1441.22</v>
      </c>
      <c r="T1315" s="65" t="n">
        <f aca="false">ROUND($R1315*SUMIFS(Parametros!$E$28:$E$43,Parametros!$B$28:$B$43,$J1315,Parametros!$C$28:$C$43,$C1315,Parametros!$D$28:$D$43,$D1315),2)</f>
        <v>178.37</v>
      </c>
      <c r="U1315" s="65" t="n">
        <f aca="false">$R1315-$S1315-$T1315</f>
        <v>1003.47</v>
      </c>
      <c r="V1315" s="66" t="n">
        <f aca="false">IFERROR($U1315/$R1315,0)</f>
        <v>0.38255701356431</v>
      </c>
      <c r="W1315" s="67" t="str">
        <f aca="false">IF(AND($V1315&gt;=Parametros!$C$8,$R1315&gt;=Parametros!$C$12),"Alta rentabilidad",IF(OR($V1315&lt;Parametros!$C$11,$R1315&lt;Parametros!$C$13),"Revisar","Estandar"))</f>
        <v>Estandar</v>
      </c>
      <c r="X1315" s="67" t="str">
        <f aca="false">IF(AND($J1315="E-commerce",IFERROR($T1315/$R1315,0)&gt;Parametros!$C$14),"Alerta","OK")</f>
        <v>Alerta</v>
      </c>
      <c r="Y1315" s="61" t="str">
        <f aca="false">IF($R1315&gt;=Parametros!$C$12,"Alto",IF($R1315&lt;Parametros!$C$13,"Bajo","Medio"))</f>
        <v>Medio</v>
      </c>
      <c r="Z1315" s="61" t="n">
        <v>1507</v>
      </c>
      <c r="AA1315" s="61" t="str">
        <f aca="false">IF(MATCH($A1315,Datos_Origen!$A$2:$A$2459,0)=$Z1315,"OK","REVISAR")</f>
        <v>OK</v>
      </c>
      <c r="AB1315" s="62" t="n">
        <f aca="false">INDEX(Datos_Origen!$B$2:$B$2459,$Z1315)</f>
        <v>45707</v>
      </c>
      <c r="AC1315" s="61" t="n">
        <f aca="false">INDEX(Datos_Origen!$H$2:$H$2459,$Z1315)</f>
        <v>22</v>
      </c>
      <c r="AD1315" s="61" t="str">
        <f aca="false">INDEX(Datos_Origen!$D$2:$D$2459,$Z1315)&amp;""</f>
        <v>Buenos Aires</v>
      </c>
    </row>
    <row r="1316" customFormat="false" ht="15" hidden="false" customHeight="false" outlineLevel="0" collapsed="false">
      <c r="A1316" s="61" t="n">
        <f aca="false">INDEX(Datos_Origen!$A$2:$A$2459,$Z1316)</f>
        <v>1315</v>
      </c>
      <c r="B1316" s="62" t="n">
        <f aca="false">IF(ISNUMBER($AB1316),$AB1316,IF(MID($AB1316,5,1)="-",DATE(VALUE(LEFT($AB1316,4)),VALUE(MID($AB1316,6,2)),VALUE(RIGHT($AB1316,2))),DATE(VALUE(RIGHT($AB1316,4)),VALUE(MID($AB1316,4,2)),VALUE(LEFT($AB1316,2)))))</f>
        <v>45714</v>
      </c>
      <c r="C1316" s="61" t="n">
        <f aca="false">YEAR($B1316)</f>
        <v>2025</v>
      </c>
      <c r="D1316" s="61" t="str">
        <f aca="false">"Q"&amp;ROUNDUP(MONTH($B1316)/3,0)</f>
        <v>Q1</v>
      </c>
      <c r="E1316" s="61" t="n">
        <f aca="false">MONTH($B1316)</f>
        <v>2</v>
      </c>
      <c r="F1316" s="61" t="str">
        <f aca="false">INDEX(Parametros!$I$5:$I$16,$E1316)</f>
        <v>Feb</v>
      </c>
      <c r="G1316" s="61" t="str">
        <f aca="false">TEXT($C1316,"0000")&amp;"-"&amp;TEXT($E1316,"00")</f>
        <v>2025-02</v>
      </c>
      <c r="H1316" s="61" t="str">
        <f aca="false">INDEX(Parametros!$C$71:$C$91,MATCH(TRIM(INDEX(Datos_Origen!$C$2:$C$2459,$Z1316)),Parametros!$B$71:$B$91,0))</f>
        <v>AMBA</v>
      </c>
      <c r="I1316" s="61" t="str">
        <f aca="false">IF(TRIM($AD1316)="",INDEX(Parametros!$I$20:$I$24,MATCH($H1316,Parametros!$H$20:$H$24,0)),TRIM($AD1316))</f>
        <v>Buenos Aires</v>
      </c>
      <c r="J1316" s="61" t="str">
        <f aca="false">INDEX(Parametros!$C$95:$C$106,MATCH(TRIM(INDEX(Datos_Origen!$E$2:$E$2459,$Z1316)),Parametros!$B$95:$B$106,0))</f>
        <v>Tienda fisica</v>
      </c>
      <c r="K1316" s="61" t="str">
        <f aca="false">INDEX(Parametros!$C$48:$C$67,MATCH(TRIM(INDEX(Datos_Origen!$F$2:$F$2459,$Z1316)),Parametros!$B$48:$B$67,0))</f>
        <v>Audio</v>
      </c>
      <c r="L1316" s="61" t="str">
        <f aca="false">$K1316&amp;" "&amp;$C1316</f>
        <v>Audio 2025</v>
      </c>
      <c r="M1316" s="61" t="str">
        <f aca="false">TRIM(INDEX(Datos_Origen!$G$2:$G$2459,$Z1316))</f>
        <v>Parlante Bluetooth</v>
      </c>
      <c r="N1316" s="61" t="str">
        <f aca="false">$M1316&amp;" "&amp;$C1316</f>
        <v>Parlante Bluetooth 2025</v>
      </c>
      <c r="O1316" s="63" t="n">
        <f aca="false">IF(ISTEXT($AC1316),VALUE($AC1316),$AC1316)</f>
        <v>38</v>
      </c>
      <c r="P1316" s="64" t="n">
        <f aca="false">INDEX(Datos_Origen!$I$2:$I$2459,$Z1316)</f>
        <v>84.46</v>
      </c>
      <c r="Q1316" s="64" t="n">
        <f aca="false">INDEX(Datos_Origen!$J$2:$J$2459,$Z1316)</f>
        <v>49.47</v>
      </c>
      <c r="R1316" s="65" t="n">
        <f aca="false">ROUND($O1316*$P1316,2)</f>
        <v>3209.48</v>
      </c>
      <c r="S1316" s="65" t="n">
        <f aca="false">ROUND($O1316*$Q1316,2)</f>
        <v>1879.86</v>
      </c>
      <c r="T1316" s="65" t="n">
        <f aca="false">ROUND($R1316*SUMIFS(Parametros!$E$28:$E$43,Parametros!$B$28:$B$43,$J1316,Parametros!$C$28:$C$43,$C1316,Parametros!$D$28:$D$43,$D1316),2)</f>
        <v>41.72</v>
      </c>
      <c r="U1316" s="65" t="n">
        <f aca="false">$R1316-$S1316-$T1316</f>
        <v>1287.9</v>
      </c>
      <c r="V1316" s="66" t="n">
        <f aca="false">IFERROR($U1316/$R1316,0)</f>
        <v>0.401279958124058</v>
      </c>
      <c r="W1316" s="67" t="str">
        <f aca="false">IF(AND($V1316&gt;=Parametros!$C$8,$R1316&gt;=Parametros!$C$12),"Alta rentabilidad",IF(OR($V1316&lt;Parametros!$C$11,$R1316&lt;Parametros!$C$13),"Revisar","Estandar"))</f>
        <v>Alta rentabilidad</v>
      </c>
      <c r="X1316" s="67" t="str">
        <f aca="false">IF(AND($J1316="E-commerce",IFERROR($T1316/$R1316,0)&gt;Parametros!$C$14),"Alerta","OK")</f>
        <v>OK</v>
      </c>
      <c r="Y1316" s="61" t="str">
        <f aca="false">IF($R1316&gt;=Parametros!$C$12,"Alto",IF($R1316&lt;Parametros!$C$13,"Bajo","Medio"))</f>
        <v>Alto</v>
      </c>
      <c r="Z1316" s="61" t="n">
        <v>1348</v>
      </c>
      <c r="AA1316" s="61" t="str">
        <f aca="false">IF(MATCH($A1316,Datos_Origen!$A$2:$A$2459,0)=$Z1316,"OK","REVISAR")</f>
        <v>OK</v>
      </c>
      <c r="AB1316" s="61" t="str">
        <f aca="false">INDEX(Datos_Origen!$B$2:$B$2459,$Z1316)</f>
        <v>2025-02-26</v>
      </c>
      <c r="AC1316" s="61" t="n">
        <f aca="false">INDEX(Datos_Origen!$H$2:$H$2459,$Z1316)</f>
        <v>38</v>
      </c>
      <c r="AD1316" s="61" t="str">
        <f aca="false">INDEX(Datos_Origen!$D$2:$D$2459,$Z1316)&amp;""</f>
        <v>Buenos Aires</v>
      </c>
    </row>
    <row r="1317" customFormat="false" ht="15" hidden="false" customHeight="false" outlineLevel="0" collapsed="false">
      <c r="A1317" s="61" t="n">
        <f aca="false">INDEX(Datos_Origen!$A$2:$A$2459,$Z1317)</f>
        <v>1316</v>
      </c>
      <c r="B1317" s="62" t="n">
        <f aca="false">IF(ISNUMBER($AB1317),$AB1317,IF(MID($AB1317,5,1)="-",DATE(VALUE(LEFT($AB1317,4)),VALUE(MID($AB1317,6,2)),VALUE(RIGHT($AB1317,2))),DATE(VALUE(RIGHT($AB1317,4)),VALUE(MID($AB1317,4,2)),VALUE(LEFT($AB1317,2)))))</f>
        <v>45694</v>
      </c>
      <c r="C1317" s="61" t="n">
        <f aca="false">YEAR($B1317)</f>
        <v>2025</v>
      </c>
      <c r="D1317" s="61" t="str">
        <f aca="false">"Q"&amp;ROUNDUP(MONTH($B1317)/3,0)</f>
        <v>Q1</v>
      </c>
      <c r="E1317" s="61" t="n">
        <f aca="false">MONTH($B1317)</f>
        <v>2</v>
      </c>
      <c r="F1317" s="61" t="str">
        <f aca="false">INDEX(Parametros!$I$5:$I$16,$E1317)</f>
        <v>Feb</v>
      </c>
      <c r="G1317" s="61" t="str">
        <f aca="false">TEXT($C1317,"0000")&amp;"-"&amp;TEXT($E1317,"00")</f>
        <v>2025-02</v>
      </c>
      <c r="H1317" s="61" t="str">
        <f aca="false">INDEX(Parametros!$C$71:$C$91,MATCH(TRIM(INDEX(Datos_Origen!$C$2:$C$2459,$Z1317)),Parametros!$B$71:$B$91,0))</f>
        <v>AMBA</v>
      </c>
      <c r="I1317" s="61" t="str">
        <f aca="false">IF(TRIM($AD1317)="",INDEX(Parametros!$I$20:$I$24,MATCH($H1317,Parametros!$H$20:$H$24,0)),TRIM($AD1317))</f>
        <v>Buenos Aires</v>
      </c>
      <c r="J1317" s="61" t="str">
        <f aca="false">INDEX(Parametros!$C$95:$C$106,MATCH(TRIM(INDEX(Datos_Origen!$E$2:$E$2459,$Z1317)),Parametros!$B$95:$B$106,0))</f>
        <v>E-commerce</v>
      </c>
      <c r="K1317" s="61" t="str">
        <f aca="false">INDEX(Parametros!$C$48:$C$67,MATCH(TRIM(INDEX(Datos_Origen!$F$2:$F$2459,$Z1317)),Parametros!$B$48:$B$67,0))</f>
        <v>Audio</v>
      </c>
      <c r="L1317" s="61" t="str">
        <f aca="false">$K1317&amp;" "&amp;$C1317</f>
        <v>Audio 2025</v>
      </c>
      <c r="M1317" s="61" t="str">
        <f aca="false">TRIM(INDEX(Datos_Origen!$G$2:$G$2459,$Z1317))</f>
        <v>Parlante Bluetooth</v>
      </c>
      <c r="N1317" s="61" t="str">
        <f aca="false">$M1317&amp;" "&amp;$C1317</f>
        <v>Parlante Bluetooth 2025</v>
      </c>
      <c r="O1317" s="63" t="n">
        <f aca="false">IF(ISTEXT($AC1317),VALUE($AC1317),$AC1317)</f>
        <v>20</v>
      </c>
      <c r="P1317" s="64" t="n">
        <f aca="false">INDEX(Datos_Origen!$I$2:$I$2459,$Z1317)</f>
        <v>84.46</v>
      </c>
      <c r="Q1317" s="64" t="n">
        <f aca="false">INDEX(Datos_Origen!$J$2:$J$2459,$Z1317)</f>
        <v>49.47</v>
      </c>
      <c r="R1317" s="65" t="n">
        <f aca="false">ROUND($O1317*$P1317,2)</f>
        <v>1689.2</v>
      </c>
      <c r="S1317" s="65" t="n">
        <f aca="false">ROUND($O1317*$Q1317,2)</f>
        <v>989.4</v>
      </c>
      <c r="T1317" s="65" t="n">
        <f aca="false">ROUND($R1317*SUMIFS(Parametros!$E$28:$E$43,Parametros!$B$28:$B$43,$J1317,Parametros!$C$28:$C$43,$C1317,Parametros!$D$28:$D$43,$D1317),2)</f>
        <v>114.87</v>
      </c>
      <c r="U1317" s="65" t="n">
        <f aca="false">$R1317-$S1317-$T1317</f>
        <v>584.93</v>
      </c>
      <c r="V1317" s="66" t="n">
        <f aca="false">IFERROR($U1317/$R1317,0)</f>
        <v>0.3462763438314</v>
      </c>
      <c r="W1317" s="67" t="str">
        <f aca="false">IF(AND($V1317&gt;=Parametros!$C$8,$R1317&gt;=Parametros!$C$12),"Alta rentabilidad",IF(OR($V1317&lt;Parametros!$C$11,$R1317&lt;Parametros!$C$13),"Revisar","Estandar"))</f>
        <v>Estandar</v>
      </c>
      <c r="X1317" s="67" t="str">
        <f aca="false">IF(AND($J1317="E-commerce",IFERROR($T1317/$R1317,0)&gt;Parametros!$C$14),"Alerta","OK")</f>
        <v>Alerta</v>
      </c>
      <c r="Y1317" s="61" t="str">
        <f aca="false">IF($R1317&gt;=Parametros!$C$12,"Alto",IF($R1317&lt;Parametros!$C$13,"Bajo","Medio"))</f>
        <v>Medio</v>
      </c>
      <c r="Z1317" s="61" t="n">
        <v>1595</v>
      </c>
      <c r="AA1317" s="61" t="str">
        <f aca="false">IF(MATCH($A1317,Datos_Origen!$A$2:$A$2459,0)=$Z1317,"OK","REVISAR")</f>
        <v>OK</v>
      </c>
      <c r="AB1317" s="62" t="n">
        <f aca="false">INDEX(Datos_Origen!$B$2:$B$2459,$Z1317)</f>
        <v>45694</v>
      </c>
      <c r="AC1317" s="61" t="str">
        <f aca="false">INDEX(Datos_Origen!$H$2:$H$2459,$Z1317)</f>
        <v>20</v>
      </c>
      <c r="AD1317" s="61" t="str">
        <f aca="false">INDEX(Datos_Origen!$D$2:$D$2459,$Z1317)&amp;""</f>
        <v>Buenos Aires</v>
      </c>
    </row>
    <row r="1318" customFormat="false" ht="15" hidden="false" customHeight="false" outlineLevel="0" collapsed="false">
      <c r="A1318" s="61" t="n">
        <f aca="false">INDEX(Datos_Origen!$A$2:$A$2459,$Z1318)</f>
        <v>1317</v>
      </c>
      <c r="B1318" s="62" t="n">
        <f aca="false">IF(ISNUMBER($AB1318),$AB1318,IF(MID($AB1318,5,1)="-",DATE(VALUE(LEFT($AB1318,4)),VALUE(MID($AB1318,6,2)),VALUE(RIGHT($AB1318,2))),DATE(VALUE(RIGHT($AB1318,4)),VALUE(MID($AB1318,4,2)),VALUE(LEFT($AB1318,2)))))</f>
        <v>45701</v>
      </c>
      <c r="C1318" s="61" t="n">
        <f aca="false">YEAR($B1318)</f>
        <v>2025</v>
      </c>
      <c r="D1318" s="61" t="str">
        <f aca="false">"Q"&amp;ROUNDUP(MONTH($B1318)/3,0)</f>
        <v>Q1</v>
      </c>
      <c r="E1318" s="61" t="n">
        <f aca="false">MONTH($B1318)</f>
        <v>2</v>
      </c>
      <c r="F1318" s="61" t="str">
        <f aca="false">INDEX(Parametros!$I$5:$I$16,$E1318)</f>
        <v>Feb</v>
      </c>
      <c r="G1318" s="61" t="str">
        <f aca="false">TEXT($C1318,"0000")&amp;"-"&amp;TEXT($E1318,"00")</f>
        <v>2025-02</v>
      </c>
      <c r="H1318" s="61" t="str">
        <f aca="false">INDEX(Parametros!$C$71:$C$91,MATCH(TRIM(INDEX(Datos_Origen!$C$2:$C$2459,$Z1318)),Parametros!$B$71:$B$91,0))</f>
        <v>AMBA</v>
      </c>
      <c r="I1318" s="61" t="str">
        <f aca="false">IF(TRIM($AD1318)="",INDEX(Parametros!$I$20:$I$24,MATCH($H1318,Parametros!$H$20:$H$24,0)),TRIM($AD1318))</f>
        <v>Buenos Aires</v>
      </c>
      <c r="J1318" s="61" t="str">
        <f aca="false">INDEX(Parametros!$C$95:$C$106,MATCH(TRIM(INDEX(Datos_Origen!$E$2:$E$2459,$Z1318)),Parametros!$B$95:$B$106,0))</f>
        <v>Tienda fisica</v>
      </c>
      <c r="K1318" s="61" t="str">
        <f aca="false">INDEX(Parametros!$C$48:$C$67,MATCH(TRIM(INDEX(Datos_Origen!$F$2:$F$2459,$Z1318)),Parametros!$B$48:$B$67,0))</f>
        <v>Almacenamiento</v>
      </c>
      <c r="L1318" s="61" t="str">
        <f aca="false">$K1318&amp;" "&amp;$C1318</f>
        <v>Almacenamiento 2025</v>
      </c>
      <c r="M1318" s="61" t="str">
        <f aca="false">TRIM(INDEX(Datos_Origen!$G$2:$G$2459,$Z1318))</f>
        <v>SSD Externo 1TB</v>
      </c>
      <c r="N1318" s="61" t="str">
        <f aca="false">$M1318&amp;" "&amp;$C1318</f>
        <v>SSD Externo 1TB 2025</v>
      </c>
      <c r="O1318" s="63" t="n">
        <f aca="false">IF(ISTEXT($AC1318),VALUE($AC1318),$AC1318)</f>
        <v>40</v>
      </c>
      <c r="P1318" s="64" t="n">
        <f aca="false">INDEX(Datos_Origen!$I$2:$I$2459,$Z1318)</f>
        <v>129.17</v>
      </c>
      <c r="Q1318" s="64" t="n">
        <f aca="false">INDEX(Datos_Origen!$J$2:$J$2459,$Z1318)</f>
        <v>78.33</v>
      </c>
      <c r="R1318" s="65" t="n">
        <f aca="false">ROUND($O1318*$P1318,2)</f>
        <v>5166.8</v>
      </c>
      <c r="S1318" s="65" t="n">
        <f aca="false">ROUND($O1318*$Q1318,2)</f>
        <v>3133.2</v>
      </c>
      <c r="T1318" s="65" t="n">
        <f aca="false">ROUND($R1318*SUMIFS(Parametros!$E$28:$E$43,Parametros!$B$28:$B$43,$J1318,Parametros!$C$28:$C$43,$C1318,Parametros!$D$28:$D$43,$D1318),2)</f>
        <v>67.17</v>
      </c>
      <c r="U1318" s="65" t="n">
        <f aca="false">$R1318-$S1318-$T1318</f>
        <v>1966.43</v>
      </c>
      <c r="V1318" s="66" t="n">
        <f aca="false">IFERROR($U1318/$R1318,0)</f>
        <v>0.380589533173338</v>
      </c>
      <c r="W1318" s="67" t="str">
        <f aca="false">IF(AND($V1318&gt;=Parametros!$C$8,$R1318&gt;=Parametros!$C$12),"Alta rentabilidad",IF(OR($V1318&lt;Parametros!$C$11,$R1318&lt;Parametros!$C$13),"Revisar","Estandar"))</f>
        <v>Alta rentabilidad</v>
      </c>
      <c r="X1318" s="67" t="str">
        <f aca="false">IF(AND($J1318="E-commerce",IFERROR($T1318/$R1318,0)&gt;Parametros!$C$14),"Alerta","OK")</f>
        <v>OK</v>
      </c>
      <c r="Y1318" s="61" t="str">
        <f aca="false">IF($R1318&gt;=Parametros!$C$12,"Alto",IF($R1318&lt;Parametros!$C$13,"Bajo","Medio"))</f>
        <v>Alto</v>
      </c>
      <c r="Z1318" s="61" t="n">
        <v>2285</v>
      </c>
      <c r="AA1318" s="61" t="str">
        <f aca="false">IF(MATCH($A1318,Datos_Origen!$A$2:$A$2459,0)=$Z1318,"OK","REVISAR")</f>
        <v>OK</v>
      </c>
      <c r="AB1318" s="61" t="str">
        <f aca="false">INDEX(Datos_Origen!$B$2:$B$2459,$Z1318)</f>
        <v>13/02/2025</v>
      </c>
      <c r="AC1318" s="61" t="n">
        <f aca="false">INDEX(Datos_Origen!$H$2:$H$2459,$Z1318)</f>
        <v>40</v>
      </c>
      <c r="AD1318" s="61" t="str">
        <f aca="false">INDEX(Datos_Origen!$D$2:$D$2459,$Z1318)&amp;""</f>
        <v/>
      </c>
    </row>
    <row r="1319" customFormat="false" ht="15" hidden="false" customHeight="false" outlineLevel="0" collapsed="false">
      <c r="A1319" s="61" t="n">
        <f aca="false">INDEX(Datos_Origen!$A$2:$A$2459,$Z1319)</f>
        <v>1318</v>
      </c>
      <c r="B1319" s="62" t="n">
        <f aca="false">IF(ISNUMBER($AB1319),$AB1319,IF(MID($AB1319,5,1)="-",DATE(VALUE(LEFT($AB1319,4)),VALUE(MID($AB1319,6,2)),VALUE(RIGHT($AB1319,2))),DATE(VALUE(RIGHT($AB1319,4)),VALUE(MID($AB1319,4,2)),VALUE(LEFT($AB1319,2)))))</f>
        <v>45708</v>
      </c>
      <c r="C1319" s="61" t="n">
        <f aca="false">YEAR($B1319)</f>
        <v>2025</v>
      </c>
      <c r="D1319" s="61" t="str">
        <f aca="false">"Q"&amp;ROUNDUP(MONTH($B1319)/3,0)</f>
        <v>Q1</v>
      </c>
      <c r="E1319" s="61" t="n">
        <f aca="false">MONTH($B1319)</f>
        <v>2</v>
      </c>
      <c r="F1319" s="61" t="str">
        <f aca="false">INDEX(Parametros!$I$5:$I$16,$E1319)</f>
        <v>Feb</v>
      </c>
      <c r="G1319" s="61" t="str">
        <f aca="false">TEXT($C1319,"0000")&amp;"-"&amp;TEXT($E1319,"00")</f>
        <v>2025-02</v>
      </c>
      <c r="H1319" s="61" t="str">
        <f aca="false">INDEX(Parametros!$C$71:$C$91,MATCH(TRIM(INDEX(Datos_Origen!$C$2:$C$2459,$Z1319)),Parametros!$B$71:$B$91,0))</f>
        <v>AMBA</v>
      </c>
      <c r="I1319" s="61" t="str">
        <f aca="false">IF(TRIM($AD1319)="",INDEX(Parametros!$I$20:$I$24,MATCH($H1319,Parametros!$H$20:$H$24,0)),TRIM($AD1319))</f>
        <v>Buenos Aires</v>
      </c>
      <c r="J1319" s="61" t="str">
        <f aca="false">INDEX(Parametros!$C$95:$C$106,MATCH(TRIM(INDEX(Datos_Origen!$E$2:$E$2459,$Z1319)),Parametros!$B$95:$B$106,0))</f>
        <v>E-commerce</v>
      </c>
      <c r="K1319" s="61" t="str">
        <f aca="false">INDEX(Parametros!$C$48:$C$67,MATCH(TRIM(INDEX(Datos_Origen!$F$2:$F$2459,$Z1319)),Parametros!$B$48:$B$67,0))</f>
        <v>Almacenamiento</v>
      </c>
      <c r="L1319" s="61" t="str">
        <f aca="false">$K1319&amp;" "&amp;$C1319</f>
        <v>Almacenamiento 2025</v>
      </c>
      <c r="M1319" s="61" t="str">
        <f aca="false">TRIM(INDEX(Datos_Origen!$G$2:$G$2459,$Z1319))</f>
        <v>SSD Externo 1TB</v>
      </c>
      <c r="N1319" s="61" t="str">
        <f aca="false">$M1319&amp;" "&amp;$C1319</f>
        <v>SSD Externo 1TB 2025</v>
      </c>
      <c r="O1319" s="63" t="n">
        <f aca="false">IF(ISTEXT($AC1319),VALUE($AC1319),$AC1319)</f>
        <v>30</v>
      </c>
      <c r="P1319" s="64" t="n">
        <f aca="false">INDEX(Datos_Origen!$I$2:$I$2459,$Z1319)</f>
        <v>129.17</v>
      </c>
      <c r="Q1319" s="64" t="n">
        <f aca="false">INDEX(Datos_Origen!$J$2:$J$2459,$Z1319)</f>
        <v>78.33</v>
      </c>
      <c r="R1319" s="65" t="n">
        <f aca="false">ROUND($O1319*$P1319,2)</f>
        <v>3875.1</v>
      </c>
      <c r="S1319" s="65" t="n">
        <f aca="false">ROUND($O1319*$Q1319,2)</f>
        <v>2349.9</v>
      </c>
      <c r="T1319" s="65" t="n">
        <f aca="false">ROUND($R1319*SUMIFS(Parametros!$E$28:$E$43,Parametros!$B$28:$B$43,$J1319,Parametros!$C$28:$C$43,$C1319,Parametros!$D$28:$D$43,$D1319),2)</f>
        <v>263.51</v>
      </c>
      <c r="U1319" s="65" t="n">
        <f aca="false">$R1319-$S1319-$T1319</f>
        <v>1261.69</v>
      </c>
      <c r="V1319" s="66" t="n">
        <f aca="false">IFERROR($U1319/$R1319,0)</f>
        <v>0.325589017057624</v>
      </c>
      <c r="W1319" s="67" t="str">
        <f aca="false">IF(AND($V1319&gt;=Parametros!$C$8,$R1319&gt;=Parametros!$C$12),"Alta rentabilidad",IF(OR($V1319&lt;Parametros!$C$11,$R1319&lt;Parametros!$C$13),"Revisar","Estandar"))</f>
        <v>Estandar</v>
      </c>
      <c r="X1319" s="67" t="str">
        <f aca="false">IF(AND($J1319="E-commerce",IFERROR($T1319/$R1319,0)&gt;Parametros!$C$14),"Alerta","OK")</f>
        <v>Alerta</v>
      </c>
      <c r="Y1319" s="61" t="str">
        <f aca="false">IF($R1319&gt;=Parametros!$C$12,"Alto",IF($R1319&lt;Parametros!$C$13,"Bajo","Medio"))</f>
        <v>Alto</v>
      </c>
      <c r="Z1319" s="61" t="n">
        <v>1676</v>
      </c>
      <c r="AA1319" s="61" t="str">
        <f aca="false">IF(MATCH($A1319,Datos_Origen!$A$2:$A$2459,0)=$Z1319,"OK","REVISAR")</f>
        <v>OK</v>
      </c>
      <c r="AB1319" s="62" t="n">
        <f aca="false">INDEX(Datos_Origen!$B$2:$B$2459,$Z1319)</f>
        <v>45708</v>
      </c>
      <c r="AC1319" s="61" t="n">
        <f aca="false">INDEX(Datos_Origen!$H$2:$H$2459,$Z1319)</f>
        <v>30</v>
      </c>
      <c r="AD1319" s="61" t="str">
        <f aca="false">INDEX(Datos_Origen!$D$2:$D$2459,$Z1319)&amp;""</f>
        <v>Buenos Aires</v>
      </c>
    </row>
    <row r="1320" customFormat="false" ht="15" hidden="false" customHeight="false" outlineLevel="0" collapsed="false">
      <c r="A1320" s="61" t="n">
        <f aca="false">INDEX(Datos_Origen!$A$2:$A$2459,$Z1320)</f>
        <v>1319</v>
      </c>
      <c r="B1320" s="62" t="n">
        <f aca="false">IF(ISNUMBER($AB1320),$AB1320,IF(MID($AB1320,5,1)="-",DATE(VALUE(LEFT($AB1320,4)),VALUE(MID($AB1320,6,2)),VALUE(RIGHT($AB1320,2))),DATE(VALUE(RIGHT($AB1320,4)),VALUE(MID($AB1320,4,2)),VALUE(LEFT($AB1320,2)))))</f>
        <v>45715</v>
      </c>
      <c r="C1320" s="61" t="n">
        <f aca="false">YEAR($B1320)</f>
        <v>2025</v>
      </c>
      <c r="D1320" s="61" t="str">
        <f aca="false">"Q"&amp;ROUNDUP(MONTH($B1320)/3,0)</f>
        <v>Q1</v>
      </c>
      <c r="E1320" s="61" t="n">
        <f aca="false">MONTH($B1320)</f>
        <v>2</v>
      </c>
      <c r="F1320" s="61" t="str">
        <f aca="false">INDEX(Parametros!$I$5:$I$16,$E1320)</f>
        <v>Feb</v>
      </c>
      <c r="G1320" s="61" t="str">
        <f aca="false">TEXT($C1320,"0000")&amp;"-"&amp;TEXT($E1320,"00")</f>
        <v>2025-02</v>
      </c>
      <c r="H1320" s="61" t="str">
        <f aca="false">INDEX(Parametros!$C$71:$C$91,MATCH(TRIM(INDEX(Datos_Origen!$C$2:$C$2459,$Z1320)),Parametros!$B$71:$B$91,0))</f>
        <v>AMBA</v>
      </c>
      <c r="I1320" s="61" t="str">
        <f aca="false">IF(TRIM($AD1320)="",INDEX(Parametros!$I$20:$I$24,MATCH($H1320,Parametros!$H$20:$H$24,0)),TRIM($AD1320))</f>
        <v>Buenos Aires</v>
      </c>
      <c r="J1320" s="61" t="str">
        <f aca="false">INDEX(Parametros!$C$95:$C$106,MATCH(TRIM(INDEX(Datos_Origen!$E$2:$E$2459,$Z1320)),Parametros!$B$95:$B$106,0))</f>
        <v>Tienda fisica</v>
      </c>
      <c r="K1320" s="61" t="str">
        <f aca="false">INDEX(Parametros!$C$48:$C$67,MATCH(TRIM(INDEX(Datos_Origen!$F$2:$F$2459,$Z1320)),Parametros!$B$48:$B$67,0))</f>
        <v>Almacenamiento</v>
      </c>
      <c r="L1320" s="61" t="str">
        <f aca="false">$K1320&amp;" "&amp;$C1320</f>
        <v>Almacenamiento 2025</v>
      </c>
      <c r="M1320" s="61" t="str">
        <f aca="false">TRIM(INDEX(Datos_Origen!$G$2:$G$2459,$Z1320))</f>
        <v>Pendrive 256GB</v>
      </c>
      <c r="N1320" s="61" t="str">
        <f aca="false">$M1320&amp;" "&amp;$C1320</f>
        <v>Pendrive 256GB 2025</v>
      </c>
      <c r="O1320" s="63" t="n">
        <f aca="false">IF(ISTEXT($AC1320),VALUE($AC1320),$AC1320)</f>
        <v>41</v>
      </c>
      <c r="P1320" s="64" t="n">
        <f aca="false">INDEX(Datos_Origen!$I$2:$I$2459,$Z1320)</f>
        <v>34.78</v>
      </c>
      <c r="Q1320" s="64" t="n">
        <f aca="false">INDEX(Datos_Origen!$J$2:$J$2459,$Z1320)</f>
        <v>18.39</v>
      </c>
      <c r="R1320" s="65" t="n">
        <f aca="false">ROUND($O1320*$P1320,2)</f>
        <v>1425.98</v>
      </c>
      <c r="S1320" s="65" t="n">
        <f aca="false">ROUND($O1320*$Q1320,2)</f>
        <v>753.99</v>
      </c>
      <c r="T1320" s="65" t="n">
        <f aca="false">ROUND($R1320*SUMIFS(Parametros!$E$28:$E$43,Parametros!$B$28:$B$43,$J1320,Parametros!$C$28:$C$43,$C1320,Parametros!$D$28:$D$43,$D1320),2)</f>
        <v>18.54</v>
      </c>
      <c r="U1320" s="65" t="n">
        <f aca="false">$R1320-$S1320-$T1320</f>
        <v>653.45</v>
      </c>
      <c r="V1320" s="66" t="n">
        <f aca="false">IFERROR($U1320/$R1320,0)</f>
        <v>0.458246258713306</v>
      </c>
      <c r="W1320" s="67" t="str">
        <f aca="false">IF(AND($V1320&gt;=Parametros!$C$8,$R1320&gt;=Parametros!$C$12),"Alta rentabilidad",IF(OR($V1320&lt;Parametros!$C$11,$R1320&lt;Parametros!$C$13),"Revisar","Estandar"))</f>
        <v>Estandar</v>
      </c>
      <c r="X1320" s="67" t="str">
        <f aca="false">IF(AND($J1320="E-commerce",IFERROR($T1320/$R1320,0)&gt;Parametros!$C$14),"Alerta","OK")</f>
        <v>OK</v>
      </c>
      <c r="Y1320" s="61" t="str">
        <f aca="false">IF($R1320&gt;=Parametros!$C$12,"Alto",IF($R1320&lt;Parametros!$C$13,"Bajo","Medio"))</f>
        <v>Medio</v>
      </c>
      <c r="Z1320" s="61" t="n">
        <v>1749</v>
      </c>
      <c r="AA1320" s="61" t="str">
        <f aca="false">IF(MATCH($A1320,Datos_Origen!$A$2:$A$2459,0)=$Z1320,"OK","REVISAR")</f>
        <v>OK</v>
      </c>
      <c r="AB1320" s="61" t="str">
        <f aca="false">INDEX(Datos_Origen!$B$2:$B$2459,$Z1320)</f>
        <v>27/02/2025</v>
      </c>
      <c r="AC1320" s="61" t="n">
        <f aca="false">INDEX(Datos_Origen!$H$2:$H$2459,$Z1320)</f>
        <v>41</v>
      </c>
      <c r="AD1320" s="61" t="str">
        <f aca="false">INDEX(Datos_Origen!$D$2:$D$2459,$Z1320)&amp;""</f>
        <v>Buenos Aires</v>
      </c>
    </row>
    <row r="1321" customFormat="false" ht="15" hidden="false" customHeight="false" outlineLevel="0" collapsed="false">
      <c r="A1321" s="61" t="n">
        <f aca="false">INDEX(Datos_Origen!$A$2:$A$2459,$Z1321)</f>
        <v>1320</v>
      </c>
      <c r="B1321" s="62" t="n">
        <f aca="false">IF(ISNUMBER($AB1321),$AB1321,IF(MID($AB1321,5,1)="-",DATE(VALUE(LEFT($AB1321,4)),VALUE(MID($AB1321,6,2)),VALUE(RIGHT($AB1321,2))),DATE(VALUE(RIGHT($AB1321,4)),VALUE(MID($AB1321,4,2)),VALUE(LEFT($AB1321,2)))))</f>
        <v>45695</v>
      </c>
      <c r="C1321" s="61" t="n">
        <f aca="false">YEAR($B1321)</f>
        <v>2025</v>
      </c>
      <c r="D1321" s="61" t="str">
        <f aca="false">"Q"&amp;ROUNDUP(MONTH($B1321)/3,0)</f>
        <v>Q1</v>
      </c>
      <c r="E1321" s="61" t="n">
        <f aca="false">MONTH($B1321)</f>
        <v>2</v>
      </c>
      <c r="F1321" s="61" t="str">
        <f aca="false">INDEX(Parametros!$I$5:$I$16,$E1321)</f>
        <v>Feb</v>
      </c>
      <c r="G1321" s="61" t="str">
        <f aca="false">TEXT($C1321,"0000")&amp;"-"&amp;TEXT($E1321,"00")</f>
        <v>2025-02</v>
      </c>
      <c r="H1321" s="61" t="str">
        <f aca="false">INDEX(Parametros!$C$71:$C$91,MATCH(TRIM(INDEX(Datos_Origen!$C$2:$C$2459,$Z1321)),Parametros!$B$71:$B$91,0))</f>
        <v>AMBA</v>
      </c>
      <c r="I1321" s="61" t="str">
        <f aca="false">IF(TRIM($AD1321)="",INDEX(Parametros!$I$20:$I$24,MATCH($H1321,Parametros!$H$20:$H$24,0)),TRIM($AD1321))</f>
        <v>Buenos Aires</v>
      </c>
      <c r="J1321" s="61" t="str">
        <f aca="false">INDEX(Parametros!$C$95:$C$106,MATCH(TRIM(INDEX(Datos_Origen!$E$2:$E$2459,$Z1321)),Parametros!$B$95:$B$106,0))</f>
        <v>E-commerce</v>
      </c>
      <c r="K1321" s="61" t="str">
        <f aca="false">INDEX(Parametros!$C$48:$C$67,MATCH(TRIM(INDEX(Datos_Origen!$F$2:$F$2459,$Z1321)),Parametros!$B$48:$B$67,0))</f>
        <v>Almacenamiento</v>
      </c>
      <c r="L1321" s="61" t="str">
        <f aca="false">$K1321&amp;" "&amp;$C1321</f>
        <v>Almacenamiento 2025</v>
      </c>
      <c r="M1321" s="61" t="str">
        <f aca="false">TRIM(INDEX(Datos_Origen!$G$2:$G$2459,$Z1321))</f>
        <v>Pendrive 256GB</v>
      </c>
      <c r="N1321" s="61" t="str">
        <f aca="false">$M1321&amp;" "&amp;$C1321</f>
        <v>Pendrive 256GB 2025</v>
      </c>
      <c r="O1321" s="63" t="n">
        <f aca="false">IF(ISTEXT($AC1321),VALUE($AC1321),$AC1321)</f>
        <v>27</v>
      </c>
      <c r="P1321" s="64" t="n">
        <f aca="false">INDEX(Datos_Origen!$I$2:$I$2459,$Z1321)</f>
        <v>34.78</v>
      </c>
      <c r="Q1321" s="64" t="n">
        <f aca="false">INDEX(Datos_Origen!$J$2:$J$2459,$Z1321)</f>
        <v>18.39</v>
      </c>
      <c r="R1321" s="65" t="n">
        <f aca="false">ROUND($O1321*$P1321,2)</f>
        <v>939.06</v>
      </c>
      <c r="S1321" s="65" t="n">
        <f aca="false">ROUND($O1321*$Q1321,2)</f>
        <v>496.53</v>
      </c>
      <c r="T1321" s="65" t="n">
        <f aca="false">ROUND($R1321*SUMIFS(Parametros!$E$28:$E$43,Parametros!$B$28:$B$43,$J1321,Parametros!$C$28:$C$43,$C1321,Parametros!$D$28:$D$43,$D1321),2)</f>
        <v>63.86</v>
      </c>
      <c r="U1321" s="65" t="n">
        <f aca="false">$R1321-$S1321-$T1321</f>
        <v>378.67</v>
      </c>
      <c r="V1321" s="66" t="n">
        <f aca="false">IFERROR($U1321/$R1321,0)</f>
        <v>0.403243669201116</v>
      </c>
      <c r="W1321" s="67" t="str">
        <f aca="false">IF(AND($V1321&gt;=Parametros!$C$8,$R1321&gt;=Parametros!$C$12),"Alta rentabilidad",IF(OR($V1321&lt;Parametros!$C$11,$R1321&lt;Parametros!$C$13),"Revisar","Estandar"))</f>
        <v>Estandar</v>
      </c>
      <c r="X1321" s="67" t="str">
        <f aca="false">IF(AND($J1321="E-commerce",IFERROR($T1321/$R1321,0)&gt;Parametros!$C$14),"Alerta","OK")</f>
        <v>Alerta</v>
      </c>
      <c r="Y1321" s="61" t="str">
        <f aca="false">IF($R1321&gt;=Parametros!$C$12,"Alto",IF($R1321&lt;Parametros!$C$13,"Bajo","Medio"))</f>
        <v>Medio</v>
      </c>
      <c r="Z1321" s="61" t="n">
        <v>2144</v>
      </c>
      <c r="AA1321" s="61" t="str">
        <f aca="false">IF(MATCH($A1321,Datos_Origen!$A$2:$A$2459,0)=$Z1321,"OK","REVISAR")</f>
        <v>OK</v>
      </c>
      <c r="AB1321" s="62" t="n">
        <f aca="false">INDEX(Datos_Origen!$B$2:$B$2459,$Z1321)</f>
        <v>45695</v>
      </c>
      <c r="AC1321" s="61" t="n">
        <f aca="false">INDEX(Datos_Origen!$H$2:$H$2459,$Z1321)</f>
        <v>27</v>
      </c>
      <c r="AD1321" s="61" t="str">
        <f aca="false">INDEX(Datos_Origen!$D$2:$D$2459,$Z1321)&amp;""</f>
        <v>Buenos Aires</v>
      </c>
    </row>
    <row r="1322" customFormat="false" ht="15" hidden="false" customHeight="false" outlineLevel="0" collapsed="false">
      <c r="A1322" s="61" t="n">
        <f aca="false">INDEX(Datos_Origen!$A$2:$A$2459,$Z1322)</f>
        <v>1321</v>
      </c>
      <c r="B1322" s="62" t="n">
        <f aca="false">IF(ISNUMBER($AB1322),$AB1322,IF(MID($AB1322,5,1)="-",DATE(VALUE(LEFT($AB1322,4)),VALUE(MID($AB1322,6,2)),VALUE(RIGHT($AB1322,2))),DATE(VALUE(RIGHT($AB1322,4)),VALUE(MID($AB1322,4,2)),VALUE(LEFT($AB1322,2)))))</f>
        <v>45702</v>
      </c>
      <c r="C1322" s="61" t="n">
        <f aca="false">YEAR($B1322)</f>
        <v>2025</v>
      </c>
      <c r="D1322" s="61" t="str">
        <f aca="false">"Q"&amp;ROUNDUP(MONTH($B1322)/3,0)</f>
        <v>Q1</v>
      </c>
      <c r="E1322" s="61" t="n">
        <f aca="false">MONTH($B1322)</f>
        <v>2</v>
      </c>
      <c r="F1322" s="61" t="str">
        <f aca="false">INDEX(Parametros!$I$5:$I$16,$E1322)</f>
        <v>Feb</v>
      </c>
      <c r="G1322" s="61" t="str">
        <f aca="false">TEXT($C1322,"0000")&amp;"-"&amp;TEXT($E1322,"00")</f>
        <v>2025-02</v>
      </c>
      <c r="H1322" s="61" t="str">
        <f aca="false">INDEX(Parametros!$C$71:$C$91,MATCH(TRIM(INDEX(Datos_Origen!$C$2:$C$2459,$Z1322)),Parametros!$B$71:$B$91,0))</f>
        <v>Centro</v>
      </c>
      <c r="I1322" s="61" t="str">
        <f aca="false">IF(TRIM($AD1322)="",INDEX(Parametros!$I$20:$I$24,MATCH($H1322,Parametros!$H$20:$H$24,0)),TRIM($AD1322))</f>
        <v>Cordoba</v>
      </c>
      <c r="J1322" s="61" t="str">
        <f aca="false">INDEX(Parametros!$C$95:$C$106,MATCH(TRIM(INDEX(Datos_Origen!$E$2:$E$2459,$Z1322)),Parametros!$B$95:$B$106,0))</f>
        <v>Tienda fisica</v>
      </c>
      <c r="K1322" s="61" t="str">
        <f aca="false">INDEX(Parametros!$C$48:$C$67,MATCH(TRIM(INDEX(Datos_Origen!$F$2:$F$2459,$Z1322)),Parametros!$B$48:$B$67,0))</f>
        <v>Computacion</v>
      </c>
      <c r="L1322" s="61" t="str">
        <f aca="false">$K1322&amp;" "&amp;$C1322</f>
        <v>Computacion 2025</v>
      </c>
      <c r="M1322" s="61" t="str">
        <f aca="false">TRIM(INDEX(Datos_Origen!$G$2:$G$2459,$Z1322))</f>
        <v>Laptop Pro 15</v>
      </c>
      <c r="N1322" s="61" t="str">
        <f aca="false">$M1322&amp;" "&amp;$C1322</f>
        <v>Laptop Pro 15 2025</v>
      </c>
      <c r="O1322" s="63" t="n">
        <f aca="false">IF(ISTEXT($AC1322),VALUE($AC1322),$AC1322)</f>
        <v>8</v>
      </c>
      <c r="P1322" s="64" t="n">
        <f aca="false">INDEX(Datos_Origen!$I$2:$I$2459,$Z1322)</f>
        <v>1155.06</v>
      </c>
      <c r="Q1322" s="64" t="n">
        <f aca="false">INDEX(Datos_Origen!$J$2:$J$2459,$Z1322)</f>
        <v>766.32</v>
      </c>
      <c r="R1322" s="65" t="n">
        <f aca="false">ROUND($O1322*$P1322,2)</f>
        <v>9240.48</v>
      </c>
      <c r="S1322" s="65" t="n">
        <f aca="false">ROUND($O1322*$Q1322,2)</f>
        <v>6130.56</v>
      </c>
      <c r="T1322" s="65" t="n">
        <f aca="false">ROUND($R1322*SUMIFS(Parametros!$E$28:$E$43,Parametros!$B$28:$B$43,$J1322,Parametros!$C$28:$C$43,$C1322,Parametros!$D$28:$D$43,$D1322),2)</f>
        <v>120.13</v>
      </c>
      <c r="U1322" s="65" t="n">
        <f aca="false">$R1322-$S1322-$T1322</f>
        <v>2989.79</v>
      </c>
      <c r="V1322" s="66" t="n">
        <f aca="false">IFERROR($U1322/$R1322,0)</f>
        <v>0.323553538344328</v>
      </c>
      <c r="W1322" s="67" t="str">
        <f aca="false">IF(AND($V1322&gt;=Parametros!$C$8,$R1322&gt;=Parametros!$C$12),"Alta rentabilidad",IF(OR($V1322&lt;Parametros!$C$11,$R1322&lt;Parametros!$C$13),"Revisar","Estandar"))</f>
        <v>Estandar</v>
      </c>
      <c r="X1322" s="67" t="str">
        <f aca="false">IF(AND($J1322="E-commerce",IFERROR($T1322/$R1322,0)&gt;Parametros!$C$14),"Alerta","OK")</f>
        <v>OK</v>
      </c>
      <c r="Y1322" s="61" t="str">
        <f aca="false">IF($R1322&gt;=Parametros!$C$12,"Alto",IF($R1322&lt;Parametros!$C$13,"Bajo","Medio"))</f>
        <v>Alto</v>
      </c>
      <c r="Z1322" s="61" t="n">
        <v>1336</v>
      </c>
      <c r="AA1322" s="61" t="str">
        <f aca="false">IF(MATCH($A1322,Datos_Origen!$A$2:$A$2459,0)=$Z1322,"OK","REVISAR")</f>
        <v>OK</v>
      </c>
      <c r="AB1322" s="61" t="str">
        <f aca="false">INDEX(Datos_Origen!$B$2:$B$2459,$Z1322)</f>
        <v>2025-02-14</v>
      </c>
      <c r="AC1322" s="61" t="n">
        <f aca="false">INDEX(Datos_Origen!$H$2:$H$2459,$Z1322)</f>
        <v>8</v>
      </c>
      <c r="AD1322" s="61" t="str">
        <f aca="false">INDEX(Datos_Origen!$D$2:$D$2459,$Z1322)&amp;""</f>
        <v>Cordoba</v>
      </c>
    </row>
    <row r="1323" customFormat="false" ht="15" hidden="false" customHeight="false" outlineLevel="0" collapsed="false">
      <c r="A1323" s="61" t="n">
        <f aca="false">INDEX(Datos_Origen!$A$2:$A$2459,$Z1323)</f>
        <v>1322</v>
      </c>
      <c r="B1323" s="62" t="n">
        <f aca="false">IF(ISNUMBER($AB1323),$AB1323,IF(MID($AB1323,5,1)="-",DATE(VALUE(LEFT($AB1323,4)),VALUE(MID($AB1323,6,2)),VALUE(RIGHT($AB1323,2))),DATE(VALUE(RIGHT($AB1323,4)),VALUE(MID($AB1323,4,2)),VALUE(LEFT($AB1323,2)))))</f>
        <v>45709</v>
      </c>
      <c r="C1323" s="61" t="n">
        <f aca="false">YEAR($B1323)</f>
        <v>2025</v>
      </c>
      <c r="D1323" s="61" t="str">
        <f aca="false">"Q"&amp;ROUNDUP(MONTH($B1323)/3,0)</f>
        <v>Q1</v>
      </c>
      <c r="E1323" s="61" t="n">
        <f aca="false">MONTH($B1323)</f>
        <v>2</v>
      </c>
      <c r="F1323" s="61" t="str">
        <f aca="false">INDEX(Parametros!$I$5:$I$16,$E1323)</f>
        <v>Feb</v>
      </c>
      <c r="G1323" s="61" t="str">
        <f aca="false">TEXT($C1323,"0000")&amp;"-"&amp;TEXT($E1323,"00")</f>
        <v>2025-02</v>
      </c>
      <c r="H1323" s="61" t="str">
        <f aca="false">INDEX(Parametros!$C$71:$C$91,MATCH(TRIM(INDEX(Datos_Origen!$C$2:$C$2459,$Z1323)),Parametros!$B$71:$B$91,0))</f>
        <v>Centro</v>
      </c>
      <c r="I1323" s="61" t="str">
        <f aca="false">IF(TRIM($AD1323)="",INDEX(Parametros!$I$20:$I$24,MATCH($H1323,Parametros!$H$20:$H$24,0)),TRIM($AD1323))</f>
        <v>Cordoba</v>
      </c>
      <c r="J1323" s="61" t="str">
        <f aca="false">INDEX(Parametros!$C$95:$C$106,MATCH(TRIM(INDEX(Datos_Origen!$E$2:$E$2459,$Z1323)),Parametros!$B$95:$B$106,0))</f>
        <v>E-commerce</v>
      </c>
      <c r="K1323" s="61" t="str">
        <f aca="false">INDEX(Parametros!$C$48:$C$67,MATCH(TRIM(INDEX(Datos_Origen!$F$2:$F$2459,$Z1323)),Parametros!$B$48:$B$67,0))</f>
        <v>Computacion</v>
      </c>
      <c r="L1323" s="61" t="str">
        <f aca="false">$K1323&amp;" "&amp;$C1323</f>
        <v>Computacion 2025</v>
      </c>
      <c r="M1323" s="61" t="str">
        <f aca="false">TRIM(INDEX(Datos_Origen!$G$2:$G$2459,$Z1323))</f>
        <v>Laptop Pro 15</v>
      </c>
      <c r="N1323" s="61" t="str">
        <f aca="false">$M1323&amp;" "&amp;$C1323</f>
        <v>Laptop Pro 15 2025</v>
      </c>
      <c r="O1323" s="63" t="n">
        <f aca="false">IF(ISTEXT($AC1323),VALUE($AC1323),$AC1323)</f>
        <v>6</v>
      </c>
      <c r="P1323" s="64" t="n">
        <f aca="false">INDEX(Datos_Origen!$I$2:$I$2459,$Z1323)</f>
        <v>1155.06</v>
      </c>
      <c r="Q1323" s="64" t="n">
        <f aca="false">INDEX(Datos_Origen!$J$2:$J$2459,$Z1323)</f>
        <v>766.32</v>
      </c>
      <c r="R1323" s="65" t="n">
        <f aca="false">ROUND($O1323*$P1323,2)</f>
        <v>6930.36</v>
      </c>
      <c r="S1323" s="65" t="n">
        <f aca="false">ROUND($O1323*$Q1323,2)</f>
        <v>4597.92</v>
      </c>
      <c r="T1323" s="65" t="n">
        <f aca="false">ROUND($R1323*SUMIFS(Parametros!$E$28:$E$43,Parametros!$B$28:$B$43,$J1323,Parametros!$C$28:$C$43,$C1323,Parametros!$D$28:$D$43,$D1323),2)</f>
        <v>471.26</v>
      </c>
      <c r="U1323" s="65" t="n">
        <f aca="false">$R1323-$S1323-$T1323</f>
        <v>1861.18</v>
      </c>
      <c r="V1323" s="66" t="n">
        <f aca="false">IFERROR($U1323/$R1323,0)</f>
        <v>0.268554591680663</v>
      </c>
      <c r="W1323" s="67" t="str">
        <f aca="false">IF(AND($V1323&gt;=Parametros!$C$8,$R1323&gt;=Parametros!$C$12),"Alta rentabilidad",IF(OR($V1323&lt;Parametros!$C$11,$R1323&lt;Parametros!$C$13),"Revisar","Estandar"))</f>
        <v>Revisar</v>
      </c>
      <c r="X1323" s="67" t="str">
        <f aca="false">IF(AND($J1323="E-commerce",IFERROR($T1323/$R1323,0)&gt;Parametros!$C$14),"Alerta","OK")</f>
        <v>Alerta</v>
      </c>
      <c r="Y1323" s="61" t="str">
        <f aca="false">IF($R1323&gt;=Parametros!$C$12,"Alto",IF($R1323&lt;Parametros!$C$13,"Bajo","Medio"))</f>
        <v>Alto</v>
      </c>
      <c r="Z1323" s="61" t="n">
        <v>709</v>
      </c>
      <c r="AA1323" s="61" t="str">
        <f aca="false">IF(MATCH($A1323,Datos_Origen!$A$2:$A$2459,0)=$Z1323,"OK","REVISAR")</f>
        <v>OK</v>
      </c>
      <c r="AB1323" s="62" t="n">
        <f aca="false">INDEX(Datos_Origen!$B$2:$B$2459,$Z1323)</f>
        <v>45709</v>
      </c>
      <c r="AC1323" s="61" t="n">
        <f aca="false">INDEX(Datos_Origen!$H$2:$H$2459,$Z1323)</f>
        <v>6</v>
      </c>
      <c r="AD1323" s="61" t="str">
        <f aca="false">INDEX(Datos_Origen!$D$2:$D$2459,$Z1323)&amp;""</f>
        <v/>
      </c>
    </row>
    <row r="1324" customFormat="false" ht="15" hidden="false" customHeight="false" outlineLevel="0" collapsed="false">
      <c r="A1324" s="61" t="n">
        <f aca="false">INDEX(Datos_Origen!$A$2:$A$2459,$Z1324)</f>
        <v>1323</v>
      </c>
      <c r="B1324" s="62" t="n">
        <f aca="false">IF(ISNUMBER($AB1324),$AB1324,IF(MID($AB1324,5,1)="-",DATE(VALUE(LEFT($AB1324,4)),VALUE(MID($AB1324,6,2)),VALUE(RIGHT($AB1324,2))),DATE(VALUE(RIGHT($AB1324,4)),VALUE(MID($AB1324,4,2)),VALUE(LEFT($AB1324,2)))))</f>
        <v>45689</v>
      </c>
      <c r="C1324" s="61" t="n">
        <f aca="false">YEAR($B1324)</f>
        <v>2025</v>
      </c>
      <c r="D1324" s="61" t="str">
        <f aca="false">"Q"&amp;ROUNDUP(MONTH($B1324)/3,0)</f>
        <v>Q1</v>
      </c>
      <c r="E1324" s="61" t="n">
        <f aca="false">MONTH($B1324)</f>
        <v>2</v>
      </c>
      <c r="F1324" s="61" t="str">
        <f aca="false">INDEX(Parametros!$I$5:$I$16,$E1324)</f>
        <v>Feb</v>
      </c>
      <c r="G1324" s="61" t="str">
        <f aca="false">TEXT($C1324,"0000")&amp;"-"&amp;TEXT($E1324,"00")</f>
        <v>2025-02</v>
      </c>
      <c r="H1324" s="61" t="str">
        <f aca="false">INDEX(Parametros!$C$71:$C$91,MATCH(TRIM(INDEX(Datos_Origen!$C$2:$C$2459,$Z1324)),Parametros!$B$71:$B$91,0))</f>
        <v>Centro</v>
      </c>
      <c r="I1324" s="61" t="str">
        <f aca="false">IF(TRIM($AD1324)="",INDEX(Parametros!$I$20:$I$24,MATCH($H1324,Parametros!$H$20:$H$24,0)),TRIM($AD1324))</f>
        <v>Cordoba</v>
      </c>
      <c r="J1324" s="61" t="str">
        <f aca="false">INDEX(Parametros!$C$95:$C$106,MATCH(TRIM(INDEX(Datos_Origen!$E$2:$E$2459,$Z1324)),Parametros!$B$95:$B$106,0))</f>
        <v>Tienda fisica</v>
      </c>
      <c r="K1324" s="61" t="str">
        <f aca="false">INDEX(Parametros!$C$48:$C$67,MATCH(TRIM(INDEX(Datos_Origen!$F$2:$F$2459,$Z1324)),Parametros!$B$48:$B$67,0))</f>
        <v>Computacion</v>
      </c>
      <c r="L1324" s="61" t="str">
        <f aca="false">$K1324&amp;" "&amp;$C1324</f>
        <v>Computacion 2025</v>
      </c>
      <c r="M1324" s="61" t="str">
        <f aca="false">TRIM(INDEX(Datos_Origen!$G$2:$G$2459,$Z1324))</f>
        <v>Monitor 4K 27</v>
      </c>
      <c r="N1324" s="61" t="str">
        <f aca="false">$M1324&amp;" "&amp;$C1324</f>
        <v>Monitor 4K 27 2025</v>
      </c>
      <c r="O1324" s="63" t="n">
        <f aca="false">IF(ISTEXT($AC1324),VALUE($AC1324),$AC1324)</f>
        <v>10</v>
      </c>
      <c r="P1324" s="64" t="n">
        <f aca="false">INDEX(Datos_Origen!$I$2:$I$2459,$Z1324)</f>
        <v>433.15</v>
      </c>
      <c r="Q1324" s="64" t="n">
        <f aca="false">INDEX(Datos_Origen!$J$2:$J$2459,$Z1324)</f>
        <v>280.42</v>
      </c>
      <c r="R1324" s="65" t="n">
        <f aca="false">ROUND($O1324*$P1324,2)</f>
        <v>4331.5</v>
      </c>
      <c r="S1324" s="65" t="n">
        <f aca="false">ROUND($O1324*$Q1324,2)</f>
        <v>2804.2</v>
      </c>
      <c r="T1324" s="65" t="n">
        <f aca="false">ROUND($R1324*SUMIFS(Parametros!$E$28:$E$43,Parametros!$B$28:$B$43,$J1324,Parametros!$C$28:$C$43,$C1324,Parametros!$D$28:$D$43,$D1324),2)</f>
        <v>56.31</v>
      </c>
      <c r="U1324" s="65" t="n">
        <f aca="false">$R1324-$S1324-$T1324</f>
        <v>1470.99</v>
      </c>
      <c r="V1324" s="66" t="n">
        <f aca="false">IFERROR($U1324/$R1324,0)</f>
        <v>0.339602908923006</v>
      </c>
      <c r="W1324" s="67" t="str">
        <f aca="false">IF(AND($V1324&gt;=Parametros!$C$8,$R1324&gt;=Parametros!$C$12),"Alta rentabilidad",IF(OR($V1324&lt;Parametros!$C$11,$R1324&lt;Parametros!$C$13),"Revisar","Estandar"))</f>
        <v>Estandar</v>
      </c>
      <c r="X1324" s="67" t="str">
        <f aca="false">IF(AND($J1324="E-commerce",IFERROR($T1324/$R1324,0)&gt;Parametros!$C$14),"Alerta","OK")</f>
        <v>OK</v>
      </c>
      <c r="Y1324" s="61" t="str">
        <f aca="false">IF($R1324&gt;=Parametros!$C$12,"Alto",IF($R1324&lt;Parametros!$C$13,"Bajo","Medio"))</f>
        <v>Alto</v>
      </c>
      <c r="Z1324" s="61" t="n">
        <v>2246</v>
      </c>
      <c r="AA1324" s="61" t="str">
        <f aca="false">IF(MATCH($A1324,Datos_Origen!$A$2:$A$2459,0)=$Z1324,"OK","REVISAR")</f>
        <v>OK</v>
      </c>
      <c r="AB1324" s="62" t="n">
        <f aca="false">INDEX(Datos_Origen!$B$2:$B$2459,$Z1324)</f>
        <v>45689</v>
      </c>
      <c r="AC1324" s="61" t="n">
        <f aca="false">INDEX(Datos_Origen!$H$2:$H$2459,$Z1324)</f>
        <v>10</v>
      </c>
      <c r="AD1324" s="61" t="str">
        <f aca="false">INDEX(Datos_Origen!$D$2:$D$2459,$Z1324)&amp;""</f>
        <v>Cordoba</v>
      </c>
    </row>
    <row r="1325" customFormat="false" ht="15" hidden="false" customHeight="false" outlineLevel="0" collapsed="false">
      <c r="A1325" s="61" t="n">
        <f aca="false">INDEX(Datos_Origen!$A$2:$A$2459,$Z1325)</f>
        <v>1324</v>
      </c>
      <c r="B1325" s="62" t="n">
        <f aca="false">IF(ISNUMBER($AB1325),$AB1325,IF(MID($AB1325,5,1)="-",DATE(VALUE(LEFT($AB1325,4)),VALUE(MID($AB1325,6,2)),VALUE(RIGHT($AB1325,2))),DATE(VALUE(RIGHT($AB1325,4)),VALUE(MID($AB1325,4,2)),VALUE(LEFT($AB1325,2)))))</f>
        <v>45696</v>
      </c>
      <c r="C1325" s="61" t="n">
        <f aca="false">YEAR($B1325)</f>
        <v>2025</v>
      </c>
      <c r="D1325" s="61" t="str">
        <f aca="false">"Q"&amp;ROUNDUP(MONTH($B1325)/3,0)</f>
        <v>Q1</v>
      </c>
      <c r="E1325" s="61" t="n">
        <f aca="false">MONTH($B1325)</f>
        <v>2</v>
      </c>
      <c r="F1325" s="61" t="str">
        <f aca="false">INDEX(Parametros!$I$5:$I$16,$E1325)</f>
        <v>Feb</v>
      </c>
      <c r="G1325" s="61" t="str">
        <f aca="false">TEXT($C1325,"0000")&amp;"-"&amp;TEXT($E1325,"00")</f>
        <v>2025-02</v>
      </c>
      <c r="H1325" s="61" t="str">
        <f aca="false">INDEX(Parametros!$C$71:$C$91,MATCH(TRIM(INDEX(Datos_Origen!$C$2:$C$2459,$Z1325)),Parametros!$B$71:$B$91,0))</f>
        <v>Centro</v>
      </c>
      <c r="I1325" s="61" t="str">
        <f aca="false">IF(TRIM($AD1325)="",INDEX(Parametros!$I$20:$I$24,MATCH($H1325,Parametros!$H$20:$H$24,0)),TRIM($AD1325))</f>
        <v>Cordoba</v>
      </c>
      <c r="J1325" s="61" t="str">
        <f aca="false">INDEX(Parametros!$C$95:$C$106,MATCH(TRIM(INDEX(Datos_Origen!$E$2:$E$2459,$Z1325)),Parametros!$B$95:$B$106,0))</f>
        <v>E-commerce</v>
      </c>
      <c r="K1325" s="61" t="str">
        <f aca="false">INDEX(Parametros!$C$48:$C$67,MATCH(TRIM(INDEX(Datos_Origen!$F$2:$F$2459,$Z1325)),Parametros!$B$48:$B$67,0))</f>
        <v>Computacion</v>
      </c>
      <c r="L1325" s="61" t="str">
        <f aca="false">$K1325&amp;" "&amp;$C1325</f>
        <v>Computacion 2025</v>
      </c>
      <c r="M1325" s="61" t="str">
        <f aca="false">TRIM(INDEX(Datos_Origen!$G$2:$G$2459,$Z1325))</f>
        <v>Monitor 4K 27</v>
      </c>
      <c r="N1325" s="61" t="str">
        <f aca="false">$M1325&amp;" "&amp;$C1325</f>
        <v>Monitor 4K 27 2025</v>
      </c>
      <c r="O1325" s="63" t="n">
        <f aca="false">IF(ISTEXT($AC1325),VALUE($AC1325),$AC1325)</f>
        <v>7</v>
      </c>
      <c r="P1325" s="64" t="n">
        <f aca="false">INDEX(Datos_Origen!$I$2:$I$2459,$Z1325)</f>
        <v>433.15</v>
      </c>
      <c r="Q1325" s="64" t="n">
        <f aca="false">INDEX(Datos_Origen!$J$2:$J$2459,$Z1325)</f>
        <v>280.42</v>
      </c>
      <c r="R1325" s="65" t="n">
        <f aca="false">ROUND($O1325*$P1325,2)</f>
        <v>3032.05</v>
      </c>
      <c r="S1325" s="65" t="n">
        <f aca="false">ROUND($O1325*$Q1325,2)</f>
        <v>1962.94</v>
      </c>
      <c r="T1325" s="65" t="n">
        <f aca="false">ROUND($R1325*SUMIFS(Parametros!$E$28:$E$43,Parametros!$B$28:$B$43,$J1325,Parametros!$C$28:$C$43,$C1325,Parametros!$D$28:$D$43,$D1325),2)</f>
        <v>206.18</v>
      </c>
      <c r="U1325" s="65" t="n">
        <f aca="false">$R1325-$S1325-$T1325</f>
        <v>862.93</v>
      </c>
      <c r="V1325" s="66" t="n">
        <f aca="false">IFERROR($U1325/$R1325,0)</f>
        <v>0.28460282647054</v>
      </c>
      <c r="W1325" s="67" t="str">
        <f aca="false">IF(AND($V1325&gt;=Parametros!$C$8,$R1325&gt;=Parametros!$C$12),"Alta rentabilidad",IF(OR($V1325&lt;Parametros!$C$11,$R1325&lt;Parametros!$C$13),"Revisar","Estandar"))</f>
        <v>Estandar</v>
      </c>
      <c r="X1325" s="67" t="str">
        <f aca="false">IF(AND($J1325="E-commerce",IFERROR($T1325/$R1325,0)&gt;Parametros!$C$14),"Alerta","OK")</f>
        <v>Alerta</v>
      </c>
      <c r="Y1325" s="61" t="str">
        <f aca="false">IF($R1325&gt;=Parametros!$C$12,"Alto",IF($R1325&lt;Parametros!$C$13,"Bajo","Medio"))</f>
        <v>Alto</v>
      </c>
      <c r="Z1325" s="61" t="n">
        <v>1534</v>
      </c>
      <c r="AA1325" s="61" t="str">
        <f aca="false">IF(MATCH($A1325,Datos_Origen!$A$2:$A$2459,0)=$Z1325,"OK","REVISAR")</f>
        <v>OK</v>
      </c>
      <c r="AB1325" s="61" t="str">
        <f aca="false">INDEX(Datos_Origen!$B$2:$B$2459,$Z1325)</f>
        <v>2025-02-08</v>
      </c>
      <c r="AC1325" s="61" t="str">
        <f aca="false">INDEX(Datos_Origen!$H$2:$H$2459,$Z1325)</f>
        <v>7</v>
      </c>
      <c r="AD1325" s="61" t="str">
        <f aca="false">INDEX(Datos_Origen!$D$2:$D$2459,$Z1325)&amp;""</f>
        <v>Cordoba</v>
      </c>
    </row>
    <row r="1326" customFormat="false" ht="15" hidden="false" customHeight="false" outlineLevel="0" collapsed="false">
      <c r="A1326" s="61" t="n">
        <f aca="false">INDEX(Datos_Origen!$A$2:$A$2459,$Z1326)</f>
        <v>1325</v>
      </c>
      <c r="B1326" s="62" t="n">
        <f aca="false">IF(ISNUMBER($AB1326),$AB1326,IF(MID($AB1326,5,1)="-",DATE(VALUE(LEFT($AB1326,4)),VALUE(MID($AB1326,6,2)),VALUE(RIGHT($AB1326,2))),DATE(VALUE(RIGHT($AB1326,4)),VALUE(MID($AB1326,4,2)),VALUE(LEFT($AB1326,2)))))</f>
        <v>45703</v>
      </c>
      <c r="C1326" s="61" t="n">
        <f aca="false">YEAR($B1326)</f>
        <v>2025</v>
      </c>
      <c r="D1326" s="61" t="str">
        <f aca="false">"Q"&amp;ROUNDUP(MONTH($B1326)/3,0)</f>
        <v>Q1</v>
      </c>
      <c r="E1326" s="61" t="n">
        <f aca="false">MONTH($B1326)</f>
        <v>2</v>
      </c>
      <c r="F1326" s="61" t="str">
        <f aca="false">INDEX(Parametros!$I$5:$I$16,$E1326)</f>
        <v>Feb</v>
      </c>
      <c r="G1326" s="61" t="str">
        <f aca="false">TEXT($C1326,"0000")&amp;"-"&amp;TEXT($E1326,"00")</f>
        <v>2025-02</v>
      </c>
      <c r="H1326" s="61" t="str">
        <f aca="false">INDEX(Parametros!$C$71:$C$91,MATCH(TRIM(INDEX(Datos_Origen!$C$2:$C$2459,$Z1326)),Parametros!$B$71:$B$91,0))</f>
        <v>Centro</v>
      </c>
      <c r="I1326" s="61" t="str">
        <f aca="false">IF(TRIM($AD1326)="",INDEX(Parametros!$I$20:$I$24,MATCH($H1326,Parametros!$H$20:$H$24,0)),TRIM($AD1326))</f>
        <v>Cordoba</v>
      </c>
      <c r="J1326" s="61" t="str">
        <f aca="false">INDEX(Parametros!$C$95:$C$106,MATCH(TRIM(INDEX(Datos_Origen!$E$2:$E$2459,$Z1326)),Parametros!$B$95:$B$106,0))</f>
        <v>Tienda fisica</v>
      </c>
      <c r="K1326" s="61" t="str">
        <f aca="false">INDEX(Parametros!$C$48:$C$67,MATCH(TRIM(INDEX(Datos_Origen!$F$2:$F$2459,$Z1326)),Parametros!$B$48:$B$67,0))</f>
        <v>Computacion</v>
      </c>
      <c r="L1326" s="61" t="str">
        <f aca="false">$K1326&amp;" "&amp;$C1326</f>
        <v>Computacion 2025</v>
      </c>
      <c r="M1326" s="61" t="str">
        <f aca="false">TRIM(INDEX(Datos_Origen!$G$2:$G$2459,$Z1326))</f>
        <v>PC Gamer Ryzen</v>
      </c>
      <c r="N1326" s="61" t="str">
        <f aca="false">$M1326&amp;" "&amp;$C1326</f>
        <v>PC Gamer Ryzen 2025</v>
      </c>
      <c r="O1326" s="63" t="n">
        <f aca="false">IF(ISTEXT($AC1326),VALUE($AC1326),$AC1326)</f>
        <v>8</v>
      </c>
      <c r="P1326" s="64" t="n">
        <f aca="false">INDEX(Datos_Origen!$I$2:$I$2459,$Z1326)</f>
        <v>1588.21</v>
      </c>
      <c r="Q1326" s="64" t="n">
        <f aca="false">INDEX(Datos_Origen!$J$2:$J$2459,$Z1326)</f>
        <v>1155.66</v>
      </c>
      <c r="R1326" s="65" t="n">
        <f aca="false">ROUND($O1326*$P1326,2)</f>
        <v>12705.68</v>
      </c>
      <c r="S1326" s="65" t="n">
        <f aca="false">ROUND($O1326*$Q1326,2)</f>
        <v>9245.28</v>
      </c>
      <c r="T1326" s="65" t="n">
        <f aca="false">ROUND($R1326*SUMIFS(Parametros!$E$28:$E$43,Parametros!$B$28:$B$43,$J1326,Parametros!$C$28:$C$43,$C1326,Parametros!$D$28:$D$43,$D1326),2)</f>
        <v>165.17</v>
      </c>
      <c r="U1326" s="65" t="n">
        <f aca="false">$R1326-$S1326-$T1326</f>
        <v>3295.23</v>
      </c>
      <c r="V1326" s="66" t="n">
        <f aca="false">IFERROR($U1326/$R1326,0)</f>
        <v>0.25935093595935</v>
      </c>
      <c r="W1326" s="67" t="str">
        <f aca="false">IF(AND($V1326&gt;=Parametros!$C$8,$R1326&gt;=Parametros!$C$12),"Alta rentabilidad",IF(OR($V1326&lt;Parametros!$C$11,$R1326&lt;Parametros!$C$13),"Revisar","Estandar"))</f>
        <v>Revisar</v>
      </c>
      <c r="X1326" s="67" t="str">
        <f aca="false">IF(AND($J1326="E-commerce",IFERROR($T1326/$R1326,0)&gt;Parametros!$C$14),"Alerta","OK")</f>
        <v>OK</v>
      </c>
      <c r="Y1326" s="61" t="str">
        <f aca="false">IF($R1326&gt;=Parametros!$C$12,"Alto",IF($R1326&lt;Parametros!$C$13,"Bajo","Medio"))</f>
        <v>Alto</v>
      </c>
      <c r="Z1326" s="61" t="n">
        <v>807</v>
      </c>
      <c r="AA1326" s="61" t="str">
        <f aca="false">IF(MATCH($A1326,Datos_Origen!$A$2:$A$2459,0)=$Z1326,"OK","REVISAR")</f>
        <v>OK</v>
      </c>
      <c r="AB1326" s="62" t="n">
        <f aca="false">INDEX(Datos_Origen!$B$2:$B$2459,$Z1326)</f>
        <v>45703</v>
      </c>
      <c r="AC1326" s="61" t="n">
        <f aca="false">INDEX(Datos_Origen!$H$2:$H$2459,$Z1326)</f>
        <v>8</v>
      </c>
      <c r="AD1326" s="61" t="str">
        <f aca="false">INDEX(Datos_Origen!$D$2:$D$2459,$Z1326)&amp;""</f>
        <v>Cordoba</v>
      </c>
    </row>
    <row r="1327" customFormat="false" ht="15" hidden="false" customHeight="false" outlineLevel="0" collapsed="false">
      <c r="A1327" s="61" t="n">
        <f aca="false">INDEX(Datos_Origen!$A$2:$A$2459,$Z1327)</f>
        <v>1326</v>
      </c>
      <c r="B1327" s="62" t="n">
        <f aca="false">IF(ISNUMBER($AB1327),$AB1327,IF(MID($AB1327,5,1)="-",DATE(VALUE(LEFT($AB1327,4)),VALUE(MID($AB1327,6,2)),VALUE(RIGHT($AB1327,2))),DATE(VALUE(RIGHT($AB1327,4)),VALUE(MID($AB1327,4,2)),VALUE(LEFT($AB1327,2)))))</f>
        <v>45710</v>
      </c>
      <c r="C1327" s="61" t="n">
        <f aca="false">YEAR($B1327)</f>
        <v>2025</v>
      </c>
      <c r="D1327" s="61" t="str">
        <f aca="false">"Q"&amp;ROUNDUP(MONTH($B1327)/3,0)</f>
        <v>Q1</v>
      </c>
      <c r="E1327" s="61" t="n">
        <f aca="false">MONTH($B1327)</f>
        <v>2</v>
      </c>
      <c r="F1327" s="61" t="str">
        <f aca="false">INDEX(Parametros!$I$5:$I$16,$E1327)</f>
        <v>Feb</v>
      </c>
      <c r="G1327" s="61" t="str">
        <f aca="false">TEXT($C1327,"0000")&amp;"-"&amp;TEXT($E1327,"00")</f>
        <v>2025-02</v>
      </c>
      <c r="H1327" s="61" t="str">
        <f aca="false">INDEX(Parametros!$C$71:$C$91,MATCH(TRIM(INDEX(Datos_Origen!$C$2:$C$2459,$Z1327)),Parametros!$B$71:$B$91,0))</f>
        <v>Centro</v>
      </c>
      <c r="I1327" s="61" t="str">
        <f aca="false">IF(TRIM($AD1327)="",INDEX(Parametros!$I$20:$I$24,MATCH($H1327,Parametros!$H$20:$H$24,0)),TRIM($AD1327))</f>
        <v>Cordoba</v>
      </c>
      <c r="J1327" s="61" t="str">
        <f aca="false">INDEX(Parametros!$C$95:$C$106,MATCH(TRIM(INDEX(Datos_Origen!$E$2:$E$2459,$Z1327)),Parametros!$B$95:$B$106,0))</f>
        <v>E-commerce</v>
      </c>
      <c r="K1327" s="61" t="str">
        <f aca="false">INDEX(Parametros!$C$48:$C$67,MATCH(TRIM(INDEX(Datos_Origen!$F$2:$F$2459,$Z1327)),Parametros!$B$48:$B$67,0))</f>
        <v>Computacion</v>
      </c>
      <c r="L1327" s="61" t="str">
        <f aca="false">$K1327&amp;" "&amp;$C1327</f>
        <v>Computacion 2025</v>
      </c>
      <c r="M1327" s="61" t="str">
        <f aca="false">TRIM(INDEX(Datos_Origen!$G$2:$G$2459,$Z1327))</f>
        <v>PC Gamer Ryzen</v>
      </c>
      <c r="N1327" s="61" t="str">
        <f aca="false">$M1327&amp;" "&amp;$C1327</f>
        <v>PC Gamer Ryzen 2025</v>
      </c>
      <c r="O1327" s="63" t="n">
        <f aca="false">IF(ISTEXT($AC1327),VALUE($AC1327),$AC1327)</f>
        <v>6</v>
      </c>
      <c r="P1327" s="64" t="n">
        <f aca="false">INDEX(Datos_Origen!$I$2:$I$2459,$Z1327)</f>
        <v>1588.21</v>
      </c>
      <c r="Q1327" s="64" t="n">
        <f aca="false">INDEX(Datos_Origen!$J$2:$J$2459,$Z1327)</f>
        <v>1155.66</v>
      </c>
      <c r="R1327" s="65" t="n">
        <f aca="false">ROUND($O1327*$P1327,2)</f>
        <v>9529.26</v>
      </c>
      <c r="S1327" s="65" t="n">
        <f aca="false">ROUND($O1327*$Q1327,2)</f>
        <v>6933.96</v>
      </c>
      <c r="T1327" s="65" t="n">
        <f aca="false">ROUND($R1327*SUMIFS(Parametros!$E$28:$E$43,Parametros!$B$28:$B$43,$J1327,Parametros!$C$28:$C$43,$C1327,Parametros!$D$28:$D$43,$D1327),2)</f>
        <v>647.99</v>
      </c>
      <c r="U1327" s="65" t="n">
        <f aca="false">$R1327-$S1327-$T1327</f>
        <v>1947.31</v>
      </c>
      <c r="V1327" s="66" t="n">
        <f aca="false">IFERROR($U1327/$R1327,0)</f>
        <v>0.204350600151533</v>
      </c>
      <c r="W1327" s="67" t="str">
        <f aca="false">IF(AND($V1327&gt;=Parametros!$C$8,$R1327&gt;=Parametros!$C$12),"Alta rentabilidad",IF(OR($V1327&lt;Parametros!$C$11,$R1327&lt;Parametros!$C$13),"Revisar","Estandar"))</f>
        <v>Revisar</v>
      </c>
      <c r="X1327" s="67" t="str">
        <f aca="false">IF(AND($J1327="E-commerce",IFERROR($T1327/$R1327,0)&gt;Parametros!$C$14),"Alerta","OK")</f>
        <v>Alerta</v>
      </c>
      <c r="Y1327" s="61" t="str">
        <f aca="false">IF($R1327&gt;=Parametros!$C$12,"Alto",IF($R1327&lt;Parametros!$C$13,"Bajo","Medio"))</f>
        <v>Alto</v>
      </c>
      <c r="Z1327" s="61" t="n">
        <v>1674</v>
      </c>
      <c r="AA1327" s="61" t="str">
        <f aca="false">IF(MATCH($A1327,Datos_Origen!$A$2:$A$2459,0)=$Z1327,"OK","REVISAR")</f>
        <v>OK</v>
      </c>
      <c r="AB1327" s="61" t="str">
        <f aca="false">INDEX(Datos_Origen!$B$2:$B$2459,$Z1327)</f>
        <v>22/02/2025</v>
      </c>
      <c r="AC1327" s="61" t="n">
        <f aca="false">INDEX(Datos_Origen!$H$2:$H$2459,$Z1327)</f>
        <v>6</v>
      </c>
      <c r="AD1327" s="61" t="str">
        <f aca="false">INDEX(Datos_Origen!$D$2:$D$2459,$Z1327)&amp;""</f>
        <v>Cordoba</v>
      </c>
    </row>
    <row r="1328" customFormat="false" ht="15" hidden="false" customHeight="false" outlineLevel="0" collapsed="false">
      <c r="A1328" s="61" t="n">
        <f aca="false">INDEX(Datos_Origen!$A$2:$A$2459,$Z1328)</f>
        <v>1327</v>
      </c>
      <c r="B1328" s="62" t="n">
        <f aca="false">IF(ISNUMBER($AB1328),$AB1328,IF(MID($AB1328,5,1)="-",DATE(VALUE(LEFT($AB1328,4)),VALUE(MID($AB1328,6,2)),VALUE(RIGHT($AB1328,2))),DATE(VALUE(RIGHT($AB1328,4)),VALUE(MID($AB1328,4,2)),VALUE(LEFT($AB1328,2)))))</f>
        <v>45690</v>
      </c>
      <c r="C1328" s="61" t="n">
        <f aca="false">YEAR($B1328)</f>
        <v>2025</v>
      </c>
      <c r="D1328" s="61" t="str">
        <f aca="false">"Q"&amp;ROUNDUP(MONTH($B1328)/3,0)</f>
        <v>Q1</v>
      </c>
      <c r="E1328" s="61" t="n">
        <f aca="false">MONTH($B1328)</f>
        <v>2</v>
      </c>
      <c r="F1328" s="61" t="str">
        <f aca="false">INDEX(Parametros!$I$5:$I$16,$E1328)</f>
        <v>Feb</v>
      </c>
      <c r="G1328" s="61" t="str">
        <f aca="false">TEXT($C1328,"0000")&amp;"-"&amp;TEXT($E1328,"00")</f>
        <v>2025-02</v>
      </c>
      <c r="H1328" s="61" t="str">
        <f aca="false">INDEX(Parametros!$C$71:$C$91,MATCH(TRIM(INDEX(Datos_Origen!$C$2:$C$2459,$Z1328)),Parametros!$B$71:$B$91,0))</f>
        <v>Centro</v>
      </c>
      <c r="I1328" s="61" t="str">
        <f aca="false">IF(TRIM($AD1328)="",INDEX(Parametros!$I$20:$I$24,MATCH($H1328,Parametros!$H$20:$H$24,0)),TRIM($AD1328))</f>
        <v>Cordoba</v>
      </c>
      <c r="J1328" s="61" t="str">
        <f aca="false">INDEX(Parametros!$C$95:$C$106,MATCH(TRIM(INDEX(Datos_Origen!$E$2:$E$2459,$Z1328)),Parametros!$B$95:$B$106,0))</f>
        <v>Tienda fisica</v>
      </c>
      <c r="K1328" s="61" t="str">
        <f aca="false">INDEX(Parametros!$C$48:$C$67,MATCH(TRIM(INDEX(Datos_Origen!$F$2:$F$2459,$Z1328)),Parametros!$B$48:$B$67,0))</f>
        <v>Accesorios</v>
      </c>
      <c r="L1328" s="61" t="str">
        <f aca="false">$K1328&amp;" "&amp;$C1328</f>
        <v>Accesorios 2025</v>
      </c>
      <c r="M1328" s="61" t="str">
        <f aca="false">TRIM(INDEX(Datos_Origen!$G$2:$G$2459,$Z1328))</f>
        <v>Mouse Inalambrico</v>
      </c>
      <c r="N1328" s="61" t="str">
        <f aca="false">$M1328&amp;" "&amp;$C1328</f>
        <v>Mouse Inalambrico 2025</v>
      </c>
      <c r="O1328" s="63" t="n">
        <f aca="false">IF(ISTEXT($AC1328),VALUE($AC1328),$AC1328)</f>
        <v>46</v>
      </c>
      <c r="P1328" s="64" t="n">
        <f aca="false">INDEX(Datos_Origen!$I$2:$I$2459,$Z1328)</f>
        <v>27.82</v>
      </c>
      <c r="Q1328" s="64" t="n">
        <f aca="false">INDEX(Datos_Origen!$J$2:$J$2459,$Z1328)</f>
        <v>13.84</v>
      </c>
      <c r="R1328" s="65" t="n">
        <f aca="false">ROUND($O1328*$P1328,2)</f>
        <v>1279.72</v>
      </c>
      <c r="S1328" s="65" t="n">
        <f aca="false">ROUND($O1328*$Q1328,2)</f>
        <v>636.64</v>
      </c>
      <c r="T1328" s="65" t="n">
        <f aca="false">ROUND($R1328*SUMIFS(Parametros!$E$28:$E$43,Parametros!$B$28:$B$43,$J1328,Parametros!$C$28:$C$43,$C1328,Parametros!$D$28:$D$43,$D1328),2)</f>
        <v>16.64</v>
      </c>
      <c r="U1328" s="65" t="n">
        <f aca="false">$R1328-$S1328-$T1328</f>
        <v>626.44</v>
      </c>
      <c r="V1328" s="66" t="n">
        <f aca="false">IFERROR($U1328/$R1328,0)</f>
        <v>0.489513331041165</v>
      </c>
      <c r="W1328" s="67" t="str">
        <f aca="false">IF(AND($V1328&gt;=Parametros!$C$8,$R1328&gt;=Parametros!$C$12),"Alta rentabilidad",IF(OR($V1328&lt;Parametros!$C$11,$R1328&lt;Parametros!$C$13),"Revisar","Estandar"))</f>
        <v>Estandar</v>
      </c>
      <c r="X1328" s="67" t="str">
        <f aca="false">IF(AND($J1328="E-commerce",IFERROR($T1328/$R1328,0)&gt;Parametros!$C$14),"Alerta","OK")</f>
        <v>OK</v>
      </c>
      <c r="Y1328" s="61" t="str">
        <f aca="false">IF($R1328&gt;=Parametros!$C$12,"Alto",IF($R1328&lt;Parametros!$C$13,"Bajo","Medio"))</f>
        <v>Medio</v>
      </c>
      <c r="Z1328" s="61" t="n">
        <v>1233</v>
      </c>
      <c r="AA1328" s="61" t="str">
        <f aca="false">IF(MATCH($A1328,Datos_Origen!$A$2:$A$2459,0)=$Z1328,"OK","REVISAR")</f>
        <v>OK</v>
      </c>
      <c r="AB1328" s="62" t="n">
        <f aca="false">INDEX(Datos_Origen!$B$2:$B$2459,$Z1328)</f>
        <v>45690</v>
      </c>
      <c r="AC1328" s="61" t="n">
        <f aca="false">INDEX(Datos_Origen!$H$2:$H$2459,$Z1328)</f>
        <v>46</v>
      </c>
      <c r="AD1328" s="61" t="str">
        <f aca="false">INDEX(Datos_Origen!$D$2:$D$2459,$Z1328)&amp;""</f>
        <v>Cordoba</v>
      </c>
    </row>
    <row r="1329" customFormat="false" ht="15" hidden="false" customHeight="false" outlineLevel="0" collapsed="false">
      <c r="A1329" s="61" t="n">
        <f aca="false">INDEX(Datos_Origen!$A$2:$A$2459,$Z1329)</f>
        <v>1328</v>
      </c>
      <c r="B1329" s="62" t="n">
        <f aca="false">IF(ISNUMBER($AB1329),$AB1329,IF(MID($AB1329,5,1)="-",DATE(VALUE(LEFT($AB1329,4)),VALUE(MID($AB1329,6,2)),VALUE(RIGHT($AB1329,2))),DATE(VALUE(RIGHT($AB1329,4)),VALUE(MID($AB1329,4,2)),VALUE(LEFT($AB1329,2)))))</f>
        <v>45697</v>
      </c>
      <c r="C1329" s="61" t="n">
        <f aca="false">YEAR($B1329)</f>
        <v>2025</v>
      </c>
      <c r="D1329" s="61" t="str">
        <f aca="false">"Q"&amp;ROUNDUP(MONTH($B1329)/3,0)</f>
        <v>Q1</v>
      </c>
      <c r="E1329" s="61" t="n">
        <f aca="false">MONTH($B1329)</f>
        <v>2</v>
      </c>
      <c r="F1329" s="61" t="str">
        <f aca="false">INDEX(Parametros!$I$5:$I$16,$E1329)</f>
        <v>Feb</v>
      </c>
      <c r="G1329" s="61" t="str">
        <f aca="false">TEXT($C1329,"0000")&amp;"-"&amp;TEXT($E1329,"00")</f>
        <v>2025-02</v>
      </c>
      <c r="H1329" s="61" t="str">
        <f aca="false">INDEX(Parametros!$C$71:$C$91,MATCH(TRIM(INDEX(Datos_Origen!$C$2:$C$2459,$Z1329)),Parametros!$B$71:$B$91,0))</f>
        <v>Centro</v>
      </c>
      <c r="I1329" s="61" t="str">
        <f aca="false">IF(TRIM($AD1329)="",INDEX(Parametros!$I$20:$I$24,MATCH($H1329,Parametros!$H$20:$H$24,0)),TRIM($AD1329))</f>
        <v>Cordoba</v>
      </c>
      <c r="J1329" s="61" t="str">
        <f aca="false">INDEX(Parametros!$C$95:$C$106,MATCH(TRIM(INDEX(Datos_Origen!$E$2:$E$2459,$Z1329)),Parametros!$B$95:$B$106,0))</f>
        <v>E-commerce</v>
      </c>
      <c r="K1329" s="61" t="str">
        <f aca="false">INDEX(Parametros!$C$48:$C$67,MATCH(TRIM(INDEX(Datos_Origen!$F$2:$F$2459,$Z1329)),Parametros!$B$48:$B$67,0))</f>
        <v>Accesorios</v>
      </c>
      <c r="L1329" s="61" t="str">
        <f aca="false">$K1329&amp;" "&amp;$C1329</f>
        <v>Accesorios 2025</v>
      </c>
      <c r="M1329" s="61" t="str">
        <f aca="false">TRIM(INDEX(Datos_Origen!$G$2:$G$2459,$Z1329))</f>
        <v>Mouse Inalambrico</v>
      </c>
      <c r="N1329" s="61" t="str">
        <f aca="false">$M1329&amp;" "&amp;$C1329</f>
        <v>Mouse Inalambrico 2025</v>
      </c>
      <c r="O1329" s="63" t="n">
        <f aca="false">IF(ISTEXT($AC1329),VALUE($AC1329),$AC1329)</f>
        <v>25</v>
      </c>
      <c r="P1329" s="64" t="n">
        <f aca="false">INDEX(Datos_Origen!$I$2:$I$2459,$Z1329)</f>
        <v>27.82</v>
      </c>
      <c r="Q1329" s="64" t="n">
        <f aca="false">INDEX(Datos_Origen!$J$2:$J$2459,$Z1329)</f>
        <v>13.84</v>
      </c>
      <c r="R1329" s="65" t="n">
        <f aca="false">ROUND($O1329*$P1329,2)</f>
        <v>695.5</v>
      </c>
      <c r="S1329" s="65" t="n">
        <f aca="false">ROUND($O1329*$Q1329,2)</f>
        <v>346</v>
      </c>
      <c r="T1329" s="65" t="n">
        <f aca="false">ROUND($R1329*SUMIFS(Parametros!$E$28:$E$43,Parametros!$B$28:$B$43,$J1329,Parametros!$C$28:$C$43,$C1329,Parametros!$D$28:$D$43,$D1329),2)</f>
        <v>47.29</v>
      </c>
      <c r="U1329" s="65" t="n">
        <f aca="false">$R1329-$S1329-$T1329</f>
        <v>302.21</v>
      </c>
      <c r="V1329" s="66" t="n">
        <f aca="false">IFERROR($U1329/$R1329,0)</f>
        <v>0.434521926671459</v>
      </c>
      <c r="W1329" s="67" t="str">
        <f aca="false">IF(AND($V1329&gt;=Parametros!$C$8,$R1329&gt;=Parametros!$C$12),"Alta rentabilidad",IF(OR($V1329&lt;Parametros!$C$11,$R1329&lt;Parametros!$C$13),"Revisar","Estandar"))</f>
        <v>Estandar</v>
      </c>
      <c r="X1329" s="67" t="str">
        <f aca="false">IF(AND($J1329="E-commerce",IFERROR($T1329/$R1329,0)&gt;Parametros!$C$14),"Alerta","OK")</f>
        <v>Alerta</v>
      </c>
      <c r="Y1329" s="61" t="str">
        <f aca="false">IF($R1329&gt;=Parametros!$C$12,"Alto",IF($R1329&lt;Parametros!$C$13,"Bajo","Medio"))</f>
        <v>Medio</v>
      </c>
      <c r="Z1329" s="61" t="n">
        <v>491</v>
      </c>
      <c r="AA1329" s="61" t="str">
        <f aca="false">IF(MATCH($A1329,Datos_Origen!$A$2:$A$2459,0)=$Z1329,"OK","REVISAR")</f>
        <v>OK</v>
      </c>
      <c r="AB1329" s="62" t="n">
        <f aca="false">INDEX(Datos_Origen!$B$2:$B$2459,$Z1329)</f>
        <v>45697</v>
      </c>
      <c r="AC1329" s="61" t="n">
        <f aca="false">INDEX(Datos_Origen!$H$2:$H$2459,$Z1329)</f>
        <v>25</v>
      </c>
      <c r="AD1329" s="61" t="str">
        <f aca="false">INDEX(Datos_Origen!$D$2:$D$2459,$Z1329)&amp;""</f>
        <v>Cordoba</v>
      </c>
    </row>
    <row r="1330" customFormat="false" ht="15" hidden="false" customHeight="false" outlineLevel="0" collapsed="false">
      <c r="A1330" s="61" t="n">
        <f aca="false">INDEX(Datos_Origen!$A$2:$A$2459,$Z1330)</f>
        <v>1329</v>
      </c>
      <c r="B1330" s="62" t="n">
        <f aca="false">IF(ISNUMBER($AB1330),$AB1330,IF(MID($AB1330,5,1)="-",DATE(VALUE(LEFT($AB1330,4)),VALUE(MID($AB1330,6,2)),VALUE(RIGHT($AB1330,2))),DATE(VALUE(RIGHT($AB1330,4)),VALUE(MID($AB1330,4,2)),VALUE(LEFT($AB1330,2)))))</f>
        <v>45704</v>
      </c>
      <c r="C1330" s="61" t="n">
        <f aca="false">YEAR($B1330)</f>
        <v>2025</v>
      </c>
      <c r="D1330" s="61" t="str">
        <f aca="false">"Q"&amp;ROUNDUP(MONTH($B1330)/3,0)</f>
        <v>Q1</v>
      </c>
      <c r="E1330" s="61" t="n">
        <f aca="false">MONTH($B1330)</f>
        <v>2</v>
      </c>
      <c r="F1330" s="61" t="str">
        <f aca="false">INDEX(Parametros!$I$5:$I$16,$E1330)</f>
        <v>Feb</v>
      </c>
      <c r="G1330" s="61" t="str">
        <f aca="false">TEXT($C1330,"0000")&amp;"-"&amp;TEXT($E1330,"00")</f>
        <v>2025-02</v>
      </c>
      <c r="H1330" s="61" t="str">
        <f aca="false">INDEX(Parametros!$C$71:$C$91,MATCH(TRIM(INDEX(Datos_Origen!$C$2:$C$2459,$Z1330)),Parametros!$B$71:$B$91,0))</f>
        <v>Centro</v>
      </c>
      <c r="I1330" s="61" t="str">
        <f aca="false">IF(TRIM($AD1330)="",INDEX(Parametros!$I$20:$I$24,MATCH($H1330,Parametros!$H$20:$H$24,0)),TRIM($AD1330))</f>
        <v>Cordoba</v>
      </c>
      <c r="J1330" s="61" t="str">
        <f aca="false">INDEX(Parametros!$C$95:$C$106,MATCH(TRIM(INDEX(Datos_Origen!$E$2:$E$2459,$Z1330)),Parametros!$B$95:$B$106,0))</f>
        <v>Tienda fisica</v>
      </c>
      <c r="K1330" s="61" t="str">
        <f aca="false">INDEX(Parametros!$C$48:$C$67,MATCH(TRIM(INDEX(Datos_Origen!$F$2:$F$2459,$Z1330)),Parametros!$B$48:$B$67,0))</f>
        <v>Accesorios</v>
      </c>
      <c r="L1330" s="61" t="str">
        <f aca="false">$K1330&amp;" "&amp;$C1330</f>
        <v>Accesorios 2025</v>
      </c>
      <c r="M1330" s="61" t="str">
        <f aca="false">TRIM(INDEX(Datos_Origen!$G$2:$G$2459,$Z1330))</f>
        <v>Teclado Mecanico</v>
      </c>
      <c r="N1330" s="61" t="str">
        <f aca="false">$M1330&amp;" "&amp;$C1330</f>
        <v>Teclado Mecanico 2025</v>
      </c>
      <c r="O1330" s="63" t="n">
        <f aca="false">IF(ISTEXT($AC1330),VALUE($AC1330),$AC1330)</f>
        <v>43</v>
      </c>
      <c r="P1330" s="64" t="n">
        <f aca="false">INDEX(Datos_Origen!$I$2:$I$2459,$Z1330)</f>
        <v>94.39</v>
      </c>
      <c r="Q1330" s="64" t="n">
        <f aca="false">INDEX(Datos_Origen!$J$2:$J$2459,$Z1330)</f>
        <v>49.41</v>
      </c>
      <c r="R1330" s="65" t="n">
        <f aca="false">ROUND($O1330*$P1330,2)</f>
        <v>4058.77</v>
      </c>
      <c r="S1330" s="65" t="n">
        <f aca="false">ROUND($O1330*$Q1330,2)</f>
        <v>2124.63</v>
      </c>
      <c r="T1330" s="65" t="n">
        <f aca="false">ROUND($R1330*SUMIFS(Parametros!$E$28:$E$43,Parametros!$B$28:$B$43,$J1330,Parametros!$C$28:$C$43,$C1330,Parametros!$D$28:$D$43,$D1330),2)</f>
        <v>52.76</v>
      </c>
      <c r="U1330" s="65" t="n">
        <f aca="false">$R1330-$S1330-$T1330</f>
        <v>1881.38</v>
      </c>
      <c r="V1330" s="66" t="n">
        <f aca="false">IFERROR($U1330/$R1330,0)</f>
        <v>0.46353451907844</v>
      </c>
      <c r="W1330" s="67" t="str">
        <f aca="false">IF(AND($V1330&gt;=Parametros!$C$8,$R1330&gt;=Parametros!$C$12),"Alta rentabilidad",IF(OR($V1330&lt;Parametros!$C$11,$R1330&lt;Parametros!$C$13),"Revisar","Estandar"))</f>
        <v>Alta rentabilidad</v>
      </c>
      <c r="X1330" s="67" t="str">
        <f aca="false">IF(AND($J1330="E-commerce",IFERROR($T1330/$R1330,0)&gt;Parametros!$C$14),"Alerta","OK")</f>
        <v>OK</v>
      </c>
      <c r="Y1330" s="61" t="str">
        <f aca="false">IF($R1330&gt;=Parametros!$C$12,"Alto",IF($R1330&lt;Parametros!$C$13,"Bajo","Medio"))</f>
        <v>Alto</v>
      </c>
      <c r="Z1330" s="61" t="n">
        <v>2067</v>
      </c>
      <c r="AA1330" s="61" t="str">
        <f aca="false">IF(MATCH($A1330,Datos_Origen!$A$2:$A$2459,0)=$Z1330,"OK","REVISAR")</f>
        <v>OK</v>
      </c>
      <c r="AB1330" s="62" t="n">
        <f aca="false">INDEX(Datos_Origen!$B$2:$B$2459,$Z1330)</f>
        <v>45704</v>
      </c>
      <c r="AC1330" s="61" t="n">
        <f aca="false">INDEX(Datos_Origen!$H$2:$H$2459,$Z1330)</f>
        <v>43</v>
      </c>
      <c r="AD1330" s="61" t="str">
        <f aca="false">INDEX(Datos_Origen!$D$2:$D$2459,$Z1330)&amp;""</f>
        <v>Cordoba</v>
      </c>
    </row>
    <row r="1331" customFormat="false" ht="15" hidden="false" customHeight="false" outlineLevel="0" collapsed="false">
      <c r="A1331" s="61" t="n">
        <f aca="false">INDEX(Datos_Origen!$A$2:$A$2459,$Z1331)</f>
        <v>1330</v>
      </c>
      <c r="B1331" s="62" t="n">
        <f aca="false">IF(ISNUMBER($AB1331),$AB1331,IF(MID($AB1331,5,1)="-",DATE(VALUE(LEFT($AB1331,4)),VALUE(MID($AB1331,6,2)),VALUE(RIGHT($AB1331,2))),DATE(VALUE(RIGHT($AB1331,4)),VALUE(MID($AB1331,4,2)),VALUE(LEFT($AB1331,2)))))</f>
        <v>45711</v>
      </c>
      <c r="C1331" s="61" t="n">
        <f aca="false">YEAR($B1331)</f>
        <v>2025</v>
      </c>
      <c r="D1331" s="61" t="str">
        <f aca="false">"Q"&amp;ROUNDUP(MONTH($B1331)/3,0)</f>
        <v>Q1</v>
      </c>
      <c r="E1331" s="61" t="n">
        <f aca="false">MONTH($B1331)</f>
        <v>2</v>
      </c>
      <c r="F1331" s="61" t="str">
        <f aca="false">INDEX(Parametros!$I$5:$I$16,$E1331)</f>
        <v>Feb</v>
      </c>
      <c r="G1331" s="61" t="str">
        <f aca="false">TEXT($C1331,"0000")&amp;"-"&amp;TEXT($E1331,"00")</f>
        <v>2025-02</v>
      </c>
      <c r="H1331" s="61" t="str">
        <f aca="false">INDEX(Parametros!$C$71:$C$91,MATCH(TRIM(INDEX(Datos_Origen!$C$2:$C$2459,$Z1331)),Parametros!$B$71:$B$91,0))</f>
        <v>Centro</v>
      </c>
      <c r="I1331" s="61" t="str">
        <f aca="false">IF(TRIM($AD1331)="",INDEX(Parametros!$I$20:$I$24,MATCH($H1331,Parametros!$H$20:$H$24,0)),TRIM($AD1331))</f>
        <v>Cordoba</v>
      </c>
      <c r="J1331" s="61" t="str">
        <f aca="false">INDEX(Parametros!$C$95:$C$106,MATCH(TRIM(INDEX(Datos_Origen!$E$2:$E$2459,$Z1331)),Parametros!$B$95:$B$106,0))</f>
        <v>E-commerce</v>
      </c>
      <c r="K1331" s="61" t="str">
        <f aca="false">INDEX(Parametros!$C$48:$C$67,MATCH(TRIM(INDEX(Datos_Origen!$F$2:$F$2459,$Z1331)),Parametros!$B$48:$B$67,0))</f>
        <v>Accesorios</v>
      </c>
      <c r="L1331" s="61" t="str">
        <f aca="false">$K1331&amp;" "&amp;$C1331</f>
        <v>Accesorios 2025</v>
      </c>
      <c r="M1331" s="61" t="str">
        <f aca="false">TRIM(INDEX(Datos_Origen!$G$2:$G$2459,$Z1331))</f>
        <v>Teclado Mecanico</v>
      </c>
      <c r="N1331" s="61" t="str">
        <f aca="false">$M1331&amp;" "&amp;$C1331</f>
        <v>Teclado Mecanico 2025</v>
      </c>
      <c r="O1331" s="63" t="n">
        <f aca="false">IF(ISTEXT($AC1331),VALUE($AC1331),$AC1331)</f>
        <v>34</v>
      </c>
      <c r="P1331" s="64" t="n">
        <f aca="false">INDEX(Datos_Origen!$I$2:$I$2459,$Z1331)</f>
        <v>94.39</v>
      </c>
      <c r="Q1331" s="64" t="n">
        <f aca="false">INDEX(Datos_Origen!$J$2:$J$2459,$Z1331)</f>
        <v>49.41</v>
      </c>
      <c r="R1331" s="65" t="n">
        <f aca="false">ROUND($O1331*$P1331,2)</f>
        <v>3209.26</v>
      </c>
      <c r="S1331" s="65" t="n">
        <f aca="false">ROUND($O1331*$Q1331,2)</f>
        <v>1679.94</v>
      </c>
      <c r="T1331" s="65" t="n">
        <f aca="false">ROUND($R1331*SUMIFS(Parametros!$E$28:$E$43,Parametros!$B$28:$B$43,$J1331,Parametros!$C$28:$C$43,$C1331,Parametros!$D$28:$D$43,$D1331),2)</f>
        <v>218.23</v>
      </c>
      <c r="U1331" s="65" t="n">
        <f aca="false">$R1331-$S1331-$T1331</f>
        <v>1311.09</v>
      </c>
      <c r="V1331" s="66" t="n">
        <f aca="false">IFERROR($U1331/$R1331,0)</f>
        <v>0.408533431382936</v>
      </c>
      <c r="W1331" s="67" t="str">
        <f aca="false">IF(AND($V1331&gt;=Parametros!$C$8,$R1331&gt;=Parametros!$C$12),"Alta rentabilidad",IF(OR($V1331&lt;Parametros!$C$11,$R1331&lt;Parametros!$C$13),"Revisar","Estandar"))</f>
        <v>Alta rentabilidad</v>
      </c>
      <c r="X1331" s="67" t="str">
        <f aca="false">IF(AND($J1331="E-commerce",IFERROR($T1331/$R1331,0)&gt;Parametros!$C$14),"Alerta","OK")</f>
        <v>Alerta</v>
      </c>
      <c r="Y1331" s="61" t="str">
        <f aca="false">IF($R1331&gt;=Parametros!$C$12,"Alto",IF($R1331&lt;Parametros!$C$13,"Bajo","Medio"))</f>
        <v>Alto</v>
      </c>
      <c r="Z1331" s="61" t="n">
        <v>560</v>
      </c>
      <c r="AA1331" s="61" t="str">
        <f aca="false">IF(MATCH($A1331,Datos_Origen!$A$2:$A$2459,0)=$Z1331,"OK","REVISAR")</f>
        <v>OK</v>
      </c>
      <c r="AB1331" s="62" t="n">
        <f aca="false">INDEX(Datos_Origen!$B$2:$B$2459,$Z1331)</f>
        <v>45711</v>
      </c>
      <c r="AC1331" s="61" t="n">
        <f aca="false">INDEX(Datos_Origen!$H$2:$H$2459,$Z1331)</f>
        <v>34</v>
      </c>
      <c r="AD1331" s="61" t="str">
        <f aca="false">INDEX(Datos_Origen!$D$2:$D$2459,$Z1331)&amp;""</f>
        <v>Cordoba</v>
      </c>
    </row>
    <row r="1332" customFormat="false" ht="15" hidden="false" customHeight="false" outlineLevel="0" collapsed="false">
      <c r="A1332" s="61" t="n">
        <f aca="false">INDEX(Datos_Origen!$A$2:$A$2459,$Z1332)</f>
        <v>1331</v>
      </c>
      <c r="B1332" s="62" t="n">
        <f aca="false">IF(ISNUMBER($AB1332),$AB1332,IF(MID($AB1332,5,1)="-",DATE(VALUE(LEFT($AB1332,4)),VALUE(MID($AB1332,6,2)),VALUE(RIGHT($AB1332,2))),DATE(VALUE(RIGHT($AB1332,4)),VALUE(MID($AB1332,4,2)),VALUE(LEFT($AB1332,2)))))</f>
        <v>45691</v>
      </c>
      <c r="C1332" s="61" t="n">
        <f aca="false">YEAR($B1332)</f>
        <v>2025</v>
      </c>
      <c r="D1332" s="61" t="str">
        <f aca="false">"Q"&amp;ROUNDUP(MONTH($B1332)/3,0)</f>
        <v>Q1</v>
      </c>
      <c r="E1332" s="61" t="n">
        <f aca="false">MONTH($B1332)</f>
        <v>2</v>
      </c>
      <c r="F1332" s="61" t="str">
        <f aca="false">INDEX(Parametros!$I$5:$I$16,$E1332)</f>
        <v>Feb</v>
      </c>
      <c r="G1332" s="61" t="str">
        <f aca="false">TEXT($C1332,"0000")&amp;"-"&amp;TEXT($E1332,"00")</f>
        <v>2025-02</v>
      </c>
      <c r="H1332" s="61" t="str">
        <f aca="false">INDEX(Parametros!$C$71:$C$91,MATCH(TRIM(INDEX(Datos_Origen!$C$2:$C$2459,$Z1332)),Parametros!$B$71:$B$91,0))</f>
        <v>Centro</v>
      </c>
      <c r="I1332" s="61" t="str">
        <f aca="false">IF(TRIM($AD1332)="",INDEX(Parametros!$I$20:$I$24,MATCH($H1332,Parametros!$H$20:$H$24,0)),TRIM($AD1332))</f>
        <v>Cordoba</v>
      </c>
      <c r="J1332" s="61" t="str">
        <f aca="false">INDEX(Parametros!$C$95:$C$106,MATCH(TRIM(INDEX(Datos_Origen!$E$2:$E$2459,$Z1332)),Parametros!$B$95:$B$106,0))</f>
        <v>Tienda fisica</v>
      </c>
      <c r="K1332" s="61" t="str">
        <f aca="false">INDEX(Parametros!$C$48:$C$67,MATCH(TRIM(INDEX(Datos_Origen!$F$2:$F$2459,$Z1332)),Parametros!$B$48:$B$67,0))</f>
        <v>Accesorios</v>
      </c>
      <c r="L1332" s="61" t="str">
        <f aca="false">$K1332&amp;" "&amp;$C1332</f>
        <v>Accesorios 2025</v>
      </c>
      <c r="M1332" s="61" t="str">
        <f aca="false">TRIM(INDEX(Datos_Origen!$G$2:$G$2459,$Z1332))</f>
        <v>Webcam Full HD</v>
      </c>
      <c r="N1332" s="61" t="str">
        <f aca="false">$M1332&amp;" "&amp;$C1332</f>
        <v>Webcam Full HD 2025</v>
      </c>
      <c r="O1332" s="63" t="n">
        <f aca="false">IF(ISTEXT($AC1332),VALUE($AC1332),$AC1332)</f>
        <v>46</v>
      </c>
      <c r="P1332" s="64" t="n">
        <f aca="false">INDEX(Datos_Origen!$I$2:$I$2459,$Z1332)</f>
        <v>64.58</v>
      </c>
      <c r="Q1332" s="64" t="n">
        <f aca="false">INDEX(Datos_Origen!$J$2:$J$2459,$Z1332)</f>
        <v>36.49</v>
      </c>
      <c r="R1332" s="65" t="n">
        <f aca="false">ROUND($O1332*$P1332,2)</f>
        <v>2970.68</v>
      </c>
      <c r="S1332" s="65" t="n">
        <f aca="false">ROUND($O1332*$Q1332,2)</f>
        <v>1678.54</v>
      </c>
      <c r="T1332" s="65" t="n">
        <f aca="false">ROUND($R1332*SUMIFS(Parametros!$E$28:$E$43,Parametros!$B$28:$B$43,$J1332,Parametros!$C$28:$C$43,$C1332,Parametros!$D$28:$D$43,$D1332),2)</f>
        <v>38.62</v>
      </c>
      <c r="U1332" s="65" t="n">
        <f aca="false">$R1332-$S1332-$T1332</f>
        <v>1253.52</v>
      </c>
      <c r="V1332" s="66" t="n">
        <f aca="false">IFERROR($U1332/$R1332,0)</f>
        <v>0.421963994775607</v>
      </c>
      <c r="W1332" s="67" t="str">
        <f aca="false">IF(AND($V1332&gt;=Parametros!$C$8,$R1332&gt;=Parametros!$C$12),"Alta rentabilidad",IF(OR($V1332&lt;Parametros!$C$11,$R1332&lt;Parametros!$C$13),"Revisar","Estandar"))</f>
        <v>Estandar</v>
      </c>
      <c r="X1332" s="67" t="str">
        <f aca="false">IF(AND($J1332="E-commerce",IFERROR($T1332/$R1332,0)&gt;Parametros!$C$14),"Alerta","OK")</f>
        <v>OK</v>
      </c>
      <c r="Y1332" s="61" t="str">
        <f aca="false">IF($R1332&gt;=Parametros!$C$12,"Alto",IF($R1332&lt;Parametros!$C$13,"Bajo","Medio"))</f>
        <v>Medio</v>
      </c>
      <c r="Z1332" s="61" t="n">
        <v>1627</v>
      </c>
      <c r="AA1332" s="61" t="str">
        <f aca="false">IF(MATCH($A1332,Datos_Origen!$A$2:$A$2459,0)=$Z1332,"OK","REVISAR")</f>
        <v>OK</v>
      </c>
      <c r="AB1332" s="62" t="n">
        <f aca="false">INDEX(Datos_Origen!$B$2:$B$2459,$Z1332)</f>
        <v>45691</v>
      </c>
      <c r="AC1332" s="61" t="n">
        <f aca="false">INDEX(Datos_Origen!$H$2:$H$2459,$Z1332)</f>
        <v>46</v>
      </c>
      <c r="AD1332" s="61" t="str">
        <f aca="false">INDEX(Datos_Origen!$D$2:$D$2459,$Z1332)&amp;""</f>
        <v>Cordoba</v>
      </c>
    </row>
    <row r="1333" customFormat="false" ht="15" hidden="false" customHeight="false" outlineLevel="0" collapsed="false">
      <c r="A1333" s="61" t="n">
        <f aca="false">INDEX(Datos_Origen!$A$2:$A$2459,$Z1333)</f>
        <v>1332</v>
      </c>
      <c r="B1333" s="62" t="n">
        <f aca="false">IF(ISNUMBER($AB1333),$AB1333,IF(MID($AB1333,5,1)="-",DATE(VALUE(LEFT($AB1333,4)),VALUE(MID($AB1333,6,2)),VALUE(RIGHT($AB1333,2))),DATE(VALUE(RIGHT($AB1333,4)),VALUE(MID($AB1333,4,2)),VALUE(LEFT($AB1333,2)))))</f>
        <v>45698</v>
      </c>
      <c r="C1333" s="61" t="n">
        <f aca="false">YEAR($B1333)</f>
        <v>2025</v>
      </c>
      <c r="D1333" s="61" t="str">
        <f aca="false">"Q"&amp;ROUNDUP(MONTH($B1333)/3,0)</f>
        <v>Q1</v>
      </c>
      <c r="E1333" s="61" t="n">
        <f aca="false">MONTH($B1333)</f>
        <v>2</v>
      </c>
      <c r="F1333" s="61" t="str">
        <f aca="false">INDEX(Parametros!$I$5:$I$16,$E1333)</f>
        <v>Feb</v>
      </c>
      <c r="G1333" s="61" t="str">
        <f aca="false">TEXT($C1333,"0000")&amp;"-"&amp;TEXT($E1333,"00")</f>
        <v>2025-02</v>
      </c>
      <c r="H1333" s="61" t="str">
        <f aca="false">INDEX(Parametros!$C$71:$C$91,MATCH(TRIM(INDEX(Datos_Origen!$C$2:$C$2459,$Z1333)),Parametros!$B$71:$B$91,0))</f>
        <v>Centro</v>
      </c>
      <c r="I1333" s="61" t="str">
        <f aca="false">IF(TRIM($AD1333)="",INDEX(Parametros!$I$20:$I$24,MATCH($H1333,Parametros!$H$20:$H$24,0)),TRIM($AD1333))</f>
        <v>Cordoba</v>
      </c>
      <c r="J1333" s="61" t="str">
        <f aca="false">INDEX(Parametros!$C$95:$C$106,MATCH(TRIM(INDEX(Datos_Origen!$E$2:$E$2459,$Z1333)),Parametros!$B$95:$B$106,0))</f>
        <v>E-commerce</v>
      </c>
      <c r="K1333" s="61" t="str">
        <f aca="false">INDEX(Parametros!$C$48:$C$67,MATCH(TRIM(INDEX(Datos_Origen!$F$2:$F$2459,$Z1333)),Parametros!$B$48:$B$67,0))</f>
        <v>Accesorios</v>
      </c>
      <c r="L1333" s="61" t="str">
        <f aca="false">$K1333&amp;" "&amp;$C1333</f>
        <v>Accesorios 2025</v>
      </c>
      <c r="M1333" s="61" t="str">
        <f aca="false">TRIM(INDEX(Datos_Origen!$G$2:$G$2459,$Z1333))</f>
        <v>Webcam Full HD</v>
      </c>
      <c r="N1333" s="61" t="str">
        <f aca="false">$M1333&amp;" "&amp;$C1333</f>
        <v>Webcam Full HD 2025</v>
      </c>
      <c r="O1333" s="63" t="n">
        <f aca="false">IF(ISTEXT($AC1333),VALUE($AC1333),$AC1333)</f>
        <v>27</v>
      </c>
      <c r="P1333" s="64" t="n">
        <f aca="false">INDEX(Datos_Origen!$I$2:$I$2459,$Z1333)</f>
        <v>64.58</v>
      </c>
      <c r="Q1333" s="64" t="n">
        <f aca="false">INDEX(Datos_Origen!$J$2:$J$2459,$Z1333)</f>
        <v>36.49</v>
      </c>
      <c r="R1333" s="65" t="n">
        <f aca="false">ROUND($O1333*$P1333,2)</f>
        <v>1743.66</v>
      </c>
      <c r="S1333" s="65" t="n">
        <f aca="false">ROUND($O1333*$Q1333,2)</f>
        <v>985.23</v>
      </c>
      <c r="T1333" s="65" t="n">
        <f aca="false">ROUND($R1333*SUMIFS(Parametros!$E$28:$E$43,Parametros!$B$28:$B$43,$J1333,Parametros!$C$28:$C$43,$C1333,Parametros!$D$28:$D$43,$D1333),2)</f>
        <v>118.57</v>
      </c>
      <c r="U1333" s="65" t="n">
        <f aca="false">$R1333-$S1333-$T1333</f>
        <v>639.86</v>
      </c>
      <c r="V1333" s="66" t="n">
        <f aca="false">IFERROR($U1333/$R1333,0)</f>
        <v>0.366963742931535</v>
      </c>
      <c r="W1333" s="67" t="str">
        <f aca="false">IF(AND($V1333&gt;=Parametros!$C$8,$R1333&gt;=Parametros!$C$12),"Alta rentabilidad",IF(OR($V1333&lt;Parametros!$C$11,$R1333&lt;Parametros!$C$13),"Revisar","Estandar"))</f>
        <v>Estandar</v>
      </c>
      <c r="X1333" s="67" t="str">
        <f aca="false">IF(AND($J1333="E-commerce",IFERROR($T1333/$R1333,0)&gt;Parametros!$C$14),"Alerta","OK")</f>
        <v>Alerta</v>
      </c>
      <c r="Y1333" s="61" t="str">
        <f aca="false">IF($R1333&gt;=Parametros!$C$12,"Alto",IF($R1333&lt;Parametros!$C$13,"Bajo","Medio"))</f>
        <v>Medio</v>
      </c>
      <c r="Z1333" s="61" t="n">
        <v>901</v>
      </c>
      <c r="AA1333" s="61" t="str">
        <f aca="false">IF(MATCH($A1333,Datos_Origen!$A$2:$A$2459,0)=$Z1333,"OK","REVISAR")</f>
        <v>OK</v>
      </c>
      <c r="AB1333" s="62" t="n">
        <f aca="false">INDEX(Datos_Origen!$B$2:$B$2459,$Z1333)</f>
        <v>45698</v>
      </c>
      <c r="AC1333" s="61" t="n">
        <f aca="false">INDEX(Datos_Origen!$H$2:$H$2459,$Z1333)</f>
        <v>27</v>
      </c>
      <c r="AD1333" s="61" t="str">
        <f aca="false">INDEX(Datos_Origen!$D$2:$D$2459,$Z1333)&amp;""</f>
        <v>Cordoba</v>
      </c>
    </row>
    <row r="1334" customFormat="false" ht="15" hidden="false" customHeight="false" outlineLevel="0" collapsed="false">
      <c r="A1334" s="61" t="n">
        <f aca="false">INDEX(Datos_Origen!$A$2:$A$2459,$Z1334)</f>
        <v>1333</v>
      </c>
      <c r="B1334" s="62" t="n">
        <f aca="false">IF(ISNUMBER($AB1334),$AB1334,IF(MID($AB1334,5,1)="-",DATE(VALUE(LEFT($AB1334,4)),VALUE(MID($AB1334,6,2)),VALUE(RIGHT($AB1334,2))),DATE(VALUE(RIGHT($AB1334,4)),VALUE(MID($AB1334,4,2)),VALUE(LEFT($AB1334,2)))))</f>
        <v>45705</v>
      </c>
      <c r="C1334" s="61" t="n">
        <f aca="false">YEAR($B1334)</f>
        <v>2025</v>
      </c>
      <c r="D1334" s="61" t="str">
        <f aca="false">"Q"&amp;ROUNDUP(MONTH($B1334)/3,0)</f>
        <v>Q1</v>
      </c>
      <c r="E1334" s="61" t="n">
        <f aca="false">MONTH($B1334)</f>
        <v>2</v>
      </c>
      <c r="F1334" s="61" t="str">
        <f aca="false">INDEX(Parametros!$I$5:$I$16,$E1334)</f>
        <v>Feb</v>
      </c>
      <c r="G1334" s="61" t="str">
        <f aca="false">TEXT($C1334,"0000")&amp;"-"&amp;TEXT($E1334,"00")</f>
        <v>2025-02</v>
      </c>
      <c r="H1334" s="61" t="str">
        <f aca="false">INDEX(Parametros!$C$71:$C$91,MATCH(TRIM(INDEX(Datos_Origen!$C$2:$C$2459,$Z1334)),Parametros!$B$71:$B$91,0))</f>
        <v>Centro</v>
      </c>
      <c r="I1334" s="61" t="str">
        <f aca="false">IF(TRIM($AD1334)="",INDEX(Parametros!$I$20:$I$24,MATCH($H1334,Parametros!$H$20:$H$24,0)),TRIM($AD1334))</f>
        <v>Cordoba</v>
      </c>
      <c r="J1334" s="61" t="str">
        <f aca="false">INDEX(Parametros!$C$95:$C$106,MATCH(TRIM(INDEX(Datos_Origen!$E$2:$E$2459,$Z1334)),Parametros!$B$95:$B$106,0))</f>
        <v>Tienda fisica</v>
      </c>
      <c r="K1334" s="61" t="str">
        <f aca="false">INDEX(Parametros!$C$48:$C$67,MATCH(TRIM(INDEX(Datos_Origen!$F$2:$F$2459,$Z1334)),Parametros!$B$48:$B$67,0))</f>
        <v>Audio</v>
      </c>
      <c r="L1334" s="61" t="str">
        <f aca="false">$K1334&amp;" "&amp;$C1334</f>
        <v>Audio 2025</v>
      </c>
      <c r="M1334" s="61" t="str">
        <f aca="false">TRIM(INDEX(Datos_Origen!$G$2:$G$2459,$Z1334))</f>
        <v>Auriculares BT Pro</v>
      </c>
      <c r="N1334" s="61" t="str">
        <f aca="false">$M1334&amp;" "&amp;$C1334</f>
        <v>Auriculares BT Pro 2025</v>
      </c>
      <c r="O1334" s="63" t="n">
        <f aca="false">IF(ISTEXT($AC1334),VALUE($AC1334),$AC1334)</f>
        <v>23</v>
      </c>
      <c r="P1334" s="64" t="n">
        <f aca="false">INDEX(Datos_Origen!$I$2:$I$2459,$Z1334)</f>
        <v>119.23</v>
      </c>
      <c r="Q1334" s="64" t="n">
        <f aca="false">INDEX(Datos_Origen!$J$2:$J$2459,$Z1334)</f>
        <v>65.51</v>
      </c>
      <c r="R1334" s="65" t="n">
        <f aca="false">ROUND($O1334*$P1334,2)</f>
        <v>2742.29</v>
      </c>
      <c r="S1334" s="65" t="n">
        <f aca="false">ROUND($O1334*$Q1334,2)</f>
        <v>1506.73</v>
      </c>
      <c r="T1334" s="65" t="n">
        <f aca="false">ROUND($R1334*SUMIFS(Parametros!$E$28:$E$43,Parametros!$B$28:$B$43,$J1334,Parametros!$C$28:$C$43,$C1334,Parametros!$D$28:$D$43,$D1334),2)</f>
        <v>35.65</v>
      </c>
      <c r="U1334" s="65" t="n">
        <f aca="false">$R1334-$S1334-$T1334</f>
        <v>1199.91</v>
      </c>
      <c r="V1334" s="66" t="n">
        <f aca="false">IFERROR($U1334/$R1334,0)</f>
        <v>0.437557661662333</v>
      </c>
      <c r="W1334" s="67" t="str">
        <f aca="false">IF(AND($V1334&gt;=Parametros!$C$8,$R1334&gt;=Parametros!$C$12),"Alta rentabilidad",IF(OR($V1334&lt;Parametros!$C$11,$R1334&lt;Parametros!$C$13),"Revisar","Estandar"))</f>
        <v>Estandar</v>
      </c>
      <c r="X1334" s="67" t="str">
        <f aca="false">IF(AND($J1334="E-commerce",IFERROR($T1334/$R1334,0)&gt;Parametros!$C$14),"Alerta","OK")</f>
        <v>OK</v>
      </c>
      <c r="Y1334" s="61" t="str">
        <f aca="false">IF($R1334&gt;=Parametros!$C$12,"Alto",IF($R1334&lt;Parametros!$C$13,"Bajo","Medio"))</f>
        <v>Medio</v>
      </c>
      <c r="Z1334" s="61" t="n">
        <v>1736</v>
      </c>
      <c r="AA1334" s="61" t="str">
        <f aca="false">IF(MATCH($A1334,Datos_Origen!$A$2:$A$2459,0)=$Z1334,"OK","REVISAR")</f>
        <v>OK</v>
      </c>
      <c r="AB1334" s="62" t="n">
        <f aca="false">INDEX(Datos_Origen!$B$2:$B$2459,$Z1334)</f>
        <v>45705</v>
      </c>
      <c r="AC1334" s="61" t="n">
        <f aca="false">INDEX(Datos_Origen!$H$2:$H$2459,$Z1334)</f>
        <v>23</v>
      </c>
      <c r="AD1334" s="61" t="str">
        <f aca="false">INDEX(Datos_Origen!$D$2:$D$2459,$Z1334)&amp;""</f>
        <v>Cordoba</v>
      </c>
    </row>
    <row r="1335" customFormat="false" ht="15" hidden="false" customHeight="false" outlineLevel="0" collapsed="false">
      <c r="A1335" s="61" t="n">
        <f aca="false">INDEX(Datos_Origen!$A$2:$A$2459,$Z1335)</f>
        <v>1334</v>
      </c>
      <c r="B1335" s="62" t="n">
        <f aca="false">IF(ISNUMBER($AB1335),$AB1335,IF(MID($AB1335,5,1)="-",DATE(VALUE(LEFT($AB1335,4)),VALUE(MID($AB1335,6,2)),VALUE(RIGHT($AB1335,2))),DATE(VALUE(RIGHT($AB1335,4)),VALUE(MID($AB1335,4,2)),VALUE(LEFT($AB1335,2)))))</f>
        <v>45712</v>
      </c>
      <c r="C1335" s="61" t="n">
        <f aca="false">YEAR($B1335)</f>
        <v>2025</v>
      </c>
      <c r="D1335" s="61" t="str">
        <f aca="false">"Q"&amp;ROUNDUP(MONTH($B1335)/3,0)</f>
        <v>Q1</v>
      </c>
      <c r="E1335" s="61" t="n">
        <f aca="false">MONTH($B1335)</f>
        <v>2</v>
      </c>
      <c r="F1335" s="61" t="str">
        <f aca="false">INDEX(Parametros!$I$5:$I$16,$E1335)</f>
        <v>Feb</v>
      </c>
      <c r="G1335" s="61" t="str">
        <f aca="false">TEXT($C1335,"0000")&amp;"-"&amp;TEXT($E1335,"00")</f>
        <v>2025-02</v>
      </c>
      <c r="H1335" s="61" t="str">
        <f aca="false">INDEX(Parametros!$C$71:$C$91,MATCH(TRIM(INDEX(Datos_Origen!$C$2:$C$2459,$Z1335)),Parametros!$B$71:$B$91,0))</f>
        <v>Centro</v>
      </c>
      <c r="I1335" s="61" t="str">
        <f aca="false">IF(TRIM($AD1335)="",INDEX(Parametros!$I$20:$I$24,MATCH($H1335,Parametros!$H$20:$H$24,0)),TRIM($AD1335))</f>
        <v>Cordoba</v>
      </c>
      <c r="J1335" s="61" t="str">
        <f aca="false">INDEX(Parametros!$C$95:$C$106,MATCH(TRIM(INDEX(Datos_Origen!$E$2:$E$2459,$Z1335)),Parametros!$B$95:$B$106,0))</f>
        <v>E-commerce</v>
      </c>
      <c r="K1335" s="61" t="str">
        <f aca="false">INDEX(Parametros!$C$48:$C$67,MATCH(TRIM(INDEX(Datos_Origen!$F$2:$F$2459,$Z1335)),Parametros!$B$48:$B$67,0))</f>
        <v>Audio</v>
      </c>
      <c r="L1335" s="61" t="str">
        <f aca="false">$K1335&amp;" "&amp;$C1335</f>
        <v>Audio 2025</v>
      </c>
      <c r="M1335" s="61" t="str">
        <f aca="false">TRIM(INDEX(Datos_Origen!$G$2:$G$2459,$Z1335))</f>
        <v>Auriculares BT Pro</v>
      </c>
      <c r="N1335" s="61" t="str">
        <f aca="false">$M1335&amp;" "&amp;$C1335</f>
        <v>Auriculares BT Pro 2025</v>
      </c>
      <c r="O1335" s="63" t="n">
        <f aca="false">IF(ISTEXT($AC1335),VALUE($AC1335),$AC1335)</f>
        <v>15</v>
      </c>
      <c r="P1335" s="64" t="n">
        <f aca="false">INDEX(Datos_Origen!$I$2:$I$2459,$Z1335)</f>
        <v>119.23</v>
      </c>
      <c r="Q1335" s="64" t="n">
        <f aca="false">INDEX(Datos_Origen!$J$2:$J$2459,$Z1335)</f>
        <v>65.51</v>
      </c>
      <c r="R1335" s="65" t="n">
        <f aca="false">ROUND($O1335*$P1335,2)</f>
        <v>1788.45</v>
      </c>
      <c r="S1335" s="65" t="n">
        <f aca="false">ROUND($O1335*$Q1335,2)</f>
        <v>982.65</v>
      </c>
      <c r="T1335" s="65" t="n">
        <f aca="false">ROUND($R1335*SUMIFS(Parametros!$E$28:$E$43,Parametros!$B$28:$B$43,$J1335,Parametros!$C$28:$C$43,$C1335,Parametros!$D$28:$D$43,$D1335),2)</f>
        <v>121.61</v>
      </c>
      <c r="U1335" s="65" t="n">
        <f aca="false">$R1335-$S1335-$T1335</f>
        <v>684.19</v>
      </c>
      <c r="V1335" s="66" t="n">
        <f aca="false">IFERROR($U1335/$R1335,0)</f>
        <v>0.382560317593447</v>
      </c>
      <c r="W1335" s="67" t="str">
        <f aca="false">IF(AND($V1335&gt;=Parametros!$C$8,$R1335&gt;=Parametros!$C$12),"Alta rentabilidad",IF(OR($V1335&lt;Parametros!$C$11,$R1335&lt;Parametros!$C$13),"Revisar","Estandar"))</f>
        <v>Estandar</v>
      </c>
      <c r="X1335" s="67" t="str">
        <f aca="false">IF(AND($J1335="E-commerce",IFERROR($T1335/$R1335,0)&gt;Parametros!$C$14),"Alerta","OK")</f>
        <v>Alerta</v>
      </c>
      <c r="Y1335" s="61" t="str">
        <f aca="false">IF($R1335&gt;=Parametros!$C$12,"Alto",IF($R1335&lt;Parametros!$C$13,"Bajo","Medio"))</f>
        <v>Medio</v>
      </c>
      <c r="Z1335" s="61" t="n">
        <v>2035</v>
      </c>
      <c r="AA1335" s="61" t="str">
        <f aca="false">IF(MATCH($A1335,Datos_Origen!$A$2:$A$2459,0)=$Z1335,"OK","REVISAR")</f>
        <v>OK</v>
      </c>
      <c r="AB1335" s="62" t="n">
        <f aca="false">INDEX(Datos_Origen!$B$2:$B$2459,$Z1335)</f>
        <v>45712</v>
      </c>
      <c r="AC1335" s="61" t="n">
        <f aca="false">INDEX(Datos_Origen!$H$2:$H$2459,$Z1335)</f>
        <v>15</v>
      </c>
      <c r="AD1335" s="61" t="str">
        <f aca="false">INDEX(Datos_Origen!$D$2:$D$2459,$Z1335)&amp;""</f>
        <v>Cordoba</v>
      </c>
    </row>
    <row r="1336" customFormat="false" ht="15" hidden="false" customHeight="false" outlineLevel="0" collapsed="false">
      <c r="A1336" s="61" t="n">
        <f aca="false">INDEX(Datos_Origen!$A$2:$A$2459,$Z1336)</f>
        <v>1335</v>
      </c>
      <c r="B1336" s="62" t="n">
        <f aca="false">IF(ISNUMBER($AB1336),$AB1336,IF(MID($AB1336,5,1)="-",DATE(VALUE(LEFT($AB1336,4)),VALUE(MID($AB1336,6,2)),VALUE(RIGHT($AB1336,2))),DATE(VALUE(RIGHT($AB1336,4)),VALUE(MID($AB1336,4,2)),VALUE(LEFT($AB1336,2)))))</f>
        <v>45692</v>
      </c>
      <c r="C1336" s="61" t="n">
        <f aca="false">YEAR($B1336)</f>
        <v>2025</v>
      </c>
      <c r="D1336" s="61" t="str">
        <f aca="false">"Q"&amp;ROUNDUP(MONTH($B1336)/3,0)</f>
        <v>Q1</v>
      </c>
      <c r="E1336" s="61" t="n">
        <f aca="false">MONTH($B1336)</f>
        <v>2</v>
      </c>
      <c r="F1336" s="61" t="str">
        <f aca="false">INDEX(Parametros!$I$5:$I$16,$E1336)</f>
        <v>Feb</v>
      </c>
      <c r="G1336" s="61" t="str">
        <f aca="false">TEXT($C1336,"0000")&amp;"-"&amp;TEXT($E1336,"00")</f>
        <v>2025-02</v>
      </c>
      <c r="H1336" s="61" t="str">
        <f aca="false">INDEX(Parametros!$C$71:$C$91,MATCH(TRIM(INDEX(Datos_Origen!$C$2:$C$2459,$Z1336)),Parametros!$B$71:$B$91,0))</f>
        <v>Centro</v>
      </c>
      <c r="I1336" s="61" t="str">
        <f aca="false">IF(TRIM($AD1336)="",INDEX(Parametros!$I$20:$I$24,MATCH($H1336,Parametros!$H$20:$H$24,0)),TRIM($AD1336))</f>
        <v>Cordoba</v>
      </c>
      <c r="J1336" s="61" t="str">
        <f aca="false">INDEX(Parametros!$C$95:$C$106,MATCH(TRIM(INDEX(Datos_Origen!$E$2:$E$2459,$Z1336)),Parametros!$B$95:$B$106,0))</f>
        <v>Tienda fisica</v>
      </c>
      <c r="K1336" s="61" t="str">
        <f aca="false">INDEX(Parametros!$C$48:$C$67,MATCH(TRIM(INDEX(Datos_Origen!$F$2:$F$2459,$Z1336)),Parametros!$B$48:$B$67,0))</f>
        <v>Audio</v>
      </c>
      <c r="L1336" s="61" t="str">
        <f aca="false">$K1336&amp;" "&amp;$C1336</f>
        <v>Audio 2025</v>
      </c>
      <c r="M1336" s="61" t="str">
        <f aca="false">TRIM(INDEX(Datos_Origen!$G$2:$G$2459,$Z1336))</f>
        <v>Parlante Bluetooth</v>
      </c>
      <c r="N1336" s="61" t="str">
        <f aca="false">$M1336&amp;" "&amp;$C1336</f>
        <v>Parlante Bluetooth 2025</v>
      </c>
      <c r="O1336" s="63" t="n">
        <f aca="false">IF(ISTEXT($AC1336),VALUE($AC1336),$AC1336)</f>
        <v>18</v>
      </c>
      <c r="P1336" s="64" t="n">
        <f aca="false">INDEX(Datos_Origen!$I$2:$I$2459,$Z1336)</f>
        <v>84.46</v>
      </c>
      <c r="Q1336" s="64" t="n">
        <f aca="false">INDEX(Datos_Origen!$J$2:$J$2459,$Z1336)</f>
        <v>49.47</v>
      </c>
      <c r="R1336" s="65" t="n">
        <f aca="false">ROUND($O1336*$P1336,2)</f>
        <v>1520.28</v>
      </c>
      <c r="S1336" s="65" t="n">
        <f aca="false">ROUND($O1336*$Q1336,2)</f>
        <v>890.46</v>
      </c>
      <c r="T1336" s="65" t="n">
        <f aca="false">ROUND($R1336*SUMIFS(Parametros!$E$28:$E$43,Parametros!$B$28:$B$43,$J1336,Parametros!$C$28:$C$43,$C1336,Parametros!$D$28:$D$43,$D1336),2)</f>
        <v>19.76</v>
      </c>
      <c r="U1336" s="65" t="n">
        <f aca="false">$R1336-$S1336-$T1336</f>
        <v>610.06</v>
      </c>
      <c r="V1336" s="66" t="n">
        <f aca="false">IFERROR($U1336/$R1336,0)</f>
        <v>0.401281342910517</v>
      </c>
      <c r="W1336" s="67" t="str">
        <f aca="false">IF(AND($V1336&gt;=Parametros!$C$8,$R1336&gt;=Parametros!$C$12),"Alta rentabilidad",IF(OR($V1336&lt;Parametros!$C$11,$R1336&lt;Parametros!$C$13),"Revisar","Estandar"))</f>
        <v>Estandar</v>
      </c>
      <c r="X1336" s="67" t="str">
        <f aca="false">IF(AND($J1336="E-commerce",IFERROR($T1336/$R1336,0)&gt;Parametros!$C$14),"Alerta","OK")</f>
        <v>OK</v>
      </c>
      <c r="Y1336" s="61" t="str">
        <f aca="false">IF($R1336&gt;=Parametros!$C$12,"Alto",IF($R1336&lt;Parametros!$C$13,"Bajo","Medio"))</f>
        <v>Medio</v>
      </c>
      <c r="Z1336" s="61" t="n">
        <v>1783</v>
      </c>
      <c r="AA1336" s="61" t="str">
        <f aca="false">IF(MATCH($A1336,Datos_Origen!$A$2:$A$2459,0)=$Z1336,"OK","REVISAR")</f>
        <v>OK</v>
      </c>
      <c r="AB1336" s="62" t="n">
        <f aca="false">INDEX(Datos_Origen!$B$2:$B$2459,$Z1336)</f>
        <v>45692</v>
      </c>
      <c r="AC1336" s="61" t="n">
        <f aca="false">INDEX(Datos_Origen!$H$2:$H$2459,$Z1336)</f>
        <v>18</v>
      </c>
      <c r="AD1336" s="61" t="str">
        <f aca="false">INDEX(Datos_Origen!$D$2:$D$2459,$Z1336)&amp;""</f>
        <v>Cordoba</v>
      </c>
    </row>
    <row r="1337" customFormat="false" ht="15" hidden="false" customHeight="false" outlineLevel="0" collapsed="false">
      <c r="A1337" s="61" t="n">
        <f aca="false">INDEX(Datos_Origen!$A$2:$A$2459,$Z1337)</f>
        <v>1336</v>
      </c>
      <c r="B1337" s="62" t="n">
        <f aca="false">IF(ISNUMBER($AB1337),$AB1337,IF(MID($AB1337,5,1)="-",DATE(VALUE(LEFT($AB1337,4)),VALUE(MID($AB1337,6,2)),VALUE(RIGHT($AB1337,2))),DATE(VALUE(RIGHT($AB1337,4)),VALUE(MID($AB1337,4,2)),VALUE(LEFT($AB1337,2)))))</f>
        <v>45699</v>
      </c>
      <c r="C1337" s="61" t="n">
        <f aca="false">YEAR($B1337)</f>
        <v>2025</v>
      </c>
      <c r="D1337" s="61" t="str">
        <f aca="false">"Q"&amp;ROUNDUP(MONTH($B1337)/3,0)</f>
        <v>Q1</v>
      </c>
      <c r="E1337" s="61" t="n">
        <f aca="false">MONTH($B1337)</f>
        <v>2</v>
      </c>
      <c r="F1337" s="61" t="str">
        <f aca="false">INDEX(Parametros!$I$5:$I$16,$E1337)</f>
        <v>Feb</v>
      </c>
      <c r="G1337" s="61" t="str">
        <f aca="false">TEXT($C1337,"0000")&amp;"-"&amp;TEXT($E1337,"00")</f>
        <v>2025-02</v>
      </c>
      <c r="H1337" s="61" t="str">
        <f aca="false">INDEX(Parametros!$C$71:$C$91,MATCH(TRIM(INDEX(Datos_Origen!$C$2:$C$2459,$Z1337)),Parametros!$B$71:$B$91,0))</f>
        <v>Centro</v>
      </c>
      <c r="I1337" s="61" t="str">
        <f aca="false">IF(TRIM($AD1337)="",INDEX(Parametros!$I$20:$I$24,MATCH($H1337,Parametros!$H$20:$H$24,0)),TRIM($AD1337))</f>
        <v>Cordoba</v>
      </c>
      <c r="J1337" s="61" t="str">
        <f aca="false">INDEX(Parametros!$C$95:$C$106,MATCH(TRIM(INDEX(Datos_Origen!$E$2:$E$2459,$Z1337)),Parametros!$B$95:$B$106,0))</f>
        <v>E-commerce</v>
      </c>
      <c r="K1337" s="61" t="str">
        <f aca="false">INDEX(Parametros!$C$48:$C$67,MATCH(TRIM(INDEX(Datos_Origen!$F$2:$F$2459,$Z1337)),Parametros!$B$48:$B$67,0))</f>
        <v>Audio</v>
      </c>
      <c r="L1337" s="61" t="str">
        <f aca="false">$K1337&amp;" "&amp;$C1337</f>
        <v>Audio 2025</v>
      </c>
      <c r="M1337" s="61" t="str">
        <f aca="false">TRIM(INDEX(Datos_Origen!$G$2:$G$2459,$Z1337))</f>
        <v>Parlante Bluetooth</v>
      </c>
      <c r="N1337" s="61" t="str">
        <f aca="false">$M1337&amp;" "&amp;$C1337</f>
        <v>Parlante Bluetooth 2025</v>
      </c>
      <c r="O1337" s="63" t="n">
        <f aca="false">IF(ISTEXT($AC1337),VALUE($AC1337),$AC1337)</f>
        <v>15</v>
      </c>
      <c r="P1337" s="64" t="n">
        <f aca="false">INDEX(Datos_Origen!$I$2:$I$2459,$Z1337)</f>
        <v>84.46</v>
      </c>
      <c r="Q1337" s="64" t="n">
        <f aca="false">INDEX(Datos_Origen!$J$2:$J$2459,$Z1337)</f>
        <v>49.47</v>
      </c>
      <c r="R1337" s="65" t="n">
        <f aca="false">ROUND($O1337*$P1337,2)</f>
        <v>1266.9</v>
      </c>
      <c r="S1337" s="65" t="n">
        <f aca="false">ROUND($O1337*$Q1337,2)</f>
        <v>742.05</v>
      </c>
      <c r="T1337" s="65" t="n">
        <f aca="false">ROUND($R1337*SUMIFS(Parametros!$E$28:$E$43,Parametros!$B$28:$B$43,$J1337,Parametros!$C$28:$C$43,$C1337,Parametros!$D$28:$D$43,$D1337),2)</f>
        <v>86.15</v>
      </c>
      <c r="U1337" s="65" t="n">
        <f aca="false">$R1337-$S1337-$T1337</f>
        <v>438.7</v>
      </c>
      <c r="V1337" s="66" t="n">
        <f aca="false">IFERROR($U1337/$R1337,0)</f>
        <v>0.346278317152104</v>
      </c>
      <c r="W1337" s="67" t="str">
        <f aca="false">IF(AND($V1337&gt;=Parametros!$C$8,$R1337&gt;=Parametros!$C$12),"Alta rentabilidad",IF(OR($V1337&lt;Parametros!$C$11,$R1337&lt;Parametros!$C$13),"Revisar","Estandar"))</f>
        <v>Estandar</v>
      </c>
      <c r="X1337" s="67" t="str">
        <f aca="false">IF(AND($J1337="E-commerce",IFERROR($T1337/$R1337,0)&gt;Parametros!$C$14),"Alerta","OK")</f>
        <v>Alerta</v>
      </c>
      <c r="Y1337" s="61" t="str">
        <f aca="false">IF($R1337&gt;=Parametros!$C$12,"Alto",IF($R1337&lt;Parametros!$C$13,"Bajo","Medio"))</f>
        <v>Medio</v>
      </c>
      <c r="Z1337" s="61" t="n">
        <v>678</v>
      </c>
      <c r="AA1337" s="61" t="str">
        <f aca="false">IF(MATCH($A1337,Datos_Origen!$A$2:$A$2459,0)=$Z1337,"OK","REVISAR")</f>
        <v>OK</v>
      </c>
      <c r="AB1337" s="62" t="n">
        <f aca="false">INDEX(Datos_Origen!$B$2:$B$2459,$Z1337)</f>
        <v>45699</v>
      </c>
      <c r="AC1337" s="61" t="n">
        <f aca="false">INDEX(Datos_Origen!$H$2:$H$2459,$Z1337)</f>
        <v>15</v>
      </c>
      <c r="AD1337" s="61" t="str">
        <f aca="false">INDEX(Datos_Origen!$D$2:$D$2459,$Z1337)&amp;""</f>
        <v>Cordoba</v>
      </c>
    </row>
    <row r="1338" customFormat="false" ht="15" hidden="false" customHeight="false" outlineLevel="0" collapsed="false">
      <c r="A1338" s="61" t="n">
        <f aca="false">INDEX(Datos_Origen!$A$2:$A$2459,$Z1338)</f>
        <v>1337</v>
      </c>
      <c r="B1338" s="62" t="n">
        <f aca="false">IF(ISNUMBER($AB1338),$AB1338,IF(MID($AB1338,5,1)="-",DATE(VALUE(LEFT($AB1338,4)),VALUE(MID($AB1338,6,2)),VALUE(RIGHT($AB1338,2))),DATE(VALUE(RIGHT($AB1338,4)),VALUE(MID($AB1338,4,2)),VALUE(LEFT($AB1338,2)))))</f>
        <v>45706</v>
      </c>
      <c r="C1338" s="61" t="n">
        <f aca="false">YEAR($B1338)</f>
        <v>2025</v>
      </c>
      <c r="D1338" s="61" t="str">
        <f aca="false">"Q"&amp;ROUNDUP(MONTH($B1338)/3,0)</f>
        <v>Q1</v>
      </c>
      <c r="E1338" s="61" t="n">
        <f aca="false">MONTH($B1338)</f>
        <v>2</v>
      </c>
      <c r="F1338" s="61" t="str">
        <f aca="false">INDEX(Parametros!$I$5:$I$16,$E1338)</f>
        <v>Feb</v>
      </c>
      <c r="G1338" s="61" t="str">
        <f aca="false">TEXT($C1338,"0000")&amp;"-"&amp;TEXT($E1338,"00")</f>
        <v>2025-02</v>
      </c>
      <c r="H1338" s="61" t="str">
        <f aca="false">INDEX(Parametros!$C$71:$C$91,MATCH(TRIM(INDEX(Datos_Origen!$C$2:$C$2459,$Z1338)),Parametros!$B$71:$B$91,0))</f>
        <v>Centro</v>
      </c>
      <c r="I1338" s="61" t="str">
        <f aca="false">IF(TRIM($AD1338)="",INDEX(Parametros!$I$20:$I$24,MATCH($H1338,Parametros!$H$20:$H$24,0)),TRIM($AD1338))</f>
        <v>Cordoba</v>
      </c>
      <c r="J1338" s="61" t="str">
        <f aca="false">INDEX(Parametros!$C$95:$C$106,MATCH(TRIM(INDEX(Datos_Origen!$E$2:$E$2459,$Z1338)),Parametros!$B$95:$B$106,0))</f>
        <v>Tienda fisica</v>
      </c>
      <c r="K1338" s="61" t="str">
        <f aca="false">INDEX(Parametros!$C$48:$C$67,MATCH(TRIM(INDEX(Datos_Origen!$F$2:$F$2459,$Z1338)),Parametros!$B$48:$B$67,0))</f>
        <v>Almacenamiento</v>
      </c>
      <c r="L1338" s="61" t="str">
        <f aca="false">$K1338&amp;" "&amp;$C1338</f>
        <v>Almacenamiento 2025</v>
      </c>
      <c r="M1338" s="61" t="str">
        <f aca="false">TRIM(INDEX(Datos_Origen!$G$2:$G$2459,$Z1338))</f>
        <v>SSD Externo 1TB</v>
      </c>
      <c r="N1338" s="61" t="str">
        <f aca="false">$M1338&amp;" "&amp;$C1338</f>
        <v>SSD Externo 1TB 2025</v>
      </c>
      <c r="O1338" s="63" t="n">
        <f aca="false">IF(ISTEXT($AC1338),VALUE($AC1338),$AC1338)</f>
        <v>24</v>
      </c>
      <c r="P1338" s="64" t="n">
        <f aca="false">INDEX(Datos_Origen!$I$2:$I$2459,$Z1338)</f>
        <v>129.17</v>
      </c>
      <c r="Q1338" s="64" t="n">
        <f aca="false">INDEX(Datos_Origen!$J$2:$J$2459,$Z1338)</f>
        <v>78.33</v>
      </c>
      <c r="R1338" s="65" t="n">
        <f aca="false">ROUND($O1338*$P1338,2)</f>
        <v>3100.08</v>
      </c>
      <c r="S1338" s="65" t="n">
        <f aca="false">ROUND($O1338*$Q1338,2)</f>
        <v>1879.92</v>
      </c>
      <c r="T1338" s="65" t="n">
        <f aca="false">ROUND($R1338*SUMIFS(Parametros!$E$28:$E$43,Parametros!$B$28:$B$43,$J1338,Parametros!$C$28:$C$43,$C1338,Parametros!$D$28:$D$43,$D1338),2)</f>
        <v>40.3</v>
      </c>
      <c r="U1338" s="65" t="n">
        <f aca="false">$R1338-$S1338-$T1338</f>
        <v>1179.86</v>
      </c>
      <c r="V1338" s="66" t="n">
        <f aca="false">IFERROR($U1338/$R1338,0)</f>
        <v>0.380590178317979</v>
      </c>
      <c r="W1338" s="67" t="str">
        <f aca="false">IF(AND($V1338&gt;=Parametros!$C$8,$R1338&gt;=Parametros!$C$12),"Alta rentabilidad",IF(OR($V1338&lt;Parametros!$C$11,$R1338&lt;Parametros!$C$13),"Revisar","Estandar"))</f>
        <v>Alta rentabilidad</v>
      </c>
      <c r="X1338" s="67" t="str">
        <f aca="false">IF(AND($J1338="E-commerce",IFERROR($T1338/$R1338,0)&gt;Parametros!$C$14),"Alerta","OK")</f>
        <v>OK</v>
      </c>
      <c r="Y1338" s="61" t="str">
        <f aca="false">IF($R1338&gt;=Parametros!$C$12,"Alto",IF($R1338&lt;Parametros!$C$13,"Bajo","Medio"))</f>
        <v>Alto</v>
      </c>
      <c r="Z1338" s="61" t="n">
        <v>2416</v>
      </c>
      <c r="AA1338" s="61" t="str">
        <f aca="false">IF(MATCH($A1338,Datos_Origen!$A$2:$A$2459,0)=$Z1338,"OK","REVISAR")</f>
        <v>OK</v>
      </c>
      <c r="AB1338" s="62" t="n">
        <f aca="false">INDEX(Datos_Origen!$B$2:$B$2459,$Z1338)</f>
        <v>45706</v>
      </c>
      <c r="AC1338" s="61" t="n">
        <f aca="false">INDEX(Datos_Origen!$H$2:$H$2459,$Z1338)</f>
        <v>24</v>
      </c>
      <c r="AD1338" s="61" t="str">
        <f aca="false">INDEX(Datos_Origen!$D$2:$D$2459,$Z1338)&amp;""</f>
        <v>Cordoba</v>
      </c>
    </row>
    <row r="1339" customFormat="false" ht="15" hidden="false" customHeight="false" outlineLevel="0" collapsed="false">
      <c r="A1339" s="61" t="n">
        <f aca="false">INDEX(Datos_Origen!$A$2:$A$2459,$Z1339)</f>
        <v>1338</v>
      </c>
      <c r="B1339" s="62" t="n">
        <f aca="false">IF(ISNUMBER($AB1339),$AB1339,IF(MID($AB1339,5,1)="-",DATE(VALUE(LEFT($AB1339,4)),VALUE(MID($AB1339,6,2)),VALUE(RIGHT($AB1339,2))),DATE(VALUE(RIGHT($AB1339,4)),VALUE(MID($AB1339,4,2)),VALUE(LEFT($AB1339,2)))))</f>
        <v>45713</v>
      </c>
      <c r="C1339" s="61" t="n">
        <f aca="false">YEAR($B1339)</f>
        <v>2025</v>
      </c>
      <c r="D1339" s="61" t="str">
        <f aca="false">"Q"&amp;ROUNDUP(MONTH($B1339)/3,0)</f>
        <v>Q1</v>
      </c>
      <c r="E1339" s="61" t="n">
        <f aca="false">MONTH($B1339)</f>
        <v>2</v>
      </c>
      <c r="F1339" s="61" t="str">
        <f aca="false">INDEX(Parametros!$I$5:$I$16,$E1339)</f>
        <v>Feb</v>
      </c>
      <c r="G1339" s="61" t="str">
        <f aca="false">TEXT($C1339,"0000")&amp;"-"&amp;TEXT($E1339,"00")</f>
        <v>2025-02</v>
      </c>
      <c r="H1339" s="61" t="str">
        <f aca="false">INDEX(Parametros!$C$71:$C$91,MATCH(TRIM(INDEX(Datos_Origen!$C$2:$C$2459,$Z1339)),Parametros!$B$71:$B$91,0))</f>
        <v>Centro</v>
      </c>
      <c r="I1339" s="61" t="str">
        <f aca="false">IF(TRIM($AD1339)="",INDEX(Parametros!$I$20:$I$24,MATCH($H1339,Parametros!$H$20:$H$24,0)),TRIM($AD1339))</f>
        <v>Cordoba</v>
      </c>
      <c r="J1339" s="61" t="str">
        <f aca="false">INDEX(Parametros!$C$95:$C$106,MATCH(TRIM(INDEX(Datos_Origen!$E$2:$E$2459,$Z1339)),Parametros!$B$95:$B$106,0))</f>
        <v>E-commerce</v>
      </c>
      <c r="K1339" s="61" t="str">
        <f aca="false">INDEX(Parametros!$C$48:$C$67,MATCH(TRIM(INDEX(Datos_Origen!$F$2:$F$2459,$Z1339)),Parametros!$B$48:$B$67,0))</f>
        <v>Almacenamiento</v>
      </c>
      <c r="L1339" s="61" t="str">
        <f aca="false">$K1339&amp;" "&amp;$C1339</f>
        <v>Almacenamiento 2025</v>
      </c>
      <c r="M1339" s="61" t="str">
        <f aca="false">TRIM(INDEX(Datos_Origen!$G$2:$G$2459,$Z1339))</f>
        <v>SSD Externo 1TB</v>
      </c>
      <c r="N1339" s="61" t="str">
        <f aca="false">$M1339&amp;" "&amp;$C1339</f>
        <v>SSD Externo 1TB 2025</v>
      </c>
      <c r="O1339" s="63" t="n">
        <f aca="false">IF(ISTEXT($AC1339),VALUE($AC1339),$AC1339)</f>
        <v>20</v>
      </c>
      <c r="P1339" s="64" t="n">
        <f aca="false">INDEX(Datos_Origen!$I$2:$I$2459,$Z1339)</f>
        <v>129.17</v>
      </c>
      <c r="Q1339" s="64" t="n">
        <f aca="false">INDEX(Datos_Origen!$J$2:$J$2459,$Z1339)</f>
        <v>78.33</v>
      </c>
      <c r="R1339" s="65" t="n">
        <f aca="false">ROUND($O1339*$P1339,2)</f>
        <v>2583.4</v>
      </c>
      <c r="S1339" s="65" t="n">
        <f aca="false">ROUND($O1339*$Q1339,2)</f>
        <v>1566.6</v>
      </c>
      <c r="T1339" s="65" t="n">
        <f aca="false">ROUND($R1339*SUMIFS(Parametros!$E$28:$E$43,Parametros!$B$28:$B$43,$J1339,Parametros!$C$28:$C$43,$C1339,Parametros!$D$28:$D$43,$D1339),2)</f>
        <v>175.67</v>
      </c>
      <c r="U1339" s="65" t="n">
        <f aca="false">$R1339-$S1339-$T1339</f>
        <v>841.13</v>
      </c>
      <c r="V1339" s="66" t="n">
        <f aca="false">IFERROR($U1339/$R1339,0)</f>
        <v>0.325590307346907</v>
      </c>
      <c r="W1339" s="67" t="str">
        <f aca="false">IF(AND($V1339&gt;=Parametros!$C$8,$R1339&gt;=Parametros!$C$12),"Alta rentabilidad",IF(OR($V1339&lt;Parametros!$C$11,$R1339&lt;Parametros!$C$13),"Revisar","Estandar"))</f>
        <v>Estandar</v>
      </c>
      <c r="X1339" s="67" t="str">
        <f aca="false">IF(AND($J1339="E-commerce",IFERROR($T1339/$R1339,0)&gt;Parametros!$C$14),"Alerta","OK")</f>
        <v>Alerta</v>
      </c>
      <c r="Y1339" s="61" t="str">
        <f aca="false">IF($R1339&gt;=Parametros!$C$12,"Alto",IF($R1339&lt;Parametros!$C$13,"Bajo","Medio"))</f>
        <v>Medio</v>
      </c>
      <c r="Z1339" s="61" t="n">
        <v>1254</v>
      </c>
      <c r="AA1339" s="61" t="str">
        <f aca="false">IF(MATCH($A1339,Datos_Origen!$A$2:$A$2459,0)=$Z1339,"OK","REVISAR")</f>
        <v>OK</v>
      </c>
      <c r="AB1339" s="62" t="n">
        <f aca="false">INDEX(Datos_Origen!$B$2:$B$2459,$Z1339)</f>
        <v>45713</v>
      </c>
      <c r="AC1339" s="61" t="n">
        <f aca="false">INDEX(Datos_Origen!$H$2:$H$2459,$Z1339)</f>
        <v>20</v>
      </c>
      <c r="AD1339" s="61" t="str">
        <f aca="false">INDEX(Datos_Origen!$D$2:$D$2459,$Z1339)&amp;""</f>
        <v>Cordoba</v>
      </c>
    </row>
    <row r="1340" customFormat="false" ht="15" hidden="false" customHeight="false" outlineLevel="0" collapsed="false">
      <c r="A1340" s="61" t="n">
        <f aca="false">INDEX(Datos_Origen!$A$2:$A$2459,$Z1340)</f>
        <v>1339</v>
      </c>
      <c r="B1340" s="62" t="n">
        <f aca="false">IF(ISNUMBER($AB1340),$AB1340,IF(MID($AB1340,5,1)="-",DATE(VALUE(LEFT($AB1340,4)),VALUE(MID($AB1340,6,2)),VALUE(RIGHT($AB1340,2))),DATE(VALUE(RIGHT($AB1340,4)),VALUE(MID($AB1340,4,2)),VALUE(LEFT($AB1340,2)))))</f>
        <v>45693</v>
      </c>
      <c r="C1340" s="61" t="n">
        <f aca="false">YEAR($B1340)</f>
        <v>2025</v>
      </c>
      <c r="D1340" s="61" t="str">
        <f aca="false">"Q"&amp;ROUNDUP(MONTH($B1340)/3,0)</f>
        <v>Q1</v>
      </c>
      <c r="E1340" s="61" t="n">
        <f aca="false">MONTH($B1340)</f>
        <v>2</v>
      </c>
      <c r="F1340" s="61" t="str">
        <f aca="false">INDEX(Parametros!$I$5:$I$16,$E1340)</f>
        <v>Feb</v>
      </c>
      <c r="G1340" s="61" t="str">
        <f aca="false">TEXT($C1340,"0000")&amp;"-"&amp;TEXT($E1340,"00")</f>
        <v>2025-02</v>
      </c>
      <c r="H1340" s="61" t="str">
        <f aca="false">INDEX(Parametros!$C$71:$C$91,MATCH(TRIM(INDEX(Datos_Origen!$C$2:$C$2459,$Z1340)),Parametros!$B$71:$B$91,0))</f>
        <v>Centro</v>
      </c>
      <c r="I1340" s="61" t="str">
        <f aca="false">IF(TRIM($AD1340)="",INDEX(Parametros!$I$20:$I$24,MATCH($H1340,Parametros!$H$20:$H$24,0)),TRIM($AD1340))</f>
        <v>Cordoba</v>
      </c>
      <c r="J1340" s="61" t="str">
        <f aca="false">INDEX(Parametros!$C$95:$C$106,MATCH(TRIM(INDEX(Datos_Origen!$E$2:$E$2459,$Z1340)),Parametros!$B$95:$B$106,0))</f>
        <v>Tienda fisica</v>
      </c>
      <c r="K1340" s="61" t="str">
        <f aca="false">INDEX(Parametros!$C$48:$C$67,MATCH(TRIM(INDEX(Datos_Origen!$F$2:$F$2459,$Z1340)),Parametros!$B$48:$B$67,0))</f>
        <v>Almacenamiento</v>
      </c>
      <c r="L1340" s="61" t="str">
        <f aca="false">$K1340&amp;" "&amp;$C1340</f>
        <v>Almacenamiento 2025</v>
      </c>
      <c r="M1340" s="61" t="str">
        <f aca="false">TRIM(INDEX(Datos_Origen!$G$2:$G$2459,$Z1340))</f>
        <v>Pendrive 256GB</v>
      </c>
      <c r="N1340" s="61" t="str">
        <f aca="false">$M1340&amp;" "&amp;$C1340</f>
        <v>Pendrive 256GB 2025</v>
      </c>
      <c r="O1340" s="63" t="n">
        <f aca="false">IF(ISTEXT($AC1340),VALUE($AC1340),$AC1340)</f>
        <v>27</v>
      </c>
      <c r="P1340" s="64" t="n">
        <f aca="false">INDEX(Datos_Origen!$I$2:$I$2459,$Z1340)</f>
        <v>34.78</v>
      </c>
      <c r="Q1340" s="64" t="n">
        <f aca="false">INDEX(Datos_Origen!$J$2:$J$2459,$Z1340)</f>
        <v>18.39</v>
      </c>
      <c r="R1340" s="65" t="n">
        <f aca="false">ROUND($O1340*$P1340,2)</f>
        <v>939.06</v>
      </c>
      <c r="S1340" s="65" t="n">
        <f aca="false">ROUND($O1340*$Q1340,2)</f>
        <v>496.53</v>
      </c>
      <c r="T1340" s="65" t="n">
        <f aca="false">ROUND($R1340*SUMIFS(Parametros!$E$28:$E$43,Parametros!$B$28:$B$43,$J1340,Parametros!$C$28:$C$43,$C1340,Parametros!$D$28:$D$43,$D1340),2)</f>
        <v>12.21</v>
      </c>
      <c r="U1340" s="65" t="n">
        <f aca="false">$R1340-$S1340-$T1340</f>
        <v>430.32</v>
      </c>
      <c r="V1340" s="66" t="n">
        <f aca="false">IFERROR($U1340/$R1340,0)</f>
        <v>0.458245479522075</v>
      </c>
      <c r="W1340" s="67" t="str">
        <f aca="false">IF(AND($V1340&gt;=Parametros!$C$8,$R1340&gt;=Parametros!$C$12),"Alta rentabilidad",IF(OR($V1340&lt;Parametros!$C$11,$R1340&lt;Parametros!$C$13),"Revisar","Estandar"))</f>
        <v>Estandar</v>
      </c>
      <c r="X1340" s="67" t="str">
        <f aca="false">IF(AND($J1340="E-commerce",IFERROR($T1340/$R1340,0)&gt;Parametros!$C$14),"Alerta","OK")</f>
        <v>OK</v>
      </c>
      <c r="Y1340" s="61" t="str">
        <f aca="false">IF($R1340&gt;=Parametros!$C$12,"Alto",IF($R1340&lt;Parametros!$C$13,"Bajo","Medio"))</f>
        <v>Medio</v>
      </c>
      <c r="Z1340" s="61" t="n">
        <v>2335</v>
      </c>
      <c r="AA1340" s="61" t="str">
        <f aca="false">IF(MATCH($A1340,Datos_Origen!$A$2:$A$2459,0)=$Z1340,"OK","REVISAR")</f>
        <v>OK</v>
      </c>
      <c r="AB1340" s="62" t="n">
        <f aca="false">INDEX(Datos_Origen!$B$2:$B$2459,$Z1340)</f>
        <v>45693</v>
      </c>
      <c r="AC1340" s="61" t="str">
        <f aca="false">INDEX(Datos_Origen!$H$2:$H$2459,$Z1340)</f>
        <v>27</v>
      </c>
      <c r="AD1340" s="61" t="str">
        <f aca="false">INDEX(Datos_Origen!$D$2:$D$2459,$Z1340)&amp;""</f>
        <v>Cordoba</v>
      </c>
    </row>
    <row r="1341" customFormat="false" ht="15" hidden="false" customHeight="false" outlineLevel="0" collapsed="false">
      <c r="A1341" s="61" t="n">
        <f aca="false">INDEX(Datos_Origen!$A$2:$A$2459,$Z1341)</f>
        <v>1340</v>
      </c>
      <c r="B1341" s="62" t="n">
        <f aca="false">IF(ISNUMBER($AB1341),$AB1341,IF(MID($AB1341,5,1)="-",DATE(VALUE(LEFT($AB1341,4)),VALUE(MID($AB1341,6,2)),VALUE(RIGHT($AB1341,2))),DATE(VALUE(RIGHT($AB1341,4)),VALUE(MID($AB1341,4,2)),VALUE(LEFT($AB1341,2)))))</f>
        <v>45700</v>
      </c>
      <c r="C1341" s="61" t="n">
        <f aca="false">YEAR($B1341)</f>
        <v>2025</v>
      </c>
      <c r="D1341" s="61" t="str">
        <f aca="false">"Q"&amp;ROUNDUP(MONTH($B1341)/3,0)</f>
        <v>Q1</v>
      </c>
      <c r="E1341" s="61" t="n">
        <f aca="false">MONTH($B1341)</f>
        <v>2</v>
      </c>
      <c r="F1341" s="61" t="str">
        <f aca="false">INDEX(Parametros!$I$5:$I$16,$E1341)</f>
        <v>Feb</v>
      </c>
      <c r="G1341" s="61" t="str">
        <f aca="false">TEXT($C1341,"0000")&amp;"-"&amp;TEXT($E1341,"00")</f>
        <v>2025-02</v>
      </c>
      <c r="H1341" s="61" t="str">
        <f aca="false">INDEX(Parametros!$C$71:$C$91,MATCH(TRIM(INDEX(Datos_Origen!$C$2:$C$2459,$Z1341)),Parametros!$B$71:$B$91,0))</f>
        <v>Centro</v>
      </c>
      <c r="I1341" s="61" t="str">
        <f aca="false">IF(TRIM($AD1341)="",INDEX(Parametros!$I$20:$I$24,MATCH($H1341,Parametros!$H$20:$H$24,0)),TRIM($AD1341))</f>
        <v>Cordoba</v>
      </c>
      <c r="J1341" s="61" t="str">
        <f aca="false">INDEX(Parametros!$C$95:$C$106,MATCH(TRIM(INDEX(Datos_Origen!$E$2:$E$2459,$Z1341)),Parametros!$B$95:$B$106,0))</f>
        <v>E-commerce</v>
      </c>
      <c r="K1341" s="61" t="str">
        <f aca="false">INDEX(Parametros!$C$48:$C$67,MATCH(TRIM(INDEX(Datos_Origen!$F$2:$F$2459,$Z1341)),Parametros!$B$48:$B$67,0))</f>
        <v>Almacenamiento</v>
      </c>
      <c r="L1341" s="61" t="str">
        <f aca="false">$K1341&amp;" "&amp;$C1341</f>
        <v>Almacenamiento 2025</v>
      </c>
      <c r="M1341" s="61" t="str">
        <f aca="false">TRIM(INDEX(Datos_Origen!$G$2:$G$2459,$Z1341))</f>
        <v>Pendrive 256GB</v>
      </c>
      <c r="N1341" s="61" t="str">
        <f aca="false">$M1341&amp;" "&amp;$C1341</f>
        <v>Pendrive 256GB 2025</v>
      </c>
      <c r="O1341" s="63" t="n">
        <f aca="false">IF(ISTEXT($AC1341),VALUE($AC1341),$AC1341)</f>
        <v>17</v>
      </c>
      <c r="P1341" s="64" t="n">
        <f aca="false">INDEX(Datos_Origen!$I$2:$I$2459,$Z1341)</f>
        <v>34.78</v>
      </c>
      <c r="Q1341" s="64" t="n">
        <f aca="false">INDEX(Datos_Origen!$J$2:$J$2459,$Z1341)</f>
        <v>18.39</v>
      </c>
      <c r="R1341" s="65" t="n">
        <f aca="false">ROUND($O1341*$P1341,2)</f>
        <v>591.26</v>
      </c>
      <c r="S1341" s="65" t="n">
        <f aca="false">ROUND($O1341*$Q1341,2)</f>
        <v>312.63</v>
      </c>
      <c r="T1341" s="65" t="n">
        <f aca="false">ROUND($R1341*SUMIFS(Parametros!$E$28:$E$43,Parametros!$B$28:$B$43,$J1341,Parametros!$C$28:$C$43,$C1341,Parametros!$D$28:$D$43,$D1341),2)</f>
        <v>40.21</v>
      </c>
      <c r="U1341" s="65" t="n">
        <f aca="false">$R1341-$S1341-$T1341</f>
        <v>238.42</v>
      </c>
      <c r="V1341" s="66" t="n">
        <f aca="false">IFERROR($U1341/$R1341,0)</f>
        <v>0.403240537157934</v>
      </c>
      <c r="W1341" s="67" t="str">
        <f aca="false">IF(AND($V1341&gt;=Parametros!$C$8,$R1341&gt;=Parametros!$C$12),"Alta rentabilidad",IF(OR($V1341&lt;Parametros!$C$11,$R1341&lt;Parametros!$C$13),"Revisar","Estandar"))</f>
        <v>Estandar</v>
      </c>
      <c r="X1341" s="67" t="str">
        <f aca="false">IF(AND($J1341="E-commerce",IFERROR($T1341/$R1341,0)&gt;Parametros!$C$14),"Alerta","OK")</f>
        <v>Alerta</v>
      </c>
      <c r="Y1341" s="61" t="str">
        <f aca="false">IF($R1341&gt;=Parametros!$C$12,"Alto",IF($R1341&lt;Parametros!$C$13,"Bajo","Medio"))</f>
        <v>Medio</v>
      </c>
      <c r="Z1341" s="61" t="n">
        <v>2295</v>
      </c>
      <c r="AA1341" s="61" t="str">
        <f aca="false">IF(MATCH($A1341,Datos_Origen!$A$2:$A$2459,0)=$Z1341,"OK","REVISAR")</f>
        <v>OK</v>
      </c>
      <c r="AB1341" s="62" t="n">
        <f aca="false">INDEX(Datos_Origen!$B$2:$B$2459,$Z1341)</f>
        <v>45700</v>
      </c>
      <c r="AC1341" s="61" t="n">
        <f aca="false">INDEX(Datos_Origen!$H$2:$H$2459,$Z1341)</f>
        <v>17</v>
      </c>
      <c r="AD1341" s="61" t="str">
        <f aca="false">INDEX(Datos_Origen!$D$2:$D$2459,$Z1341)&amp;""</f>
        <v>Cordoba</v>
      </c>
    </row>
    <row r="1342" customFormat="false" ht="15" hidden="false" customHeight="false" outlineLevel="0" collapsed="false">
      <c r="A1342" s="61" t="n">
        <f aca="false">INDEX(Datos_Origen!$A$2:$A$2459,$Z1342)</f>
        <v>1341</v>
      </c>
      <c r="B1342" s="62" t="n">
        <f aca="false">IF(ISNUMBER($AB1342),$AB1342,IF(MID($AB1342,5,1)="-",DATE(VALUE(LEFT($AB1342,4)),VALUE(MID($AB1342,6,2)),VALUE(RIGHT($AB1342,2))),DATE(VALUE(RIGHT($AB1342,4)),VALUE(MID($AB1342,4,2)),VALUE(LEFT($AB1342,2)))))</f>
        <v>45707</v>
      </c>
      <c r="C1342" s="61" t="n">
        <f aca="false">YEAR($B1342)</f>
        <v>2025</v>
      </c>
      <c r="D1342" s="61" t="str">
        <f aca="false">"Q"&amp;ROUNDUP(MONTH($B1342)/3,0)</f>
        <v>Q1</v>
      </c>
      <c r="E1342" s="61" t="n">
        <f aca="false">MONTH($B1342)</f>
        <v>2</v>
      </c>
      <c r="F1342" s="61" t="str">
        <f aca="false">INDEX(Parametros!$I$5:$I$16,$E1342)</f>
        <v>Feb</v>
      </c>
      <c r="G1342" s="61" t="str">
        <f aca="false">TEXT($C1342,"0000")&amp;"-"&amp;TEXT($E1342,"00")</f>
        <v>2025-02</v>
      </c>
      <c r="H1342" s="61" t="str">
        <f aca="false">INDEX(Parametros!$C$71:$C$91,MATCH(TRIM(INDEX(Datos_Origen!$C$2:$C$2459,$Z1342)),Parametros!$B$71:$B$91,0))</f>
        <v>Litoral</v>
      </c>
      <c r="I1342" s="61" t="str">
        <f aca="false">IF(TRIM($AD1342)="",INDEX(Parametros!$I$20:$I$24,MATCH($H1342,Parametros!$H$20:$H$24,0)),TRIM($AD1342))</f>
        <v>Rosario</v>
      </c>
      <c r="J1342" s="61" t="str">
        <f aca="false">INDEX(Parametros!$C$95:$C$106,MATCH(TRIM(INDEX(Datos_Origen!$E$2:$E$2459,$Z1342)),Parametros!$B$95:$B$106,0))</f>
        <v>Tienda fisica</v>
      </c>
      <c r="K1342" s="61" t="str">
        <f aca="false">INDEX(Parametros!$C$48:$C$67,MATCH(TRIM(INDEX(Datos_Origen!$F$2:$F$2459,$Z1342)),Parametros!$B$48:$B$67,0))</f>
        <v>Computacion</v>
      </c>
      <c r="L1342" s="61" t="str">
        <f aca="false">$K1342&amp;" "&amp;$C1342</f>
        <v>Computacion 2025</v>
      </c>
      <c r="M1342" s="61" t="str">
        <f aca="false">TRIM(INDEX(Datos_Origen!$G$2:$G$2459,$Z1342))</f>
        <v>Laptop Pro 15</v>
      </c>
      <c r="N1342" s="61" t="str">
        <f aca="false">$M1342&amp;" "&amp;$C1342</f>
        <v>Laptop Pro 15 2025</v>
      </c>
      <c r="O1342" s="63" t="n">
        <f aca="false">IF(ISTEXT($AC1342),VALUE($AC1342),$AC1342)</f>
        <v>7</v>
      </c>
      <c r="P1342" s="64" t="n">
        <f aca="false">INDEX(Datos_Origen!$I$2:$I$2459,$Z1342)</f>
        <v>1155.06</v>
      </c>
      <c r="Q1342" s="64" t="n">
        <f aca="false">INDEX(Datos_Origen!$J$2:$J$2459,$Z1342)</f>
        <v>766.32</v>
      </c>
      <c r="R1342" s="65" t="n">
        <f aca="false">ROUND($O1342*$P1342,2)</f>
        <v>8085.42</v>
      </c>
      <c r="S1342" s="65" t="n">
        <f aca="false">ROUND($O1342*$Q1342,2)</f>
        <v>5364.24</v>
      </c>
      <c r="T1342" s="65" t="n">
        <f aca="false">ROUND($R1342*SUMIFS(Parametros!$E$28:$E$43,Parametros!$B$28:$B$43,$J1342,Parametros!$C$28:$C$43,$C1342,Parametros!$D$28:$D$43,$D1342),2)</f>
        <v>105.11</v>
      </c>
      <c r="U1342" s="65" t="n">
        <f aca="false">$R1342-$S1342-$T1342</f>
        <v>2616.07</v>
      </c>
      <c r="V1342" s="66" t="n">
        <f aca="false">IFERROR($U1342/$R1342,0)</f>
        <v>0.323554002142127</v>
      </c>
      <c r="W1342" s="67" t="str">
        <f aca="false">IF(AND($V1342&gt;=Parametros!$C$8,$R1342&gt;=Parametros!$C$12),"Alta rentabilidad",IF(OR($V1342&lt;Parametros!$C$11,$R1342&lt;Parametros!$C$13),"Revisar","Estandar"))</f>
        <v>Estandar</v>
      </c>
      <c r="X1342" s="67" t="str">
        <f aca="false">IF(AND($J1342="E-commerce",IFERROR($T1342/$R1342,0)&gt;Parametros!$C$14),"Alerta","OK")</f>
        <v>OK</v>
      </c>
      <c r="Y1342" s="61" t="str">
        <f aca="false">IF($R1342&gt;=Parametros!$C$12,"Alto",IF($R1342&lt;Parametros!$C$13,"Bajo","Medio"))</f>
        <v>Alto</v>
      </c>
      <c r="Z1342" s="61" t="n">
        <v>2399</v>
      </c>
      <c r="AA1342" s="61" t="str">
        <f aca="false">IF(MATCH($A1342,Datos_Origen!$A$2:$A$2459,0)=$Z1342,"OK","REVISAR")</f>
        <v>OK</v>
      </c>
      <c r="AB1342" s="62" t="n">
        <f aca="false">INDEX(Datos_Origen!$B$2:$B$2459,$Z1342)</f>
        <v>45707</v>
      </c>
      <c r="AC1342" s="61" t="n">
        <f aca="false">INDEX(Datos_Origen!$H$2:$H$2459,$Z1342)</f>
        <v>7</v>
      </c>
      <c r="AD1342" s="61" t="str">
        <f aca="false">INDEX(Datos_Origen!$D$2:$D$2459,$Z1342)&amp;""</f>
        <v>Rosario</v>
      </c>
    </row>
    <row r="1343" customFormat="false" ht="15" hidden="false" customHeight="false" outlineLevel="0" collapsed="false">
      <c r="A1343" s="61" t="n">
        <f aca="false">INDEX(Datos_Origen!$A$2:$A$2459,$Z1343)</f>
        <v>1342</v>
      </c>
      <c r="B1343" s="62" t="n">
        <f aca="false">IF(ISNUMBER($AB1343),$AB1343,IF(MID($AB1343,5,1)="-",DATE(VALUE(LEFT($AB1343,4)),VALUE(MID($AB1343,6,2)),VALUE(RIGHT($AB1343,2))),DATE(VALUE(RIGHT($AB1343,4)),VALUE(MID($AB1343,4,2)),VALUE(LEFT($AB1343,2)))))</f>
        <v>45714</v>
      </c>
      <c r="C1343" s="61" t="n">
        <f aca="false">YEAR($B1343)</f>
        <v>2025</v>
      </c>
      <c r="D1343" s="61" t="str">
        <f aca="false">"Q"&amp;ROUNDUP(MONTH($B1343)/3,0)</f>
        <v>Q1</v>
      </c>
      <c r="E1343" s="61" t="n">
        <f aca="false">MONTH($B1343)</f>
        <v>2</v>
      </c>
      <c r="F1343" s="61" t="str">
        <f aca="false">INDEX(Parametros!$I$5:$I$16,$E1343)</f>
        <v>Feb</v>
      </c>
      <c r="G1343" s="61" t="str">
        <f aca="false">TEXT($C1343,"0000")&amp;"-"&amp;TEXT($E1343,"00")</f>
        <v>2025-02</v>
      </c>
      <c r="H1343" s="61" t="str">
        <f aca="false">INDEX(Parametros!$C$71:$C$91,MATCH(TRIM(INDEX(Datos_Origen!$C$2:$C$2459,$Z1343)),Parametros!$B$71:$B$91,0))</f>
        <v>Litoral</v>
      </c>
      <c r="I1343" s="61" t="str">
        <f aca="false">IF(TRIM($AD1343)="",INDEX(Parametros!$I$20:$I$24,MATCH($H1343,Parametros!$H$20:$H$24,0)),TRIM($AD1343))</f>
        <v>Rosario</v>
      </c>
      <c r="J1343" s="61" t="str">
        <f aca="false">INDEX(Parametros!$C$95:$C$106,MATCH(TRIM(INDEX(Datos_Origen!$E$2:$E$2459,$Z1343)),Parametros!$B$95:$B$106,0))</f>
        <v>E-commerce</v>
      </c>
      <c r="K1343" s="61" t="str">
        <f aca="false">INDEX(Parametros!$C$48:$C$67,MATCH(TRIM(INDEX(Datos_Origen!$F$2:$F$2459,$Z1343)),Parametros!$B$48:$B$67,0))</f>
        <v>Computacion</v>
      </c>
      <c r="L1343" s="61" t="str">
        <f aca="false">$K1343&amp;" "&amp;$C1343</f>
        <v>Computacion 2025</v>
      </c>
      <c r="M1343" s="61" t="str">
        <f aca="false">TRIM(INDEX(Datos_Origen!$G$2:$G$2459,$Z1343))</f>
        <v>Laptop Pro 15</v>
      </c>
      <c r="N1343" s="61" t="str">
        <f aca="false">$M1343&amp;" "&amp;$C1343</f>
        <v>Laptop Pro 15 2025</v>
      </c>
      <c r="O1343" s="63" t="n">
        <f aca="false">IF(ISTEXT($AC1343),VALUE($AC1343),$AC1343)</f>
        <v>5</v>
      </c>
      <c r="P1343" s="64" t="n">
        <f aca="false">INDEX(Datos_Origen!$I$2:$I$2459,$Z1343)</f>
        <v>1155.06</v>
      </c>
      <c r="Q1343" s="64" t="n">
        <f aca="false">INDEX(Datos_Origen!$J$2:$J$2459,$Z1343)</f>
        <v>766.32</v>
      </c>
      <c r="R1343" s="65" t="n">
        <f aca="false">ROUND($O1343*$P1343,2)</f>
        <v>5775.3</v>
      </c>
      <c r="S1343" s="65" t="n">
        <f aca="false">ROUND($O1343*$Q1343,2)</f>
        <v>3831.6</v>
      </c>
      <c r="T1343" s="65" t="n">
        <f aca="false">ROUND($R1343*SUMIFS(Parametros!$E$28:$E$43,Parametros!$B$28:$B$43,$J1343,Parametros!$C$28:$C$43,$C1343,Parametros!$D$28:$D$43,$D1343),2)</f>
        <v>392.72</v>
      </c>
      <c r="U1343" s="65" t="n">
        <f aca="false">$R1343-$S1343-$T1343</f>
        <v>1550.98</v>
      </c>
      <c r="V1343" s="66" t="n">
        <f aca="false">IFERROR($U1343/$R1343,0)</f>
        <v>0.268554014510069</v>
      </c>
      <c r="W1343" s="67" t="str">
        <f aca="false">IF(AND($V1343&gt;=Parametros!$C$8,$R1343&gt;=Parametros!$C$12),"Alta rentabilidad",IF(OR($V1343&lt;Parametros!$C$11,$R1343&lt;Parametros!$C$13),"Revisar","Estandar"))</f>
        <v>Revisar</v>
      </c>
      <c r="X1343" s="67" t="str">
        <f aca="false">IF(AND($J1343="E-commerce",IFERROR($T1343/$R1343,0)&gt;Parametros!$C$14),"Alerta","OK")</f>
        <v>Alerta</v>
      </c>
      <c r="Y1343" s="61" t="str">
        <f aca="false">IF($R1343&gt;=Parametros!$C$12,"Alto",IF($R1343&lt;Parametros!$C$13,"Bajo","Medio"))</f>
        <v>Alto</v>
      </c>
      <c r="Z1343" s="61" t="n">
        <v>2189</v>
      </c>
      <c r="AA1343" s="61" t="str">
        <f aca="false">IF(MATCH($A1343,Datos_Origen!$A$2:$A$2459,0)=$Z1343,"OK","REVISAR")</f>
        <v>OK</v>
      </c>
      <c r="AB1343" s="62" t="n">
        <f aca="false">INDEX(Datos_Origen!$B$2:$B$2459,$Z1343)</f>
        <v>45714</v>
      </c>
      <c r="AC1343" s="61" t="n">
        <f aca="false">INDEX(Datos_Origen!$H$2:$H$2459,$Z1343)</f>
        <v>5</v>
      </c>
      <c r="AD1343" s="61" t="str">
        <f aca="false">INDEX(Datos_Origen!$D$2:$D$2459,$Z1343)&amp;""</f>
        <v>Rosario</v>
      </c>
    </row>
    <row r="1344" customFormat="false" ht="15" hidden="false" customHeight="false" outlineLevel="0" collapsed="false">
      <c r="A1344" s="61" t="n">
        <f aca="false">INDEX(Datos_Origen!$A$2:$A$2459,$Z1344)</f>
        <v>1343</v>
      </c>
      <c r="B1344" s="62" t="n">
        <f aca="false">IF(ISNUMBER($AB1344),$AB1344,IF(MID($AB1344,5,1)="-",DATE(VALUE(LEFT($AB1344,4)),VALUE(MID($AB1344,6,2)),VALUE(RIGHT($AB1344,2))),DATE(VALUE(RIGHT($AB1344,4)),VALUE(MID($AB1344,4,2)),VALUE(LEFT($AB1344,2)))))</f>
        <v>45694</v>
      </c>
      <c r="C1344" s="61" t="n">
        <f aca="false">YEAR($B1344)</f>
        <v>2025</v>
      </c>
      <c r="D1344" s="61" t="str">
        <f aca="false">"Q"&amp;ROUNDUP(MONTH($B1344)/3,0)</f>
        <v>Q1</v>
      </c>
      <c r="E1344" s="61" t="n">
        <f aca="false">MONTH($B1344)</f>
        <v>2</v>
      </c>
      <c r="F1344" s="61" t="str">
        <f aca="false">INDEX(Parametros!$I$5:$I$16,$E1344)</f>
        <v>Feb</v>
      </c>
      <c r="G1344" s="61" t="str">
        <f aca="false">TEXT($C1344,"0000")&amp;"-"&amp;TEXT($E1344,"00")</f>
        <v>2025-02</v>
      </c>
      <c r="H1344" s="61" t="str">
        <f aca="false">INDEX(Parametros!$C$71:$C$91,MATCH(TRIM(INDEX(Datos_Origen!$C$2:$C$2459,$Z1344)),Parametros!$B$71:$B$91,0))</f>
        <v>Litoral</v>
      </c>
      <c r="I1344" s="61" t="str">
        <f aca="false">IF(TRIM($AD1344)="",INDEX(Parametros!$I$20:$I$24,MATCH($H1344,Parametros!$H$20:$H$24,0)),TRIM($AD1344))</f>
        <v>Rosario</v>
      </c>
      <c r="J1344" s="61" t="str">
        <f aca="false">INDEX(Parametros!$C$95:$C$106,MATCH(TRIM(INDEX(Datos_Origen!$E$2:$E$2459,$Z1344)),Parametros!$B$95:$B$106,0))</f>
        <v>Tienda fisica</v>
      </c>
      <c r="K1344" s="61" t="str">
        <f aca="false">INDEX(Parametros!$C$48:$C$67,MATCH(TRIM(INDEX(Datos_Origen!$F$2:$F$2459,$Z1344)),Parametros!$B$48:$B$67,0))</f>
        <v>Computacion</v>
      </c>
      <c r="L1344" s="61" t="str">
        <f aca="false">$K1344&amp;" "&amp;$C1344</f>
        <v>Computacion 2025</v>
      </c>
      <c r="M1344" s="61" t="str">
        <f aca="false">TRIM(INDEX(Datos_Origen!$G$2:$G$2459,$Z1344))</f>
        <v>Monitor 4K 27</v>
      </c>
      <c r="N1344" s="61" t="str">
        <f aca="false">$M1344&amp;" "&amp;$C1344</f>
        <v>Monitor 4K 27 2025</v>
      </c>
      <c r="O1344" s="63" t="n">
        <f aca="false">IF(ISTEXT($AC1344),VALUE($AC1344),$AC1344)</f>
        <v>7</v>
      </c>
      <c r="P1344" s="64" t="n">
        <f aca="false">INDEX(Datos_Origen!$I$2:$I$2459,$Z1344)</f>
        <v>433.15</v>
      </c>
      <c r="Q1344" s="64" t="n">
        <f aca="false">INDEX(Datos_Origen!$J$2:$J$2459,$Z1344)</f>
        <v>280.42</v>
      </c>
      <c r="R1344" s="65" t="n">
        <f aca="false">ROUND($O1344*$P1344,2)</f>
        <v>3032.05</v>
      </c>
      <c r="S1344" s="65" t="n">
        <f aca="false">ROUND($O1344*$Q1344,2)</f>
        <v>1962.94</v>
      </c>
      <c r="T1344" s="65" t="n">
        <f aca="false">ROUND($R1344*SUMIFS(Parametros!$E$28:$E$43,Parametros!$B$28:$B$43,$J1344,Parametros!$C$28:$C$43,$C1344,Parametros!$D$28:$D$43,$D1344),2)</f>
        <v>39.42</v>
      </c>
      <c r="U1344" s="65" t="n">
        <f aca="false">$R1344-$S1344-$T1344</f>
        <v>1029.69</v>
      </c>
      <c r="V1344" s="66" t="n">
        <f aca="false">IFERROR($U1344/$R1344,0)</f>
        <v>0.339601919493412</v>
      </c>
      <c r="W1344" s="67" t="str">
        <f aca="false">IF(AND($V1344&gt;=Parametros!$C$8,$R1344&gt;=Parametros!$C$12),"Alta rentabilidad",IF(OR($V1344&lt;Parametros!$C$11,$R1344&lt;Parametros!$C$13),"Revisar","Estandar"))</f>
        <v>Estandar</v>
      </c>
      <c r="X1344" s="67" t="str">
        <f aca="false">IF(AND($J1344="E-commerce",IFERROR($T1344/$R1344,0)&gt;Parametros!$C$14),"Alerta","OK")</f>
        <v>OK</v>
      </c>
      <c r="Y1344" s="61" t="str">
        <f aca="false">IF($R1344&gt;=Parametros!$C$12,"Alto",IF($R1344&lt;Parametros!$C$13,"Bajo","Medio"))</f>
        <v>Alto</v>
      </c>
      <c r="Z1344" s="61" t="n">
        <v>1847</v>
      </c>
      <c r="AA1344" s="61" t="str">
        <f aca="false">IF(MATCH($A1344,Datos_Origen!$A$2:$A$2459,0)=$Z1344,"OK","REVISAR")</f>
        <v>OK</v>
      </c>
      <c r="AB1344" s="62" t="n">
        <f aca="false">INDEX(Datos_Origen!$B$2:$B$2459,$Z1344)</f>
        <v>45694</v>
      </c>
      <c r="AC1344" s="61" t="n">
        <f aca="false">INDEX(Datos_Origen!$H$2:$H$2459,$Z1344)</f>
        <v>7</v>
      </c>
      <c r="AD1344" s="61" t="str">
        <f aca="false">INDEX(Datos_Origen!$D$2:$D$2459,$Z1344)&amp;""</f>
        <v>Rosario</v>
      </c>
    </row>
    <row r="1345" customFormat="false" ht="15" hidden="false" customHeight="false" outlineLevel="0" collapsed="false">
      <c r="A1345" s="61" t="n">
        <f aca="false">INDEX(Datos_Origen!$A$2:$A$2459,$Z1345)</f>
        <v>1344</v>
      </c>
      <c r="B1345" s="62" t="n">
        <f aca="false">IF(ISNUMBER($AB1345),$AB1345,IF(MID($AB1345,5,1)="-",DATE(VALUE(LEFT($AB1345,4)),VALUE(MID($AB1345,6,2)),VALUE(RIGHT($AB1345,2))),DATE(VALUE(RIGHT($AB1345,4)),VALUE(MID($AB1345,4,2)),VALUE(LEFT($AB1345,2)))))</f>
        <v>45701</v>
      </c>
      <c r="C1345" s="61" t="n">
        <f aca="false">YEAR($B1345)</f>
        <v>2025</v>
      </c>
      <c r="D1345" s="61" t="str">
        <f aca="false">"Q"&amp;ROUNDUP(MONTH($B1345)/3,0)</f>
        <v>Q1</v>
      </c>
      <c r="E1345" s="61" t="n">
        <f aca="false">MONTH($B1345)</f>
        <v>2</v>
      </c>
      <c r="F1345" s="61" t="str">
        <f aca="false">INDEX(Parametros!$I$5:$I$16,$E1345)</f>
        <v>Feb</v>
      </c>
      <c r="G1345" s="61" t="str">
        <f aca="false">TEXT($C1345,"0000")&amp;"-"&amp;TEXT($E1345,"00")</f>
        <v>2025-02</v>
      </c>
      <c r="H1345" s="61" t="str">
        <f aca="false">INDEX(Parametros!$C$71:$C$91,MATCH(TRIM(INDEX(Datos_Origen!$C$2:$C$2459,$Z1345)),Parametros!$B$71:$B$91,0))</f>
        <v>Litoral</v>
      </c>
      <c r="I1345" s="61" t="str">
        <f aca="false">IF(TRIM($AD1345)="",INDEX(Parametros!$I$20:$I$24,MATCH($H1345,Parametros!$H$20:$H$24,0)),TRIM($AD1345))</f>
        <v>Rosario</v>
      </c>
      <c r="J1345" s="61" t="str">
        <f aca="false">INDEX(Parametros!$C$95:$C$106,MATCH(TRIM(INDEX(Datos_Origen!$E$2:$E$2459,$Z1345)),Parametros!$B$95:$B$106,0))</f>
        <v>E-commerce</v>
      </c>
      <c r="K1345" s="61" t="str">
        <f aca="false">INDEX(Parametros!$C$48:$C$67,MATCH(TRIM(INDEX(Datos_Origen!$F$2:$F$2459,$Z1345)),Parametros!$B$48:$B$67,0))</f>
        <v>Computacion</v>
      </c>
      <c r="L1345" s="61" t="str">
        <f aca="false">$K1345&amp;" "&amp;$C1345</f>
        <v>Computacion 2025</v>
      </c>
      <c r="M1345" s="61" t="str">
        <f aca="false">TRIM(INDEX(Datos_Origen!$G$2:$G$2459,$Z1345))</f>
        <v>Monitor 4K 27</v>
      </c>
      <c r="N1345" s="61" t="str">
        <f aca="false">$M1345&amp;" "&amp;$C1345</f>
        <v>Monitor 4K 27 2025</v>
      </c>
      <c r="O1345" s="63" t="n">
        <f aca="false">IF(ISTEXT($AC1345),VALUE($AC1345),$AC1345)</f>
        <v>5</v>
      </c>
      <c r="P1345" s="64" t="n">
        <f aca="false">INDEX(Datos_Origen!$I$2:$I$2459,$Z1345)</f>
        <v>433.15</v>
      </c>
      <c r="Q1345" s="64" t="n">
        <f aca="false">INDEX(Datos_Origen!$J$2:$J$2459,$Z1345)</f>
        <v>280.42</v>
      </c>
      <c r="R1345" s="65" t="n">
        <f aca="false">ROUND($O1345*$P1345,2)</f>
        <v>2165.75</v>
      </c>
      <c r="S1345" s="65" t="n">
        <f aca="false">ROUND($O1345*$Q1345,2)</f>
        <v>1402.1</v>
      </c>
      <c r="T1345" s="65" t="n">
        <f aca="false">ROUND($R1345*SUMIFS(Parametros!$E$28:$E$43,Parametros!$B$28:$B$43,$J1345,Parametros!$C$28:$C$43,$C1345,Parametros!$D$28:$D$43,$D1345),2)</f>
        <v>147.27</v>
      </c>
      <c r="U1345" s="65" t="n">
        <f aca="false">$R1345-$S1345-$T1345</f>
        <v>616.38</v>
      </c>
      <c r="V1345" s="66" t="n">
        <f aca="false">IFERROR($U1345/$R1345,0)</f>
        <v>0.284603486090269</v>
      </c>
      <c r="W1345" s="67" t="str">
        <f aca="false">IF(AND($V1345&gt;=Parametros!$C$8,$R1345&gt;=Parametros!$C$12),"Alta rentabilidad",IF(OR($V1345&lt;Parametros!$C$11,$R1345&lt;Parametros!$C$13),"Revisar","Estandar"))</f>
        <v>Estandar</v>
      </c>
      <c r="X1345" s="67" t="str">
        <f aca="false">IF(AND($J1345="E-commerce",IFERROR($T1345/$R1345,0)&gt;Parametros!$C$14),"Alerta","OK")</f>
        <v>Alerta</v>
      </c>
      <c r="Y1345" s="61" t="str">
        <f aca="false">IF($R1345&gt;=Parametros!$C$12,"Alto",IF($R1345&lt;Parametros!$C$13,"Bajo","Medio"))</f>
        <v>Medio</v>
      </c>
      <c r="Z1345" s="61" t="n">
        <v>1429</v>
      </c>
      <c r="AA1345" s="61" t="str">
        <f aca="false">IF(MATCH($A1345,Datos_Origen!$A$2:$A$2459,0)=$Z1345,"OK","REVISAR")</f>
        <v>OK</v>
      </c>
      <c r="AB1345" s="62" t="n">
        <f aca="false">INDEX(Datos_Origen!$B$2:$B$2459,$Z1345)</f>
        <v>45701</v>
      </c>
      <c r="AC1345" s="61" t="n">
        <f aca="false">INDEX(Datos_Origen!$H$2:$H$2459,$Z1345)</f>
        <v>5</v>
      </c>
      <c r="AD1345" s="61" t="str">
        <f aca="false">INDEX(Datos_Origen!$D$2:$D$2459,$Z1345)&amp;""</f>
        <v>Rosario</v>
      </c>
    </row>
    <row r="1346" customFormat="false" ht="15" hidden="false" customHeight="false" outlineLevel="0" collapsed="false">
      <c r="A1346" s="61" t="n">
        <f aca="false">INDEX(Datos_Origen!$A$2:$A$2459,$Z1346)</f>
        <v>1345</v>
      </c>
      <c r="B1346" s="62" t="n">
        <f aca="false">IF(ISNUMBER($AB1346),$AB1346,IF(MID($AB1346,5,1)="-",DATE(VALUE(LEFT($AB1346,4)),VALUE(MID($AB1346,6,2)),VALUE(RIGHT($AB1346,2))),DATE(VALUE(RIGHT($AB1346,4)),VALUE(MID($AB1346,4,2)),VALUE(LEFT($AB1346,2)))))</f>
        <v>45708</v>
      </c>
      <c r="C1346" s="61" t="n">
        <f aca="false">YEAR($B1346)</f>
        <v>2025</v>
      </c>
      <c r="D1346" s="61" t="str">
        <f aca="false">"Q"&amp;ROUNDUP(MONTH($B1346)/3,0)</f>
        <v>Q1</v>
      </c>
      <c r="E1346" s="61" t="n">
        <f aca="false">MONTH($B1346)</f>
        <v>2</v>
      </c>
      <c r="F1346" s="61" t="str">
        <f aca="false">INDEX(Parametros!$I$5:$I$16,$E1346)</f>
        <v>Feb</v>
      </c>
      <c r="G1346" s="61" t="str">
        <f aca="false">TEXT($C1346,"0000")&amp;"-"&amp;TEXT($E1346,"00")</f>
        <v>2025-02</v>
      </c>
      <c r="H1346" s="61" t="str">
        <f aca="false">INDEX(Parametros!$C$71:$C$91,MATCH(TRIM(INDEX(Datos_Origen!$C$2:$C$2459,$Z1346)),Parametros!$B$71:$B$91,0))</f>
        <v>Litoral</v>
      </c>
      <c r="I1346" s="61" t="str">
        <f aca="false">IF(TRIM($AD1346)="",INDEX(Parametros!$I$20:$I$24,MATCH($H1346,Parametros!$H$20:$H$24,0)),TRIM($AD1346))</f>
        <v>Rosario</v>
      </c>
      <c r="J1346" s="61" t="str">
        <f aca="false">INDEX(Parametros!$C$95:$C$106,MATCH(TRIM(INDEX(Datos_Origen!$E$2:$E$2459,$Z1346)),Parametros!$B$95:$B$106,0))</f>
        <v>Tienda fisica</v>
      </c>
      <c r="K1346" s="61" t="str">
        <f aca="false">INDEX(Parametros!$C$48:$C$67,MATCH(TRIM(INDEX(Datos_Origen!$F$2:$F$2459,$Z1346)),Parametros!$B$48:$B$67,0))</f>
        <v>Computacion</v>
      </c>
      <c r="L1346" s="61" t="str">
        <f aca="false">$K1346&amp;" "&amp;$C1346</f>
        <v>Computacion 2025</v>
      </c>
      <c r="M1346" s="61" t="str">
        <f aca="false">TRIM(INDEX(Datos_Origen!$G$2:$G$2459,$Z1346))</f>
        <v>PC Gamer Ryzen</v>
      </c>
      <c r="N1346" s="61" t="str">
        <f aca="false">$M1346&amp;" "&amp;$C1346</f>
        <v>PC Gamer Ryzen 2025</v>
      </c>
      <c r="O1346" s="63" t="n">
        <f aca="false">IF(ISTEXT($AC1346),VALUE($AC1346),$AC1346)</f>
        <v>6</v>
      </c>
      <c r="P1346" s="64" t="n">
        <f aca="false">INDEX(Datos_Origen!$I$2:$I$2459,$Z1346)</f>
        <v>1588.21</v>
      </c>
      <c r="Q1346" s="64" t="n">
        <f aca="false">INDEX(Datos_Origen!$J$2:$J$2459,$Z1346)</f>
        <v>1155.66</v>
      </c>
      <c r="R1346" s="65" t="n">
        <f aca="false">ROUND($O1346*$P1346,2)</f>
        <v>9529.26</v>
      </c>
      <c r="S1346" s="65" t="n">
        <f aca="false">ROUND($O1346*$Q1346,2)</f>
        <v>6933.96</v>
      </c>
      <c r="T1346" s="65" t="n">
        <f aca="false">ROUND($R1346*SUMIFS(Parametros!$E$28:$E$43,Parametros!$B$28:$B$43,$J1346,Parametros!$C$28:$C$43,$C1346,Parametros!$D$28:$D$43,$D1346),2)</f>
        <v>123.88</v>
      </c>
      <c r="U1346" s="65" t="n">
        <f aca="false">$R1346-$S1346-$T1346</f>
        <v>2471.42</v>
      </c>
      <c r="V1346" s="66" t="n">
        <f aca="false">IFERROR($U1346/$R1346,0)</f>
        <v>0.259350673609493</v>
      </c>
      <c r="W1346" s="67" t="str">
        <f aca="false">IF(AND($V1346&gt;=Parametros!$C$8,$R1346&gt;=Parametros!$C$12),"Alta rentabilidad",IF(OR($V1346&lt;Parametros!$C$11,$R1346&lt;Parametros!$C$13),"Revisar","Estandar"))</f>
        <v>Revisar</v>
      </c>
      <c r="X1346" s="67" t="str">
        <f aca="false">IF(AND($J1346="E-commerce",IFERROR($T1346/$R1346,0)&gt;Parametros!$C$14),"Alerta","OK")</f>
        <v>OK</v>
      </c>
      <c r="Y1346" s="61" t="str">
        <f aca="false">IF($R1346&gt;=Parametros!$C$12,"Alto",IF($R1346&lt;Parametros!$C$13,"Bajo","Medio"))</f>
        <v>Alto</v>
      </c>
      <c r="Z1346" s="61" t="n">
        <v>342</v>
      </c>
      <c r="AA1346" s="61" t="str">
        <f aca="false">IF(MATCH($A1346,Datos_Origen!$A$2:$A$2459,0)=$Z1346,"OK","REVISAR")</f>
        <v>OK</v>
      </c>
      <c r="AB1346" s="61" t="str">
        <f aca="false">INDEX(Datos_Origen!$B$2:$B$2459,$Z1346)</f>
        <v>2025-02-20</v>
      </c>
      <c r="AC1346" s="61" t="n">
        <f aca="false">INDEX(Datos_Origen!$H$2:$H$2459,$Z1346)</f>
        <v>6</v>
      </c>
      <c r="AD1346" s="61" t="str">
        <f aca="false">INDEX(Datos_Origen!$D$2:$D$2459,$Z1346)&amp;""</f>
        <v>Rosario</v>
      </c>
    </row>
    <row r="1347" customFormat="false" ht="15" hidden="false" customHeight="false" outlineLevel="0" collapsed="false">
      <c r="A1347" s="61" t="n">
        <f aca="false">INDEX(Datos_Origen!$A$2:$A$2459,$Z1347)</f>
        <v>1346</v>
      </c>
      <c r="B1347" s="62" t="n">
        <f aca="false">IF(ISNUMBER($AB1347),$AB1347,IF(MID($AB1347,5,1)="-",DATE(VALUE(LEFT($AB1347,4)),VALUE(MID($AB1347,6,2)),VALUE(RIGHT($AB1347,2))),DATE(VALUE(RIGHT($AB1347,4)),VALUE(MID($AB1347,4,2)),VALUE(LEFT($AB1347,2)))))</f>
        <v>45715</v>
      </c>
      <c r="C1347" s="61" t="n">
        <f aca="false">YEAR($B1347)</f>
        <v>2025</v>
      </c>
      <c r="D1347" s="61" t="str">
        <f aca="false">"Q"&amp;ROUNDUP(MONTH($B1347)/3,0)</f>
        <v>Q1</v>
      </c>
      <c r="E1347" s="61" t="n">
        <f aca="false">MONTH($B1347)</f>
        <v>2</v>
      </c>
      <c r="F1347" s="61" t="str">
        <f aca="false">INDEX(Parametros!$I$5:$I$16,$E1347)</f>
        <v>Feb</v>
      </c>
      <c r="G1347" s="61" t="str">
        <f aca="false">TEXT($C1347,"0000")&amp;"-"&amp;TEXT($E1347,"00")</f>
        <v>2025-02</v>
      </c>
      <c r="H1347" s="61" t="str">
        <f aca="false">INDEX(Parametros!$C$71:$C$91,MATCH(TRIM(INDEX(Datos_Origen!$C$2:$C$2459,$Z1347)),Parametros!$B$71:$B$91,0))</f>
        <v>Litoral</v>
      </c>
      <c r="I1347" s="61" t="str">
        <f aca="false">IF(TRIM($AD1347)="",INDEX(Parametros!$I$20:$I$24,MATCH($H1347,Parametros!$H$20:$H$24,0)),TRIM($AD1347))</f>
        <v>Rosario</v>
      </c>
      <c r="J1347" s="61" t="str">
        <f aca="false">INDEX(Parametros!$C$95:$C$106,MATCH(TRIM(INDEX(Datos_Origen!$E$2:$E$2459,$Z1347)),Parametros!$B$95:$B$106,0))</f>
        <v>E-commerce</v>
      </c>
      <c r="K1347" s="61" t="str">
        <f aca="false">INDEX(Parametros!$C$48:$C$67,MATCH(TRIM(INDEX(Datos_Origen!$F$2:$F$2459,$Z1347)),Parametros!$B$48:$B$67,0))</f>
        <v>Computacion</v>
      </c>
      <c r="L1347" s="61" t="str">
        <f aca="false">$K1347&amp;" "&amp;$C1347</f>
        <v>Computacion 2025</v>
      </c>
      <c r="M1347" s="61" t="str">
        <f aca="false">TRIM(INDEX(Datos_Origen!$G$2:$G$2459,$Z1347))</f>
        <v>PC Gamer Ryzen</v>
      </c>
      <c r="N1347" s="61" t="str">
        <f aca="false">$M1347&amp;" "&amp;$C1347</f>
        <v>PC Gamer Ryzen 2025</v>
      </c>
      <c r="O1347" s="63" t="n">
        <f aca="false">IF(ISTEXT($AC1347),VALUE($AC1347),$AC1347)</f>
        <v>4</v>
      </c>
      <c r="P1347" s="64" t="n">
        <f aca="false">INDEX(Datos_Origen!$I$2:$I$2459,$Z1347)</f>
        <v>1588.21</v>
      </c>
      <c r="Q1347" s="64" t="n">
        <f aca="false">INDEX(Datos_Origen!$J$2:$J$2459,$Z1347)</f>
        <v>1155.66</v>
      </c>
      <c r="R1347" s="65" t="n">
        <f aca="false">ROUND($O1347*$P1347,2)</f>
        <v>6352.84</v>
      </c>
      <c r="S1347" s="65" t="n">
        <f aca="false">ROUND($O1347*$Q1347,2)</f>
        <v>4622.64</v>
      </c>
      <c r="T1347" s="65" t="n">
        <f aca="false">ROUND($R1347*SUMIFS(Parametros!$E$28:$E$43,Parametros!$B$28:$B$43,$J1347,Parametros!$C$28:$C$43,$C1347,Parametros!$D$28:$D$43,$D1347),2)</f>
        <v>431.99</v>
      </c>
      <c r="U1347" s="65" t="n">
        <f aca="false">$R1347-$S1347-$T1347</f>
        <v>1298.21</v>
      </c>
      <c r="V1347" s="66" t="n">
        <f aca="false">IFERROR($U1347/$R1347,0)</f>
        <v>0.204351124851248</v>
      </c>
      <c r="W1347" s="67" t="str">
        <f aca="false">IF(AND($V1347&gt;=Parametros!$C$8,$R1347&gt;=Parametros!$C$12),"Alta rentabilidad",IF(OR($V1347&lt;Parametros!$C$11,$R1347&lt;Parametros!$C$13),"Revisar","Estandar"))</f>
        <v>Revisar</v>
      </c>
      <c r="X1347" s="67" t="str">
        <f aca="false">IF(AND($J1347="E-commerce",IFERROR($T1347/$R1347,0)&gt;Parametros!$C$14),"Alerta","OK")</f>
        <v>Alerta</v>
      </c>
      <c r="Y1347" s="61" t="str">
        <f aca="false">IF($R1347&gt;=Parametros!$C$12,"Alto",IF($R1347&lt;Parametros!$C$13,"Bajo","Medio"))</f>
        <v>Alto</v>
      </c>
      <c r="Z1347" s="61" t="n">
        <v>804</v>
      </c>
      <c r="AA1347" s="61" t="str">
        <f aca="false">IF(MATCH($A1347,Datos_Origen!$A$2:$A$2459,0)=$Z1347,"OK","REVISAR")</f>
        <v>OK</v>
      </c>
      <c r="AB1347" s="61" t="str">
        <f aca="false">INDEX(Datos_Origen!$B$2:$B$2459,$Z1347)</f>
        <v>27/02/2025</v>
      </c>
      <c r="AC1347" s="61" t="n">
        <f aca="false">INDEX(Datos_Origen!$H$2:$H$2459,$Z1347)</f>
        <v>4</v>
      </c>
      <c r="AD1347" s="61" t="str">
        <f aca="false">INDEX(Datos_Origen!$D$2:$D$2459,$Z1347)&amp;""</f>
        <v>Rosario</v>
      </c>
    </row>
    <row r="1348" customFormat="false" ht="15" hidden="false" customHeight="false" outlineLevel="0" collapsed="false">
      <c r="A1348" s="61" t="n">
        <f aca="false">INDEX(Datos_Origen!$A$2:$A$2459,$Z1348)</f>
        <v>1347</v>
      </c>
      <c r="B1348" s="62" t="n">
        <f aca="false">IF(ISNUMBER($AB1348),$AB1348,IF(MID($AB1348,5,1)="-",DATE(VALUE(LEFT($AB1348,4)),VALUE(MID($AB1348,6,2)),VALUE(RIGHT($AB1348,2))),DATE(VALUE(RIGHT($AB1348,4)),VALUE(MID($AB1348,4,2)),VALUE(LEFT($AB1348,2)))))</f>
        <v>45695</v>
      </c>
      <c r="C1348" s="61" t="n">
        <f aca="false">YEAR($B1348)</f>
        <v>2025</v>
      </c>
      <c r="D1348" s="61" t="str">
        <f aca="false">"Q"&amp;ROUNDUP(MONTH($B1348)/3,0)</f>
        <v>Q1</v>
      </c>
      <c r="E1348" s="61" t="n">
        <f aca="false">MONTH($B1348)</f>
        <v>2</v>
      </c>
      <c r="F1348" s="61" t="str">
        <f aca="false">INDEX(Parametros!$I$5:$I$16,$E1348)</f>
        <v>Feb</v>
      </c>
      <c r="G1348" s="61" t="str">
        <f aca="false">TEXT($C1348,"0000")&amp;"-"&amp;TEXT($E1348,"00")</f>
        <v>2025-02</v>
      </c>
      <c r="H1348" s="61" t="str">
        <f aca="false">INDEX(Parametros!$C$71:$C$91,MATCH(TRIM(INDEX(Datos_Origen!$C$2:$C$2459,$Z1348)),Parametros!$B$71:$B$91,0))</f>
        <v>Litoral</v>
      </c>
      <c r="I1348" s="61" t="str">
        <f aca="false">IF(TRIM($AD1348)="",INDEX(Parametros!$I$20:$I$24,MATCH($H1348,Parametros!$H$20:$H$24,0)),TRIM($AD1348))</f>
        <v>Rosario</v>
      </c>
      <c r="J1348" s="61" t="str">
        <f aca="false">INDEX(Parametros!$C$95:$C$106,MATCH(TRIM(INDEX(Datos_Origen!$E$2:$E$2459,$Z1348)),Parametros!$B$95:$B$106,0))</f>
        <v>Tienda fisica</v>
      </c>
      <c r="K1348" s="61" t="str">
        <f aca="false">INDEX(Parametros!$C$48:$C$67,MATCH(TRIM(INDEX(Datos_Origen!$F$2:$F$2459,$Z1348)),Parametros!$B$48:$B$67,0))</f>
        <v>Accesorios</v>
      </c>
      <c r="L1348" s="61" t="str">
        <f aca="false">$K1348&amp;" "&amp;$C1348</f>
        <v>Accesorios 2025</v>
      </c>
      <c r="M1348" s="61" t="str">
        <f aca="false">TRIM(INDEX(Datos_Origen!$G$2:$G$2459,$Z1348))</f>
        <v>Mouse Inalambrico</v>
      </c>
      <c r="N1348" s="61" t="str">
        <f aca="false">$M1348&amp;" "&amp;$C1348</f>
        <v>Mouse Inalambrico 2025</v>
      </c>
      <c r="O1348" s="63" t="n">
        <f aca="false">IF(ISTEXT($AC1348),VALUE($AC1348),$AC1348)</f>
        <v>35</v>
      </c>
      <c r="P1348" s="64" t="n">
        <f aca="false">INDEX(Datos_Origen!$I$2:$I$2459,$Z1348)</f>
        <v>27.82</v>
      </c>
      <c r="Q1348" s="64" t="n">
        <f aca="false">INDEX(Datos_Origen!$J$2:$J$2459,$Z1348)</f>
        <v>13.84</v>
      </c>
      <c r="R1348" s="65" t="n">
        <f aca="false">ROUND($O1348*$P1348,2)</f>
        <v>973.7</v>
      </c>
      <c r="S1348" s="65" t="n">
        <f aca="false">ROUND($O1348*$Q1348,2)</f>
        <v>484.4</v>
      </c>
      <c r="T1348" s="65" t="n">
        <f aca="false">ROUND($R1348*SUMIFS(Parametros!$E$28:$E$43,Parametros!$B$28:$B$43,$J1348,Parametros!$C$28:$C$43,$C1348,Parametros!$D$28:$D$43,$D1348),2)</f>
        <v>12.66</v>
      </c>
      <c r="U1348" s="65" t="n">
        <f aca="false">$R1348-$S1348-$T1348</f>
        <v>476.64</v>
      </c>
      <c r="V1348" s="66" t="n">
        <f aca="false">IFERROR($U1348/$R1348,0)</f>
        <v>0.489514224093663</v>
      </c>
      <c r="W1348" s="67" t="str">
        <f aca="false">IF(AND($V1348&gt;=Parametros!$C$8,$R1348&gt;=Parametros!$C$12),"Alta rentabilidad",IF(OR($V1348&lt;Parametros!$C$11,$R1348&lt;Parametros!$C$13),"Revisar","Estandar"))</f>
        <v>Estandar</v>
      </c>
      <c r="X1348" s="67" t="str">
        <f aca="false">IF(AND($J1348="E-commerce",IFERROR($T1348/$R1348,0)&gt;Parametros!$C$14),"Alerta","OK")</f>
        <v>OK</v>
      </c>
      <c r="Y1348" s="61" t="str">
        <f aca="false">IF($R1348&gt;=Parametros!$C$12,"Alto",IF($R1348&lt;Parametros!$C$13,"Bajo","Medio"))</f>
        <v>Medio</v>
      </c>
      <c r="Z1348" s="61" t="n">
        <v>2317</v>
      </c>
      <c r="AA1348" s="61" t="str">
        <f aca="false">IF(MATCH($A1348,Datos_Origen!$A$2:$A$2459,0)=$Z1348,"OK","REVISAR")</f>
        <v>OK</v>
      </c>
      <c r="AB1348" s="62" t="n">
        <f aca="false">INDEX(Datos_Origen!$B$2:$B$2459,$Z1348)</f>
        <v>45695</v>
      </c>
      <c r="AC1348" s="61" t="n">
        <f aca="false">INDEX(Datos_Origen!$H$2:$H$2459,$Z1348)</f>
        <v>35</v>
      </c>
      <c r="AD1348" s="61" t="str">
        <f aca="false">INDEX(Datos_Origen!$D$2:$D$2459,$Z1348)&amp;""</f>
        <v>Rosario</v>
      </c>
    </row>
    <row r="1349" customFormat="false" ht="15" hidden="false" customHeight="false" outlineLevel="0" collapsed="false">
      <c r="A1349" s="61" t="n">
        <f aca="false">INDEX(Datos_Origen!$A$2:$A$2459,$Z1349)</f>
        <v>1348</v>
      </c>
      <c r="B1349" s="62" t="n">
        <f aca="false">IF(ISNUMBER($AB1349),$AB1349,IF(MID($AB1349,5,1)="-",DATE(VALUE(LEFT($AB1349,4)),VALUE(MID($AB1349,6,2)),VALUE(RIGHT($AB1349,2))),DATE(VALUE(RIGHT($AB1349,4)),VALUE(MID($AB1349,4,2)),VALUE(LEFT($AB1349,2)))))</f>
        <v>45702</v>
      </c>
      <c r="C1349" s="61" t="n">
        <f aca="false">YEAR($B1349)</f>
        <v>2025</v>
      </c>
      <c r="D1349" s="61" t="str">
        <f aca="false">"Q"&amp;ROUNDUP(MONTH($B1349)/3,0)</f>
        <v>Q1</v>
      </c>
      <c r="E1349" s="61" t="n">
        <f aca="false">MONTH($B1349)</f>
        <v>2</v>
      </c>
      <c r="F1349" s="61" t="str">
        <f aca="false">INDEX(Parametros!$I$5:$I$16,$E1349)</f>
        <v>Feb</v>
      </c>
      <c r="G1349" s="61" t="str">
        <f aca="false">TEXT($C1349,"0000")&amp;"-"&amp;TEXT($E1349,"00")</f>
        <v>2025-02</v>
      </c>
      <c r="H1349" s="61" t="str">
        <f aca="false">INDEX(Parametros!$C$71:$C$91,MATCH(TRIM(INDEX(Datos_Origen!$C$2:$C$2459,$Z1349)),Parametros!$B$71:$B$91,0))</f>
        <v>Litoral</v>
      </c>
      <c r="I1349" s="61" t="str">
        <f aca="false">IF(TRIM($AD1349)="",INDEX(Parametros!$I$20:$I$24,MATCH($H1349,Parametros!$H$20:$H$24,0)),TRIM($AD1349))</f>
        <v>Rosario</v>
      </c>
      <c r="J1349" s="61" t="str">
        <f aca="false">INDEX(Parametros!$C$95:$C$106,MATCH(TRIM(INDEX(Datos_Origen!$E$2:$E$2459,$Z1349)),Parametros!$B$95:$B$106,0))</f>
        <v>E-commerce</v>
      </c>
      <c r="K1349" s="61" t="str">
        <f aca="false">INDEX(Parametros!$C$48:$C$67,MATCH(TRIM(INDEX(Datos_Origen!$F$2:$F$2459,$Z1349)),Parametros!$B$48:$B$67,0))</f>
        <v>Accesorios</v>
      </c>
      <c r="L1349" s="61" t="str">
        <f aca="false">$K1349&amp;" "&amp;$C1349</f>
        <v>Accesorios 2025</v>
      </c>
      <c r="M1349" s="61" t="str">
        <f aca="false">TRIM(INDEX(Datos_Origen!$G$2:$G$2459,$Z1349))</f>
        <v>Mouse Inalambrico</v>
      </c>
      <c r="N1349" s="61" t="str">
        <f aca="false">$M1349&amp;" "&amp;$C1349</f>
        <v>Mouse Inalambrico 2025</v>
      </c>
      <c r="O1349" s="63" t="n">
        <f aca="false">IF(ISTEXT($AC1349),VALUE($AC1349),$AC1349)</f>
        <v>24</v>
      </c>
      <c r="P1349" s="64" t="n">
        <f aca="false">INDEX(Datos_Origen!$I$2:$I$2459,$Z1349)</f>
        <v>27.82</v>
      </c>
      <c r="Q1349" s="64" t="n">
        <f aca="false">INDEX(Datos_Origen!$J$2:$J$2459,$Z1349)</f>
        <v>13.84</v>
      </c>
      <c r="R1349" s="65" t="n">
        <f aca="false">ROUND($O1349*$P1349,2)</f>
        <v>667.68</v>
      </c>
      <c r="S1349" s="65" t="n">
        <f aca="false">ROUND($O1349*$Q1349,2)</f>
        <v>332.16</v>
      </c>
      <c r="T1349" s="65" t="n">
        <f aca="false">ROUND($R1349*SUMIFS(Parametros!$E$28:$E$43,Parametros!$B$28:$B$43,$J1349,Parametros!$C$28:$C$43,$C1349,Parametros!$D$28:$D$43,$D1349),2)</f>
        <v>45.4</v>
      </c>
      <c r="U1349" s="65" t="n">
        <f aca="false">$R1349-$S1349-$T1349</f>
        <v>290.12</v>
      </c>
      <c r="V1349" s="66" t="n">
        <f aca="false">IFERROR($U1349/$R1349,0)</f>
        <v>0.434519530313923</v>
      </c>
      <c r="W1349" s="67" t="str">
        <f aca="false">IF(AND($V1349&gt;=Parametros!$C$8,$R1349&gt;=Parametros!$C$12),"Alta rentabilidad",IF(OR($V1349&lt;Parametros!$C$11,$R1349&lt;Parametros!$C$13),"Revisar","Estandar"))</f>
        <v>Estandar</v>
      </c>
      <c r="X1349" s="67" t="str">
        <f aca="false">IF(AND($J1349="E-commerce",IFERROR($T1349/$R1349,0)&gt;Parametros!$C$14),"Alerta","OK")</f>
        <v>Alerta</v>
      </c>
      <c r="Y1349" s="61" t="str">
        <f aca="false">IF($R1349&gt;=Parametros!$C$12,"Alto",IF($R1349&lt;Parametros!$C$13,"Bajo","Medio"))</f>
        <v>Medio</v>
      </c>
      <c r="Z1349" s="61" t="n">
        <v>245</v>
      </c>
      <c r="AA1349" s="61" t="str">
        <f aca="false">IF(MATCH($A1349,Datos_Origen!$A$2:$A$2459,0)=$Z1349,"OK","REVISAR")</f>
        <v>OK</v>
      </c>
      <c r="AB1349" s="61" t="str">
        <f aca="false">INDEX(Datos_Origen!$B$2:$B$2459,$Z1349)</f>
        <v>2025-02-14</v>
      </c>
      <c r="AC1349" s="61" t="n">
        <f aca="false">INDEX(Datos_Origen!$H$2:$H$2459,$Z1349)</f>
        <v>24</v>
      </c>
      <c r="AD1349" s="61" t="str">
        <f aca="false">INDEX(Datos_Origen!$D$2:$D$2459,$Z1349)&amp;""</f>
        <v>Rosario</v>
      </c>
    </row>
    <row r="1350" customFormat="false" ht="15" hidden="false" customHeight="false" outlineLevel="0" collapsed="false">
      <c r="A1350" s="61" t="n">
        <f aca="false">INDEX(Datos_Origen!$A$2:$A$2459,$Z1350)</f>
        <v>1349</v>
      </c>
      <c r="B1350" s="62" t="n">
        <f aca="false">IF(ISNUMBER($AB1350),$AB1350,IF(MID($AB1350,5,1)="-",DATE(VALUE(LEFT($AB1350,4)),VALUE(MID($AB1350,6,2)),VALUE(RIGHT($AB1350,2))),DATE(VALUE(RIGHT($AB1350,4)),VALUE(MID($AB1350,4,2)),VALUE(LEFT($AB1350,2)))))</f>
        <v>45709</v>
      </c>
      <c r="C1350" s="61" t="n">
        <f aca="false">YEAR($B1350)</f>
        <v>2025</v>
      </c>
      <c r="D1350" s="61" t="str">
        <f aca="false">"Q"&amp;ROUNDUP(MONTH($B1350)/3,0)</f>
        <v>Q1</v>
      </c>
      <c r="E1350" s="61" t="n">
        <f aca="false">MONTH($B1350)</f>
        <v>2</v>
      </c>
      <c r="F1350" s="61" t="str">
        <f aca="false">INDEX(Parametros!$I$5:$I$16,$E1350)</f>
        <v>Feb</v>
      </c>
      <c r="G1350" s="61" t="str">
        <f aca="false">TEXT($C1350,"0000")&amp;"-"&amp;TEXT($E1350,"00")</f>
        <v>2025-02</v>
      </c>
      <c r="H1350" s="61" t="str">
        <f aca="false">INDEX(Parametros!$C$71:$C$91,MATCH(TRIM(INDEX(Datos_Origen!$C$2:$C$2459,$Z1350)),Parametros!$B$71:$B$91,0))</f>
        <v>Litoral</v>
      </c>
      <c r="I1350" s="61" t="str">
        <f aca="false">IF(TRIM($AD1350)="",INDEX(Parametros!$I$20:$I$24,MATCH($H1350,Parametros!$H$20:$H$24,0)),TRIM($AD1350))</f>
        <v>Rosario</v>
      </c>
      <c r="J1350" s="61" t="str">
        <f aca="false">INDEX(Parametros!$C$95:$C$106,MATCH(TRIM(INDEX(Datos_Origen!$E$2:$E$2459,$Z1350)),Parametros!$B$95:$B$106,0))</f>
        <v>Tienda fisica</v>
      </c>
      <c r="K1350" s="61" t="str">
        <f aca="false">INDEX(Parametros!$C$48:$C$67,MATCH(TRIM(INDEX(Datos_Origen!$F$2:$F$2459,$Z1350)),Parametros!$B$48:$B$67,0))</f>
        <v>Accesorios</v>
      </c>
      <c r="L1350" s="61" t="str">
        <f aca="false">$K1350&amp;" "&amp;$C1350</f>
        <v>Accesorios 2025</v>
      </c>
      <c r="M1350" s="61" t="str">
        <f aca="false">TRIM(INDEX(Datos_Origen!$G$2:$G$2459,$Z1350))</f>
        <v>Teclado Mecanico</v>
      </c>
      <c r="N1350" s="61" t="str">
        <f aca="false">$M1350&amp;" "&amp;$C1350</f>
        <v>Teclado Mecanico 2025</v>
      </c>
      <c r="O1350" s="63" t="n">
        <f aca="false">IF(ISTEXT($AC1350),VALUE($AC1350),$AC1350)</f>
        <v>27</v>
      </c>
      <c r="P1350" s="64" t="n">
        <f aca="false">INDEX(Datos_Origen!$I$2:$I$2459,$Z1350)</f>
        <v>94.39</v>
      </c>
      <c r="Q1350" s="64" t="n">
        <f aca="false">INDEX(Datos_Origen!$J$2:$J$2459,$Z1350)</f>
        <v>49.41</v>
      </c>
      <c r="R1350" s="65" t="n">
        <f aca="false">ROUND($O1350*$P1350,2)</f>
        <v>2548.53</v>
      </c>
      <c r="S1350" s="65" t="n">
        <f aca="false">ROUND($O1350*$Q1350,2)</f>
        <v>1334.07</v>
      </c>
      <c r="T1350" s="65" t="n">
        <f aca="false">ROUND($R1350*SUMIFS(Parametros!$E$28:$E$43,Parametros!$B$28:$B$43,$J1350,Parametros!$C$28:$C$43,$C1350,Parametros!$D$28:$D$43,$D1350),2)</f>
        <v>33.13</v>
      </c>
      <c r="U1350" s="65" t="n">
        <f aca="false">$R1350-$S1350-$T1350</f>
        <v>1181.33</v>
      </c>
      <c r="V1350" s="66" t="n">
        <f aca="false">IFERROR($U1350/$R1350,0)</f>
        <v>0.463533880315319</v>
      </c>
      <c r="W1350" s="67" t="str">
        <f aca="false">IF(AND($V1350&gt;=Parametros!$C$8,$R1350&gt;=Parametros!$C$12),"Alta rentabilidad",IF(OR($V1350&lt;Parametros!$C$11,$R1350&lt;Parametros!$C$13),"Revisar","Estandar"))</f>
        <v>Estandar</v>
      </c>
      <c r="X1350" s="67" t="str">
        <f aca="false">IF(AND($J1350="E-commerce",IFERROR($T1350/$R1350,0)&gt;Parametros!$C$14),"Alerta","OK")</f>
        <v>OK</v>
      </c>
      <c r="Y1350" s="61" t="str">
        <f aca="false">IF($R1350&gt;=Parametros!$C$12,"Alto",IF($R1350&lt;Parametros!$C$13,"Bajo","Medio"))</f>
        <v>Medio</v>
      </c>
      <c r="Z1350" s="61" t="n">
        <v>615</v>
      </c>
      <c r="AA1350" s="61" t="str">
        <f aca="false">IF(MATCH($A1350,Datos_Origen!$A$2:$A$2459,0)=$Z1350,"OK","REVISAR")</f>
        <v>OK</v>
      </c>
      <c r="AB1350" s="61" t="str">
        <f aca="false">INDEX(Datos_Origen!$B$2:$B$2459,$Z1350)</f>
        <v>2025-02-21</v>
      </c>
      <c r="AC1350" s="61" t="str">
        <f aca="false">INDEX(Datos_Origen!$H$2:$H$2459,$Z1350)</f>
        <v>27</v>
      </c>
      <c r="AD1350" s="61" t="str">
        <f aca="false">INDEX(Datos_Origen!$D$2:$D$2459,$Z1350)&amp;""</f>
        <v>Rosario</v>
      </c>
    </row>
    <row r="1351" customFormat="false" ht="15" hidden="false" customHeight="false" outlineLevel="0" collapsed="false">
      <c r="A1351" s="61" t="n">
        <f aca="false">INDEX(Datos_Origen!$A$2:$A$2459,$Z1351)</f>
        <v>1350</v>
      </c>
      <c r="B1351" s="62" t="n">
        <f aca="false">IF(ISNUMBER($AB1351),$AB1351,IF(MID($AB1351,5,1)="-",DATE(VALUE(LEFT($AB1351,4)),VALUE(MID($AB1351,6,2)),VALUE(RIGHT($AB1351,2))),DATE(VALUE(RIGHT($AB1351,4)),VALUE(MID($AB1351,4,2)),VALUE(LEFT($AB1351,2)))))</f>
        <v>45689</v>
      </c>
      <c r="C1351" s="61" t="n">
        <f aca="false">YEAR($B1351)</f>
        <v>2025</v>
      </c>
      <c r="D1351" s="61" t="str">
        <f aca="false">"Q"&amp;ROUNDUP(MONTH($B1351)/3,0)</f>
        <v>Q1</v>
      </c>
      <c r="E1351" s="61" t="n">
        <f aca="false">MONTH($B1351)</f>
        <v>2</v>
      </c>
      <c r="F1351" s="61" t="str">
        <f aca="false">INDEX(Parametros!$I$5:$I$16,$E1351)</f>
        <v>Feb</v>
      </c>
      <c r="G1351" s="61" t="str">
        <f aca="false">TEXT($C1351,"0000")&amp;"-"&amp;TEXT($E1351,"00")</f>
        <v>2025-02</v>
      </c>
      <c r="H1351" s="61" t="str">
        <f aca="false">INDEX(Parametros!$C$71:$C$91,MATCH(TRIM(INDEX(Datos_Origen!$C$2:$C$2459,$Z1351)),Parametros!$B$71:$B$91,0))</f>
        <v>Litoral</v>
      </c>
      <c r="I1351" s="61" t="str">
        <f aca="false">IF(TRIM($AD1351)="",INDEX(Parametros!$I$20:$I$24,MATCH($H1351,Parametros!$H$20:$H$24,0)),TRIM($AD1351))</f>
        <v>Rosario</v>
      </c>
      <c r="J1351" s="61" t="str">
        <f aca="false">INDEX(Parametros!$C$95:$C$106,MATCH(TRIM(INDEX(Datos_Origen!$E$2:$E$2459,$Z1351)),Parametros!$B$95:$B$106,0))</f>
        <v>E-commerce</v>
      </c>
      <c r="K1351" s="61" t="str">
        <f aca="false">INDEX(Parametros!$C$48:$C$67,MATCH(TRIM(INDEX(Datos_Origen!$F$2:$F$2459,$Z1351)),Parametros!$B$48:$B$67,0))</f>
        <v>Accesorios</v>
      </c>
      <c r="L1351" s="61" t="str">
        <f aca="false">$K1351&amp;" "&amp;$C1351</f>
        <v>Accesorios 2025</v>
      </c>
      <c r="M1351" s="61" t="str">
        <f aca="false">TRIM(INDEX(Datos_Origen!$G$2:$G$2459,$Z1351))</f>
        <v>Teclado Mecanico</v>
      </c>
      <c r="N1351" s="61" t="str">
        <f aca="false">$M1351&amp;" "&amp;$C1351</f>
        <v>Teclado Mecanico 2025</v>
      </c>
      <c r="O1351" s="63" t="n">
        <f aca="false">IF(ISTEXT($AC1351),VALUE($AC1351),$AC1351)</f>
        <v>18</v>
      </c>
      <c r="P1351" s="64" t="n">
        <f aca="false">INDEX(Datos_Origen!$I$2:$I$2459,$Z1351)</f>
        <v>94.39</v>
      </c>
      <c r="Q1351" s="64" t="n">
        <f aca="false">INDEX(Datos_Origen!$J$2:$J$2459,$Z1351)</f>
        <v>49.41</v>
      </c>
      <c r="R1351" s="65" t="n">
        <f aca="false">ROUND($O1351*$P1351,2)</f>
        <v>1699.02</v>
      </c>
      <c r="S1351" s="65" t="n">
        <f aca="false">ROUND($O1351*$Q1351,2)</f>
        <v>889.38</v>
      </c>
      <c r="T1351" s="65" t="n">
        <f aca="false">ROUND($R1351*SUMIFS(Parametros!$E$28:$E$43,Parametros!$B$28:$B$43,$J1351,Parametros!$C$28:$C$43,$C1351,Parametros!$D$28:$D$43,$D1351),2)</f>
        <v>115.53</v>
      </c>
      <c r="U1351" s="65" t="n">
        <f aca="false">$R1351-$S1351-$T1351</f>
        <v>694.11</v>
      </c>
      <c r="V1351" s="66" t="n">
        <f aca="false">IFERROR($U1351/$R1351,0)</f>
        <v>0.408535508705018</v>
      </c>
      <c r="W1351" s="67" t="str">
        <f aca="false">IF(AND($V1351&gt;=Parametros!$C$8,$R1351&gt;=Parametros!$C$12),"Alta rentabilidad",IF(OR($V1351&lt;Parametros!$C$11,$R1351&lt;Parametros!$C$13),"Revisar","Estandar"))</f>
        <v>Estandar</v>
      </c>
      <c r="X1351" s="67" t="str">
        <f aca="false">IF(AND($J1351="E-commerce",IFERROR($T1351/$R1351,0)&gt;Parametros!$C$14),"Alerta","OK")</f>
        <v>Alerta</v>
      </c>
      <c r="Y1351" s="61" t="str">
        <f aca="false">IF($R1351&gt;=Parametros!$C$12,"Alto",IF($R1351&lt;Parametros!$C$13,"Bajo","Medio"))</f>
        <v>Medio</v>
      </c>
      <c r="Z1351" s="61" t="n">
        <v>1267</v>
      </c>
      <c r="AA1351" s="61" t="str">
        <f aca="false">IF(MATCH($A1351,Datos_Origen!$A$2:$A$2459,0)=$Z1351,"OK","REVISAR")</f>
        <v>OK</v>
      </c>
      <c r="AB1351" s="62" t="n">
        <f aca="false">INDEX(Datos_Origen!$B$2:$B$2459,$Z1351)</f>
        <v>45689</v>
      </c>
      <c r="AC1351" s="61" t="n">
        <f aca="false">INDEX(Datos_Origen!$H$2:$H$2459,$Z1351)</f>
        <v>18</v>
      </c>
      <c r="AD1351" s="61" t="str">
        <f aca="false">INDEX(Datos_Origen!$D$2:$D$2459,$Z1351)&amp;""</f>
        <v>Rosario</v>
      </c>
    </row>
    <row r="1352" customFormat="false" ht="15" hidden="false" customHeight="false" outlineLevel="0" collapsed="false">
      <c r="A1352" s="61" t="n">
        <f aca="false">INDEX(Datos_Origen!$A$2:$A$2459,$Z1352)</f>
        <v>1351</v>
      </c>
      <c r="B1352" s="62" t="n">
        <f aca="false">IF(ISNUMBER($AB1352),$AB1352,IF(MID($AB1352,5,1)="-",DATE(VALUE(LEFT($AB1352,4)),VALUE(MID($AB1352,6,2)),VALUE(RIGHT($AB1352,2))),DATE(VALUE(RIGHT($AB1352,4)),VALUE(MID($AB1352,4,2)),VALUE(LEFT($AB1352,2)))))</f>
        <v>45696</v>
      </c>
      <c r="C1352" s="61" t="n">
        <f aca="false">YEAR($B1352)</f>
        <v>2025</v>
      </c>
      <c r="D1352" s="61" t="str">
        <f aca="false">"Q"&amp;ROUNDUP(MONTH($B1352)/3,0)</f>
        <v>Q1</v>
      </c>
      <c r="E1352" s="61" t="n">
        <f aca="false">MONTH($B1352)</f>
        <v>2</v>
      </c>
      <c r="F1352" s="61" t="str">
        <f aca="false">INDEX(Parametros!$I$5:$I$16,$E1352)</f>
        <v>Feb</v>
      </c>
      <c r="G1352" s="61" t="str">
        <f aca="false">TEXT($C1352,"0000")&amp;"-"&amp;TEXT($E1352,"00")</f>
        <v>2025-02</v>
      </c>
      <c r="H1352" s="61" t="str">
        <f aca="false">INDEX(Parametros!$C$71:$C$91,MATCH(TRIM(INDEX(Datos_Origen!$C$2:$C$2459,$Z1352)),Parametros!$B$71:$B$91,0))</f>
        <v>Litoral</v>
      </c>
      <c r="I1352" s="61" t="str">
        <f aca="false">IF(TRIM($AD1352)="",INDEX(Parametros!$I$20:$I$24,MATCH($H1352,Parametros!$H$20:$H$24,0)),TRIM($AD1352))</f>
        <v>Rosario</v>
      </c>
      <c r="J1352" s="61" t="str">
        <f aca="false">INDEX(Parametros!$C$95:$C$106,MATCH(TRIM(INDEX(Datos_Origen!$E$2:$E$2459,$Z1352)),Parametros!$B$95:$B$106,0))</f>
        <v>Tienda fisica</v>
      </c>
      <c r="K1352" s="61" t="str">
        <f aca="false">INDEX(Parametros!$C$48:$C$67,MATCH(TRIM(INDEX(Datos_Origen!$F$2:$F$2459,$Z1352)),Parametros!$B$48:$B$67,0))</f>
        <v>Accesorios</v>
      </c>
      <c r="L1352" s="61" t="str">
        <f aca="false">$K1352&amp;" "&amp;$C1352</f>
        <v>Accesorios 2025</v>
      </c>
      <c r="M1352" s="61" t="str">
        <f aca="false">TRIM(INDEX(Datos_Origen!$G$2:$G$2459,$Z1352))</f>
        <v>Webcam Full HD</v>
      </c>
      <c r="N1352" s="61" t="str">
        <f aca="false">$M1352&amp;" "&amp;$C1352</f>
        <v>Webcam Full HD 2025</v>
      </c>
      <c r="O1352" s="63" t="n">
        <f aca="false">IF(ISTEXT($AC1352),VALUE($AC1352),$AC1352)</f>
        <v>27</v>
      </c>
      <c r="P1352" s="64" t="n">
        <f aca="false">INDEX(Datos_Origen!$I$2:$I$2459,$Z1352)</f>
        <v>64.58</v>
      </c>
      <c r="Q1352" s="64" t="n">
        <f aca="false">INDEX(Datos_Origen!$J$2:$J$2459,$Z1352)</f>
        <v>36.49</v>
      </c>
      <c r="R1352" s="65" t="n">
        <f aca="false">ROUND($O1352*$P1352,2)</f>
        <v>1743.66</v>
      </c>
      <c r="S1352" s="65" t="n">
        <f aca="false">ROUND($O1352*$Q1352,2)</f>
        <v>985.23</v>
      </c>
      <c r="T1352" s="65" t="n">
        <f aca="false">ROUND($R1352*SUMIFS(Parametros!$E$28:$E$43,Parametros!$B$28:$B$43,$J1352,Parametros!$C$28:$C$43,$C1352,Parametros!$D$28:$D$43,$D1352),2)</f>
        <v>22.67</v>
      </c>
      <c r="U1352" s="65" t="n">
        <f aca="false">$R1352-$S1352-$T1352</f>
        <v>735.76</v>
      </c>
      <c r="V1352" s="66" t="n">
        <f aca="false">IFERROR($U1352/$R1352,0)</f>
        <v>0.421962997373341</v>
      </c>
      <c r="W1352" s="67" t="str">
        <f aca="false">IF(AND($V1352&gt;=Parametros!$C$8,$R1352&gt;=Parametros!$C$12),"Alta rentabilidad",IF(OR($V1352&lt;Parametros!$C$11,$R1352&lt;Parametros!$C$13),"Revisar","Estandar"))</f>
        <v>Estandar</v>
      </c>
      <c r="X1352" s="67" t="str">
        <f aca="false">IF(AND($J1352="E-commerce",IFERROR($T1352/$R1352,0)&gt;Parametros!$C$14),"Alerta","OK")</f>
        <v>OK</v>
      </c>
      <c r="Y1352" s="61" t="str">
        <f aca="false">IF($R1352&gt;=Parametros!$C$12,"Alto",IF($R1352&lt;Parametros!$C$13,"Bajo","Medio"))</f>
        <v>Medio</v>
      </c>
      <c r="Z1352" s="61" t="n">
        <v>2014</v>
      </c>
      <c r="AA1352" s="61" t="str">
        <f aca="false">IF(MATCH($A1352,Datos_Origen!$A$2:$A$2459,0)=$Z1352,"OK","REVISAR")</f>
        <v>OK</v>
      </c>
      <c r="AB1352" s="62" t="n">
        <f aca="false">INDEX(Datos_Origen!$B$2:$B$2459,$Z1352)</f>
        <v>45696</v>
      </c>
      <c r="AC1352" s="61" t="n">
        <f aca="false">INDEX(Datos_Origen!$H$2:$H$2459,$Z1352)</f>
        <v>27</v>
      </c>
      <c r="AD1352" s="61" t="str">
        <f aca="false">INDEX(Datos_Origen!$D$2:$D$2459,$Z1352)&amp;""</f>
        <v>Rosario</v>
      </c>
    </row>
    <row r="1353" customFormat="false" ht="15" hidden="false" customHeight="false" outlineLevel="0" collapsed="false">
      <c r="A1353" s="61" t="n">
        <f aca="false">INDEX(Datos_Origen!$A$2:$A$2459,$Z1353)</f>
        <v>1352</v>
      </c>
      <c r="B1353" s="62" t="n">
        <f aca="false">IF(ISNUMBER($AB1353),$AB1353,IF(MID($AB1353,5,1)="-",DATE(VALUE(LEFT($AB1353,4)),VALUE(MID($AB1353,6,2)),VALUE(RIGHT($AB1353,2))),DATE(VALUE(RIGHT($AB1353,4)),VALUE(MID($AB1353,4,2)),VALUE(LEFT($AB1353,2)))))</f>
        <v>45703</v>
      </c>
      <c r="C1353" s="61" t="n">
        <f aca="false">YEAR($B1353)</f>
        <v>2025</v>
      </c>
      <c r="D1353" s="61" t="str">
        <f aca="false">"Q"&amp;ROUNDUP(MONTH($B1353)/3,0)</f>
        <v>Q1</v>
      </c>
      <c r="E1353" s="61" t="n">
        <f aca="false">MONTH($B1353)</f>
        <v>2</v>
      </c>
      <c r="F1353" s="61" t="str">
        <f aca="false">INDEX(Parametros!$I$5:$I$16,$E1353)</f>
        <v>Feb</v>
      </c>
      <c r="G1353" s="61" t="str">
        <f aca="false">TEXT($C1353,"0000")&amp;"-"&amp;TEXT($E1353,"00")</f>
        <v>2025-02</v>
      </c>
      <c r="H1353" s="61" t="str">
        <f aca="false">INDEX(Parametros!$C$71:$C$91,MATCH(TRIM(INDEX(Datos_Origen!$C$2:$C$2459,$Z1353)),Parametros!$B$71:$B$91,0))</f>
        <v>Litoral</v>
      </c>
      <c r="I1353" s="61" t="str">
        <f aca="false">IF(TRIM($AD1353)="",INDEX(Parametros!$I$20:$I$24,MATCH($H1353,Parametros!$H$20:$H$24,0)),TRIM($AD1353))</f>
        <v>Rosario</v>
      </c>
      <c r="J1353" s="61" t="str">
        <f aca="false">INDEX(Parametros!$C$95:$C$106,MATCH(TRIM(INDEX(Datos_Origen!$E$2:$E$2459,$Z1353)),Parametros!$B$95:$B$106,0))</f>
        <v>E-commerce</v>
      </c>
      <c r="K1353" s="61" t="str">
        <f aca="false">INDEX(Parametros!$C$48:$C$67,MATCH(TRIM(INDEX(Datos_Origen!$F$2:$F$2459,$Z1353)),Parametros!$B$48:$B$67,0))</f>
        <v>Accesorios</v>
      </c>
      <c r="L1353" s="61" t="str">
        <f aca="false">$K1353&amp;" "&amp;$C1353</f>
        <v>Accesorios 2025</v>
      </c>
      <c r="M1353" s="61" t="str">
        <f aca="false">TRIM(INDEX(Datos_Origen!$G$2:$G$2459,$Z1353))</f>
        <v>Webcam Full HD</v>
      </c>
      <c r="N1353" s="61" t="str">
        <f aca="false">$M1353&amp;" "&amp;$C1353</f>
        <v>Webcam Full HD 2025</v>
      </c>
      <c r="O1353" s="63" t="n">
        <f aca="false">IF(ISTEXT($AC1353),VALUE($AC1353),$AC1353)</f>
        <v>24</v>
      </c>
      <c r="P1353" s="64" t="n">
        <f aca="false">INDEX(Datos_Origen!$I$2:$I$2459,$Z1353)</f>
        <v>64.58</v>
      </c>
      <c r="Q1353" s="64" t="n">
        <f aca="false">INDEX(Datos_Origen!$J$2:$J$2459,$Z1353)</f>
        <v>36.49</v>
      </c>
      <c r="R1353" s="65" t="n">
        <f aca="false">ROUND($O1353*$P1353,2)</f>
        <v>1549.92</v>
      </c>
      <c r="S1353" s="65" t="n">
        <f aca="false">ROUND($O1353*$Q1353,2)</f>
        <v>875.76</v>
      </c>
      <c r="T1353" s="65" t="n">
        <f aca="false">ROUND($R1353*SUMIFS(Parametros!$E$28:$E$43,Parametros!$B$28:$B$43,$J1353,Parametros!$C$28:$C$43,$C1353,Parametros!$D$28:$D$43,$D1353),2)</f>
        <v>105.39</v>
      </c>
      <c r="U1353" s="65" t="n">
        <f aca="false">$R1353-$S1353-$T1353</f>
        <v>568.77</v>
      </c>
      <c r="V1353" s="66" t="n">
        <f aca="false">IFERROR($U1353/$R1353,0)</f>
        <v>0.366967327345928</v>
      </c>
      <c r="W1353" s="67" t="str">
        <f aca="false">IF(AND($V1353&gt;=Parametros!$C$8,$R1353&gt;=Parametros!$C$12),"Alta rentabilidad",IF(OR($V1353&lt;Parametros!$C$11,$R1353&lt;Parametros!$C$13),"Revisar","Estandar"))</f>
        <v>Estandar</v>
      </c>
      <c r="X1353" s="67" t="str">
        <f aca="false">IF(AND($J1353="E-commerce",IFERROR($T1353/$R1353,0)&gt;Parametros!$C$14),"Alerta","OK")</f>
        <v>Alerta</v>
      </c>
      <c r="Y1353" s="61" t="str">
        <f aca="false">IF($R1353&gt;=Parametros!$C$12,"Alto",IF($R1353&lt;Parametros!$C$13,"Bajo","Medio"))</f>
        <v>Medio</v>
      </c>
      <c r="Z1353" s="61" t="n">
        <v>1840</v>
      </c>
      <c r="AA1353" s="61" t="str">
        <f aca="false">IF(MATCH($A1353,Datos_Origen!$A$2:$A$2459,0)=$Z1353,"OK","REVISAR")</f>
        <v>OK</v>
      </c>
      <c r="AB1353" s="61" t="str">
        <f aca="false">INDEX(Datos_Origen!$B$2:$B$2459,$Z1353)</f>
        <v>15/02/2025</v>
      </c>
      <c r="AC1353" s="61" t="n">
        <f aca="false">INDEX(Datos_Origen!$H$2:$H$2459,$Z1353)</f>
        <v>24</v>
      </c>
      <c r="AD1353" s="61" t="str">
        <f aca="false">INDEX(Datos_Origen!$D$2:$D$2459,$Z1353)&amp;""</f>
        <v>Rosario</v>
      </c>
    </row>
    <row r="1354" customFormat="false" ht="15" hidden="false" customHeight="false" outlineLevel="0" collapsed="false">
      <c r="A1354" s="61" t="n">
        <f aca="false">INDEX(Datos_Origen!$A$2:$A$2459,$Z1354)</f>
        <v>1353</v>
      </c>
      <c r="B1354" s="62" t="n">
        <f aca="false">IF(ISNUMBER($AB1354),$AB1354,IF(MID($AB1354,5,1)="-",DATE(VALUE(LEFT($AB1354,4)),VALUE(MID($AB1354,6,2)),VALUE(RIGHT($AB1354,2))),DATE(VALUE(RIGHT($AB1354,4)),VALUE(MID($AB1354,4,2)),VALUE(LEFT($AB1354,2)))))</f>
        <v>45710</v>
      </c>
      <c r="C1354" s="61" t="n">
        <f aca="false">YEAR($B1354)</f>
        <v>2025</v>
      </c>
      <c r="D1354" s="61" t="str">
        <f aca="false">"Q"&amp;ROUNDUP(MONTH($B1354)/3,0)</f>
        <v>Q1</v>
      </c>
      <c r="E1354" s="61" t="n">
        <f aca="false">MONTH($B1354)</f>
        <v>2</v>
      </c>
      <c r="F1354" s="61" t="str">
        <f aca="false">INDEX(Parametros!$I$5:$I$16,$E1354)</f>
        <v>Feb</v>
      </c>
      <c r="G1354" s="61" t="str">
        <f aca="false">TEXT($C1354,"0000")&amp;"-"&amp;TEXT($E1354,"00")</f>
        <v>2025-02</v>
      </c>
      <c r="H1354" s="61" t="str">
        <f aca="false">INDEX(Parametros!$C$71:$C$91,MATCH(TRIM(INDEX(Datos_Origen!$C$2:$C$2459,$Z1354)),Parametros!$B$71:$B$91,0))</f>
        <v>Litoral</v>
      </c>
      <c r="I1354" s="61" t="str">
        <f aca="false">IF(TRIM($AD1354)="",INDEX(Parametros!$I$20:$I$24,MATCH($H1354,Parametros!$H$20:$H$24,0)),TRIM($AD1354))</f>
        <v>Rosario</v>
      </c>
      <c r="J1354" s="61" t="str">
        <f aca="false">INDEX(Parametros!$C$95:$C$106,MATCH(TRIM(INDEX(Datos_Origen!$E$2:$E$2459,$Z1354)),Parametros!$B$95:$B$106,0))</f>
        <v>Tienda fisica</v>
      </c>
      <c r="K1354" s="61" t="str">
        <f aca="false">INDEX(Parametros!$C$48:$C$67,MATCH(TRIM(INDEX(Datos_Origen!$F$2:$F$2459,$Z1354)),Parametros!$B$48:$B$67,0))</f>
        <v>Audio</v>
      </c>
      <c r="L1354" s="61" t="str">
        <f aca="false">$K1354&amp;" "&amp;$C1354</f>
        <v>Audio 2025</v>
      </c>
      <c r="M1354" s="61" t="str">
        <f aca="false">TRIM(INDEX(Datos_Origen!$G$2:$G$2459,$Z1354))</f>
        <v>Auriculares BT Pro</v>
      </c>
      <c r="N1354" s="61" t="str">
        <f aca="false">$M1354&amp;" "&amp;$C1354</f>
        <v>Auriculares BT Pro 2025</v>
      </c>
      <c r="O1354" s="63" t="n">
        <f aca="false">IF(ISTEXT($AC1354),VALUE($AC1354),$AC1354)</f>
        <v>16</v>
      </c>
      <c r="P1354" s="64" t="n">
        <f aca="false">INDEX(Datos_Origen!$I$2:$I$2459,$Z1354)</f>
        <v>119.23</v>
      </c>
      <c r="Q1354" s="64" t="n">
        <f aca="false">INDEX(Datos_Origen!$J$2:$J$2459,$Z1354)</f>
        <v>65.51</v>
      </c>
      <c r="R1354" s="65" t="n">
        <f aca="false">ROUND($O1354*$P1354,2)</f>
        <v>1907.68</v>
      </c>
      <c r="S1354" s="65" t="n">
        <f aca="false">ROUND($O1354*$Q1354,2)</f>
        <v>1048.16</v>
      </c>
      <c r="T1354" s="65" t="n">
        <f aca="false">ROUND($R1354*SUMIFS(Parametros!$E$28:$E$43,Parametros!$B$28:$B$43,$J1354,Parametros!$C$28:$C$43,$C1354,Parametros!$D$28:$D$43,$D1354),2)</f>
        <v>24.8</v>
      </c>
      <c r="U1354" s="65" t="n">
        <f aca="false">$R1354-$S1354-$T1354</f>
        <v>834.72</v>
      </c>
      <c r="V1354" s="66" t="n">
        <f aca="false">IFERROR($U1354/$R1354,0)</f>
        <v>0.437557661662333</v>
      </c>
      <c r="W1354" s="67" t="str">
        <f aca="false">IF(AND($V1354&gt;=Parametros!$C$8,$R1354&gt;=Parametros!$C$12),"Alta rentabilidad",IF(OR($V1354&lt;Parametros!$C$11,$R1354&lt;Parametros!$C$13),"Revisar","Estandar"))</f>
        <v>Estandar</v>
      </c>
      <c r="X1354" s="67" t="str">
        <f aca="false">IF(AND($J1354="E-commerce",IFERROR($T1354/$R1354,0)&gt;Parametros!$C$14),"Alerta","OK")</f>
        <v>OK</v>
      </c>
      <c r="Y1354" s="61" t="str">
        <f aca="false">IF($R1354&gt;=Parametros!$C$12,"Alto",IF($R1354&lt;Parametros!$C$13,"Bajo","Medio"))</f>
        <v>Medio</v>
      </c>
      <c r="Z1354" s="61" t="n">
        <v>777</v>
      </c>
      <c r="AA1354" s="61" t="str">
        <f aca="false">IF(MATCH($A1354,Datos_Origen!$A$2:$A$2459,0)=$Z1354,"OK","REVISAR")</f>
        <v>OK</v>
      </c>
      <c r="AB1354" s="62" t="n">
        <f aca="false">INDEX(Datos_Origen!$B$2:$B$2459,$Z1354)</f>
        <v>45710</v>
      </c>
      <c r="AC1354" s="61" t="n">
        <f aca="false">INDEX(Datos_Origen!$H$2:$H$2459,$Z1354)</f>
        <v>16</v>
      </c>
      <c r="AD1354" s="61" t="str">
        <f aca="false">INDEX(Datos_Origen!$D$2:$D$2459,$Z1354)&amp;""</f>
        <v>Rosario</v>
      </c>
    </row>
    <row r="1355" customFormat="false" ht="15" hidden="false" customHeight="false" outlineLevel="0" collapsed="false">
      <c r="A1355" s="61" t="n">
        <f aca="false">INDEX(Datos_Origen!$A$2:$A$2459,$Z1355)</f>
        <v>1354</v>
      </c>
      <c r="B1355" s="62" t="n">
        <f aca="false">IF(ISNUMBER($AB1355),$AB1355,IF(MID($AB1355,5,1)="-",DATE(VALUE(LEFT($AB1355,4)),VALUE(MID($AB1355,6,2)),VALUE(RIGHT($AB1355,2))),DATE(VALUE(RIGHT($AB1355,4)),VALUE(MID($AB1355,4,2)),VALUE(LEFT($AB1355,2)))))</f>
        <v>45690</v>
      </c>
      <c r="C1355" s="61" t="n">
        <f aca="false">YEAR($B1355)</f>
        <v>2025</v>
      </c>
      <c r="D1355" s="61" t="str">
        <f aca="false">"Q"&amp;ROUNDUP(MONTH($B1355)/3,0)</f>
        <v>Q1</v>
      </c>
      <c r="E1355" s="61" t="n">
        <f aca="false">MONTH($B1355)</f>
        <v>2</v>
      </c>
      <c r="F1355" s="61" t="str">
        <f aca="false">INDEX(Parametros!$I$5:$I$16,$E1355)</f>
        <v>Feb</v>
      </c>
      <c r="G1355" s="61" t="str">
        <f aca="false">TEXT($C1355,"0000")&amp;"-"&amp;TEXT($E1355,"00")</f>
        <v>2025-02</v>
      </c>
      <c r="H1355" s="61" t="str">
        <f aca="false">INDEX(Parametros!$C$71:$C$91,MATCH(TRIM(INDEX(Datos_Origen!$C$2:$C$2459,$Z1355)),Parametros!$B$71:$B$91,0))</f>
        <v>Litoral</v>
      </c>
      <c r="I1355" s="61" t="str">
        <f aca="false">IF(TRIM($AD1355)="",INDEX(Parametros!$I$20:$I$24,MATCH($H1355,Parametros!$H$20:$H$24,0)),TRIM($AD1355))</f>
        <v>Rosario</v>
      </c>
      <c r="J1355" s="61" t="str">
        <f aca="false">INDEX(Parametros!$C$95:$C$106,MATCH(TRIM(INDEX(Datos_Origen!$E$2:$E$2459,$Z1355)),Parametros!$B$95:$B$106,0))</f>
        <v>E-commerce</v>
      </c>
      <c r="K1355" s="61" t="str">
        <f aca="false">INDEX(Parametros!$C$48:$C$67,MATCH(TRIM(INDEX(Datos_Origen!$F$2:$F$2459,$Z1355)),Parametros!$B$48:$B$67,0))</f>
        <v>Audio</v>
      </c>
      <c r="L1355" s="61" t="str">
        <f aca="false">$K1355&amp;" "&amp;$C1355</f>
        <v>Audio 2025</v>
      </c>
      <c r="M1355" s="61" t="str">
        <f aca="false">TRIM(INDEX(Datos_Origen!$G$2:$G$2459,$Z1355))</f>
        <v>Auriculares BT Pro</v>
      </c>
      <c r="N1355" s="61" t="str">
        <f aca="false">$M1355&amp;" "&amp;$C1355</f>
        <v>Auriculares BT Pro 2025</v>
      </c>
      <c r="O1355" s="63" t="n">
        <f aca="false">IF(ISTEXT($AC1355),VALUE($AC1355),$AC1355)</f>
        <v>11</v>
      </c>
      <c r="P1355" s="64" t="n">
        <f aca="false">INDEX(Datos_Origen!$I$2:$I$2459,$Z1355)</f>
        <v>119.23</v>
      </c>
      <c r="Q1355" s="64" t="n">
        <f aca="false">INDEX(Datos_Origen!$J$2:$J$2459,$Z1355)</f>
        <v>65.51</v>
      </c>
      <c r="R1355" s="65" t="n">
        <f aca="false">ROUND($O1355*$P1355,2)</f>
        <v>1311.53</v>
      </c>
      <c r="S1355" s="65" t="n">
        <f aca="false">ROUND($O1355*$Q1355,2)</f>
        <v>720.61</v>
      </c>
      <c r="T1355" s="65" t="n">
        <f aca="false">ROUND($R1355*SUMIFS(Parametros!$E$28:$E$43,Parametros!$B$28:$B$43,$J1355,Parametros!$C$28:$C$43,$C1355,Parametros!$D$28:$D$43,$D1355),2)</f>
        <v>89.18</v>
      </c>
      <c r="U1355" s="65" t="n">
        <f aca="false">$R1355-$S1355-$T1355</f>
        <v>501.74</v>
      </c>
      <c r="V1355" s="66" t="n">
        <f aca="false">IFERROR($U1355/$R1355,0)</f>
        <v>0.382560825905622</v>
      </c>
      <c r="W1355" s="67" t="str">
        <f aca="false">IF(AND($V1355&gt;=Parametros!$C$8,$R1355&gt;=Parametros!$C$12),"Alta rentabilidad",IF(OR($V1355&lt;Parametros!$C$11,$R1355&lt;Parametros!$C$13),"Revisar","Estandar"))</f>
        <v>Estandar</v>
      </c>
      <c r="X1355" s="67" t="str">
        <f aca="false">IF(AND($J1355="E-commerce",IFERROR($T1355/$R1355,0)&gt;Parametros!$C$14),"Alerta","OK")</f>
        <v>Alerta</v>
      </c>
      <c r="Y1355" s="61" t="str">
        <f aca="false">IF($R1355&gt;=Parametros!$C$12,"Alto",IF($R1355&lt;Parametros!$C$13,"Bajo","Medio"))</f>
        <v>Medio</v>
      </c>
      <c r="Z1355" s="61" t="n">
        <v>1154</v>
      </c>
      <c r="AA1355" s="61" t="str">
        <f aca="false">IF(MATCH($A1355,Datos_Origen!$A$2:$A$2459,0)=$Z1355,"OK","REVISAR")</f>
        <v>OK</v>
      </c>
      <c r="AB1355" s="62" t="n">
        <f aca="false">INDEX(Datos_Origen!$B$2:$B$2459,$Z1355)</f>
        <v>45690</v>
      </c>
      <c r="AC1355" s="61" t="n">
        <f aca="false">INDEX(Datos_Origen!$H$2:$H$2459,$Z1355)</f>
        <v>11</v>
      </c>
      <c r="AD1355" s="61" t="str">
        <f aca="false">INDEX(Datos_Origen!$D$2:$D$2459,$Z1355)&amp;""</f>
        <v>Rosario</v>
      </c>
    </row>
    <row r="1356" customFormat="false" ht="15" hidden="false" customHeight="false" outlineLevel="0" collapsed="false">
      <c r="A1356" s="61" t="n">
        <f aca="false">INDEX(Datos_Origen!$A$2:$A$2459,$Z1356)</f>
        <v>1355</v>
      </c>
      <c r="B1356" s="62" t="n">
        <f aca="false">IF(ISNUMBER($AB1356),$AB1356,IF(MID($AB1356,5,1)="-",DATE(VALUE(LEFT($AB1356,4)),VALUE(MID($AB1356,6,2)),VALUE(RIGHT($AB1356,2))),DATE(VALUE(RIGHT($AB1356,4)),VALUE(MID($AB1356,4,2)),VALUE(LEFT($AB1356,2)))))</f>
        <v>45697</v>
      </c>
      <c r="C1356" s="61" t="n">
        <f aca="false">YEAR($B1356)</f>
        <v>2025</v>
      </c>
      <c r="D1356" s="61" t="str">
        <f aca="false">"Q"&amp;ROUNDUP(MONTH($B1356)/3,0)</f>
        <v>Q1</v>
      </c>
      <c r="E1356" s="61" t="n">
        <f aca="false">MONTH($B1356)</f>
        <v>2</v>
      </c>
      <c r="F1356" s="61" t="str">
        <f aca="false">INDEX(Parametros!$I$5:$I$16,$E1356)</f>
        <v>Feb</v>
      </c>
      <c r="G1356" s="61" t="str">
        <f aca="false">TEXT($C1356,"0000")&amp;"-"&amp;TEXT($E1356,"00")</f>
        <v>2025-02</v>
      </c>
      <c r="H1356" s="61" t="str">
        <f aca="false">INDEX(Parametros!$C$71:$C$91,MATCH(TRIM(INDEX(Datos_Origen!$C$2:$C$2459,$Z1356)),Parametros!$B$71:$B$91,0))</f>
        <v>Litoral</v>
      </c>
      <c r="I1356" s="61" t="str">
        <f aca="false">IF(TRIM($AD1356)="",INDEX(Parametros!$I$20:$I$24,MATCH($H1356,Parametros!$H$20:$H$24,0)),TRIM($AD1356))</f>
        <v>Rosario</v>
      </c>
      <c r="J1356" s="61" t="str">
        <f aca="false">INDEX(Parametros!$C$95:$C$106,MATCH(TRIM(INDEX(Datos_Origen!$E$2:$E$2459,$Z1356)),Parametros!$B$95:$B$106,0))</f>
        <v>Tienda fisica</v>
      </c>
      <c r="K1356" s="61" t="str">
        <f aca="false">INDEX(Parametros!$C$48:$C$67,MATCH(TRIM(INDEX(Datos_Origen!$F$2:$F$2459,$Z1356)),Parametros!$B$48:$B$67,0))</f>
        <v>Audio</v>
      </c>
      <c r="L1356" s="61" t="str">
        <f aca="false">$K1356&amp;" "&amp;$C1356</f>
        <v>Audio 2025</v>
      </c>
      <c r="M1356" s="61" t="str">
        <f aca="false">TRIM(INDEX(Datos_Origen!$G$2:$G$2459,$Z1356))</f>
        <v>Parlante Bluetooth</v>
      </c>
      <c r="N1356" s="61" t="str">
        <f aca="false">$M1356&amp;" "&amp;$C1356</f>
        <v>Parlante Bluetooth 2025</v>
      </c>
      <c r="O1356" s="63" t="n">
        <f aca="false">IF(ISTEXT($AC1356),VALUE($AC1356),$AC1356)</f>
        <v>15</v>
      </c>
      <c r="P1356" s="64" t="n">
        <f aca="false">INDEX(Datos_Origen!$I$2:$I$2459,$Z1356)</f>
        <v>84.46</v>
      </c>
      <c r="Q1356" s="64" t="n">
        <f aca="false">INDEX(Datos_Origen!$J$2:$J$2459,$Z1356)</f>
        <v>49.47</v>
      </c>
      <c r="R1356" s="65" t="n">
        <f aca="false">ROUND($O1356*$P1356,2)</f>
        <v>1266.9</v>
      </c>
      <c r="S1356" s="65" t="n">
        <f aca="false">ROUND($O1356*$Q1356,2)</f>
        <v>742.05</v>
      </c>
      <c r="T1356" s="65" t="n">
        <f aca="false">ROUND($R1356*SUMIFS(Parametros!$E$28:$E$43,Parametros!$B$28:$B$43,$J1356,Parametros!$C$28:$C$43,$C1356,Parametros!$D$28:$D$43,$D1356),2)</f>
        <v>16.47</v>
      </c>
      <c r="U1356" s="65" t="n">
        <f aca="false">$R1356-$S1356-$T1356</f>
        <v>508.38</v>
      </c>
      <c r="V1356" s="66" t="n">
        <f aca="false">IFERROR($U1356/$R1356,0)</f>
        <v>0.401278711816244</v>
      </c>
      <c r="W1356" s="67" t="str">
        <f aca="false">IF(AND($V1356&gt;=Parametros!$C$8,$R1356&gt;=Parametros!$C$12),"Alta rentabilidad",IF(OR($V1356&lt;Parametros!$C$11,$R1356&lt;Parametros!$C$13),"Revisar","Estandar"))</f>
        <v>Estandar</v>
      </c>
      <c r="X1356" s="67" t="str">
        <f aca="false">IF(AND($J1356="E-commerce",IFERROR($T1356/$R1356,0)&gt;Parametros!$C$14),"Alerta","OK")</f>
        <v>OK</v>
      </c>
      <c r="Y1356" s="61" t="str">
        <f aca="false">IF($R1356&gt;=Parametros!$C$12,"Alto",IF($R1356&lt;Parametros!$C$13,"Bajo","Medio"))</f>
        <v>Medio</v>
      </c>
      <c r="Z1356" s="61" t="n">
        <v>7</v>
      </c>
      <c r="AA1356" s="61" t="str">
        <f aca="false">IF(MATCH($A1356,Datos_Origen!$A$2:$A$2459,0)=$Z1356,"OK","REVISAR")</f>
        <v>OK</v>
      </c>
      <c r="AB1356" s="62" t="n">
        <f aca="false">INDEX(Datos_Origen!$B$2:$B$2459,$Z1356)</f>
        <v>45697</v>
      </c>
      <c r="AC1356" s="61" t="n">
        <f aca="false">INDEX(Datos_Origen!$H$2:$H$2459,$Z1356)</f>
        <v>15</v>
      </c>
      <c r="AD1356" s="61" t="str">
        <f aca="false">INDEX(Datos_Origen!$D$2:$D$2459,$Z1356)&amp;""</f>
        <v>Rosario</v>
      </c>
    </row>
    <row r="1357" customFormat="false" ht="15" hidden="false" customHeight="false" outlineLevel="0" collapsed="false">
      <c r="A1357" s="61" t="n">
        <f aca="false">INDEX(Datos_Origen!$A$2:$A$2459,$Z1357)</f>
        <v>1356</v>
      </c>
      <c r="B1357" s="62" t="n">
        <f aca="false">IF(ISNUMBER($AB1357),$AB1357,IF(MID($AB1357,5,1)="-",DATE(VALUE(LEFT($AB1357,4)),VALUE(MID($AB1357,6,2)),VALUE(RIGHT($AB1357,2))),DATE(VALUE(RIGHT($AB1357,4)),VALUE(MID($AB1357,4,2)),VALUE(LEFT($AB1357,2)))))</f>
        <v>45704</v>
      </c>
      <c r="C1357" s="61" t="n">
        <f aca="false">YEAR($B1357)</f>
        <v>2025</v>
      </c>
      <c r="D1357" s="61" t="str">
        <f aca="false">"Q"&amp;ROUNDUP(MONTH($B1357)/3,0)</f>
        <v>Q1</v>
      </c>
      <c r="E1357" s="61" t="n">
        <f aca="false">MONTH($B1357)</f>
        <v>2</v>
      </c>
      <c r="F1357" s="61" t="str">
        <f aca="false">INDEX(Parametros!$I$5:$I$16,$E1357)</f>
        <v>Feb</v>
      </c>
      <c r="G1357" s="61" t="str">
        <f aca="false">TEXT($C1357,"0000")&amp;"-"&amp;TEXT($E1357,"00")</f>
        <v>2025-02</v>
      </c>
      <c r="H1357" s="61" t="str">
        <f aca="false">INDEX(Parametros!$C$71:$C$91,MATCH(TRIM(INDEX(Datos_Origen!$C$2:$C$2459,$Z1357)),Parametros!$B$71:$B$91,0))</f>
        <v>Litoral</v>
      </c>
      <c r="I1357" s="61" t="str">
        <f aca="false">IF(TRIM($AD1357)="",INDEX(Parametros!$I$20:$I$24,MATCH($H1357,Parametros!$H$20:$H$24,0)),TRIM($AD1357))</f>
        <v>Rosario</v>
      </c>
      <c r="J1357" s="61" t="str">
        <f aca="false">INDEX(Parametros!$C$95:$C$106,MATCH(TRIM(INDEX(Datos_Origen!$E$2:$E$2459,$Z1357)),Parametros!$B$95:$B$106,0))</f>
        <v>E-commerce</v>
      </c>
      <c r="K1357" s="61" t="str">
        <f aca="false">INDEX(Parametros!$C$48:$C$67,MATCH(TRIM(INDEX(Datos_Origen!$F$2:$F$2459,$Z1357)),Parametros!$B$48:$B$67,0))</f>
        <v>Audio</v>
      </c>
      <c r="L1357" s="61" t="str">
        <f aca="false">$K1357&amp;" "&amp;$C1357</f>
        <v>Audio 2025</v>
      </c>
      <c r="M1357" s="61" t="str">
        <f aca="false">TRIM(INDEX(Datos_Origen!$G$2:$G$2459,$Z1357))</f>
        <v>Parlante Bluetooth</v>
      </c>
      <c r="N1357" s="61" t="str">
        <f aca="false">$M1357&amp;" "&amp;$C1357</f>
        <v>Parlante Bluetooth 2025</v>
      </c>
      <c r="O1357" s="63" t="n">
        <f aca="false">IF(ISTEXT($AC1357),VALUE($AC1357),$AC1357)</f>
        <v>11</v>
      </c>
      <c r="P1357" s="64" t="n">
        <f aca="false">INDEX(Datos_Origen!$I$2:$I$2459,$Z1357)</f>
        <v>84.46</v>
      </c>
      <c r="Q1357" s="64" t="n">
        <f aca="false">INDEX(Datos_Origen!$J$2:$J$2459,$Z1357)</f>
        <v>49.47</v>
      </c>
      <c r="R1357" s="65" t="n">
        <f aca="false">ROUND($O1357*$P1357,2)</f>
        <v>929.06</v>
      </c>
      <c r="S1357" s="65" t="n">
        <f aca="false">ROUND($O1357*$Q1357,2)</f>
        <v>544.17</v>
      </c>
      <c r="T1357" s="65" t="n">
        <f aca="false">ROUND($R1357*SUMIFS(Parametros!$E$28:$E$43,Parametros!$B$28:$B$43,$J1357,Parametros!$C$28:$C$43,$C1357,Parametros!$D$28:$D$43,$D1357),2)</f>
        <v>63.18</v>
      </c>
      <c r="U1357" s="65" t="n">
        <f aca="false">$R1357-$S1357-$T1357</f>
        <v>321.71</v>
      </c>
      <c r="V1357" s="66" t="n">
        <f aca="false">IFERROR($U1357/$R1357,0)</f>
        <v>0.346274729296278</v>
      </c>
      <c r="W1357" s="67" t="str">
        <f aca="false">IF(AND($V1357&gt;=Parametros!$C$8,$R1357&gt;=Parametros!$C$12),"Alta rentabilidad",IF(OR($V1357&lt;Parametros!$C$11,$R1357&lt;Parametros!$C$13),"Revisar","Estandar"))</f>
        <v>Estandar</v>
      </c>
      <c r="X1357" s="67" t="str">
        <f aca="false">IF(AND($J1357="E-commerce",IFERROR($T1357/$R1357,0)&gt;Parametros!$C$14),"Alerta","OK")</f>
        <v>Alerta</v>
      </c>
      <c r="Y1357" s="61" t="str">
        <f aca="false">IF($R1357&gt;=Parametros!$C$12,"Alto",IF($R1357&lt;Parametros!$C$13,"Bajo","Medio"))</f>
        <v>Medio</v>
      </c>
      <c r="Z1357" s="61" t="n">
        <v>1029</v>
      </c>
      <c r="AA1357" s="61" t="str">
        <f aca="false">IF(MATCH($A1357,Datos_Origen!$A$2:$A$2459,0)=$Z1357,"OK","REVISAR")</f>
        <v>OK</v>
      </c>
      <c r="AB1357" s="62" t="n">
        <f aca="false">INDEX(Datos_Origen!$B$2:$B$2459,$Z1357)</f>
        <v>45704</v>
      </c>
      <c r="AC1357" s="61" t="n">
        <f aca="false">INDEX(Datos_Origen!$H$2:$H$2459,$Z1357)</f>
        <v>11</v>
      </c>
      <c r="AD1357" s="61" t="str">
        <f aca="false">INDEX(Datos_Origen!$D$2:$D$2459,$Z1357)&amp;""</f>
        <v>Rosario</v>
      </c>
    </row>
    <row r="1358" customFormat="false" ht="15" hidden="false" customHeight="false" outlineLevel="0" collapsed="false">
      <c r="A1358" s="61" t="n">
        <f aca="false">INDEX(Datos_Origen!$A$2:$A$2459,$Z1358)</f>
        <v>1357</v>
      </c>
      <c r="B1358" s="62" t="n">
        <f aca="false">IF(ISNUMBER($AB1358),$AB1358,IF(MID($AB1358,5,1)="-",DATE(VALUE(LEFT($AB1358,4)),VALUE(MID($AB1358,6,2)),VALUE(RIGHT($AB1358,2))),DATE(VALUE(RIGHT($AB1358,4)),VALUE(MID($AB1358,4,2)),VALUE(LEFT($AB1358,2)))))</f>
        <v>45711</v>
      </c>
      <c r="C1358" s="61" t="n">
        <f aca="false">YEAR($B1358)</f>
        <v>2025</v>
      </c>
      <c r="D1358" s="61" t="str">
        <f aca="false">"Q"&amp;ROUNDUP(MONTH($B1358)/3,0)</f>
        <v>Q1</v>
      </c>
      <c r="E1358" s="61" t="n">
        <f aca="false">MONTH($B1358)</f>
        <v>2</v>
      </c>
      <c r="F1358" s="61" t="str">
        <f aca="false">INDEX(Parametros!$I$5:$I$16,$E1358)</f>
        <v>Feb</v>
      </c>
      <c r="G1358" s="61" t="str">
        <f aca="false">TEXT($C1358,"0000")&amp;"-"&amp;TEXT($E1358,"00")</f>
        <v>2025-02</v>
      </c>
      <c r="H1358" s="61" t="str">
        <f aca="false">INDEX(Parametros!$C$71:$C$91,MATCH(TRIM(INDEX(Datos_Origen!$C$2:$C$2459,$Z1358)),Parametros!$B$71:$B$91,0))</f>
        <v>Litoral</v>
      </c>
      <c r="I1358" s="61" t="str">
        <f aca="false">IF(TRIM($AD1358)="",INDEX(Parametros!$I$20:$I$24,MATCH($H1358,Parametros!$H$20:$H$24,0)),TRIM($AD1358))</f>
        <v>Rosario</v>
      </c>
      <c r="J1358" s="61" t="str">
        <f aca="false">INDEX(Parametros!$C$95:$C$106,MATCH(TRIM(INDEX(Datos_Origen!$E$2:$E$2459,$Z1358)),Parametros!$B$95:$B$106,0))</f>
        <v>Tienda fisica</v>
      </c>
      <c r="K1358" s="61" t="str">
        <f aca="false">INDEX(Parametros!$C$48:$C$67,MATCH(TRIM(INDEX(Datos_Origen!$F$2:$F$2459,$Z1358)),Parametros!$B$48:$B$67,0))</f>
        <v>Almacenamiento</v>
      </c>
      <c r="L1358" s="61" t="str">
        <f aca="false">$K1358&amp;" "&amp;$C1358</f>
        <v>Almacenamiento 2025</v>
      </c>
      <c r="M1358" s="61" t="str">
        <f aca="false">TRIM(INDEX(Datos_Origen!$G$2:$G$2459,$Z1358))</f>
        <v>SSD Externo 1TB</v>
      </c>
      <c r="N1358" s="61" t="str">
        <f aca="false">$M1358&amp;" "&amp;$C1358</f>
        <v>SSD Externo 1TB 2025</v>
      </c>
      <c r="O1358" s="63" t="n">
        <f aca="false">IF(ISTEXT($AC1358),VALUE($AC1358),$AC1358)</f>
        <v>18</v>
      </c>
      <c r="P1358" s="64" t="n">
        <f aca="false">INDEX(Datos_Origen!$I$2:$I$2459,$Z1358)</f>
        <v>129.17</v>
      </c>
      <c r="Q1358" s="64" t="n">
        <f aca="false">INDEX(Datos_Origen!$J$2:$J$2459,$Z1358)</f>
        <v>78.33</v>
      </c>
      <c r="R1358" s="65" t="n">
        <f aca="false">ROUND($O1358*$P1358,2)</f>
        <v>2325.06</v>
      </c>
      <c r="S1358" s="65" t="n">
        <f aca="false">ROUND($O1358*$Q1358,2)</f>
        <v>1409.94</v>
      </c>
      <c r="T1358" s="65" t="n">
        <f aca="false">ROUND($R1358*SUMIFS(Parametros!$E$28:$E$43,Parametros!$B$28:$B$43,$J1358,Parametros!$C$28:$C$43,$C1358,Parametros!$D$28:$D$43,$D1358),2)</f>
        <v>30.23</v>
      </c>
      <c r="U1358" s="65" t="n">
        <f aca="false">$R1358-$S1358-$T1358</f>
        <v>884.89</v>
      </c>
      <c r="V1358" s="66" t="n">
        <f aca="false">IFERROR($U1358/$R1358,0)</f>
        <v>0.380588027835841</v>
      </c>
      <c r="W1358" s="67" t="str">
        <f aca="false">IF(AND($V1358&gt;=Parametros!$C$8,$R1358&gt;=Parametros!$C$12),"Alta rentabilidad",IF(OR($V1358&lt;Parametros!$C$11,$R1358&lt;Parametros!$C$13),"Revisar","Estandar"))</f>
        <v>Estandar</v>
      </c>
      <c r="X1358" s="67" t="str">
        <f aca="false">IF(AND($J1358="E-commerce",IFERROR($T1358/$R1358,0)&gt;Parametros!$C$14),"Alerta","OK")</f>
        <v>OK</v>
      </c>
      <c r="Y1358" s="61" t="str">
        <f aca="false">IF($R1358&gt;=Parametros!$C$12,"Alto",IF($R1358&lt;Parametros!$C$13,"Bajo","Medio"))</f>
        <v>Medio</v>
      </c>
      <c r="Z1358" s="61" t="n">
        <v>1853</v>
      </c>
      <c r="AA1358" s="61" t="str">
        <f aca="false">IF(MATCH($A1358,Datos_Origen!$A$2:$A$2459,0)=$Z1358,"OK","REVISAR")</f>
        <v>OK</v>
      </c>
      <c r="AB1358" s="62" t="n">
        <f aca="false">INDEX(Datos_Origen!$B$2:$B$2459,$Z1358)</f>
        <v>45711</v>
      </c>
      <c r="AC1358" s="61" t="n">
        <f aca="false">INDEX(Datos_Origen!$H$2:$H$2459,$Z1358)</f>
        <v>18</v>
      </c>
      <c r="AD1358" s="61" t="str">
        <f aca="false">INDEX(Datos_Origen!$D$2:$D$2459,$Z1358)&amp;""</f>
        <v>Rosario</v>
      </c>
    </row>
    <row r="1359" customFormat="false" ht="15" hidden="false" customHeight="false" outlineLevel="0" collapsed="false">
      <c r="A1359" s="61" t="n">
        <f aca="false">INDEX(Datos_Origen!$A$2:$A$2459,$Z1359)</f>
        <v>1358</v>
      </c>
      <c r="B1359" s="62" t="n">
        <f aca="false">IF(ISNUMBER($AB1359),$AB1359,IF(MID($AB1359,5,1)="-",DATE(VALUE(LEFT($AB1359,4)),VALUE(MID($AB1359,6,2)),VALUE(RIGHT($AB1359,2))),DATE(VALUE(RIGHT($AB1359,4)),VALUE(MID($AB1359,4,2)),VALUE(LEFT($AB1359,2)))))</f>
        <v>45691</v>
      </c>
      <c r="C1359" s="61" t="n">
        <f aca="false">YEAR($B1359)</f>
        <v>2025</v>
      </c>
      <c r="D1359" s="61" t="str">
        <f aca="false">"Q"&amp;ROUNDUP(MONTH($B1359)/3,0)</f>
        <v>Q1</v>
      </c>
      <c r="E1359" s="61" t="n">
        <f aca="false">MONTH($B1359)</f>
        <v>2</v>
      </c>
      <c r="F1359" s="61" t="str">
        <f aca="false">INDEX(Parametros!$I$5:$I$16,$E1359)</f>
        <v>Feb</v>
      </c>
      <c r="G1359" s="61" t="str">
        <f aca="false">TEXT($C1359,"0000")&amp;"-"&amp;TEXT($E1359,"00")</f>
        <v>2025-02</v>
      </c>
      <c r="H1359" s="61" t="str">
        <f aca="false">INDEX(Parametros!$C$71:$C$91,MATCH(TRIM(INDEX(Datos_Origen!$C$2:$C$2459,$Z1359)),Parametros!$B$71:$B$91,0))</f>
        <v>Litoral</v>
      </c>
      <c r="I1359" s="61" t="str">
        <f aca="false">IF(TRIM($AD1359)="",INDEX(Parametros!$I$20:$I$24,MATCH($H1359,Parametros!$H$20:$H$24,0)),TRIM($AD1359))</f>
        <v>Rosario</v>
      </c>
      <c r="J1359" s="61" t="str">
        <f aca="false">INDEX(Parametros!$C$95:$C$106,MATCH(TRIM(INDEX(Datos_Origen!$E$2:$E$2459,$Z1359)),Parametros!$B$95:$B$106,0))</f>
        <v>E-commerce</v>
      </c>
      <c r="K1359" s="61" t="str">
        <f aca="false">INDEX(Parametros!$C$48:$C$67,MATCH(TRIM(INDEX(Datos_Origen!$F$2:$F$2459,$Z1359)),Parametros!$B$48:$B$67,0))</f>
        <v>Almacenamiento</v>
      </c>
      <c r="L1359" s="61" t="str">
        <f aca="false">$K1359&amp;" "&amp;$C1359</f>
        <v>Almacenamiento 2025</v>
      </c>
      <c r="M1359" s="61" t="str">
        <f aca="false">TRIM(INDEX(Datos_Origen!$G$2:$G$2459,$Z1359))</f>
        <v>SSD Externo 1TB</v>
      </c>
      <c r="N1359" s="61" t="str">
        <f aca="false">$M1359&amp;" "&amp;$C1359</f>
        <v>SSD Externo 1TB 2025</v>
      </c>
      <c r="O1359" s="63" t="n">
        <f aca="false">IF(ISTEXT($AC1359),VALUE($AC1359),$AC1359)</f>
        <v>11</v>
      </c>
      <c r="P1359" s="64" t="n">
        <f aca="false">INDEX(Datos_Origen!$I$2:$I$2459,$Z1359)</f>
        <v>129.17</v>
      </c>
      <c r="Q1359" s="64" t="n">
        <f aca="false">INDEX(Datos_Origen!$J$2:$J$2459,$Z1359)</f>
        <v>78.33</v>
      </c>
      <c r="R1359" s="65" t="n">
        <f aca="false">ROUND($O1359*$P1359,2)</f>
        <v>1420.87</v>
      </c>
      <c r="S1359" s="65" t="n">
        <f aca="false">ROUND($O1359*$Q1359,2)</f>
        <v>861.63</v>
      </c>
      <c r="T1359" s="65" t="n">
        <f aca="false">ROUND($R1359*SUMIFS(Parametros!$E$28:$E$43,Parametros!$B$28:$B$43,$J1359,Parametros!$C$28:$C$43,$C1359,Parametros!$D$28:$D$43,$D1359),2)</f>
        <v>96.62</v>
      </c>
      <c r="U1359" s="65" t="n">
        <f aca="false">$R1359-$S1359-$T1359</f>
        <v>462.62</v>
      </c>
      <c r="V1359" s="66" t="n">
        <f aca="false">IFERROR($U1359/$R1359,0)</f>
        <v>0.325589251655676</v>
      </c>
      <c r="W1359" s="67" t="str">
        <f aca="false">IF(AND($V1359&gt;=Parametros!$C$8,$R1359&gt;=Parametros!$C$12),"Alta rentabilidad",IF(OR($V1359&lt;Parametros!$C$11,$R1359&lt;Parametros!$C$13),"Revisar","Estandar"))</f>
        <v>Estandar</v>
      </c>
      <c r="X1359" s="67" t="str">
        <f aca="false">IF(AND($J1359="E-commerce",IFERROR($T1359/$R1359,0)&gt;Parametros!$C$14),"Alerta","OK")</f>
        <v>Alerta</v>
      </c>
      <c r="Y1359" s="61" t="str">
        <f aca="false">IF($R1359&gt;=Parametros!$C$12,"Alto",IF($R1359&lt;Parametros!$C$13,"Bajo","Medio"))</f>
        <v>Medio</v>
      </c>
      <c r="Z1359" s="61" t="n">
        <v>1015</v>
      </c>
      <c r="AA1359" s="61" t="str">
        <f aca="false">IF(MATCH($A1359,Datos_Origen!$A$2:$A$2459,0)=$Z1359,"OK","REVISAR")</f>
        <v>OK</v>
      </c>
      <c r="AB1359" s="61" t="str">
        <f aca="false">INDEX(Datos_Origen!$B$2:$B$2459,$Z1359)</f>
        <v>2025-02-03</v>
      </c>
      <c r="AC1359" s="61" t="str">
        <f aca="false">INDEX(Datos_Origen!$H$2:$H$2459,$Z1359)</f>
        <v>11</v>
      </c>
      <c r="AD1359" s="61" t="str">
        <f aca="false">INDEX(Datos_Origen!$D$2:$D$2459,$Z1359)&amp;""</f>
        <v>Rosario</v>
      </c>
    </row>
    <row r="1360" customFormat="false" ht="15" hidden="false" customHeight="false" outlineLevel="0" collapsed="false">
      <c r="A1360" s="61" t="n">
        <f aca="false">INDEX(Datos_Origen!$A$2:$A$2459,$Z1360)</f>
        <v>1359</v>
      </c>
      <c r="B1360" s="62" t="n">
        <f aca="false">IF(ISNUMBER($AB1360),$AB1360,IF(MID($AB1360,5,1)="-",DATE(VALUE(LEFT($AB1360,4)),VALUE(MID($AB1360,6,2)),VALUE(RIGHT($AB1360,2))),DATE(VALUE(RIGHT($AB1360,4)),VALUE(MID($AB1360,4,2)),VALUE(LEFT($AB1360,2)))))</f>
        <v>45698</v>
      </c>
      <c r="C1360" s="61" t="n">
        <f aca="false">YEAR($B1360)</f>
        <v>2025</v>
      </c>
      <c r="D1360" s="61" t="str">
        <f aca="false">"Q"&amp;ROUNDUP(MONTH($B1360)/3,0)</f>
        <v>Q1</v>
      </c>
      <c r="E1360" s="61" t="n">
        <f aca="false">MONTH($B1360)</f>
        <v>2</v>
      </c>
      <c r="F1360" s="61" t="str">
        <f aca="false">INDEX(Parametros!$I$5:$I$16,$E1360)</f>
        <v>Feb</v>
      </c>
      <c r="G1360" s="61" t="str">
        <f aca="false">TEXT($C1360,"0000")&amp;"-"&amp;TEXT($E1360,"00")</f>
        <v>2025-02</v>
      </c>
      <c r="H1360" s="61" t="str">
        <f aca="false">INDEX(Parametros!$C$71:$C$91,MATCH(TRIM(INDEX(Datos_Origen!$C$2:$C$2459,$Z1360)),Parametros!$B$71:$B$91,0))</f>
        <v>Litoral</v>
      </c>
      <c r="I1360" s="61" t="str">
        <f aca="false">IF(TRIM($AD1360)="",INDEX(Parametros!$I$20:$I$24,MATCH($H1360,Parametros!$H$20:$H$24,0)),TRIM($AD1360))</f>
        <v>Rosario</v>
      </c>
      <c r="J1360" s="61" t="str">
        <f aca="false">INDEX(Parametros!$C$95:$C$106,MATCH(TRIM(INDEX(Datos_Origen!$E$2:$E$2459,$Z1360)),Parametros!$B$95:$B$106,0))</f>
        <v>Tienda fisica</v>
      </c>
      <c r="K1360" s="61" t="str">
        <f aca="false">INDEX(Parametros!$C$48:$C$67,MATCH(TRIM(INDEX(Datos_Origen!$F$2:$F$2459,$Z1360)),Parametros!$B$48:$B$67,0))</f>
        <v>Almacenamiento</v>
      </c>
      <c r="L1360" s="61" t="str">
        <f aca="false">$K1360&amp;" "&amp;$C1360</f>
        <v>Almacenamiento 2025</v>
      </c>
      <c r="M1360" s="61" t="str">
        <f aca="false">TRIM(INDEX(Datos_Origen!$G$2:$G$2459,$Z1360))</f>
        <v>Pendrive 256GB</v>
      </c>
      <c r="N1360" s="61" t="str">
        <f aca="false">$M1360&amp;" "&amp;$C1360</f>
        <v>Pendrive 256GB 2025</v>
      </c>
      <c r="O1360" s="63" t="n">
        <f aca="false">IF(ISTEXT($AC1360),VALUE($AC1360),$AC1360)</f>
        <v>17</v>
      </c>
      <c r="P1360" s="64" t="n">
        <f aca="false">INDEX(Datos_Origen!$I$2:$I$2459,$Z1360)</f>
        <v>34.78</v>
      </c>
      <c r="Q1360" s="64" t="n">
        <f aca="false">INDEX(Datos_Origen!$J$2:$J$2459,$Z1360)</f>
        <v>18.39</v>
      </c>
      <c r="R1360" s="65" t="n">
        <f aca="false">ROUND($O1360*$P1360,2)</f>
        <v>591.26</v>
      </c>
      <c r="S1360" s="65" t="n">
        <f aca="false">ROUND($O1360*$Q1360,2)</f>
        <v>312.63</v>
      </c>
      <c r="T1360" s="65" t="n">
        <f aca="false">ROUND($R1360*SUMIFS(Parametros!$E$28:$E$43,Parametros!$B$28:$B$43,$J1360,Parametros!$C$28:$C$43,$C1360,Parametros!$D$28:$D$43,$D1360),2)</f>
        <v>7.69</v>
      </c>
      <c r="U1360" s="65" t="n">
        <f aca="false">$R1360-$S1360-$T1360</f>
        <v>270.94</v>
      </c>
      <c r="V1360" s="66" t="n">
        <f aca="false">IFERROR($U1360/$R1360,0)</f>
        <v>0.458241721070257</v>
      </c>
      <c r="W1360" s="67" t="str">
        <f aca="false">IF(AND($V1360&gt;=Parametros!$C$8,$R1360&gt;=Parametros!$C$12),"Alta rentabilidad",IF(OR($V1360&lt;Parametros!$C$11,$R1360&lt;Parametros!$C$13),"Revisar","Estandar"))</f>
        <v>Estandar</v>
      </c>
      <c r="X1360" s="67" t="str">
        <f aca="false">IF(AND($J1360="E-commerce",IFERROR($T1360/$R1360,0)&gt;Parametros!$C$14),"Alerta","OK")</f>
        <v>OK</v>
      </c>
      <c r="Y1360" s="61" t="str">
        <f aca="false">IF($R1360&gt;=Parametros!$C$12,"Alto",IF($R1360&lt;Parametros!$C$13,"Bajo","Medio"))</f>
        <v>Medio</v>
      </c>
      <c r="Z1360" s="61" t="n">
        <v>102</v>
      </c>
      <c r="AA1360" s="61" t="str">
        <f aca="false">IF(MATCH($A1360,Datos_Origen!$A$2:$A$2459,0)=$Z1360,"OK","REVISAR")</f>
        <v>OK</v>
      </c>
      <c r="AB1360" s="61" t="str">
        <f aca="false">INDEX(Datos_Origen!$B$2:$B$2459,$Z1360)</f>
        <v>10/02/2025</v>
      </c>
      <c r="AC1360" s="61" t="str">
        <f aca="false">INDEX(Datos_Origen!$H$2:$H$2459,$Z1360)</f>
        <v>17</v>
      </c>
      <c r="AD1360" s="61" t="str">
        <f aca="false">INDEX(Datos_Origen!$D$2:$D$2459,$Z1360)&amp;""</f>
        <v>Rosario</v>
      </c>
    </row>
    <row r="1361" customFormat="false" ht="15" hidden="false" customHeight="false" outlineLevel="0" collapsed="false">
      <c r="A1361" s="61" t="n">
        <f aca="false">INDEX(Datos_Origen!$A$2:$A$2459,$Z1361)</f>
        <v>1360</v>
      </c>
      <c r="B1361" s="62" t="n">
        <f aca="false">IF(ISNUMBER($AB1361),$AB1361,IF(MID($AB1361,5,1)="-",DATE(VALUE(LEFT($AB1361,4)),VALUE(MID($AB1361,6,2)),VALUE(RIGHT($AB1361,2))),DATE(VALUE(RIGHT($AB1361,4)),VALUE(MID($AB1361,4,2)),VALUE(LEFT($AB1361,2)))))</f>
        <v>45705</v>
      </c>
      <c r="C1361" s="61" t="n">
        <f aca="false">YEAR($B1361)</f>
        <v>2025</v>
      </c>
      <c r="D1361" s="61" t="str">
        <f aca="false">"Q"&amp;ROUNDUP(MONTH($B1361)/3,0)</f>
        <v>Q1</v>
      </c>
      <c r="E1361" s="61" t="n">
        <f aca="false">MONTH($B1361)</f>
        <v>2</v>
      </c>
      <c r="F1361" s="61" t="str">
        <f aca="false">INDEX(Parametros!$I$5:$I$16,$E1361)</f>
        <v>Feb</v>
      </c>
      <c r="G1361" s="61" t="str">
        <f aca="false">TEXT($C1361,"0000")&amp;"-"&amp;TEXT($E1361,"00")</f>
        <v>2025-02</v>
      </c>
      <c r="H1361" s="61" t="str">
        <f aca="false">INDEX(Parametros!$C$71:$C$91,MATCH(TRIM(INDEX(Datos_Origen!$C$2:$C$2459,$Z1361)),Parametros!$B$71:$B$91,0))</f>
        <v>Litoral</v>
      </c>
      <c r="I1361" s="61" t="str">
        <f aca="false">IF(TRIM($AD1361)="",INDEX(Parametros!$I$20:$I$24,MATCH($H1361,Parametros!$H$20:$H$24,0)),TRIM($AD1361))</f>
        <v>Rosario</v>
      </c>
      <c r="J1361" s="61" t="str">
        <f aca="false">INDEX(Parametros!$C$95:$C$106,MATCH(TRIM(INDEX(Datos_Origen!$E$2:$E$2459,$Z1361)),Parametros!$B$95:$B$106,0))</f>
        <v>E-commerce</v>
      </c>
      <c r="K1361" s="61" t="str">
        <f aca="false">INDEX(Parametros!$C$48:$C$67,MATCH(TRIM(INDEX(Datos_Origen!$F$2:$F$2459,$Z1361)),Parametros!$B$48:$B$67,0))</f>
        <v>Almacenamiento</v>
      </c>
      <c r="L1361" s="61" t="str">
        <f aca="false">$K1361&amp;" "&amp;$C1361</f>
        <v>Almacenamiento 2025</v>
      </c>
      <c r="M1361" s="61" t="str">
        <f aca="false">TRIM(INDEX(Datos_Origen!$G$2:$G$2459,$Z1361))</f>
        <v>Pendrive 256GB</v>
      </c>
      <c r="N1361" s="61" t="str">
        <f aca="false">$M1361&amp;" "&amp;$C1361</f>
        <v>Pendrive 256GB 2025</v>
      </c>
      <c r="O1361" s="63" t="n">
        <f aca="false">IF(ISTEXT($AC1361),VALUE($AC1361),$AC1361)</f>
        <v>11</v>
      </c>
      <c r="P1361" s="64" t="n">
        <f aca="false">INDEX(Datos_Origen!$I$2:$I$2459,$Z1361)</f>
        <v>34.78</v>
      </c>
      <c r="Q1361" s="64" t="n">
        <f aca="false">INDEX(Datos_Origen!$J$2:$J$2459,$Z1361)</f>
        <v>18.39</v>
      </c>
      <c r="R1361" s="65" t="n">
        <f aca="false">ROUND($O1361*$P1361,2)</f>
        <v>382.58</v>
      </c>
      <c r="S1361" s="65" t="n">
        <f aca="false">ROUND($O1361*$Q1361,2)</f>
        <v>202.29</v>
      </c>
      <c r="T1361" s="65" t="n">
        <f aca="false">ROUND($R1361*SUMIFS(Parametros!$E$28:$E$43,Parametros!$B$28:$B$43,$J1361,Parametros!$C$28:$C$43,$C1361,Parametros!$D$28:$D$43,$D1361),2)</f>
        <v>26.02</v>
      </c>
      <c r="U1361" s="65" t="n">
        <f aca="false">$R1361-$S1361-$T1361</f>
        <v>154.27</v>
      </c>
      <c r="V1361" s="66" t="n">
        <f aca="false">IFERROR($U1361/$R1361,0)</f>
        <v>0.40323592451252</v>
      </c>
      <c r="W1361" s="67" t="str">
        <f aca="false">IF(AND($V1361&gt;=Parametros!$C$8,$R1361&gt;=Parametros!$C$12),"Alta rentabilidad",IF(OR($V1361&lt;Parametros!$C$11,$R1361&lt;Parametros!$C$13),"Revisar","Estandar"))</f>
        <v>Estandar</v>
      </c>
      <c r="X1361" s="67" t="str">
        <f aca="false">IF(AND($J1361="E-commerce",IFERROR($T1361/$R1361,0)&gt;Parametros!$C$14),"Alerta","OK")</f>
        <v>Alerta</v>
      </c>
      <c r="Y1361" s="61" t="str">
        <f aca="false">IF($R1361&gt;=Parametros!$C$12,"Alto",IF($R1361&lt;Parametros!$C$13,"Bajo","Medio"))</f>
        <v>Medio</v>
      </c>
      <c r="Z1361" s="61" t="n">
        <v>1142</v>
      </c>
      <c r="AA1361" s="61" t="str">
        <f aca="false">IF(MATCH($A1361,Datos_Origen!$A$2:$A$2459,0)=$Z1361,"OK","REVISAR")</f>
        <v>OK</v>
      </c>
      <c r="AB1361" s="62" t="n">
        <f aca="false">INDEX(Datos_Origen!$B$2:$B$2459,$Z1361)</f>
        <v>45705</v>
      </c>
      <c r="AC1361" s="61" t="n">
        <f aca="false">INDEX(Datos_Origen!$H$2:$H$2459,$Z1361)</f>
        <v>11</v>
      </c>
      <c r="AD1361" s="61" t="str">
        <f aca="false">INDEX(Datos_Origen!$D$2:$D$2459,$Z1361)&amp;""</f>
        <v>Rosario</v>
      </c>
    </row>
    <row r="1362" customFormat="false" ht="15" hidden="false" customHeight="false" outlineLevel="0" collapsed="false">
      <c r="A1362" s="61" t="n">
        <f aca="false">INDEX(Datos_Origen!$A$2:$A$2459,$Z1362)</f>
        <v>1361</v>
      </c>
      <c r="B1362" s="62" t="n">
        <f aca="false">IF(ISNUMBER($AB1362),$AB1362,IF(MID($AB1362,5,1)="-",DATE(VALUE(LEFT($AB1362,4)),VALUE(MID($AB1362,6,2)),VALUE(RIGHT($AB1362,2))),DATE(VALUE(RIGHT($AB1362,4)),VALUE(MID($AB1362,4,2)),VALUE(LEFT($AB1362,2)))))</f>
        <v>45712</v>
      </c>
      <c r="C1362" s="61" t="n">
        <f aca="false">YEAR($B1362)</f>
        <v>2025</v>
      </c>
      <c r="D1362" s="61" t="str">
        <f aca="false">"Q"&amp;ROUNDUP(MONTH($B1362)/3,0)</f>
        <v>Q1</v>
      </c>
      <c r="E1362" s="61" t="n">
        <f aca="false">MONTH($B1362)</f>
        <v>2</v>
      </c>
      <c r="F1362" s="61" t="str">
        <f aca="false">INDEX(Parametros!$I$5:$I$16,$E1362)</f>
        <v>Feb</v>
      </c>
      <c r="G1362" s="61" t="str">
        <f aca="false">TEXT($C1362,"0000")&amp;"-"&amp;TEXT($E1362,"00")</f>
        <v>2025-02</v>
      </c>
      <c r="H1362" s="61" t="str">
        <f aca="false">INDEX(Parametros!$C$71:$C$91,MATCH(TRIM(INDEX(Datos_Origen!$C$2:$C$2459,$Z1362)),Parametros!$B$71:$B$91,0))</f>
        <v>Cuyo</v>
      </c>
      <c r="I1362" s="61" t="str">
        <f aca="false">IF(TRIM($AD1362)="",INDEX(Parametros!$I$20:$I$24,MATCH($H1362,Parametros!$H$20:$H$24,0)),TRIM($AD1362))</f>
        <v>Mendoza</v>
      </c>
      <c r="J1362" s="61" t="str">
        <f aca="false">INDEX(Parametros!$C$95:$C$106,MATCH(TRIM(INDEX(Datos_Origen!$E$2:$E$2459,$Z1362)),Parametros!$B$95:$B$106,0))</f>
        <v>Tienda fisica</v>
      </c>
      <c r="K1362" s="61" t="str">
        <f aca="false">INDEX(Parametros!$C$48:$C$67,MATCH(TRIM(INDEX(Datos_Origen!$F$2:$F$2459,$Z1362)),Parametros!$B$48:$B$67,0))</f>
        <v>Computacion</v>
      </c>
      <c r="L1362" s="61" t="str">
        <f aca="false">$K1362&amp;" "&amp;$C1362</f>
        <v>Computacion 2025</v>
      </c>
      <c r="M1362" s="61" t="str">
        <f aca="false">TRIM(INDEX(Datos_Origen!$G$2:$G$2459,$Z1362))</f>
        <v>Laptop Pro 15</v>
      </c>
      <c r="N1362" s="61" t="str">
        <f aca="false">$M1362&amp;" "&amp;$C1362</f>
        <v>Laptop Pro 15 2025</v>
      </c>
      <c r="O1362" s="63" t="n">
        <f aca="false">IF(ISTEXT($AC1362),VALUE($AC1362),$AC1362)</f>
        <v>5</v>
      </c>
      <c r="P1362" s="64" t="n">
        <f aca="false">INDEX(Datos_Origen!$I$2:$I$2459,$Z1362)</f>
        <v>1155.06</v>
      </c>
      <c r="Q1362" s="64" t="n">
        <f aca="false">INDEX(Datos_Origen!$J$2:$J$2459,$Z1362)</f>
        <v>766.32</v>
      </c>
      <c r="R1362" s="65" t="n">
        <f aca="false">ROUND($O1362*$P1362,2)</f>
        <v>5775.3</v>
      </c>
      <c r="S1362" s="65" t="n">
        <f aca="false">ROUND($O1362*$Q1362,2)</f>
        <v>3831.6</v>
      </c>
      <c r="T1362" s="65" t="n">
        <f aca="false">ROUND($R1362*SUMIFS(Parametros!$E$28:$E$43,Parametros!$B$28:$B$43,$J1362,Parametros!$C$28:$C$43,$C1362,Parametros!$D$28:$D$43,$D1362),2)</f>
        <v>75.08</v>
      </c>
      <c r="U1362" s="65" t="n">
        <f aca="false">$R1362-$S1362-$T1362</f>
        <v>1868.62</v>
      </c>
      <c r="V1362" s="66" t="n">
        <f aca="false">IFERROR($U1362/$R1362,0)</f>
        <v>0.323553754783301</v>
      </c>
      <c r="W1362" s="67" t="str">
        <f aca="false">IF(AND($V1362&gt;=Parametros!$C$8,$R1362&gt;=Parametros!$C$12),"Alta rentabilidad",IF(OR($V1362&lt;Parametros!$C$11,$R1362&lt;Parametros!$C$13),"Revisar","Estandar"))</f>
        <v>Estandar</v>
      </c>
      <c r="X1362" s="67" t="str">
        <f aca="false">IF(AND($J1362="E-commerce",IFERROR($T1362/$R1362,0)&gt;Parametros!$C$14),"Alerta","OK")</f>
        <v>OK</v>
      </c>
      <c r="Y1362" s="61" t="str">
        <f aca="false">IF($R1362&gt;=Parametros!$C$12,"Alto",IF($R1362&lt;Parametros!$C$13,"Bajo","Medio"))</f>
        <v>Alto</v>
      </c>
      <c r="Z1362" s="61" t="n">
        <v>442</v>
      </c>
      <c r="AA1362" s="61" t="str">
        <f aca="false">IF(MATCH($A1362,Datos_Origen!$A$2:$A$2459,0)=$Z1362,"OK","REVISAR")</f>
        <v>OK</v>
      </c>
      <c r="AB1362" s="62" t="n">
        <f aca="false">INDEX(Datos_Origen!$B$2:$B$2459,$Z1362)</f>
        <v>45712</v>
      </c>
      <c r="AC1362" s="61" t="n">
        <f aca="false">INDEX(Datos_Origen!$H$2:$H$2459,$Z1362)</f>
        <v>5</v>
      </c>
      <c r="AD1362" s="61" t="str">
        <f aca="false">INDEX(Datos_Origen!$D$2:$D$2459,$Z1362)&amp;""</f>
        <v>Mendoza</v>
      </c>
    </row>
    <row r="1363" customFormat="false" ht="15" hidden="false" customHeight="false" outlineLevel="0" collapsed="false">
      <c r="A1363" s="61" t="n">
        <f aca="false">INDEX(Datos_Origen!$A$2:$A$2459,$Z1363)</f>
        <v>1362</v>
      </c>
      <c r="B1363" s="62" t="n">
        <f aca="false">IF(ISNUMBER($AB1363),$AB1363,IF(MID($AB1363,5,1)="-",DATE(VALUE(LEFT($AB1363,4)),VALUE(MID($AB1363,6,2)),VALUE(RIGHT($AB1363,2))),DATE(VALUE(RIGHT($AB1363,4)),VALUE(MID($AB1363,4,2)),VALUE(LEFT($AB1363,2)))))</f>
        <v>45692</v>
      </c>
      <c r="C1363" s="61" t="n">
        <f aca="false">YEAR($B1363)</f>
        <v>2025</v>
      </c>
      <c r="D1363" s="61" t="str">
        <f aca="false">"Q"&amp;ROUNDUP(MONTH($B1363)/3,0)</f>
        <v>Q1</v>
      </c>
      <c r="E1363" s="61" t="n">
        <f aca="false">MONTH($B1363)</f>
        <v>2</v>
      </c>
      <c r="F1363" s="61" t="str">
        <f aca="false">INDEX(Parametros!$I$5:$I$16,$E1363)</f>
        <v>Feb</v>
      </c>
      <c r="G1363" s="61" t="str">
        <f aca="false">TEXT($C1363,"0000")&amp;"-"&amp;TEXT($E1363,"00")</f>
        <v>2025-02</v>
      </c>
      <c r="H1363" s="61" t="str">
        <f aca="false">INDEX(Parametros!$C$71:$C$91,MATCH(TRIM(INDEX(Datos_Origen!$C$2:$C$2459,$Z1363)),Parametros!$B$71:$B$91,0))</f>
        <v>Cuyo</v>
      </c>
      <c r="I1363" s="61" t="str">
        <f aca="false">IF(TRIM($AD1363)="",INDEX(Parametros!$I$20:$I$24,MATCH($H1363,Parametros!$H$20:$H$24,0)),TRIM($AD1363))</f>
        <v>Mendoza</v>
      </c>
      <c r="J1363" s="61" t="str">
        <f aca="false">INDEX(Parametros!$C$95:$C$106,MATCH(TRIM(INDEX(Datos_Origen!$E$2:$E$2459,$Z1363)),Parametros!$B$95:$B$106,0))</f>
        <v>E-commerce</v>
      </c>
      <c r="K1363" s="61" t="str">
        <f aca="false">INDEX(Parametros!$C$48:$C$67,MATCH(TRIM(INDEX(Datos_Origen!$F$2:$F$2459,$Z1363)),Parametros!$B$48:$B$67,0))</f>
        <v>Computacion</v>
      </c>
      <c r="L1363" s="61" t="str">
        <f aca="false">$K1363&amp;" "&amp;$C1363</f>
        <v>Computacion 2025</v>
      </c>
      <c r="M1363" s="61" t="str">
        <f aca="false">TRIM(INDEX(Datos_Origen!$G$2:$G$2459,$Z1363))</f>
        <v>Laptop Pro 15</v>
      </c>
      <c r="N1363" s="61" t="str">
        <f aca="false">$M1363&amp;" "&amp;$C1363</f>
        <v>Laptop Pro 15 2025</v>
      </c>
      <c r="O1363" s="63" t="n">
        <f aca="false">IF(ISTEXT($AC1363),VALUE($AC1363),$AC1363)</f>
        <v>4</v>
      </c>
      <c r="P1363" s="64" t="n">
        <f aca="false">INDEX(Datos_Origen!$I$2:$I$2459,$Z1363)</f>
        <v>1155.06</v>
      </c>
      <c r="Q1363" s="64" t="n">
        <f aca="false">INDEX(Datos_Origen!$J$2:$J$2459,$Z1363)</f>
        <v>766.32</v>
      </c>
      <c r="R1363" s="65" t="n">
        <f aca="false">ROUND($O1363*$P1363,2)</f>
        <v>4620.24</v>
      </c>
      <c r="S1363" s="65" t="n">
        <f aca="false">ROUND($O1363*$Q1363,2)</f>
        <v>3065.28</v>
      </c>
      <c r="T1363" s="65" t="n">
        <f aca="false">ROUND($R1363*SUMIFS(Parametros!$E$28:$E$43,Parametros!$B$28:$B$43,$J1363,Parametros!$C$28:$C$43,$C1363,Parametros!$D$28:$D$43,$D1363),2)</f>
        <v>314.18</v>
      </c>
      <c r="U1363" s="65" t="n">
        <f aca="false">$R1363-$S1363-$T1363</f>
        <v>1240.78</v>
      </c>
      <c r="V1363" s="66" t="n">
        <f aca="false">IFERROR($U1363/$R1363,0)</f>
        <v>0.268553148754177</v>
      </c>
      <c r="W1363" s="67" t="str">
        <f aca="false">IF(AND($V1363&gt;=Parametros!$C$8,$R1363&gt;=Parametros!$C$12),"Alta rentabilidad",IF(OR($V1363&lt;Parametros!$C$11,$R1363&lt;Parametros!$C$13),"Revisar","Estandar"))</f>
        <v>Revisar</v>
      </c>
      <c r="X1363" s="67" t="str">
        <f aca="false">IF(AND($J1363="E-commerce",IFERROR($T1363/$R1363,0)&gt;Parametros!$C$14),"Alerta","OK")</f>
        <v>Alerta</v>
      </c>
      <c r="Y1363" s="61" t="str">
        <f aca="false">IF($R1363&gt;=Parametros!$C$12,"Alto",IF($R1363&lt;Parametros!$C$13,"Bajo","Medio"))</f>
        <v>Alto</v>
      </c>
      <c r="Z1363" s="61" t="n">
        <v>806</v>
      </c>
      <c r="AA1363" s="61" t="str">
        <f aca="false">IF(MATCH($A1363,Datos_Origen!$A$2:$A$2459,0)=$Z1363,"OK","REVISAR")</f>
        <v>OK</v>
      </c>
      <c r="AB1363" s="62" t="n">
        <f aca="false">INDEX(Datos_Origen!$B$2:$B$2459,$Z1363)</f>
        <v>45692</v>
      </c>
      <c r="AC1363" s="61" t="n">
        <f aca="false">INDEX(Datos_Origen!$H$2:$H$2459,$Z1363)</f>
        <v>4</v>
      </c>
      <c r="AD1363" s="61" t="str">
        <f aca="false">INDEX(Datos_Origen!$D$2:$D$2459,$Z1363)&amp;""</f>
        <v/>
      </c>
    </row>
    <row r="1364" customFormat="false" ht="15" hidden="false" customHeight="false" outlineLevel="0" collapsed="false">
      <c r="A1364" s="61" t="n">
        <f aca="false">INDEX(Datos_Origen!$A$2:$A$2459,$Z1364)</f>
        <v>1363</v>
      </c>
      <c r="B1364" s="62" t="n">
        <f aca="false">IF(ISNUMBER($AB1364),$AB1364,IF(MID($AB1364,5,1)="-",DATE(VALUE(LEFT($AB1364,4)),VALUE(MID($AB1364,6,2)),VALUE(RIGHT($AB1364,2))),DATE(VALUE(RIGHT($AB1364,4)),VALUE(MID($AB1364,4,2)),VALUE(LEFT($AB1364,2)))))</f>
        <v>45699</v>
      </c>
      <c r="C1364" s="61" t="n">
        <f aca="false">YEAR($B1364)</f>
        <v>2025</v>
      </c>
      <c r="D1364" s="61" t="str">
        <f aca="false">"Q"&amp;ROUNDUP(MONTH($B1364)/3,0)</f>
        <v>Q1</v>
      </c>
      <c r="E1364" s="61" t="n">
        <f aca="false">MONTH($B1364)</f>
        <v>2</v>
      </c>
      <c r="F1364" s="61" t="str">
        <f aca="false">INDEX(Parametros!$I$5:$I$16,$E1364)</f>
        <v>Feb</v>
      </c>
      <c r="G1364" s="61" t="str">
        <f aca="false">TEXT($C1364,"0000")&amp;"-"&amp;TEXT($E1364,"00")</f>
        <v>2025-02</v>
      </c>
      <c r="H1364" s="61" t="str">
        <f aca="false">INDEX(Parametros!$C$71:$C$91,MATCH(TRIM(INDEX(Datos_Origen!$C$2:$C$2459,$Z1364)),Parametros!$B$71:$B$91,0))</f>
        <v>Cuyo</v>
      </c>
      <c r="I1364" s="61" t="str">
        <f aca="false">IF(TRIM($AD1364)="",INDEX(Parametros!$I$20:$I$24,MATCH($H1364,Parametros!$H$20:$H$24,0)),TRIM($AD1364))</f>
        <v>Mendoza</v>
      </c>
      <c r="J1364" s="61" t="str">
        <f aca="false">INDEX(Parametros!$C$95:$C$106,MATCH(TRIM(INDEX(Datos_Origen!$E$2:$E$2459,$Z1364)),Parametros!$B$95:$B$106,0))</f>
        <v>Tienda fisica</v>
      </c>
      <c r="K1364" s="61" t="str">
        <f aca="false">INDEX(Parametros!$C$48:$C$67,MATCH(TRIM(INDEX(Datos_Origen!$F$2:$F$2459,$Z1364)),Parametros!$B$48:$B$67,0))</f>
        <v>Computacion</v>
      </c>
      <c r="L1364" s="61" t="str">
        <f aca="false">$K1364&amp;" "&amp;$C1364</f>
        <v>Computacion 2025</v>
      </c>
      <c r="M1364" s="61" t="str">
        <f aca="false">TRIM(INDEX(Datos_Origen!$G$2:$G$2459,$Z1364))</f>
        <v>Monitor 4K 27</v>
      </c>
      <c r="N1364" s="61" t="str">
        <f aca="false">$M1364&amp;" "&amp;$C1364</f>
        <v>Monitor 4K 27 2025</v>
      </c>
      <c r="O1364" s="63" t="n">
        <f aca="false">IF(ISTEXT($AC1364),VALUE($AC1364),$AC1364)</f>
        <v>6</v>
      </c>
      <c r="P1364" s="64" t="n">
        <f aca="false">INDEX(Datos_Origen!$I$2:$I$2459,$Z1364)</f>
        <v>433.15</v>
      </c>
      <c r="Q1364" s="64" t="n">
        <f aca="false">INDEX(Datos_Origen!$J$2:$J$2459,$Z1364)</f>
        <v>280.42</v>
      </c>
      <c r="R1364" s="65" t="n">
        <f aca="false">ROUND($O1364*$P1364,2)</f>
        <v>2598.9</v>
      </c>
      <c r="S1364" s="65" t="n">
        <f aca="false">ROUND($O1364*$Q1364,2)</f>
        <v>1682.52</v>
      </c>
      <c r="T1364" s="65" t="n">
        <f aca="false">ROUND($R1364*SUMIFS(Parametros!$E$28:$E$43,Parametros!$B$28:$B$43,$J1364,Parametros!$C$28:$C$43,$C1364,Parametros!$D$28:$D$43,$D1364),2)</f>
        <v>33.79</v>
      </c>
      <c r="U1364" s="65" t="n">
        <f aca="false">$R1364-$S1364-$T1364</f>
        <v>882.59</v>
      </c>
      <c r="V1364" s="66" t="n">
        <f aca="false">IFERROR($U1364/$R1364,0)</f>
        <v>0.339601369810304</v>
      </c>
      <c r="W1364" s="67" t="str">
        <f aca="false">IF(AND($V1364&gt;=Parametros!$C$8,$R1364&gt;=Parametros!$C$12),"Alta rentabilidad",IF(OR($V1364&lt;Parametros!$C$11,$R1364&lt;Parametros!$C$13),"Revisar","Estandar"))</f>
        <v>Estandar</v>
      </c>
      <c r="X1364" s="67" t="str">
        <f aca="false">IF(AND($J1364="E-commerce",IFERROR($T1364/$R1364,0)&gt;Parametros!$C$14),"Alerta","OK")</f>
        <v>OK</v>
      </c>
      <c r="Y1364" s="61" t="str">
        <f aca="false">IF($R1364&gt;=Parametros!$C$12,"Alto",IF($R1364&lt;Parametros!$C$13,"Bajo","Medio"))</f>
        <v>Medio</v>
      </c>
      <c r="Z1364" s="61" t="n">
        <v>194</v>
      </c>
      <c r="AA1364" s="61" t="str">
        <f aca="false">IF(MATCH($A1364,Datos_Origen!$A$2:$A$2459,0)=$Z1364,"OK","REVISAR")</f>
        <v>OK</v>
      </c>
      <c r="AB1364" s="62" t="n">
        <f aca="false">INDEX(Datos_Origen!$B$2:$B$2459,$Z1364)</f>
        <v>45699</v>
      </c>
      <c r="AC1364" s="61" t="n">
        <f aca="false">INDEX(Datos_Origen!$H$2:$H$2459,$Z1364)</f>
        <v>6</v>
      </c>
      <c r="AD1364" s="61" t="str">
        <f aca="false">INDEX(Datos_Origen!$D$2:$D$2459,$Z1364)&amp;""</f>
        <v>Mendoza</v>
      </c>
    </row>
    <row r="1365" customFormat="false" ht="15" hidden="false" customHeight="false" outlineLevel="0" collapsed="false">
      <c r="A1365" s="61" t="n">
        <f aca="false">INDEX(Datos_Origen!$A$2:$A$2459,$Z1365)</f>
        <v>1364</v>
      </c>
      <c r="B1365" s="62" t="n">
        <f aca="false">IF(ISNUMBER($AB1365),$AB1365,IF(MID($AB1365,5,1)="-",DATE(VALUE(LEFT($AB1365,4)),VALUE(MID($AB1365,6,2)),VALUE(RIGHT($AB1365,2))),DATE(VALUE(RIGHT($AB1365,4)),VALUE(MID($AB1365,4,2)),VALUE(LEFT($AB1365,2)))))</f>
        <v>45706</v>
      </c>
      <c r="C1365" s="61" t="n">
        <f aca="false">YEAR($B1365)</f>
        <v>2025</v>
      </c>
      <c r="D1365" s="61" t="str">
        <f aca="false">"Q"&amp;ROUNDUP(MONTH($B1365)/3,0)</f>
        <v>Q1</v>
      </c>
      <c r="E1365" s="61" t="n">
        <f aca="false">MONTH($B1365)</f>
        <v>2</v>
      </c>
      <c r="F1365" s="61" t="str">
        <f aca="false">INDEX(Parametros!$I$5:$I$16,$E1365)</f>
        <v>Feb</v>
      </c>
      <c r="G1365" s="61" t="str">
        <f aca="false">TEXT($C1365,"0000")&amp;"-"&amp;TEXT($E1365,"00")</f>
        <v>2025-02</v>
      </c>
      <c r="H1365" s="61" t="str">
        <f aca="false">INDEX(Parametros!$C$71:$C$91,MATCH(TRIM(INDEX(Datos_Origen!$C$2:$C$2459,$Z1365)),Parametros!$B$71:$B$91,0))</f>
        <v>Cuyo</v>
      </c>
      <c r="I1365" s="61" t="str">
        <f aca="false">IF(TRIM($AD1365)="",INDEX(Parametros!$I$20:$I$24,MATCH($H1365,Parametros!$H$20:$H$24,0)),TRIM($AD1365))</f>
        <v>Mendoza</v>
      </c>
      <c r="J1365" s="61" t="str">
        <f aca="false">INDEX(Parametros!$C$95:$C$106,MATCH(TRIM(INDEX(Datos_Origen!$E$2:$E$2459,$Z1365)),Parametros!$B$95:$B$106,0))</f>
        <v>E-commerce</v>
      </c>
      <c r="K1365" s="61" t="str">
        <f aca="false">INDEX(Parametros!$C$48:$C$67,MATCH(TRIM(INDEX(Datos_Origen!$F$2:$F$2459,$Z1365)),Parametros!$B$48:$B$67,0))</f>
        <v>Computacion</v>
      </c>
      <c r="L1365" s="61" t="str">
        <f aca="false">$K1365&amp;" "&amp;$C1365</f>
        <v>Computacion 2025</v>
      </c>
      <c r="M1365" s="61" t="str">
        <f aca="false">TRIM(INDEX(Datos_Origen!$G$2:$G$2459,$Z1365))</f>
        <v>Monitor 4K 27</v>
      </c>
      <c r="N1365" s="61" t="str">
        <f aca="false">$M1365&amp;" "&amp;$C1365</f>
        <v>Monitor 4K 27 2025</v>
      </c>
      <c r="O1365" s="63" t="n">
        <f aca="false">IF(ISTEXT($AC1365),VALUE($AC1365),$AC1365)</f>
        <v>3</v>
      </c>
      <c r="P1365" s="64" t="n">
        <f aca="false">INDEX(Datos_Origen!$I$2:$I$2459,$Z1365)</f>
        <v>433.15</v>
      </c>
      <c r="Q1365" s="64" t="n">
        <f aca="false">INDEX(Datos_Origen!$J$2:$J$2459,$Z1365)</f>
        <v>280.42</v>
      </c>
      <c r="R1365" s="65" t="n">
        <f aca="false">ROUND($O1365*$P1365,2)</f>
        <v>1299.45</v>
      </c>
      <c r="S1365" s="65" t="n">
        <f aca="false">ROUND($O1365*$Q1365,2)</f>
        <v>841.26</v>
      </c>
      <c r="T1365" s="65" t="n">
        <f aca="false">ROUND($R1365*SUMIFS(Parametros!$E$28:$E$43,Parametros!$B$28:$B$43,$J1365,Parametros!$C$28:$C$43,$C1365,Parametros!$D$28:$D$43,$D1365),2)</f>
        <v>88.36</v>
      </c>
      <c r="U1365" s="65" t="n">
        <f aca="false">$R1365-$S1365-$T1365</f>
        <v>369.83</v>
      </c>
      <c r="V1365" s="66" t="n">
        <f aca="false">IFERROR($U1365/$R1365,0)</f>
        <v>0.284605025202971</v>
      </c>
      <c r="W1365" s="67" t="str">
        <f aca="false">IF(AND($V1365&gt;=Parametros!$C$8,$R1365&gt;=Parametros!$C$12),"Alta rentabilidad",IF(OR($V1365&lt;Parametros!$C$11,$R1365&lt;Parametros!$C$13),"Revisar","Estandar"))</f>
        <v>Estandar</v>
      </c>
      <c r="X1365" s="67" t="str">
        <f aca="false">IF(AND($J1365="E-commerce",IFERROR($T1365/$R1365,0)&gt;Parametros!$C$14),"Alerta","OK")</f>
        <v>Alerta</v>
      </c>
      <c r="Y1365" s="61" t="str">
        <f aca="false">IF($R1365&gt;=Parametros!$C$12,"Alto",IF($R1365&lt;Parametros!$C$13,"Bajo","Medio"))</f>
        <v>Medio</v>
      </c>
      <c r="Z1365" s="61" t="n">
        <v>1874</v>
      </c>
      <c r="AA1365" s="61" t="str">
        <f aca="false">IF(MATCH($A1365,Datos_Origen!$A$2:$A$2459,0)=$Z1365,"OK","REVISAR")</f>
        <v>OK</v>
      </c>
      <c r="AB1365" s="61" t="str">
        <f aca="false">INDEX(Datos_Origen!$B$2:$B$2459,$Z1365)</f>
        <v>18/02/2025</v>
      </c>
      <c r="AC1365" s="61" t="n">
        <f aca="false">INDEX(Datos_Origen!$H$2:$H$2459,$Z1365)</f>
        <v>3</v>
      </c>
      <c r="AD1365" s="61" t="str">
        <f aca="false">INDEX(Datos_Origen!$D$2:$D$2459,$Z1365)&amp;""</f>
        <v>Mendoza</v>
      </c>
    </row>
    <row r="1366" customFormat="false" ht="15" hidden="false" customHeight="false" outlineLevel="0" collapsed="false">
      <c r="A1366" s="61" t="n">
        <f aca="false">INDEX(Datos_Origen!$A$2:$A$2459,$Z1366)</f>
        <v>1365</v>
      </c>
      <c r="B1366" s="62" t="n">
        <f aca="false">IF(ISNUMBER($AB1366),$AB1366,IF(MID($AB1366,5,1)="-",DATE(VALUE(LEFT($AB1366,4)),VALUE(MID($AB1366,6,2)),VALUE(RIGHT($AB1366,2))),DATE(VALUE(RIGHT($AB1366,4)),VALUE(MID($AB1366,4,2)),VALUE(LEFT($AB1366,2)))))</f>
        <v>45713</v>
      </c>
      <c r="C1366" s="61" t="n">
        <f aca="false">YEAR($B1366)</f>
        <v>2025</v>
      </c>
      <c r="D1366" s="61" t="str">
        <f aca="false">"Q"&amp;ROUNDUP(MONTH($B1366)/3,0)</f>
        <v>Q1</v>
      </c>
      <c r="E1366" s="61" t="n">
        <f aca="false">MONTH($B1366)</f>
        <v>2</v>
      </c>
      <c r="F1366" s="61" t="str">
        <f aca="false">INDEX(Parametros!$I$5:$I$16,$E1366)</f>
        <v>Feb</v>
      </c>
      <c r="G1366" s="61" t="str">
        <f aca="false">TEXT($C1366,"0000")&amp;"-"&amp;TEXT($E1366,"00")</f>
        <v>2025-02</v>
      </c>
      <c r="H1366" s="61" t="str">
        <f aca="false">INDEX(Parametros!$C$71:$C$91,MATCH(TRIM(INDEX(Datos_Origen!$C$2:$C$2459,$Z1366)),Parametros!$B$71:$B$91,0))</f>
        <v>Cuyo</v>
      </c>
      <c r="I1366" s="61" t="str">
        <f aca="false">IF(TRIM($AD1366)="",INDEX(Parametros!$I$20:$I$24,MATCH($H1366,Parametros!$H$20:$H$24,0)),TRIM($AD1366))</f>
        <v>Mendoza</v>
      </c>
      <c r="J1366" s="61" t="str">
        <f aca="false">INDEX(Parametros!$C$95:$C$106,MATCH(TRIM(INDEX(Datos_Origen!$E$2:$E$2459,$Z1366)),Parametros!$B$95:$B$106,0))</f>
        <v>Tienda fisica</v>
      </c>
      <c r="K1366" s="61" t="str">
        <f aca="false">INDEX(Parametros!$C$48:$C$67,MATCH(TRIM(INDEX(Datos_Origen!$F$2:$F$2459,$Z1366)),Parametros!$B$48:$B$67,0))</f>
        <v>Computacion</v>
      </c>
      <c r="L1366" s="61" t="str">
        <f aca="false">$K1366&amp;" "&amp;$C1366</f>
        <v>Computacion 2025</v>
      </c>
      <c r="M1366" s="61" t="str">
        <f aca="false">TRIM(INDEX(Datos_Origen!$G$2:$G$2459,$Z1366))</f>
        <v>PC Gamer Ryzen</v>
      </c>
      <c r="N1366" s="61" t="str">
        <f aca="false">$M1366&amp;" "&amp;$C1366</f>
        <v>PC Gamer Ryzen 2025</v>
      </c>
      <c r="O1366" s="63" t="n">
        <f aca="false">IF(ISTEXT($AC1366),VALUE($AC1366),$AC1366)</f>
        <v>5</v>
      </c>
      <c r="P1366" s="64" t="n">
        <f aca="false">INDEX(Datos_Origen!$I$2:$I$2459,$Z1366)</f>
        <v>1588.21</v>
      </c>
      <c r="Q1366" s="64" t="n">
        <f aca="false">INDEX(Datos_Origen!$J$2:$J$2459,$Z1366)</f>
        <v>1155.66</v>
      </c>
      <c r="R1366" s="65" t="n">
        <f aca="false">ROUND($O1366*$P1366,2)</f>
        <v>7941.05</v>
      </c>
      <c r="S1366" s="65" t="n">
        <f aca="false">ROUND($O1366*$Q1366,2)</f>
        <v>5778.3</v>
      </c>
      <c r="T1366" s="65" t="n">
        <f aca="false">ROUND($R1366*SUMIFS(Parametros!$E$28:$E$43,Parametros!$B$28:$B$43,$J1366,Parametros!$C$28:$C$43,$C1366,Parametros!$D$28:$D$43,$D1366),2)</f>
        <v>103.23</v>
      </c>
      <c r="U1366" s="65" t="n">
        <f aca="false">$R1366-$S1366-$T1366</f>
        <v>2059.52</v>
      </c>
      <c r="V1366" s="66" t="n">
        <f aca="false">IFERROR($U1366/$R1366,0)</f>
        <v>0.259351093369265</v>
      </c>
      <c r="W1366" s="67" t="str">
        <f aca="false">IF(AND($V1366&gt;=Parametros!$C$8,$R1366&gt;=Parametros!$C$12),"Alta rentabilidad",IF(OR($V1366&lt;Parametros!$C$11,$R1366&lt;Parametros!$C$13),"Revisar","Estandar"))</f>
        <v>Revisar</v>
      </c>
      <c r="X1366" s="67" t="str">
        <f aca="false">IF(AND($J1366="E-commerce",IFERROR($T1366/$R1366,0)&gt;Parametros!$C$14),"Alerta","OK")</f>
        <v>OK</v>
      </c>
      <c r="Y1366" s="61" t="str">
        <f aca="false">IF($R1366&gt;=Parametros!$C$12,"Alto",IF($R1366&lt;Parametros!$C$13,"Bajo","Medio"))</f>
        <v>Alto</v>
      </c>
      <c r="Z1366" s="61" t="n">
        <v>2071</v>
      </c>
      <c r="AA1366" s="61" t="str">
        <f aca="false">IF(MATCH($A1366,Datos_Origen!$A$2:$A$2459,0)=$Z1366,"OK","REVISAR")</f>
        <v>OK</v>
      </c>
      <c r="AB1366" s="62" t="n">
        <f aca="false">INDEX(Datos_Origen!$B$2:$B$2459,$Z1366)</f>
        <v>45713</v>
      </c>
      <c r="AC1366" s="61" t="n">
        <f aca="false">INDEX(Datos_Origen!$H$2:$H$2459,$Z1366)</f>
        <v>5</v>
      </c>
      <c r="AD1366" s="61" t="str">
        <f aca="false">INDEX(Datos_Origen!$D$2:$D$2459,$Z1366)&amp;""</f>
        <v>Mendoza</v>
      </c>
    </row>
    <row r="1367" customFormat="false" ht="15" hidden="false" customHeight="false" outlineLevel="0" collapsed="false">
      <c r="A1367" s="61" t="n">
        <f aca="false">INDEX(Datos_Origen!$A$2:$A$2459,$Z1367)</f>
        <v>1366</v>
      </c>
      <c r="B1367" s="62" t="n">
        <f aca="false">IF(ISNUMBER($AB1367),$AB1367,IF(MID($AB1367,5,1)="-",DATE(VALUE(LEFT($AB1367,4)),VALUE(MID($AB1367,6,2)),VALUE(RIGHT($AB1367,2))),DATE(VALUE(RIGHT($AB1367,4)),VALUE(MID($AB1367,4,2)),VALUE(LEFT($AB1367,2)))))</f>
        <v>45693</v>
      </c>
      <c r="C1367" s="61" t="n">
        <f aca="false">YEAR($B1367)</f>
        <v>2025</v>
      </c>
      <c r="D1367" s="61" t="str">
        <f aca="false">"Q"&amp;ROUNDUP(MONTH($B1367)/3,0)</f>
        <v>Q1</v>
      </c>
      <c r="E1367" s="61" t="n">
        <f aca="false">MONTH($B1367)</f>
        <v>2</v>
      </c>
      <c r="F1367" s="61" t="str">
        <f aca="false">INDEX(Parametros!$I$5:$I$16,$E1367)</f>
        <v>Feb</v>
      </c>
      <c r="G1367" s="61" t="str">
        <f aca="false">TEXT($C1367,"0000")&amp;"-"&amp;TEXT($E1367,"00")</f>
        <v>2025-02</v>
      </c>
      <c r="H1367" s="61" t="str">
        <f aca="false">INDEX(Parametros!$C$71:$C$91,MATCH(TRIM(INDEX(Datos_Origen!$C$2:$C$2459,$Z1367)),Parametros!$B$71:$B$91,0))</f>
        <v>Cuyo</v>
      </c>
      <c r="I1367" s="61" t="str">
        <f aca="false">IF(TRIM($AD1367)="",INDEX(Parametros!$I$20:$I$24,MATCH($H1367,Parametros!$H$20:$H$24,0)),TRIM($AD1367))</f>
        <v>Mendoza</v>
      </c>
      <c r="J1367" s="61" t="str">
        <f aca="false">INDEX(Parametros!$C$95:$C$106,MATCH(TRIM(INDEX(Datos_Origen!$E$2:$E$2459,$Z1367)),Parametros!$B$95:$B$106,0))</f>
        <v>E-commerce</v>
      </c>
      <c r="K1367" s="61" t="str">
        <f aca="false">INDEX(Parametros!$C$48:$C$67,MATCH(TRIM(INDEX(Datos_Origen!$F$2:$F$2459,$Z1367)),Parametros!$B$48:$B$67,0))</f>
        <v>Computacion</v>
      </c>
      <c r="L1367" s="61" t="str">
        <f aca="false">$K1367&amp;" "&amp;$C1367</f>
        <v>Computacion 2025</v>
      </c>
      <c r="M1367" s="61" t="str">
        <f aca="false">TRIM(INDEX(Datos_Origen!$G$2:$G$2459,$Z1367))</f>
        <v>PC Gamer Ryzen</v>
      </c>
      <c r="N1367" s="61" t="str">
        <f aca="false">$M1367&amp;" "&amp;$C1367</f>
        <v>PC Gamer Ryzen 2025</v>
      </c>
      <c r="O1367" s="63" t="n">
        <f aca="false">IF(ISTEXT($AC1367),VALUE($AC1367),$AC1367)</f>
        <v>4</v>
      </c>
      <c r="P1367" s="64" t="n">
        <f aca="false">INDEX(Datos_Origen!$I$2:$I$2459,$Z1367)</f>
        <v>1588.21</v>
      </c>
      <c r="Q1367" s="64" t="n">
        <f aca="false">INDEX(Datos_Origen!$J$2:$J$2459,$Z1367)</f>
        <v>1155.66</v>
      </c>
      <c r="R1367" s="65" t="n">
        <f aca="false">ROUND($O1367*$P1367,2)</f>
        <v>6352.84</v>
      </c>
      <c r="S1367" s="65" t="n">
        <f aca="false">ROUND($O1367*$Q1367,2)</f>
        <v>4622.64</v>
      </c>
      <c r="T1367" s="65" t="n">
        <f aca="false">ROUND($R1367*SUMIFS(Parametros!$E$28:$E$43,Parametros!$B$28:$B$43,$J1367,Parametros!$C$28:$C$43,$C1367,Parametros!$D$28:$D$43,$D1367),2)</f>
        <v>431.99</v>
      </c>
      <c r="U1367" s="65" t="n">
        <f aca="false">$R1367-$S1367-$T1367</f>
        <v>1298.21</v>
      </c>
      <c r="V1367" s="66" t="n">
        <f aca="false">IFERROR($U1367/$R1367,0)</f>
        <v>0.204351124851248</v>
      </c>
      <c r="W1367" s="67" t="str">
        <f aca="false">IF(AND($V1367&gt;=Parametros!$C$8,$R1367&gt;=Parametros!$C$12),"Alta rentabilidad",IF(OR($V1367&lt;Parametros!$C$11,$R1367&lt;Parametros!$C$13),"Revisar","Estandar"))</f>
        <v>Revisar</v>
      </c>
      <c r="X1367" s="67" t="str">
        <f aca="false">IF(AND($J1367="E-commerce",IFERROR($T1367/$R1367,0)&gt;Parametros!$C$14),"Alerta","OK")</f>
        <v>Alerta</v>
      </c>
      <c r="Y1367" s="61" t="str">
        <f aca="false">IF($R1367&gt;=Parametros!$C$12,"Alto",IF($R1367&lt;Parametros!$C$13,"Bajo","Medio"))</f>
        <v>Alto</v>
      </c>
      <c r="Z1367" s="61" t="n">
        <v>1338</v>
      </c>
      <c r="AA1367" s="61" t="str">
        <f aca="false">IF(MATCH($A1367,Datos_Origen!$A$2:$A$2459,0)=$Z1367,"OK","REVISAR")</f>
        <v>OK</v>
      </c>
      <c r="AB1367" s="62" t="n">
        <f aca="false">INDEX(Datos_Origen!$B$2:$B$2459,$Z1367)</f>
        <v>45693</v>
      </c>
      <c r="AC1367" s="61" t="n">
        <f aca="false">INDEX(Datos_Origen!$H$2:$H$2459,$Z1367)</f>
        <v>4</v>
      </c>
      <c r="AD1367" s="61" t="str">
        <f aca="false">INDEX(Datos_Origen!$D$2:$D$2459,$Z1367)&amp;""</f>
        <v>Mendoza</v>
      </c>
    </row>
    <row r="1368" customFormat="false" ht="15" hidden="false" customHeight="false" outlineLevel="0" collapsed="false">
      <c r="A1368" s="61" t="n">
        <f aca="false">INDEX(Datos_Origen!$A$2:$A$2459,$Z1368)</f>
        <v>1367</v>
      </c>
      <c r="B1368" s="62" t="n">
        <f aca="false">IF(ISNUMBER($AB1368),$AB1368,IF(MID($AB1368,5,1)="-",DATE(VALUE(LEFT($AB1368,4)),VALUE(MID($AB1368,6,2)),VALUE(RIGHT($AB1368,2))),DATE(VALUE(RIGHT($AB1368,4)),VALUE(MID($AB1368,4,2)),VALUE(LEFT($AB1368,2)))))</f>
        <v>45700</v>
      </c>
      <c r="C1368" s="61" t="n">
        <f aca="false">YEAR($B1368)</f>
        <v>2025</v>
      </c>
      <c r="D1368" s="61" t="str">
        <f aca="false">"Q"&amp;ROUNDUP(MONTH($B1368)/3,0)</f>
        <v>Q1</v>
      </c>
      <c r="E1368" s="61" t="n">
        <f aca="false">MONTH($B1368)</f>
        <v>2</v>
      </c>
      <c r="F1368" s="61" t="str">
        <f aca="false">INDEX(Parametros!$I$5:$I$16,$E1368)</f>
        <v>Feb</v>
      </c>
      <c r="G1368" s="61" t="str">
        <f aca="false">TEXT($C1368,"0000")&amp;"-"&amp;TEXT($E1368,"00")</f>
        <v>2025-02</v>
      </c>
      <c r="H1368" s="61" t="str">
        <f aca="false">INDEX(Parametros!$C$71:$C$91,MATCH(TRIM(INDEX(Datos_Origen!$C$2:$C$2459,$Z1368)),Parametros!$B$71:$B$91,0))</f>
        <v>Cuyo</v>
      </c>
      <c r="I1368" s="61" t="str">
        <f aca="false">IF(TRIM($AD1368)="",INDEX(Parametros!$I$20:$I$24,MATCH($H1368,Parametros!$H$20:$H$24,0)),TRIM($AD1368))</f>
        <v>Mendoza</v>
      </c>
      <c r="J1368" s="61" t="str">
        <f aca="false">INDEX(Parametros!$C$95:$C$106,MATCH(TRIM(INDEX(Datos_Origen!$E$2:$E$2459,$Z1368)),Parametros!$B$95:$B$106,0))</f>
        <v>Tienda fisica</v>
      </c>
      <c r="K1368" s="61" t="str">
        <f aca="false">INDEX(Parametros!$C$48:$C$67,MATCH(TRIM(INDEX(Datos_Origen!$F$2:$F$2459,$Z1368)),Parametros!$B$48:$B$67,0))</f>
        <v>Accesorios</v>
      </c>
      <c r="L1368" s="61" t="str">
        <f aca="false">$K1368&amp;" "&amp;$C1368</f>
        <v>Accesorios 2025</v>
      </c>
      <c r="M1368" s="61" t="str">
        <f aca="false">TRIM(INDEX(Datos_Origen!$G$2:$G$2459,$Z1368))</f>
        <v>Mouse Inalambrico</v>
      </c>
      <c r="N1368" s="61" t="str">
        <f aca="false">$M1368&amp;" "&amp;$C1368</f>
        <v>Mouse Inalambrico 2025</v>
      </c>
      <c r="O1368" s="63" t="n">
        <f aca="false">IF(ISTEXT($AC1368),VALUE($AC1368),$AC1368)</f>
        <v>28</v>
      </c>
      <c r="P1368" s="64" t="n">
        <f aca="false">INDEX(Datos_Origen!$I$2:$I$2459,$Z1368)</f>
        <v>27.82</v>
      </c>
      <c r="Q1368" s="64" t="n">
        <f aca="false">INDEX(Datos_Origen!$J$2:$J$2459,$Z1368)</f>
        <v>13.84</v>
      </c>
      <c r="R1368" s="65" t="n">
        <f aca="false">ROUND($O1368*$P1368,2)</f>
        <v>778.96</v>
      </c>
      <c r="S1368" s="65" t="n">
        <f aca="false">ROUND($O1368*$Q1368,2)</f>
        <v>387.52</v>
      </c>
      <c r="T1368" s="65" t="n">
        <f aca="false">ROUND($R1368*SUMIFS(Parametros!$E$28:$E$43,Parametros!$B$28:$B$43,$J1368,Parametros!$C$28:$C$43,$C1368,Parametros!$D$28:$D$43,$D1368),2)</f>
        <v>10.13</v>
      </c>
      <c r="U1368" s="65" t="n">
        <f aca="false">$R1368-$S1368-$T1368</f>
        <v>381.31</v>
      </c>
      <c r="V1368" s="66" t="n">
        <f aca="false">IFERROR($U1368/$R1368,0)</f>
        <v>0.489511656567731</v>
      </c>
      <c r="W1368" s="67" t="str">
        <f aca="false">IF(AND($V1368&gt;=Parametros!$C$8,$R1368&gt;=Parametros!$C$12),"Alta rentabilidad",IF(OR($V1368&lt;Parametros!$C$11,$R1368&lt;Parametros!$C$13),"Revisar","Estandar"))</f>
        <v>Estandar</v>
      </c>
      <c r="X1368" s="67" t="str">
        <f aca="false">IF(AND($J1368="E-commerce",IFERROR($T1368/$R1368,0)&gt;Parametros!$C$14),"Alerta","OK")</f>
        <v>OK</v>
      </c>
      <c r="Y1368" s="61" t="str">
        <f aca="false">IF($R1368&gt;=Parametros!$C$12,"Alto",IF($R1368&lt;Parametros!$C$13,"Bajo","Medio"))</f>
        <v>Medio</v>
      </c>
      <c r="Z1368" s="61" t="n">
        <v>108</v>
      </c>
      <c r="AA1368" s="61" t="str">
        <f aca="false">IF(MATCH($A1368,Datos_Origen!$A$2:$A$2459,0)=$Z1368,"OK","REVISAR")</f>
        <v>OK</v>
      </c>
      <c r="AB1368" s="62" t="n">
        <f aca="false">INDEX(Datos_Origen!$B$2:$B$2459,$Z1368)</f>
        <v>45700</v>
      </c>
      <c r="AC1368" s="61" t="str">
        <f aca="false">INDEX(Datos_Origen!$H$2:$H$2459,$Z1368)</f>
        <v>28</v>
      </c>
      <c r="AD1368" s="61" t="str">
        <f aca="false">INDEX(Datos_Origen!$D$2:$D$2459,$Z1368)&amp;""</f>
        <v>Mendoza</v>
      </c>
    </row>
    <row r="1369" customFormat="false" ht="15" hidden="false" customHeight="false" outlineLevel="0" collapsed="false">
      <c r="A1369" s="61" t="n">
        <f aca="false">INDEX(Datos_Origen!$A$2:$A$2459,$Z1369)</f>
        <v>1368</v>
      </c>
      <c r="B1369" s="62" t="n">
        <f aca="false">IF(ISNUMBER($AB1369),$AB1369,IF(MID($AB1369,5,1)="-",DATE(VALUE(LEFT($AB1369,4)),VALUE(MID($AB1369,6,2)),VALUE(RIGHT($AB1369,2))),DATE(VALUE(RIGHT($AB1369,4)),VALUE(MID($AB1369,4,2)),VALUE(LEFT($AB1369,2)))))</f>
        <v>45707</v>
      </c>
      <c r="C1369" s="61" t="n">
        <f aca="false">YEAR($B1369)</f>
        <v>2025</v>
      </c>
      <c r="D1369" s="61" t="str">
        <f aca="false">"Q"&amp;ROUNDUP(MONTH($B1369)/3,0)</f>
        <v>Q1</v>
      </c>
      <c r="E1369" s="61" t="n">
        <f aca="false">MONTH($B1369)</f>
        <v>2</v>
      </c>
      <c r="F1369" s="61" t="str">
        <f aca="false">INDEX(Parametros!$I$5:$I$16,$E1369)</f>
        <v>Feb</v>
      </c>
      <c r="G1369" s="61" t="str">
        <f aca="false">TEXT($C1369,"0000")&amp;"-"&amp;TEXT($E1369,"00")</f>
        <v>2025-02</v>
      </c>
      <c r="H1369" s="61" t="str">
        <f aca="false">INDEX(Parametros!$C$71:$C$91,MATCH(TRIM(INDEX(Datos_Origen!$C$2:$C$2459,$Z1369)),Parametros!$B$71:$B$91,0))</f>
        <v>Cuyo</v>
      </c>
      <c r="I1369" s="61" t="str">
        <f aca="false">IF(TRIM($AD1369)="",INDEX(Parametros!$I$20:$I$24,MATCH($H1369,Parametros!$H$20:$H$24,0)),TRIM($AD1369))</f>
        <v>Mendoza</v>
      </c>
      <c r="J1369" s="61" t="str">
        <f aca="false">INDEX(Parametros!$C$95:$C$106,MATCH(TRIM(INDEX(Datos_Origen!$E$2:$E$2459,$Z1369)),Parametros!$B$95:$B$106,0))</f>
        <v>E-commerce</v>
      </c>
      <c r="K1369" s="61" t="str">
        <f aca="false">INDEX(Parametros!$C$48:$C$67,MATCH(TRIM(INDEX(Datos_Origen!$F$2:$F$2459,$Z1369)),Parametros!$B$48:$B$67,0))</f>
        <v>Accesorios</v>
      </c>
      <c r="L1369" s="61" t="str">
        <f aca="false">$K1369&amp;" "&amp;$C1369</f>
        <v>Accesorios 2025</v>
      </c>
      <c r="M1369" s="61" t="str">
        <f aca="false">TRIM(INDEX(Datos_Origen!$G$2:$G$2459,$Z1369))</f>
        <v>Mouse Inalambrico</v>
      </c>
      <c r="N1369" s="61" t="str">
        <f aca="false">$M1369&amp;" "&amp;$C1369</f>
        <v>Mouse Inalambrico 2025</v>
      </c>
      <c r="O1369" s="63" t="n">
        <f aca="false">IF(ISTEXT($AC1369),VALUE($AC1369),$AC1369)</f>
        <v>15</v>
      </c>
      <c r="P1369" s="64" t="n">
        <f aca="false">INDEX(Datos_Origen!$I$2:$I$2459,$Z1369)</f>
        <v>27.82</v>
      </c>
      <c r="Q1369" s="64" t="n">
        <f aca="false">INDEX(Datos_Origen!$J$2:$J$2459,$Z1369)</f>
        <v>13.84</v>
      </c>
      <c r="R1369" s="65" t="n">
        <f aca="false">ROUND($O1369*$P1369,2)</f>
        <v>417.3</v>
      </c>
      <c r="S1369" s="65" t="n">
        <f aca="false">ROUND($O1369*$Q1369,2)</f>
        <v>207.6</v>
      </c>
      <c r="T1369" s="65" t="n">
        <f aca="false">ROUND($R1369*SUMIFS(Parametros!$E$28:$E$43,Parametros!$B$28:$B$43,$J1369,Parametros!$C$28:$C$43,$C1369,Parametros!$D$28:$D$43,$D1369),2)</f>
        <v>28.38</v>
      </c>
      <c r="U1369" s="65" t="n">
        <f aca="false">$R1369-$S1369-$T1369</f>
        <v>181.32</v>
      </c>
      <c r="V1369" s="66" t="n">
        <f aca="false">IFERROR($U1369/$R1369,0)</f>
        <v>0.43450754852624</v>
      </c>
      <c r="W1369" s="67" t="str">
        <f aca="false">IF(AND($V1369&gt;=Parametros!$C$8,$R1369&gt;=Parametros!$C$12),"Alta rentabilidad",IF(OR($V1369&lt;Parametros!$C$11,$R1369&lt;Parametros!$C$13),"Revisar","Estandar"))</f>
        <v>Estandar</v>
      </c>
      <c r="X1369" s="67" t="str">
        <f aca="false">IF(AND($J1369="E-commerce",IFERROR($T1369/$R1369,0)&gt;Parametros!$C$14),"Alerta","OK")</f>
        <v>Alerta</v>
      </c>
      <c r="Y1369" s="61" t="str">
        <f aca="false">IF($R1369&gt;=Parametros!$C$12,"Alto",IF($R1369&lt;Parametros!$C$13,"Bajo","Medio"))</f>
        <v>Medio</v>
      </c>
      <c r="Z1369" s="61" t="n">
        <v>1993</v>
      </c>
      <c r="AA1369" s="61" t="str">
        <f aca="false">IF(MATCH($A1369,Datos_Origen!$A$2:$A$2459,0)=$Z1369,"OK","REVISAR")</f>
        <v>OK</v>
      </c>
      <c r="AB1369" s="62" t="n">
        <f aca="false">INDEX(Datos_Origen!$B$2:$B$2459,$Z1369)</f>
        <v>45707</v>
      </c>
      <c r="AC1369" s="61" t="n">
        <f aca="false">INDEX(Datos_Origen!$H$2:$H$2459,$Z1369)</f>
        <v>15</v>
      </c>
      <c r="AD1369" s="61" t="str">
        <f aca="false">INDEX(Datos_Origen!$D$2:$D$2459,$Z1369)&amp;""</f>
        <v>Mendoza</v>
      </c>
    </row>
    <row r="1370" customFormat="false" ht="15" hidden="false" customHeight="false" outlineLevel="0" collapsed="false">
      <c r="A1370" s="61" t="n">
        <f aca="false">INDEX(Datos_Origen!$A$2:$A$2459,$Z1370)</f>
        <v>1369</v>
      </c>
      <c r="B1370" s="62" t="n">
        <f aca="false">IF(ISNUMBER($AB1370),$AB1370,IF(MID($AB1370,5,1)="-",DATE(VALUE(LEFT($AB1370,4)),VALUE(MID($AB1370,6,2)),VALUE(RIGHT($AB1370,2))),DATE(VALUE(RIGHT($AB1370,4)),VALUE(MID($AB1370,4,2)),VALUE(LEFT($AB1370,2)))))</f>
        <v>45714</v>
      </c>
      <c r="C1370" s="61" t="n">
        <f aca="false">YEAR($B1370)</f>
        <v>2025</v>
      </c>
      <c r="D1370" s="61" t="str">
        <f aca="false">"Q"&amp;ROUNDUP(MONTH($B1370)/3,0)</f>
        <v>Q1</v>
      </c>
      <c r="E1370" s="61" t="n">
        <f aca="false">MONTH($B1370)</f>
        <v>2</v>
      </c>
      <c r="F1370" s="61" t="str">
        <f aca="false">INDEX(Parametros!$I$5:$I$16,$E1370)</f>
        <v>Feb</v>
      </c>
      <c r="G1370" s="61" t="str">
        <f aca="false">TEXT($C1370,"0000")&amp;"-"&amp;TEXT($E1370,"00")</f>
        <v>2025-02</v>
      </c>
      <c r="H1370" s="61" t="str">
        <f aca="false">INDEX(Parametros!$C$71:$C$91,MATCH(TRIM(INDEX(Datos_Origen!$C$2:$C$2459,$Z1370)),Parametros!$B$71:$B$91,0))</f>
        <v>Cuyo</v>
      </c>
      <c r="I1370" s="61" t="str">
        <f aca="false">IF(TRIM($AD1370)="",INDEX(Parametros!$I$20:$I$24,MATCH($H1370,Parametros!$H$20:$H$24,0)),TRIM($AD1370))</f>
        <v>Mendoza</v>
      </c>
      <c r="J1370" s="61" t="str">
        <f aca="false">INDEX(Parametros!$C$95:$C$106,MATCH(TRIM(INDEX(Datos_Origen!$E$2:$E$2459,$Z1370)),Parametros!$B$95:$B$106,0))</f>
        <v>Tienda fisica</v>
      </c>
      <c r="K1370" s="61" t="str">
        <f aca="false">INDEX(Parametros!$C$48:$C$67,MATCH(TRIM(INDEX(Datos_Origen!$F$2:$F$2459,$Z1370)),Parametros!$B$48:$B$67,0))</f>
        <v>Accesorios</v>
      </c>
      <c r="L1370" s="61" t="str">
        <f aca="false">$K1370&amp;" "&amp;$C1370</f>
        <v>Accesorios 2025</v>
      </c>
      <c r="M1370" s="61" t="str">
        <f aca="false">TRIM(INDEX(Datos_Origen!$G$2:$G$2459,$Z1370))</f>
        <v>Teclado Mecanico</v>
      </c>
      <c r="N1370" s="61" t="str">
        <f aca="false">$M1370&amp;" "&amp;$C1370</f>
        <v>Teclado Mecanico 2025</v>
      </c>
      <c r="O1370" s="63" t="n">
        <f aca="false">IF(ISTEXT($AC1370),VALUE($AC1370),$AC1370)</f>
        <v>24</v>
      </c>
      <c r="P1370" s="64" t="n">
        <f aca="false">INDEX(Datos_Origen!$I$2:$I$2459,$Z1370)</f>
        <v>94.39</v>
      </c>
      <c r="Q1370" s="64" t="n">
        <f aca="false">INDEX(Datos_Origen!$J$2:$J$2459,$Z1370)</f>
        <v>49.41</v>
      </c>
      <c r="R1370" s="65" t="n">
        <f aca="false">ROUND($O1370*$P1370,2)</f>
        <v>2265.36</v>
      </c>
      <c r="S1370" s="65" t="n">
        <f aca="false">ROUND($O1370*$Q1370,2)</f>
        <v>1185.84</v>
      </c>
      <c r="T1370" s="65" t="n">
        <f aca="false">ROUND($R1370*SUMIFS(Parametros!$E$28:$E$43,Parametros!$B$28:$B$43,$J1370,Parametros!$C$28:$C$43,$C1370,Parametros!$D$28:$D$43,$D1370),2)</f>
        <v>29.45</v>
      </c>
      <c r="U1370" s="65" t="n">
        <f aca="false">$R1370-$S1370-$T1370</f>
        <v>1050.07</v>
      </c>
      <c r="V1370" s="66" t="n">
        <f aca="false">IFERROR($U1370/$R1370,0)</f>
        <v>0.463533389836494</v>
      </c>
      <c r="W1370" s="67" t="str">
        <f aca="false">IF(AND($V1370&gt;=Parametros!$C$8,$R1370&gt;=Parametros!$C$12),"Alta rentabilidad",IF(OR($V1370&lt;Parametros!$C$11,$R1370&lt;Parametros!$C$13),"Revisar","Estandar"))</f>
        <v>Estandar</v>
      </c>
      <c r="X1370" s="67" t="str">
        <f aca="false">IF(AND($J1370="E-commerce",IFERROR($T1370/$R1370,0)&gt;Parametros!$C$14),"Alerta","OK")</f>
        <v>OK</v>
      </c>
      <c r="Y1370" s="61" t="str">
        <f aca="false">IF($R1370&gt;=Parametros!$C$12,"Alto",IF($R1370&lt;Parametros!$C$13,"Bajo","Medio"))</f>
        <v>Medio</v>
      </c>
      <c r="Z1370" s="61" t="n">
        <v>1120</v>
      </c>
      <c r="AA1370" s="61" t="str">
        <f aca="false">IF(MATCH($A1370,Datos_Origen!$A$2:$A$2459,0)=$Z1370,"OK","REVISAR")</f>
        <v>OK</v>
      </c>
      <c r="AB1370" s="62" t="n">
        <f aca="false">INDEX(Datos_Origen!$B$2:$B$2459,$Z1370)</f>
        <v>45714</v>
      </c>
      <c r="AC1370" s="61" t="n">
        <f aca="false">INDEX(Datos_Origen!$H$2:$H$2459,$Z1370)</f>
        <v>24</v>
      </c>
      <c r="AD1370" s="61" t="str">
        <f aca="false">INDEX(Datos_Origen!$D$2:$D$2459,$Z1370)&amp;""</f>
        <v>Mendoza</v>
      </c>
    </row>
    <row r="1371" customFormat="false" ht="15" hidden="false" customHeight="false" outlineLevel="0" collapsed="false">
      <c r="A1371" s="61" t="n">
        <f aca="false">INDEX(Datos_Origen!$A$2:$A$2459,$Z1371)</f>
        <v>1370</v>
      </c>
      <c r="B1371" s="62" t="n">
        <f aca="false">IF(ISNUMBER($AB1371),$AB1371,IF(MID($AB1371,5,1)="-",DATE(VALUE(LEFT($AB1371,4)),VALUE(MID($AB1371,6,2)),VALUE(RIGHT($AB1371,2))),DATE(VALUE(RIGHT($AB1371,4)),VALUE(MID($AB1371,4,2)),VALUE(LEFT($AB1371,2)))))</f>
        <v>45694</v>
      </c>
      <c r="C1371" s="61" t="n">
        <f aca="false">YEAR($B1371)</f>
        <v>2025</v>
      </c>
      <c r="D1371" s="61" t="str">
        <f aca="false">"Q"&amp;ROUNDUP(MONTH($B1371)/3,0)</f>
        <v>Q1</v>
      </c>
      <c r="E1371" s="61" t="n">
        <f aca="false">MONTH($B1371)</f>
        <v>2</v>
      </c>
      <c r="F1371" s="61" t="str">
        <f aca="false">INDEX(Parametros!$I$5:$I$16,$E1371)</f>
        <v>Feb</v>
      </c>
      <c r="G1371" s="61" t="str">
        <f aca="false">TEXT($C1371,"0000")&amp;"-"&amp;TEXT($E1371,"00")</f>
        <v>2025-02</v>
      </c>
      <c r="H1371" s="61" t="str">
        <f aca="false">INDEX(Parametros!$C$71:$C$91,MATCH(TRIM(INDEX(Datos_Origen!$C$2:$C$2459,$Z1371)),Parametros!$B$71:$B$91,0))</f>
        <v>Cuyo</v>
      </c>
      <c r="I1371" s="61" t="str">
        <f aca="false">IF(TRIM($AD1371)="",INDEX(Parametros!$I$20:$I$24,MATCH($H1371,Parametros!$H$20:$H$24,0)),TRIM($AD1371))</f>
        <v>Mendoza</v>
      </c>
      <c r="J1371" s="61" t="str">
        <f aca="false">INDEX(Parametros!$C$95:$C$106,MATCH(TRIM(INDEX(Datos_Origen!$E$2:$E$2459,$Z1371)),Parametros!$B$95:$B$106,0))</f>
        <v>E-commerce</v>
      </c>
      <c r="K1371" s="61" t="str">
        <f aca="false">INDEX(Parametros!$C$48:$C$67,MATCH(TRIM(INDEX(Datos_Origen!$F$2:$F$2459,$Z1371)),Parametros!$B$48:$B$67,0))</f>
        <v>Accesorios</v>
      </c>
      <c r="L1371" s="61" t="str">
        <f aca="false">$K1371&amp;" "&amp;$C1371</f>
        <v>Accesorios 2025</v>
      </c>
      <c r="M1371" s="61" t="str">
        <f aca="false">TRIM(INDEX(Datos_Origen!$G$2:$G$2459,$Z1371))</f>
        <v>Teclado Mecanico</v>
      </c>
      <c r="N1371" s="61" t="str">
        <f aca="false">$M1371&amp;" "&amp;$C1371</f>
        <v>Teclado Mecanico 2025</v>
      </c>
      <c r="O1371" s="63" t="n">
        <f aca="false">IF(ISTEXT($AC1371),VALUE($AC1371),$AC1371)</f>
        <v>17</v>
      </c>
      <c r="P1371" s="64" t="n">
        <f aca="false">INDEX(Datos_Origen!$I$2:$I$2459,$Z1371)</f>
        <v>94.39</v>
      </c>
      <c r="Q1371" s="64" t="n">
        <f aca="false">INDEX(Datos_Origen!$J$2:$J$2459,$Z1371)</f>
        <v>49.41</v>
      </c>
      <c r="R1371" s="65" t="n">
        <f aca="false">ROUND($O1371*$P1371,2)</f>
        <v>1604.63</v>
      </c>
      <c r="S1371" s="65" t="n">
        <f aca="false">ROUND($O1371*$Q1371,2)</f>
        <v>839.97</v>
      </c>
      <c r="T1371" s="65" t="n">
        <f aca="false">ROUND($R1371*SUMIFS(Parametros!$E$28:$E$43,Parametros!$B$28:$B$43,$J1371,Parametros!$C$28:$C$43,$C1371,Parametros!$D$28:$D$43,$D1371),2)</f>
        <v>109.11</v>
      </c>
      <c r="U1371" s="65" t="n">
        <f aca="false">$R1371-$S1371-$T1371</f>
        <v>655.55</v>
      </c>
      <c r="V1371" s="66" t="n">
        <f aca="false">IFERROR($U1371/$R1371,0)</f>
        <v>0.40853654736606</v>
      </c>
      <c r="W1371" s="67" t="str">
        <f aca="false">IF(AND($V1371&gt;=Parametros!$C$8,$R1371&gt;=Parametros!$C$12),"Alta rentabilidad",IF(OR($V1371&lt;Parametros!$C$11,$R1371&lt;Parametros!$C$13),"Revisar","Estandar"))</f>
        <v>Estandar</v>
      </c>
      <c r="X1371" s="67" t="str">
        <f aca="false">IF(AND($J1371="E-commerce",IFERROR($T1371/$R1371,0)&gt;Parametros!$C$14),"Alerta","OK")</f>
        <v>Alerta</v>
      </c>
      <c r="Y1371" s="61" t="str">
        <f aca="false">IF($R1371&gt;=Parametros!$C$12,"Alto",IF($R1371&lt;Parametros!$C$13,"Bajo","Medio"))</f>
        <v>Medio</v>
      </c>
      <c r="Z1371" s="61" t="n">
        <v>2339</v>
      </c>
      <c r="AA1371" s="61" t="str">
        <f aca="false">IF(MATCH($A1371,Datos_Origen!$A$2:$A$2459,0)=$Z1371,"OK","REVISAR")</f>
        <v>OK</v>
      </c>
      <c r="AB1371" s="62" t="n">
        <f aca="false">INDEX(Datos_Origen!$B$2:$B$2459,$Z1371)</f>
        <v>45694</v>
      </c>
      <c r="AC1371" s="61" t="n">
        <f aca="false">INDEX(Datos_Origen!$H$2:$H$2459,$Z1371)</f>
        <v>17</v>
      </c>
      <c r="AD1371" s="61" t="str">
        <f aca="false">INDEX(Datos_Origen!$D$2:$D$2459,$Z1371)&amp;""</f>
        <v>Mendoza</v>
      </c>
    </row>
    <row r="1372" customFormat="false" ht="15" hidden="false" customHeight="false" outlineLevel="0" collapsed="false">
      <c r="A1372" s="61" t="n">
        <f aca="false">INDEX(Datos_Origen!$A$2:$A$2459,$Z1372)</f>
        <v>1371</v>
      </c>
      <c r="B1372" s="62" t="n">
        <f aca="false">IF(ISNUMBER($AB1372),$AB1372,IF(MID($AB1372,5,1)="-",DATE(VALUE(LEFT($AB1372,4)),VALUE(MID($AB1372,6,2)),VALUE(RIGHT($AB1372,2))),DATE(VALUE(RIGHT($AB1372,4)),VALUE(MID($AB1372,4,2)),VALUE(LEFT($AB1372,2)))))</f>
        <v>45701</v>
      </c>
      <c r="C1372" s="61" t="n">
        <f aca="false">YEAR($B1372)</f>
        <v>2025</v>
      </c>
      <c r="D1372" s="61" t="str">
        <f aca="false">"Q"&amp;ROUNDUP(MONTH($B1372)/3,0)</f>
        <v>Q1</v>
      </c>
      <c r="E1372" s="61" t="n">
        <f aca="false">MONTH($B1372)</f>
        <v>2</v>
      </c>
      <c r="F1372" s="61" t="str">
        <f aca="false">INDEX(Parametros!$I$5:$I$16,$E1372)</f>
        <v>Feb</v>
      </c>
      <c r="G1372" s="61" t="str">
        <f aca="false">TEXT($C1372,"0000")&amp;"-"&amp;TEXT($E1372,"00")</f>
        <v>2025-02</v>
      </c>
      <c r="H1372" s="61" t="str">
        <f aca="false">INDEX(Parametros!$C$71:$C$91,MATCH(TRIM(INDEX(Datos_Origen!$C$2:$C$2459,$Z1372)),Parametros!$B$71:$B$91,0))</f>
        <v>Cuyo</v>
      </c>
      <c r="I1372" s="61" t="str">
        <f aca="false">IF(TRIM($AD1372)="",INDEX(Parametros!$I$20:$I$24,MATCH($H1372,Parametros!$H$20:$H$24,0)),TRIM($AD1372))</f>
        <v>Mendoza</v>
      </c>
      <c r="J1372" s="61" t="str">
        <f aca="false">INDEX(Parametros!$C$95:$C$106,MATCH(TRIM(INDEX(Datos_Origen!$E$2:$E$2459,$Z1372)),Parametros!$B$95:$B$106,0))</f>
        <v>Tienda fisica</v>
      </c>
      <c r="K1372" s="61" t="str">
        <f aca="false">INDEX(Parametros!$C$48:$C$67,MATCH(TRIM(INDEX(Datos_Origen!$F$2:$F$2459,$Z1372)),Parametros!$B$48:$B$67,0))</f>
        <v>Accesorios</v>
      </c>
      <c r="L1372" s="61" t="str">
        <f aca="false">$K1372&amp;" "&amp;$C1372</f>
        <v>Accesorios 2025</v>
      </c>
      <c r="M1372" s="61" t="str">
        <f aca="false">TRIM(INDEX(Datos_Origen!$G$2:$G$2459,$Z1372))</f>
        <v>Webcam Full HD</v>
      </c>
      <c r="N1372" s="61" t="str">
        <f aca="false">$M1372&amp;" "&amp;$C1372</f>
        <v>Webcam Full HD 2025</v>
      </c>
      <c r="O1372" s="63" t="n">
        <f aca="false">IF(ISTEXT($AC1372),VALUE($AC1372),$AC1372)</f>
        <v>23</v>
      </c>
      <c r="P1372" s="64" t="n">
        <f aca="false">INDEX(Datos_Origen!$I$2:$I$2459,$Z1372)</f>
        <v>64.58</v>
      </c>
      <c r="Q1372" s="64" t="n">
        <f aca="false">INDEX(Datos_Origen!$J$2:$J$2459,$Z1372)</f>
        <v>36.49</v>
      </c>
      <c r="R1372" s="65" t="n">
        <f aca="false">ROUND($O1372*$P1372,2)</f>
        <v>1485.34</v>
      </c>
      <c r="S1372" s="65" t="n">
        <f aca="false">ROUND($O1372*$Q1372,2)</f>
        <v>839.27</v>
      </c>
      <c r="T1372" s="65" t="n">
        <f aca="false">ROUND($R1372*SUMIFS(Parametros!$E$28:$E$43,Parametros!$B$28:$B$43,$J1372,Parametros!$C$28:$C$43,$C1372,Parametros!$D$28:$D$43,$D1372),2)</f>
        <v>19.31</v>
      </c>
      <c r="U1372" s="65" t="n">
        <f aca="false">$R1372-$S1372-$T1372</f>
        <v>626.76</v>
      </c>
      <c r="V1372" s="66" t="n">
        <f aca="false">IFERROR($U1372/$R1372,0)</f>
        <v>0.421963994775607</v>
      </c>
      <c r="W1372" s="67" t="str">
        <f aca="false">IF(AND($V1372&gt;=Parametros!$C$8,$R1372&gt;=Parametros!$C$12),"Alta rentabilidad",IF(OR($V1372&lt;Parametros!$C$11,$R1372&lt;Parametros!$C$13),"Revisar","Estandar"))</f>
        <v>Estandar</v>
      </c>
      <c r="X1372" s="67" t="str">
        <f aca="false">IF(AND($J1372="E-commerce",IFERROR($T1372/$R1372,0)&gt;Parametros!$C$14),"Alerta","OK")</f>
        <v>OK</v>
      </c>
      <c r="Y1372" s="61" t="str">
        <f aca="false">IF($R1372&gt;=Parametros!$C$12,"Alto",IF($R1372&lt;Parametros!$C$13,"Bajo","Medio"))</f>
        <v>Medio</v>
      </c>
      <c r="Z1372" s="61" t="n">
        <v>121</v>
      </c>
      <c r="AA1372" s="61" t="str">
        <f aca="false">IF(MATCH($A1372,Datos_Origen!$A$2:$A$2459,0)=$Z1372,"OK","REVISAR")</f>
        <v>OK</v>
      </c>
      <c r="AB1372" s="62" t="n">
        <f aca="false">INDEX(Datos_Origen!$B$2:$B$2459,$Z1372)</f>
        <v>45701</v>
      </c>
      <c r="AC1372" s="61" t="n">
        <f aca="false">INDEX(Datos_Origen!$H$2:$H$2459,$Z1372)</f>
        <v>23</v>
      </c>
      <c r="AD1372" s="61" t="str">
        <f aca="false">INDEX(Datos_Origen!$D$2:$D$2459,$Z1372)&amp;""</f>
        <v>Mendoza</v>
      </c>
    </row>
    <row r="1373" customFormat="false" ht="15" hidden="false" customHeight="false" outlineLevel="0" collapsed="false">
      <c r="A1373" s="61" t="n">
        <f aca="false">INDEX(Datos_Origen!$A$2:$A$2459,$Z1373)</f>
        <v>1372</v>
      </c>
      <c r="B1373" s="62" t="n">
        <f aca="false">IF(ISNUMBER($AB1373),$AB1373,IF(MID($AB1373,5,1)="-",DATE(VALUE(LEFT($AB1373,4)),VALUE(MID($AB1373,6,2)),VALUE(RIGHT($AB1373,2))),DATE(VALUE(RIGHT($AB1373,4)),VALUE(MID($AB1373,4,2)),VALUE(LEFT($AB1373,2)))))</f>
        <v>45708</v>
      </c>
      <c r="C1373" s="61" t="n">
        <f aca="false">YEAR($B1373)</f>
        <v>2025</v>
      </c>
      <c r="D1373" s="61" t="str">
        <f aca="false">"Q"&amp;ROUNDUP(MONTH($B1373)/3,0)</f>
        <v>Q1</v>
      </c>
      <c r="E1373" s="61" t="n">
        <f aca="false">MONTH($B1373)</f>
        <v>2</v>
      </c>
      <c r="F1373" s="61" t="str">
        <f aca="false">INDEX(Parametros!$I$5:$I$16,$E1373)</f>
        <v>Feb</v>
      </c>
      <c r="G1373" s="61" t="str">
        <f aca="false">TEXT($C1373,"0000")&amp;"-"&amp;TEXT($E1373,"00")</f>
        <v>2025-02</v>
      </c>
      <c r="H1373" s="61" t="str">
        <f aca="false">INDEX(Parametros!$C$71:$C$91,MATCH(TRIM(INDEX(Datos_Origen!$C$2:$C$2459,$Z1373)),Parametros!$B$71:$B$91,0))</f>
        <v>Cuyo</v>
      </c>
      <c r="I1373" s="61" t="str">
        <f aca="false">IF(TRIM($AD1373)="",INDEX(Parametros!$I$20:$I$24,MATCH($H1373,Parametros!$H$20:$H$24,0)),TRIM($AD1373))</f>
        <v>Mendoza</v>
      </c>
      <c r="J1373" s="61" t="str">
        <f aca="false">INDEX(Parametros!$C$95:$C$106,MATCH(TRIM(INDEX(Datos_Origen!$E$2:$E$2459,$Z1373)),Parametros!$B$95:$B$106,0))</f>
        <v>E-commerce</v>
      </c>
      <c r="K1373" s="61" t="str">
        <f aca="false">INDEX(Parametros!$C$48:$C$67,MATCH(TRIM(INDEX(Datos_Origen!$F$2:$F$2459,$Z1373)),Parametros!$B$48:$B$67,0))</f>
        <v>Accesorios</v>
      </c>
      <c r="L1373" s="61" t="str">
        <f aca="false">$K1373&amp;" "&amp;$C1373</f>
        <v>Accesorios 2025</v>
      </c>
      <c r="M1373" s="61" t="str">
        <f aca="false">TRIM(INDEX(Datos_Origen!$G$2:$G$2459,$Z1373))</f>
        <v>Webcam Full HD</v>
      </c>
      <c r="N1373" s="61" t="str">
        <f aca="false">$M1373&amp;" "&amp;$C1373</f>
        <v>Webcam Full HD 2025</v>
      </c>
      <c r="O1373" s="63" t="n">
        <f aca="false">IF(ISTEXT($AC1373),VALUE($AC1373),$AC1373)</f>
        <v>18</v>
      </c>
      <c r="P1373" s="64" t="n">
        <f aca="false">INDEX(Datos_Origen!$I$2:$I$2459,$Z1373)</f>
        <v>64.58</v>
      </c>
      <c r="Q1373" s="64" t="n">
        <f aca="false">INDEX(Datos_Origen!$J$2:$J$2459,$Z1373)</f>
        <v>36.49</v>
      </c>
      <c r="R1373" s="65" t="n">
        <f aca="false">ROUND($O1373*$P1373,2)</f>
        <v>1162.44</v>
      </c>
      <c r="S1373" s="65" t="n">
        <f aca="false">ROUND($O1373*$Q1373,2)</f>
        <v>656.82</v>
      </c>
      <c r="T1373" s="65" t="n">
        <f aca="false">ROUND($R1373*SUMIFS(Parametros!$E$28:$E$43,Parametros!$B$28:$B$43,$J1373,Parametros!$C$28:$C$43,$C1373,Parametros!$D$28:$D$43,$D1373),2)</f>
        <v>79.05</v>
      </c>
      <c r="U1373" s="65" t="n">
        <f aca="false">$R1373-$S1373-$T1373</f>
        <v>426.57</v>
      </c>
      <c r="V1373" s="66" t="n">
        <f aca="false">IFERROR($U1373/$R1373,0)</f>
        <v>0.366960875400021</v>
      </c>
      <c r="W1373" s="67" t="str">
        <f aca="false">IF(AND($V1373&gt;=Parametros!$C$8,$R1373&gt;=Parametros!$C$12),"Alta rentabilidad",IF(OR($V1373&lt;Parametros!$C$11,$R1373&lt;Parametros!$C$13),"Revisar","Estandar"))</f>
        <v>Estandar</v>
      </c>
      <c r="X1373" s="67" t="str">
        <f aca="false">IF(AND($J1373="E-commerce",IFERROR($T1373/$R1373,0)&gt;Parametros!$C$14),"Alerta","OK")</f>
        <v>Alerta</v>
      </c>
      <c r="Y1373" s="61" t="str">
        <f aca="false">IF($R1373&gt;=Parametros!$C$12,"Alto",IF($R1373&lt;Parametros!$C$13,"Bajo","Medio"))</f>
        <v>Medio</v>
      </c>
      <c r="Z1373" s="61" t="n">
        <v>1458</v>
      </c>
      <c r="AA1373" s="61" t="str">
        <f aca="false">IF(MATCH($A1373,Datos_Origen!$A$2:$A$2459,0)=$Z1373,"OK","REVISAR")</f>
        <v>OK</v>
      </c>
      <c r="AB1373" s="62" t="n">
        <f aca="false">INDEX(Datos_Origen!$B$2:$B$2459,$Z1373)</f>
        <v>45708</v>
      </c>
      <c r="AC1373" s="61" t="n">
        <f aca="false">INDEX(Datos_Origen!$H$2:$H$2459,$Z1373)</f>
        <v>18</v>
      </c>
      <c r="AD1373" s="61" t="str">
        <f aca="false">INDEX(Datos_Origen!$D$2:$D$2459,$Z1373)&amp;""</f>
        <v>Mendoza</v>
      </c>
    </row>
    <row r="1374" customFormat="false" ht="15" hidden="false" customHeight="false" outlineLevel="0" collapsed="false">
      <c r="A1374" s="61" t="n">
        <f aca="false">INDEX(Datos_Origen!$A$2:$A$2459,$Z1374)</f>
        <v>1373</v>
      </c>
      <c r="B1374" s="62" t="n">
        <f aca="false">IF(ISNUMBER($AB1374),$AB1374,IF(MID($AB1374,5,1)="-",DATE(VALUE(LEFT($AB1374,4)),VALUE(MID($AB1374,6,2)),VALUE(RIGHT($AB1374,2))),DATE(VALUE(RIGHT($AB1374,4)),VALUE(MID($AB1374,4,2)),VALUE(LEFT($AB1374,2)))))</f>
        <v>45715</v>
      </c>
      <c r="C1374" s="61" t="n">
        <f aca="false">YEAR($B1374)</f>
        <v>2025</v>
      </c>
      <c r="D1374" s="61" t="str">
        <f aca="false">"Q"&amp;ROUNDUP(MONTH($B1374)/3,0)</f>
        <v>Q1</v>
      </c>
      <c r="E1374" s="61" t="n">
        <f aca="false">MONTH($B1374)</f>
        <v>2</v>
      </c>
      <c r="F1374" s="61" t="str">
        <f aca="false">INDEX(Parametros!$I$5:$I$16,$E1374)</f>
        <v>Feb</v>
      </c>
      <c r="G1374" s="61" t="str">
        <f aca="false">TEXT($C1374,"0000")&amp;"-"&amp;TEXT($E1374,"00")</f>
        <v>2025-02</v>
      </c>
      <c r="H1374" s="61" t="str">
        <f aca="false">INDEX(Parametros!$C$71:$C$91,MATCH(TRIM(INDEX(Datos_Origen!$C$2:$C$2459,$Z1374)),Parametros!$B$71:$B$91,0))</f>
        <v>Cuyo</v>
      </c>
      <c r="I1374" s="61" t="str">
        <f aca="false">IF(TRIM($AD1374)="",INDEX(Parametros!$I$20:$I$24,MATCH($H1374,Parametros!$H$20:$H$24,0)),TRIM($AD1374))</f>
        <v>Mendoza</v>
      </c>
      <c r="J1374" s="61" t="str">
        <f aca="false">INDEX(Parametros!$C$95:$C$106,MATCH(TRIM(INDEX(Datos_Origen!$E$2:$E$2459,$Z1374)),Parametros!$B$95:$B$106,0))</f>
        <v>Tienda fisica</v>
      </c>
      <c r="K1374" s="61" t="str">
        <f aca="false">INDEX(Parametros!$C$48:$C$67,MATCH(TRIM(INDEX(Datos_Origen!$F$2:$F$2459,$Z1374)),Parametros!$B$48:$B$67,0))</f>
        <v>Audio</v>
      </c>
      <c r="L1374" s="61" t="str">
        <f aca="false">$K1374&amp;" "&amp;$C1374</f>
        <v>Audio 2025</v>
      </c>
      <c r="M1374" s="61" t="str">
        <f aca="false">TRIM(INDEX(Datos_Origen!$G$2:$G$2459,$Z1374))</f>
        <v>Auriculares BT Pro</v>
      </c>
      <c r="N1374" s="61" t="str">
        <f aca="false">$M1374&amp;" "&amp;$C1374</f>
        <v>Auriculares BT Pro 2025</v>
      </c>
      <c r="O1374" s="63" t="n">
        <f aca="false">IF(ISTEXT($AC1374),VALUE($AC1374),$AC1374)</f>
        <v>12</v>
      </c>
      <c r="P1374" s="64" t="n">
        <f aca="false">INDEX(Datos_Origen!$I$2:$I$2459,$Z1374)</f>
        <v>119.23</v>
      </c>
      <c r="Q1374" s="64" t="n">
        <f aca="false">INDEX(Datos_Origen!$J$2:$J$2459,$Z1374)</f>
        <v>65.51</v>
      </c>
      <c r="R1374" s="65" t="n">
        <f aca="false">ROUND($O1374*$P1374,2)</f>
        <v>1430.76</v>
      </c>
      <c r="S1374" s="65" t="n">
        <f aca="false">ROUND($O1374*$Q1374,2)</f>
        <v>786.12</v>
      </c>
      <c r="T1374" s="65" t="n">
        <f aca="false">ROUND($R1374*SUMIFS(Parametros!$E$28:$E$43,Parametros!$B$28:$B$43,$J1374,Parametros!$C$28:$C$43,$C1374,Parametros!$D$28:$D$43,$D1374),2)</f>
        <v>18.6</v>
      </c>
      <c r="U1374" s="65" t="n">
        <f aca="false">$R1374-$S1374-$T1374</f>
        <v>626.04</v>
      </c>
      <c r="V1374" s="66" t="n">
        <f aca="false">IFERROR($U1374/$R1374,0)</f>
        <v>0.437557661662333</v>
      </c>
      <c r="W1374" s="67" t="str">
        <f aca="false">IF(AND($V1374&gt;=Parametros!$C$8,$R1374&gt;=Parametros!$C$12),"Alta rentabilidad",IF(OR($V1374&lt;Parametros!$C$11,$R1374&lt;Parametros!$C$13),"Revisar","Estandar"))</f>
        <v>Estandar</v>
      </c>
      <c r="X1374" s="67" t="str">
        <f aca="false">IF(AND($J1374="E-commerce",IFERROR($T1374/$R1374,0)&gt;Parametros!$C$14),"Alerta","OK")</f>
        <v>OK</v>
      </c>
      <c r="Y1374" s="61" t="str">
        <f aca="false">IF($R1374&gt;=Parametros!$C$12,"Alto",IF($R1374&lt;Parametros!$C$13,"Bajo","Medio"))</f>
        <v>Medio</v>
      </c>
      <c r="Z1374" s="61" t="n">
        <v>457</v>
      </c>
      <c r="AA1374" s="61" t="str">
        <f aca="false">IF(MATCH($A1374,Datos_Origen!$A$2:$A$2459,0)=$Z1374,"OK","REVISAR")</f>
        <v>OK</v>
      </c>
      <c r="AB1374" s="61" t="str">
        <f aca="false">INDEX(Datos_Origen!$B$2:$B$2459,$Z1374)</f>
        <v>27/02/2025</v>
      </c>
      <c r="AC1374" s="61" t="n">
        <f aca="false">INDEX(Datos_Origen!$H$2:$H$2459,$Z1374)</f>
        <v>12</v>
      </c>
      <c r="AD1374" s="61" t="str">
        <f aca="false">INDEX(Datos_Origen!$D$2:$D$2459,$Z1374)&amp;""</f>
        <v>Mendoza</v>
      </c>
    </row>
    <row r="1375" customFormat="false" ht="15" hidden="false" customHeight="false" outlineLevel="0" collapsed="false">
      <c r="A1375" s="61" t="n">
        <f aca="false">INDEX(Datos_Origen!$A$2:$A$2459,$Z1375)</f>
        <v>1374</v>
      </c>
      <c r="B1375" s="62" t="n">
        <f aca="false">IF(ISNUMBER($AB1375),$AB1375,IF(MID($AB1375,5,1)="-",DATE(VALUE(LEFT($AB1375,4)),VALUE(MID($AB1375,6,2)),VALUE(RIGHT($AB1375,2))),DATE(VALUE(RIGHT($AB1375,4)),VALUE(MID($AB1375,4,2)),VALUE(LEFT($AB1375,2)))))</f>
        <v>45695</v>
      </c>
      <c r="C1375" s="61" t="n">
        <f aca="false">YEAR($B1375)</f>
        <v>2025</v>
      </c>
      <c r="D1375" s="61" t="str">
        <f aca="false">"Q"&amp;ROUNDUP(MONTH($B1375)/3,0)</f>
        <v>Q1</v>
      </c>
      <c r="E1375" s="61" t="n">
        <f aca="false">MONTH($B1375)</f>
        <v>2</v>
      </c>
      <c r="F1375" s="61" t="str">
        <f aca="false">INDEX(Parametros!$I$5:$I$16,$E1375)</f>
        <v>Feb</v>
      </c>
      <c r="G1375" s="61" t="str">
        <f aca="false">TEXT($C1375,"0000")&amp;"-"&amp;TEXT($E1375,"00")</f>
        <v>2025-02</v>
      </c>
      <c r="H1375" s="61" t="str">
        <f aca="false">INDEX(Parametros!$C$71:$C$91,MATCH(TRIM(INDEX(Datos_Origen!$C$2:$C$2459,$Z1375)),Parametros!$B$71:$B$91,0))</f>
        <v>Cuyo</v>
      </c>
      <c r="I1375" s="61" t="str">
        <f aca="false">IF(TRIM($AD1375)="",INDEX(Parametros!$I$20:$I$24,MATCH($H1375,Parametros!$H$20:$H$24,0)),TRIM($AD1375))</f>
        <v>Mendoza</v>
      </c>
      <c r="J1375" s="61" t="str">
        <f aca="false">INDEX(Parametros!$C$95:$C$106,MATCH(TRIM(INDEX(Datos_Origen!$E$2:$E$2459,$Z1375)),Parametros!$B$95:$B$106,0))</f>
        <v>E-commerce</v>
      </c>
      <c r="K1375" s="61" t="str">
        <f aca="false">INDEX(Parametros!$C$48:$C$67,MATCH(TRIM(INDEX(Datos_Origen!$F$2:$F$2459,$Z1375)),Parametros!$B$48:$B$67,0))</f>
        <v>Audio</v>
      </c>
      <c r="L1375" s="61" t="str">
        <f aca="false">$K1375&amp;" "&amp;$C1375</f>
        <v>Audio 2025</v>
      </c>
      <c r="M1375" s="61" t="str">
        <f aca="false">TRIM(INDEX(Datos_Origen!$G$2:$G$2459,$Z1375))</f>
        <v>Auriculares BT Pro</v>
      </c>
      <c r="N1375" s="61" t="str">
        <f aca="false">$M1375&amp;" "&amp;$C1375</f>
        <v>Auriculares BT Pro 2025</v>
      </c>
      <c r="O1375" s="63" t="n">
        <f aca="false">IF(ISTEXT($AC1375),VALUE($AC1375),$AC1375)</f>
        <v>8</v>
      </c>
      <c r="P1375" s="64" t="n">
        <f aca="false">INDEX(Datos_Origen!$I$2:$I$2459,$Z1375)</f>
        <v>119.23</v>
      </c>
      <c r="Q1375" s="64" t="n">
        <f aca="false">INDEX(Datos_Origen!$J$2:$J$2459,$Z1375)</f>
        <v>65.51</v>
      </c>
      <c r="R1375" s="65" t="n">
        <f aca="false">ROUND($O1375*$P1375,2)</f>
        <v>953.84</v>
      </c>
      <c r="S1375" s="65" t="n">
        <f aca="false">ROUND($O1375*$Q1375,2)</f>
        <v>524.08</v>
      </c>
      <c r="T1375" s="65" t="n">
        <f aca="false">ROUND($R1375*SUMIFS(Parametros!$E$28:$E$43,Parametros!$B$28:$B$43,$J1375,Parametros!$C$28:$C$43,$C1375,Parametros!$D$28:$D$43,$D1375),2)</f>
        <v>64.86</v>
      </c>
      <c r="U1375" s="65" t="n">
        <f aca="false">$R1375-$S1375-$T1375</f>
        <v>364.9</v>
      </c>
      <c r="V1375" s="66" t="n">
        <f aca="false">IFERROR($U1375/$R1375,0)</f>
        <v>0.382558919734966</v>
      </c>
      <c r="W1375" s="67" t="str">
        <f aca="false">IF(AND($V1375&gt;=Parametros!$C$8,$R1375&gt;=Parametros!$C$12),"Alta rentabilidad",IF(OR($V1375&lt;Parametros!$C$11,$R1375&lt;Parametros!$C$13),"Revisar","Estandar"))</f>
        <v>Estandar</v>
      </c>
      <c r="X1375" s="67" t="str">
        <f aca="false">IF(AND($J1375="E-commerce",IFERROR($T1375/$R1375,0)&gt;Parametros!$C$14),"Alerta","OK")</f>
        <v>Alerta</v>
      </c>
      <c r="Y1375" s="61" t="str">
        <f aca="false">IF($R1375&gt;=Parametros!$C$12,"Alto",IF($R1375&lt;Parametros!$C$13,"Bajo","Medio"))</f>
        <v>Medio</v>
      </c>
      <c r="Z1375" s="61" t="n">
        <v>127</v>
      </c>
      <c r="AA1375" s="61" t="str">
        <f aca="false">IF(MATCH($A1375,Datos_Origen!$A$2:$A$2459,0)=$Z1375,"OK","REVISAR")</f>
        <v>OK</v>
      </c>
      <c r="AB1375" s="61" t="str">
        <f aca="false">INDEX(Datos_Origen!$B$2:$B$2459,$Z1375)</f>
        <v>2025-02-07</v>
      </c>
      <c r="AC1375" s="61" t="n">
        <f aca="false">INDEX(Datos_Origen!$H$2:$H$2459,$Z1375)</f>
        <v>8</v>
      </c>
      <c r="AD1375" s="61" t="str">
        <f aca="false">INDEX(Datos_Origen!$D$2:$D$2459,$Z1375)&amp;""</f>
        <v>Mendoza</v>
      </c>
    </row>
    <row r="1376" customFormat="false" ht="15" hidden="false" customHeight="false" outlineLevel="0" collapsed="false">
      <c r="A1376" s="61" t="n">
        <f aca="false">INDEX(Datos_Origen!$A$2:$A$2459,$Z1376)</f>
        <v>1375</v>
      </c>
      <c r="B1376" s="62" t="n">
        <f aca="false">IF(ISNUMBER($AB1376),$AB1376,IF(MID($AB1376,5,1)="-",DATE(VALUE(LEFT($AB1376,4)),VALUE(MID($AB1376,6,2)),VALUE(RIGHT($AB1376,2))),DATE(VALUE(RIGHT($AB1376,4)),VALUE(MID($AB1376,4,2)),VALUE(LEFT($AB1376,2)))))</f>
        <v>45702</v>
      </c>
      <c r="C1376" s="61" t="n">
        <f aca="false">YEAR($B1376)</f>
        <v>2025</v>
      </c>
      <c r="D1376" s="61" t="str">
        <f aca="false">"Q"&amp;ROUNDUP(MONTH($B1376)/3,0)</f>
        <v>Q1</v>
      </c>
      <c r="E1376" s="61" t="n">
        <f aca="false">MONTH($B1376)</f>
        <v>2</v>
      </c>
      <c r="F1376" s="61" t="str">
        <f aca="false">INDEX(Parametros!$I$5:$I$16,$E1376)</f>
        <v>Feb</v>
      </c>
      <c r="G1376" s="61" t="str">
        <f aca="false">TEXT($C1376,"0000")&amp;"-"&amp;TEXT($E1376,"00")</f>
        <v>2025-02</v>
      </c>
      <c r="H1376" s="61" t="str">
        <f aca="false">INDEX(Parametros!$C$71:$C$91,MATCH(TRIM(INDEX(Datos_Origen!$C$2:$C$2459,$Z1376)),Parametros!$B$71:$B$91,0))</f>
        <v>Cuyo</v>
      </c>
      <c r="I1376" s="61" t="str">
        <f aca="false">IF(TRIM($AD1376)="",INDEX(Parametros!$I$20:$I$24,MATCH($H1376,Parametros!$H$20:$H$24,0)),TRIM($AD1376))</f>
        <v>Mendoza</v>
      </c>
      <c r="J1376" s="61" t="str">
        <f aca="false">INDEX(Parametros!$C$95:$C$106,MATCH(TRIM(INDEX(Datos_Origen!$E$2:$E$2459,$Z1376)),Parametros!$B$95:$B$106,0))</f>
        <v>Tienda fisica</v>
      </c>
      <c r="K1376" s="61" t="str">
        <f aca="false">INDEX(Parametros!$C$48:$C$67,MATCH(TRIM(INDEX(Datos_Origen!$F$2:$F$2459,$Z1376)),Parametros!$B$48:$B$67,0))</f>
        <v>Audio</v>
      </c>
      <c r="L1376" s="61" t="str">
        <f aca="false">$K1376&amp;" "&amp;$C1376</f>
        <v>Audio 2025</v>
      </c>
      <c r="M1376" s="61" t="str">
        <f aca="false">TRIM(INDEX(Datos_Origen!$G$2:$G$2459,$Z1376))</f>
        <v>Parlante Bluetooth</v>
      </c>
      <c r="N1376" s="61" t="str">
        <f aca="false">$M1376&amp;" "&amp;$C1376</f>
        <v>Parlante Bluetooth 2025</v>
      </c>
      <c r="O1376" s="63" t="n">
        <f aca="false">IF(ISTEXT($AC1376),VALUE($AC1376),$AC1376)</f>
        <v>9</v>
      </c>
      <c r="P1376" s="64" t="n">
        <f aca="false">INDEX(Datos_Origen!$I$2:$I$2459,$Z1376)</f>
        <v>84.46</v>
      </c>
      <c r="Q1376" s="64" t="n">
        <f aca="false">INDEX(Datos_Origen!$J$2:$J$2459,$Z1376)</f>
        <v>49.47</v>
      </c>
      <c r="R1376" s="65" t="n">
        <f aca="false">ROUND($O1376*$P1376,2)</f>
        <v>760.14</v>
      </c>
      <c r="S1376" s="65" t="n">
        <f aca="false">ROUND($O1376*$Q1376,2)</f>
        <v>445.23</v>
      </c>
      <c r="T1376" s="65" t="n">
        <f aca="false">ROUND($R1376*SUMIFS(Parametros!$E$28:$E$43,Parametros!$B$28:$B$43,$J1376,Parametros!$C$28:$C$43,$C1376,Parametros!$D$28:$D$43,$D1376),2)</f>
        <v>9.88</v>
      </c>
      <c r="U1376" s="65" t="n">
        <f aca="false">$R1376-$S1376-$T1376</f>
        <v>305.03</v>
      </c>
      <c r="V1376" s="66" t="n">
        <f aca="false">IFERROR($U1376/$R1376,0)</f>
        <v>0.401281342910517</v>
      </c>
      <c r="W1376" s="67" t="str">
        <f aca="false">IF(AND($V1376&gt;=Parametros!$C$8,$R1376&gt;=Parametros!$C$12),"Alta rentabilidad",IF(OR($V1376&lt;Parametros!$C$11,$R1376&lt;Parametros!$C$13),"Revisar","Estandar"))</f>
        <v>Estandar</v>
      </c>
      <c r="X1376" s="67" t="str">
        <f aca="false">IF(AND($J1376="E-commerce",IFERROR($T1376/$R1376,0)&gt;Parametros!$C$14),"Alerta","OK")</f>
        <v>OK</v>
      </c>
      <c r="Y1376" s="61" t="str">
        <f aca="false">IF($R1376&gt;=Parametros!$C$12,"Alto",IF($R1376&lt;Parametros!$C$13,"Bajo","Medio"))</f>
        <v>Medio</v>
      </c>
      <c r="Z1376" s="61" t="n">
        <v>641</v>
      </c>
      <c r="AA1376" s="61" t="str">
        <f aca="false">IF(MATCH($A1376,Datos_Origen!$A$2:$A$2459,0)=$Z1376,"OK","REVISAR")</f>
        <v>OK</v>
      </c>
      <c r="AB1376" s="61" t="str">
        <f aca="false">INDEX(Datos_Origen!$B$2:$B$2459,$Z1376)</f>
        <v>14/02/2025</v>
      </c>
      <c r="AC1376" s="61" t="n">
        <f aca="false">INDEX(Datos_Origen!$H$2:$H$2459,$Z1376)</f>
        <v>9</v>
      </c>
      <c r="AD1376" s="61" t="str">
        <f aca="false">INDEX(Datos_Origen!$D$2:$D$2459,$Z1376)&amp;""</f>
        <v>Mendoza</v>
      </c>
    </row>
    <row r="1377" customFormat="false" ht="15" hidden="false" customHeight="false" outlineLevel="0" collapsed="false">
      <c r="A1377" s="61" t="n">
        <f aca="false">INDEX(Datos_Origen!$A$2:$A$2459,$Z1377)</f>
        <v>1376</v>
      </c>
      <c r="B1377" s="62" t="n">
        <f aca="false">IF(ISNUMBER($AB1377),$AB1377,IF(MID($AB1377,5,1)="-",DATE(VALUE(LEFT($AB1377,4)),VALUE(MID($AB1377,6,2)),VALUE(RIGHT($AB1377,2))),DATE(VALUE(RIGHT($AB1377,4)),VALUE(MID($AB1377,4,2)),VALUE(LEFT($AB1377,2)))))</f>
        <v>45709</v>
      </c>
      <c r="C1377" s="61" t="n">
        <f aca="false">YEAR($B1377)</f>
        <v>2025</v>
      </c>
      <c r="D1377" s="61" t="str">
        <f aca="false">"Q"&amp;ROUNDUP(MONTH($B1377)/3,0)</f>
        <v>Q1</v>
      </c>
      <c r="E1377" s="61" t="n">
        <f aca="false">MONTH($B1377)</f>
        <v>2</v>
      </c>
      <c r="F1377" s="61" t="str">
        <f aca="false">INDEX(Parametros!$I$5:$I$16,$E1377)</f>
        <v>Feb</v>
      </c>
      <c r="G1377" s="61" t="str">
        <f aca="false">TEXT($C1377,"0000")&amp;"-"&amp;TEXT($E1377,"00")</f>
        <v>2025-02</v>
      </c>
      <c r="H1377" s="61" t="str">
        <f aca="false">INDEX(Parametros!$C$71:$C$91,MATCH(TRIM(INDEX(Datos_Origen!$C$2:$C$2459,$Z1377)),Parametros!$B$71:$B$91,0))</f>
        <v>Cuyo</v>
      </c>
      <c r="I1377" s="61" t="str">
        <f aca="false">IF(TRIM($AD1377)="",INDEX(Parametros!$I$20:$I$24,MATCH($H1377,Parametros!$H$20:$H$24,0)),TRIM($AD1377))</f>
        <v>Mendoza</v>
      </c>
      <c r="J1377" s="61" t="str">
        <f aca="false">INDEX(Parametros!$C$95:$C$106,MATCH(TRIM(INDEX(Datos_Origen!$E$2:$E$2459,$Z1377)),Parametros!$B$95:$B$106,0))</f>
        <v>E-commerce</v>
      </c>
      <c r="K1377" s="61" t="str">
        <f aca="false">INDEX(Parametros!$C$48:$C$67,MATCH(TRIM(INDEX(Datos_Origen!$F$2:$F$2459,$Z1377)),Parametros!$B$48:$B$67,0))</f>
        <v>Audio</v>
      </c>
      <c r="L1377" s="61" t="str">
        <f aca="false">$K1377&amp;" "&amp;$C1377</f>
        <v>Audio 2025</v>
      </c>
      <c r="M1377" s="61" t="str">
        <f aca="false">TRIM(INDEX(Datos_Origen!$G$2:$G$2459,$Z1377))</f>
        <v>Parlante Bluetooth</v>
      </c>
      <c r="N1377" s="61" t="str">
        <f aca="false">$M1377&amp;" "&amp;$C1377</f>
        <v>Parlante Bluetooth 2025</v>
      </c>
      <c r="O1377" s="63" t="n">
        <f aca="false">IF(ISTEXT($AC1377),VALUE($AC1377),$AC1377)</f>
        <v>8</v>
      </c>
      <c r="P1377" s="64" t="n">
        <f aca="false">INDEX(Datos_Origen!$I$2:$I$2459,$Z1377)</f>
        <v>84.46</v>
      </c>
      <c r="Q1377" s="64" t="n">
        <f aca="false">INDEX(Datos_Origen!$J$2:$J$2459,$Z1377)</f>
        <v>49.47</v>
      </c>
      <c r="R1377" s="65" t="n">
        <f aca="false">ROUND($O1377*$P1377,2)</f>
        <v>675.68</v>
      </c>
      <c r="S1377" s="65" t="n">
        <f aca="false">ROUND($O1377*$Q1377,2)</f>
        <v>395.76</v>
      </c>
      <c r="T1377" s="65" t="n">
        <f aca="false">ROUND($R1377*SUMIFS(Parametros!$E$28:$E$43,Parametros!$B$28:$B$43,$J1377,Parametros!$C$28:$C$43,$C1377,Parametros!$D$28:$D$43,$D1377),2)</f>
        <v>45.95</v>
      </c>
      <c r="U1377" s="65" t="n">
        <f aca="false">$R1377-$S1377-$T1377</f>
        <v>233.97</v>
      </c>
      <c r="V1377" s="66" t="n">
        <f aca="false">IFERROR($U1377/$R1377,0)</f>
        <v>0.346273383850343</v>
      </c>
      <c r="W1377" s="67" t="str">
        <f aca="false">IF(AND($V1377&gt;=Parametros!$C$8,$R1377&gt;=Parametros!$C$12),"Alta rentabilidad",IF(OR($V1377&lt;Parametros!$C$11,$R1377&lt;Parametros!$C$13),"Revisar","Estandar"))</f>
        <v>Estandar</v>
      </c>
      <c r="X1377" s="67" t="str">
        <f aca="false">IF(AND($J1377="E-commerce",IFERROR($T1377/$R1377,0)&gt;Parametros!$C$14),"Alerta","OK")</f>
        <v>Alerta</v>
      </c>
      <c r="Y1377" s="61" t="str">
        <f aca="false">IF($R1377&gt;=Parametros!$C$12,"Alto",IF($R1377&lt;Parametros!$C$13,"Bajo","Medio"))</f>
        <v>Medio</v>
      </c>
      <c r="Z1377" s="61" t="n">
        <v>1449</v>
      </c>
      <c r="AA1377" s="61" t="str">
        <f aca="false">IF(MATCH($A1377,Datos_Origen!$A$2:$A$2459,0)=$Z1377,"OK","REVISAR")</f>
        <v>OK</v>
      </c>
      <c r="AB1377" s="61" t="str">
        <f aca="false">INDEX(Datos_Origen!$B$2:$B$2459,$Z1377)</f>
        <v>21/02/2025</v>
      </c>
      <c r="AC1377" s="61" t="str">
        <f aca="false">INDEX(Datos_Origen!$H$2:$H$2459,$Z1377)</f>
        <v>8</v>
      </c>
      <c r="AD1377" s="61" t="str">
        <f aca="false">INDEX(Datos_Origen!$D$2:$D$2459,$Z1377)&amp;""</f>
        <v>Mendoza</v>
      </c>
    </row>
    <row r="1378" customFormat="false" ht="15" hidden="false" customHeight="false" outlineLevel="0" collapsed="false">
      <c r="A1378" s="61" t="n">
        <f aca="false">INDEX(Datos_Origen!$A$2:$A$2459,$Z1378)</f>
        <v>1377</v>
      </c>
      <c r="B1378" s="62" t="n">
        <f aca="false">IF(ISNUMBER($AB1378),$AB1378,IF(MID($AB1378,5,1)="-",DATE(VALUE(LEFT($AB1378,4)),VALUE(MID($AB1378,6,2)),VALUE(RIGHT($AB1378,2))),DATE(VALUE(RIGHT($AB1378,4)),VALUE(MID($AB1378,4,2)),VALUE(LEFT($AB1378,2)))))</f>
        <v>45689</v>
      </c>
      <c r="C1378" s="61" t="n">
        <f aca="false">YEAR($B1378)</f>
        <v>2025</v>
      </c>
      <c r="D1378" s="61" t="str">
        <f aca="false">"Q"&amp;ROUNDUP(MONTH($B1378)/3,0)</f>
        <v>Q1</v>
      </c>
      <c r="E1378" s="61" t="n">
        <f aca="false">MONTH($B1378)</f>
        <v>2</v>
      </c>
      <c r="F1378" s="61" t="str">
        <f aca="false">INDEX(Parametros!$I$5:$I$16,$E1378)</f>
        <v>Feb</v>
      </c>
      <c r="G1378" s="61" t="str">
        <f aca="false">TEXT($C1378,"0000")&amp;"-"&amp;TEXT($E1378,"00")</f>
        <v>2025-02</v>
      </c>
      <c r="H1378" s="61" t="str">
        <f aca="false">INDEX(Parametros!$C$71:$C$91,MATCH(TRIM(INDEX(Datos_Origen!$C$2:$C$2459,$Z1378)),Parametros!$B$71:$B$91,0))</f>
        <v>Cuyo</v>
      </c>
      <c r="I1378" s="61" t="str">
        <f aca="false">IF(TRIM($AD1378)="",INDEX(Parametros!$I$20:$I$24,MATCH($H1378,Parametros!$H$20:$H$24,0)),TRIM($AD1378))</f>
        <v>Mendoza</v>
      </c>
      <c r="J1378" s="61" t="str">
        <f aca="false">INDEX(Parametros!$C$95:$C$106,MATCH(TRIM(INDEX(Datos_Origen!$E$2:$E$2459,$Z1378)),Parametros!$B$95:$B$106,0))</f>
        <v>Tienda fisica</v>
      </c>
      <c r="K1378" s="61" t="str">
        <f aca="false">INDEX(Parametros!$C$48:$C$67,MATCH(TRIM(INDEX(Datos_Origen!$F$2:$F$2459,$Z1378)),Parametros!$B$48:$B$67,0))</f>
        <v>Almacenamiento</v>
      </c>
      <c r="L1378" s="61" t="str">
        <f aca="false">$K1378&amp;" "&amp;$C1378</f>
        <v>Almacenamiento 2025</v>
      </c>
      <c r="M1378" s="61" t="str">
        <f aca="false">TRIM(INDEX(Datos_Origen!$G$2:$G$2459,$Z1378))</f>
        <v>SSD Externo 1TB</v>
      </c>
      <c r="N1378" s="61" t="str">
        <f aca="false">$M1378&amp;" "&amp;$C1378</f>
        <v>SSD Externo 1TB 2025</v>
      </c>
      <c r="O1378" s="63" t="n">
        <f aca="false">IF(ISTEXT($AC1378),VALUE($AC1378),$AC1378)</f>
        <v>16</v>
      </c>
      <c r="P1378" s="64" t="n">
        <f aca="false">INDEX(Datos_Origen!$I$2:$I$2459,$Z1378)</f>
        <v>129.17</v>
      </c>
      <c r="Q1378" s="64" t="n">
        <f aca="false">INDEX(Datos_Origen!$J$2:$J$2459,$Z1378)</f>
        <v>78.33</v>
      </c>
      <c r="R1378" s="65" t="n">
        <f aca="false">ROUND($O1378*$P1378,2)</f>
        <v>2066.72</v>
      </c>
      <c r="S1378" s="65" t="n">
        <f aca="false">ROUND($O1378*$Q1378,2)</f>
        <v>1253.28</v>
      </c>
      <c r="T1378" s="65" t="n">
        <f aca="false">ROUND($R1378*SUMIFS(Parametros!$E$28:$E$43,Parametros!$B$28:$B$43,$J1378,Parametros!$C$28:$C$43,$C1378,Parametros!$D$28:$D$43,$D1378),2)</f>
        <v>26.87</v>
      </c>
      <c r="U1378" s="65" t="n">
        <f aca="false">$R1378-$S1378-$T1378</f>
        <v>786.57</v>
      </c>
      <c r="V1378" s="66" t="n">
        <f aca="false">IFERROR($U1378/$R1378,0)</f>
        <v>0.380588565456375</v>
      </c>
      <c r="W1378" s="67" t="str">
        <f aca="false">IF(AND($V1378&gt;=Parametros!$C$8,$R1378&gt;=Parametros!$C$12),"Alta rentabilidad",IF(OR($V1378&lt;Parametros!$C$11,$R1378&lt;Parametros!$C$13),"Revisar","Estandar"))</f>
        <v>Estandar</v>
      </c>
      <c r="X1378" s="67" t="str">
        <f aca="false">IF(AND($J1378="E-commerce",IFERROR($T1378/$R1378,0)&gt;Parametros!$C$14),"Alerta","OK")</f>
        <v>OK</v>
      </c>
      <c r="Y1378" s="61" t="str">
        <f aca="false">IF($R1378&gt;=Parametros!$C$12,"Alto",IF($R1378&lt;Parametros!$C$13,"Bajo","Medio"))</f>
        <v>Medio</v>
      </c>
      <c r="Z1378" s="61" t="n">
        <v>156</v>
      </c>
      <c r="AA1378" s="61" t="str">
        <f aca="false">IF(MATCH($A1378,Datos_Origen!$A$2:$A$2459,0)=$Z1378,"OK","REVISAR")</f>
        <v>OK</v>
      </c>
      <c r="AB1378" s="62" t="n">
        <f aca="false">INDEX(Datos_Origen!$B$2:$B$2459,$Z1378)</f>
        <v>45689</v>
      </c>
      <c r="AC1378" s="61" t="n">
        <f aca="false">INDEX(Datos_Origen!$H$2:$H$2459,$Z1378)</f>
        <v>16</v>
      </c>
      <c r="AD1378" s="61" t="str">
        <f aca="false">INDEX(Datos_Origen!$D$2:$D$2459,$Z1378)&amp;""</f>
        <v/>
      </c>
    </row>
    <row r="1379" customFormat="false" ht="15" hidden="false" customHeight="false" outlineLevel="0" collapsed="false">
      <c r="A1379" s="61" t="n">
        <f aca="false">INDEX(Datos_Origen!$A$2:$A$2459,$Z1379)</f>
        <v>1378</v>
      </c>
      <c r="B1379" s="62" t="n">
        <f aca="false">IF(ISNUMBER($AB1379),$AB1379,IF(MID($AB1379,5,1)="-",DATE(VALUE(LEFT($AB1379,4)),VALUE(MID($AB1379,6,2)),VALUE(RIGHT($AB1379,2))),DATE(VALUE(RIGHT($AB1379,4)),VALUE(MID($AB1379,4,2)),VALUE(LEFT($AB1379,2)))))</f>
        <v>45696</v>
      </c>
      <c r="C1379" s="61" t="n">
        <f aca="false">YEAR($B1379)</f>
        <v>2025</v>
      </c>
      <c r="D1379" s="61" t="str">
        <f aca="false">"Q"&amp;ROUNDUP(MONTH($B1379)/3,0)</f>
        <v>Q1</v>
      </c>
      <c r="E1379" s="61" t="n">
        <f aca="false">MONTH($B1379)</f>
        <v>2</v>
      </c>
      <c r="F1379" s="61" t="str">
        <f aca="false">INDEX(Parametros!$I$5:$I$16,$E1379)</f>
        <v>Feb</v>
      </c>
      <c r="G1379" s="61" t="str">
        <f aca="false">TEXT($C1379,"0000")&amp;"-"&amp;TEXT($E1379,"00")</f>
        <v>2025-02</v>
      </c>
      <c r="H1379" s="61" t="str">
        <f aca="false">INDEX(Parametros!$C$71:$C$91,MATCH(TRIM(INDEX(Datos_Origen!$C$2:$C$2459,$Z1379)),Parametros!$B$71:$B$91,0))</f>
        <v>Cuyo</v>
      </c>
      <c r="I1379" s="61" t="str">
        <f aca="false">IF(TRIM($AD1379)="",INDEX(Parametros!$I$20:$I$24,MATCH($H1379,Parametros!$H$20:$H$24,0)),TRIM($AD1379))</f>
        <v>Mendoza</v>
      </c>
      <c r="J1379" s="61" t="str">
        <f aca="false">INDEX(Parametros!$C$95:$C$106,MATCH(TRIM(INDEX(Datos_Origen!$E$2:$E$2459,$Z1379)),Parametros!$B$95:$B$106,0))</f>
        <v>E-commerce</v>
      </c>
      <c r="K1379" s="61" t="str">
        <f aca="false">INDEX(Parametros!$C$48:$C$67,MATCH(TRIM(INDEX(Datos_Origen!$F$2:$F$2459,$Z1379)),Parametros!$B$48:$B$67,0))</f>
        <v>Almacenamiento</v>
      </c>
      <c r="L1379" s="61" t="str">
        <f aca="false">$K1379&amp;" "&amp;$C1379</f>
        <v>Almacenamiento 2025</v>
      </c>
      <c r="M1379" s="61" t="str">
        <f aca="false">TRIM(INDEX(Datos_Origen!$G$2:$G$2459,$Z1379))</f>
        <v>SSD Externo 1TB</v>
      </c>
      <c r="N1379" s="61" t="str">
        <f aca="false">$M1379&amp;" "&amp;$C1379</f>
        <v>SSD Externo 1TB 2025</v>
      </c>
      <c r="O1379" s="63" t="n">
        <f aca="false">IF(ISTEXT($AC1379),VALUE($AC1379),$AC1379)</f>
        <v>8</v>
      </c>
      <c r="P1379" s="64" t="n">
        <f aca="false">INDEX(Datos_Origen!$I$2:$I$2459,$Z1379)</f>
        <v>129.17</v>
      </c>
      <c r="Q1379" s="64" t="n">
        <f aca="false">INDEX(Datos_Origen!$J$2:$J$2459,$Z1379)</f>
        <v>78.33</v>
      </c>
      <c r="R1379" s="65" t="n">
        <f aca="false">ROUND($O1379*$P1379,2)</f>
        <v>1033.36</v>
      </c>
      <c r="S1379" s="65" t="n">
        <f aca="false">ROUND($O1379*$Q1379,2)</f>
        <v>626.64</v>
      </c>
      <c r="T1379" s="65" t="n">
        <f aca="false">ROUND($R1379*SUMIFS(Parametros!$E$28:$E$43,Parametros!$B$28:$B$43,$J1379,Parametros!$C$28:$C$43,$C1379,Parametros!$D$28:$D$43,$D1379),2)</f>
        <v>70.27</v>
      </c>
      <c r="U1379" s="65" t="n">
        <f aca="false">$R1379-$S1379-$T1379</f>
        <v>336.45</v>
      </c>
      <c r="V1379" s="66" t="n">
        <f aca="false">IFERROR($U1379/$R1379,0)</f>
        <v>0.325588371912983</v>
      </c>
      <c r="W1379" s="67" t="str">
        <f aca="false">IF(AND($V1379&gt;=Parametros!$C$8,$R1379&gt;=Parametros!$C$12),"Alta rentabilidad",IF(OR($V1379&lt;Parametros!$C$11,$R1379&lt;Parametros!$C$13),"Revisar","Estandar"))</f>
        <v>Estandar</v>
      </c>
      <c r="X1379" s="67" t="str">
        <f aca="false">IF(AND($J1379="E-commerce",IFERROR($T1379/$R1379,0)&gt;Parametros!$C$14),"Alerta","OK")</f>
        <v>Alerta</v>
      </c>
      <c r="Y1379" s="61" t="str">
        <f aca="false">IF($R1379&gt;=Parametros!$C$12,"Alto",IF($R1379&lt;Parametros!$C$13,"Bajo","Medio"))</f>
        <v>Medio</v>
      </c>
      <c r="Z1379" s="61" t="n">
        <v>794</v>
      </c>
      <c r="AA1379" s="61" t="str">
        <f aca="false">IF(MATCH($A1379,Datos_Origen!$A$2:$A$2459,0)=$Z1379,"OK","REVISAR")</f>
        <v>OK</v>
      </c>
      <c r="AB1379" s="61" t="str">
        <f aca="false">INDEX(Datos_Origen!$B$2:$B$2459,$Z1379)</f>
        <v>08/02/2025</v>
      </c>
      <c r="AC1379" s="61" t="n">
        <f aca="false">INDEX(Datos_Origen!$H$2:$H$2459,$Z1379)</f>
        <v>8</v>
      </c>
      <c r="AD1379" s="61" t="str">
        <f aca="false">INDEX(Datos_Origen!$D$2:$D$2459,$Z1379)&amp;""</f>
        <v>Mendoza</v>
      </c>
    </row>
    <row r="1380" customFormat="false" ht="15" hidden="false" customHeight="false" outlineLevel="0" collapsed="false">
      <c r="A1380" s="61" t="n">
        <f aca="false">INDEX(Datos_Origen!$A$2:$A$2459,$Z1380)</f>
        <v>1379</v>
      </c>
      <c r="B1380" s="62" t="n">
        <f aca="false">IF(ISNUMBER($AB1380),$AB1380,IF(MID($AB1380,5,1)="-",DATE(VALUE(LEFT($AB1380,4)),VALUE(MID($AB1380,6,2)),VALUE(RIGHT($AB1380,2))),DATE(VALUE(RIGHT($AB1380,4)),VALUE(MID($AB1380,4,2)),VALUE(LEFT($AB1380,2)))))</f>
        <v>45703</v>
      </c>
      <c r="C1380" s="61" t="n">
        <f aca="false">YEAR($B1380)</f>
        <v>2025</v>
      </c>
      <c r="D1380" s="61" t="str">
        <f aca="false">"Q"&amp;ROUNDUP(MONTH($B1380)/3,0)</f>
        <v>Q1</v>
      </c>
      <c r="E1380" s="61" t="n">
        <f aca="false">MONTH($B1380)</f>
        <v>2</v>
      </c>
      <c r="F1380" s="61" t="str">
        <f aca="false">INDEX(Parametros!$I$5:$I$16,$E1380)</f>
        <v>Feb</v>
      </c>
      <c r="G1380" s="61" t="str">
        <f aca="false">TEXT($C1380,"0000")&amp;"-"&amp;TEXT($E1380,"00")</f>
        <v>2025-02</v>
      </c>
      <c r="H1380" s="61" t="str">
        <f aca="false">INDEX(Parametros!$C$71:$C$91,MATCH(TRIM(INDEX(Datos_Origen!$C$2:$C$2459,$Z1380)),Parametros!$B$71:$B$91,0))</f>
        <v>Cuyo</v>
      </c>
      <c r="I1380" s="61" t="str">
        <f aca="false">IF(TRIM($AD1380)="",INDEX(Parametros!$I$20:$I$24,MATCH($H1380,Parametros!$H$20:$H$24,0)),TRIM($AD1380))</f>
        <v>Mendoza</v>
      </c>
      <c r="J1380" s="61" t="str">
        <f aca="false">INDEX(Parametros!$C$95:$C$106,MATCH(TRIM(INDEX(Datos_Origen!$E$2:$E$2459,$Z1380)),Parametros!$B$95:$B$106,0))</f>
        <v>Tienda fisica</v>
      </c>
      <c r="K1380" s="61" t="str">
        <f aca="false">INDEX(Parametros!$C$48:$C$67,MATCH(TRIM(INDEX(Datos_Origen!$F$2:$F$2459,$Z1380)),Parametros!$B$48:$B$67,0))</f>
        <v>Almacenamiento</v>
      </c>
      <c r="L1380" s="61" t="str">
        <f aca="false">$K1380&amp;" "&amp;$C1380</f>
        <v>Almacenamiento 2025</v>
      </c>
      <c r="M1380" s="61" t="str">
        <f aca="false">TRIM(INDEX(Datos_Origen!$G$2:$G$2459,$Z1380))</f>
        <v>Pendrive 256GB</v>
      </c>
      <c r="N1380" s="61" t="str">
        <f aca="false">$M1380&amp;" "&amp;$C1380</f>
        <v>Pendrive 256GB 2025</v>
      </c>
      <c r="O1380" s="63" t="n">
        <f aca="false">IF(ISTEXT($AC1380),VALUE($AC1380),$AC1380)</f>
        <v>16</v>
      </c>
      <c r="P1380" s="64" t="n">
        <f aca="false">INDEX(Datos_Origen!$I$2:$I$2459,$Z1380)</f>
        <v>34.78</v>
      </c>
      <c r="Q1380" s="64" t="n">
        <f aca="false">INDEX(Datos_Origen!$J$2:$J$2459,$Z1380)</f>
        <v>18.39</v>
      </c>
      <c r="R1380" s="65" t="n">
        <f aca="false">ROUND($O1380*$P1380,2)</f>
        <v>556.48</v>
      </c>
      <c r="S1380" s="65" t="n">
        <f aca="false">ROUND($O1380*$Q1380,2)</f>
        <v>294.24</v>
      </c>
      <c r="T1380" s="65" t="n">
        <f aca="false">ROUND($R1380*SUMIFS(Parametros!$E$28:$E$43,Parametros!$B$28:$B$43,$J1380,Parametros!$C$28:$C$43,$C1380,Parametros!$D$28:$D$43,$D1380),2)</f>
        <v>7.23</v>
      </c>
      <c r="U1380" s="65" t="n">
        <f aca="false">$R1380-$S1380-$T1380</f>
        <v>255.01</v>
      </c>
      <c r="V1380" s="66" t="n">
        <f aca="false">IFERROR($U1380/$R1380,0)</f>
        <v>0.458255462909718</v>
      </c>
      <c r="W1380" s="67" t="str">
        <f aca="false">IF(AND($V1380&gt;=Parametros!$C$8,$R1380&gt;=Parametros!$C$12),"Alta rentabilidad",IF(OR($V1380&lt;Parametros!$C$11,$R1380&lt;Parametros!$C$13),"Revisar","Estandar"))</f>
        <v>Estandar</v>
      </c>
      <c r="X1380" s="67" t="str">
        <f aca="false">IF(AND($J1380="E-commerce",IFERROR($T1380/$R1380,0)&gt;Parametros!$C$14),"Alerta","OK")</f>
        <v>OK</v>
      </c>
      <c r="Y1380" s="61" t="str">
        <f aca="false">IF($R1380&gt;=Parametros!$C$12,"Alto",IF($R1380&lt;Parametros!$C$13,"Bajo","Medio"))</f>
        <v>Medio</v>
      </c>
      <c r="Z1380" s="61" t="n">
        <v>625</v>
      </c>
      <c r="AA1380" s="61" t="str">
        <f aca="false">IF(MATCH($A1380,Datos_Origen!$A$2:$A$2459,0)=$Z1380,"OK","REVISAR")</f>
        <v>OK</v>
      </c>
      <c r="AB1380" s="61" t="str">
        <f aca="false">INDEX(Datos_Origen!$B$2:$B$2459,$Z1380)</f>
        <v>15/02/2025</v>
      </c>
      <c r="AC1380" s="61" t="n">
        <f aca="false">INDEX(Datos_Origen!$H$2:$H$2459,$Z1380)</f>
        <v>16</v>
      </c>
      <c r="AD1380" s="61" t="str">
        <f aca="false">INDEX(Datos_Origen!$D$2:$D$2459,$Z1380)&amp;""</f>
        <v/>
      </c>
    </row>
    <row r="1381" customFormat="false" ht="15" hidden="false" customHeight="false" outlineLevel="0" collapsed="false">
      <c r="A1381" s="61" t="n">
        <f aca="false">INDEX(Datos_Origen!$A$2:$A$2459,$Z1381)</f>
        <v>1380</v>
      </c>
      <c r="B1381" s="62" t="n">
        <f aca="false">IF(ISNUMBER($AB1381),$AB1381,IF(MID($AB1381,5,1)="-",DATE(VALUE(LEFT($AB1381,4)),VALUE(MID($AB1381,6,2)),VALUE(RIGHT($AB1381,2))),DATE(VALUE(RIGHT($AB1381,4)),VALUE(MID($AB1381,4,2)),VALUE(LEFT($AB1381,2)))))</f>
        <v>45710</v>
      </c>
      <c r="C1381" s="61" t="n">
        <f aca="false">YEAR($B1381)</f>
        <v>2025</v>
      </c>
      <c r="D1381" s="61" t="str">
        <f aca="false">"Q"&amp;ROUNDUP(MONTH($B1381)/3,0)</f>
        <v>Q1</v>
      </c>
      <c r="E1381" s="61" t="n">
        <f aca="false">MONTH($B1381)</f>
        <v>2</v>
      </c>
      <c r="F1381" s="61" t="str">
        <f aca="false">INDEX(Parametros!$I$5:$I$16,$E1381)</f>
        <v>Feb</v>
      </c>
      <c r="G1381" s="61" t="str">
        <f aca="false">TEXT($C1381,"0000")&amp;"-"&amp;TEXT($E1381,"00")</f>
        <v>2025-02</v>
      </c>
      <c r="H1381" s="61" t="str">
        <f aca="false">INDEX(Parametros!$C$71:$C$91,MATCH(TRIM(INDEX(Datos_Origen!$C$2:$C$2459,$Z1381)),Parametros!$B$71:$B$91,0))</f>
        <v>Cuyo</v>
      </c>
      <c r="I1381" s="61" t="str">
        <f aca="false">IF(TRIM($AD1381)="",INDEX(Parametros!$I$20:$I$24,MATCH($H1381,Parametros!$H$20:$H$24,0)),TRIM($AD1381))</f>
        <v>Mendoza</v>
      </c>
      <c r="J1381" s="61" t="str">
        <f aca="false">INDEX(Parametros!$C$95:$C$106,MATCH(TRIM(INDEX(Datos_Origen!$E$2:$E$2459,$Z1381)),Parametros!$B$95:$B$106,0))</f>
        <v>E-commerce</v>
      </c>
      <c r="K1381" s="61" t="str">
        <f aca="false">INDEX(Parametros!$C$48:$C$67,MATCH(TRIM(INDEX(Datos_Origen!$F$2:$F$2459,$Z1381)),Parametros!$B$48:$B$67,0))</f>
        <v>Almacenamiento</v>
      </c>
      <c r="L1381" s="61" t="str">
        <f aca="false">$K1381&amp;" "&amp;$C1381</f>
        <v>Almacenamiento 2025</v>
      </c>
      <c r="M1381" s="61" t="str">
        <f aca="false">TRIM(INDEX(Datos_Origen!$G$2:$G$2459,$Z1381))</f>
        <v>Pendrive 256GB</v>
      </c>
      <c r="N1381" s="61" t="str">
        <f aca="false">$M1381&amp;" "&amp;$C1381</f>
        <v>Pendrive 256GB 2025</v>
      </c>
      <c r="O1381" s="63" t="n">
        <f aca="false">IF(ISTEXT($AC1381),VALUE($AC1381),$AC1381)</f>
        <v>10</v>
      </c>
      <c r="P1381" s="64" t="n">
        <f aca="false">INDEX(Datos_Origen!$I$2:$I$2459,$Z1381)</f>
        <v>34.78</v>
      </c>
      <c r="Q1381" s="64" t="n">
        <f aca="false">INDEX(Datos_Origen!$J$2:$J$2459,$Z1381)</f>
        <v>18.39</v>
      </c>
      <c r="R1381" s="65" t="n">
        <f aca="false">ROUND($O1381*$P1381,2)</f>
        <v>347.8</v>
      </c>
      <c r="S1381" s="65" t="n">
        <f aca="false">ROUND($O1381*$Q1381,2)</f>
        <v>183.9</v>
      </c>
      <c r="T1381" s="65" t="n">
        <f aca="false">ROUND($R1381*SUMIFS(Parametros!$E$28:$E$43,Parametros!$B$28:$B$43,$J1381,Parametros!$C$28:$C$43,$C1381,Parametros!$D$28:$D$43,$D1381),2)</f>
        <v>23.65</v>
      </c>
      <c r="U1381" s="65" t="n">
        <f aca="false">$R1381-$S1381-$T1381</f>
        <v>140.25</v>
      </c>
      <c r="V1381" s="66" t="n">
        <f aca="false">IFERROR($U1381/$R1381,0)</f>
        <v>0.403248993674526</v>
      </c>
      <c r="W1381" s="67" t="str">
        <f aca="false">IF(AND($V1381&gt;=Parametros!$C$8,$R1381&gt;=Parametros!$C$12),"Alta rentabilidad",IF(OR($V1381&lt;Parametros!$C$11,$R1381&lt;Parametros!$C$13),"Revisar","Estandar"))</f>
        <v>Estandar</v>
      </c>
      <c r="X1381" s="67" t="str">
        <f aca="false">IF(AND($J1381="E-commerce",IFERROR($T1381/$R1381,0)&gt;Parametros!$C$14),"Alerta","OK")</f>
        <v>Alerta</v>
      </c>
      <c r="Y1381" s="61" t="str">
        <f aca="false">IF($R1381&gt;=Parametros!$C$12,"Alto",IF($R1381&lt;Parametros!$C$13,"Bajo","Medio"))</f>
        <v>Medio</v>
      </c>
      <c r="Z1381" s="61" t="n">
        <v>1370</v>
      </c>
      <c r="AA1381" s="61" t="str">
        <f aca="false">IF(MATCH($A1381,Datos_Origen!$A$2:$A$2459,0)=$Z1381,"OK","REVISAR")</f>
        <v>OK</v>
      </c>
      <c r="AB1381" s="61" t="str">
        <f aca="false">INDEX(Datos_Origen!$B$2:$B$2459,$Z1381)</f>
        <v>2025-02-22</v>
      </c>
      <c r="AC1381" s="61" t="n">
        <f aca="false">INDEX(Datos_Origen!$H$2:$H$2459,$Z1381)</f>
        <v>10</v>
      </c>
      <c r="AD1381" s="61" t="str">
        <f aca="false">INDEX(Datos_Origen!$D$2:$D$2459,$Z1381)&amp;""</f>
        <v>Mendoza</v>
      </c>
    </row>
    <row r="1382" customFormat="false" ht="15" hidden="false" customHeight="false" outlineLevel="0" collapsed="false">
      <c r="A1382" s="61" t="n">
        <f aca="false">INDEX(Datos_Origen!$A$2:$A$2459,$Z1382)</f>
        <v>1381</v>
      </c>
      <c r="B1382" s="62" t="n">
        <f aca="false">IF(ISNUMBER($AB1382),$AB1382,IF(MID($AB1382,5,1)="-",DATE(VALUE(LEFT($AB1382,4)),VALUE(MID($AB1382,6,2)),VALUE(RIGHT($AB1382,2))),DATE(VALUE(RIGHT($AB1382,4)),VALUE(MID($AB1382,4,2)),VALUE(LEFT($AB1382,2)))))</f>
        <v>45690</v>
      </c>
      <c r="C1382" s="61" t="n">
        <f aca="false">YEAR($B1382)</f>
        <v>2025</v>
      </c>
      <c r="D1382" s="61" t="str">
        <f aca="false">"Q"&amp;ROUNDUP(MONTH($B1382)/3,0)</f>
        <v>Q1</v>
      </c>
      <c r="E1382" s="61" t="n">
        <f aca="false">MONTH($B1382)</f>
        <v>2</v>
      </c>
      <c r="F1382" s="61" t="str">
        <f aca="false">INDEX(Parametros!$I$5:$I$16,$E1382)</f>
        <v>Feb</v>
      </c>
      <c r="G1382" s="61" t="str">
        <f aca="false">TEXT($C1382,"0000")&amp;"-"&amp;TEXT($E1382,"00")</f>
        <v>2025-02</v>
      </c>
      <c r="H1382" s="61" t="str">
        <f aca="false">INDEX(Parametros!$C$71:$C$91,MATCH(TRIM(INDEX(Datos_Origen!$C$2:$C$2459,$Z1382)),Parametros!$B$71:$B$91,0))</f>
        <v>NOA</v>
      </c>
      <c r="I1382" s="61" t="str">
        <f aca="false">IF(TRIM($AD1382)="",INDEX(Parametros!$I$20:$I$24,MATCH($H1382,Parametros!$H$20:$H$24,0)),TRIM($AD1382))</f>
        <v>Tucuman</v>
      </c>
      <c r="J1382" s="61" t="str">
        <f aca="false">INDEX(Parametros!$C$95:$C$106,MATCH(TRIM(INDEX(Datos_Origen!$E$2:$E$2459,$Z1382)),Parametros!$B$95:$B$106,0))</f>
        <v>Tienda fisica</v>
      </c>
      <c r="K1382" s="61" t="str">
        <f aca="false">INDEX(Parametros!$C$48:$C$67,MATCH(TRIM(INDEX(Datos_Origen!$F$2:$F$2459,$Z1382)),Parametros!$B$48:$B$67,0))</f>
        <v>Computacion</v>
      </c>
      <c r="L1382" s="61" t="str">
        <f aca="false">$K1382&amp;" "&amp;$C1382</f>
        <v>Computacion 2025</v>
      </c>
      <c r="M1382" s="61" t="str">
        <f aca="false">TRIM(INDEX(Datos_Origen!$G$2:$G$2459,$Z1382))</f>
        <v>Laptop Pro 15</v>
      </c>
      <c r="N1382" s="61" t="str">
        <f aca="false">$M1382&amp;" "&amp;$C1382</f>
        <v>Laptop Pro 15 2025</v>
      </c>
      <c r="O1382" s="63" t="n">
        <f aca="false">IF(ISTEXT($AC1382),VALUE($AC1382),$AC1382)</f>
        <v>5</v>
      </c>
      <c r="P1382" s="64" t="n">
        <f aca="false">INDEX(Datos_Origen!$I$2:$I$2459,$Z1382)</f>
        <v>1155.06</v>
      </c>
      <c r="Q1382" s="64" t="n">
        <f aca="false">INDEX(Datos_Origen!$J$2:$J$2459,$Z1382)</f>
        <v>766.32</v>
      </c>
      <c r="R1382" s="65" t="n">
        <f aca="false">ROUND($O1382*$P1382,2)</f>
        <v>5775.3</v>
      </c>
      <c r="S1382" s="65" t="n">
        <f aca="false">ROUND($O1382*$Q1382,2)</f>
        <v>3831.6</v>
      </c>
      <c r="T1382" s="65" t="n">
        <f aca="false">ROUND($R1382*SUMIFS(Parametros!$E$28:$E$43,Parametros!$B$28:$B$43,$J1382,Parametros!$C$28:$C$43,$C1382,Parametros!$D$28:$D$43,$D1382),2)</f>
        <v>75.08</v>
      </c>
      <c r="U1382" s="65" t="n">
        <f aca="false">$R1382-$S1382-$T1382</f>
        <v>1868.62</v>
      </c>
      <c r="V1382" s="66" t="n">
        <f aca="false">IFERROR($U1382/$R1382,0)</f>
        <v>0.323553754783301</v>
      </c>
      <c r="W1382" s="67" t="str">
        <f aca="false">IF(AND($V1382&gt;=Parametros!$C$8,$R1382&gt;=Parametros!$C$12),"Alta rentabilidad",IF(OR($V1382&lt;Parametros!$C$11,$R1382&lt;Parametros!$C$13),"Revisar","Estandar"))</f>
        <v>Estandar</v>
      </c>
      <c r="X1382" s="67" t="str">
        <f aca="false">IF(AND($J1382="E-commerce",IFERROR($T1382/$R1382,0)&gt;Parametros!$C$14),"Alerta","OK")</f>
        <v>OK</v>
      </c>
      <c r="Y1382" s="61" t="str">
        <f aca="false">IF($R1382&gt;=Parametros!$C$12,"Alto",IF($R1382&lt;Parametros!$C$13,"Bajo","Medio"))</f>
        <v>Alto</v>
      </c>
      <c r="Z1382" s="61" t="n">
        <v>611</v>
      </c>
      <c r="AA1382" s="61" t="str">
        <f aca="false">IF(MATCH($A1382,Datos_Origen!$A$2:$A$2459,0)=$Z1382,"OK","REVISAR")</f>
        <v>OK</v>
      </c>
      <c r="AB1382" s="62" t="n">
        <f aca="false">INDEX(Datos_Origen!$B$2:$B$2459,$Z1382)</f>
        <v>45690</v>
      </c>
      <c r="AC1382" s="61" t="n">
        <f aca="false">INDEX(Datos_Origen!$H$2:$H$2459,$Z1382)</f>
        <v>5</v>
      </c>
      <c r="AD1382" s="61" t="str">
        <f aca="false">INDEX(Datos_Origen!$D$2:$D$2459,$Z1382)&amp;""</f>
        <v>Tucuman</v>
      </c>
    </row>
    <row r="1383" customFormat="false" ht="15" hidden="false" customHeight="false" outlineLevel="0" collapsed="false">
      <c r="A1383" s="61" t="n">
        <f aca="false">INDEX(Datos_Origen!$A$2:$A$2459,$Z1383)</f>
        <v>1382</v>
      </c>
      <c r="B1383" s="62" t="n">
        <f aca="false">IF(ISNUMBER($AB1383),$AB1383,IF(MID($AB1383,5,1)="-",DATE(VALUE(LEFT($AB1383,4)),VALUE(MID($AB1383,6,2)),VALUE(RIGHT($AB1383,2))),DATE(VALUE(RIGHT($AB1383,4)),VALUE(MID($AB1383,4,2)),VALUE(LEFT($AB1383,2)))))</f>
        <v>45697</v>
      </c>
      <c r="C1383" s="61" t="n">
        <f aca="false">YEAR($B1383)</f>
        <v>2025</v>
      </c>
      <c r="D1383" s="61" t="str">
        <f aca="false">"Q"&amp;ROUNDUP(MONTH($B1383)/3,0)</f>
        <v>Q1</v>
      </c>
      <c r="E1383" s="61" t="n">
        <f aca="false">MONTH($B1383)</f>
        <v>2</v>
      </c>
      <c r="F1383" s="61" t="str">
        <f aca="false">INDEX(Parametros!$I$5:$I$16,$E1383)</f>
        <v>Feb</v>
      </c>
      <c r="G1383" s="61" t="str">
        <f aca="false">TEXT($C1383,"0000")&amp;"-"&amp;TEXT($E1383,"00")</f>
        <v>2025-02</v>
      </c>
      <c r="H1383" s="61" t="str">
        <f aca="false">INDEX(Parametros!$C$71:$C$91,MATCH(TRIM(INDEX(Datos_Origen!$C$2:$C$2459,$Z1383)),Parametros!$B$71:$B$91,0))</f>
        <v>NOA</v>
      </c>
      <c r="I1383" s="61" t="str">
        <f aca="false">IF(TRIM($AD1383)="",INDEX(Parametros!$I$20:$I$24,MATCH($H1383,Parametros!$H$20:$H$24,0)),TRIM($AD1383))</f>
        <v>Tucuman</v>
      </c>
      <c r="J1383" s="61" t="str">
        <f aca="false">INDEX(Parametros!$C$95:$C$106,MATCH(TRIM(INDEX(Datos_Origen!$E$2:$E$2459,$Z1383)),Parametros!$B$95:$B$106,0))</f>
        <v>E-commerce</v>
      </c>
      <c r="K1383" s="61" t="str">
        <f aca="false">INDEX(Parametros!$C$48:$C$67,MATCH(TRIM(INDEX(Datos_Origen!$F$2:$F$2459,$Z1383)),Parametros!$B$48:$B$67,0))</f>
        <v>Computacion</v>
      </c>
      <c r="L1383" s="61" t="str">
        <f aca="false">$K1383&amp;" "&amp;$C1383</f>
        <v>Computacion 2025</v>
      </c>
      <c r="M1383" s="61" t="str">
        <f aca="false">TRIM(INDEX(Datos_Origen!$G$2:$G$2459,$Z1383))</f>
        <v>Laptop Pro 15</v>
      </c>
      <c r="N1383" s="61" t="str">
        <f aca="false">$M1383&amp;" "&amp;$C1383</f>
        <v>Laptop Pro 15 2025</v>
      </c>
      <c r="O1383" s="63" t="n">
        <f aca="false">IF(ISTEXT($AC1383),VALUE($AC1383),$AC1383)</f>
        <v>3</v>
      </c>
      <c r="P1383" s="64" t="n">
        <f aca="false">INDEX(Datos_Origen!$I$2:$I$2459,$Z1383)</f>
        <v>1155.06</v>
      </c>
      <c r="Q1383" s="64" t="n">
        <f aca="false">INDEX(Datos_Origen!$J$2:$J$2459,$Z1383)</f>
        <v>766.32</v>
      </c>
      <c r="R1383" s="65" t="n">
        <f aca="false">ROUND($O1383*$P1383,2)</f>
        <v>3465.18</v>
      </c>
      <c r="S1383" s="65" t="n">
        <f aca="false">ROUND($O1383*$Q1383,2)</f>
        <v>2298.96</v>
      </c>
      <c r="T1383" s="65" t="n">
        <f aca="false">ROUND($R1383*SUMIFS(Parametros!$E$28:$E$43,Parametros!$B$28:$B$43,$J1383,Parametros!$C$28:$C$43,$C1383,Parametros!$D$28:$D$43,$D1383),2)</f>
        <v>235.63</v>
      </c>
      <c r="U1383" s="65" t="n">
        <f aca="false">$R1383-$S1383-$T1383</f>
        <v>930.59</v>
      </c>
      <c r="V1383" s="66" t="n">
        <f aca="false">IFERROR($U1383/$R1383,0)</f>
        <v>0.268554591680663</v>
      </c>
      <c r="W1383" s="67" t="str">
        <f aca="false">IF(AND($V1383&gt;=Parametros!$C$8,$R1383&gt;=Parametros!$C$12),"Alta rentabilidad",IF(OR($V1383&lt;Parametros!$C$11,$R1383&lt;Parametros!$C$13),"Revisar","Estandar"))</f>
        <v>Revisar</v>
      </c>
      <c r="X1383" s="67" t="str">
        <f aca="false">IF(AND($J1383="E-commerce",IFERROR($T1383/$R1383,0)&gt;Parametros!$C$14),"Alerta","OK")</f>
        <v>Alerta</v>
      </c>
      <c r="Y1383" s="61" t="str">
        <f aca="false">IF($R1383&gt;=Parametros!$C$12,"Alto",IF($R1383&lt;Parametros!$C$13,"Bajo","Medio"))</f>
        <v>Alto</v>
      </c>
      <c r="Z1383" s="61" t="n">
        <v>984</v>
      </c>
      <c r="AA1383" s="61" t="str">
        <f aca="false">IF(MATCH($A1383,Datos_Origen!$A$2:$A$2459,0)=$Z1383,"OK","REVISAR")</f>
        <v>OK</v>
      </c>
      <c r="AB1383" s="62" t="n">
        <f aca="false">INDEX(Datos_Origen!$B$2:$B$2459,$Z1383)</f>
        <v>45697</v>
      </c>
      <c r="AC1383" s="61" t="n">
        <f aca="false">INDEX(Datos_Origen!$H$2:$H$2459,$Z1383)</f>
        <v>3</v>
      </c>
      <c r="AD1383" s="61" t="str">
        <f aca="false">INDEX(Datos_Origen!$D$2:$D$2459,$Z1383)&amp;""</f>
        <v/>
      </c>
    </row>
    <row r="1384" customFormat="false" ht="15" hidden="false" customHeight="false" outlineLevel="0" collapsed="false">
      <c r="A1384" s="61" t="n">
        <f aca="false">INDEX(Datos_Origen!$A$2:$A$2459,$Z1384)</f>
        <v>1383</v>
      </c>
      <c r="B1384" s="62" t="n">
        <f aca="false">IF(ISNUMBER($AB1384),$AB1384,IF(MID($AB1384,5,1)="-",DATE(VALUE(LEFT($AB1384,4)),VALUE(MID($AB1384,6,2)),VALUE(RIGHT($AB1384,2))),DATE(VALUE(RIGHT($AB1384,4)),VALUE(MID($AB1384,4,2)),VALUE(LEFT($AB1384,2)))))</f>
        <v>45704</v>
      </c>
      <c r="C1384" s="61" t="n">
        <f aca="false">YEAR($B1384)</f>
        <v>2025</v>
      </c>
      <c r="D1384" s="61" t="str">
        <f aca="false">"Q"&amp;ROUNDUP(MONTH($B1384)/3,0)</f>
        <v>Q1</v>
      </c>
      <c r="E1384" s="61" t="n">
        <f aca="false">MONTH($B1384)</f>
        <v>2</v>
      </c>
      <c r="F1384" s="61" t="str">
        <f aca="false">INDEX(Parametros!$I$5:$I$16,$E1384)</f>
        <v>Feb</v>
      </c>
      <c r="G1384" s="61" t="str">
        <f aca="false">TEXT($C1384,"0000")&amp;"-"&amp;TEXT($E1384,"00")</f>
        <v>2025-02</v>
      </c>
      <c r="H1384" s="61" t="str">
        <f aca="false">INDEX(Parametros!$C$71:$C$91,MATCH(TRIM(INDEX(Datos_Origen!$C$2:$C$2459,$Z1384)),Parametros!$B$71:$B$91,0))</f>
        <v>NOA</v>
      </c>
      <c r="I1384" s="61" t="str">
        <f aca="false">IF(TRIM($AD1384)="",INDEX(Parametros!$I$20:$I$24,MATCH($H1384,Parametros!$H$20:$H$24,0)),TRIM($AD1384))</f>
        <v>Tucuman</v>
      </c>
      <c r="J1384" s="61" t="str">
        <f aca="false">INDEX(Parametros!$C$95:$C$106,MATCH(TRIM(INDEX(Datos_Origen!$E$2:$E$2459,$Z1384)),Parametros!$B$95:$B$106,0))</f>
        <v>Tienda fisica</v>
      </c>
      <c r="K1384" s="61" t="str">
        <f aca="false">INDEX(Parametros!$C$48:$C$67,MATCH(TRIM(INDEX(Datos_Origen!$F$2:$F$2459,$Z1384)),Parametros!$B$48:$B$67,0))</f>
        <v>Computacion</v>
      </c>
      <c r="L1384" s="61" t="str">
        <f aca="false">$K1384&amp;" "&amp;$C1384</f>
        <v>Computacion 2025</v>
      </c>
      <c r="M1384" s="61" t="str">
        <f aca="false">TRIM(INDEX(Datos_Origen!$G$2:$G$2459,$Z1384))</f>
        <v>Monitor 4K 27</v>
      </c>
      <c r="N1384" s="61" t="str">
        <f aca="false">$M1384&amp;" "&amp;$C1384</f>
        <v>Monitor 4K 27 2025</v>
      </c>
      <c r="O1384" s="63" t="n">
        <f aca="false">IF(ISTEXT($AC1384),VALUE($AC1384),$AC1384)</f>
        <v>6</v>
      </c>
      <c r="P1384" s="64" t="n">
        <f aca="false">INDEX(Datos_Origen!$I$2:$I$2459,$Z1384)</f>
        <v>433.15</v>
      </c>
      <c r="Q1384" s="64" t="n">
        <f aca="false">INDEX(Datos_Origen!$J$2:$J$2459,$Z1384)</f>
        <v>280.42</v>
      </c>
      <c r="R1384" s="65" t="n">
        <f aca="false">ROUND($O1384*$P1384,2)</f>
        <v>2598.9</v>
      </c>
      <c r="S1384" s="65" t="n">
        <f aca="false">ROUND($O1384*$Q1384,2)</f>
        <v>1682.52</v>
      </c>
      <c r="T1384" s="65" t="n">
        <f aca="false">ROUND($R1384*SUMIFS(Parametros!$E$28:$E$43,Parametros!$B$28:$B$43,$J1384,Parametros!$C$28:$C$43,$C1384,Parametros!$D$28:$D$43,$D1384),2)</f>
        <v>33.79</v>
      </c>
      <c r="U1384" s="65" t="n">
        <f aca="false">$R1384-$S1384-$T1384</f>
        <v>882.59</v>
      </c>
      <c r="V1384" s="66" t="n">
        <f aca="false">IFERROR($U1384/$R1384,0)</f>
        <v>0.339601369810304</v>
      </c>
      <c r="W1384" s="67" t="str">
        <f aca="false">IF(AND($V1384&gt;=Parametros!$C$8,$R1384&gt;=Parametros!$C$12),"Alta rentabilidad",IF(OR($V1384&lt;Parametros!$C$11,$R1384&lt;Parametros!$C$13),"Revisar","Estandar"))</f>
        <v>Estandar</v>
      </c>
      <c r="X1384" s="67" t="str">
        <f aca="false">IF(AND($J1384="E-commerce",IFERROR($T1384/$R1384,0)&gt;Parametros!$C$14),"Alerta","OK")</f>
        <v>OK</v>
      </c>
      <c r="Y1384" s="61" t="str">
        <f aca="false">IF($R1384&gt;=Parametros!$C$12,"Alto",IF($R1384&lt;Parametros!$C$13,"Bajo","Medio"))</f>
        <v>Medio</v>
      </c>
      <c r="Z1384" s="61" t="n">
        <v>15</v>
      </c>
      <c r="AA1384" s="61" t="str">
        <f aca="false">IF(MATCH($A1384,Datos_Origen!$A$2:$A$2459,0)=$Z1384,"OK","REVISAR")</f>
        <v>OK</v>
      </c>
      <c r="AB1384" s="61" t="str">
        <f aca="false">INDEX(Datos_Origen!$B$2:$B$2459,$Z1384)</f>
        <v>16/02/2025</v>
      </c>
      <c r="AC1384" s="61" t="n">
        <f aca="false">INDEX(Datos_Origen!$H$2:$H$2459,$Z1384)</f>
        <v>6</v>
      </c>
      <c r="AD1384" s="61" t="str">
        <f aca="false">INDEX(Datos_Origen!$D$2:$D$2459,$Z1384)&amp;""</f>
        <v/>
      </c>
    </row>
    <row r="1385" customFormat="false" ht="15" hidden="false" customHeight="false" outlineLevel="0" collapsed="false">
      <c r="A1385" s="61" t="n">
        <f aca="false">INDEX(Datos_Origen!$A$2:$A$2459,$Z1385)</f>
        <v>1384</v>
      </c>
      <c r="B1385" s="62" t="n">
        <f aca="false">IF(ISNUMBER($AB1385),$AB1385,IF(MID($AB1385,5,1)="-",DATE(VALUE(LEFT($AB1385,4)),VALUE(MID($AB1385,6,2)),VALUE(RIGHT($AB1385,2))),DATE(VALUE(RIGHT($AB1385,4)),VALUE(MID($AB1385,4,2)),VALUE(LEFT($AB1385,2)))))</f>
        <v>45711</v>
      </c>
      <c r="C1385" s="61" t="n">
        <f aca="false">YEAR($B1385)</f>
        <v>2025</v>
      </c>
      <c r="D1385" s="61" t="str">
        <f aca="false">"Q"&amp;ROUNDUP(MONTH($B1385)/3,0)</f>
        <v>Q1</v>
      </c>
      <c r="E1385" s="61" t="n">
        <f aca="false">MONTH($B1385)</f>
        <v>2</v>
      </c>
      <c r="F1385" s="61" t="str">
        <f aca="false">INDEX(Parametros!$I$5:$I$16,$E1385)</f>
        <v>Feb</v>
      </c>
      <c r="G1385" s="61" t="str">
        <f aca="false">TEXT($C1385,"0000")&amp;"-"&amp;TEXT($E1385,"00")</f>
        <v>2025-02</v>
      </c>
      <c r="H1385" s="61" t="str">
        <f aca="false">INDEX(Parametros!$C$71:$C$91,MATCH(TRIM(INDEX(Datos_Origen!$C$2:$C$2459,$Z1385)),Parametros!$B$71:$B$91,0))</f>
        <v>NOA</v>
      </c>
      <c r="I1385" s="61" t="str">
        <f aca="false">IF(TRIM($AD1385)="",INDEX(Parametros!$I$20:$I$24,MATCH($H1385,Parametros!$H$20:$H$24,0)),TRIM($AD1385))</f>
        <v>Tucuman</v>
      </c>
      <c r="J1385" s="61" t="str">
        <f aca="false">INDEX(Parametros!$C$95:$C$106,MATCH(TRIM(INDEX(Datos_Origen!$E$2:$E$2459,$Z1385)),Parametros!$B$95:$B$106,0))</f>
        <v>E-commerce</v>
      </c>
      <c r="K1385" s="61" t="str">
        <f aca="false">INDEX(Parametros!$C$48:$C$67,MATCH(TRIM(INDEX(Datos_Origen!$F$2:$F$2459,$Z1385)),Parametros!$B$48:$B$67,0))</f>
        <v>Computacion</v>
      </c>
      <c r="L1385" s="61" t="str">
        <f aca="false">$K1385&amp;" "&amp;$C1385</f>
        <v>Computacion 2025</v>
      </c>
      <c r="M1385" s="61" t="str">
        <f aca="false">TRIM(INDEX(Datos_Origen!$G$2:$G$2459,$Z1385))</f>
        <v>Monitor 4K 27</v>
      </c>
      <c r="N1385" s="61" t="str">
        <f aca="false">$M1385&amp;" "&amp;$C1385</f>
        <v>Monitor 4K 27 2025</v>
      </c>
      <c r="O1385" s="63" t="n">
        <f aca="false">IF(ISTEXT($AC1385),VALUE($AC1385),$AC1385)</f>
        <v>4</v>
      </c>
      <c r="P1385" s="64" t="n">
        <f aca="false">INDEX(Datos_Origen!$I$2:$I$2459,$Z1385)</f>
        <v>433.15</v>
      </c>
      <c r="Q1385" s="64" t="n">
        <f aca="false">INDEX(Datos_Origen!$J$2:$J$2459,$Z1385)</f>
        <v>280.42</v>
      </c>
      <c r="R1385" s="65" t="n">
        <f aca="false">ROUND($O1385*$P1385,2)</f>
        <v>1732.6</v>
      </c>
      <c r="S1385" s="65" t="n">
        <f aca="false">ROUND($O1385*$Q1385,2)</f>
        <v>1121.68</v>
      </c>
      <c r="T1385" s="65" t="n">
        <f aca="false">ROUND($R1385*SUMIFS(Parametros!$E$28:$E$43,Parametros!$B$28:$B$43,$J1385,Parametros!$C$28:$C$43,$C1385,Parametros!$D$28:$D$43,$D1385),2)</f>
        <v>117.82</v>
      </c>
      <c r="U1385" s="65" t="n">
        <f aca="false">$R1385-$S1385-$T1385</f>
        <v>493.1</v>
      </c>
      <c r="V1385" s="66" t="n">
        <f aca="false">IFERROR($U1385/$R1385,0)</f>
        <v>0.284601177421217</v>
      </c>
      <c r="W1385" s="67" t="str">
        <f aca="false">IF(AND($V1385&gt;=Parametros!$C$8,$R1385&gt;=Parametros!$C$12),"Alta rentabilidad",IF(OR($V1385&lt;Parametros!$C$11,$R1385&lt;Parametros!$C$13),"Revisar","Estandar"))</f>
        <v>Estandar</v>
      </c>
      <c r="X1385" s="67" t="str">
        <f aca="false">IF(AND($J1385="E-commerce",IFERROR($T1385/$R1385,0)&gt;Parametros!$C$14),"Alerta","OK")</f>
        <v>Alerta</v>
      </c>
      <c r="Y1385" s="61" t="str">
        <f aca="false">IF($R1385&gt;=Parametros!$C$12,"Alto",IF($R1385&lt;Parametros!$C$13,"Bajo","Medio"))</f>
        <v>Medio</v>
      </c>
      <c r="Z1385" s="61" t="n">
        <v>293</v>
      </c>
      <c r="AA1385" s="61" t="str">
        <f aca="false">IF(MATCH($A1385,Datos_Origen!$A$2:$A$2459,0)=$Z1385,"OK","REVISAR")</f>
        <v>OK</v>
      </c>
      <c r="AB1385" s="62" t="n">
        <f aca="false">INDEX(Datos_Origen!$B$2:$B$2459,$Z1385)</f>
        <v>45711</v>
      </c>
      <c r="AC1385" s="61" t="n">
        <f aca="false">INDEX(Datos_Origen!$H$2:$H$2459,$Z1385)</f>
        <v>4</v>
      </c>
      <c r="AD1385" s="61" t="str">
        <f aca="false">INDEX(Datos_Origen!$D$2:$D$2459,$Z1385)&amp;""</f>
        <v>Tucuman</v>
      </c>
    </row>
    <row r="1386" customFormat="false" ht="15" hidden="false" customHeight="false" outlineLevel="0" collapsed="false">
      <c r="A1386" s="61" t="n">
        <f aca="false">INDEX(Datos_Origen!$A$2:$A$2459,$Z1386)</f>
        <v>1385</v>
      </c>
      <c r="B1386" s="62" t="n">
        <f aca="false">IF(ISNUMBER($AB1386),$AB1386,IF(MID($AB1386,5,1)="-",DATE(VALUE(LEFT($AB1386,4)),VALUE(MID($AB1386,6,2)),VALUE(RIGHT($AB1386,2))),DATE(VALUE(RIGHT($AB1386,4)),VALUE(MID($AB1386,4,2)),VALUE(LEFT($AB1386,2)))))</f>
        <v>45691</v>
      </c>
      <c r="C1386" s="61" t="n">
        <f aca="false">YEAR($B1386)</f>
        <v>2025</v>
      </c>
      <c r="D1386" s="61" t="str">
        <f aca="false">"Q"&amp;ROUNDUP(MONTH($B1386)/3,0)</f>
        <v>Q1</v>
      </c>
      <c r="E1386" s="61" t="n">
        <f aca="false">MONTH($B1386)</f>
        <v>2</v>
      </c>
      <c r="F1386" s="61" t="str">
        <f aca="false">INDEX(Parametros!$I$5:$I$16,$E1386)</f>
        <v>Feb</v>
      </c>
      <c r="G1386" s="61" t="str">
        <f aca="false">TEXT($C1386,"0000")&amp;"-"&amp;TEXT($E1386,"00")</f>
        <v>2025-02</v>
      </c>
      <c r="H1386" s="61" t="str">
        <f aca="false">INDEX(Parametros!$C$71:$C$91,MATCH(TRIM(INDEX(Datos_Origen!$C$2:$C$2459,$Z1386)),Parametros!$B$71:$B$91,0))</f>
        <v>NOA</v>
      </c>
      <c r="I1386" s="61" t="str">
        <f aca="false">IF(TRIM($AD1386)="",INDEX(Parametros!$I$20:$I$24,MATCH($H1386,Parametros!$H$20:$H$24,0)),TRIM($AD1386))</f>
        <v>Tucuman</v>
      </c>
      <c r="J1386" s="61" t="str">
        <f aca="false">INDEX(Parametros!$C$95:$C$106,MATCH(TRIM(INDEX(Datos_Origen!$E$2:$E$2459,$Z1386)),Parametros!$B$95:$B$106,0))</f>
        <v>Tienda fisica</v>
      </c>
      <c r="K1386" s="61" t="str">
        <f aca="false">INDEX(Parametros!$C$48:$C$67,MATCH(TRIM(INDEX(Datos_Origen!$F$2:$F$2459,$Z1386)),Parametros!$B$48:$B$67,0))</f>
        <v>Computacion</v>
      </c>
      <c r="L1386" s="61" t="str">
        <f aca="false">$K1386&amp;" "&amp;$C1386</f>
        <v>Computacion 2025</v>
      </c>
      <c r="M1386" s="61" t="str">
        <f aca="false">TRIM(INDEX(Datos_Origen!$G$2:$G$2459,$Z1386))</f>
        <v>PC Gamer Ryzen</v>
      </c>
      <c r="N1386" s="61" t="str">
        <f aca="false">$M1386&amp;" "&amp;$C1386</f>
        <v>PC Gamer Ryzen 2025</v>
      </c>
      <c r="O1386" s="63" t="n">
        <f aca="false">IF(ISTEXT($AC1386),VALUE($AC1386),$AC1386)</f>
        <v>5</v>
      </c>
      <c r="P1386" s="64" t="n">
        <f aca="false">INDEX(Datos_Origen!$I$2:$I$2459,$Z1386)</f>
        <v>1588.21</v>
      </c>
      <c r="Q1386" s="64" t="n">
        <f aca="false">INDEX(Datos_Origen!$J$2:$J$2459,$Z1386)</f>
        <v>1155.66</v>
      </c>
      <c r="R1386" s="65" t="n">
        <f aca="false">ROUND($O1386*$P1386,2)</f>
        <v>7941.05</v>
      </c>
      <c r="S1386" s="65" t="n">
        <f aca="false">ROUND($O1386*$Q1386,2)</f>
        <v>5778.3</v>
      </c>
      <c r="T1386" s="65" t="n">
        <f aca="false">ROUND($R1386*SUMIFS(Parametros!$E$28:$E$43,Parametros!$B$28:$B$43,$J1386,Parametros!$C$28:$C$43,$C1386,Parametros!$D$28:$D$43,$D1386),2)</f>
        <v>103.23</v>
      </c>
      <c r="U1386" s="65" t="n">
        <f aca="false">$R1386-$S1386-$T1386</f>
        <v>2059.52</v>
      </c>
      <c r="V1386" s="66" t="n">
        <f aca="false">IFERROR($U1386/$R1386,0)</f>
        <v>0.259351093369265</v>
      </c>
      <c r="W1386" s="67" t="str">
        <f aca="false">IF(AND($V1386&gt;=Parametros!$C$8,$R1386&gt;=Parametros!$C$12),"Alta rentabilidad",IF(OR($V1386&lt;Parametros!$C$11,$R1386&lt;Parametros!$C$13),"Revisar","Estandar"))</f>
        <v>Revisar</v>
      </c>
      <c r="X1386" s="67" t="str">
        <f aca="false">IF(AND($J1386="E-commerce",IFERROR($T1386/$R1386,0)&gt;Parametros!$C$14),"Alerta","OK")</f>
        <v>OK</v>
      </c>
      <c r="Y1386" s="61" t="str">
        <f aca="false">IF($R1386&gt;=Parametros!$C$12,"Alto",IF($R1386&lt;Parametros!$C$13,"Bajo","Medio"))</f>
        <v>Alto</v>
      </c>
      <c r="Z1386" s="61" t="n">
        <v>1428</v>
      </c>
      <c r="AA1386" s="61" t="str">
        <f aca="false">IF(MATCH($A1386,Datos_Origen!$A$2:$A$2459,0)=$Z1386,"OK","REVISAR")</f>
        <v>OK</v>
      </c>
      <c r="AB1386" s="62" t="n">
        <f aca="false">INDEX(Datos_Origen!$B$2:$B$2459,$Z1386)</f>
        <v>45691</v>
      </c>
      <c r="AC1386" s="61" t="n">
        <f aca="false">INDEX(Datos_Origen!$H$2:$H$2459,$Z1386)</f>
        <v>5</v>
      </c>
      <c r="AD1386" s="61" t="str">
        <f aca="false">INDEX(Datos_Origen!$D$2:$D$2459,$Z1386)&amp;""</f>
        <v>Tucuman</v>
      </c>
    </row>
    <row r="1387" customFormat="false" ht="15" hidden="false" customHeight="false" outlineLevel="0" collapsed="false">
      <c r="A1387" s="61" t="n">
        <f aca="false">INDEX(Datos_Origen!$A$2:$A$2459,$Z1387)</f>
        <v>1386</v>
      </c>
      <c r="B1387" s="62" t="n">
        <f aca="false">IF(ISNUMBER($AB1387),$AB1387,IF(MID($AB1387,5,1)="-",DATE(VALUE(LEFT($AB1387,4)),VALUE(MID($AB1387,6,2)),VALUE(RIGHT($AB1387,2))),DATE(VALUE(RIGHT($AB1387,4)),VALUE(MID($AB1387,4,2)),VALUE(LEFT($AB1387,2)))))</f>
        <v>45698</v>
      </c>
      <c r="C1387" s="61" t="n">
        <f aca="false">YEAR($B1387)</f>
        <v>2025</v>
      </c>
      <c r="D1387" s="61" t="str">
        <f aca="false">"Q"&amp;ROUNDUP(MONTH($B1387)/3,0)</f>
        <v>Q1</v>
      </c>
      <c r="E1387" s="61" t="n">
        <f aca="false">MONTH($B1387)</f>
        <v>2</v>
      </c>
      <c r="F1387" s="61" t="str">
        <f aca="false">INDEX(Parametros!$I$5:$I$16,$E1387)</f>
        <v>Feb</v>
      </c>
      <c r="G1387" s="61" t="str">
        <f aca="false">TEXT($C1387,"0000")&amp;"-"&amp;TEXT($E1387,"00")</f>
        <v>2025-02</v>
      </c>
      <c r="H1387" s="61" t="str">
        <f aca="false">INDEX(Parametros!$C$71:$C$91,MATCH(TRIM(INDEX(Datos_Origen!$C$2:$C$2459,$Z1387)),Parametros!$B$71:$B$91,0))</f>
        <v>NOA</v>
      </c>
      <c r="I1387" s="61" t="str">
        <f aca="false">IF(TRIM($AD1387)="",INDEX(Parametros!$I$20:$I$24,MATCH($H1387,Parametros!$H$20:$H$24,0)),TRIM($AD1387))</f>
        <v>Tucuman</v>
      </c>
      <c r="J1387" s="61" t="str">
        <f aca="false">INDEX(Parametros!$C$95:$C$106,MATCH(TRIM(INDEX(Datos_Origen!$E$2:$E$2459,$Z1387)),Parametros!$B$95:$B$106,0))</f>
        <v>E-commerce</v>
      </c>
      <c r="K1387" s="61" t="str">
        <f aca="false">INDEX(Parametros!$C$48:$C$67,MATCH(TRIM(INDEX(Datos_Origen!$F$2:$F$2459,$Z1387)),Parametros!$B$48:$B$67,0))</f>
        <v>Computacion</v>
      </c>
      <c r="L1387" s="61" t="str">
        <f aca="false">$K1387&amp;" "&amp;$C1387</f>
        <v>Computacion 2025</v>
      </c>
      <c r="M1387" s="61" t="str">
        <f aca="false">TRIM(INDEX(Datos_Origen!$G$2:$G$2459,$Z1387))</f>
        <v>PC Gamer Ryzen</v>
      </c>
      <c r="N1387" s="61" t="str">
        <f aca="false">$M1387&amp;" "&amp;$C1387</f>
        <v>PC Gamer Ryzen 2025</v>
      </c>
      <c r="O1387" s="63" t="n">
        <f aca="false">IF(ISTEXT($AC1387),VALUE($AC1387),$AC1387)</f>
        <v>4</v>
      </c>
      <c r="P1387" s="64" t="n">
        <f aca="false">INDEX(Datos_Origen!$I$2:$I$2459,$Z1387)</f>
        <v>1588.21</v>
      </c>
      <c r="Q1387" s="64" t="n">
        <f aca="false">INDEX(Datos_Origen!$J$2:$J$2459,$Z1387)</f>
        <v>1155.66</v>
      </c>
      <c r="R1387" s="65" t="n">
        <f aca="false">ROUND($O1387*$P1387,2)</f>
        <v>6352.84</v>
      </c>
      <c r="S1387" s="65" t="n">
        <f aca="false">ROUND($O1387*$Q1387,2)</f>
        <v>4622.64</v>
      </c>
      <c r="T1387" s="65" t="n">
        <f aca="false">ROUND($R1387*SUMIFS(Parametros!$E$28:$E$43,Parametros!$B$28:$B$43,$J1387,Parametros!$C$28:$C$43,$C1387,Parametros!$D$28:$D$43,$D1387),2)</f>
        <v>431.99</v>
      </c>
      <c r="U1387" s="65" t="n">
        <f aca="false">$R1387-$S1387-$T1387</f>
        <v>1298.21</v>
      </c>
      <c r="V1387" s="66" t="n">
        <f aca="false">IFERROR($U1387/$R1387,0)</f>
        <v>0.204351124851248</v>
      </c>
      <c r="W1387" s="67" t="str">
        <f aca="false">IF(AND($V1387&gt;=Parametros!$C$8,$R1387&gt;=Parametros!$C$12),"Alta rentabilidad",IF(OR($V1387&lt;Parametros!$C$11,$R1387&lt;Parametros!$C$13),"Revisar","Estandar"))</f>
        <v>Revisar</v>
      </c>
      <c r="X1387" s="67" t="str">
        <f aca="false">IF(AND($J1387="E-commerce",IFERROR($T1387/$R1387,0)&gt;Parametros!$C$14),"Alerta","OK")</f>
        <v>Alerta</v>
      </c>
      <c r="Y1387" s="61" t="str">
        <f aca="false">IF($R1387&gt;=Parametros!$C$12,"Alto",IF($R1387&lt;Parametros!$C$13,"Bajo","Medio"))</f>
        <v>Alto</v>
      </c>
      <c r="Z1387" s="61" t="n">
        <v>1471</v>
      </c>
      <c r="AA1387" s="61" t="str">
        <f aca="false">IF(MATCH($A1387,Datos_Origen!$A$2:$A$2459,0)=$Z1387,"OK","REVISAR")</f>
        <v>OK</v>
      </c>
      <c r="AB1387" s="61" t="str">
        <f aca="false">INDEX(Datos_Origen!$B$2:$B$2459,$Z1387)</f>
        <v>10/02/2025</v>
      </c>
      <c r="AC1387" s="61" t="n">
        <f aca="false">INDEX(Datos_Origen!$H$2:$H$2459,$Z1387)</f>
        <v>4</v>
      </c>
      <c r="AD1387" s="61" t="str">
        <f aca="false">INDEX(Datos_Origen!$D$2:$D$2459,$Z1387)&amp;""</f>
        <v>Tucuman</v>
      </c>
    </row>
    <row r="1388" customFormat="false" ht="15" hidden="false" customHeight="false" outlineLevel="0" collapsed="false">
      <c r="A1388" s="61" t="n">
        <f aca="false">INDEX(Datos_Origen!$A$2:$A$2459,$Z1388)</f>
        <v>1387</v>
      </c>
      <c r="B1388" s="62" t="n">
        <f aca="false">IF(ISNUMBER($AB1388),$AB1388,IF(MID($AB1388,5,1)="-",DATE(VALUE(LEFT($AB1388,4)),VALUE(MID($AB1388,6,2)),VALUE(RIGHT($AB1388,2))),DATE(VALUE(RIGHT($AB1388,4)),VALUE(MID($AB1388,4,2)),VALUE(LEFT($AB1388,2)))))</f>
        <v>45705</v>
      </c>
      <c r="C1388" s="61" t="n">
        <f aca="false">YEAR($B1388)</f>
        <v>2025</v>
      </c>
      <c r="D1388" s="61" t="str">
        <f aca="false">"Q"&amp;ROUNDUP(MONTH($B1388)/3,0)</f>
        <v>Q1</v>
      </c>
      <c r="E1388" s="61" t="n">
        <f aca="false">MONTH($B1388)</f>
        <v>2</v>
      </c>
      <c r="F1388" s="61" t="str">
        <f aca="false">INDEX(Parametros!$I$5:$I$16,$E1388)</f>
        <v>Feb</v>
      </c>
      <c r="G1388" s="61" t="str">
        <f aca="false">TEXT($C1388,"0000")&amp;"-"&amp;TEXT($E1388,"00")</f>
        <v>2025-02</v>
      </c>
      <c r="H1388" s="61" t="str">
        <f aca="false">INDEX(Parametros!$C$71:$C$91,MATCH(TRIM(INDEX(Datos_Origen!$C$2:$C$2459,$Z1388)),Parametros!$B$71:$B$91,0))</f>
        <v>NOA</v>
      </c>
      <c r="I1388" s="61" t="str">
        <f aca="false">IF(TRIM($AD1388)="",INDEX(Parametros!$I$20:$I$24,MATCH($H1388,Parametros!$H$20:$H$24,0)),TRIM($AD1388))</f>
        <v>Tucuman</v>
      </c>
      <c r="J1388" s="61" t="str">
        <f aca="false">INDEX(Parametros!$C$95:$C$106,MATCH(TRIM(INDEX(Datos_Origen!$E$2:$E$2459,$Z1388)),Parametros!$B$95:$B$106,0))</f>
        <v>Tienda fisica</v>
      </c>
      <c r="K1388" s="61" t="str">
        <f aca="false">INDEX(Parametros!$C$48:$C$67,MATCH(TRIM(INDEX(Datos_Origen!$F$2:$F$2459,$Z1388)),Parametros!$B$48:$B$67,0))</f>
        <v>Accesorios</v>
      </c>
      <c r="L1388" s="61" t="str">
        <f aca="false">$K1388&amp;" "&amp;$C1388</f>
        <v>Accesorios 2025</v>
      </c>
      <c r="M1388" s="61" t="str">
        <f aca="false">TRIM(INDEX(Datos_Origen!$G$2:$G$2459,$Z1388))</f>
        <v>Mouse Inalambrico</v>
      </c>
      <c r="N1388" s="61" t="str">
        <f aca="false">$M1388&amp;" "&amp;$C1388</f>
        <v>Mouse Inalambrico 2025</v>
      </c>
      <c r="O1388" s="63" t="n">
        <f aca="false">IF(ISTEXT($AC1388),VALUE($AC1388),$AC1388)</f>
        <v>25</v>
      </c>
      <c r="P1388" s="64" t="n">
        <f aca="false">INDEX(Datos_Origen!$I$2:$I$2459,$Z1388)</f>
        <v>27.82</v>
      </c>
      <c r="Q1388" s="64" t="n">
        <f aca="false">INDEX(Datos_Origen!$J$2:$J$2459,$Z1388)</f>
        <v>13.84</v>
      </c>
      <c r="R1388" s="65" t="n">
        <f aca="false">ROUND($O1388*$P1388,2)</f>
        <v>695.5</v>
      </c>
      <c r="S1388" s="65" t="n">
        <f aca="false">ROUND($O1388*$Q1388,2)</f>
        <v>346</v>
      </c>
      <c r="T1388" s="65" t="n">
        <f aca="false">ROUND($R1388*SUMIFS(Parametros!$E$28:$E$43,Parametros!$B$28:$B$43,$J1388,Parametros!$C$28:$C$43,$C1388,Parametros!$D$28:$D$43,$D1388),2)</f>
        <v>9.04</v>
      </c>
      <c r="U1388" s="65" t="n">
        <f aca="false">$R1388-$S1388-$T1388</f>
        <v>340.46</v>
      </c>
      <c r="V1388" s="66" t="n">
        <f aca="false">IFERROR($U1388/$R1388,0)</f>
        <v>0.489518332135155</v>
      </c>
      <c r="W1388" s="67" t="str">
        <f aca="false">IF(AND($V1388&gt;=Parametros!$C$8,$R1388&gt;=Parametros!$C$12),"Alta rentabilidad",IF(OR($V1388&lt;Parametros!$C$11,$R1388&lt;Parametros!$C$13),"Revisar","Estandar"))</f>
        <v>Estandar</v>
      </c>
      <c r="X1388" s="67" t="str">
        <f aca="false">IF(AND($J1388="E-commerce",IFERROR($T1388/$R1388,0)&gt;Parametros!$C$14),"Alerta","OK")</f>
        <v>OK</v>
      </c>
      <c r="Y1388" s="61" t="str">
        <f aca="false">IF($R1388&gt;=Parametros!$C$12,"Alto",IF($R1388&lt;Parametros!$C$13,"Bajo","Medio"))</f>
        <v>Medio</v>
      </c>
      <c r="Z1388" s="61" t="n">
        <v>8</v>
      </c>
      <c r="AA1388" s="61" t="str">
        <f aca="false">IF(MATCH($A1388,Datos_Origen!$A$2:$A$2459,0)=$Z1388,"OK","REVISAR")</f>
        <v>OK</v>
      </c>
      <c r="AB1388" s="62" t="n">
        <f aca="false">INDEX(Datos_Origen!$B$2:$B$2459,$Z1388)</f>
        <v>45705</v>
      </c>
      <c r="AC1388" s="61" t="n">
        <f aca="false">INDEX(Datos_Origen!$H$2:$H$2459,$Z1388)</f>
        <v>25</v>
      </c>
      <c r="AD1388" s="61" t="str">
        <f aca="false">INDEX(Datos_Origen!$D$2:$D$2459,$Z1388)&amp;""</f>
        <v>Tucuman</v>
      </c>
    </row>
    <row r="1389" customFormat="false" ht="15" hidden="false" customHeight="false" outlineLevel="0" collapsed="false">
      <c r="A1389" s="61" t="n">
        <f aca="false">INDEX(Datos_Origen!$A$2:$A$2459,$Z1389)</f>
        <v>1388</v>
      </c>
      <c r="B1389" s="62" t="n">
        <f aca="false">IF(ISNUMBER($AB1389),$AB1389,IF(MID($AB1389,5,1)="-",DATE(VALUE(LEFT($AB1389,4)),VALUE(MID($AB1389,6,2)),VALUE(RIGHT($AB1389,2))),DATE(VALUE(RIGHT($AB1389,4)),VALUE(MID($AB1389,4,2)),VALUE(LEFT($AB1389,2)))))</f>
        <v>45712</v>
      </c>
      <c r="C1389" s="61" t="n">
        <f aca="false">YEAR($B1389)</f>
        <v>2025</v>
      </c>
      <c r="D1389" s="61" t="str">
        <f aca="false">"Q"&amp;ROUNDUP(MONTH($B1389)/3,0)</f>
        <v>Q1</v>
      </c>
      <c r="E1389" s="61" t="n">
        <f aca="false">MONTH($B1389)</f>
        <v>2</v>
      </c>
      <c r="F1389" s="61" t="str">
        <f aca="false">INDEX(Parametros!$I$5:$I$16,$E1389)</f>
        <v>Feb</v>
      </c>
      <c r="G1389" s="61" t="str">
        <f aca="false">TEXT($C1389,"0000")&amp;"-"&amp;TEXT($E1389,"00")</f>
        <v>2025-02</v>
      </c>
      <c r="H1389" s="61" t="str">
        <f aca="false">INDEX(Parametros!$C$71:$C$91,MATCH(TRIM(INDEX(Datos_Origen!$C$2:$C$2459,$Z1389)),Parametros!$B$71:$B$91,0))</f>
        <v>NOA</v>
      </c>
      <c r="I1389" s="61" t="str">
        <f aca="false">IF(TRIM($AD1389)="",INDEX(Parametros!$I$20:$I$24,MATCH($H1389,Parametros!$H$20:$H$24,0)),TRIM($AD1389))</f>
        <v>Tucuman</v>
      </c>
      <c r="J1389" s="61" t="str">
        <f aca="false">INDEX(Parametros!$C$95:$C$106,MATCH(TRIM(INDEX(Datos_Origen!$E$2:$E$2459,$Z1389)),Parametros!$B$95:$B$106,0))</f>
        <v>E-commerce</v>
      </c>
      <c r="K1389" s="61" t="str">
        <f aca="false">INDEX(Parametros!$C$48:$C$67,MATCH(TRIM(INDEX(Datos_Origen!$F$2:$F$2459,$Z1389)),Parametros!$B$48:$B$67,0))</f>
        <v>Accesorios</v>
      </c>
      <c r="L1389" s="61" t="str">
        <f aca="false">$K1389&amp;" "&amp;$C1389</f>
        <v>Accesorios 2025</v>
      </c>
      <c r="M1389" s="61" t="str">
        <f aca="false">TRIM(INDEX(Datos_Origen!$G$2:$G$2459,$Z1389))</f>
        <v>Mouse Inalambrico</v>
      </c>
      <c r="N1389" s="61" t="str">
        <f aca="false">$M1389&amp;" "&amp;$C1389</f>
        <v>Mouse Inalambrico 2025</v>
      </c>
      <c r="O1389" s="63" t="n">
        <f aca="false">IF(ISTEXT($AC1389),VALUE($AC1389),$AC1389)</f>
        <v>14</v>
      </c>
      <c r="P1389" s="64" t="n">
        <f aca="false">INDEX(Datos_Origen!$I$2:$I$2459,$Z1389)</f>
        <v>27.82</v>
      </c>
      <c r="Q1389" s="64" t="n">
        <f aca="false">INDEX(Datos_Origen!$J$2:$J$2459,$Z1389)</f>
        <v>13.84</v>
      </c>
      <c r="R1389" s="65" t="n">
        <f aca="false">ROUND($O1389*$P1389,2)</f>
        <v>389.48</v>
      </c>
      <c r="S1389" s="65" t="n">
        <f aca="false">ROUND($O1389*$Q1389,2)</f>
        <v>193.76</v>
      </c>
      <c r="T1389" s="65" t="n">
        <f aca="false">ROUND($R1389*SUMIFS(Parametros!$E$28:$E$43,Parametros!$B$28:$B$43,$J1389,Parametros!$C$28:$C$43,$C1389,Parametros!$D$28:$D$43,$D1389),2)</f>
        <v>26.48</v>
      </c>
      <c r="U1389" s="65" t="n">
        <f aca="false">$R1389-$S1389-$T1389</f>
        <v>169.24</v>
      </c>
      <c r="V1389" s="66" t="n">
        <f aca="false">IFERROR($U1389/$R1389,0)</f>
        <v>0.434528088733696</v>
      </c>
      <c r="W1389" s="67" t="str">
        <f aca="false">IF(AND($V1389&gt;=Parametros!$C$8,$R1389&gt;=Parametros!$C$12),"Alta rentabilidad",IF(OR($V1389&lt;Parametros!$C$11,$R1389&lt;Parametros!$C$13),"Revisar","Estandar"))</f>
        <v>Estandar</v>
      </c>
      <c r="X1389" s="67" t="str">
        <f aca="false">IF(AND($J1389="E-commerce",IFERROR($T1389/$R1389,0)&gt;Parametros!$C$14),"Alerta","OK")</f>
        <v>Alerta</v>
      </c>
      <c r="Y1389" s="61" t="str">
        <f aca="false">IF($R1389&gt;=Parametros!$C$12,"Alto",IF($R1389&lt;Parametros!$C$13,"Bajo","Medio"))</f>
        <v>Medio</v>
      </c>
      <c r="Z1389" s="61" t="n">
        <v>1729</v>
      </c>
      <c r="AA1389" s="61" t="str">
        <f aca="false">IF(MATCH($A1389,Datos_Origen!$A$2:$A$2459,0)=$Z1389,"OK","REVISAR")</f>
        <v>OK</v>
      </c>
      <c r="AB1389" s="62" t="n">
        <f aca="false">INDEX(Datos_Origen!$B$2:$B$2459,$Z1389)</f>
        <v>45712</v>
      </c>
      <c r="AC1389" s="61" t="str">
        <f aca="false">INDEX(Datos_Origen!$H$2:$H$2459,$Z1389)</f>
        <v>14</v>
      </c>
      <c r="AD1389" s="61" t="str">
        <f aca="false">INDEX(Datos_Origen!$D$2:$D$2459,$Z1389)&amp;""</f>
        <v>Tucuman</v>
      </c>
    </row>
    <row r="1390" customFormat="false" ht="15" hidden="false" customHeight="false" outlineLevel="0" collapsed="false">
      <c r="A1390" s="61" t="n">
        <f aca="false">INDEX(Datos_Origen!$A$2:$A$2459,$Z1390)</f>
        <v>1389</v>
      </c>
      <c r="B1390" s="62" t="n">
        <f aca="false">IF(ISNUMBER($AB1390),$AB1390,IF(MID($AB1390,5,1)="-",DATE(VALUE(LEFT($AB1390,4)),VALUE(MID($AB1390,6,2)),VALUE(RIGHT($AB1390,2))),DATE(VALUE(RIGHT($AB1390,4)),VALUE(MID($AB1390,4,2)),VALUE(LEFT($AB1390,2)))))</f>
        <v>45692</v>
      </c>
      <c r="C1390" s="61" t="n">
        <f aca="false">YEAR($B1390)</f>
        <v>2025</v>
      </c>
      <c r="D1390" s="61" t="str">
        <f aca="false">"Q"&amp;ROUNDUP(MONTH($B1390)/3,0)</f>
        <v>Q1</v>
      </c>
      <c r="E1390" s="61" t="n">
        <f aca="false">MONTH($B1390)</f>
        <v>2</v>
      </c>
      <c r="F1390" s="61" t="str">
        <f aca="false">INDEX(Parametros!$I$5:$I$16,$E1390)</f>
        <v>Feb</v>
      </c>
      <c r="G1390" s="61" t="str">
        <f aca="false">TEXT($C1390,"0000")&amp;"-"&amp;TEXT($E1390,"00")</f>
        <v>2025-02</v>
      </c>
      <c r="H1390" s="61" t="str">
        <f aca="false">INDEX(Parametros!$C$71:$C$91,MATCH(TRIM(INDEX(Datos_Origen!$C$2:$C$2459,$Z1390)),Parametros!$B$71:$B$91,0))</f>
        <v>NOA</v>
      </c>
      <c r="I1390" s="61" t="str">
        <f aca="false">IF(TRIM($AD1390)="",INDEX(Parametros!$I$20:$I$24,MATCH($H1390,Parametros!$H$20:$H$24,0)),TRIM($AD1390))</f>
        <v>Tucuman</v>
      </c>
      <c r="J1390" s="61" t="str">
        <f aca="false">INDEX(Parametros!$C$95:$C$106,MATCH(TRIM(INDEX(Datos_Origen!$E$2:$E$2459,$Z1390)),Parametros!$B$95:$B$106,0))</f>
        <v>Tienda fisica</v>
      </c>
      <c r="K1390" s="61" t="str">
        <f aca="false">INDEX(Parametros!$C$48:$C$67,MATCH(TRIM(INDEX(Datos_Origen!$F$2:$F$2459,$Z1390)),Parametros!$B$48:$B$67,0))</f>
        <v>Accesorios</v>
      </c>
      <c r="L1390" s="61" t="str">
        <f aca="false">$K1390&amp;" "&amp;$C1390</f>
        <v>Accesorios 2025</v>
      </c>
      <c r="M1390" s="61" t="str">
        <f aca="false">TRIM(INDEX(Datos_Origen!$G$2:$G$2459,$Z1390))</f>
        <v>Teclado Mecanico</v>
      </c>
      <c r="N1390" s="61" t="str">
        <f aca="false">$M1390&amp;" "&amp;$C1390</f>
        <v>Teclado Mecanico 2025</v>
      </c>
      <c r="O1390" s="63" t="n">
        <f aca="false">IF(ISTEXT($AC1390),VALUE($AC1390),$AC1390)</f>
        <v>22</v>
      </c>
      <c r="P1390" s="64" t="n">
        <f aca="false">INDEX(Datos_Origen!$I$2:$I$2459,$Z1390)</f>
        <v>94.39</v>
      </c>
      <c r="Q1390" s="64" t="n">
        <f aca="false">INDEX(Datos_Origen!$J$2:$J$2459,$Z1390)</f>
        <v>49.41</v>
      </c>
      <c r="R1390" s="65" t="n">
        <f aca="false">ROUND($O1390*$P1390,2)</f>
        <v>2076.58</v>
      </c>
      <c r="S1390" s="65" t="n">
        <f aca="false">ROUND($O1390*$Q1390,2)</f>
        <v>1087.02</v>
      </c>
      <c r="T1390" s="65" t="n">
        <f aca="false">ROUND($R1390*SUMIFS(Parametros!$E$28:$E$43,Parametros!$B$28:$B$43,$J1390,Parametros!$C$28:$C$43,$C1390,Parametros!$D$28:$D$43,$D1390),2)</f>
        <v>27</v>
      </c>
      <c r="U1390" s="65" t="n">
        <f aca="false">$R1390-$S1390-$T1390</f>
        <v>962.56</v>
      </c>
      <c r="V1390" s="66" t="n">
        <f aca="false">IFERROR($U1390/$R1390,0)</f>
        <v>0.46353138333221</v>
      </c>
      <c r="W1390" s="67" t="str">
        <f aca="false">IF(AND($V1390&gt;=Parametros!$C$8,$R1390&gt;=Parametros!$C$12),"Alta rentabilidad",IF(OR($V1390&lt;Parametros!$C$11,$R1390&lt;Parametros!$C$13),"Revisar","Estandar"))</f>
        <v>Estandar</v>
      </c>
      <c r="X1390" s="67" t="str">
        <f aca="false">IF(AND($J1390="E-commerce",IFERROR($T1390/$R1390,0)&gt;Parametros!$C$14),"Alerta","OK")</f>
        <v>OK</v>
      </c>
      <c r="Y1390" s="61" t="str">
        <f aca="false">IF($R1390&gt;=Parametros!$C$12,"Alto",IF($R1390&lt;Parametros!$C$13,"Bajo","Medio"))</f>
        <v>Medio</v>
      </c>
      <c r="Z1390" s="61" t="n">
        <v>2196</v>
      </c>
      <c r="AA1390" s="61" t="str">
        <f aca="false">IF(MATCH($A1390,Datos_Origen!$A$2:$A$2459,0)=$Z1390,"OK","REVISAR")</f>
        <v>OK</v>
      </c>
      <c r="AB1390" s="61" t="str">
        <f aca="false">INDEX(Datos_Origen!$B$2:$B$2459,$Z1390)</f>
        <v>04/02/2025</v>
      </c>
      <c r="AC1390" s="61" t="n">
        <f aca="false">INDEX(Datos_Origen!$H$2:$H$2459,$Z1390)</f>
        <v>22</v>
      </c>
      <c r="AD1390" s="61" t="str">
        <f aca="false">INDEX(Datos_Origen!$D$2:$D$2459,$Z1390)&amp;""</f>
        <v>Tucuman</v>
      </c>
    </row>
    <row r="1391" customFormat="false" ht="15" hidden="false" customHeight="false" outlineLevel="0" collapsed="false">
      <c r="A1391" s="61" t="n">
        <f aca="false">INDEX(Datos_Origen!$A$2:$A$2459,$Z1391)</f>
        <v>1390</v>
      </c>
      <c r="B1391" s="62" t="n">
        <f aca="false">IF(ISNUMBER($AB1391),$AB1391,IF(MID($AB1391,5,1)="-",DATE(VALUE(LEFT($AB1391,4)),VALUE(MID($AB1391,6,2)),VALUE(RIGHT($AB1391,2))),DATE(VALUE(RIGHT($AB1391,4)),VALUE(MID($AB1391,4,2)),VALUE(LEFT($AB1391,2)))))</f>
        <v>45699</v>
      </c>
      <c r="C1391" s="61" t="n">
        <f aca="false">YEAR($B1391)</f>
        <v>2025</v>
      </c>
      <c r="D1391" s="61" t="str">
        <f aca="false">"Q"&amp;ROUNDUP(MONTH($B1391)/3,0)</f>
        <v>Q1</v>
      </c>
      <c r="E1391" s="61" t="n">
        <f aca="false">MONTH($B1391)</f>
        <v>2</v>
      </c>
      <c r="F1391" s="61" t="str">
        <f aca="false">INDEX(Parametros!$I$5:$I$16,$E1391)</f>
        <v>Feb</v>
      </c>
      <c r="G1391" s="61" t="str">
        <f aca="false">TEXT($C1391,"0000")&amp;"-"&amp;TEXT($E1391,"00")</f>
        <v>2025-02</v>
      </c>
      <c r="H1391" s="61" t="str">
        <f aca="false">INDEX(Parametros!$C$71:$C$91,MATCH(TRIM(INDEX(Datos_Origen!$C$2:$C$2459,$Z1391)),Parametros!$B$71:$B$91,0))</f>
        <v>NOA</v>
      </c>
      <c r="I1391" s="61" t="str">
        <f aca="false">IF(TRIM($AD1391)="",INDEX(Parametros!$I$20:$I$24,MATCH($H1391,Parametros!$H$20:$H$24,0)),TRIM($AD1391))</f>
        <v>Tucuman</v>
      </c>
      <c r="J1391" s="61" t="str">
        <f aca="false">INDEX(Parametros!$C$95:$C$106,MATCH(TRIM(INDEX(Datos_Origen!$E$2:$E$2459,$Z1391)),Parametros!$B$95:$B$106,0))</f>
        <v>E-commerce</v>
      </c>
      <c r="K1391" s="61" t="str">
        <f aca="false">INDEX(Parametros!$C$48:$C$67,MATCH(TRIM(INDEX(Datos_Origen!$F$2:$F$2459,$Z1391)),Parametros!$B$48:$B$67,0))</f>
        <v>Accesorios</v>
      </c>
      <c r="L1391" s="61" t="str">
        <f aca="false">$K1391&amp;" "&amp;$C1391</f>
        <v>Accesorios 2025</v>
      </c>
      <c r="M1391" s="61" t="str">
        <f aca="false">TRIM(INDEX(Datos_Origen!$G$2:$G$2459,$Z1391))</f>
        <v>Teclado Mecanico</v>
      </c>
      <c r="N1391" s="61" t="str">
        <f aca="false">$M1391&amp;" "&amp;$C1391</f>
        <v>Teclado Mecanico 2025</v>
      </c>
      <c r="O1391" s="63" t="n">
        <f aca="false">IF(ISTEXT($AC1391),VALUE($AC1391),$AC1391)</f>
        <v>15</v>
      </c>
      <c r="P1391" s="64" t="n">
        <f aca="false">INDEX(Datos_Origen!$I$2:$I$2459,$Z1391)</f>
        <v>94.39</v>
      </c>
      <c r="Q1391" s="64" t="n">
        <f aca="false">INDEX(Datos_Origen!$J$2:$J$2459,$Z1391)</f>
        <v>49.41</v>
      </c>
      <c r="R1391" s="65" t="n">
        <f aca="false">ROUND($O1391*$P1391,2)</f>
        <v>1415.85</v>
      </c>
      <c r="S1391" s="65" t="n">
        <f aca="false">ROUND($O1391*$Q1391,2)</f>
        <v>741.15</v>
      </c>
      <c r="T1391" s="65" t="n">
        <f aca="false">ROUND($R1391*SUMIFS(Parametros!$E$28:$E$43,Parametros!$B$28:$B$43,$J1391,Parametros!$C$28:$C$43,$C1391,Parametros!$D$28:$D$43,$D1391),2)</f>
        <v>96.28</v>
      </c>
      <c r="U1391" s="65" t="n">
        <f aca="false">$R1391-$S1391-$T1391</f>
        <v>578.42</v>
      </c>
      <c r="V1391" s="66" t="n">
        <f aca="false">IFERROR($U1391/$R1391,0)</f>
        <v>0.408531977257478</v>
      </c>
      <c r="W1391" s="67" t="str">
        <f aca="false">IF(AND($V1391&gt;=Parametros!$C$8,$R1391&gt;=Parametros!$C$12),"Alta rentabilidad",IF(OR($V1391&lt;Parametros!$C$11,$R1391&lt;Parametros!$C$13),"Revisar","Estandar"))</f>
        <v>Estandar</v>
      </c>
      <c r="X1391" s="67" t="str">
        <f aca="false">IF(AND($J1391="E-commerce",IFERROR($T1391/$R1391,0)&gt;Parametros!$C$14),"Alerta","OK")</f>
        <v>Alerta</v>
      </c>
      <c r="Y1391" s="61" t="str">
        <f aca="false">IF($R1391&gt;=Parametros!$C$12,"Alto",IF($R1391&lt;Parametros!$C$13,"Bajo","Medio"))</f>
        <v>Medio</v>
      </c>
      <c r="Z1391" s="61" t="n">
        <v>2209</v>
      </c>
      <c r="AA1391" s="61" t="str">
        <f aca="false">IF(MATCH($A1391,Datos_Origen!$A$2:$A$2459,0)=$Z1391,"OK","REVISAR")</f>
        <v>OK</v>
      </c>
      <c r="AB1391" s="62" t="n">
        <f aca="false">INDEX(Datos_Origen!$B$2:$B$2459,$Z1391)</f>
        <v>45699</v>
      </c>
      <c r="AC1391" s="61" t="n">
        <f aca="false">INDEX(Datos_Origen!$H$2:$H$2459,$Z1391)</f>
        <v>15</v>
      </c>
      <c r="AD1391" s="61" t="str">
        <f aca="false">INDEX(Datos_Origen!$D$2:$D$2459,$Z1391)&amp;""</f>
        <v>Tucuman</v>
      </c>
    </row>
    <row r="1392" customFormat="false" ht="15" hidden="false" customHeight="false" outlineLevel="0" collapsed="false">
      <c r="A1392" s="61" t="n">
        <f aca="false">INDEX(Datos_Origen!$A$2:$A$2459,$Z1392)</f>
        <v>1391</v>
      </c>
      <c r="B1392" s="62" t="n">
        <f aca="false">IF(ISNUMBER($AB1392),$AB1392,IF(MID($AB1392,5,1)="-",DATE(VALUE(LEFT($AB1392,4)),VALUE(MID($AB1392,6,2)),VALUE(RIGHT($AB1392,2))),DATE(VALUE(RIGHT($AB1392,4)),VALUE(MID($AB1392,4,2)),VALUE(LEFT($AB1392,2)))))</f>
        <v>45706</v>
      </c>
      <c r="C1392" s="61" t="n">
        <f aca="false">YEAR($B1392)</f>
        <v>2025</v>
      </c>
      <c r="D1392" s="61" t="str">
        <f aca="false">"Q"&amp;ROUNDUP(MONTH($B1392)/3,0)</f>
        <v>Q1</v>
      </c>
      <c r="E1392" s="61" t="n">
        <f aca="false">MONTH($B1392)</f>
        <v>2</v>
      </c>
      <c r="F1392" s="61" t="str">
        <f aca="false">INDEX(Parametros!$I$5:$I$16,$E1392)</f>
        <v>Feb</v>
      </c>
      <c r="G1392" s="61" t="str">
        <f aca="false">TEXT($C1392,"0000")&amp;"-"&amp;TEXT($E1392,"00")</f>
        <v>2025-02</v>
      </c>
      <c r="H1392" s="61" t="str">
        <f aca="false">INDEX(Parametros!$C$71:$C$91,MATCH(TRIM(INDEX(Datos_Origen!$C$2:$C$2459,$Z1392)),Parametros!$B$71:$B$91,0))</f>
        <v>NOA</v>
      </c>
      <c r="I1392" s="61" t="str">
        <f aca="false">IF(TRIM($AD1392)="",INDEX(Parametros!$I$20:$I$24,MATCH($H1392,Parametros!$H$20:$H$24,0)),TRIM($AD1392))</f>
        <v>Tucuman</v>
      </c>
      <c r="J1392" s="61" t="str">
        <f aca="false">INDEX(Parametros!$C$95:$C$106,MATCH(TRIM(INDEX(Datos_Origen!$E$2:$E$2459,$Z1392)),Parametros!$B$95:$B$106,0))</f>
        <v>Tienda fisica</v>
      </c>
      <c r="K1392" s="61" t="str">
        <f aca="false">INDEX(Parametros!$C$48:$C$67,MATCH(TRIM(INDEX(Datos_Origen!$F$2:$F$2459,$Z1392)),Parametros!$B$48:$B$67,0))</f>
        <v>Accesorios</v>
      </c>
      <c r="L1392" s="61" t="str">
        <f aca="false">$K1392&amp;" "&amp;$C1392</f>
        <v>Accesorios 2025</v>
      </c>
      <c r="M1392" s="61" t="str">
        <f aca="false">TRIM(INDEX(Datos_Origen!$G$2:$G$2459,$Z1392))</f>
        <v>Webcam Full HD</v>
      </c>
      <c r="N1392" s="61" t="str">
        <f aca="false">$M1392&amp;" "&amp;$C1392</f>
        <v>Webcam Full HD 2025</v>
      </c>
      <c r="O1392" s="63" t="n">
        <f aca="false">IF(ISTEXT($AC1392),VALUE($AC1392),$AC1392)</f>
        <v>23</v>
      </c>
      <c r="P1392" s="64" t="n">
        <f aca="false">INDEX(Datos_Origen!$I$2:$I$2459,$Z1392)</f>
        <v>64.58</v>
      </c>
      <c r="Q1392" s="64" t="n">
        <f aca="false">INDEX(Datos_Origen!$J$2:$J$2459,$Z1392)</f>
        <v>36.49</v>
      </c>
      <c r="R1392" s="65" t="n">
        <f aca="false">ROUND($O1392*$P1392,2)</f>
        <v>1485.34</v>
      </c>
      <c r="S1392" s="65" t="n">
        <f aca="false">ROUND($O1392*$Q1392,2)</f>
        <v>839.27</v>
      </c>
      <c r="T1392" s="65" t="n">
        <f aca="false">ROUND($R1392*SUMIFS(Parametros!$E$28:$E$43,Parametros!$B$28:$B$43,$J1392,Parametros!$C$28:$C$43,$C1392,Parametros!$D$28:$D$43,$D1392),2)</f>
        <v>19.31</v>
      </c>
      <c r="U1392" s="65" t="n">
        <f aca="false">$R1392-$S1392-$T1392</f>
        <v>626.76</v>
      </c>
      <c r="V1392" s="66" t="n">
        <f aca="false">IFERROR($U1392/$R1392,0)</f>
        <v>0.421963994775607</v>
      </c>
      <c r="W1392" s="67" t="str">
        <f aca="false">IF(AND($V1392&gt;=Parametros!$C$8,$R1392&gt;=Parametros!$C$12),"Alta rentabilidad",IF(OR($V1392&lt;Parametros!$C$11,$R1392&lt;Parametros!$C$13),"Revisar","Estandar"))</f>
        <v>Estandar</v>
      </c>
      <c r="X1392" s="67" t="str">
        <f aca="false">IF(AND($J1392="E-commerce",IFERROR($T1392/$R1392,0)&gt;Parametros!$C$14),"Alerta","OK")</f>
        <v>OK</v>
      </c>
      <c r="Y1392" s="61" t="str">
        <f aca="false">IF($R1392&gt;=Parametros!$C$12,"Alto",IF($R1392&lt;Parametros!$C$13,"Bajo","Medio"))</f>
        <v>Medio</v>
      </c>
      <c r="Z1392" s="61" t="n">
        <v>2154</v>
      </c>
      <c r="AA1392" s="61" t="str">
        <f aca="false">IF(MATCH($A1392,Datos_Origen!$A$2:$A$2459,0)=$Z1392,"OK","REVISAR")</f>
        <v>OK</v>
      </c>
      <c r="AB1392" s="62" t="n">
        <f aca="false">INDEX(Datos_Origen!$B$2:$B$2459,$Z1392)</f>
        <v>45706</v>
      </c>
      <c r="AC1392" s="61" t="n">
        <f aca="false">INDEX(Datos_Origen!$H$2:$H$2459,$Z1392)</f>
        <v>23</v>
      </c>
      <c r="AD1392" s="61" t="str">
        <f aca="false">INDEX(Datos_Origen!$D$2:$D$2459,$Z1392)&amp;""</f>
        <v>Tucuman</v>
      </c>
    </row>
    <row r="1393" customFormat="false" ht="15" hidden="false" customHeight="false" outlineLevel="0" collapsed="false">
      <c r="A1393" s="61" t="n">
        <f aca="false">INDEX(Datos_Origen!$A$2:$A$2459,$Z1393)</f>
        <v>1392</v>
      </c>
      <c r="B1393" s="62" t="n">
        <f aca="false">IF(ISNUMBER($AB1393),$AB1393,IF(MID($AB1393,5,1)="-",DATE(VALUE(LEFT($AB1393,4)),VALUE(MID($AB1393,6,2)),VALUE(RIGHT($AB1393,2))),DATE(VALUE(RIGHT($AB1393,4)),VALUE(MID($AB1393,4,2)),VALUE(LEFT($AB1393,2)))))</f>
        <v>45713</v>
      </c>
      <c r="C1393" s="61" t="n">
        <f aca="false">YEAR($B1393)</f>
        <v>2025</v>
      </c>
      <c r="D1393" s="61" t="str">
        <f aca="false">"Q"&amp;ROUNDUP(MONTH($B1393)/3,0)</f>
        <v>Q1</v>
      </c>
      <c r="E1393" s="61" t="n">
        <f aca="false">MONTH($B1393)</f>
        <v>2</v>
      </c>
      <c r="F1393" s="61" t="str">
        <f aca="false">INDEX(Parametros!$I$5:$I$16,$E1393)</f>
        <v>Feb</v>
      </c>
      <c r="G1393" s="61" t="str">
        <f aca="false">TEXT($C1393,"0000")&amp;"-"&amp;TEXT($E1393,"00")</f>
        <v>2025-02</v>
      </c>
      <c r="H1393" s="61" t="str">
        <f aca="false">INDEX(Parametros!$C$71:$C$91,MATCH(TRIM(INDEX(Datos_Origen!$C$2:$C$2459,$Z1393)),Parametros!$B$71:$B$91,0))</f>
        <v>NOA</v>
      </c>
      <c r="I1393" s="61" t="str">
        <f aca="false">IF(TRIM($AD1393)="",INDEX(Parametros!$I$20:$I$24,MATCH($H1393,Parametros!$H$20:$H$24,0)),TRIM($AD1393))</f>
        <v>Tucuman</v>
      </c>
      <c r="J1393" s="61" t="str">
        <f aca="false">INDEX(Parametros!$C$95:$C$106,MATCH(TRIM(INDEX(Datos_Origen!$E$2:$E$2459,$Z1393)),Parametros!$B$95:$B$106,0))</f>
        <v>E-commerce</v>
      </c>
      <c r="K1393" s="61" t="str">
        <f aca="false">INDEX(Parametros!$C$48:$C$67,MATCH(TRIM(INDEX(Datos_Origen!$F$2:$F$2459,$Z1393)),Parametros!$B$48:$B$67,0))</f>
        <v>Accesorios</v>
      </c>
      <c r="L1393" s="61" t="str">
        <f aca="false">$K1393&amp;" "&amp;$C1393</f>
        <v>Accesorios 2025</v>
      </c>
      <c r="M1393" s="61" t="str">
        <f aca="false">TRIM(INDEX(Datos_Origen!$G$2:$G$2459,$Z1393))</f>
        <v>Webcam Full HD</v>
      </c>
      <c r="N1393" s="61" t="str">
        <f aca="false">$M1393&amp;" "&amp;$C1393</f>
        <v>Webcam Full HD 2025</v>
      </c>
      <c r="O1393" s="63" t="n">
        <f aca="false">IF(ISTEXT($AC1393),VALUE($AC1393),$AC1393)</f>
        <v>15</v>
      </c>
      <c r="P1393" s="64" t="n">
        <f aca="false">INDEX(Datos_Origen!$I$2:$I$2459,$Z1393)</f>
        <v>64.58</v>
      </c>
      <c r="Q1393" s="64" t="n">
        <f aca="false">INDEX(Datos_Origen!$J$2:$J$2459,$Z1393)</f>
        <v>36.49</v>
      </c>
      <c r="R1393" s="65" t="n">
        <f aca="false">ROUND($O1393*$P1393,2)</f>
        <v>968.7</v>
      </c>
      <c r="S1393" s="65" t="n">
        <f aca="false">ROUND($O1393*$Q1393,2)</f>
        <v>547.35</v>
      </c>
      <c r="T1393" s="65" t="n">
        <f aca="false">ROUND($R1393*SUMIFS(Parametros!$E$28:$E$43,Parametros!$B$28:$B$43,$J1393,Parametros!$C$28:$C$43,$C1393,Parametros!$D$28:$D$43,$D1393),2)</f>
        <v>65.87</v>
      </c>
      <c r="U1393" s="65" t="n">
        <f aca="false">$R1393-$S1393-$T1393</f>
        <v>355.48</v>
      </c>
      <c r="V1393" s="66" t="n">
        <f aca="false">IFERROR($U1393/$R1393,0)</f>
        <v>0.366966036956746</v>
      </c>
      <c r="W1393" s="67" t="str">
        <f aca="false">IF(AND($V1393&gt;=Parametros!$C$8,$R1393&gt;=Parametros!$C$12),"Alta rentabilidad",IF(OR($V1393&lt;Parametros!$C$11,$R1393&lt;Parametros!$C$13),"Revisar","Estandar"))</f>
        <v>Estandar</v>
      </c>
      <c r="X1393" s="67" t="str">
        <f aca="false">IF(AND($J1393="E-commerce",IFERROR($T1393/$R1393,0)&gt;Parametros!$C$14),"Alerta","OK")</f>
        <v>Alerta</v>
      </c>
      <c r="Y1393" s="61" t="str">
        <f aca="false">IF($R1393&gt;=Parametros!$C$12,"Alto",IF($R1393&lt;Parametros!$C$13,"Bajo","Medio"))</f>
        <v>Medio</v>
      </c>
      <c r="Z1393" s="61" t="n">
        <v>2175</v>
      </c>
      <c r="AA1393" s="61" t="str">
        <f aca="false">IF(MATCH($A1393,Datos_Origen!$A$2:$A$2459,0)=$Z1393,"OK","REVISAR")</f>
        <v>OK</v>
      </c>
      <c r="AB1393" s="61" t="str">
        <f aca="false">INDEX(Datos_Origen!$B$2:$B$2459,$Z1393)</f>
        <v>25/02/2025</v>
      </c>
      <c r="AC1393" s="61" t="n">
        <f aca="false">INDEX(Datos_Origen!$H$2:$H$2459,$Z1393)</f>
        <v>15</v>
      </c>
      <c r="AD1393" s="61" t="str">
        <f aca="false">INDEX(Datos_Origen!$D$2:$D$2459,$Z1393)&amp;""</f>
        <v>Tucuman</v>
      </c>
    </row>
    <row r="1394" customFormat="false" ht="15" hidden="false" customHeight="false" outlineLevel="0" collapsed="false">
      <c r="A1394" s="61" t="n">
        <f aca="false">INDEX(Datos_Origen!$A$2:$A$2459,$Z1394)</f>
        <v>1393</v>
      </c>
      <c r="B1394" s="62" t="n">
        <f aca="false">IF(ISNUMBER($AB1394),$AB1394,IF(MID($AB1394,5,1)="-",DATE(VALUE(LEFT($AB1394,4)),VALUE(MID($AB1394,6,2)),VALUE(RIGHT($AB1394,2))),DATE(VALUE(RIGHT($AB1394,4)),VALUE(MID($AB1394,4,2)),VALUE(LEFT($AB1394,2)))))</f>
        <v>45693</v>
      </c>
      <c r="C1394" s="61" t="n">
        <f aca="false">YEAR($B1394)</f>
        <v>2025</v>
      </c>
      <c r="D1394" s="61" t="str">
        <f aca="false">"Q"&amp;ROUNDUP(MONTH($B1394)/3,0)</f>
        <v>Q1</v>
      </c>
      <c r="E1394" s="61" t="n">
        <f aca="false">MONTH($B1394)</f>
        <v>2</v>
      </c>
      <c r="F1394" s="61" t="str">
        <f aca="false">INDEX(Parametros!$I$5:$I$16,$E1394)</f>
        <v>Feb</v>
      </c>
      <c r="G1394" s="61" t="str">
        <f aca="false">TEXT($C1394,"0000")&amp;"-"&amp;TEXT($E1394,"00")</f>
        <v>2025-02</v>
      </c>
      <c r="H1394" s="61" t="str">
        <f aca="false">INDEX(Parametros!$C$71:$C$91,MATCH(TRIM(INDEX(Datos_Origen!$C$2:$C$2459,$Z1394)),Parametros!$B$71:$B$91,0))</f>
        <v>NOA</v>
      </c>
      <c r="I1394" s="61" t="str">
        <f aca="false">IF(TRIM($AD1394)="",INDEX(Parametros!$I$20:$I$24,MATCH($H1394,Parametros!$H$20:$H$24,0)),TRIM($AD1394))</f>
        <v>Tucuman</v>
      </c>
      <c r="J1394" s="61" t="str">
        <f aca="false">INDEX(Parametros!$C$95:$C$106,MATCH(TRIM(INDEX(Datos_Origen!$E$2:$E$2459,$Z1394)),Parametros!$B$95:$B$106,0))</f>
        <v>Tienda fisica</v>
      </c>
      <c r="K1394" s="61" t="str">
        <f aca="false">INDEX(Parametros!$C$48:$C$67,MATCH(TRIM(INDEX(Datos_Origen!$F$2:$F$2459,$Z1394)),Parametros!$B$48:$B$67,0))</f>
        <v>Audio</v>
      </c>
      <c r="L1394" s="61" t="str">
        <f aca="false">$K1394&amp;" "&amp;$C1394</f>
        <v>Audio 2025</v>
      </c>
      <c r="M1394" s="61" t="str">
        <f aca="false">TRIM(INDEX(Datos_Origen!$G$2:$G$2459,$Z1394))</f>
        <v>Auriculares BT Pro</v>
      </c>
      <c r="N1394" s="61" t="str">
        <f aca="false">$M1394&amp;" "&amp;$C1394</f>
        <v>Auriculares BT Pro 2025</v>
      </c>
      <c r="O1394" s="63" t="n">
        <f aca="false">IF(ISTEXT($AC1394),VALUE($AC1394),$AC1394)</f>
        <v>11</v>
      </c>
      <c r="P1394" s="64" t="n">
        <f aca="false">INDEX(Datos_Origen!$I$2:$I$2459,$Z1394)</f>
        <v>119.23</v>
      </c>
      <c r="Q1394" s="64" t="n">
        <f aca="false">INDEX(Datos_Origen!$J$2:$J$2459,$Z1394)</f>
        <v>65.51</v>
      </c>
      <c r="R1394" s="65" t="n">
        <f aca="false">ROUND($O1394*$P1394,2)</f>
        <v>1311.53</v>
      </c>
      <c r="S1394" s="65" t="n">
        <f aca="false">ROUND($O1394*$Q1394,2)</f>
        <v>720.61</v>
      </c>
      <c r="T1394" s="65" t="n">
        <f aca="false">ROUND($R1394*SUMIFS(Parametros!$E$28:$E$43,Parametros!$B$28:$B$43,$J1394,Parametros!$C$28:$C$43,$C1394,Parametros!$D$28:$D$43,$D1394),2)</f>
        <v>17.05</v>
      </c>
      <c r="U1394" s="65" t="n">
        <f aca="false">$R1394-$S1394-$T1394</f>
        <v>573.87</v>
      </c>
      <c r="V1394" s="66" t="n">
        <f aca="false">IFERROR($U1394/$R1394,0)</f>
        <v>0.437557661662333</v>
      </c>
      <c r="W1394" s="67" t="str">
        <f aca="false">IF(AND($V1394&gt;=Parametros!$C$8,$R1394&gt;=Parametros!$C$12),"Alta rentabilidad",IF(OR($V1394&lt;Parametros!$C$11,$R1394&lt;Parametros!$C$13),"Revisar","Estandar"))</f>
        <v>Estandar</v>
      </c>
      <c r="X1394" s="67" t="str">
        <f aca="false">IF(AND($J1394="E-commerce",IFERROR($T1394/$R1394,0)&gt;Parametros!$C$14),"Alerta","OK")</f>
        <v>OK</v>
      </c>
      <c r="Y1394" s="61" t="str">
        <f aca="false">IF($R1394&gt;=Parametros!$C$12,"Alto",IF($R1394&lt;Parametros!$C$13,"Bajo","Medio"))</f>
        <v>Medio</v>
      </c>
      <c r="Z1394" s="61" t="n">
        <v>1101</v>
      </c>
      <c r="AA1394" s="61" t="str">
        <f aca="false">IF(MATCH($A1394,Datos_Origen!$A$2:$A$2459,0)=$Z1394,"OK","REVISAR")</f>
        <v>OK</v>
      </c>
      <c r="AB1394" s="62" t="n">
        <f aca="false">INDEX(Datos_Origen!$B$2:$B$2459,$Z1394)</f>
        <v>45693</v>
      </c>
      <c r="AC1394" s="61" t="n">
        <f aca="false">INDEX(Datos_Origen!$H$2:$H$2459,$Z1394)</f>
        <v>11</v>
      </c>
      <c r="AD1394" s="61" t="str">
        <f aca="false">INDEX(Datos_Origen!$D$2:$D$2459,$Z1394)&amp;""</f>
        <v>Tucuman</v>
      </c>
    </row>
    <row r="1395" customFormat="false" ht="15" hidden="false" customHeight="false" outlineLevel="0" collapsed="false">
      <c r="A1395" s="61" t="n">
        <f aca="false">INDEX(Datos_Origen!$A$2:$A$2459,$Z1395)</f>
        <v>1394</v>
      </c>
      <c r="B1395" s="62" t="n">
        <f aca="false">IF(ISNUMBER($AB1395),$AB1395,IF(MID($AB1395,5,1)="-",DATE(VALUE(LEFT($AB1395,4)),VALUE(MID($AB1395,6,2)),VALUE(RIGHT($AB1395,2))),DATE(VALUE(RIGHT($AB1395,4)),VALUE(MID($AB1395,4,2)),VALUE(LEFT($AB1395,2)))))</f>
        <v>45700</v>
      </c>
      <c r="C1395" s="61" t="n">
        <f aca="false">YEAR($B1395)</f>
        <v>2025</v>
      </c>
      <c r="D1395" s="61" t="str">
        <f aca="false">"Q"&amp;ROUNDUP(MONTH($B1395)/3,0)</f>
        <v>Q1</v>
      </c>
      <c r="E1395" s="61" t="n">
        <f aca="false">MONTH($B1395)</f>
        <v>2</v>
      </c>
      <c r="F1395" s="61" t="str">
        <f aca="false">INDEX(Parametros!$I$5:$I$16,$E1395)</f>
        <v>Feb</v>
      </c>
      <c r="G1395" s="61" t="str">
        <f aca="false">TEXT($C1395,"0000")&amp;"-"&amp;TEXT($E1395,"00")</f>
        <v>2025-02</v>
      </c>
      <c r="H1395" s="61" t="str">
        <f aca="false">INDEX(Parametros!$C$71:$C$91,MATCH(TRIM(INDEX(Datos_Origen!$C$2:$C$2459,$Z1395)),Parametros!$B$71:$B$91,0))</f>
        <v>NOA</v>
      </c>
      <c r="I1395" s="61" t="str">
        <f aca="false">IF(TRIM($AD1395)="",INDEX(Parametros!$I$20:$I$24,MATCH($H1395,Parametros!$H$20:$H$24,0)),TRIM($AD1395))</f>
        <v>Tucuman</v>
      </c>
      <c r="J1395" s="61" t="str">
        <f aca="false">INDEX(Parametros!$C$95:$C$106,MATCH(TRIM(INDEX(Datos_Origen!$E$2:$E$2459,$Z1395)),Parametros!$B$95:$B$106,0))</f>
        <v>E-commerce</v>
      </c>
      <c r="K1395" s="61" t="str">
        <f aca="false">INDEX(Parametros!$C$48:$C$67,MATCH(TRIM(INDEX(Datos_Origen!$F$2:$F$2459,$Z1395)),Parametros!$B$48:$B$67,0))</f>
        <v>Audio</v>
      </c>
      <c r="L1395" s="61" t="str">
        <f aca="false">$K1395&amp;" "&amp;$C1395</f>
        <v>Audio 2025</v>
      </c>
      <c r="M1395" s="61" t="str">
        <f aca="false">TRIM(INDEX(Datos_Origen!$G$2:$G$2459,$Z1395))</f>
        <v>Auriculares BT Pro</v>
      </c>
      <c r="N1395" s="61" t="str">
        <f aca="false">$M1395&amp;" "&amp;$C1395</f>
        <v>Auriculares BT Pro 2025</v>
      </c>
      <c r="O1395" s="63" t="n">
        <f aca="false">IF(ISTEXT($AC1395),VALUE($AC1395),$AC1395)</f>
        <v>7</v>
      </c>
      <c r="P1395" s="64" t="n">
        <f aca="false">INDEX(Datos_Origen!$I$2:$I$2459,$Z1395)</f>
        <v>119.23</v>
      </c>
      <c r="Q1395" s="64" t="n">
        <f aca="false">INDEX(Datos_Origen!$J$2:$J$2459,$Z1395)</f>
        <v>65.51</v>
      </c>
      <c r="R1395" s="65" t="n">
        <f aca="false">ROUND($O1395*$P1395,2)</f>
        <v>834.61</v>
      </c>
      <c r="S1395" s="65" t="n">
        <f aca="false">ROUND($O1395*$Q1395,2)</f>
        <v>458.57</v>
      </c>
      <c r="T1395" s="65" t="n">
        <f aca="false">ROUND($R1395*SUMIFS(Parametros!$E$28:$E$43,Parametros!$B$28:$B$43,$J1395,Parametros!$C$28:$C$43,$C1395,Parametros!$D$28:$D$43,$D1395),2)</f>
        <v>56.75</v>
      </c>
      <c r="U1395" s="65" t="n">
        <f aca="false">$R1395-$S1395-$T1395</f>
        <v>319.29</v>
      </c>
      <c r="V1395" s="66" t="n">
        <f aca="false">IFERROR($U1395/$R1395,0)</f>
        <v>0.382561915145996</v>
      </c>
      <c r="W1395" s="67" t="str">
        <f aca="false">IF(AND($V1395&gt;=Parametros!$C$8,$R1395&gt;=Parametros!$C$12),"Alta rentabilidad",IF(OR($V1395&lt;Parametros!$C$11,$R1395&lt;Parametros!$C$13),"Revisar","Estandar"))</f>
        <v>Estandar</v>
      </c>
      <c r="X1395" s="67" t="str">
        <f aca="false">IF(AND($J1395="E-commerce",IFERROR($T1395/$R1395,0)&gt;Parametros!$C$14),"Alerta","OK")</f>
        <v>Alerta</v>
      </c>
      <c r="Y1395" s="61" t="str">
        <f aca="false">IF($R1395&gt;=Parametros!$C$12,"Alto",IF($R1395&lt;Parametros!$C$13,"Bajo","Medio"))</f>
        <v>Medio</v>
      </c>
      <c r="Z1395" s="61" t="n">
        <v>28</v>
      </c>
      <c r="AA1395" s="61" t="str">
        <f aca="false">IF(MATCH($A1395,Datos_Origen!$A$2:$A$2459,0)=$Z1395,"OK","REVISAR")</f>
        <v>OK</v>
      </c>
      <c r="AB1395" s="61" t="str">
        <f aca="false">INDEX(Datos_Origen!$B$2:$B$2459,$Z1395)</f>
        <v>12/02/2025</v>
      </c>
      <c r="AC1395" s="61" t="n">
        <f aca="false">INDEX(Datos_Origen!$H$2:$H$2459,$Z1395)</f>
        <v>7</v>
      </c>
      <c r="AD1395" s="61" t="str">
        <f aca="false">INDEX(Datos_Origen!$D$2:$D$2459,$Z1395)&amp;""</f>
        <v>Tucuman</v>
      </c>
    </row>
    <row r="1396" customFormat="false" ht="15" hidden="false" customHeight="false" outlineLevel="0" collapsed="false">
      <c r="A1396" s="61" t="n">
        <f aca="false">INDEX(Datos_Origen!$A$2:$A$2459,$Z1396)</f>
        <v>1395</v>
      </c>
      <c r="B1396" s="62" t="n">
        <f aca="false">IF(ISNUMBER($AB1396),$AB1396,IF(MID($AB1396,5,1)="-",DATE(VALUE(LEFT($AB1396,4)),VALUE(MID($AB1396,6,2)),VALUE(RIGHT($AB1396,2))),DATE(VALUE(RIGHT($AB1396,4)),VALUE(MID($AB1396,4,2)),VALUE(LEFT($AB1396,2)))))</f>
        <v>45707</v>
      </c>
      <c r="C1396" s="61" t="n">
        <f aca="false">YEAR($B1396)</f>
        <v>2025</v>
      </c>
      <c r="D1396" s="61" t="str">
        <f aca="false">"Q"&amp;ROUNDUP(MONTH($B1396)/3,0)</f>
        <v>Q1</v>
      </c>
      <c r="E1396" s="61" t="n">
        <f aca="false">MONTH($B1396)</f>
        <v>2</v>
      </c>
      <c r="F1396" s="61" t="str">
        <f aca="false">INDEX(Parametros!$I$5:$I$16,$E1396)</f>
        <v>Feb</v>
      </c>
      <c r="G1396" s="61" t="str">
        <f aca="false">TEXT($C1396,"0000")&amp;"-"&amp;TEXT($E1396,"00")</f>
        <v>2025-02</v>
      </c>
      <c r="H1396" s="61" t="str">
        <f aca="false">INDEX(Parametros!$C$71:$C$91,MATCH(TRIM(INDEX(Datos_Origen!$C$2:$C$2459,$Z1396)),Parametros!$B$71:$B$91,0))</f>
        <v>NOA</v>
      </c>
      <c r="I1396" s="61" t="str">
        <f aca="false">IF(TRIM($AD1396)="",INDEX(Parametros!$I$20:$I$24,MATCH($H1396,Parametros!$H$20:$H$24,0)),TRIM($AD1396))</f>
        <v>Tucuman</v>
      </c>
      <c r="J1396" s="61" t="str">
        <f aca="false">INDEX(Parametros!$C$95:$C$106,MATCH(TRIM(INDEX(Datos_Origen!$E$2:$E$2459,$Z1396)),Parametros!$B$95:$B$106,0))</f>
        <v>Tienda fisica</v>
      </c>
      <c r="K1396" s="61" t="str">
        <f aca="false">INDEX(Parametros!$C$48:$C$67,MATCH(TRIM(INDEX(Datos_Origen!$F$2:$F$2459,$Z1396)),Parametros!$B$48:$B$67,0))</f>
        <v>Audio</v>
      </c>
      <c r="L1396" s="61" t="str">
        <f aca="false">$K1396&amp;" "&amp;$C1396</f>
        <v>Audio 2025</v>
      </c>
      <c r="M1396" s="61" t="str">
        <f aca="false">TRIM(INDEX(Datos_Origen!$G$2:$G$2459,$Z1396))</f>
        <v>Parlante Bluetooth</v>
      </c>
      <c r="N1396" s="61" t="str">
        <f aca="false">$M1396&amp;" "&amp;$C1396</f>
        <v>Parlante Bluetooth 2025</v>
      </c>
      <c r="O1396" s="63" t="n">
        <f aca="false">IF(ISTEXT($AC1396),VALUE($AC1396),$AC1396)</f>
        <v>11</v>
      </c>
      <c r="P1396" s="64" t="n">
        <f aca="false">INDEX(Datos_Origen!$I$2:$I$2459,$Z1396)</f>
        <v>84.46</v>
      </c>
      <c r="Q1396" s="64" t="n">
        <f aca="false">INDEX(Datos_Origen!$J$2:$J$2459,$Z1396)</f>
        <v>49.47</v>
      </c>
      <c r="R1396" s="65" t="n">
        <f aca="false">ROUND($O1396*$P1396,2)</f>
        <v>929.06</v>
      </c>
      <c r="S1396" s="65" t="n">
        <f aca="false">ROUND($O1396*$Q1396,2)</f>
        <v>544.17</v>
      </c>
      <c r="T1396" s="65" t="n">
        <f aca="false">ROUND($R1396*SUMIFS(Parametros!$E$28:$E$43,Parametros!$B$28:$B$43,$J1396,Parametros!$C$28:$C$43,$C1396,Parametros!$D$28:$D$43,$D1396),2)</f>
        <v>12.08</v>
      </c>
      <c r="U1396" s="65" t="n">
        <f aca="false">$R1396-$S1396-$T1396</f>
        <v>372.81</v>
      </c>
      <c r="V1396" s="66" t="n">
        <f aca="false">IFERROR($U1396/$R1396,0)</f>
        <v>0.401276559102749</v>
      </c>
      <c r="W1396" s="67" t="str">
        <f aca="false">IF(AND($V1396&gt;=Parametros!$C$8,$R1396&gt;=Parametros!$C$12),"Alta rentabilidad",IF(OR($V1396&lt;Parametros!$C$11,$R1396&lt;Parametros!$C$13),"Revisar","Estandar"))</f>
        <v>Estandar</v>
      </c>
      <c r="X1396" s="67" t="str">
        <f aca="false">IF(AND($J1396="E-commerce",IFERROR($T1396/$R1396,0)&gt;Parametros!$C$14),"Alerta","OK")</f>
        <v>OK</v>
      </c>
      <c r="Y1396" s="61" t="str">
        <f aca="false">IF($R1396&gt;=Parametros!$C$12,"Alto",IF($R1396&lt;Parametros!$C$13,"Bajo","Medio"))</f>
        <v>Medio</v>
      </c>
      <c r="Z1396" s="61" t="n">
        <v>1300</v>
      </c>
      <c r="AA1396" s="61" t="str">
        <f aca="false">IF(MATCH($A1396,Datos_Origen!$A$2:$A$2459,0)=$Z1396,"OK","REVISAR")</f>
        <v>OK</v>
      </c>
      <c r="AB1396" s="61" t="str">
        <f aca="false">INDEX(Datos_Origen!$B$2:$B$2459,$Z1396)</f>
        <v>19/02/2025</v>
      </c>
      <c r="AC1396" s="61" t="n">
        <f aca="false">INDEX(Datos_Origen!$H$2:$H$2459,$Z1396)</f>
        <v>11</v>
      </c>
      <c r="AD1396" s="61" t="str">
        <f aca="false">INDEX(Datos_Origen!$D$2:$D$2459,$Z1396)&amp;""</f>
        <v>Tucuman</v>
      </c>
    </row>
    <row r="1397" customFormat="false" ht="15" hidden="false" customHeight="false" outlineLevel="0" collapsed="false">
      <c r="A1397" s="61" t="n">
        <f aca="false">INDEX(Datos_Origen!$A$2:$A$2459,$Z1397)</f>
        <v>1396</v>
      </c>
      <c r="B1397" s="62" t="n">
        <f aca="false">IF(ISNUMBER($AB1397),$AB1397,IF(MID($AB1397,5,1)="-",DATE(VALUE(LEFT($AB1397,4)),VALUE(MID($AB1397,6,2)),VALUE(RIGHT($AB1397,2))),DATE(VALUE(RIGHT($AB1397,4)),VALUE(MID($AB1397,4,2)),VALUE(LEFT($AB1397,2)))))</f>
        <v>45714</v>
      </c>
      <c r="C1397" s="61" t="n">
        <f aca="false">YEAR($B1397)</f>
        <v>2025</v>
      </c>
      <c r="D1397" s="61" t="str">
        <f aca="false">"Q"&amp;ROUNDUP(MONTH($B1397)/3,0)</f>
        <v>Q1</v>
      </c>
      <c r="E1397" s="61" t="n">
        <f aca="false">MONTH($B1397)</f>
        <v>2</v>
      </c>
      <c r="F1397" s="61" t="str">
        <f aca="false">INDEX(Parametros!$I$5:$I$16,$E1397)</f>
        <v>Feb</v>
      </c>
      <c r="G1397" s="61" t="str">
        <f aca="false">TEXT($C1397,"0000")&amp;"-"&amp;TEXT($E1397,"00")</f>
        <v>2025-02</v>
      </c>
      <c r="H1397" s="61" t="str">
        <f aca="false">INDEX(Parametros!$C$71:$C$91,MATCH(TRIM(INDEX(Datos_Origen!$C$2:$C$2459,$Z1397)),Parametros!$B$71:$B$91,0))</f>
        <v>NOA</v>
      </c>
      <c r="I1397" s="61" t="str">
        <f aca="false">IF(TRIM($AD1397)="",INDEX(Parametros!$I$20:$I$24,MATCH($H1397,Parametros!$H$20:$H$24,0)),TRIM($AD1397))</f>
        <v>Tucuman</v>
      </c>
      <c r="J1397" s="61" t="str">
        <f aca="false">INDEX(Parametros!$C$95:$C$106,MATCH(TRIM(INDEX(Datos_Origen!$E$2:$E$2459,$Z1397)),Parametros!$B$95:$B$106,0))</f>
        <v>E-commerce</v>
      </c>
      <c r="K1397" s="61" t="str">
        <f aca="false">INDEX(Parametros!$C$48:$C$67,MATCH(TRIM(INDEX(Datos_Origen!$F$2:$F$2459,$Z1397)),Parametros!$B$48:$B$67,0))</f>
        <v>Audio</v>
      </c>
      <c r="L1397" s="61" t="str">
        <f aca="false">$K1397&amp;" "&amp;$C1397</f>
        <v>Audio 2025</v>
      </c>
      <c r="M1397" s="61" t="str">
        <f aca="false">TRIM(INDEX(Datos_Origen!$G$2:$G$2459,$Z1397))</f>
        <v>Parlante Bluetooth</v>
      </c>
      <c r="N1397" s="61" t="str">
        <f aca="false">$M1397&amp;" "&amp;$C1397</f>
        <v>Parlante Bluetooth 2025</v>
      </c>
      <c r="O1397" s="63" t="n">
        <f aca="false">IF(ISTEXT($AC1397),VALUE($AC1397),$AC1397)</f>
        <v>7</v>
      </c>
      <c r="P1397" s="64" t="n">
        <f aca="false">INDEX(Datos_Origen!$I$2:$I$2459,$Z1397)</f>
        <v>84.46</v>
      </c>
      <c r="Q1397" s="64" t="n">
        <f aca="false">INDEX(Datos_Origen!$J$2:$J$2459,$Z1397)</f>
        <v>49.47</v>
      </c>
      <c r="R1397" s="65" t="n">
        <f aca="false">ROUND($O1397*$P1397,2)</f>
        <v>591.22</v>
      </c>
      <c r="S1397" s="65" t="n">
        <f aca="false">ROUND($O1397*$Q1397,2)</f>
        <v>346.29</v>
      </c>
      <c r="T1397" s="65" t="n">
        <f aca="false">ROUND($R1397*SUMIFS(Parametros!$E$28:$E$43,Parametros!$B$28:$B$43,$J1397,Parametros!$C$28:$C$43,$C1397,Parametros!$D$28:$D$43,$D1397),2)</f>
        <v>40.2</v>
      </c>
      <c r="U1397" s="65" t="n">
        <f aca="false">$R1397-$S1397-$T1397</f>
        <v>204.73</v>
      </c>
      <c r="V1397" s="66" t="n">
        <f aca="false">IFERROR($U1397/$R1397,0)</f>
        <v>0.346283955211258</v>
      </c>
      <c r="W1397" s="67" t="str">
        <f aca="false">IF(AND($V1397&gt;=Parametros!$C$8,$R1397&gt;=Parametros!$C$12),"Alta rentabilidad",IF(OR($V1397&lt;Parametros!$C$11,$R1397&lt;Parametros!$C$13),"Revisar","Estandar"))</f>
        <v>Estandar</v>
      </c>
      <c r="X1397" s="67" t="str">
        <f aca="false">IF(AND($J1397="E-commerce",IFERROR($T1397/$R1397,0)&gt;Parametros!$C$14),"Alerta","OK")</f>
        <v>Alerta</v>
      </c>
      <c r="Y1397" s="61" t="str">
        <f aca="false">IF($R1397&gt;=Parametros!$C$12,"Alto",IF($R1397&lt;Parametros!$C$13,"Bajo","Medio"))</f>
        <v>Medio</v>
      </c>
      <c r="Z1397" s="61" t="n">
        <v>174</v>
      </c>
      <c r="AA1397" s="61" t="str">
        <f aca="false">IF(MATCH($A1397,Datos_Origen!$A$2:$A$2459,0)=$Z1397,"OK","REVISAR")</f>
        <v>OK</v>
      </c>
      <c r="AB1397" s="62" t="n">
        <f aca="false">INDEX(Datos_Origen!$B$2:$B$2459,$Z1397)</f>
        <v>45714</v>
      </c>
      <c r="AC1397" s="61" t="n">
        <f aca="false">INDEX(Datos_Origen!$H$2:$H$2459,$Z1397)</f>
        <v>7</v>
      </c>
      <c r="AD1397" s="61" t="str">
        <f aca="false">INDEX(Datos_Origen!$D$2:$D$2459,$Z1397)&amp;""</f>
        <v>Tucuman</v>
      </c>
    </row>
    <row r="1398" customFormat="false" ht="15" hidden="false" customHeight="false" outlineLevel="0" collapsed="false">
      <c r="A1398" s="61" t="n">
        <f aca="false">INDEX(Datos_Origen!$A$2:$A$2459,$Z1398)</f>
        <v>1397</v>
      </c>
      <c r="B1398" s="62" t="n">
        <f aca="false">IF(ISNUMBER($AB1398),$AB1398,IF(MID($AB1398,5,1)="-",DATE(VALUE(LEFT($AB1398,4)),VALUE(MID($AB1398,6,2)),VALUE(RIGHT($AB1398,2))),DATE(VALUE(RIGHT($AB1398,4)),VALUE(MID($AB1398,4,2)),VALUE(LEFT($AB1398,2)))))</f>
        <v>45694</v>
      </c>
      <c r="C1398" s="61" t="n">
        <f aca="false">YEAR($B1398)</f>
        <v>2025</v>
      </c>
      <c r="D1398" s="61" t="str">
        <f aca="false">"Q"&amp;ROUNDUP(MONTH($B1398)/3,0)</f>
        <v>Q1</v>
      </c>
      <c r="E1398" s="61" t="n">
        <f aca="false">MONTH($B1398)</f>
        <v>2</v>
      </c>
      <c r="F1398" s="61" t="str">
        <f aca="false">INDEX(Parametros!$I$5:$I$16,$E1398)</f>
        <v>Feb</v>
      </c>
      <c r="G1398" s="61" t="str">
        <f aca="false">TEXT($C1398,"0000")&amp;"-"&amp;TEXT($E1398,"00")</f>
        <v>2025-02</v>
      </c>
      <c r="H1398" s="61" t="str">
        <f aca="false">INDEX(Parametros!$C$71:$C$91,MATCH(TRIM(INDEX(Datos_Origen!$C$2:$C$2459,$Z1398)),Parametros!$B$71:$B$91,0))</f>
        <v>NOA</v>
      </c>
      <c r="I1398" s="61" t="str">
        <f aca="false">IF(TRIM($AD1398)="",INDEX(Parametros!$I$20:$I$24,MATCH($H1398,Parametros!$H$20:$H$24,0)),TRIM($AD1398))</f>
        <v>Tucuman</v>
      </c>
      <c r="J1398" s="61" t="str">
        <f aca="false">INDEX(Parametros!$C$95:$C$106,MATCH(TRIM(INDEX(Datos_Origen!$E$2:$E$2459,$Z1398)),Parametros!$B$95:$B$106,0))</f>
        <v>Tienda fisica</v>
      </c>
      <c r="K1398" s="61" t="str">
        <f aca="false">INDEX(Parametros!$C$48:$C$67,MATCH(TRIM(INDEX(Datos_Origen!$F$2:$F$2459,$Z1398)),Parametros!$B$48:$B$67,0))</f>
        <v>Almacenamiento</v>
      </c>
      <c r="L1398" s="61" t="str">
        <f aca="false">$K1398&amp;" "&amp;$C1398</f>
        <v>Almacenamiento 2025</v>
      </c>
      <c r="M1398" s="61" t="str">
        <f aca="false">TRIM(INDEX(Datos_Origen!$G$2:$G$2459,$Z1398))</f>
        <v>SSD Externo 1TB</v>
      </c>
      <c r="N1398" s="61" t="str">
        <f aca="false">$M1398&amp;" "&amp;$C1398</f>
        <v>SSD Externo 1TB 2025</v>
      </c>
      <c r="O1398" s="63" t="n">
        <f aca="false">IF(ISTEXT($AC1398),VALUE($AC1398),$AC1398)</f>
        <v>13</v>
      </c>
      <c r="P1398" s="64" t="n">
        <f aca="false">INDEX(Datos_Origen!$I$2:$I$2459,$Z1398)</f>
        <v>129.17</v>
      </c>
      <c r="Q1398" s="64" t="n">
        <f aca="false">INDEX(Datos_Origen!$J$2:$J$2459,$Z1398)</f>
        <v>78.33</v>
      </c>
      <c r="R1398" s="65" t="n">
        <f aca="false">ROUND($O1398*$P1398,2)</f>
        <v>1679.21</v>
      </c>
      <c r="S1398" s="65" t="n">
        <f aca="false">ROUND($O1398*$Q1398,2)</f>
        <v>1018.29</v>
      </c>
      <c r="T1398" s="65" t="n">
        <f aca="false">ROUND($R1398*SUMIFS(Parametros!$E$28:$E$43,Parametros!$B$28:$B$43,$J1398,Parametros!$C$28:$C$43,$C1398,Parametros!$D$28:$D$43,$D1398),2)</f>
        <v>21.83</v>
      </c>
      <c r="U1398" s="65" t="n">
        <f aca="false">$R1398-$S1398-$T1398</f>
        <v>639.09</v>
      </c>
      <c r="V1398" s="66" t="n">
        <f aca="false">IFERROR($U1398/$R1398,0)</f>
        <v>0.38058968205287</v>
      </c>
      <c r="W1398" s="67" t="str">
        <f aca="false">IF(AND($V1398&gt;=Parametros!$C$8,$R1398&gt;=Parametros!$C$12),"Alta rentabilidad",IF(OR($V1398&lt;Parametros!$C$11,$R1398&lt;Parametros!$C$13),"Revisar","Estandar"))</f>
        <v>Estandar</v>
      </c>
      <c r="X1398" s="67" t="str">
        <f aca="false">IF(AND($J1398="E-commerce",IFERROR($T1398/$R1398,0)&gt;Parametros!$C$14),"Alerta","OK")</f>
        <v>OK</v>
      </c>
      <c r="Y1398" s="61" t="str">
        <f aca="false">IF($R1398&gt;=Parametros!$C$12,"Alto",IF($R1398&lt;Parametros!$C$13,"Bajo","Medio"))</f>
        <v>Medio</v>
      </c>
      <c r="Z1398" s="61" t="n">
        <v>680</v>
      </c>
      <c r="AA1398" s="61" t="str">
        <f aca="false">IF(MATCH($A1398,Datos_Origen!$A$2:$A$2459,0)=$Z1398,"OK","REVISAR")</f>
        <v>OK</v>
      </c>
      <c r="AB1398" s="62" t="n">
        <f aca="false">INDEX(Datos_Origen!$B$2:$B$2459,$Z1398)</f>
        <v>45694</v>
      </c>
      <c r="AC1398" s="61" t="n">
        <f aca="false">INDEX(Datos_Origen!$H$2:$H$2459,$Z1398)</f>
        <v>13</v>
      </c>
      <c r="AD1398" s="61" t="str">
        <f aca="false">INDEX(Datos_Origen!$D$2:$D$2459,$Z1398)&amp;""</f>
        <v>Tucuman</v>
      </c>
    </row>
    <row r="1399" customFormat="false" ht="15" hidden="false" customHeight="false" outlineLevel="0" collapsed="false">
      <c r="A1399" s="61" t="n">
        <f aca="false">INDEX(Datos_Origen!$A$2:$A$2459,$Z1399)</f>
        <v>1398</v>
      </c>
      <c r="B1399" s="62" t="n">
        <f aca="false">IF(ISNUMBER($AB1399),$AB1399,IF(MID($AB1399,5,1)="-",DATE(VALUE(LEFT($AB1399,4)),VALUE(MID($AB1399,6,2)),VALUE(RIGHT($AB1399,2))),DATE(VALUE(RIGHT($AB1399,4)),VALUE(MID($AB1399,4,2)),VALUE(LEFT($AB1399,2)))))</f>
        <v>45701</v>
      </c>
      <c r="C1399" s="61" t="n">
        <f aca="false">YEAR($B1399)</f>
        <v>2025</v>
      </c>
      <c r="D1399" s="61" t="str">
        <f aca="false">"Q"&amp;ROUNDUP(MONTH($B1399)/3,0)</f>
        <v>Q1</v>
      </c>
      <c r="E1399" s="61" t="n">
        <f aca="false">MONTH($B1399)</f>
        <v>2</v>
      </c>
      <c r="F1399" s="61" t="str">
        <f aca="false">INDEX(Parametros!$I$5:$I$16,$E1399)</f>
        <v>Feb</v>
      </c>
      <c r="G1399" s="61" t="str">
        <f aca="false">TEXT($C1399,"0000")&amp;"-"&amp;TEXT($E1399,"00")</f>
        <v>2025-02</v>
      </c>
      <c r="H1399" s="61" t="str">
        <f aca="false">INDEX(Parametros!$C$71:$C$91,MATCH(TRIM(INDEX(Datos_Origen!$C$2:$C$2459,$Z1399)),Parametros!$B$71:$B$91,0))</f>
        <v>NOA</v>
      </c>
      <c r="I1399" s="61" t="str">
        <f aca="false">IF(TRIM($AD1399)="",INDEX(Parametros!$I$20:$I$24,MATCH($H1399,Parametros!$H$20:$H$24,0)),TRIM($AD1399))</f>
        <v>Tucuman</v>
      </c>
      <c r="J1399" s="61" t="str">
        <f aca="false">INDEX(Parametros!$C$95:$C$106,MATCH(TRIM(INDEX(Datos_Origen!$E$2:$E$2459,$Z1399)),Parametros!$B$95:$B$106,0))</f>
        <v>E-commerce</v>
      </c>
      <c r="K1399" s="61" t="str">
        <f aca="false">INDEX(Parametros!$C$48:$C$67,MATCH(TRIM(INDEX(Datos_Origen!$F$2:$F$2459,$Z1399)),Parametros!$B$48:$B$67,0))</f>
        <v>Almacenamiento</v>
      </c>
      <c r="L1399" s="61" t="str">
        <f aca="false">$K1399&amp;" "&amp;$C1399</f>
        <v>Almacenamiento 2025</v>
      </c>
      <c r="M1399" s="61" t="str">
        <f aca="false">TRIM(INDEX(Datos_Origen!$G$2:$G$2459,$Z1399))</f>
        <v>SSD Externo 1TB</v>
      </c>
      <c r="N1399" s="61" t="str">
        <f aca="false">$M1399&amp;" "&amp;$C1399</f>
        <v>SSD Externo 1TB 2025</v>
      </c>
      <c r="O1399" s="63" t="n">
        <f aca="false">IF(ISTEXT($AC1399),VALUE($AC1399),$AC1399)</f>
        <v>10</v>
      </c>
      <c r="P1399" s="64" t="n">
        <f aca="false">INDEX(Datos_Origen!$I$2:$I$2459,$Z1399)</f>
        <v>129.17</v>
      </c>
      <c r="Q1399" s="64" t="n">
        <f aca="false">INDEX(Datos_Origen!$J$2:$J$2459,$Z1399)</f>
        <v>78.33</v>
      </c>
      <c r="R1399" s="65" t="n">
        <f aca="false">ROUND($O1399*$P1399,2)</f>
        <v>1291.7</v>
      </c>
      <c r="S1399" s="65" t="n">
        <f aca="false">ROUND($O1399*$Q1399,2)</f>
        <v>783.3</v>
      </c>
      <c r="T1399" s="65" t="n">
        <f aca="false">ROUND($R1399*SUMIFS(Parametros!$E$28:$E$43,Parametros!$B$28:$B$43,$J1399,Parametros!$C$28:$C$43,$C1399,Parametros!$D$28:$D$43,$D1399),2)</f>
        <v>87.84</v>
      </c>
      <c r="U1399" s="65" t="n">
        <f aca="false">$R1399-$S1399-$T1399</f>
        <v>420.56</v>
      </c>
      <c r="V1399" s="66" t="n">
        <f aca="false">IFERROR($U1399/$R1399,0)</f>
        <v>0.325586436479059</v>
      </c>
      <c r="W1399" s="67" t="str">
        <f aca="false">IF(AND($V1399&gt;=Parametros!$C$8,$R1399&gt;=Parametros!$C$12),"Alta rentabilidad",IF(OR($V1399&lt;Parametros!$C$11,$R1399&lt;Parametros!$C$13),"Revisar","Estandar"))</f>
        <v>Estandar</v>
      </c>
      <c r="X1399" s="67" t="str">
        <f aca="false">IF(AND($J1399="E-commerce",IFERROR($T1399/$R1399,0)&gt;Parametros!$C$14),"Alerta","OK")</f>
        <v>Alerta</v>
      </c>
      <c r="Y1399" s="61" t="str">
        <f aca="false">IF($R1399&gt;=Parametros!$C$12,"Alto",IF($R1399&lt;Parametros!$C$13,"Bajo","Medio"))</f>
        <v>Medio</v>
      </c>
      <c r="Z1399" s="61" t="n">
        <v>1863</v>
      </c>
      <c r="AA1399" s="61" t="str">
        <f aca="false">IF(MATCH($A1399,Datos_Origen!$A$2:$A$2459,0)=$Z1399,"OK","REVISAR")</f>
        <v>OK</v>
      </c>
      <c r="AB1399" s="61" t="str">
        <f aca="false">INDEX(Datos_Origen!$B$2:$B$2459,$Z1399)</f>
        <v>13/02/2025</v>
      </c>
      <c r="AC1399" s="61" t="str">
        <f aca="false">INDEX(Datos_Origen!$H$2:$H$2459,$Z1399)</f>
        <v>10</v>
      </c>
      <c r="AD1399" s="61" t="str">
        <f aca="false">INDEX(Datos_Origen!$D$2:$D$2459,$Z1399)&amp;""</f>
        <v>Tucuman</v>
      </c>
    </row>
    <row r="1400" customFormat="false" ht="15" hidden="false" customHeight="false" outlineLevel="0" collapsed="false">
      <c r="A1400" s="61" t="n">
        <f aca="false">INDEX(Datos_Origen!$A$2:$A$2459,$Z1400)</f>
        <v>1399</v>
      </c>
      <c r="B1400" s="62" t="n">
        <f aca="false">IF(ISNUMBER($AB1400),$AB1400,IF(MID($AB1400,5,1)="-",DATE(VALUE(LEFT($AB1400,4)),VALUE(MID($AB1400,6,2)),VALUE(RIGHT($AB1400,2))),DATE(VALUE(RIGHT($AB1400,4)),VALUE(MID($AB1400,4,2)),VALUE(LEFT($AB1400,2)))))</f>
        <v>45708</v>
      </c>
      <c r="C1400" s="61" t="n">
        <f aca="false">YEAR($B1400)</f>
        <v>2025</v>
      </c>
      <c r="D1400" s="61" t="str">
        <f aca="false">"Q"&amp;ROUNDUP(MONTH($B1400)/3,0)</f>
        <v>Q1</v>
      </c>
      <c r="E1400" s="61" t="n">
        <f aca="false">MONTH($B1400)</f>
        <v>2</v>
      </c>
      <c r="F1400" s="61" t="str">
        <f aca="false">INDEX(Parametros!$I$5:$I$16,$E1400)</f>
        <v>Feb</v>
      </c>
      <c r="G1400" s="61" t="str">
        <f aca="false">TEXT($C1400,"0000")&amp;"-"&amp;TEXT($E1400,"00")</f>
        <v>2025-02</v>
      </c>
      <c r="H1400" s="61" t="str">
        <f aca="false">INDEX(Parametros!$C$71:$C$91,MATCH(TRIM(INDEX(Datos_Origen!$C$2:$C$2459,$Z1400)),Parametros!$B$71:$B$91,0))</f>
        <v>NOA</v>
      </c>
      <c r="I1400" s="61" t="str">
        <f aca="false">IF(TRIM($AD1400)="",INDEX(Parametros!$I$20:$I$24,MATCH($H1400,Parametros!$H$20:$H$24,0)),TRIM($AD1400))</f>
        <v>Tucuman</v>
      </c>
      <c r="J1400" s="61" t="str">
        <f aca="false">INDEX(Parametros!$C$95:$C$106,MATCH(TRIM(INDEX(Datos_Origen!$E$2:$E$2459,$Z1400)),Parametros!$B$95:$B$106,0))</f>
        <v>Tienda fisica</v>
      </c>
      <c r="K1400" s="61" t="str">
        <f aca="false">INDEX(Parametros!$C$48:$C$67,MATCH(TRIM(INDEX(Datos_Origen!$F$2:$F$2459,$Z1400)),Parametros!$B$48:$B$67,0))</f>
        <v>Almacenamiento</v>
      </c>
      <c r="L1400" s="61" t="str">
        <f aca="false">$K1400&amp;" "&amp;$C1400</f>
        <v>Almacenamiento 2025</v>
      </c>
      <c r="M1400" s="61" t="str">
        <f aca="false">TRIM(INDEX(Datos_Origen!$G$2:$G$2459,$Z1400))</f>
        <v>Pendrive 256GB</v>
      </c>
      <c r="N1400" s="61" t="str">
        <f aca="false">$M1400&amp;" "&amp;$C1400</f>
        <v>Pendrive 256GB 2025</v>
      </c>
      <c r="O1400" s="63" t="n">
        <f aca="false">IF(ISTEXT($AC1400),VALUE($AC1400),$AC1400)</f>
        <v>14</v>
      </c>
      <c r="P1400" s="64" t="n">
        <f aca="false">INDEX(Datos_Origen!$I$2:$I$2459,$Z1400)</f>
        <v>34.78</v>
      </c>
      <c r="Q1400" s="64" t="n">
        <f aca="false">INDEX(Datos_Origen!$J$2:$J$2459,$Z1400)</f>
        <v>18.39</v>
      </c>
      <c r="R1400" s="65" t="n">
        <f aca="false">ROUND($O1400*$P1400,2)</f>
        <v>486.92</v>
      </c>
      <c r="S1400" s="65" t="n">
        <f aca="false">ROUND($O1400*$Q1400,2)</f>
        <v>257.46</v>
      </c>
      <c r="T1400" s="65" t="n">
        <f aca="false">ROUND($R1400*SUMIFS(Parametros!$E$28:$E$43,Parametros!$B$28:$B$43,$J1400,Parametros!$C$28:$C$43,$C1400,Parametros!$D$28:$D$43,$D1400),2)</f>
        <v>6.33</v>
      </c>
      <c r="U1400" s="65" t="n">
        <f aca="false">$R1400-$S1400-$T1400</f>
        <v>223.13</v>
      </c>
      <c r="V1400" s="66" t="n">
        <f aca="false">IFERROR($U1400/$R1400,0)</f>
        <v>0.458247761439251</v>
      </c>
      <c r="W1400" s="67" t="str">
        <f aca="false">IF(AND($V1400&gt;=Parametros!$C$8,$R1400&gt;=Parametros!$C$12),"Alta rentabilidad",IF(OR($V1400&lt;Parametros!$C$11,$R1400&lt;Parametros!$C$13),"Revisar","Estandar"))</f>
        <v>Estandar</v>
      </c>
      <c r="X1400" s="67" t="str">
        <f aca="false">IF(AND($J1400="E-commerce",IFERROR($T1400/$R1400,0)&gt;Parametros!$C$14),"Alerta","OK")</f>
        <v>OK</v>
      </c>
      <c r="Y1400" s="61" t="str">
        <f aca="false">IF($R1400&gt;=Parametros!$C$12,"Alto",IF($R1400&lt;Parametros!$C$13,"Bajo","Medio"))</f>
        <v>Medio</v>
      </c>
      <c r="Z1400" s="61" t="n">
        <v>1706</v>
      </c>
      <c r="AA1400" s="61" t="str">
        <f aca="false">IF(MATCH($A1400,Datos_Origen!$A$2:$A$2459,0)=$Z1400,"OK","REVISAR")</f>
        <v>OK</v>
      </c>
      <c r="AB1400" s="62" t="n">
        <f aca="false">INDEX(Datos_Origen!$B$2:$B$2459,$Z1400)</f>
        <v>45708</v>
      </c>
      <c r="AC1400" s="61" t="n">
        <f aca="false">INDEX(Datos_Origen!$H$2:$H$2459,$Z1400)</f>
        <v>14</v>
      </c>
      <c r="AD1400" s="61" t="str">
        <f aca="false">INDEX(Datos_Origen!$D$2:$D$2459,$Z1400)&amp;""</f>
        <v>Tucuman</v>
      </c>
    </row>
    <row r="1401" customFormat="false" ht="15" hidden="false" customHeight="false" outlineLevel="0" collapsed="false">
      <c r="A1401" s="61" t="n">
        <f aca="false">INDEX(Datos_Origen!$A$2:$A$2459,$Z1401)</f>
        <v>1400</v>
      </c>
      <c r="B1401" s="62" t="n">
        <f aca="false">IF(ISNUMBER($AB1401),$AB1401,IF(MID($AB1401,5,1)="-",DATE(VALUE(LEFT($AB1401,4)),VALUE(MID($AB1401,6,2)),VALUE(RIGHT($AB1401,2))),DATE(VALUE(RIGHT($AB1401,4)),VALUE(MID($AB1401,4,2)),VALUE(LEFT($AB1401,2)))))</f>
        <v>45715</v>
      </c>
      <c r="C1401" s="61" t="n">
        <f aca="false">YEAR($B1401)</f>
        <v>2025</v>
      </c>
      <c r="D1401" s="61" t="str">
        <f aca="false">"Q"&amp;ROUNDUP(MONTH($B1401)/3,0)</f>
        <v>Q1</v>
      </c>
      <c r="E1401" s="61" t="n">
        <f aca="false">MONTH($B1401)</f>
        <v>2</v>
      </c>
      <c r="F1401" s="61" t="str">
        <f aca="false">INDEX(Parametros!$I$5:$I$16,$E1401)</f>
        <v>Feb</v>
      </c>
      <c r="G1401" s="61" t="str">
        <f aca="false">TEXT($C1401,"0000")&amp;"-"&amp;TEXT($E1401,"00")</f>
        <v>2025-02</v>
      </c>
      <c r="H1401" s="61" t="str">
        <f aca="false">INDEX(Parametros!$C$71:$C$91,MATCH(TRIM(INDEX(Datos_Origen!$C$2:$C$2459,$Z1401)),Parametros!$B$71:$B$91,0))</f>
        <v>NOA</v>
      </c>
      <c r="I1401" s="61" t="str">
        <f aca="false">IF(TRIM($AD1401)="",INDEX(Parametros!$I$20:$I$24,MATCH($H1401,Parametros!$H$20:$H$24,0)),TRIM($AD1401))</f>
        <v>Tucuman</v>
      </c>
      <c r="J1401" s="61" t="str">
        <f aca="false">INDEX(Parametros!$C$95:$C$106,MATCH(TRIM(INDEX(Datos_Origen!$E$2:$E$2459,$Z1401)),Parametros!$B$95:$B$106,0))</f>
        <v>E-commerce</v>
      </c>
      <c r="K1401" s="61" t="str">
        <f aca="false">INDEX(Parametros!$C$48:$C$67,MATCH(TRIM(INDEX(Datos_Origen!$F$2:$F$2459,$Z1401)),Parametros!$B$48:$B$67,0))</f>
        <v>Almacenamiento</v>
      </c>
      <c r="L1401" s="61" t="str">
        <f aca="false">$K1401&amp;" "&amp;$C1401</f>
        <v>Almacenamiento 2025</v>
      </c>
      <c r="M1401" s="61" t="str">
        <f aca="false">TRIM(INDEX(Datos_Origen!$G$2:$G$2459,$Z1401))</f>
        <v>Pendrive 256GB</v>
      </c>
      <c r="N1401" s="61" t="str">
        <f aca="false">$M1401&amp;" "&amp;$C1401</f>
        <v>Pendrive 256GB 2025</v>
      </c>
      <c r="O1401" s="63" t="n">
        <f aca="false">IF(ISTEXT($AC1401),VALUE($AC1401),$AC1401)</f>
        <v>10</v>
      </c>
      <c r="P1401" s="64" t="n">
        <f aca="false">INDEX(Datos_Origen!$I$2:$I$2459,$Z1401)</f>
        <v>34.78</v>
      </c>
      <c r="Q1401" s="64" t="n">
        <f aca="false">INDEX(Datos_Origen!$J$2:$J$2459,$Z1401)</f>
        <v>18.39</v>
      </c>
      <c r="R1401" s="65" t="n">
        <f aca="false">ROUND($O1401*$P1401,2)</f>
        <v>347.8</v>
      </c>
      <c r="S1401" s="65" t="n">
        <f aca="false">ROUND($O1401*$Q1401,2)</f>
        <v>183.9</v>
      </c>
      <c r="T1401" s="65" t="n">
        <f aca="false">ROUND($R1401*SUMIFS(Parametros!$E$28:$E$43,Parametros!$B$28:$B$43,$J1401,Parametros!$C$28:$C$43,$C1401,Parametros!$D$28:$D$43,$D1401),2)</f>
        <v>23.65</v>
      </c>
      <c r="U1401" s="65" t="n">
        <f aca="false">$R1401-$S1401-$T1401</f>
        <v>140.25</v>
      </c>
      <c r="V1401" s="66" t="n">
        <f aca="false">IFERROR($U1401/$R1401,0)</f>
        <v>0.403248993674526</v>
      </c>
      <c r="W1401" s="67" t="str">
        <f aca="false">IF(AND($V1401&gt;=Parametros!$C$8,$R1401&gt;=Parametros!$C$12),"Alta rentabilidad",IF(OR($V1401&lt;Parametros!$C$11,$R1401&lt;Parametros!$C$13),"Revisar","Estandar"))</f>
        <v>Estandar</v>
      </c>
      <c r="X1401" s="67" t="str">
        <f aca="false">IF(AND($J1401="E-commerce",IFERROR($T1401/$R1401,0)&gt;Parametros!$C$14),"Alerta","OK")</f>
        <v>Alerta</v>
      </c>
      <c r="Y1401" s="61" t="str">
        <f aca="false">IF($R1401&gt;=Parametros!$C$12,"Alto",IF($R1401&lt;Parametros!$C$13,"Bajo","Medio"))</f>
        <v>Medio</v>
      </c>
      <c r="Z1401" s="61" t="n">
        <v>490</v>
      </c>
      <c r="AA1401" s="61" t="str">
        <f aca="false">IF(MATCH($A1401,Datos_Origen!$A$2:$A$2459,0)=$Z1401,"OK","REVISAR")</f>
        <v>OK</v>
      </c>
      <c r="AB1401" s="62" t="n">
        <f aca="false">INDEX(Datos_Origen!$B$2:$B$2459,$Z1401)</f>
        <v>45715</v>
      </c>
      <c r="AC1401" s="61" t="n">
        <f aca="false">INDEX(Datos_Origen!$H$2:$H$2459,$Z1401)</f>
        <v>10</v>
      </c>
      <c r="AD1401" s="61" t="str">
        <f aca="false">INDEX(Datos_Origen!$D$2:$D$2459,$Z1401)&amp;""</f>
        <v>Tucuman</v>
      </c>
    </row>
    <row r="1402" customFormat="false" ht="15" hidden="false" customHeight="false" outlineLevel="0" collapsed="false">
      <c r="A1402" s="61" t="n">
        <f aca="false">INDEX(Datos_Origen!$A$2:$A$2459,$Z1402)</f>
        <v>1401</v>
      </c>
      <c r="B1402" s="62" t="n">
        <f aca="false">IF(ISNUMBER($AB1402),$AB1402,IF(MID($AB1402,5,1)="-",DATE(VALUE(LEFT($AB1402,4)),VALUE(MID($AB1402,6,2)),VALUE(RIGHT($AB1402,2))),DATE(VALUE(RIGHT($AB1402,4)),VALUE(MID($AB1402,4,2)),VALUE(LEFT($AB1402,2)))))</f>
        <v>45723</v>
      </c>
      <c r="C1402" s="61" t="n">
        <f aca="false">YEAR($B1402)</f>
        <v>2025</v>
      </c>
      <c r="D1402" s="61" t="str">
        <f aca="false">"Q"&amp;ROUNDUP(MONTH($B1402)/3,0)</f>
        <v>Q1</v>
      </c>
      <c r="E1402" s="61" t="n">
        <f aca="false">MONTH($B1402)</f>
        <v>3</v>
      </c>
      <c r="F1402" s="61" t="str">
        <f aca="false">INDEX(Parametros!$I$5:$I$16,$E1402)</f>
        <v>Mar</v>
      </c>
      <c r="G1402" s="61" t="str">
        <f aca="false">TEXT($C1402,"0000")&amp;"-"&amp;TEXT($E1402,"00")</f>
        <v>2025-03</v>
      </c>
      <c r="H1402" s="61" t="str">
        <f aca="false">INDEX(Parametros!$C$71:$C$91,MATCH(TRIM(INDEX(Datos_Origen!$C$2:$C$2459,$Z1402)),Parametros!$B$71:$B$91,0))</f>
        <v>AMBA</v>
      </c>
      <c r="I1402" s="61" t="str">
        <f aca="false">IF(TRIM($AD1402)="",INDEX(Parametros!$I$20:$I$24,MATCH($H1402,Parametros!$H$20:$H$24,0)),TRIM($AD1402))</f>
        <v>Buenos Aires</v>
      </c>
      <c r="J1402" s="61" t="str">
        <f aca="false">INDEX(Parametros!$C$95:$C$106,MATCH(TRIM(INDEX(Datos_Origen!$E$2:$E$2459,$Z1402)),Parametros!$B$95:$B$106,0))</f>
        <v>Tienda fisica</v>
      </c>
      <c r="K1402" s="61" t="str">
        <f aca="false">INDEX(Parametros!$C$48:$C$67,MATCH(TRIM(INDEX(Datos_Origen!$F$2:$F$2459,$Z1402)),Parametros!$B$48:$B$67,0))</f>
        <v>Computacion</v>
      </c>
      <c r="L1402" s="61" t="str">
        <f aca="false">$K1402&amp;" "&amp;$C1402</f>
        <v>Computacion 2025</v>
      </c>
      <c r="M1402" s="61" t="str">
        <f aca="false">TRIM(INDEX(Datos_Origen!$G$2:$G$2459,$Z1402))</f>
        <v>Laptop Pro 15</v>
      </c>
      <c r="N1402" s="61" t="str">
        <f aca="false">$M1402&amp;" "&amp;$C1402</f>
        <v>Laptop Pro 15 2025</v>
      </c>
      <c r="O1402" s="63" t="n">
        <f aca="false">IF(ISTEXT($AC1402),VALUE($AC1402),$AC1402)</f>
        <v>19</v>
      </c>
      <c r="P1402" s="64" t="n">
        <f aca="false">INDEX(Datos_Origen!$I$2:$I$2459,$Z1402)</f>
        <v>1155.06</v>
      </c>
      <c r="Q1402" s="64" t="n">
        <f aca="false">INDEX(Datos_Origen!$J$2:$J$2459,$Z1402)</f>
        <v>766.32</v>
      </c>
      <c r="R1402" s="65" t="n">
        <f aca="false">ROUND($O1402*$P1402,2)</f>
        <v>21946.14</v>
      </c>
      <c r="S1402" s="65" t="n">
        <f aca="false">ROUND($O1402*$Q1402,2)</f>
        <v>14560.08</v>
      </c>
      <c r="T1402" s="65" t="n">
        <f aca="false">ROUND($R1402*SUMIFS(Parametros!$E$28:$E$43,Parametros!$B$28:$B$43,$J1402,Parametros!$C$28:$C$43,$C1402,Parametros!$D$28:$D$43,$D1402),2)</f>
        <v>285.3</v>
      </c>
      <c r="U1402" s="65" t="n">
        <f aca="false">$R1402-$S1402-$T1402</f>
        <v>7100.76</v>
      </c>
      <c r="V1402" s="66" t="n">
        <f aca="false">IFERROR($U1402/$R1402,0)</f>
        <v>0.323553937047699</v>
      </c>
      <c r="W1402" s="67" t="str">
        <f aca="false">IF(AND($V1402&gt;=Parametros!$C$8,$R1402&gt;=Parametros!$C$12),"Alta rentabilidad",IF(OR($V1402&lt;Parametros!$C$11,$R1402&lt;Parametros!$C$13),"Revisar","Estandar"))</f>
        <v>Estandar</v>
      </c>
      <c r="X1402" s="67" t="str">
        <f aca="false">IF(AND($J1402="E-commerce",IFERROR($T1402/$R1402,0)&gt;Parametros!$C$14),"Alerta","OK")</f>
        <v>OK</v>
      </c>
      <c r="Y1402" s="61" t="str">
        <f aca="false">IF($R1402&gt;=Parametros!$C$12,"Alto",IF($R1402&lt;Parametros!$C$13,"Bajo","Medio"))</f>
        <v>Alto</v>
      </c>
      <c r="Z1402" s="61" t="n">
        <v>307</v>
      </c>
      <c r="AA1402" s="61" t="str">
        <f aca="false">IF(MATCH($A1402,Datos_Origen!$A$2:$A$2459,0)=$Z1402,"OK","REVISAR")</f>
        <v>OK</v>
      </c>
      <c r="AB1402" s="62" t="n">
        <f aca="false">INDEX(Datos_Origen!$B$2:$B$2459,$Z1402)</f>
        <v>45723</v>
      </c>
      <c r="AC1402" s="61" t="n">
        <f aca="false">INDEX(Datos_Origen!$H$2:$H$2459,$Z1402)</f>
        <v>19</v>
      </c>
      <c r="AD1402" s="61" t="str">
        <f aca="false">INDEX(Datos_Origen!$D$2:$D$2459,$Z1402)&amp;""</f>
        <v>Buenos Aires</v>
      </c>
    </row>
    <row r="1403" customFormat="false" ht="15" hidden="false" customHeight="false" outlineLevel="0" collapsed="false">
      <c r="A1403" s="61" t="n">
        <f aca="false">INDEX(Datos_Origen!$A$2:$A$2459,$Z1403)</f>
        <v>1402</v>
      </c>
      <c r="B1403" s="62" t="n">
        <f aca="false">IF(ISNUMBER($AB1403),$AB1403,IF(MID($AB1403,5,1)="-",DATE(VALUE(LEFT($AB1403,4)),VALUE(MID($AB1403,6,2)),VALUE(RIGHT($AB1403,2))),DATE(VALUE(RIGHT($AB1403,4)),VALUE(MID($AB1403,4,2)),VALUE(LEFT($AB1403,2)))))</f>
        <v>45730</v>
      </c>
      <c r="C1403" s="61" t="n">
        <f aca="false">YEAR($B1403)</f>
        <v>2025</v>
      </c>
      <c r="D1403" s="61" t="str">
        <f aca="false">"Q"&amp;ROUNDUP(MONTH($B1403)/3,0)</f>
        <v>Q1</v>
      </c>
      <c r="E1403" s="61" t="n">
        <f aca="false">MONTH($B1403)</f>
        <v>3</v>
      </c>
      <c r="F1403" s="61" t="str">
        <f aca="false">INDEX(Parametros!$I$5:$I$16,$E1403)</f>
        <v>Mar</v>
      </c>
      <c r="G1403" s="61" t="str">
        <f aca="false">TEXT($C1403,"0000")&amp;"-"&amp;TEXT($E1403,"00")</f>
        <v>2025-03</v>
      </c>
      <c r="H1403" s="61" t="str">
        <f aca="false">INDEX(Parametros!$C$71:$C$91,MATCH(TRIM(INDEX(Datos_Origen!$C$2:$C$2459,$Z1403)),Parametros!$B$71:$B$91,0))</f>
        <v>AMBA</v>
      </c>
      <c r="I1403" s="61" t="str">
        <f aca="false">IF(TRIM($AD1403)="",INDEX(Parametros!$I$20:$I$24,MATCH($H1403,Parametros!$H$20:$H$24,0)),TRIM($AD1403))</f>
        <v>Buenos Aires</v>
      </c>
      <c r="J1403" s="61" t="str">
        <f aca="false">INDEX(Parametros!$C$95:$C$106,MATCH(TRIM(INDEX(Datos_Origen!$E$2:$E$2459,$Z1403)),Parametros!$B$95:$B$106,0))</f>
        <v>E-commerce</v>
      </c>
      <c r="K1403" s="61" t="str">
        <f aca="false">INDEX(Parametros!$C$48:$C$67,MATCH(TRIM(INDEX(Datos_Origen!$F$2:$F$2459,$Z1403)),Parametros!$B$48:$B$67,0))</f>
        <v>Computacion</v>
      </c>
      <c r="L1403" s="61" t="str">
        <f aca="false">$K1403&amp;" "&amp;$C1403</f>
        <v>Computacion 2025</v>
      </c>
      <c r="M1403" s="61" t="str">
        <f aca="false">TRIM(INDEX(Datos_Origen!$G$2:$G$2459,$Z1403))</f>
        <v>Laptop Pro 15</v>
      </c>
      <c r="N1403" s="61" t="str">
        <f aca="false">$M1403&amp;" "&amp;$C1403</f>
        <v>Laptop Pro 15 2025</v>
      </c>
      <c r="O1403" s="63" t="n">
        <f aca="false">IF(ISTEXT($AC1403),VALUE($AC1403),$AC1403)</f>
        <v>12</v>
      </c>
      <c r="P1403" s="64" t="n">
        <f aca="false">INDEX(Datos_Origen!$I$2:$I$2459,$Z1403)</f>
        <v>1155.06</v>
      </c>
      <c r="Q1403" s="64" t="n">
        <f aca="false">INDEX(Datos_Origen!$J$2:$J$2459,$Z1403)</f>
        <v>766.32</v>
      </c>
      <c r="R1403" s="65" t="n">
        <f aca="false">ROUND($O1403*$P1403,2)</f>
        <v>13860.72</v>
      </c>
      <c r="S1403" s="65" t="n">
        <f aca="false">ROUND($O1403*$Q1403,2)</f>
        <v>9195.84</v>
      </c>
      <c r="T1403" s="65" t="n">
        <f aca="false">ROUND($R1403*SUMIFS(Parametros!$E$28:$E$43,Parametros!$B$28:$B$43,$J1403,Parametros!$C$28:$C$43,$C1403,Parametros!$D$28:$D$43,$D1403),2)</f>
        <v>942.53</v>
      </c>
      <c r="U1403" s="65" t="n">
        <f aca="false">$R1403-$S1403-$T1403</f>
        <v>3722.35</v>
      </c>
      <c r="V1403" s="66" t="n">
        <f aca="false">IFERROR($U1403/$R1403,0)</f>
        <v>0.26855387021742</v>
      </c>
      <c r="W1403" s="67" t="str">
        <f aca="false">IF(AND($V1403&gt;=Parametros!$C$8,$R1403&gt;=Parametros!$C$12),"Alta rentabilidad",IF(OR($V1403&lt;Parametros!$C$11,$R1403&lt;Parametros!$C$13),"Revisar","Estandar"))</f>
        <v>Revisar</v>
      </c>
      <c r="X1403" s="67" t="str">
        <f aca="false">IF(AND($J1403="E-commerce",IFERROR($T1403/$R1403,0)&gt;Parametros!$C$14),"Alerta","OK")</f>
        <v>Alerta</v>
      </c>
      <c r="Y1403" s="61" t="str">
        <f aca="false">IF($R1403&gt;=Parametros!$C$12,"Alto",IF($R1403&lt;Parametros!$C$13,"Bajo","Medio"))</f>
        <v>Alto</v>
      </c>
      <c r="Z1403" s="61" t="n">
        <v>949</v>
      </c>
      <c r="AA1403" s="61" t="str">
        <f aca="false">IF(MATCH($A1403,Datos_Origen!$A$2:$A$2459,0)=$Z1403,"OK","REVISAR")</f>
        <v>OK</v>
      </c>
      <c r="AB1403" s="62" t="n">
        <f aca="false">INDEX(Datos_Origen!$B$2:$B$2459,$Z1403)</f>
        <v>45730</v>
      </c>
      <c r="AC1403" s="61" t="n">
        <f aca="false">INDEX(Datos_Origen!$H$2:$H$2459,$Z1403)</f>
        <v>12</v>
      </c>
      <c r="AD1403" s="61" t="str">
        <f aca="false">INDEX(Datos_Origen!$D$2:$D$2459,$Z1403)&amp;""</f>
        <v>Buenos Aires</v>
      </c>
    </row>
    <row r="1404" customFormat="false" ht="15" hidden="false" customHeight="false" outlineLevel="0" collapsed="false">
      <c r="A1404" s="61" t="n">
        <f aca="false">INDEX(Datos_Origen!$A$2:$A$2459,$Z1404)</f>
        <v>1403</v>
      </c>
      <c r="B1404" s="62" t="n">
        <f aca="false">IF(ISNUMBER($AB1404),$AB1404,IF(MID($AB1404,5,1)="-",DATE(VALUE(LEFT($AB1404,4)),VALUE(MID($AB1404,6,2)),VALUE(RIGHT($AB1404,2))),DATE(VALUE(RIGHT($AB1404,4)),VALUE(MID($AB1404,4,2)),VALUE(LEFT($AB1404,2)))))</f>
        <v>45737</v>
      </c>
      <c r="C1404" s="61" t="n">
        <f aca="false">YEAR($B1404)</f>
        <v>2025</v>
      </c>
      <c r="D1404" s="61" t="str">
        <f aca="false">"Q"&amp;ROUNDUP(MONTH($B1404)/3,0)</f>
        <v>Q1</v>
      </c>
      <c r="E1404" s="61" t="n">
        <f aca="false">MONTH($B1404)</f>
        <v>3</v>
      </c>
      <c r="F1404" s="61" t="str">
        <f aca="false">INDEX(Parametros!$I$5:$I$16,$E1404)</f>
        <v>Mar</v>
      </c>
      <c r="G1404" s="61" t="str">
        <f aca="false">TEXT($C1404,"0000")&amp;"-"&amp;TEXT($E1404,"00")</f>
        <v>2025-03</v>
      </c>
      <c r="H1404" s="61" t="str">
        <f aca="false">INDEX(Parametros!$C$71:$C$91,MATCH(TRIM(INDEX(Datos_Origen!$C$2:$C$2459,$Z1404)),Parametros!$B$71:$B$91,0))</f>
        <v>AMBA</v>
      </c>
      <c r="I1404" s="61" t="str">
        <f aca="false">IF(TRIM($AD1404)="",INDEX(Parametros!$I$20:$I$24,MATCH($H1404,Parametros!$H$20:$H$24,0)),TRIM($AD1404))</f>
        <v>Buenos Aires</v>
      </c>
      <c r="J1404" s="61" t="str">
        <f aca="false">INDEX(Parametros!$C$95:$C$106,MATCH(TRIM(INDEX(Datos_Origen!$E$2:$E$2459,$Z1404)),Parametros!$B$95:$B$106,0))</f>
        <v>Tienda fisica</v>
      </c>
      <c r="K1404" s="61" t="str">
        <f aca="false">INDEX(Parametros!$C$48:$C$67,MATCH(TRIM(INDEX(Datos_Origen!$F$2:$F$2459,$Z1404)),Parametros!$B$48:$B$67,0))</f>
        <v>Computacion</v>
      </c>
      <c r="L1404" s="61" t="str">
        <f aca="false">$K1404&amp;" "&amp;$C1404</f>
        <v>Computacion 2025</v>
      </c>
      <c r="M1404" s="61" t="str">
        <f aca="false">TRIM(INDEX(Datos_Origen!$G$2:$G$2459,$Z1404))</f>
        <v>Monitor 4K 27</v>
      </c>
      <c r="N1404" s="61" t="str">
        <f aca="false">$M1404&amp;" "&amp;$C1404</f>
        <v>Monitor 4K 27 2025</v>
      </c>
      <c r="O1404" s="63" t="n">
        <f aca="false">IF(ISTEXT($AC1404),VALUE($AC1404),$AC1404)</f>
        <v>23</v>
      </c>
      <c r="P1404" s="64" t="n">
        <f aca="false">INDEX(Datos_Origen!$I$2:$I$2459,$Z1404)</f>
        <v>433.15</v>
      </c>
      <c r="Q1404" s="64" t="n">
        <f aca="false">INDEX(Datos_Origen!$J$2:$J$2459,$Z1404)</f>
        <v>280.42</v>
      </c>
      <c r="R1404" s="65" t="n">
        <f aca="false">ROUND($O1404*$P1404,2)</f>
        <v>9962.45</v>
      </c>
      <c r="S1404" s="65" t="n">
        <f aca="false">ROUND($O1404*$Q1404,2)</f>
        <v>6449.66</v>
      </c>
      <c r="T1404" s="65" t="n">
        <f aca="false">ROUND($R1404*SUMIFS(Parametros!$E$28:$E$43,Parametros!$B$28:$B$43,$J1404,Parametros!$C$28:$C$43,$C1404,Parametros!$D$28:$D$43,$D1404),2)</f>
        <v>129.51</v>
      </c>
      <c r="U1404" s="65" t="n">
        <f aca="false">$R1404-$S1404-$T1404</f>
        <v>3383.28</v>
      </c>
      <c r="V1404" s="66" t="n">
        <f aca="false">IFERROR($U1404/$R1404,0)</f>
        <v>0.339603210053752</v>
      </c>
      <c r="W1404" s="67" t="str">
        <f aca="false">IF(AND($V1404&gt;=Parametros!$C$8,$R1404&gt;=Parametros!$C$12),"Alta rentabilidad",IF(OR($V1404&lt;Parametros!$C$11,$R1404&lt;Parametros!$C$13),"Revisar","Estandar"))</f>
        <v>Estandar</v>
      </c>
      <c r="X1404" s="67" t="str">
        <f aca="false">IF(AND($J1404="E-commerce",IFERROR($T1404/$R1404,0)&gt;Parametros!$C$14),"Alerta","OK")</f>
        <v>OK</v>
      </c>
      <c r="Y1404" s="61" t="str">
        <f aca="false">IF($R1404&gt;=Parametros!$C$12,"Alto",IF($R1404&lt;Parametros!$C$13,"Bajo","Medio"))</f>
        <v>Alto</v>
      </c>
      <c r="Z1404" s="61" t="n">
        <v>2454</v>
      </c>
      <c r="AA1404" s="61" t="str">
        <f aca="false">IF(MATCH($A1404,Datos_Origen!$A$2:$A$2459,0)=$Z1404,"OK","REVISAR")</f>
        <v>OK</v>
      </c>
      <c r="AB1404" s="61" t="str">
        <f aca="false">INDEX(Datos_Origen!$B$2:$B$2459,$Z1404)</f>
        <v>21/03/2025</v>
      </c>
      <c r="AC1404" s="61" t="n">
        <f aca="false">INDEX(Datos_Origen!$H$2:$H$2459,$Z1404)</f>
        <v>23</v>
      </c>
      <c r="AD1404" s="61" t="str">
        <f aca="false">INDEX(Datos_Origen!$D$2:$D$2459,$Z1404)&amp;""</f>
        <v>Buenos Aires</v>
      </c>
    </row>
    <row r="1405" customFormat="false" ht="15" hidden="false" customHeight="false" outlineLevel="0" collapsed="false">
      <c r="A1405" s="61" t="n">
        <f aca="false">INDEX(Datos_Origen!$A$2:$A$2459,$Z1405)</f>
        <v>1404</v>
      </c>
      <c r="B1405" s="62" t="n">
        <f aca="false">IF(ISNUMBER($AB1405),$AB1405,IF(MID($AB1405,5,1)="-",DATE(VALUE(LEFT($AB1405,4)),VALUE(MID($AB1405,6,2)),VALUE(RIGHT($AB1405,2))),DATE(VALUE(RIGHT($AB1405,4)),VALUE(MID($AB1405,4,2)),VALUE(LEFT($AB1405,2)))))</f>
        <v>45717</v>
      </c>
      <c r="C1405" s="61" t="n">
        <f aca="false">YEAR($B1405)</f>
        <v>2025</v>
      </c>
      <c r="D1405" s="61" t="str">
        <f aca="false">"Q"&amp;ROUNDUP(MONTH($B1405)/3,0)</f>
        <v>Q1</v>
      </c>
      <c r="E1405" s="61" t="n">
        <f aca="false">MONTH($B1405)</f>
        <v>3</v>
      </c>
      <c r="F1405" s="61" t="str">
        <f aca="false">INDEX(Parametros!$I$5:$I$16,$E1405)</f>
        <v>Mar</v>
      </c>
      <c r="G1405" s="61" t="str">
        <f aca="false">TEXT($C1405,"0000")&amp;"-"&amp;TEXT($E1405,"00")</f>
        <v>2025-03</v>
      </c>
      <c r="H1405" s="61" t="str">
        <f aca="false">INDEX(Parametros!$C$71:$C$91,MATCH(TRIM(INDEX(Datos_Origen!$C$2:$C$2459,$Z1405)),Parametros!$B$71:$B$91,0))</f>
        <v>AMBA</v>
      </c>
      <c r="I1405" s="61" t="str">
        <f aca="false">IF(TRIM($AD1405)="",INDEX(Parametros!$I$20:$I$24,MATCH($H1405,Parametros!$H$20:$H$24,0)),TRIM($AD1405))</f>
        <v>Buenos Aires</v>
      </c>
      <c r="J1405" s="61" t="str">
        <f aca="false">INDEX(Parametros!$C$95:$C$106,MATCH(TRIM(INDEX(Datos_Origen!$E$2:$E$2459,$Z1405)),Parametros!$B$95:$B$106,0))</f>
        <v>E-commerce</v>
      </c>
      <c r="K1405" s="61" t="str">
        <f aca="false">INDEX(Parametros!$C$48:$C$67,MATCH(TRIM(INDEX(Datos_Origen!$F$2:$F$2459,$Z1405)),Parametros!$B$48:$B$67,0))</f>
        <v>Computacion</v>
      </c>
      <c r="L1405" s="61" t="str">
        <f aca="false">$K1405&amp;" "&amp;$C1405</f>
        <v>Computacion 2025</v>
      </c>
      <c r="M1405" s="61" t="str">
        <f aca="false">TRIM(INDEX(Datos_Origen!$G$2:$G$2459,$Z1405))</f>
        <v>Monitor 4K 27</v>
      </c>
      <c r="N1405" s="61" t="str">
        <f aca="false">$M1405&amp;" "&amp;$C1405</f>
        <v>Monitor 4K 27 2025</v>
      </c>
      <c r="O1405" s="63" t="n">
        <f aca="false">IF(ISTEXT($AC1405),VALUE($AC1405),$AC1405)</f>
        <v>16</v>
      </c>
      <c r="P1405" s="64" t="n">
        <f aca="false">INDEX(Datos_Origen!$I$2:$I$2459,$Z1405)</f>
        <v>433.15</v>
      </c>
      <c r="Q1405" s="64" t="n">
        <f aca="false">INDEX(Datos_Origen!$J$2:$J$2459,$Z1405)</f>
        <v>280.42</v>
      </c>
      <c r="R1405" s="65" t="n">
        <f aca="false">ROUND($O1405*$P1405,2)</f>
        <v>6930.4</v>
      </c>
      <c r="S1405" s="65" t="n">
        <f aca="false">ROUND($O1405*$Q1405,2)</f>
        <v>4486.72</v>
      </c>
      <c r="T1405" s="65" t="n">
        <f aca="false">ROUND($R1405*SUMIFS(Parametros!$E$28:$E$43,Parametros!$B$28:$B$43,$J1405,Parametros!$C$28:$C$43,$C1405,Parametros!$D$28:$D$43,$D1405),2)</f>
        <v>471.27</v>
      </c>
      <c r="U1405" s="65" t="n">
        <f aca="false">$R1405-$S1405-$T1405</f>
        <v>1972.41</v>
      </c>
      <c r="V1405" s="66" t="n">
        <f aca="false">IFERROR($U1405/$R1405,0)</f>
        <v>0.284602620339374</v>
      </c>
      <c r="W1405" s="67" t="str">
        <f aca="false">IF(AND($V1405&gt;=Parametros!$C$8,$R1405&gt;=Parametros!$C$12),"Alta rentabilidad",IF(OR($V1405&lt;Parametros!$C$11,$R1405&lt;Parametros!$C$13),"Revisar","Estandar"))</f>
        <v>Estandar</v>
      </c>
      <c r="X1405" s="67" t="str">
        <f aca="false">IF(AND($J1405="E-commerce",IFERROR($T1405/$R1405,0)&gt;Parametros!$C$14),"Alerta","OK")</f>
        <v>Alerta</v>
      </c>
      <c r="Y1405" s="61" t="str">
        <f aca="false">IF($R1405&gt;=Parametros!$C$12,"Alto",IF($R1405&lt;Parametros!$C$13,"Bajo","Medio"))</f>
        <v>Alto</v>
      </c>
      <c r="Z1405" s="61" t="n">
        <v>746</v>
      </c>
      <c r="AA1405" s="61" t="str">
        <f aca="false">IF(MATCH($A1405,Datos_Origen!$A$2:$A$2459,0)=$Z1405,"OK","REVISAR")</f>
        <v>OK</v>
      </c>
      <c r="AB1405" s="62" t="n">
        <f aca="false">INDEX(Datos_Origen!$B$2:$B$2459,$Z1405)</f>
        <v>45717</v>
      </c>
      <c r="AC1405" s="61" t="n">
        <f aca="false">INDEX(Datos_Origen!$H$2:$H$2459,$Z1405)</f>
        <v>16</v>
      </c>
      <c r="AD1405" s="61" t="str">
        <f aca="false">INDEX(Datos_Origen!$D$2:$D$2459,$Z1405)&amp;""</f>
        <v>Buenos Aires</v>
      </c>
    </row>
    <row r="1406" customFormat="false" ht="15" hidden="false" customHeight="false" outlineLevel="0" collapsed="false">
      <c r="A1406" s="61" t="n">
        <f aca="false">INDEX(Datos_Origen!$A$2:$A$2459,$Z1406)</f>
        <v>1405</v>
      </c>
      <c r="B1406" s="62" t="n">
        <f aca="false">IF(ISNUMBER($AB1406),$AB1406,IF(MID($AB1406,5,1)="-",DATE(VALUE(LEFT($AB1406,4)),VALUE(MID($AB1406,6,2)),VALUE(RIGHT($AB1406,2))),DATE(VALUE(RIGHT($AB1406,4)),VALUE(MID($AB1406,4,2)),VALUE(LEFT($AB1406,2)))))</f>
        <v>45724</v>
      </c>
      <c r="C1406" s="61" t="n">
        <f aca="false">YEAR($B1406)</f>
        <v>2025</v>
      </c>
      <c r="D1406" s="61" t="str">
        <f aca="false">"Q"&amp;ROUNDUP(MONTH($B1406)/3,0)</f>
        <v>Q1</v>
      </c>
      <c r="E1406" s="61" t="n">
        <f aca="false">MONTH($B1406)</f>
        <v>3</v>
      </c>
      <c r="F1406" s="61" t="str">
        <f aca="false">INDEX(Parametros!$I$5:$I$16,$E1406)</f>
        <v>Mar</v>
      </c>
      <c r="G1406" s="61" t="str">
        <f aca="false">TEXT($C1406,"0000")&amp;"-"&amp;TEXT($E1406,"00")</f>
        <v>2025-03</v>
      </c>
      <c r="H1406" s="61" t="str">
        <f aca="false">INDEX(Parametros!$C$71:$C$91,MATCH(TRIM(INDEX(Datos_Origen!$C$2:$C$2459,$Z1406)),Parametros!$B$71:$B$91,0))</f>
        <v>AMBA</v>
      </c>
      <c r="I1406" s="61" t="str">
        <f aca="false">IF(TRIM($AD1406)="",INDEX(Parametros!$I$20:$I$24,MATCH($H1406,Parametros!$H$20:$H$24,0)),TRIM($AD1406))</f>
        <v>Buenos Aires</v>
      </c>
      <c r="J1406" s="61" t="str">
        <f aca="false">INDEX(Parametros!$C$95:$C$106,MATCH(TRIM(INDEX(Datos_Origen!$E$2:$E$2459,$Z1406)),Parametros!$B$95:$B$106,0))</f>
        <v>Tienda fisica</v>
      </c>
      <c r="K1406" s="61" t="str">
        <f aca="false">INDEX(Parametros!$C$48:$C$67,MATCH(TRIM(INDEX(Datos_Origen!$F$2:$F$2459,$Z1406)),Parametros!$B$48:$B$67,0))</f>
        <v>Computacion</v>
      </c>
      <c r="L1406" s="61" t="str">
        <f aca="false">$K1406&amp;" "&amp;$C1406</f>
        <v>Computacion 2025</v>
      </c>
      <c r="M1406" s="61" t="str">
        <f aca="false">TRIM(INDEX(Datos_Origen!$G$2:$G$2459,$Z1406))</f>
        <v>PC Gamer Ryzen</v>
      </c>
      <c r="N1406" s="61" t="str">
        <f aca="false">$M1406&amp;" "&amp;$C1406</f>
        <v>PC Gamer Ryzen 2025</v>
      </c>
      <c r="O1406" s="63" t="n">
        <f aca="false">IF(ISTEXT($AC1406),VALUE($AC1406),$AC1406)</f>
        <v>20</v>
      </c>
      <c r="P1406" s="64" t="n">
        <f aca="false">INDEX(Datos_Origen!$I$2:$I$2459,$Z1406)</f>
        <v>1588.21</v>
      </c>
      <c r="Q1406" s="64" t="n">
        <f aca="false">INDEX(Datos_Origen!$J$2:$J$2459,$Z1406)</f>
        <v>1155.66</v>
      </c>
      <c r="R1406" s="65" t="n">
        <f aca="false">ROUND($O1406*$P1406,2)</f>
        <v>31764.2</v>
      </c>
      <c r="S1406" s="65" t="n">
        <f aca="false">ROUND($O1406*$Q1406,2)</f>
        <v>23113.2</v>
      </c>
      <c r="T1406" s="65" t="n">
        <f aca="false">ROUND($R1406*SUMIFS(Parametros!$E$28:$E$43,Parametros!$B$28:$B$43,$J1406,Parametros!$C$28:$C$43,$C1406,Parametros!$D$28:$D$43,$D1406),2)</f>
        <v>412.93</v>
      </c>
      <c r="U1406" s="65" t="n">
        <f aca="false">$R1406-$S1406-$T1406</f>
        <v>8238.07</v>
      </c>
      <c r="V1406" s="66" t="n">
        <f aca="false">IFERROR($U1406/$R1406,0)</f>
        <v>0.259350778549436</v>
      </c>
      <c r="W1406" s="67" t="str">
        <f aca="false">IF(AND($V1406&gt;=Parametros!$C$8,$R1406&gt;=Parametros!$C$12),"Alta rentabilidad",IF(OR($V1406&lt;Parametros!$C$11,$R1406&lt;Parametros!$C$13),"Revisar","Estandar"))</f>
        <v>Revisar</v>
      </c>
      <c r="X1406" s="67" t="str">
        <f aca="false">IF(AND($J1406="E-commerce",IFERROR($T1406/$R1406,0)&gt;Parametros!$C$14),"Alerta","OK")</f>
        <v>OK</v>
      </c>
      <c r="Y1406" s="61" t="str">
        <f aca="false">IF($R1406&gt;=Parametros!$C$12,"Alto",IF($R1406&lt;Parametros!$C$13,"Bajo","Medio"))</f>
        <v>Alto</v>
      </c>
      <c r="Z1406" s="61" t="n">
        <v>333</v>
      </c>
      <c r="AA1406" s="61" t="str">
        <f aca="false">IF(MATCH($A1406,Datos_Origen!$A$2:$A$2459,0)=$Z1406,"OK","REVISAR")</f>
        <v>OK</v>
      </c>
      <c r="AB1406" s="62" t="n">
        <f aca="false">INDEX(Datos_Origen!$B$2:$B$2459,$Z1406)</f>
        <v>45724</v>
      </c>
      <c r="AC1406" s="61" t="n">
        <f aca="false">INDEX(Datos_Origen!$H$2:$H$2459,$Z1406)</f>
        <v>20</v>
      </c>
      <c r="AD1406" s="61" t="str">
        <f aca="false">INDEX(Datos_Origen!$D$2:$D$2459,$Z1406)&amp;""</f>
        <v>Buenos Aires</v>
      </c>
    </row>
    <row r="1407" customFormat="false" ht="15" hidden="false" customHeight="false" outlineLevel="0" collapsed="false">
      <c r="A1407" s="61" t="n">
        <f aca="false">INDEX(Datos_Origen!$A$2:$A$2459,$Z1407)</f>
        <v>1406</v>
      </c>
      <c r="B1407" s="62" t="n">
        <f aca="false">IF(ISNUMBER($AB1407),$AB1407,IF(MID($AB1407,5,1)="-",DATE(VALUE(LEFT($AB1407,4)),VALUE(MID($AB1407,6,2)),VALUE(RIGHT($AB1407,2))),DATE(VALUE(RIGHT($AB1407,4)),VALUE(MID($AB1407,4,2)),VALUE(LEFT($AB1407,2)))))</f>
        <v>45731</v>
      </c>
      <c r="C1407" s="61" t="n">
        <f aca="false">YEAR($B1407)</f>
        <v>2025</v>
      </c>
      <c r="D1407" s="61" t="str">
        <f aca="false">"Q"&amp;ROUNDUP(MONTH($B1407)/3,0)</f>
        <v>Q1</v>
      </c>
      <c r="E1407" s="61" t="n">
        <f aca="false">MONTH($B1407)</f>
        <v>3</v>
      </c>
      <c r="F1407" s="61" t="str">
        <f aca="false">INDEX(Parametros!$I$5:$I$16,$E1407)</f>
        <v>Mar</v>
      </c>
      <c r="G1407" s="61" t="str">
        <f aca="false">TEXT($C1407,"0000")&amp;"-"&amp;TEXT($E1407,"00")</f>
        <v>2025-03</v>
      </c>
      <c r="H1407" s="61" t="str">
        <f aca="false">INDEX(Parametros!$C$71:$C$91,MATCH(TRIM(INDEX(Datos_Origen!$C$2:$C$2459,$Z1407)),Parametros!$B$71:$B$91,0))</f>
        <v>AMBA</v>
      </c>
      <c r="I1407" s="61" t="str">
        <f aca="false">IF(TRIM($AD1407)="",INDEX(Parametros!$I$20:$I$24,MATCH($H1407,Parametros!$H$20:$H$24,0)),TRIM($AD1407))</f>
        <v>Buenos Aires</v>
      </c>
      <c r="J1407" s="61" t="str">
        <f aca="false">INDEX(Parametros!$C$95:$C$106,MATCH(TRIM(INDEX(Datos_Origen!$E$2:$E$2459,$Z1407)),Parametros!$B$95:$B$106,0))</f>
        <v>E-commerce</v>
      </c>
      <c r="K1407" s="61" t="str">
        <f aca="false">INDEX(Parametros!$C$48:$C$67,MATCH(TRIM(INDEX(Datos_Origen!$F$2:$F$2459,$Z1407)),Parametros!$B$48:$B$67,0))</f>
        <v>Computacion</v>
      </c>
      <c r="L1407" s="61" t="str">
        <f aca="false">$K1407&amp;" "&amp;$C1407</f>
        <v>Computacion 2025</v>
      </c>
      <c r="M1407" s="61" t="str">
        <f aca="false">TRIM(INDEX(Datos_Origen!$G$2:$G$2459,$Z1407))</f>
        <v>PC Gamer Ryzen</v>
      </c>
      <c r="N1407" s="61" t="str">
        <f aca="false">$M1407&amp;" "&amp;$C1407</f>
        <v>PC Gamer Ryzen 2025</v>
      </c>
      <c r="O1407" s="63" t="n">
        <f aca="false">IF(ISTEXT($AC1407),VALUE($AC1407),$AC1407)</f>
        <v>15</v>
      </c>
      <c r="P1407" s="64" t="n">
        <f aca="false">INDEX(Datos_Origen!$I$2:$I$2459,$Z1407)</f>
        <v>1588.21</v>
      </c>
      <c r="Q1407" s="64" t="n">
        <f aca="false">INDEX(Datos_Origen!$J$2:$J$2459,$Z1407)</f>
        <v>1155.66</v>
      </c>
      <c r="R1407" s="65" t="n">
        <f aca="false">ROUND($O1407*$P1407,2)</f>
        <v>23823.15</v>
      </c>
      <c r="S1407" s="65" t="n">
        <f aca="false">ROUND($O1407*$Q1407,2)</f>
        <v>17334.9</v>
      </c>
      <c r="T1407" s="65" t="n">
        <f aca="false">ROUND($R1407*SUMIFS(Parametros!$E$28:$E$43,Parametros!$B$28:$B$43,$J1407,Parametros!$C$28:$C$43,$C1407,Parametros!$D$28:$D$43,$D1407),2)</f>
        <v>1619.97</v>
      </c>
      <c r="U1407" s="65" t="n">
        <f aca="false">$R1407-$S1407-$T1407</f>
        <v>4868.28</v>
      </c>
      <c r="V1407" s="66" t="n">
        <f aca="false">IFERROR($U1407/$R1407,0)</f>
        <v>0.204350810031419</v>
      </c>
      <c r="W1407" s="67" t="str">
        <f aca="false">IF(AND($V1407&gt;=Parametros!$C$8,$R1407&gt;=Parametros!$C$12),"Alta rentabilidad",IF(OR($V1407&lt;Parametros!$C$11,$R1407&lt;Parametros!$C$13),"Revisar","Estandar"))</f>
        <v>Revisar</v>
      </c>
      <c r="X1407" s="67" t="str">
        <f aca="false">IF(AND($J1407="E-commerce",IFERROR($T1407/$R1407,0)&gt;Parametros!$C$14),"Alerta","OK")</f>
        <v>Alerta</v>
      </c>
      <c r="Y1407" s="61" t="str">
        <f aca="false">IF($R1407&gt;=Parametros!$C$12,"Alto",IF($R1407&lt;Parametros!$C$13,"Bajo","Medio"))</f>
        <v>Alto</v>
      </c>
      <c r="Z1407" s="61" t="n">
        <v>1135</v>
      </c>
      <c r="AA1407" s="61" t="str">
        <f aca="false">IF(MATCH($A1407,Datos_Origen!$A$2:$A$2459,0)=$Z1407,"OK","REVISAR")</f>
        <v>OK</v>
      </c>
      <c r="AB1407" s="62" t="n">
        <f aca="false">INDEX(Datos_Origen!$B$2:$B$2459,$Z1407)</f>
        <v>45731</v>
      </c>
      <c r="AC1407" s="61" t="n">
        <f aca="false">INDEX(Datos_Origen!$H$2:$H$2459,$Z1407)</f>
        <v>15</v>
      </c>
      <c r="AD1407" s="61" t="str">
        <f aca="false">INDEX(Datos_Origen!$D$2:$D$2459,$Z1407)&amp;""</f>
        <v>Buenos Aires</v>
      </c>
    </row>
    <row r="1408" customFormat="false" ht="15" hidden="false" customHeight="false" outlineLevel="0" collapsed="false">
      <c r="A1408" s="61" t="n">
        <f aca="false">INDEX(Datos_Origen!$A$2:$A$2459,$Z1408)</f>
        <v>1407</v>
      </c>
      <c r="B1408" s="62" t="n">
        <f aca="false">IF(ISNUMBER($AB1408),$AB1408,IF(MID($AB1408,5,1)="-",DATE(VALUE(LEFT($AB1408,4)),VALUE(MID($AB1408,6,2)),VALUE(RIGHT($AB1408,2))),DATE(VALUE(RIGHT($AB1408,4)),VALUE(MID($AB1408,4,2)),VALUE(LEFT($AB1408,2)))))</f>
        <v>45738</v>
      </c>
      <c r="C1408" s="61" t="n">
        <f aca="false">YEAR($B1408)</f>
        <v>2025</v>
      </c>
      <c r="D1408" s="61" t="str">
        <f aca="false">"Q"&amp;ROUNDUP(MONTH($B1408)/3,0)</f>
        <v>Q1</v>
      </c>
      <c r="E1408" s="61" t="n">
        <f aca="false">MONTH($B1408)</f>
        <v>3</v>
      </c>
      <c r="F1408" s="61" t="str">
        <f aca="false">INDEX(Parametros!$I$5:$I$16,$E1408)</f>
        <v>Mar</v>
      </c>
      <c r="G1408" s="61" t="str">
        <f aca="false">TEXT($C1408,"0000")&amp;"-"&amp;TEXT($E1408,"00")</f>
        <v>2025-03</v>
      </c>
      <c r="H1408" s="61" t="str">
        <f aca="false">INDEX(Parametros!$C$71:$C$91,MATCH(TRIM(INDEX(Datos_Origen!$C$2:$C$2459,$Z1408)),Parametros!$B$71:$B$91,0))</f>
        <v>AMBA</v>
      </c>
      <c r="I1408" s="61" t="str">
        <f aca="false">IF(TRIM($AD1408)="",INDEX(Parametros!$I$20:$I$24,MATCH($H1408,Parametros!$H$20:$H$24,0)),TRIM($AD1408))</f>
        <v>Buenos Aires</v>
      </c>
      <c r="J1408" s="61" t="str">
        <f aca="false">INDEX(Parametros!$C$95:$C$106,MATCH(TRIM(INDEX(Datos_Origen!$E$2:$E$2459,$Z1408)),Parametros!$B$95:$B$106,0))</f>
        <v>Tienda fisica</v>
      </c>
      <c r="K1408" s="61" t="str">
        <f aca="false">INDEX(Parametros!$C$48:$C$67,MATCH(TRIM(INDEX(Datos_Origen!$F$2:$F$2459,$Z1408)),Parametros!$B$48:$B$67,0))</f>
        <v>Accesorios</v>
      </c>
      <c r="L1408" s="61" t="str">
        <f aca="false">$K1408&amp;" "&amp;$C1408</f>
        <v>Accesorios 2025</v>
      </c>
      <c r="M1408" s="61" t="str">
        <f aca="false">TRIM(INDEX(Datos_Origen!$G$2:$G$2459,$Z1408))</f>
        <v>Mouse Inalambrico</v>
      </c>
      <c r="N1408" s="61" t="str">
        <f aca="false">$M1408&amp;" "&amp;$C1408</f>
        <v>Mouse Inalambrico 2025</v>
      </c>
      <c r="O1408" s="63" t="n">
        <f aca="false">IF(ISTEXT($AC1408),VALUE($AC1408),$AC1408)</f>
        <v>77</v>
      </c>
      <c r="P1408" s="64" t="n">
        <f aca="false">INDEX(Datos_Origen!$I$2:$I$2459,$Z1408)</f>
        <v>27.82</v>
      </c>
      <c r="Q1408" s="64" t="n">
        <f aca="false">INDEX(Datos_Origen!$J$2:$J$2459,$Z1408)</f>
        <v>13.84</v>
      </c>
      <c r="R1408" s="65" t="n">
        <f aca="false">ROUND($O1408*$P1408,2)</f>
        <v>2142.14</v>
      </c>
      <c r="S1408" s="65" t="n">
        <f aca="false">ROUND($O1408*$Q1408,2)</f>
        <v>1065.68</v>
      </c>
      <c r="T1408" s="65" t="n">
        <f aca="false">ROUND($R1408*SUMIFS(Parametros!$E$28:$E$43,Parametros!$B$28:$B$43,$J1408,Parametros!$C$28:$C$43,$C1408,Parametros!$D$28:$D$43,$D1408),2)</f>
        <v>27.85</v>
      </c>
      <c r="U1408" s="65" t="n">
        <f aca="false">$R1408-$S1408-$T1408</f>
        <v>1048.61</v>
      </c>
      <c r="V1408" s="66" t="n">
        <f aca="false">IFERROR($U1408/$R1408,0)</f>
        <v>0.489515157739457</v>
      </c>
      <c r="W1408" s="67" t="str">
        <f aca="false">IF(AND($V1408&gt;=Parametros!$C$8,$R1408&gt;=Parametros!$C$12),"Alta rentabilidad",IF(OR($V1408&lt;Parametros!$C$11,$R1408&lt;Parametros!$C$13),"Revisar","Estandar"))</f>
        <v>Estandar</v>
      </c>
      <c r="X1408" s="67" t="str">
        <f aca="false">IF(AND($J1408="E-commerce",IFERROR($T1408/$R1408,0)&gt;Parametros!$C$14),"Alerta","OK")</f>
        <v>OK</v>
      </c>
      <c r="Y1408" s="61" t="str">
        <f aca="false">IF($R1408&gt;=Parametros!$C$12,"Alto",IF($R1408&lt;Parametros!$C$13,"Bajo","Medio"))</f>
        <v>Medio</v>
      </c>
      <c r="Z1408" s="61" t="n">
        <v>752</v>
      </c>
      <c r="AA1408" s="61" t="str">
        <f aca="false">IF(MATCH($A1408,Datos_Origen!$A$2:$A$2459,0)=$Z1408,"OK","REVISAR")</f>
        <v>OK</v>
      </c>
      <c r="AB1408" s="62" t="n">
        <f aca="false">INDEX(Datos_Origen!$B$2:$B$2459,$Z1408)</f>
        <v>45738</v>
      </c>
      <c r="AC1408" s="61" t="n">
        <f aca="false">INDEX(Datos_Origen!$H$2:$H$2459,$Z1408)</f>
        <v>77</v>
      </c>
      <c r="AD1408" s="61" t="str">
        <f aca="false">INDEX(Datos_Origen!$D$2:$D$2459,$Z1408)&amp;""</f>
        <v>Buenos Aires</v>
      </c>
    </row>
    <row r="1409" customFormat="false" ht="15" hidden="false" customHeight="false" outlineLevel="0" collapsed="false">
      <c r="A1409" s="61" t="n">
        <f aca="false">INDEX(Datos_Origen!$A$2:$A$2459,$Z1409)</f>
        <v>1408</v>
      </c>
      <c r="B1409" s="62" t="n">
        <f aca="false">IF(ISNUMBER($AB1409),$AB1409,IF(MID($AB1409,5,1)="-",DATE(VALUE(LEFT($AB1409,4)),VALUE(MID($AB1409,6,2)),VALUE(RIGHT($AB1409,2))),DATE(VALUE(RIGHT($AB1409,4)),VALUE(MID($AB1409,4,2)),VALUE(LEFT($AB1409,2)))))</f>
        <v>45718</v>
      </c>
      <c r="C1409" s="61" t="n">
        <f aca="false">YEAR($B1409)</f>
        <v>2025</v>
      </c>
      <c r="D1409" s="61" t="str">
        <f aca="false">"Q"&amp;ROUNDUP(MONTH($B1409)/3,0)</f>
        <v>Q1</v>
      </c>
      <c r="E1409" s="61" t="n">
        <f aca="false">MONTH($B1409)</f>
        <v>3</v>
      </c>
      <c r="F1409" s="61" t="str">
        <f aca="false">INDEX(Parametros!$I$5:$I$16,$E1409)</f>
        <v>Mar</v>
      </c>
      <c r="G1409" s="61" t="str">
        <f aca="false">TEXT($C1409,"0000")&amp;"-"&amp;TEXT($E1409,"00")</f>
        <v>2025-03</v>
      </c>
      <c r="H1409" s="61" t="str">
        <f aca="false">INDEX(Parametros!$C$71:$C$91,MATCH(TRIM(INDEX(Datos_Origen!$C$2:$C$2459,$Z1409)),Parametros!$B$71:$B$91,0))</f>
        <v>AMBA</v>
      </c>
      <c r="I1409" s="61" t="str">
        <f aca="false">IF(TRIM($AD1409)="",INDEX(Parametros!$I$20:$I$24,MATCH($H1409,Parametros!$H$20:$H$24,0)),TRIM($AD1409))</f>
        <v>Buenos Aires</v>
      </c>
      <c r="J1409" s="61" t="str">
        <f aca="false">INDEX(Parametros!$C$95:$C$106,MATCH(TRIM(INDEX(Datos_Origen!$E$2:$E$2459,$Z1409)),Parametros!$B$95:$B$106,0))</f>
        <v>E-commerce</v>
      </c>
      <c r="K1409" s="61" t="str">
        <f aca="false">INDEX(Parametros!$C$48:$C$67,MATCH(TRIM(INDEX(Datos_Origen!$F$2:$F$2459,$Z1409)),Parametros!$B$48:$B$67,0))</f>
        <v>Accesorios</v>
      </c>
      <c r="L1409" s="61" t="str">
        <f aca="false">$K1409&amp;" "&amp;$C1409</f>
        <v>Accesorios 2025</v>
      </c>
      <c r="M1409" s="61" t="str">
        <f aca="false">TRIM(INDEX(Datos_Origen!$G$2:$G$2459,$Z1409))</f>
        <v>Mouse Inalambrico</v>
      </c>
      <c r="N1409" s="61" t="str">
        <f aca="false">$M1409&amp;" "&amp;$C1409</f>
        <v>Mouse Inalambrico 2025</v>
      </c>
      <c r="O1409" s="63" t="n">
        <f aca="false">IF(ISTEXT($AC1409),VALUE($AC1409),$AC1409)</f>
        <v>57</v>
      </c>
      <c r="P1409" s="64" t="n">
        <f aca="false">INDEX(Datos_Origen!$I$2:$I$2459,$Z1409)</f>
        <v>27.82</v>
      </c>
      <c r="Q1409" s="64" t="n">
        <f aca="false">INDEX(Datos_Origen!$J$2:$J$2459,$Z1409)</f>
        <v>13.84</v>
      </c>
      <c r="R1409" s="65" t="n">
        <f aca="false">ROUND($O1409*$P1409,2)</f>
        <v>1585.74</v>
      </c>
      <c r="S1409" s="65" t="n">
        <f aca="false">ROUND($O1409*$Q1409,2)</f>
        <v>788.88</v>
      </c>
      <c r="T1409" s="65" t="n">
        <f aca="false">ROUND($R1409*SUMIFS(Parametros!$E$28:$E$43,Parametros!$B$28:$B$43,$J1409,Parametros!$C$28:$C$43,$C1409,Parametros!$D$28:$D$43,$D1409),2)</f>
        <v>107.83</v>
      </c>
      <c r="U1409" s="65" t="n">
        <f aca="false">$R1409-$S1409-$T1409</f>
        <v>689.03</v>
      </c>
      <c r="V1409" s="66" t="n">
        <f aca="false">IFERROR($U1409/$R1409,0)</f>
        <v>0.434516377211901</v>
      </c>
      <c r="W1409" s="67" t="str">
        <f aca="false">IF(AND($V1409&gt;=Parametros!$C$8,$R1409&gt;=Parametros!$C$12),"Alta rentabilidad",IF(OR($V1409&lt;Parametros!$C$11,$R1409&lt;Parametros!$C$13),"Revisar","Estandar"))</f>
        <v>Estandar</v>
      </c>
      <c r="X1409" s="67" t="str">
        <f aca="false">IF(AND($J1409="E-commerce",IFERROR($T1409/$R1409,0)&gt;Parametros!$C$14),"Alerta","OK")</f>
        <v>Alerta</v>
      </c>
      <c r="Y1409" s="61" t="str">
        <f aca="false">IF($R1409&gt;=Parametros!$C$12,"Alto",IF($R1409&lt;Parametros!$C$13,"Bajo","Medio"))</f>
        <v>Medio</v>
      </c>
      <c r="Z1409" s="61" t="n">
        <v>466</v>
      </c>
      <c r="AA1409" s="61" t="str">
        <f aca="false">IF(MATCH($A1409,Datos_Origen!$A$2:$A$2459,0)=$Z1409,"OK","REVISAR")</f>
        <v>OK</v>
      </c>
      <c r="AB1409" s="62" t="n">
        <f aca="false">INDEX(Datos_Origen!$B$2:$B$2459,$Z1409)</f>
        <v>45718</v>
      </c>
      <c r="AC1409" s="61" t="n">
        <f aca="false">INDEX(Datos_Origen!$H$2:$H$2459,$Z1409)</f>
        <v>57</v>
      </c>
      <c r="AD1409" s="61" t="str">
        <f aca="false">INDEX(Datos_Origen!$D$2:$D$2459,$Z1409)&amp;""</f>
        <v/>
      </c>
    </row>
    <row r="1410" customFormat="false" ht="15" hidden="false" customHeight="false" outlineLevel="0" collapsed="false">
      <c r="A1410" s="61" t="n">
        <f aca="false">INDEX(Datos_Origen!$A$2:$A$2459,$Z1410)</f>
        <v>1409</v>
      </c>
      <c r="B1410" s="62" t="n">
        <f aca="false">IF(ISNUMBER($AB1410),$AB1410,IF(MID($AB1410,5,1)="-",DATE(VALUE(LEFT($AB1410,4)),VALUE(MID($AB1410,6,2)),VALUE(RIGHT($AB1410,2))),DATE(VALUE(RIGHT($AB1410,4)),VALUE(MID($AB1410,4,2)),VALUE(LEFT($AB1410,2)))))</f>
        <v>45725</v>
      </c>
      <c r="C1410" s="61" t="n">
        <f aca="false">YEAR($B1410)</f>
        <v>2025</v>
      </c>
      <c r="D1410" s="61" t="str">
        <f aca="false">"Q"&amp;ROUNDUP(MONTH($B1410)/3,0)</f>
        <v>Q1</v>
      </c>
      <c r="E1410" s="61" t="n">
        <f aca="false">MONTH($B1410)</f>
        <v>3</v>
      </c>
      <c r="F1410" s="61" t="str">
        <f aca="false">INDEX(Parametros!$I$5:$I$16,$E1410)</f>
        <v>Mar</v>
      </c>
      <c r="G1410" s="61" t="str">
        <f aca="false">TEXT($C1410,"0000")&amp;"-"&amp;TEXT($E1410,"00")</f>
        <v>2025-03</v>
      </c>
      <c r="H1410" s="61" t="str">
        <f aca="false">INDEX(Parametros!$C$71:$C$91,MATCH(TRIM(INDEX(Datos_Origen!$C$2:$C$2459,$Z1410)),Parametros!$B$71:$B$91,0))</f>
        <v>AMBA</v>
      </c>
      <c r="I1410" s="61" t="str">
        <f aca="false">IF(TRIM($AD1410)="",INDEX(Parametros!$I$20:$I$24,MATCH($H1410,Parametros!$H$20:$H$24,0)),TRIM($AD1410))</f>
        <v>Buenos Aires</v>
      </c>
      <c r="J1410" s="61" t="str">
        <f aca="false">INDEX(Parametros!$C$95:$C$106,MATCH(TRIM(INDEX(Datos_Origen!$E$2:$E$2459,$Z1410)),Parametros!$B$95:$B$106,0))</f>
        <v>Tienda fisica</v>
      </c>
      <c r="K1410" s="61" t="str">
        <f aca="false">INDEX(Parametros!$C$48:$C$67,MATCH(TRIM(INDEX(Datos_Origen!$F$2:$F$2459,$Z1410)),Parametros!$B$48:$B$67,0))</f>
        <v>Accesorios</v>
      </c>
      <c r="L1410" s="61" t="str">
        <f aca="false">$K1410&amp;" "&amp;$C1410</f>
        <v>Accesorios 2025</v>
      </c>
      <c r="M1410" s="61" t="str">
        <f aca="false">TRIM(INDEX(Datos_Origen!$G$2:$G$2459,$Z1410))</f>
        <v>Teclado Mecanico</v>
      </c>
      <c r="N1410" s="61" t="str">
        <f aca="false">$M1410&amp;" "&amp;$C1410</f>
        <v>Teclado Mecanico 2025</v>
      </c>
      <c r="O1410" s="63" t="n">
        <f aca="false">IF(ISTEXT($AC1410),VALUE($AC1410),$AC1410)</f>
        <v>78</v>
      </c>
      <c r="P1410" s="64" t="n">
        <f aca="false">INDEX(Datos_Origen!$I$2:$I$2459,$Z1410)</f>
        <v>94.39</v>
      </c>
      <c r="Q1410" s="64" t="n">
        <f aca="false">INDEX(Datos_Origen!$J$2:$J$2459,$Z1410)</f>
        <v>49.41</v>
      </c>
      <c r="R1410" s="65" t="n">
        <f aca="false">ROUND($O1410*$P1410,2)</f>
        <v>7362.42</v>
      </c>
      <c r="S1410" s="65" t="n">
        <f aca="false">ROUND($O1410*$Q1410,2)</f>
        <v>3853.98</v>
      </c>
      <c r="T1410" s="65" t="n">
        <f aca="false">ROUND($R1410*SUMIFS(Parametros!$E$28:$E$43,Parametros!$B$28:$B$43,$J1410,Parametros!$C$28:$C$43,$C1410,Parametros!$D$28:$D$43,$D1410),2)</f>
        <v>95.71</v>
      </c>
      <c r="U1410" s="65" t="n">
        <f aca="false">$R1410-$S1410-$T1410</f>
        <v>3412.73</v>
      </c>
      <c r="V1410" s="66" t="n">
        <f aca="false">IFERROR($U1410/$R1410,0)</f>
        <v>0.463533729398758</v>
      </c>
      <c r="W1410" s="67" t="str">
        <f aca="false">IF(AND($V1410&gt;=Parametros!$C$8,$R1410&gt;=Parametros!$C$12),"Alta rentabilidad",IF(OR($V1410&lt;Parametros!$C$11,$R1410&lt;Parametros!$C$13),"Revisar","Estandar"))</f>
        <v>Alta rentabilidad</v>
      </c>
      <c r="X1410" s="67" t="str">
        <f aca="false">IF(AND($J1410="E-commerce",IFERROR($T1410/$R1410,0)&gt;Parametros!$C$14),"Alerta","OK")</f>
        <v>OK</v>
      </c>
      <c r="Y1410" s="61" t="str">
        <f aca="false">IF($R1410&gt;=Parametros!$C$12,"Alto",IF($R1410&lt;Parametros!$C$13,"Bajo","Medio"))</f>
        <v>Alto</v>
      </c>
      <c r="Z1410" s="61" t="n">
        <v>665</v>
      </c>
      <c r="AA1410" s="61" t="str">
        <f aca="false">IF(MATCH($A1410,Datos_Origen!$A$2:$A$2459,0)=$Z1410,"OK","REVISAR")</f>
        <v>OK</v>
      </c>
      <c r="AB1410" s="62" t="n">
        <f aca="false">INDEX(Datos_Origen!$B$2:$B$2459,$Z1410)</f>
        <v>45725</v>
      </c>
      <c r="AC1410" s="61" t="n">
        <f aca="false">INDEX(Datos_Origen!$H$2:$H$2459,$Z1410)</f>
        <v>78</v>
      </c>
      <c r="AD1410" s="61" t="str">
        <f aca="false">INDEX(Datos_Origen!$D$2:$D$2459,$Z1410)&amp;""</f>
        <v>Buenos Aires</v>
      </c>
    </row>
    <row r="1411" customFormat="false" ht="15" hidden="false" customHeight="false" outlineLevel="0" collapsed="false">
      <c r="A1411" s="61" t="n">
        <f aca="false">INDEX(Datos_Origen!$A$2:$A$2459,$Z1411)</f>
        <v>1410</v>
      </c>
      <c r="B1411" s="62" t="n">
        <f aca="false">IF(ISNUMBER($AB1411),$AB1411,IF(MID($AB1411,5,1)="-",DATE(VALUE(LEFT($AB1411,4)),VALUE(MID($AB1411,6,2)),VALUE(RIGHT($AB1411,2))),DATE(VALUE(RIGHT($AB1411,4)),VALUE(MID($AB1411,4,2)),VALUE(LEFT($AB1411,2)))))</f>
        <v>45732</v>
      </c>
      <c r="C1411" s="61" t="n">
        <f aca="false">YEAR($B1411)</f>
        <v>2025</v>
      </c>
      <c r="D1411" s="61" t="str">
        <f aca="false">"Q"&amp;ROUNDUP(MONTH($B1411)/3,0)</f>
        <v>Q1</v>
      </c>
      <c r="E1411" s="61" t="n">
        <f aca="false">MONTH($B1411)</f>
        <v>3</v>
      </c>
      <c r="F1411" s="61" t="str">
        <f aca="false">INDEX(Parametros!$I$5:$I$16,$E1411)</f>
        <v>Mar</v>
      </c>
      <c r="G1411" s="61" t="str">
        <f aca="false">TEXT($C1411,"0000")&amp;"-"&amp;TEXT($E1411,"00")</f>
        <v>2025-03</v>
      </c>
      <c r="H1411" s="61" t="str">
        <f aca="false">INDEX(Parametros!$C$71:$C$91,MATCH(TRIM(INDEX(Datos_Origen!$C$2:$C$2459,$Z1411)),Parametros!$B$71:$B$91,0))</f>
        <v>AMBA</v>
      </c>
      <c r="I1411" s="61" t="str">
        <f aca="false">IF(TRIM($AD1411)="",INDEX(Parametros!$I$20:$I$24,MATCH($H1411,Parametros!$H$20:$H$24,0)),TRIM($AD1411))</f>
        <v>Buenos Aires</v>
      </c>
      <c r="J1411" s="61" t="str">
        <f aca="false">INDEX(Parametros!$C$95:$C$106,MATCH(TRIM(INDEX(Datos_Origen!$E$2:$E$2459,$Z1411)),Parametros!$B$95:$B$106,0))</f>
        <v>E-commerce</v>
      </c>
      <c r="K1411" s="61" t="str">
        <f aca="false">INDEX(Parametros!$C$48:$C$67,MATCH(TRIM(INDEX(Datos_Origen!$F$2:$F$2459,$Z1411)),Parametros!$B$48:$B$67,0))</f>
        <v>Accesorios</v>
      </c>
      <c r="L1411" s="61" t="str">
        <f aca="false">$K1411&amp;" "&amp;$C1411</f>
        <v>Accesorios 2025</v>
      </c>
      <c r="M1411" s="61" t="str">
        <f aca="false">TRIM(INDEX(Datos_Origen!$G$2:$G$2459,$Z1411))</f>
        <v>Teclado Mecanico</v>
      </c>
      <c r="N1411" s="61" t="str">
        <f aca="false">$M1411&amp;" "&amp;$C1411</f>
        <v>Teclado Mecanico 2025</v>
      </c>
      <c r="O1411" s="63" t="n">
        <f aca="false">IF(ISTEXT($AC1411),VALUE($AC1411),$AC1411)</f>
        <v>64</v>
      </c>
      <c r="P1411" s="64" t="n">
        <f aca="false">INDEX(Datos_Origen!$I$2:$I$2459,$Z1411)</f>
        <v>94.39</v>
      </c>
      <c r="Q1411" s="64" t="n">
        <f aca="false">INDEX(Datos_Origen!$J$2:$J$2459,$Z1411)</f>
        <v>49.41</v>
      </c>
      <c r="R1411" s="65" t="n">
        <f aca="false">ROUND($O1411*$P1411,2)</f>
        <v>6040.96</v>
      </c>
      <c r="S1411" s="65" t="n">
        <f aca="false">ROUND($O1411*$Q1411,2)</f>
        <v>3162.24</v>
      </c>
      <c r="T1411" s="65" t="n">
        <f aca="false">ROUND($R1411*SUMIFS(Parametros!$E$28:$E$43,Parametros!$B$28:$B$43,$J1411,Parametros!$C$28:$C$43,$C1411,Parametros!$D$28:$D$43,$D1411),2)</f>
        <v>410.79</v>
      </c>
      <c r="U1411" s="65" t="n">
        <f aca="false">$R1411-$S1411-$T1411</f>
        <v>2467.93</v>
      </c>
      <c r="V1411" s="66" t="n">
        <f aca="false">IFERROR($U1411/$R1411,0)</f>
        <v>0.408532749761627</v>
      </c>
      <c r="W1411" s="67" t="str">
        <f aca="false">IF(AND($V1411&gt;=Parametros!$C$8,$R1411&gt;=Parametros!$C$12),"Alta rentabilidad",IF(OR($V1411&lt;Parametros!$C$11,$R1411&lt;Parametros!$C$13),"Revisar","Estandar"))</f>
        <v>Alta rentabilidad</v>
      </c>
      <c r="X1411" s="67" t="str">
        <f aca="false">IF(AND($J1411="E-commerce",IFERROR($T1411/$R1411,0)&gt;Parametros!$C$14),"Alerta","OK")</f>
        <v>Alerta</v>
      </c>
      <c r="Y1411" s="61" t="str">
        <f aca="false">IF($R1411&gt;=Parametros!$C$12,"Alto",IF($R1411&lt;Parametros!$C$13,"Bajo","Medio"))</f>
        <v>Alto</v>
      </c>
      <c r="Z1411" s="61" t="n">
        <v>1196</v>
      </c>
      <c r="AA1411" s="61" t="str">
        <f aca="false">IF(MATCH($A1411,Datos_Origen!$A$2:$A$2459,0)=$Z1411,"OK","REVISAR")</f>
        <v>OK</v>
      </c>
      <c r="AB1411" s="61" t="str">
        <f aca="false">INDEX(Datos_Origen!$B$2:$B$2459,$Z1411)</f>
        <v>16/03/2025</v>
      </c>
      <c r="AC1411" s="61" t="str">
        <f aca="false">INDEX(Datos_Origen!$H$2:$H$2459,$Z1411)</f>
        <v>64</v>
      </c>
      <c r="AD1411" s="61" t="str">
        <f aca="false">INDEX(Datos_Origen!$D$2:$D$2459,$Z1411)&amp;""</f>
        <v>Buenos Aires</v>
      </c>
    </row>
    <row r="1412" customFormat="false" ht="15" hidden="false" customHeight="false" outlineLevel="0" collapsed="false">
      <c r="A1412" s="61" t="n">
        <f aca="false">INDEX(Datos_Origen!$A$2:$A$2459,$Z1412)</f>
        <v>1411</v>
      </c>
      <c r="B1412" s="62" t="n">
        <f aca="false">IF(ISNUMBER($AB1412),$AB1412,IF(MID($AB1412,5,1)="-",DATE(VALUE(LEFT($AB1412,4)),VALUE(MID($AB1412,6,2)),VALUE(RIGHT($AB1412,2))),DATE(VALUE(RIGHT($AB1412,4)),VALUE(MID($AB1412,4,2)),VALUE(LEFT($AB1412,2)))))</f>
        <v>45739</v>
      </c>
      <c r="C1412" s="61" t="n">
        <f aca="false">YEAR($B1412)</f>
        <v>2025</v>
      </c>
      <c r="D1412" s="61" t="str">
        <f aca="false">"Q"&amp;ROUNDUP(MONTH($B1412)/3,0)</f>
        <v>Q1</v>
      </c>
      <c r="E1412" s="61" t="n">
        <f aca="false">MONTH($B1412)</f>
        <v>3</v>
      </c>
      <c r="F1412" s="61" t="str">
        <f aca="false">INDEX(Parametros!$I$5:$I$16,$E1412)</f>
        <v>Mar</v>
      </c>
      <c r="G1412" s="61" t="str">
        <f aca="false">TEXT($C1412,"0000")&amp;"-"&amp;TEXT($E1412,"00")</f>
        <v>2025-03</v>
      </c>
      <c r="H1412" s="61" t="str">
        <f aca="false">INDEX(Parametros!$C$71:$C$91,MATCH(TRIM(INDEX(Datos_Origen!$C$2:$C$2459,$Z1412)),Parametros!$B$71:$B$91,0))</f>
        <v>AMBA</v>
      </c>
      <c r="I1412" s="61" t="str">
        <f aca="false">IF(TRIM($AD1412)="",INDEX(Parametros!$I$20:$I$24,MATCH($H1412,Parametros!$H$20:$H$24,0)),TRIM($AD1412))</f>
        <v>Buenos Aires</v>
      </c>
      <c r="J1412" s="61" t="str">
        <f aca="false">INDEX(Parametros!$C$95:$C$106,MATCH(TRIM(INDEX(Datos_Origen!$E$2:$E$2459,$Z1412)),Parametros!$B$95:$B$106,0))</f>
        <v>Tienda fisica</v>
      </c>
      <c r="K1412" s="61" t="str">
        <f aca="false">INDEX(Parametros!$C$48:$C$67,MATCH(TRIM(INDEX(Datos_Origen!$F$2:$F$2459,$Z1412)),Parametros!$B$48:$B$67,0))</f>
        <v>Accesorios</v>
      </c>
      <c r="L1412" s="61" t="str">
        <f aca="false">$K1412&amp;" "&amp;$C1412</f>
        <v>Accesorios 2025</v>
      </c>
      <c r="M1412" s="61" t="str">
        <f aca="false">TRIM(INDEX(Datos_Origen!$G$2:$G$2459,$Z1412))</f>
        <v>Webcam Full HD</v>
      </c>
      <c r="N1412" s="61" t="str">
        <f aca="false">$M1412&amp;" "&amp;$C1412</f>
        <v>Webcam Full HD 2025</v>
      </c>
      <c r="O1412" s="63" t="n">
        <f aca="false">IF(ISTEXT($AC1412),VALUE($AC1412),$AC1412)</f>
        <v>94</v>
      </c>
      <c r="P1412" s="64" t="n">
        <f aca="false">INDEX(Datos_Origen!$I$2:$I$2459,$Z1412)</f>
        <v>64.58</v>
      </c>
      <c r="Q1412" s="64" t="n">
        <f aca="false">INDEX(Datos_Origen!$J$2:$J$2459,$Z1412)</f>
        <v>36.49</v>
      </c>
      <c r="R1412" s="65" t="n">
        <f aca="false">ROUND($O1412*$P1412,2)</f>
        <v>6070.52</v>
      </c>
      <c r="S1412" s="65" t="n">
        <f aca="false">ROUND($O1412*$Q1412,2)</f>
        <v>3430.06</v>
      </c>
      <c r="T1412" s="65" t="n">
        <f aca="false">ROUND($R1412*SUMIFS(Parametros!$E$28:$E$43,Parametros!$B$28:$B$43,$J1412,Parametros!$C$28:$C$43,$C1412,Parametros!$D$28:$D$43,$D1412),2)</f>
        <v>78.92</v>
      </c>
      <c r="U1412" s="65" t="n">
        <f aca="false">$R1412-$S1412-$T1412</f>
        <v>2561.54</v>
      </c>
      <c r="V1412" s="66" t="n">
        <f aca="false">IFERROR($U1412/$R1412,0)</f>
        <v>0.421963851531665</v>
      </c>
      <c r="W1412" s="67" t="str">
        <f aca="false">IF(AND($V1412&gt;=Parametros!$C$8,$R1412&gt;=Parametros!$C$12),"Alta rentabilidad",IF(OR($V1412&lt;Parametros!$C$11,$R1412&lt;Parametros!$C$13),"Revisar","Estandar"))</f>
        <v>Alta rentabilidad</v>
      </c>
      <c r="X1412" s="67" t="str">
        <f aca="false">IF(AND($J1412="E-commerce",IFERROR($T1412/$R1412,0)&gt;Parametros!$C$14),"Alerta","OK")</f>
        <v>OK</v>
      </c>
      <c r="Y1412" s="61" t="str">
        <f aca="false">IF($R1412&gt;=Parametros!$C$12,"Alto",IF($R1412&lt;Parametros!$C$13,"Bajo","Medio"))</f>
        <v>Alto</v>
      </c>
      <c r="Z1412" s="61" t="n">
        <v>975</v>
      </c>
      <c r="AA1412" s="61" t="str">
        <f aca="false">IF(MATCH($A1412,Datos_Origen!$A$2:$A$2459,0)=$Z1412,"OK","REVISAR")</f>
        <v>OK</v>
      </c>
      <c r="AB1412" s="62" t="n">
        <f aca="false">INDEX(Datos_Origen!$B$2:$B$2459,$Z1412)</f>
        <v>45739</v>
      </c>
      <c r="AC1412" s="61" t="n">
        <f aca="false">INDEX(Datos_Origen!$H$2:$H$2459,$Z1412)</f>
        <v>94</v>
      </c>
      <c r="AD1412" s="61" t="str">
        <f aca="false">INDEX(Datos_Origen!$D$2:$D$2459,$Z1412)&amp;""</f>
        <v/>
      </c>
    </row>
    <row r="1413" customFormat="false" ht="15" hidden="false" customHeight="false" outlineLevel="0" collapsed="false">
      <c r="A1413" s="61" t="n">
        <f aca="false">INDEX(Datos_Origen!$A$2:$A$2459,$Z1413)</f>
        <v>1412</v>
      </c>
      <c r="B1413" s="62" t="n">
        <f aca="false">IF(ISNUMBER($AB1413),$AB1413,IF(MID($AB1413,5,1)="-",DATE(VALUE(LEFT($AB1413,4)),VALUE(MID($AB1413,6,2)),VALUE(RIGHT($AB1413,2))),DATE(VALUE(RIGHT($AB1413,4)),VALUE(MID($AB1413,4,2)),VALUE(LEFT($AB1413,2)))))</f>
        <v>45719</v>
      </c>
      <c r="C1413" s="61" t="n">
        <f aca="false">YEAR($B1413)</f>
        <v>2025</v>
      </c>
      <c r="D1413" s="61" t="str">
        <f aca="false">"Q"&amp;ROUNDUP(MONTH($B1413)/3,0)</f>
        <v>Q1</v>
      </c>
      <c r="E1413" s="61" t="n">
        <f aca="false">MONTH($B1413)</f>
        <v>3</v>
      </c>
      <c r="F1413" s="61" t="str">
        <f aca="false">INDEX(Parametros!$I$5:$I$16,$E1413)</f>
        <v>Mar</v>
      </c>
      <c r="G1413" s="61" t="str">
        <f aca="false">TEXT($C1413,"0000")&amp;"-"&amp;TEXT($E1413,"00")</f>
        <v>2025-03</v>
      </c>
      <c r="H1413" s="61" t="str">
        <f aca="false">INDEX(Parametros!$C$71:$C$91,MATCH(TRIM(INDEX(Datos_Origen!$C$2:$C$2459,$Z1413)),Parametros!$B$71:$B$91,0))</f>
        <v>AMBA</v>
      </c>
      <c r="I1413" s="61" t="str">
        <f aca="false">IF(TRIM($AD1413)="",INDEX(Parametros!$I$20:$I$24,MATCH($H1413,Parametros!$H$20:$H$24,0)),TRIM($AD1413))</f>
        <v>Buenos Aires</v>
      </c>
      <c r="J1413" s="61" t="str">
        <f aca="false">INDEX(Parametros!$C$95:$C$106,MATCH(TRIM(INDEX(Datos_Origen!$E$2:$E$2459,$Z1413)),Parametros!$B$95:$B$106,0))</f>
        <v>E-commerce</v>
      </c>
      <c r="K1413" s="61" t="str">
        <f aca="false">INDEX(Parametros!$C$48:$C$67,MATCH(TRIM(INDEX(Datos_Origen!$F$2:$F$2459,$Z1413)),Parametros!$B$48:$B$67,0))</f>
        <v>Accesorios</v>
      </c>
      <c r="L1413" s="61" t="str">
        <f aca="false">$K1413&amp;" "&amp;$C1413</f>
        <v>Accesorios 2025</v>
      </c>
      <c r="M1413" s="61" t="str">
        <f aca="false">TRIM(INDEX(Datos_Origen!$G$2:$G$2459,$Z1413))</f>
        <v>Webcam Full HD</v>
      </c>
      <c r="N1413" s="61" t="str">
        <f aca="false">$M1413&amp;" "&amp;$C1413</f>
        <v>Webcam Full HD 2025</v>
      </c>
      <c r="O1413" s="63" t="n">
        <f aca="false">IF(ISTEXT($AC1413),VALUE($AC1413),$AC1413)</f>
        <v>56</v>
      </c>
      <c r="P1413" s="64" t="n">
        <f aca="false">INDEX(Datos_Origen!$I$2:$I$2459,$Z1413)</f>
        <v>64.58</v>
      </c>
      <c r="Q1413" s="64" t="n">
        <f aca="false">INDEX(Datos_Origen!$J$2:$J$2459,$Z1413)</f>
        <v>36.49</v>
      </c>
      <c r="R1413" s="65" t="n">
        <f aca="false">ROUND($O1413*$P1413,2)</f>
        <v>3616.48</v>
      </c>
      <c r="S1413" s="65" t="n">
        <f aca="false">ROUND($O1413*$Q1413,2)</f>
        <v>2043.44</v>
      </c>
      <c r="T1413" s="65" t="n">
        <f aca="false">ROUND($R1413*SUMIFS(Parametros!$E$28:$E$43,Parametros!$B$28:$B$43,$J1413,Parametros!$C$28:$C$43,$C1413,Parametros!$D$28:$D$43,$D1413),2)</f>
        <v>245.92</v>
      </c>
      <c r="U1413" s="65" t="n">
        <f aca="false">$R1413-$S1413-$T1413</f>
        <v>1327.12</v>
      </c>
      <c r="V1413" s="66" t="n">
        <f aca="false">IFERROR($U1413/$R1413,0)</f>
        <v>0.366964562226253</v>
      </c>
      <c r="W1413" s="67" t="str">
        <f aca="false">IF(AND($V1413&gt;=Parametros!$C$8,$R1413&gt;=Parametros!$C$12),"Alta rentabilidad",IF(OR($V1413&lt;Parametros!$C$11,$R1413&lt;Parametros!$C$13),"Revisar","Estandar"))</f>
        <v>Alta rentabilidad</v>
      </c>
      <c r="X1413" s="67" t="str">
        <f aca="false">IF(AND($J1413="E-commerce",IFERROR($T1413/$R1413,0)&gt;Parametros!$C$14),"Alerta","OK")</f>
        <v>Alerta</v>
      </c>
      <c r="Y1413" s="61" t="str">
        <f aca="false">IF($R1413&gt;=Parametros!$C$12,"Alto",IF($R1413&lt;Parametros!$C$13,"Bajo","Medio"))</f>
        <v>Alto</v>
      </c>
      <c r="Z1413" s="61" t="n">
        <v>2031</v>
      </c>
      <c r="AA1413" s="61" t="str">
        <f aca="false">IF(MATCH($A1413,Datos_Origen!$A$2:$A$2459,0)=$Z1413,"OK","REVISAR")</f>
        <v>OK</v>
      </c>
      <c r="AB1413" s="61" t="str">
        <f aca="false">INDEX(Datos_Origen!$B$2:$B$2459,$Z1413)</f>
        <v>03/03/2025</v>
      </c>
      <c r="AC1413" s="61" t="n">
        <f aca="false">INDEX(Datos_Origen!$H$2:$H$2459,$Z1413)</f>
        <v>56</v>
      </c>
      <c r="AD1413" s="61" t="str">
        <f aca="false">INDEX(Datos_Origen!$D$2:$D$2459,$Z1413)&amp;""</f>
        <v>Buenos Aires</v>
      </c>
    </row>
    <row r="1414" customFormat="false" ht="15" hidden="false" customHeight="false" outlineLevel="0" collapsed="false">
      <c r="A1414" s="61" t="n">
        <f aca="false">INDEX(Datos_Origen!$A$2:$A$2459,$Z1414)</f>
        <v>1413</v>
      </c>
      <c r="B1414" s="62" t="n">
        <f aca="false">IF(ISNUMBER($AB1414),$AB1414,IF(MID($AB1414,5,1)="-",DATE(VALUE(LEFT($AB1414,4)),VALUE(MID($AB1414,6,2)),VALUE(RIGHT($AB1414,2))),DATE(VALUE(RIGHT($AB1414,4)),VALUE(MID($AB1414,4,2)),VALUE(LEFT($AB1414,2)))))</f>
        <v>45726</v>
      </c>
      <c r="C1414" s="61" t="n">
        <f aca="false">YEAR($B1414)</f>
        <v>2025</v>
      </c>
      <c r="D1414" s="61" t="str">
        <f aca="false">"Q"&amp;ROUNDUP(MONTH($B1414)/3,0)</f>
        <v>Q1</v>
      </c>
      <c r="E1414" s="61" t="n">
        <f aca="false">MONTH($B1414)</f>
        <v>3</v>
      </c>
      <c r="F1414" s="61" t="str">
        <f aca="false">INDEX(Parametros!$I$5:$I$16,$E1414)</f>
        <v>Mar</v>
      </c>
      <c r="G1414" s="61" t="str">
        <f aca="false">TEXT($C1414,"0000")&amp;"-"&amp;TEXT($E1414,"00")</f>
        <v>2025-03</v>
      </c>
      <c r="H1414" s="61" t="str">
        <f aca="false">INDEX(Parametros!$C$71:$C$91,MATCH(TRIM(INDEX(Datos_Origen!$C$2:$C$2459,$Z1414)),Parametros!$B$71:$B$91,0))</f>
        <v>AMBA</v>
      </c>
      <c r="I1414" s="61" t="str">
        <f aca="false">IF(TRIM($AD1414)="",INDEX(Parametros!$I$20:$I$24,MATCH($H1414,Parametros!$H$20:$H$24,0)),TRIM($AD1414))</f>
        <v>Buenos Aires</v>
      </c>
      <c r="J1414" s="61" t="str">
        <f aca="false">INDEX(Parametros!$C$95:$C$106,MATCH(TRIM(INDEX(Datos_Origen!$E$2:$E$2459,$Z1414)),Parametros!$B$95:$B$106,0))</f>
        <v>Tienda fisica</v>
      </c>
      <c r="K1414" s="61" t="str">
        <f aca="false">INDEX(Parametros!$C$48:$C$67,MATCH(TRIM(INDEX(Datos_Origen!$F$2:$F$2459,$Z1414)),Parametros!$B$48:$B$67,0))</f>
        <v>Audio</v>
      </c>
      <c r="L1414" s="61" t="str">
        <f aca="false">$K1414&amp;" "&amp;$C1414</f>
        <v>Audio 2025</v>
      </c>
      <c r="M1414" s="61" t="str">
        <f aca="false">TRIM(INDEX(Datos_Origen!$G$2:$G$2459,$Z1414))</f>
        <v>Auriculares BT Pro</v>
      </c>
      <c r="N1414" s="61" t="str">
        <f aca="false">$M1414&amp;" "&amp;$C1414</f>
        <v>Auriculares BT Pro 2025</v>
      </c>
      <c r="O1414" s="63" t="n">
        <f aca="false">IF(ISTEXT($AC1414),VALUE($AC1414),$AC1414)</f>
        <v>38</v>
      </c>
      <c r="P1414" s="64" t="n">
        <f aca="false">INDEX(Datos_Origen!$I$2:$I$2459,$Z1414)</f>
        <v>119.23</v>
      </c>
      <c r="Q1414" s="64" t="n">
        <f aca="false">INDEX(Datos_Origen!$J$2:$J$2459,$Z1414)</f>
        <v>65.51</v>
      </c>
      <c r="R1414" s="65" t="n">
        <f aca="false">ROUND($O1414*$P1414,2)</f>
        <v>4530.74</v>
      </c>
      <c r="S1414" s="65" t="n">
        <f aca="false">ROUND($O1414*$Q1414,2)</f>
        <v>2489.38</v>
      </c>
      <c r="T1414" s="65" t="n">
        <f aca="false">ROUND($R1414*SUMIFS(Parametros!$E$28:$E$43,Parametros!$B$28:$B$43,$J1414,Parametros!$C$28:$C$43,$C1414,Parametros!$D$28:$D$43,$D1414),2)</f>
        <v>58.9</v>
      </c>
      <c r="U1414" s="65" t="n">
        <f aca="false">$R1414-$S1414-$T1414</f>
        <v>1982.46</v>
      </c>
      <c r="V1414" s="66" t="n">
        <f aca="false">IFERROR($U1414/$R1414,0)</f>
        <v>0.437557661662333</v>
      </c>
      <c r="W1414" s="67" t="str">
        <f aca="false">IF(AND($V1414&gt;=Parametros!$C$8,$R1414&gt;=Parametros!$C$12),"Alta rentabilidad",IF(OR($V1414&lt;Parametros!$C$11,$R1414&lt;Parametros!$C$13),"Revisar","Estandar"))</f>
        <v>Alta rentabilidad</v>
      </c>
      <c r="X1414" s="67" t="str">
        <f aca="false">IF(AND($J1414="E-commerce",IFERROR($T1414/$R1414,0)&gt;Parametros!$C$14),"Alerta","OK")</f>
        <v>OK</v>
      </c>
      <c r="Y1414" s="61" t="str">
        <f aca="false">IF($R1414&gt;=Parametros!$C$12,"Alto",IF($R1414&lt;Parametros!$C$13,"Bajo","Medio"))</f>
        <v>Alto</v>
      </c>
      <c r="Z1414" s="61" t="n">
        <v>1943</v>
      </c>
      <c r="AA1414" s="61" t="str">
        <f aca="false">IF(MATCH($A1414,Datos_Origen!$A$2:$A$2459,0)=$Z1414,"OK","REVISAR")</f>
        <v>OK</v>
      </c>
      <c r="AB1414" s="61" t="str">
        <f aca="false">INDEX(Datos_Origen!$B$2:$B$2459,$Z1414)</f>
        <v>2025-03-10</v>
      </c>
      <c r="AC1414" s="61" t="str">
        <f aca="false">INDEX(Datos_Origen!$H$2:$H$2459,$Z1414)</f>
        <v>38</v>
      </c>
      <c r="AD1414" s="61" t="str">
        <f aca="false">INDEX(Datos_Origen!$D$2:$D$2459,$Z1414)&amp;""</f>
        <v>Buenos Aires</v>
      </c>
    </row>
    <row r="1415" customFormat="false" ht="15" hidden="false" customHeight="false" outlineLevel="0" collapsed="false">
      <c r="A1415" s="61" t="n">
        <f aca="false">INDEX(Datos_Origen!$A$2:$A$2459,$Z1415)</f>
        <v>1414</v>
      </c>
      <c r="B1415" s="62" t="n">
        <f aca="false">IF(ISNUMBER($AB1415),$AB1415,IF(MID($AB1415,5,1)="-",DATE(VALUE(LEFT($AB1415,4)),VALUE(MID($AB1415,6,2)),VALUE(RIGHT($AB1415,2))),DATE(VALUE(RIGHT($AB1415,4)),VALUE(MID($AB1415,4,2)),VALUE(LEFT($AB1415,2)))))</f>
        <v>45733</v>
      </c>
      <c r="C1415" s="61" t="n">
        <f aca="false">YEAR($B1415)</f>
        <v>2025</v>
      </c>
      <c r="D1415" s="61" t="str">
        <f aca="false">"Q"&amp;ROUNDUP(MONTH($B1415)/3,0)</f>
        <v>Q1</v>
      </c>
      <c r="E1415" s="61" t="n">
        <f aca="false">MONTH($B1415)</f>
        <v>3</v>
      </c>
      <c r="F1415" s="61" t="str">
        <f aca="false">INDEX(Parametros!$I$5:$I$16,$E1415)</f>
        <v>Mar</v>
      </c>
      <c r="G1415" s="61" t="str">
        <f aca="false">TEXT($C1415,"0000")&amp;"-"&amp;TEXT($E1415,"00")</f>
        <v>2025-03</v>
      </c>
      <c r="H1415" s="61" t="str">
        <f aca="false">INDEX(Parametros!$C$71:$C$91,MATCH(TRIM(INDEX(Datos_Origen!$C$2:$C$2459,$Z1415)),Parametros!$B$71:$B$91,0))</f>
        <v>AMBA</v>
      </c>
      <c r="I1415" s="61" t="str">
        <f aca="false">IF(TRIM($AD1415)="",INDEX(Parametros!$I$20:$I$24,MATCH($H1415,Parametros!$H$20:$H$24,0)),TRIM($AD1415))</f>
        <v>Buenos Aires</v>
      </c>
      <c r="J1415" s="61" t="str">
        <f aca="false">INDEX(Parametros!$C$95:$C$106,MATCH(TRIM(INDEX(Datos_Origen!$E$2:$E$2459,$Z1415)),Parametros!$B$95:$B$106,0))</f>
        <v>E-commerce</v>
      </c>
      <c r="K1415" s="61" t="str">
        <f aca="false">INDEX(Parametros!$C$48:$C$67,MATCH(TRIM(INDEX(Datos_Origen!$F$2:$F$2459,$Z1415)),Parametros!$B$48:$B$67,0))</f>
        <v>Audio</v>
      </c>
      <c r="L1415" s="61" t="str">
        <f aca="false">$K1415&amp;" "&amp;$C1415</f>
        <v>Audio 2025</v>
      </c>
      <c r="M1415" s="61" t="str">
        <f aca="false">TRIM(INDEX(Datos_Origen!$G$2:$G$2459,$Z1415))</f>
        <v>Auriculares BT Pro</v>
      </c>
      <c r="N1415" s="61" t="str">
        <f aca="false">$M1415&amp;" "&amp;$C1415</f>
        <v>Auriculares BT Pro 2025</v>
      </c>
      <c r="O1415" s="63" t="n">
        <f aca="false">IF(ISTEXT($AC1415),VALUE($AC1415),$AC1415)</f>
        <v>31</v>
      </c>
      <c r="P1415" s="64" t="n">
        <f aca="false">INDEX(Datos_Origen!$I$2:$I$2459,$Z1415)</f>
        <v>119.23</v>
      </c>
      <c r="Q1415" s="64" t="n">
        <f aca="false">INDEX(Datos_Origen!$J$2:$J$2459,$Z1415)</f>
        <v>65.51</v>
      </c>
      <c r="R1415" s="65" t="n">
        <f aca="false">ROUND($O1415*$P1415,2)</f>
        <v>3696.13</v>
      </c>
      <c r="S1415" s="65" t="n">
        <f aca="false">ROUND($O1415*$Q1415,2)</f>
        <v>2030.81</v>
      </c>
      <c r="T1415" s="65" t="n">
        <f aca="false">ROUND($R1415*SUMIFS(Parametros!$E$28:$E$43,Parametros!$B$28:$B$43,$J1415,Parametros!$C$28:$C$43,$C1415,Parametros!$D$28:$D$43,$D1415),2)</f>
        <v>251.34</v>
      </c>
      <c r="U1415" s="65" t="n">
        <f aca="false">$R1415-$S1415-$T1415</f>
        <v>1413.98</v>
      </c>
      <c r="V1415" s="66" t="n">
        <f aca="false">IFERROR($U1415/$R1415,0)</f>
        <v>0.382556890585559</v>
      </c>
      <c r="W1415" s="67" t="str">
        <f aca="false">IF(AND($V1415&gt;=Parametros!$C$8,$R1415&gt;=Parametros!$C$12),"Alta rentabilidad",IF(OR($V1415&lt;Parametros!$C$11,$R1415&lt;Parametros!$C$13),"Revisar","Estandar"))</f>
        <v>Alta rentabilidad</v>
      </c>
      <c r="X1415" s="67" t="str">
        <f aca="false">IF(AND($J1415="E-commerce",IFERROR($T1415/$R1415,0)&gt;Parametros!$C$14),"Alerta","OK")</f>
        <v>Alerta</v>
      </c>
      <c r="Y1415" s="61" t="str">
        <f aca="false">IF($R1415&gt;=Parametros!$C$12,"Alto",IF($R1415&lt;Parametros!$C$13,"Bajo","Medio"))</f>
        <v>Alto</v>
      </c>
      <c r="Z1415" s="61" t="n">
        <v>198</v>
      </c>
      <c r="AA1415" s="61" t="str">
        <f aca="false">IF(MATCH($A1415,Datos_Origen!$A$2:$A$2459,0)=$Z1415,"OK","REVISAR")</f>
        <v>OK</v>
      </c>
      <c r="AB1415" s="62" t="n">
        <f aca="false">INDEX(Datos_Origen!$B$2:$B$2459,$Z1415)</f>
        <v>45733</v>
      </c>
      <c r="AC1415" s="61" t="n">
        <f aca="false">INDEX(Datos_Origen!$H$2:$H$2459,$Z1415)</f>
        <v>31</v>
      </c>
      <c r="AD1415" s="61" t="str">
        <f aca="false">INDEX(Datos_Origen!$D$2:$D$2459,$Z1415)&amp;""</f>
        <v>Buenos Aires</v>
      </c>
    </row>
    <row r="1416" customFormat="false" ht="15" hidden="false" customHeight="false" outlineLevel="0" collapsed="false">
      <c r="A1416" s="61" t="n">
        <f aca="false">INDEX(Datos_Origen!$A$2:$A$2459,$Z1416)</f>
        <v>1415</v>
      </c>
      <c r="B1416" s="62" t="n">
        <f aca="false">IF(ISNUMBER($AB1416),$AB1416,IF(MID($AB1416,5,1)="-",DATE(VALUE(LEFT($AB1416,4)),VALUE(MID($AB1416,6,2)),VALUE(RIGHT($AB1416,2))),DATE(VALUE(RIGHT($AB1416,4)),VALUE(MID($AB1416,4,2)),VALUE(LEFT($AB1416,2)))))</f>
        <v>45740</v>
      </c>
      <c r="C1416" s="61" t="n">
        <f aca="false">YEAR($B1416)</f>
        <v>2025</v>
      </c>
      <c r="D1416" s="61" t="str">
        <f aca="false">"Q"&amp;ROUNDUP(MONTH($B1416)/3,0)</f>
        <v>Q1</v>
      </c>
      <c r="E1416" s="61" t="n">
        <f aca="false">MONTH($B1416)</f>
        <v>3</v>
      </c>
      <c r="F1416" s="61" t="str">
        <f aca="false">INDEX(Parametros!$I$5:$I$16,$E1416)</f>
        <v>Mar</v>
      </c>
      <c r="G1416" s="61" t="str">
        <f aca="false">TEXT($C1416,"0000")&amp;"-"&amp;TEXT($E1416,"00")</f>
        <v>2025-03</v>
      </c>
      <c r="H1416" s="61" t="str">
        <f aca="false">INDEX(Parametros!$C$71:$C$91,MATCH(TRIM(INDEX(Datos_Origen!$C$2:$C$2459,$Z1416)),Parametros!$B$71:$B$91,0))</f>
        <v>AMBA</v>
      </c>
      <c r="I1416" s="61" t="str">
        <f aca="false">IF(TRIM($AD1416)="",INDEX(Parametros!$I$20:$I$24,MATCH($H1416,Parametros!$H$20:$H$24,0)),TRIM($AD1416))</f>
        <v>Buenos Aires</v>
      </c>
      <c r="J1416" s="61" t="str">
        <f aca="false">INDEX(Parametros!$C$95:$C$106,MATCH(TRIM(INDEX(Datos_Origen!$E$2:$E$2459,$Z1416)),Parametros!$B$95:$B$106,0))</f>
        <v>Tienda fisica</v>
      </c>
      <c r="K1416" s="61" t="str">
        <f aca="false">INDEX(Parametros!$C$48:$C$67,MATCH(TRIM(INDEX(Datos_Origen!$F$2:$F$2459,$Z1416)),Parametros!$B$48:$B$67,0))</f>
        <v>Audio</v>
      </c>
      <c r="L1416" s="61" t="str">
        <f aca="false">$K1416&amp;" "&amp;$C1416</f>
        <v>Audio 2025</v>
      </c>
      <c r="M1416" s="61" t="str">
        <f aca="false">TRIM(INDEX(Datos_Origen!$G$2:$G$2459,$Z1416))</f>
        <v>Parlante Bluetooth</v>
      </c>
      <c r="N1416" s="61" t="str">
        <f aca="false">$M1416&amp;" "&amp;$C1416</f>
        <v>Parlante Bluetooth 2025</v>
      </c>
      <c r="O1416" s="63" t="n">
        <f aca="false">IF(ISTEXT($AC1416),VALUE($AC1416),$AC1416)</f>
        <v>36</v>
      </c>
      <c r="P1416" s="64" t="n">
        <f aca="false">INDEX(Datos_Origen!$I$2:$I$2459,$Z1416)</f>
        <v>84.46</v>
      </c>
      <c r="Q1416" s="64" t="n">
        <f aca="false">INDEX(Datos_Origen!$J$2:$J$2459,$Z1416)</f>
        <v>49.47</v>
      </c>
      <c r="R1416" s="65" t="n">
        <f aca="false">ROUND($O1416*$P1416,2)</f>
        <v>3040.56</v>
      </c>
      <c r="S1416" s="65" t="n">
        <f aca="false">ROUND($O1416*$Q1416,2)</f>
        <v>1780.92</v>
      </c>
      <c r="T1416" s="65" t="n">
        <f aca="false">ROUND($R1416*SUMIFS(Parametros!$E$28:$E$43,Parametros!$B$28:$B$43,$J1416,Parametros!$C$28:$C$43,$C1416,Parametros!$D$28:$D$43,$D1416),2)</f>
        <v>39.53</v>
      </c>
      <c r="U1416" s="65" t="n">
        <f aca="false">$R1416-$S1416-$T1416</f>
        <v>1220.11</v>
      </c>
      <c r="V1416" s="66" t="n">
        <f aca="false">IFERROR($U1416/$R1416,0)</f>
        <v>0.401278054042676</v>
      </c>
      <c r="W1416" s="67" t="str">
        <f aca="false">IF(AND($V1416&gt;=Parametros!$C$8,$R1416&gt;=Parametros!$C$12),"Alta rentabilidad",IF(OR($V1416&lt;Parametros!$C$11,$R1416&lt;Parametros!$C$13),"Revisar","Estandar"))</f>
        <v>Alta rentabilidad</v>
      </c>
      <c r="X1416" s="67" t="str">
        <f aca="false">IF(AND($J1416="E-commerce",IFERROR($T1416/$R1416,0)&gt;Parametros!$C$14),"Alerta","OK")</f>
        <v>OK</v>
      </c>
      <c r="Y1416" s="61" t="str">
        <f aca="false">IF($R1416&gt;=Parametros!$C$12,"Alto",IF($R1416&lt;Parametros!$C$13,"Bajo","Medio"))</f>
        <v>Alto</v>
      </c>
      <c r="Z1416" s="61" t="n">
        <v>474</v>
      </c>
      <c r="AA1416" s="61" t="str">
        <f aca="false">IF(MATCH($A1416,Datos_Origen!$A$2:$A$2459,0)=$Z1416,"OK","REVISAR")</f>
        <v>OK</v>
      </c>
      <c r="AB1416" s="62" t="n">
        <f aca="false">INDEX(Datos_Origen!$B$2:$B$2459,$Z1416)</f>
        <v>45740</v>
      </c>
      <c r="AC1416" s="61" t="n">
        <f aca="false">INDEX(Datos_Origen!$H$2:$H$2459,$Z1416)</f>
        <v>36</v>
      </c>
      <c r="AD1416" s="61" t="str">
        <f aca="false">INDEX(Datos_Origen!$D$2:$D$2459,$Z1416)&amp;""</f>
        <v>Buenos Aires</v>
      </c>
    </row>
    <row r="1417" customFormat="false" ht="15" hidden="false" customHeight="false" outlineLevel="0" collapsed="false">
      <c r="A1417" s="61" t="n">
        <f aca="false">INDEX(Datos_Origen!$A$2:$A$2459,$Z1417)</f>
        <v>1416</v>
      </c>
      <c r="B1417" s="62" t="n">
        <f aca="false">IF(ISNUMBER($AB1417),$AB1417,IF(MID($AB1417,5,1)="-",DATE(VALUE(LEFT($AB1417,4)),VALUE(MID($AB1417,6,2)),VALUE(RIGHT($AB1417,2))),DATE(VALUE(RIGHT($AB1417,4)),VALUE(MID($AB1417,4,2)),VALUE(LEFT($AB1417,2)))))</f>
        <v>45720</v>
      </c>
      <c r="C1417" s="61" t="n">
        <f aca="false">YEAR($B1417)</f>
        <v>2025</v>
      </c>
      <c r="D1417" s="61" t="str">
        <f aca="false">"Q"&amp;ROUNDUP(MONTH($B1417)/3,0)</f>
        <v>Q1</v>
      </c>
      <c r="E1417" s="61" t="n">
        <f aca="false">MONTH($B1417)</f>
        <v>3</v>
      </c>
      <c r="F1417" s="61" t="str">
        <f aca="false">INDEX(Parametros!$I$5:$I$16,$E1417)</f>
        <v>Mar</v>
      </c>
      <c r="G1417" s="61" t="str">
        <f aca="false">TEXT($C1417,"0000")&amp;"-"&amp;TEXT($E1417,"00")</f>
        <v>2025-03</v>
      </c>
      <c r="H1417" s="61" t="str">
        <f aca="false">INDEX(Parametros!$C$71:$C$91,MATCH(TRIM(INDEX(Datos_Origen!$C$2:$C$2459,$Z1417)),Parametros!$B$71:$B$91,0))</f>
        <v>AMBA</v>
      </c>
      <c r="I1417" s="61" t="str">
        <f aca="false">IF(TRIM($AD1417)="",INDEX(Parametros!$I$20:$I$24,MATCH($H1417,Parametros!$H$20:$H$24,0)),TRIM($AD1417))</f>
        <v>Buenos Aires</v>
      </c>
      <c r="J1417" s="61" t="str">
        <f aca="false">INDEX(Parametros!$C$95:$C$106,MATCH(TRIM(INDEX(Datos_Origen!$E$2:$E$2459,$Z1417)),Parametros!$B$95:$B$106,0))</f>
        <v>E-commerce</v>
      </c>
      <c r="K1417" s="61" t="str">
        <f aca="false">INDEX(Parametros!$C$48:$C$67,MATCH(TRIM(INDEX(Datos_Origen!$F$2:$F$2459,$Z1417)),Parametros!$B$48:$B$67,0))</f>
        <v>Audio</v>
      </c>
      <c r="L1417" s="61" t="str">
        <f aca="false">$K1417&amp;" "&amp;$C1417</f>
        <v>Audio 2025</v>
      </c>
      <c r="M1417" s="61" t="str">
        <f aca="false">TRIM(INDEX(Datos_Origen!$G$2:$G$2459,$Z1417))</f>
        <v>Parlante Bluetooth</v>
      </c>
      <c r="N1417" s="61" t="str">
        <f aca="false">$M1417&amp;" "&amp;$C1417</f>
        <v>Parlante Bluetooth 2025</v>
      </c>
      <c r="O1417" s="63" t="n">
        <f aca="false">IF(ISTEXT($AC1417),VALUE($AC1417),$AC1417)</f>
        <v>29</v>
      </c>
      <c r="P1417" s="64" t="n">
        <f aca="false">INDEX(Datos_Origen!$I$2:$I$2459,$Z1417)</f>
        <v>84.46</v>
      </c>
      <c r="Q1417" s="64" t="n">
        <f aca="false">INDEX(Datos_Origen!$J$2:$J$2459,$Z1417)</f>
        <v>49.47</v>
      </c>
      <c r="R1417" s="65" t="n">
        <f aca="false">ROUND($O1417*$P1417,2)</f>
        <v>2449.34</v>
      </c>
      <c r="S1417" s="65" t="n">
        <f aca="false">ROUND($O1417*$Q1417,2)</f>
        <v>1434.63</v>
      </c>
      <c r="T1417" s="65" t="n">
        <f aca="false">ROUND($R1417*SUMIFS(Parametros!$E$28:$E$43,Parametros!$B$28:$B$43,$J1417,Parametros!$C$28:$C$43,$C1417,Parametros!$D$28:$D$43,$D1417),2)</f>
        <v>166.56</v>
      </c>
      <c r="U1417" s="65" t="n">
        <f aca="false">$R1417-$S1417-$T1417</f>
        <v>848.15</v>
      </c>
      <c r="V1417" s="66" t="n">
        <f aca="false">IFERROR($U1417/$R1417,0)</f>
        <v>0.346276956241273</v>
      </c>
      <c r="W1417" s="67" t="str">
        <f aca="false">IF(AND($V1417&gt;=Parametros!$C$8,$R1417&gt;=Parametros!$C$12),"Alta rentabilidad",IF(OR($V1417&lt;Parametros!$C$11,$R1417&lt;Parametros!$C$13),"Revisar","Estandar"))</f>
        <v>Estandar</v>
      </c>
      <c r="X1417" s="67" t="str">
        <f aca="false">IF(AND($J1417="E-commerce",IFERROR($T1417/$R1417,0)&gt;Parametros!$C$14),"Alerta","OK")</f>
        <v>Alerta</v>
      </c>
      <c r="Y1417" s="61" t="str">
        <f aca="false">IF($R1417&gt;=Parametros!$C$12,"Alto",IF($R1417&lt;Parametros!$C$13,"Bajo","Medio"))</f>
        <v>Medio</v>
      </c>
      <c r="Z1417" s="61" t="n">
        <v>1376</v>
      </c>
      <c r="AA1417" s="61" t="str">
        <f aca="false">IF(MATCH($A1417,Datos_Origen!$A$2:$A$2459,0)=$Z1417,"OK","REVISAR")</f>
        <v>OK</v>
      </c>
      <c r="AB1417" s="61" t="str">
        <f aca="false">INDEX(Datos_Origen!$B$2:$B$2459,$Z1417)</f>
        <v>04/03/2025</v>
      </c>
      <c r="AC1417" s="61" t="str">
        <f aca="false">INDEX(Datos_Origen!$H$2:$H$2459,$Z1417)</f>
        <v>29</v>
      </c>
      <c r="AD1417" s="61" t="str">
        <f aca="false">INDEX(Datos_Origen!$D$2:$D$2459,$Z1417)&amp;""</f>
        <v>Buenos Aires</v>
      </c>
    </row>
    <row r="1418" customFormat="false" ht="15" hidden="false" customHeight="false" outlineLevel="0" collapsed="false">
      <c r="A1418" s="61" t="n">
        <f aca="false">INDEX(Datos_Origen!$A$2:$A$2459,$Z1418)</f>
        <v>1417</v>
      </c>
      <c r="B1418" s="62" t="n">
        <f aca="false">IF(ISNUMBER($AB1418),$AB1418,IF(MID($AB1418,5,1)="-",DATE(VALUE(LEFT($AB1418,4)),VALUE(MID($AB1418,6,2)),VALUE(RIGHT($AB1418,2))),DATE(VALUE(RIGHT($AB1418,4)),VALUE(MID($AB1418,4,2)),VALUE(LEFT($AB1418,2)))))</f>
        <v>45727</v>
      </c>
      <c r="C1418" s="61" t="n">
        <f aca="false">YEAR($B1418)</f>
        <v>2025</v>
      </c>
      <c r="D1418" s="61" t="str">
        <f aca="false">"Q"&amp;ROUNDUP(MONTH($B1418)/3,0)</f>
        <v>Q1</v>
      </c>
      <c r="E1418" s="61" t="n">
        <f aca="false">MONTH($B1418)</f>
        <v>3</v>
      </c>
      <c r="F1418" s="61" t="str">
        <f aca="false">INDEX(Parametros!$I$5:$I$16,$E1418)</f>
        <v>Mar</v>
      </c>
      <c r="G1418" s="61" t="str">
        <f aca="false">TEXT($C1418,"0000")&amp;"-"&amp;TEXT($E1418,"00")</f>
        <v>2025-03</v>
      </c>
      <c r="H1418" s="61" t="str">
        <f aca="false">INDEX(Parametros!$C$71:$C$91,MATCH(TRIM(INDEX(Datos_Origen!$C$2:$C$2459,$Z1418)),Parametros!$B$71:$B$91,0))</f>
        <v>AMBA</v>
      </c>
      <c r="I1418" s="61" t="str">
        <f aca="false">IF(TRIM($AD1418)="",INDEX(Parametros!$I$20:$I$24,MATCH($H1418,Parametros!$H$20:$H$24,0)),TRIM($AD1418))</f>
        <v>Buenos Aires</v>
      </c>
      <c r="J1418" s="61" t="str">
        <f aca="false">INDEX(Parametros!$C$95:$C$106,MATCH(TRIM(INDEX(Datos_Origen!$E$2:$E$2459,$Z1418)),Parametros!$B$95:$B$106,0))</f>
        <v>Tienda fisica</v>
      </c>
      <c r="K1418" s="61" t="str">
        <f aca="false">INDEX(Parametros!$C$48:$C$67,MATCH(TRIM(INDEX(Datos_Origen!$F$2:$F$2459,$Z1418)),Parametros!$B$48:$B$67,0))</f>
        <v>Almacenamiento</v>
      </c>
      <c r="L1418" s="61" t="str">
        <f aca="false">$K1418&amp;" "&amp;$C1418</f>
        <v>Almacenamiento 2025</v>
      </c>
      <c r="M1418" s="61" t="str">
        <f aca="false">TRIM(INDEX(Datos_Origen!$G$2:$G$2459,$Z1418))</f>
        <v>SSD Externo 1TB</v>
      </c>
      <c r="N1418" s="61" t="str">
        <f aca="false">$M1418&amp;" "&amp;$C1418</f>
        <v>SSD Externo 1TB 2025</v>
      </c>
      <c r="O1418" s="63" t="n">
        <f aca="false">IF(ISTEXT($AC1418),VALUE($AC1418),$AC1418)</f>
        <v>60</v>
      </c>
      <c r="P1418" s="64" t="n">
        <f aca="false">INDEX(Datos_Origen!$I$2:$I$2459,$Z1418)</f>
        <v>129.17</v>
      </c>
      <c r="Q1418" s="64" t="n">
        <f aca="false">INDEX(Datos_Origen!$J$2:$J$2459,$Z1418)</f>
        <v>78.33</v>
      </c>
      <c r="R1418" s="65" t="n">
        <f aca="false">ROUND($O1418*$P1418,2)</f>
        <v>7750.2</v>
      </c>
      <c r="S1418" s="65" t="n">
        <f aca="false">ROUND($O1418*$Q1418,2)</f>
        <v>4699.8</v>
      </c>
      <c r="T1418" s="65" t="n">
        <f aca="false">ROUND($R1418*SUMIFS(Parametros!$E$28:$E$43,Parametros!$B$28:$B$43,$J1418,Parametros!$C$28:$C$43,$C1418,Parametros!$D$28:$D$43,$D1418),2)</f>
        <v>100.75</v>
      </c>
      <c r="U1418" s="65" t="n">
        <f aca="false">$R1418-$S1418-$T1418</f>
        <v>2949.65</v>
      </c>
      <c r="V1418" s="66" t="n">
        <f aca="false">IFERROR($U1418/$R1418,0)</f>
        <v>0.380590178317979</v>
      </c>
      <c r="W1418" s="67" t="str">
        <f aca="false">IF(AND($V1418&gt;=Parametros!$C$8,$R1418&gt;=Parametros!$C$12),"Alta rentabilidad",IF(OR($V1418&lt;Parametros!$C$11,$R1418&lt;Parametros!$C$13),"Revisar","Estandar"))</f>
        <v>Alta rentabilidad</v>
      </c>
      <c r="X1418" s="67" t="str">
        <f aca="false">IF(AND($J1418="E-commerce",IFERROR($T1418/$R1418,0)&gt;Parametros!$C$14),"Alerta","OK")</f>
        <v>OK</v>
      </c>
      <c r="Y1418" s="61" t="str">
        <f aca="false">IF($R1418&gt;=Parametros!$C$12,"Alto",IF($R1418&lt;Parametros!$C$13,"Bajo","Medio"))</f>
        <v>Alto</v>
      </c>
      <c r="Z1418" s="61" t="n">
        <v>2048</v>
      </c>
      <c r="AA1418" s="61" t="str">
        <f aca="false">IF(MATCH($A1418,Datos_Origen!$A$2:$A$2459,0)=$Z1418,"OK","REVISAR")</f>
        <v>OK</v>
      </c>
      <c r="AB1418" s="62" t="n">
        <f aca="false">INDEX(Datos_Origen!$B$2:$B$2459,$Z1418)</f>
        <v>45727</v>
      </c>
      <c r="AC1418" s="61" t="n">
        <f aca="false">INDEX(Datos_Origen!$H$2:$H$2459,$Z1418)</f>
        <v>60</v>
      </c>
      <c r="AD1418" s="61" t="str">
        <f aca="false">INDEX(Datos_Origen!$D$2:$D$2459,$Z1418)&amp;""</f>
        <v>Buenos Aires</v>
      </c>
    </row>
    <row r="1419" customFormat="false" ht="15" hidden="false" customHeight="false" outlineLevel="0" collapsed="false">
      <c r="A1419" s="61" t="n">
        <f aca="false">INDEX(Datos_Origen!$A$2:$A$2459,$Z1419)</f>
        <v>1418</v>
      </c>
      <c r="B1419" s="62" t="n">
        <f aca="false">IF(ISNUMBER($AB1419),$AB1419,IF(MID($AB1419,5,1)="-",DATE(VALUE(LEFT($AB1419,4)),VALUE(MID($AB1419,6,2)),VALUE(RIGHT($AB1419,2))),DATE(VALUE(RIGHT($AB1419,4)),VALUE(MID($AB1419,4,2)),VALUE(LEFT($AB1419,2)))))</f>
        <v>45734</v>
      </c>
      <c r="C1419" s="61" t="n">
        <f aca="false">YEAR($B1419)</f>
        <v>2025</v>
      </c>
      <c r="D1419" s="61" t="str">
        <f aca="false">"Q"&amp;ROUNDUP(MONTH($B1419)/3,0)</f>
        <v>Q1</v>
      </c>
      <c r="E1419" s="61" t="n">
        <f aca="false">MONTH($B1419)</f>
        <v>3</v>
      </c>
      <c r="F1419" s="61" t="str">
        <f aca="false">INDEX(Parametros!$I$5:$I$16,$E1419)</f>
        <v>Mar</v>
      </c>
      <c r="G1419" s="61" t="str">
        <f aca="false">TEXT($C1419,"0000")&amp;"-"&amp;TEXT($E1419,"00")</f>
        <v>2025-03</v>
      </c>
      <c r="H1419" s="61" t="str">
        <f aca="false">INDEX(Parametros!$C$71:$C$91,MATCH(TRIM(INDEX(Datos_Origen!$C$2:$C$2459,$Z1419)),Parametros!$B$71:$B$91,0))</f>
        <v>AMBA</v>
      </c>
      <c r="I1419" s="61" t="str">
        <f aca="false">IF(TRIM($AD1419)="",INDEX(Parametros!$I$20:$I$24,MATCH($H1419,Parametros!$H$20:$H$24,0)),TRIM($AD1419))</f>
        <v>Buenos Aires</v>
      </c>
      <c r="J1419" s="61" t="str">
        <f aca="false">INDEX(Parametros!$C$95:$C$106,MATCH(TRIM(INDEX(Datos_Origen!$E$2:$E$2459,$Z1419)),Parametros!$B$95:$B$106,0))</f>
        <v>E-commerce</v>
      </c>
      <c r="K1419" s="61" t="str">
        <f aca="false">INDEX(Parametros!$C$48:$C$67,MATCH(TRIM(INDEX(Datos_Origen!$F$2:$F$2459,$Z1419)),Parametros!$B$48:$B$67,0))</f>
        <v>Almacenamiento</v>
      </c>
      <c r="L1419" s="61" t="str">
        <f aca="false">$K1419&amp;" "&amp;$C1419</f>
        <v>Almacenamiento 2025</v>
      </c>
      <c r="M1419" s="61" t="str">
        <f aca="false">TRIM(INDEX(Datos_Origen!$G$2:$G$2459,$Z1419))</f>
        <v>SSD Externo 1TB</v>
      </c>
      <c r="N1419" s="61" t="str">
        <f aca="false">$M1419&amp;" "&amp;$C1419</f>
        <v>SSD Externo 1TB 2025</v>
      </c>
      <c r="O1419" s="63" t="n">
        <f aca="false">IF(ISTEXT($AC1419),VALUE($AC1419),$AC1419)</f>
        <v>34</v>
      </c>
      <c r="P1419" s="64" t="n">
        <f aca="false">INDEX(Datos_Origen!$I$2:$I$2459,$Z1419)</f>
        <v>129.17</v>
      </c>
      <c r="Q1419" s="64" t="n">
        <f aca="false">INDEX(Datos_Origen!$J$2:$J$2459,$Z1419)</f>
        <v>78.33</v>
      </c>
      <c r="R1419" s="65" t="n">
        <f aca="false">ROUND($O1419*$P1419,2)</f>
        <v>4391.78</v>
      </c>
      <c r="S1419" s="65" t="n">
        <f aca="false">ROUND($O1419*$Q1419,2)</f>
        <v>2663.22</v>
      </c>
      <c r="T1419" s="65" t="n">
        <f aca="false">ROUND($R1419*SUMIFS(Parametros!$E$28:$E$43,Parametros!$B$28:$B$43,$J1419,Parametros!$C$28:$C$43,$C1419,Parametros!$D$28:$D$43,$D1419),2)</f>
        <v>298.64</v>
      </c>
      <c r="U1419" s="65" t="n">
        <f aca="false">$R1419-$S1419-$T1419</f>
        <v>1429.92</v>
      </c>
      <c r="V1419" s="66" t="n">
        <f aca="false">IFERROR($U1419/$R1419,0)</f>
        <v>0.325590079648799</v>
      </c>
      <c r="W1419" s="67" t="str">
        <f aca="false">IF(AND($V1419&gt;=Parametros!$C$8,$R1419&gt;=Parametros!$C$12),"Alta rentabilidad",IF(OR($V1419&lt;Parametros!$C$11,$R1419&lt;Parametros!$C$13),"Revisar","Estandar"))</f>
        <v>Estandar</v>
      </c>
      <c r="X1419" s="67" t="str">
        <f aca="false">IF(AND($J1419="E-commerce",IFERROR($T1419/$R1419,0)&gt;Parametros!$C$14),"Alerta","OK")</f>
        <v>Alerta</v>
      </c>
      <c r="Y1419" s="61" t="str">
        <f aca="false">IF($R1419&gt;=Parametros!$C$12,"Alto",IF($R1419&lt;Parametros!$C$13,"Bajo","Medio"))</f>
        <v>Alto</v>
      </c>
      <c r="Z1419" s="61" t="n">
        <v>315</v>
      </c>
      <c r="AA1419" s="61" t="str">
        <f aca="false">IF(MATCH($A1419,Datos_Origen!$A$2:$A$2459,0)=$Z1419,"OK","REVISAR")</f>
        <v>OK</v>
      </c>
      <c r="AB1419" s="62" t="n">
        <f aca="false">INDEX(Datos_Origen!$B$2:$B$2459,$Z1419)</f>
        <v>45734</v>
      </c>
      <c r="AC1419" s="61" t="str">
        <f aca="false">INDEX(Datos_Origen!$H$2:$H$2459,$Z1419)</f>
        <v>34</v>
      </c>
      <c r="AD1419" s="61" t="str">
        <f aca="false">INDEX(Datos_Origen!$D$2:$D$2459,$Z1419)&amp;""</f>
        <v>Buenos Aires</v>
      </c>
    </row>
    <row r="1420" customFormat="false" ht="15" hidden="false" customHeight="false" outlineLevel="0" collapsed="false">
      <c r="A1420" s="61" t="n">
        <f aca="false">INDEX(Datos_Origen!$A$2:$A$2459,$Z1420)</f>
        <v>1419</v>
      </c>
      <c r="B1420" s="62" t="n">
        <f aca="false">IF(ISNUMBER($AB1420),$AB1420,IF(MID($AB1420,5,1)="-",DATE(VALUE(LEFT($AB1420,4)),VALUE(MID($AB1420,6,2)),VALUE(RIGHT($AB1420,2))),DATE(VALUE(RIGHT($AB1420,4)),VALUE(MID($AB1420,4,2)),VALUE(LEFT($AB1420,2)))))</f>
        <v>45741</v>
      </c>
      <c r="C1420" s="61" t="n">
        <f aca="false">YEAR($B1420)</f>
        <v>2025</v>
      </c>
      <c r="D1420" s="61" t="str">
        <f aca="false">"Q"&amp;ROUNDUP(MONTH($B1420)/3,0)</f>
        <v>Q1</v>
      </c>
      <c r="E1420" s="61" t="n">
        <f aca="false">MONTH($B1420)</f>
        <v>3</v>
      </c>
      <c r="F1420" s="61" t="str">
        <f aca="false">INDEX(Parametros!$I$5:$I$16,$E1420)</f>
        <v>Mar</v>
      </c>
      <c r="G1420" s="61" t="str">
        <f aca="false">TEXT($C1420,"0000")&amp;"-"&amp;TEXT($E1420,"00")</f>
        <v>2025-03</v>
      </c>
      <c r="H1420" s="61" t="str">
        <f aca="false">INDEX(Parametros!$C$71:$C$91,MATCH(TRIM(INDEX(Datos_Origen!$C$2:$C$2459,$Z1420)),Parametros!$B$71:$B$91,0))</f>
        <v>AMBA</v>
      </c>
      <c r="I1420" s="61" t="str">
        <f aca="false">IF(TRIM($AD1420)="",INDEX(Parametros!$I$20:$I$24,MATCH($H1420,Parametros!$H$20:$H$24,0)),TRIM($AD1420))</f>
        <v>Buenos Aires</v>
      </c>
      <c r="J1420" s="61" t="str">
        <f aca="false">INDEX(Parametros!$C$95:$C$106,MATCH(TRIM(INDEX(Datos_Origen!$E$2:$E$2459,$Z1420)),Parametros!$B$95:$B$106,0))</f>
        <v>Tienda fisica</v>
      </c>
      <c r="K1420" s="61" t="str">
        <f aca="false">INDEX(Parametros!$C$48:$C$67,MATCH(TRIM(INDEX(Datos_Origen!$F$2:$F$2459,$Z1420)),Parametros!$B$48:$B$67,0))</f>
        <v>Almacenamiento</v>
      </c>
      <c r="L1420" s="61" t="str">
        <f aca="false">$K1420&amp;" "&amp;$C1420</f>
        <v>Almacenamiento 2025</v>
      </c>
      <c r="M1420" s="61" t="str">
        <f aca="false">TRIM(INDEX(Datos_Origen!$G$2:$G$2459,$Z1420))</f>
        <v>Pendrive 256GB</v>
      </c>
      <c r="N1420" s="61" t="str">
        <f aca="false">$M1420&amp;" "&amp;$C1420</f>
        <v>Pendrive 256GB 2025</v>
      </c>
      <c r="O1420" s="63" t="n">
        <f aca="false">IF(ISTEXT($AC1420),VALUE($AC1420),$AC1420)</f>
        <v>44</v>
      </c>
      <c r="P1420" s="64" t="n">
        <f aca="false">INDEX(Datos_Origen!$I$2:$I$2459,$Z1420)</f>
        <v>34.78</v>
      </c>
      <c r="Q1420" s="64" t="n">
        <f aca="false">INDEX(Datos_Origen!$J$2:$J$2459,$Z1420)</f>
        <v>18.39</v>
      </c>
      <c r="R1420" s="65" t="n">
        <f aca="false">ROUND($O1420*$P1420,2)</f>
        <v>1530.32</v>
      </c>
      <c r="S1420" s="65" t="n">
        <f aca="false">ROUND($O1420*$Q1420,2)</f>
        <v>809.16</v>
      </c>
      <c r="T1420" s="65" t="n">
        <f aca="false">ROUND($R1420*SUMIFS(Parametros!$E$28:$E$43,Parametros!$B$28:$B$43,$J1420,Parametros!$C$28:$C$43,$C1420,Parametros!$D$28:$D$43,$D1420),2)</f>
        <v>19.89</v>
      </c>
      <c r="U1420" s="65" t="n">
        <f aca="false">$R1420-$S1420-$T1420</f>
        <v>701.27</v>
      </c>
      <c r="V1420" s="66" t="n">
        <f aca="false">IFERROR($U1420/$R1420,0)</f>
        <v>0.458250561973966</v>
      </c>
      <c r="W1420" s="67" t="str">
        <f aca="false">IF(AND($V1420&gt;=Parametros!$C$8,$R1420&gt;=Parametros!$C$12),"Alta rentabilidad",IF(OR($V1420&lt;Parametros!$C$11,$R1420&lt;Parametros!$C$13),"Revisar","Estandar"))</f>
        <v>Estandar</v>
      </c>
      <c r="X1420" s="67" t="str">
        <f aca="false">IF(AND($J1420="E-commerce",IFERROR($T1420/$R1420,0)&gt;Parametros!$C$14),"Alerta","OK")</f>
        <v>OK</v>
      </c>
      <c r="Y1420" s="61" t="str">
        <f aca="false">IF($R1420&gt;=Parametros!$C$12,"Alto",IF($R1420&lt;Parametros!$C$13,"Bajo","Medio"))</f>
        <v>Medio</v>
      </c>
      <c r="Z1420" s="61" t="n">
        <v>499</v>
      </c>
      <c r="AA1420" s="61" t="str">
        <f aca="false">IF(MATCH($A1420,Datos_Origen!$A$2:$A$2459,0)=$Z1420,"OK","REVISAR")</f>
        <v>OK</v>
      </c>
      <c r="AB1420" s="61" t="str">
        <f aca="false">INDEX(Datos_Origen!$B$2:$B$2459,$Z1420)</f>
        <v>25/03/2025</v>
      </c>
      <c r="AC1420" s="61" t="n">
        <f aca="false">INDEX(Datos_Origen!$H$2:$H$2459,$Z1420)</f>
        <v>44</v>
      </c>
      <c r="AD1420" s="61" t="str">
        <f aca="false">INDEX(Datos_Origen!$D$2:$D$2459,$Z1420)&amp;""</f>
        <v>Buenos Aires</v>
      </c>
    </row>
    <row r="1421" customFormat="false" ht="15" hidden="false" customHeight="false" outlineLevel="0" collapsed="false">
      <c r="A1421" s="61" t="n">
        <f aca="false">INDEX(Datos_Origen!$A$2:$A$2459,$Z1421)</f>
        <v>1420</v>
      </c>
      <c r="B1421" s="62" t="n">
        <f aca="false">IF(ISNUMBER($AB1421),$AB1421,IF(MID($AB1421,5,1)="-",DATE(VALUE(LEFT($AB1421,4)),VALUE(MID($AB1421,6,2)),VALUE(RIGHT($AB1421,2))),DATE(VALUE(RIGHT($AB1421,4)),VALUE(MID($AB1421,4,2)),VALUE(LEFT($AB1421,2)))))</f>
        <v>45721</v>
      </c>
      <c r="C1421" s="61" t="n">
        <f aca="false">YEAR($B1421)</f>
        <v>2025</v>
      </c>
      <c r="D1421" s="61" t="str">
        <f aca="false">"Q"&amp;ROUNDUP(MONTH($B1421)/3,0)</f>
        <v>Q1</v>
      </c>
      <c r="E1421" s="61" t="n">
        <f aca="false">MONTH($B1421)</f>
        <v>3</v>
      </c>
      <c r="F1421" s="61" t="str">
        <f aca="false">INDEX(Parametros!$I$5:$I$16,$E1421)</f>
        <v>Mar</v>
      </c>
      <c r="G1421" s="61" t="str">
        <f aca="false">TEXT($C1421,"0000")&amp;"-"&amp;TEXT($E1421,"00")</f>
        <v>2025-03</v>
      </c>
      <c r="H1421" s="61" t="str">
        <f aca="false">INDEX(Parametros!$C$71:$C$91,MATCH(TRIM(INDEX(Datos_Origen!$C$2:$C$2459,$Z1421)),Parametros!$B$71:$B$91,0))</f>
        <v>AMBA</v>
      </c>
      <c r="I1421" s="61" t="str">
        <f aca="false">IF(TRIM($AD1421)="",INDEX(Parametros!$I$20:$I$24,MATCH($H1421,Parametros!$H$20:$H$24,0)),TRIM($AD1421))</f>
        <v>Buenos Aires</v>
      </c>
      <c r="J1421" s="61" t="str">
        <f aca="false">INDEX(Parametros!$C$95:$C$106,MATCH(TRIM(INDEX(Datos_Origen!$E$2:$E$2459,$Z1421)),Parametros!$B$95:$B$106,0))</f>
        <v>E-commerce</v>
      </c>
      <c r="K1421" s="61" t="str">
        <f aca="false">INDEX(Parametros!$C$48:$C$67,MATCH(TRIM(INDEX(Datos_Origen!$F$2:$F$2459,$Z1421)),Parametros!$B$48:$B$67,0))</f>
        <v>Almacenamiento</v>
      </c>
      <c r="L1421" s="61" t="str">
        <f aca="false">$K1421&amp;" "&amp;$C1421</f>
        <v>Almacenamiento 2025</v>
      </c>
      <c r="M1421" s="61" t="str">
        <f aca="false">TRIM(INDEX(Datos_Origen!$G$2:$G$2459,$Z1421))</f>
        <v>Pendrive 256GB</v>
      </c>
      <c r="N1421" s="61" t="str">
        <f aca="false">$M1421&amp;" "&amp;$C1421</f>
        <v>Pendrive 256GB 2025</v>
      </c>
      <c r="O1421" s="63" t="n">
        <f aca="false">IF(ISTEXT($AC1421),VALUE($AC1421),$AC1421)</f>
        <v>34</v>
      </c>
      <c r="P1421" s="64" t="n">
        <f aca="false">INDEX(Datos_Origen!$I$2:$I$2459,$Z1421)</f>
        <v>34.78</v>
      </c>
      <c r="Q1421" s="64" t="n">
        <f aca="false">INDEX(Datos_Origen!$J$2:$J$2459,$Z1421)</f>
        <v>18.39</v>
      </c>
      <c r="R1421" s="65" t="n">
        <f aca="false">ROUND($O1421*$P1421,2)</f>
        <v>1182.52</v>
      </c>
      <c r="S1421" s="65" t="n">
        <f aca="false">ROUND($O1421*$Q1421,2)</f>
        <v>625.26</v>
      </c>
      <c r="T1421" s="65" t="n">
        <f aca="false">ROUND($R1421*SUMIFS(Parametros!$E$28:$E$43,Parametros!$B$28:$B$43,$J1421,Parametros!$C$28:$C$43,$C1421,Parametros!$D$28:$D$43,$D1421),2)</f>
        <v>80.41</v>
      </c>
      <c r="U1421" s="65" t="n">
        <f aca="false">$R1421-$S1421-$T1421</f>
        <v>476.85</v>
      </c>
      <c r="V1421" s="66" t="n">
        <f aca="false">IFERROR($U1421/$R1421,0)</f>
        <v>0.403248993674526</v>
      </c>
      <c r="W1421" s="67" t="str">
        <f aca="false">IF(AND($V1421&gt;=Parametros!$C$8,$R1421&gt;=Parametros!$C$12),"Alta rentabilidad",IF(OR($V1421&lt;Parametros!$C$11,$R1421&lt;Parametros!$C$13),"Revisar","Estandar"))</f>
        <v>Estandar</v>
      </c>
      <c r="X1421" s="67" t="str">
        <f aca="false">IF(AND($J1421="E-commerce",IFERROR($T1421/$R1421,0)&gt;Parametros!$C$14),"Alerta","OK")</f>
        <v>Alerta</v>
      </c>
      <c r="Y1421" s="61" t="str">
        <f aca="false">IF($R1421&gt;=Parametros!$C$12,"Alto",IF($R1421&lt;Parametros!$C$13,"Bajo","Medio"))</f>
        <v>Medio</v>
      </c>
      <c r="Z1421" s="61" t="n">
        <v>1315</v>
      </c>
      <c r="AA1421" s="61" t="str">
        <f aca="false">IF(MATCH($A1421,Datos_Origen!$A$2:$A$2459,0)=$Z1421,"OK","REVISAR")</f>
        <v>OK</v>
      </c>
      <c r="AB1421" s="62" t="n">
        <f aca="false">INDEX(Datos_Origen!$B$2:$B$2459,$Z1421)</f>
        <v>45721</v>
      </c>
      <c r="AC1421" s="61" t="n">
        <f aca="false">INDEX(Datos_Origen!$H$2:$H$2459,$Z1421)</f>
        <v>34</v>
      </c>
      <c r="AD1421" s="61" t="str">
        <f aca="false">INDEX(Datos_Origen!$D$2:$D$2459,$Z1421)&amp;""</f>
        <v>Buenos Aires</v>
      </c>
    </row>
    <row r="1422" customFormat="false" ht="15" hidden="false" customHeight="false" outlineLevel="0" collapsed="false">
      <c r="A1422" s="61" t="n">
        <f aca="false">INDEX(Datos_Origen!$A$2:$A$2459,$Z1422)</f>
        <v>1421</v>
      </c>
      <c r="B1422" s="62" t="n">
        <f aca="false">IF(ISNUMBER($AB1422),$AB1422,IF(MID($AB1422,5,1)="-",DATE(VALUE(LEFT($AB1422,4)),VALUE(MID($AB1422,6,2)),VALUE(RIGHT($AB1422,2))),DATE(VALUE(RIGHT($AB1422,4)),VALUE(MID($AB1422,4,2)),VALUE(LEFT($AB1422,2)))))</f>
        <v>45728</v>
      </c>
      <c r="C1422" s="61" t="n">
        <f aca="false">YEAR($B1422)</f>
        <v>2025</v>
      </c>
      <c r="D1422" s="61" t="str">
        <f aca="false">"Q"&amp;ROUNDUP(MONTH($B1422)/3,0)</f>
        <v>Q1</v>
      </c>
      <c r="E1422" s="61" t="n">
        <f aca="false">MONTH($B1422)</f>
        <v>3</v>
      </c>
      <c r="F1422" s="61" t="str">
        <f aca="false">INDEX(Parametros!$I$5:$I$16,$E1422)</f>
        <v>Mar</v>
      </c>
      <c r="G1422" s="61" t="str">
        <f aca="false">TEXT($C1422,"0000")&amp;"-"&amp;TEXT($E1422,"00")</f>
        <v>2025-03</v>
      </c>
      <c r="H1422" s="61" t="str">
        <f aca="false">INDEX(Parametros!$C$71:$C$91,MATCH(TRIM(INDEX(Datos_Origen!$C$2:$C$2459,$Z1422)),Parametros!$B$71:$B$91,0))</f>
        <v>Centro</v>
      </c>
      <c r="I1422" s="61" t="str">
        <f aca="false">IF(TRIM($AD1422)="",INDEX(Parametros!$I$20:$I$24,MATCH($H1422,Parametros!$H$20:$H$24,0)),TRIM($AD1422))</f>
        <v>Cordoba</v>
      </c>
      <c r="J1422" s="61" t="str">
        <f aca="false">INDEX(Parametros!$C$95:$C$106,MATCH(TRIM(INDEX(Datos_Origen!$E$2:$E$2459,$Z1422)),Parametros!$B$95:$B$106,0))</f>
        <v>Tienda fisica</v>
      </c>
      <c r="K1422" s="61" t="str">
        <f aca="false">INDEX(Parametros!$C$48:$C$67,MATCH(TRIM(INDEX(Datos_Origen!$F$2:$F$2459,$Z1422)),Parametros!$B$48:$B$67,0))</f>
        <v>Computacion</v>
      </c>
      <c r="L1422" s="61" t="str">
        <f aca="false">$K1422&amp;" "&amp;$C1422</f>
        <v>Computacion 2025</v>
      </c>
      <c r="M1422" s="61" t="str">
        <f aca="false">TRIM(INDEX(Datos_Origen!$G$2:$G$2459,$Z1422))</f>
        <v>Laptop Pro 15</v>
      </c>
      <c r="N1422" s="61" t="str">
        <f aca="false">$M1422&amp;" "&amp;$C1422</f>
        <v>Laptop Pro 15 2025</v>
      </c>
      <c r="O1422" s="63" t="n">
        <f aca="false">IF(ISTEXT($AC1422),VALUE($AC1422),$AC1422)</f>
        <v>10</v>
      </c>
      <c r="P1422" s="64" t="n">
        <f aca="false">INDEX(Datos_Origen!$I$2:$I$2459,$Z1422)</f>
        <v>1155.06</v>
      </c>
      <c r="Q1422" s="64" t="n">
        <f aca="false">INDEX(Datos_Origen!$J$2:$J$2459,$Z1422)</f>
        <v>766.32</v>
      </c>
      <c r="R1422" s="65" t="n">
        <f aca="false">ROUND($O1422*$P1422,2)</f>
        <v>11550.6</v>
      </c>
      <c r="S1422" s="65" t="n">
        <f aca="false">ROUND($O1422*$Q1422,2)</f>
        <v>7663.2</v>
      </c>
      <c r="T1422" s="65" t="n">
        <f aca="false">ROUND($R1422*SUMIFS(Parametros!$E$28:$E$43,Parametros!$B$28:$B$43,$J1422,Parametros!$C$28:$C$43,$C1422,Parametros!$D$28:$D$43,$D1422),2)</f>
        <v>150.16</v>
      </c>
      <c r="U1422" s="65" t="n">
        <f aca="false">$R1422-$S1422-$T1422</f>
        <v>3737.24</v>
      </c>
      <c r="V1422" s="66" t="n">
        <f aca="false">IFERROR($U1422/$R1422,0)</f>
        <v>0.323553754783301</v>
      </c>
      <c r="W1422" s="67" t="str">
        <f aca="false">IF(AND($V1422&gt;=Parametros!$C$8,$R1422&gt;=Parametros!$C$12),"Alta rentabilidad",IF(OR($V1422&lt;Parametros!$C$11,$R1422&lt;Parametros!$C$13),"Revisar","Estandar"))</f>
        <v>Estandar</v>
      </c>
      <c r="X1422" s="67" t="str">
        <f aca="false">IF(AND($J1422="E-commerce",IFERROR($T1422/$R1422,0)&gt;Parametros!$C$14),"Alerta","OK")</f>
        <v>OK</v>
      </c>
      <c r="Y1422" s="61" t="str">
        <f aca="false">IF($R1422&gt;=Parametros!$C$12,"Alto",IF($R1422&lt;Parametros!$C$13,"Bajo","Medio"))</f>
        <v>Alto</v>
      </c>
      <c r="Z1422" s="61" t="n">
        <v>2428</v>
      </c>
      <c r="AA1422" s="61" t="str">
        <f aca="false">IF(MATCH($A1422,Datos_Origen!$A$2:$A$2459,0)=$Z1422,"OK","REVISAR")</f>
        <v>OK</v>
      </c>
      <c r="AB1422" s="62" t="n">
        <f aca="false">INDEX(Datos_Origen!$B$2:$B$2459,$Z1422)</f>
        <v>45728</v>
      </c>
      <c r="AC1422" s="61" t="n">
        <f aca="false">INDEX(Datos_Origen!$H$2:$H$2459,$Z1422)</f>
        <v>10</v>
      </c>
      <c r="AD1422" s="61" t="str">
        <f aca="false">INDEX(Datos_Origen!$D$2:$D$2459,$Z1422)&amp;""</f>
        <v>Cordoba</v>
      </c>
    </row>
    <row r="1423" customFormat="false" ht="15" hidden="false" customHeight="false" outlineLevel="0" collapsed="false">
      <c r="A1423" s="61" t="n">
        <f aca="false">INDEX(Datos_Origen!$A$2:$A$2459,$Z1423)</f>
        <v>1422</v>
      </c>
      <c r="B1423" s="62" t="n">
        <f aca="false">IF(ISNUMBER($AB1423),$AB1423,IF(MID($AB1423,5,1)="-",DATE(VALUE(LEFT($AB1423,4)),VALUE(MID($AB1423,6,2)),VALUE(RIGHT($AB1423,2))),DATE(VALUE(RIGHT($AB1423,4)),VALUE(MID($AB1423,4,2)),VALUE(LEFT($AB1423,2)))))</f>
        <v>45735</v>
      </c>
      <c r="C1423" s="61" t="n">
        <f aca="false">YEAR($B1423)</f>
        <v>2025</v>
      </c>
      <c r="D1423" s="61" t="str">
        <f aca="false">"Q"&amp;ROUNDUP(MONTH($B1423)/3,0)</f>
        <v>Q1</v>
      </c>
      <c r="E1423" s="61" t="n">
        <f aca="false">MONTH($B1423)</f>
        <v>3</v>
      </c>
      <c r="F1423" s="61" t="str">
        <f aca="false">INDEX(Parametros!$I$5:$I$16,$E1423)</f>
        <v>Mar</v>
      </c>
      <c r="G1423" s="61" t="str">
        <f aca="false">TEXT($C1423,"0000")&amp;"-"&amp;TEXT($E1423,"00")</f>
        <v>2025-03</v>
      </c>
      <c r="H1423" s="61" t="str">
        <f aca="false">INDEX(Parametros!$C$71:$C$91,MATCH(TRIM(INDEX(Datos_Origen!$C$2:$C$2459,$Z1423)),Parametros!$B$71:$B$91,0))</f>
        <v>Centro</v>
      </c>
      <c r="I1423" s="61" t="str">
        <f aca="false">IF(TRIM($AD1423)="",INDEX(Parametros!$I$20:$I$24,MATCH($H1423,Parametros!$H$20:$H$24,0)),TRIM($AD1423))</f>
        <v>Cordoba</v>
      </c>
      <c r="J1423" s="61" t="str">
        <f aca="false">INDEX(Parametros!$C$95:$C$106,MATCH(TRIM(INDEX(Datos_Origen!$E$2:$E$2459,$Z1423)),Parametros!$B$95:$B$106,0))</f>
        <v>E-commerce</v>
      </c>
      <c r="K1423" s="61" t="str">
        <f aca="false">INDEX(Parametros!$C$48:$C$67,MATCH(TRIM(INDEX(Datos_Origen!$F$2:$F$2459,$Z1423)),Parametros!$B$48:$B$67,0))</f>
        <v>Computacion</v>
      </c>
      <c r="L1423" s="61" t="str">
        <f aca="false">$K1423&amp;" "&amp;$C1423</f>
        <v>Computacion 2025</v>
      </c>
      <c r="M1423" s="61" t="str">
        <f aca="false">TRIM(INDEX(Datos_Origen!$G$2:$G$2459,$Z1423))</f>
        <v>Laptop Pro 15</v>
      </c>
      <c r="N1423" s="61" t="str">
        <f aca="false">$M1423&amp;" "&amp;$C1423</f>
        <v>Laptop Pro 15 2025</v>
      </c>
      <c r="O1423" s="63" t="n">
        <f aca="false">IF(ISTEXT($AC1423),VALUE($AC1423),$AC1423)</f>
        <v>7</v>
      </c>
      <c r="P1423" s="64" t="n">
        <f aca="false">INDEX(Datos_Origen!$I$2:$I$2459,$Z1423)</f>
        <v>1155.06</v>
      </c>
      <c r="Q1423" s="64" t="n">
        <f aca="false">INDEX(Datos_Origen!$J$2:$J$2459,$Z1423)</f>
        <v>766.32</v>
      </c>
      <c r="R1423" s="65" t="n">
        <f aca="false">ROUND($O1423*$P1423,2)</f>
        <v>8085.42</v>
      </c>
      <c r="S1423" s="65" t="n">
        <f aca="false">ROUND($O1423*$Q1423,2)</f>
        <v>5364.24</v>
      </c>
      <c r="T1423" s="65" t="n">
        <f aca="false">ROUND($R1423*SUMIFS(Parametros!$E$28:$E$43,Parametros!$B$28:$B$43,$J1423,Parametros!$C$28:$C$43,$C1423,Parametros!$D$28:$D$43,$D1423),2)</f>
        <v>549.81</v>
      </c>
      <c r="U1423" s="65" t="n">
        <f aca="false">$R1423-$S1423-$T1423</f>
        <v>2171.37</v>
      </c>
      <c r="V1423" s="66" t="n">
        <f aca="false">IFERROR($U1423/$R1423,0)</f>
        <v>0.268553767151243</v>
      </c>
      <c r="W1423" s="67" t="str">
        <f aca="false">IF(AND($V1423&gt;=Parametros!$C$8,$R1423&gt;=Parametros!$C$12),"Alta rentabilidad",IF(OR($V1423&lt;Parametros!$C$11,$R1423&lt;Parametros!$C$13),"Revisar","Estandar"))</f>
        <v>Revisar</v>
      </c>
      <c r="X1423" s="67" t="str">
        <f aca="false">IF(AND($J1423="E-commerce",IFERROR($T1423/$R1423,0)&gt;Parametros!$C$14),"Alerta","OK")</f>
        <v>Alerta</v>
      </c>
      <c r="Y1423" s="61" t="str">
        <f aca="false">IF($R1423&gt;=Parametros!$C$12,"Alto",IF($R1423&lt;Parametros!$C$13,"Bajo","Medio"))</f>
        <v>Alto</v>
      </c>
      <c r="Z1423" s="61" t="n">
        <v>1438</v>
      </c>
      <c r="AA1423" s="61" t="str">
        <f aca="false">IF(MATCH($A1423,Datos_Origen!$A$2:$A$2459,0)=$Z1423,"OK","REVISAR")</f>
        <v>OK</v>
      </c>
      <c r="AB1423" s="61" t="str">
        <f aca="false">INDEX(Datos_Origen!$B$2:$B$2459,$Z1423)</f>
        <v>19/03/2025</v>
      </c>
      <c r="AC1423" s="61" t="n">
        <f aca="false">INDEX(Datos_Origen!$H$2:$H$2459,$Z1423)</f>
        <v>7</v>
      </c>
      <c r="AD1423" s="61" t="str">
        <f aca="false">INDEX(Datos_Origen!$D$2:$D$2459,$Z1423)&amp;""</f>
        <v>Cordoba</v>
      </c>
    </row>
    <row r="1424" customFormat="false" ht="15" hidden="false" customHeight="false" outlineLevel="0" collapsed="false">
      <c r="A1424" s="61" t="n">
        <f aca="false">INDEX(Datos_Origen!$A$2:$A$2459,$Z1424)</f>
        <v>1423</v>
      </c>
      <c r="B1424" s="62" t="n">
        <f aca="false">IF(ISNUMBER($AB1424),$AB1424,IF(MID($AB1424,5,1)="-",DATE(VALUE(LEFT($AB1424,4)),VALUE(MID($AB1424,6,2)),VALUE(RIGHT($AB1424,2))),DATE(VALUE(RIGHT($AB1424,4)),VALUE(MID($AB1424,4,2)),VALUE(LEFT($AB1424,2)))))</f>
        <v>45742</v>
      </c>
      <c r="C1424" s="61" t="n">
        <f aca="false">YEAR($B1424)</f>
        <v>2025</v>
      </c>
      <c r="D1424" s="61" t="str">
        <f aca="false">"Q"&amp;ROUNDUP(MONTH($B1424)/3,0)</f>
        <v>Q1</v>
      </c>
      <c r="E1424" s="61" t="n">
        <f aca="false">MONTH($B1424)</f>
        <v>3</v>
      </c>
      <c r="F1424" s="61" t="str">
        <f aca="false">INDEX(Parametros!$I$5:$I$16,$E1424)</f>
        <v>Mar</v>
      </c>
      <c r="G1424" s="61" t="str">
        <f aca="false">TEXT($C1424,"0000")&amp;"-"&amp;TEXT($E1424,"00")</f>
        <v>2025-03</v>
      </c>
      <c r="H1424" s="61" t="str">
        <f aca="false">INDEX(Parametros!$C$71:$C$91,MATCH(TRIM(INDEX(Datos_Origen!$C$2:$C$2459,$Z1424)),Parametros!$B$71:$B$91,0))</f>
        <v>Centro</v>
      </c>
      <c r="I1424" s="61" t="str">
        <f aca="false">IF(TRIM($AD1424)="",INDEX(Parametros!$I$20:$I$24,MATCH($H1424,Parametros!$H$20:$H$24,0)),TRIM($AD1424))</f>
        <v>Cordoba</v>
      </c>
      <c r="J1424" s="61" t="str">
        <f aca="false">INDEX(Parametros!$C$95:$C$106,MATCH(TRIM(INDEX(Datos_Origen!$E$2:$E$2459,$Z1424)),Parametros!$B$95:$B$106,0))</f>
        <v>Tienda fisica</v>
      </c>
      <c r="K1424" s="61" t="str">
        <f aca="false">INDEX(Parametros!$C$48:$C$67,MATCH(TRIM(INDEX(Datos_Origen!$F$2:$F$2459,$Z1424)),Parametros!$B$48:$B$67,0))</f>
        <v>Computacion</v>
      </c>
      <c r="L1424" s="61" t="str">
        <f aca="false">$K1424&amp;" "&amp;$C1424</f>
        <v>Computacion 2025</v>
      </c>
      <c r="M1424" s="61" t="str">
        <f aca="false">TRIM(INDEX(Datos_Origen!$G$2:$G$2459,$Z1424))</f>
        <v>Monitor 4K 27</v>
      </c>
      <c r="N1424" s="61" t="str">
        <f aca="false">$M1424&amp;" "&amp;$C1424</f>
        <v>Monitor 4K 27 2025</v>
      </c>
      <c r="O1424" s="63" t="n">
        <f aca="false">IF(ISTEXT($AC1424),VALUE($AC1424),$AC1424)</f>
        <v>11</v>
      </c>
      <c r="P1424" s="64" t="n">
        <f aca="false">INDEX(Datos_Origen!$I$2:$I$2459,$Z1424)</f>
        <v>433.15</v>
      </c>
      <c r="Q1424" s="64" t="n">
        <f aca="false">INDEX(Datos_Origen!$J$2:$J$2459,$Z1424)</f>
        <v>280.42</v>
      </c>
      <c r="R1424" s="65" t="n">
        <f aca="false">ROUND($O1424*$P1424,2)</f>
        <v>4764.65</v>
      </c>
      <c r="S1424" s="65" t="n">
        <f aca="false">ROUND($O1424*$Q1424,2)</f>
        <v>3084.62</v>
      </c>
      <c r="T1424" s="65" t="n">
        <f aca="false">ROUND($R1424*SUMIFS(Parametros!$E$28:$E$43,Parametros!$B$28:$B$43,$J1424,Parametros!$C$28:$C$43,$C1424,Parametros!$D$28:$D$43,$D1424),2)</f>
        <v>61.94</v>
      </c>
      <c r="U1424" s="65" t="n">
        <f aca="false">$R1424-$S1424-$T1424</f>
        <v>1618.09</v>
      </c>
      <c r="V1424" s="66" t="n">
        <f aca="false">IFERROR($U1424/$R1424,0)</f>
        <v>0.339603118802011</v>
      </c>
      <c r="W1424" s="67" t="str">
        <f aca="false">IF(AND($V1424&gt;=Parametros!$C$8,$R1424&gt;=Parametros!$C$12),"Alta rentabilidad",IF(OR($V1424&lt;Parametros!$C$11,$R1424&lt;Parametros!$C$13),"Revisar","Estandar"))</f>
        <v>Estandar</v>
      </c>
      <c r="X1424" s="67" t="str">
        <f aca="false">IF(AND($J1424="E-commerce",IFERROR($T1424/$R1424,0)&gt;Parametros!$C$14),"Alerta","OK")</f>
        <v>OK</v>
      </c>
      <c r="Y1424" s="61" t="str">
        <f aca="false">IF($R1424&gt;=Parametros!$C$12,"Alto",IF($R1424&lt;Parametros!$C$13,"Bajo","Medio"))</f>
        <v>Alto</v>
      </c>
      <c r="Z1424" s="61" t="n">
        <v>693</v>
      </c>
      <c r="AA1424" s="61" t="str">
        <f aca="false">IF(MATCH($A1424,Datos_Origen!$A$2:$A$2459,0)=$Z1424,"OK","REVISAR")</f>
        <v>OK</v>
      </c>
      <c r="AB1424" s="61" t="str">
        <f aca="false">INDEX(Datos_Origen!$B$2:$B$2459,$Z1424)</f>
        <v>26/03/2025</v>
      </c>
      <c r="AC1424" s="61" t="n">
        <f aca="false">INDEX(Datos_Origen!$H$2:$H$2459,$Z1424)</f>
        <v>11</v>
      </c>
      <c r="AD1424" s="61" t="str">
        <f aca="false">INDEX(Datos_Origen!$D$2:$D$2459,$Z1424)&amp;""</f>
        <v>Cordoba</v>
      </c>
    </row>
    <row r="1425" customFormat="false" ht="15" hidden="false" customHeight="false" outlineLevel="0" collapsed="false">
      <c r="A1425" s="61" t="n">
        <f aca="false">INDEX(Datos_Origen!$A$2:$A$2459,$Z1425)</f>
        <v>1424</v>
      </c>
      <c r="B1425" s="62" t="n">
        <f aca="false">IF(ISNUMBER($AB1425),$AB1425,IF(MID($AB1425,5,1)="-",DATE(VALUE(LEFT($AB1425,4)),VALUE(MID($AB1425,6,2)),VALUE(RIGHT($AB1425,2))),DATE(VALUE(RIGHT($AB1425,4)),VALUE(MID($AB1425,4,2)),VALUE(LEFT($AB1425,2)))))</f>
        <v>45722</v>
      </c>
      <c r="C1425" s="61" t="n">
        <f aca="false">YEAR($B1425)</f>
        <v>2025</v>
      </c>
      <c r="D1425" s="61" t="str">
        <f aca="false">"Q"&amp;ROUNDUP(MONTH($B1425)/3,0)</f>
        <v>Q1</v>
      </c>
      <c r="E1425" s="61" t="n">
        <f aca="false">MONTH($B1425)</f>
        <v>3</v>
      </c>
      <c r="F1425" s="61" t="str">
        <f aca="false">INDEX(Parametros!$I$5:$I$16,$E1425)</f>
        <v>Mar</v>
      </c>
      <c r="G1425" s="61" t="str">
        <f aca="false">TEXT($C1425,"0000")&amp;"-"&amp;TEXT($E1425,"00")</f>
        <v>2025-03</v>
      </c>
      <c r="H1425" s="61" t="str">
        <f aca="false">INDEX(Parametros!$C$71:$C$91,MATCH(TRIM(INDEX(Datos_Origen!$C$2:$C$2459,$Z1425)),Parametros!$B$71:$B$91,0))</f>
        <v>Centro</v>
      </c>
      <c r="I1425" s="61" t="str">
        <f aca="false">IF(TRIM($AD1425)="",INDEX(Parametros!$I$20:$I$24,MATCH($H1425,Parametros!$H$20:$H$24,0)),TRIM($AD1425))</f>
        <v>Cordoba</v>
      </c>
      <c r="J1425" s="61" t="str">
        <f aca="false">INDEX(Parametros!$C$95:$C$106,MATCH(TRIM(INDEX(Datos_Origen!$E$2:$E$2459,$Z1425)),Parametros!$B$95:$B$106,0))</f>
        <v>E-commerce</v>
      </c>
      <c r="K1425" s="61" t="str">
        <f aca="false">INDEX(Parametros!$C$48:$C$67,MATCH(TRIM(INDEX(Datos_Origen!$F$2:$F$2459,$Z1425)),Parametros!$B$48:$B$67,0))</f>
        <v>Computacion</v>
      </c>
      <c r="L1425" s="61" t="str">
        <f aca="false">$K1425&amp;" "&amp;$C1425</f>
        <v>Computacion 2025</v>
      </c>
      <c r="M1425" s="61" t="str">
        <f aca="false">TRIM(INDEX(Datos_Origen!$G$2:$G$2459,$Z1425))</f>
        <v>Monitor 4K 27</v>
      </c>
      <c r="N1425" s="61" t="str">
        <f aca="false">$M1425&amp;" "&amp;$C1425</f>
        <v>Monitor 4K 27 2025</v>
      </c>
      <c r="O1425" s="63" t="n">
        <f aca="false">IF(ISTEXT($AC1425),VALUE($AC1425),$AC1425)</f>
        <v>8</v>
      </c>
      <c r="P1425" s="64" t="n">
        <f aca="false">INDEX(Datos_Origen!$I$2:$I$2459,$Z1425)</f>
        <v>433.15</v>
      </c>
      <c r="Q1425" s="64" t="n">
        <f aca="false">INDEX(Datos_Origen!$J$2:$J$2459,$Z1425)</f>
        <v>280.42</v>
      </c>
      <c r="R1425" s="65" t="n">
        <f aca="false">ROUND($O1425*$P1425,2)</f>
        <v>3465.2</v>
      </c>
      <c r="S1425" s="65" t="n">
        <f aca="false">ROUND($O1425*$Q1425,2)</f>
        <v>2243.36</v>
      </c>
      <c r="T1425" s="65" t="n">
        <f aca="false">ROUND($R1425*SUMIFS(Parametros!$E$28:$E$43,Parametros!$B$28:$B$43,$J1425,Parametros!$C$28:$C$43,$C1425,Parametros!$D$28:$D$43,$D1425),2)</f>
        <v>235.63</v>
      </c>
      <c r="U1425" s="65" t="n">
        <f aca="false">$R1425-$S1425-$T1425</f>
        <v>986.21</v>
      </c>
      <c r="V1425" s="66" t="n">
        <f aca="false">IFERROR($U1425/$R1425,0)</f>
        <v>0.284604063257532</v>
      </c>
      <c r="W1425" s="67" t="str">
        <f aca="false">IF(AND($V1425&gt;=Parametros!$C$8,$R1425&gt;=Parametros!$C$12),"Alta rentabilidad",IF(OR($V1425&lt;Parametros!$C$11,$R1425&lt;Parametros!$C$13),"Revisar","Estandar"))</f>
        <v>Estandar</v>
      </c>
      <c r="X1425" s="67" t="str">
        <f aca="false">IF(AND($J1425="E-commerce",IFERROR($T1425/$R1425,0)&gt;Parametros!$C$14),"Alerta","OK")</f>
        <v>Alerta</v>
      </c>
      <c r="Y1425" s="61" t="str">
        <f aca="false">IF($R1425&gt;=Parametros!$C$12,"Alto",IF($R1425&lt;Parametros!$C$13,"Bajo","Medio"))</f>
        <v>Alto</v>
      </c>
      <c r="Z1425" s="61" t="n">
        <v>927</v>
      </c>
      <c r="AA1425" s="61" t="str">
        <f aca="false">IF(MATCH($A1425,Datos_Origen!$A$2:$A$2459,0)=$Z1425,"OK","REVISAR")</f>
        <v>OK</v>
      </c>
      <c r="AB1425" s="62" t="n">
        <f aca="false">INDEX(Datos_Origen!$B$2:$B$2459,$Z1425)</f>
        <v>45722</v>
      </c>
      <c r="AC1425" s="61" t="n">
        <f aca="false">INDEX(Datos_Origen!$H$2:$H$2459,$Z1425)</f>
        <v>8</v>
      </c>
      <c r="AD1425" s="61" t="str">
        <f aca="false">INDEX(Datos_Origen!$D$2:$D$2459,$Z1425)&amp;""</f>
        <v>Cordoba</v>
      </c>
    </row>
    <row r="1426" customFormat="false" ht="15" hidden="false" customHeight="false" outlineLevel="0" collapsed="false">
      <c r="A1426" s="61" t="n">
        <f aca="false">INDEX(Datos_Origen!$A$2:$A$2459,$Z1426)</f>
        <v>1425</v>
      </c>
      <c r="B1426" s="62" t="n">
        <f aca="false">IF(ISNUMBER($AB1426),$AB1426,IF(MID($AB1426,5,1)="-",DATE(VALUE(LEFT($AB1426,4)),VALUE(MID($AB1426,6,2)),VALUE(RIGHT($AB1426,2))),DATE(VALUE(RIGHT($AB1426,4)),VALUE(MID($AB1426,4,2)),VALUE(LEFT($AB1426,2)))))</f>
        <v>45729</v>
      </c>
      <c r="C1426" s="61" t="n">
        <f aca="false">YEAR($B1426)</f>
        <v>2025</v>
      </c>
      <c r="D1426" s="61" t="str">
        <f aca="false">"Q"&amp;ROUNDUP(MONTH($B1426)/3,0)</f>
        <v>Q1</v>
      </c>
      <c r="E1426" s="61" t="n">
        <f aca="false">MONTH($B1426)</f>
        <v>3</v>
      </c>
      <c r="F1426" s="61" t="str">
        <f aca="false">INDEX(Parametros!$I$5:$I$16,$E1426)</f>
        <v>Mar</v>
      </c>
      <c r="G1426" s="61" t="str">
        <f aca="false">TEXT($C1426,"0000")&amp;"-"&amp;TEXT($E1426,"00")</f>
        <v>2025-03</v>
      </c>
      <c r="H1426" s="61" t="str">
        <f aca="false">INDEX(Parametros!$C$71:$C$91,MATCH(TRIM(INDEX(Datos_Origen!$C$2:$C$2459,$Z1426)),Parametros!$B$71:$B$91,0))</f>
        <v>Centro</v>
      </c>
      <c r="I1426" s="61" t="str">
        <f aca="false">IF(TRIM($AD1426)="",INDEX(Parametros!$I$20:$I$24,MATCH($H1426,Parametros!$H$20:$H$24,0)),TRIM($AD1426))</f>
        <v>Cordoba</v>
      </c>
      <c r="J1426" s="61" t="str">
        <f aca="false">INDEX(Parametros!$C$95:$C$106,MATCH(TRIM(INDEX(Datos_Origen!$E$2:$E$2459,$Z1426)),Parametros!$B$95:$B$106,0))</f>
        <v>Tienda fisica</v>
      </c>
      <c r="K1426" s="61" t="str">
        <f aca="false">INDEX(Parametros!$C$48:$C$67,MATCH(TRIM(INDEX(Datos_Origen!$F$2:$F$2459,$Z1426)),Parametros!$B$48:$B$67,0))</f>
        <v>Computacion</v>
      </c>
      <c r="L1426" s="61" t="str">
        <f aca="false">$K1426&amp;" "&amp;$C1426</f>
        <v>Computacion 2025</v>
      </c>
      <c r="M1426" s="61" t="str">
        <f aca="false">TRIM(INDEX(Datos_Origen!$G$2:$G$2459,$Z1426))</f>
        <v>PC Gamer Ryzen</v>
      </c>
      <c r="N1426" s="61" t="str">
        <f aca="false">$M1426&amp;" "&amp;$C1426</f>
        <v>PC Gamer Ryzen 2025</v>
      </c>
      <c r="O1426" s="63" t="n">
        <f aca="false">IF(ISTEXT($AC1426),VALUE($AC1426),$AC1426)</f>
        <v>9</v>
      </c>
      <c r="P1426" s="64" t="n">
        <f aca="false">INDEX(Datos_Origen!$I$2:$I$2459,$Z1426)</f>
        <v>1588.21</v>
      </c>
      <c r="Q1426" s="64" t="n">
        <f aca="false">INDEX(Datos_Origen!$J$2:$J$2459,$Z1426)</f>
        <v>1155.66</v>
      </c>
      <c r="R1426" s="65" t="n">
        <f aca="false">ROUND($O1426*$P1426,2)</f>
        <v>14293.89</v>
      </c>
      <c r="S1426" s="65" t="n">
        <f aca="false">ROUND($O1426*$Q1426,2)</f>
        <v>10400.94</v>
      </c>
      <c r="T1426" s="65" t="n">
        <f aca="false">ROUND($R1426*SUMIFS(Parametros!$E$28:$E$43,Parametros!$B$28:$B$43,$J1426,Parametros!$C$28:$C$43,$C1426,Parametros!$D$28:$D$43,$D1426),2)</f>
        <v>185.82</v>
      </c>
      <c r="U1426" s="65" t="n">
        <f aca="false">$R1426-$S1426-$T1426</f>
        <v>3707.13</v>
      </c>
      <c r="V1426" s="66" t="n">
        <f aca="false">IFERROR($U1426/$R1426,0)</f>
        <v>0.259350673609493</v>
      </c>
      <c r="W1426" s="67" t="str">
        <f aca="false">IF(AND($V1426&gt;=Parametros!$C$8,$R1426&gt;=Parametros!$C$12),"Alta rentabilidad",IF(OR($V1426&lt;Parametros!$C$11,$R1426&lt;Parametros!$C$13),"Revisar","Estandar"))</f>
        <v>Revisar</v>
      </c>
      <c r="X1426" s="67" t="str">
        <f aca="false">IF(AND($J1426="E-commerce",IFERROR($T1426/$R1426,0)&gt;Parametros!$C$14),"Alerta","OK")</f>
        <v>OK</v>
      </c>
      <c r="Y1426" s="61" t="str">
        <f aca="false">IF($R1426&gt;=Parametros!$C$12,"Alto",IF($R1426&lt;Parametros!$C$13,"Bajo","Medio"))</f>
        <v>Alto</v>
      </c>
      <c r="Z1426" s="61" t="n">
        <v>2091</v>
      </c>
      <c r="AA1426" s="61" t="str">
        <f aca="false">IF(MATCH($A1426,Datos_Origen!$A$2:$A$2459,0)=$Z1426,"OK","REVISAR")</f>
        <v>OK</v>
      </c>
      <c r="AB1426" s="61" t="str">
        <f aca="false">INDEX(Datos_Origen!$B$2:$B$2459,$Z1426)</f>
        <v>13/03/2025</v>
      </c>
      <c r="AC1426" s="61" t="n">
        <f aca="false">INDEX(Datos_Origen!$H$2:$H$2459,$Z1426)</f>
        <v>9</v>
      </c>
      <c r="AD1426" s="61" t="str">
        <f aca="false">INDEX(Datos_Origen!$D$2:$D$2459,$Z1426)&amp;""</f>
        <v>Cordoba</v>
      </c>
    </row>
    <row r="1427" customFormat="false" ht="15" hidden="false" customHeight="false" outlineLevel="0" collapsed="false">
      <c r="A1427" s="61" t="n">
        <f aca="false">INDEX(Datos_Origen!$A$2:$A$2459,$Z1427)</f>
        <v>1426</v>
      </c>
      <c r="B1427" s="62" t="n">
        <f aca="false">IF(ISNUMBER($AB1427),$AB1427,IF(MID($AB1427,5,1)="-",DATE(VALUE(LEFT($AB1427,4)),VALUE(MID($AB1427,6,2)),VALUE(RIGHT($AB1427,2))),DATE(VALUE(RIGHT($AB1427,4)),VALUE(MID($AB1427,4,2)),VALUE(LEFT($AB1427,2)))))</f>
        <v>45736</v>
      </c>
      <c r="C1427" s="61" t="n">
        <f aca="false">YEAR($B1427)</f>
        <v>2025</v>
      </c>
      <c r="D1427" s="61" t="str">
        <f aca="false">"Q"&amp;ROUNDUP(MONTH($B1427)/3,0)</f>
        <v>Q1</v>
      </c>
      <c r="E1427" s="61" t="n">
        <f aca="false">MONTH($B1427)</f>
        <v>3</v>
      </c>
      <c r="F1427" s="61" t="str">
        <f aca="false">INDEX(Parametros!$I$5:$I$16,$E1427)</f>
        <v>Mar</v>
      </c>
      <c r="G1427" s="61" t="str">
        <f aca="false">TEXT($C1427,"0000")&amp;"-"&amp;TEXT($E1427,"00")</f>
        <v>2025-03</v>
      </c>
      <c r="H1427" s="61" t="str">
        <f aca="false">INDEX(Parametros!$C$71:$C$91,MATCH(TRIM(INDEX(Datos_Origen!$C$2:$C$2459,$Z1427)),Parametros!$B$71:$B$91,0))</f>
        <v>Centro</v>
      </c>
      <c r="I1427" s="61" t="str">
        <f aca="false">IF(TRIM($AD1427)="",INDEX(Parametros!$I$20:$I$24,MATCH($H1427,Parametros!$H$20:$H$24,0)),TRIM($AD1427))</f>
        <v>Cordoba</v>
      </c>
      <c r="J1427" s="61" t="str">
        <f aca="false">INDEX(Parametros!$C$95:$C$106,MATCH(TRIM(INDEX(Datos_Origen!$E$2:$E$2459,$Z1427)),Parametros!$B$95:$B$106,0))</f>
        <v>E-commerce</v>
      </c>
      <c r="K1427" s="61" t="str">
        <f aca="false">INDEX(Parametros!$C$48:$C$67,MATCH(TRIM(INDEX(Datos_Origen!$F$2:$F$2459,$Z1427)),Parametros!$B$48:$B$67,0))</f>
        <v>Computacion</v>
      </c>
      <c r="L1427" s="61" t="str">
        <f aca="false">$K1427&amp;" "&amp;$C1427</f>
        <v>Computacion 2025</v>
      </c>
      <c r="M1427" s="61" t="str">
        <f aca="false">TRIM(INDEX(Datos_Origen!$G$2:$G$2459,$Z1427))</f>
        <v>PC Gamer Ryzen</v>
      </c>
      <c r="N1427" s="61" t="str">
        <f aca="false">$M1427&amp;" "&amp;$C1427</f>
        <v>PC Gamer Ryzen 2025</v>
      </c>
      <c r="O1427" s="63" t="n">
        <f aca="false">IF(ISTEXT($AC1427),VALUE($AC1427),$AC1427)</f>
        <v>9</v>
      </c>
      <c r="P1427" s="64" t="n">
        <f aca="false">INDEX(Datos_Origen!$I$2:$I$2459,$Z1427)</f>
        <v>1588.21</v>
      </c>
      <c r="Q1427" s="64" t="n">
        <f aca="false">INDEX(Datos_Origen!$J$2:$J$2459,$Z1427)</f>
        <v>1155.66</v>
      </c>
      <c r="R1427" s="65" t="n">
        <f aca="false">ROUND($O1427*$P1427,2)</f>
        <v>14293.89</v>
      </c>
      <c r="S1427" s="65" t="n">
        <f aca="false">ROUND($O1427*$Q1427,2)</f>
        <v>10400.94</v>
      </c>
      <c r="T1427" s="65" t="n">
        <f aca="false">ROUND($R1427*SUMIFS(Parametros!$E$28:$E$43,Parametros!$B$28:$B$43,$J1427,Parametros!$C$28:$C$43,$C1427,Parametros!$D$28:$D$43,$D1427),2)</f>
        <v>971.98</v>
      </c>
      <c r="U1427" s="65" t="n">
        <f aca="false">$R1427-$S1427-$T1427</f>
        <v>2920.97</v>
      </c>
      <c r="V1427" s="66" t="n">
        <f aca="false">IFERROR($U1427/$R1427,0)</f>
        <v>0.204350949951343</v>
      </c>
      <c r="W1427" s="67" t="str">
        <f aca="false">IF(AND($V1427&gt;=Parametros!$C$8,$R1427&gt;=Parametros!$C$12),"Alta rentabilidad",IF(OR($V1427&lt;Parametros!$C$11,$R1427&lt;Parametros!$C$13),"Revisar","Estandar"))</f>
        <v>Revisar</v>
      </c>
      <c r="X1427" s="67" t="str">
        <f aca="false">IF(AND($J1427="E-commerce",IFERROR($T1427/$R1427,0)&gt;Parametros!$C$14),"Alerta","OK")</f>
        <v>Alerta</v>
      </c>
      <c r="Y1427" s="61" t="str">
        <f aca="false">IF($R1427&gt;=Parametros!$C$12,"Alto",IF($R1427&lt;Parametros!$C$13,"Bajo","Medio"))</f>
        <v>Alto</v>
      </c>
      <c r="Z1427" s="61" t="n">
        <v>1183</v>
      </c>
      <c r="AA1427" s="61" t="str">
        <f aca="false">IF(MATCH($A1427,Datos_Origen!$A$2:$A$2459,0)=$Z1427,"OK","REVISAR")</f>
        <v>OK</v>
      </c>
      <c r="AB1427" s="61" t="str">
        <f aca="false">INDEX(Datos_Origen!$B$2:$B$2459,$Z1427)</f>
        <v>20/03/2025</v>
      </c>
      <c r="AC1427" s="61" t="n">
        <f aca="false">INDEX(Datos_Origen!$H$2:$H$2459,$Z1427)</f>
        <v>9</v>
      </c>
      <c r="AD1427" s="61" t="str">
        <f aca="false">INDEX(Datos_Origen!$D$2:$D$2459,$Z1427)&amp;""</f>
        <v>Cordoba</v>
      </c>
    </row>
    <row r="1428" customFormat="false" ht="15" hidden="false" customHeight="false" outlineLevel="0" collapsed="false">
      <c r="A1428" s="61" t="n">
        <f aca="false">INDEX(Datos_Origen!$A$2:$A$2459,$Z1428)</f>
        <v>1427</v>
      </c>
      <c r="B1428" s="62" t="n">
        <f aca="false">IF(ISNUMBER($AB1428),$AB1428,IF(MID($AB1428,5,1)="-",DATE(VALUE(LEFT($AB1428,4)),VALUE(MID($AB1428,6,2)),VALUE(RIGHT($AB1428,2))),DATE(VALUE(RIGHT($AB1428,4)),VALUE(MID($AB1428,4,2)),VALUE(LEFT($AB1428,2)))))</f>
        <v>45743</v>
      </c>
      <c r="C1428" s="61" t="n">
        <f aca="false">YEAR($B1428)</f>
        <v>2025</v>
      </c>
      <c r="D1428" s="61" t="str">
        <f aca="false">"Q"&amp;ROUNDUP(MONTH($B1428)/3,0)</f>
        <v>Q1</v>
      </c>
      <c r="E1428" s="61" t="n">
        <f aca="false">MONTH($B1428)</f>
        <v>3</v>
      </c>
      <c r="F1428" s="61" t="str">
        <f aca="false">INDEX(Parametros!$I$5:$I$16,$E1428)</f>
        <v>Mar</v>
      </c>
      <c r="G1428" s="61" t="str">
        <f aca="false">TEXT($C1428,"0000")&amp;"-"&amp;TEXT($E1428,"00")</f>
        <v>2025-03</v>
      </c>
      <c r="H1428" s="61" t="str">
        <f aca="false">INDEX(Parametros!$C$71:$C$91,MATCH(TRIM(INDEX(Datos_Origen!$C$2:$C$2459,$Z1428)),Parametros!$B$71:$B$91,0))</f>
        <v>Centro</v>
      </c>
      <c r="I1428" s="61" t="str">
        <f aca="false">IF(TRIM($AD1428)="",INDEX(Parametros!$I$20:$I$24,MATCH($H1428,Parametros!$H$20:$H$24,0)),TRIM($AD1428))</f>
        <v>Cordoba</v>
      </c>
      <c r="J1428" s="61" t="str">
        <f aca="false">INDEX(Parametros!$C$95:$C$106,MATCH(TRIM(INDEX(Datos_Origen!$E$2:$E$2459,$Z1428)),Parametros!$B$95:$B$106,0))</f>
        <v>Tienda fisica</v>
      </c>
      <c r="K1428" s="61" t="str">
        <f aca="false">INDEX(Parametros!$C$48:$C$67,MATCH(TRIM(INDEX(Datos_Origen!$F$2:$F$2459,$Z1428)),Parametros!$B$48:$B$67,0))</f>
        <v>Accesorios</v>
      </c>
      <c r="L1428" s="61" t="str">
        <f aca="false">$K1428&amp;" "&amp;$C1428</f>
        <v>Accesorios 2025</v>
      </c>
      <c r="M1428" s="61" t="str">
        <f aca="false">TRIM(INDEX(Datos_Origen!$G$2:$G$2459,$Z1428))</f>
        <v>Mouse Inalambrico</v>
      </c>
      <c r="N1428" s="61" t="str">
        <f aca="false">$M1428&amp;" "&amp;$C1428</f>
        <v>Mouse Inalambrico 2025</v>
      </c>
      <c r="O1428" s="63" t="n">
        <f aca="false">IF(ISTEXT($AC1428),VALUE($AC1428),$AC1428)</f>
        <v>51</v>
      </c>
      <c r="P1428" s="64" t="n">
        <f aca="false">INDEX(Datos_Origen!$I$2:$I$2459,$Z1428)</f>
        <v>27.82</v>
      </c>
      <c r="Q1428" s="64" t="n">
        <f aca="false">INDEX(Datos_Origen!$J$2:$J$2459,$Z1428)</f>
        <v>13.84</v>
      </c>
      <c r="R1428" s="65" t="n">
        <f aca="false">ROUND($O1428*$P1428,2)</f>
        <v>1418.82</v>
      </c>
      <c r="S1428" s="65" t="n">
        <f aca="false">ROUND($O1428*$Q1428,2)</f>
        <v>705.84</v>
      </c>
      <c r="T1428" s="65" t="n">
        <f aca="false">ROUND($R1428*SUMIFS(Parametros!$E$28:$E$43,Parametros!$B$28:$B$43,$J1428,Parametros!$C$28:$C$43,$C1428,Parametros!$D$28:$D$43,$D1428),2)</f>
        <v>18.44</v>
      </c>
      <c r="U1428" s="65" t="n">
        <f aca="false">$R1428-$S1428-$T1428</f>
        <v>694.54</v>
      </c>
      <c r="V1428" s="66" t="n">
        <f aca="false">IFERROR($U1428/$R1428,0)</f>
        <v>0.489519459832819</v>
      </c>
      <c r="W1428" s="67" t="str">
        <f aca="false">IF(AND($V1428&gt;=Parametros!$C$8,$R1428&gt;=Parametros!$C$12),"Alta rentabilidad",IF(OR($V1428&lt;Parametros!$C$11,$R1428&lt;Parametros!$C$13),"Revisar","Estandar"))</f>
        <v>Estandar</v>
      </c>
      <c r="X1428" s="67" t="str">
        <f aca="false">IF(AND($J1428="E-commerce",IFERROR($T1428/$R1428,0)&gt;Parametros!$C$14),"Alerta","OK")</f>
        <v>OK</v>
      </c>
      <c r="Y1428" s="61" t="str">
        <f aca="false">IF($R1428&gt;=Parametros!$C$12,"Alto",IF($R1428&lt;Parametros!$C$13,"Bajo","Medio"))</f>
        <v>Medio</v>
      </c>
      <c r="Z1428" s="61" t="n">
        <v>1209</v>
      </c>
      <c r="AA1428" s="61" t="str">
        <f aca="false">IF(MATCH($A1428,Datos_Origen!$A$2:$A$2459,0)=$Z1428,"OK","REVISAR")</f>
        <v>OK</v>
      </c>
      <c r="AB1428" s="62" t="n">
        <f aca="false">INDEX(Datos_Origen!$B$2:$B$2459,$Z1428)</f>
        <v>45743</v>
      </c>
      <c r="AC1428" s="61" t="n">
        <f aca="false">INDEX(Datos_Origen!$H$2:$H$2459,$Z1428)</f>
        <v>51</v>
      </c>
      <c r="AD1428" s="61" t="str">
        <f aca="false">INDEX(Datos_Origen!$D$2:$D$2459,$Z1428)&amp;""</f>
        <v>Cordoba</v>
      </c>
    </row>
    <row r="1429" customFormat="false" ht="15" hidden="false" customHeight="false" outlineLevel="0" collapsed="false">
      <c r="A1429" s="61" t="n">
        <f aca="false">INDEX(Datos_Origen!$A$2:$A$2459,$Z1429)</f>
        <v>1428</v>
      </c>
      <c r="B1429" s="62" t="n">
        <f aca="false">IF(ISNUMBER($AB1429),$AB1429,IF(MID($AB1429,5,1)="-",DATE(VALUE(LEFT($AB1429,4)),VALUE(MID($AB1429,6,2)),VALUE(RIGHT($AB1429,2))),DATE(VALUE(RIGHT($AB1429,4)),VALUE(MID($AB1429,4,2)),VALUE(LEFT($AB1429,2)))))</f>
        <v>45723</v>
      </c>
      <c r="C1429" s="61" t="n">
        <f aca="false">YEAR($B1429)</f>
        <v>2025</v>
      </c>
      <c r="D1429" s="61" t="str">
        <f aca="false">"Q"&amp;ROUNDUP(MONTH($B1429)/3,0)</f>
        <v>Q1</v>
      </c>
      <c r="E1429" s="61" t="n">
        <f aca="false">MONTH($B1429)</f>
        <v>3</v>
      </c>
      <c r="F1429" s="61" t="str">
        <f aca="false">INDEX(Parametros!$I$5:$I$16,$E1429)</f>
        <v>Mar</v>
      </c>
      <c r="G1429" s="61" t="str">
        <f aca="false">TEXT($C1429,"0000")&amp;"-"&amp;TEXT($E1429,"00")</f>
        <v>2025-03</v>
      </c>
      <c r="H1429" s="61" t="str">
        <f aca="false">INDEX(Parametros!$C$71:$C$91,MATCH(TRIM(INDEX(Datos_Origen!$C$2:$C$2459,$Z1429)),Parametros!$B$71:$B$91,0))</f>
        <v>Centro</v>
      </c>
      <c r="I1429" s="61" t="str">
        <f aca="false">IF(TRIM($AD1429)="",INDEX(Parametros!$I$20:$I$24,MATCH($H1429,Parametros!$H$20:$H$24,0)),TRIM($AD1429))</f>
        <v>Cordoba</v>
      </c>
      <c r="J1429" s="61" t="str">
        <f aca="false">INDEX(Parametros!$C$95:$C$106,MATCH(TRIM(INDEX(Datos_Origen!$E$2:$E$2459,$Z1429)),Parametros!$B$95:$B$106,0))</f>
        <v>E-commerce</v>
      </c>
      <c r="K1429" s="61" t="str">
        <f aca="false">INDEX(Parametros!$C$48:$C$67,MATCH(TRIM(INDEX(Datos_Origen!$F$2:$F$2459,$Z1429)),Parametros!$B$48:$B$67,0))</f>
        <v>Accesorios</v>
      </c>
      <c r="L1429" s="61" t="str">
        <f aca="false">$K1429&amp;" "&amp;$C1429</f>
        <v>Accesorios 2025</v>
      </c>
      <c r="M1429" s="61" t="str">
        <f aca="false">TRIM(INDEX(Datos_Origen!$G$2:$G$2459,$Z1429))</f>
        <v>Mouse Inalambrico</v>
      </c>
      <c r="N1429" s="61" t="str">
        <f aca="false">$M1429&amp;" "&amp;$C1429</f>
        <v>Mouse Inalambrico 2025</v>
      </c>
      <c r="O1429" s="63" t="n">
        <f aca="false">IF(ISTEXT($AC1429),VALUE($AC1429),$AC1429)</f>
        <v>40</v>
      </c>
      <c r="P1429" s="64" t="n">
        <f aca="false">INDEX(Datos_Origen!$I$2:$I$2459,$Z1429)</f>
        <v>27.82</v>
      </c>
      <c r="Q1429" s="64" t="n">
        <f aca="false">INDEX(Datos_Origen!$J$2:$J$2459,$Z1429)</f>
        <v>13.84</v>
      </c>
      <c r="R1429" s="65" t="n">
        <f aca="false">ROUND($O1429*$P1429,2)</f>
        <v>1112.8</v>
      </c>
      <c r="S1429" s="65" t="n">
        <f aca="false">ROUND($O1429*$Q1429,2)</f>
        <v>553.6</v>
      </c>
      <c r="T1429" s="65" t="n">
        <f aca="false">ROUND($R1429*SUMIFS(Parametros!$E$28:$E$43,Parametros!$B$28:$B$43,$J1429,Parametros!$C$28:$C$43,$C1429,Parametros!$D$28:$D$43,$D1429),2)</f>
        <v>75.67</v>
      </c>
      <c r="U1429" s="65" t="n">
        <f aca="false">$R1429-$S1429-$T1429</f>
        <v>483.53</v>
      </c>
      <c r="V1429" s="66" t="n">
        <f aca="false">IFERROR($U1429/$R1429,0)</f>
        <v>0.434516534867002</v>
      </c>
      <c r="W1429" s="67" t="str">
        <f aca="false">IF(AND($V1429&gt;=Parametros!$C$8,$R1429&gt;=Parametros!$C$12),"Alta rentabilidad",IF(OR($V1429&lt;Parametros!$C$11,$R1429&lt;Parametros!$C$13),"Revisar","Estandar"))</f>
        <v>Estandar</v>
      </c>
      <c r="X1429" s="67" t="str">
        <f aca="false">IF(AND($J1429="E-commerce",IFERROR($T1429/$R1429,0)&gt;Parametros!$C$14),"Alerta","OK")</f>
        <v>Alerta</v>
      </c>
      <c r="Y1429" s="61" t="str">
        <f aca="false">IF($R1429&gt;=Parametros!$C$12,"Alto",IF($R1429&lt;Parametros!$C$13,"Bajo","Medio"))</f>
        <v>Medio</v>
      </c>
      <c r="Z1429" s="61" t="n">
        <v>461</v>
      </c>
      <c r="AA1429" s="61" t="str">
        <f aca="false">IF(MATCH($A1429,Datos_Origen!$A$2:$A$2459,0)=$Z1429,"OK","REVISAR")</f>
        <v>OK</v>
      </c>
      <c r="AB1429" s="62" t="n">
        <f aca="false">INDEX(Datos_Origen!$B$2:$B$2459,$Z1429)</f>
        <v>45723</v>
      </c>
      <c r="AC1429" s="61" t="n">
        <f aca="false">INDEX(Datos_Origen!$H$2:$H$2459,$Z1429)</f>
        <v>40</v>
      </c>
      <c r="AD1429" s="61" t="str">
        <f aca="false">INDEX(Datos_Origen!$D$2:$D$2459,$Z1429)&amp;""</f>
        <v>Cordoba</v>
      </c>
    </row>
    <row r="1430" customFormat="false" ht="15" hidden="false" customHeight="false" outlineLevel="0" collapsed="false">
      <c r="A1430" s="61" t="n">
        <f aca="false">INDEX(Datos_Origen!$A$2:$A$2459,$Z1430)</f>
        <v>1429</v>
      </c>
      <c r="B1430" s="62" t="n">
        <f aca="false">IF(ISNUMBER($AB1430),$AB1430,IF(MID($AB1430,5,1)="-",DATE(VALUE(LEFT($AB1430,4)),VALUE(MID($AB1430,6,2)),VALUE(RIGHT($AB1430,2))),DATE(VALUE(RIGHT($AB1430,4)),VALUE(MID($AB1430,4,2)),VALUE(LEFT($AB1430,2)))))</f>
        <v>45730</v>
      </c>
      <c r="C1430" s="61" t="n">
        <f aca="false">YEAR($B1430)</f>
        <v>2025</v>
      </c>
      <c r="D1430" s="61" t="str">
        <f aca="false">"Q"&amp;ROUNDUP(MONTH($B1430)/3,0)</f>
        <v>Q1</v>
      </c>
      <c r="E1430" s="61" t="n">
        <f aca="false">MONTH($B1430)</f>
        <v>3</v>
      </c>
      <c r="F1430" s="61" t="str">
        <f aca="false">INDEX(Parametros!$I$5:$I$16,$E1430)</f>
        <v>Mar</v>
      </c>
      <c r="G1430" s="61" t="str">
        <f aca="false">TEXT($C1430,"0000")&amp;"-"&amp;TEXT($E1430,"00")</f>
        <v>2025-03</v>
      </c>
      <c r="H1430" s="61" t="str">
        <f aca="false">INDEX(Parametros!$C$71:$C$91,MATCH(TRIM(INDEX(Datos_Origen!$C$2:$C$2459,$Z1430)),Parametros!$B$71:$B$91,0))</f>
        <v>Centro</v>
      </c>
      <c r="I1430" s="61" t="str">
        <f aca="false">IF(TRIM($AD1430)="",INDEX(Parametros!$I$20:$I$24,MATCH($H1430,Parametros!$H$20:$H$24,0)),TRIM($AD1430))</f>
        <v>Cordoba</v>
      </c>
      <c r="J1430" s="61" t="str">
        <f aca="false">INDEX(Parametros!$C$95:$C$106,MATCH(TRIM(INDEX(Datos_Origen!$E$2:$E$2459,$Z1430)),Parametros!$B$95:$B$106,0))</f>
        <v>Tienda fisica</v>
      </c>
      <c r="K1430" s="61" t="str">
        <f aca="false">INDEX(Parametros!$C$48:$C$67,MATCH(TRIM(INDEX(Datos_Origen!$F$2:$F$2459,$Z1430)),Parametros!$B$48:$B$67,0))</f>
        <v>Accesorios</v>
      </c>
      <c r="L1430" s="61" t="str">
        <f aca="false">$K1430&amp;" "&amp;$C1430</f>
        <v>Accesorios 2025</v>
      </c>
      <c r="M1430" s="61" t="str">
        <f aca="false">TRIM(INDEX(Datos_Origen!$G$2:$G$2459,$Z1430))</f>
        <v>Teclado Mecanico</v>
      </c>
      <c r="N1430" s="61" t="str">
        <f aca="false">$M1430&amp;" "&amp;$C1430</f>
        <v>Teclado Mecanico 2025</v>
      </c>
      <c r="O1430" s="63" t="n">
        <f aca="false">IF(ISTEXT($AC1430),VALUE($AC1430),$AC1430)</f>
        <v>60</v>
      </c>
      <c r="P1430" s="64" t="n">
        <f aca="false">INDEX(Datos_Origen!$I$2:$I$2459,$Z1430)</f>
        <v>94.39</v>
      </c>
      <c r="Q1430" s="64" t="n">
        <f aca="false">INDEX(Datos_Origen!$J$2:$J$2459,$Z1430)</f>
        <v>49.41</v>
      </c>
      <c r="R1430" s="65" t="n">
        <f aca="false">ROUND($O1430*$P1430,2)</f>
        <v>5663.4</v>
      </c>
      <c r="S1430" s="65" t="n">
        <f aca="false">ROUND($O1430*$Q1430,2)</f>
        <v>2964.6</v>
      </c>
      <c r="T1430" s="65" t="n">
        <f aca="false">ROUND($R1430*SUMIFS(Parametros!$E$28:$E$43,Parametros!$B$28:$B$43,$J1430,Parametros!$C$28:$C$43,$C1430,Parametros!$D$28:$D$43,$D1430),2)</f>
        <v>73.62</v>
      </c>
      <c r="U1430" s="65" t="n">
        <f aca="false">$R1430-$S1430-$T1430</f>
        <v>2625.18</v>
      </c>
      <c r="V1430" s="66" t="n">
        <f aca="false">IFERROR($U1430/$R1430,0)</f>
        <v>0.463534272698379</v>
      </c>
      <c r="W1430" s="67" t="str">
        <f aca="false">IF(AND($V1430&gt;=Parametros!$C$8,$R1430&gt;=Parametros!$C$12),"Alta rentabilidad",IF(OR($V1430&lt;Parametros!$C$11,$R1430&lt;Parametros!$C$13),"Revisar","Estandar"))</f>
        <v>Alta rentabilidad</v>
      </c>
      <c r="X1430" s="67" t="str">
        <f aca="false">IF(AND($J1430="E-commerce",IFERROR($T1430/$R1430,0)&gt;Parametros!$C$14),"Alerta","OK")</f>
        <v>OK</v>
      </c>
      <c r="Y1430" s="61" t="str">
        <f aca="false">IF($R1430&gt;=Parametros!$C$12,"Alto",IF($R1430&lt;Parametros!$C$13,"Bajo","Medio"))</f>
        <v>Alto</v>
      </c>
      <c r="Z1430" s="61" t="n">
        <v>339</v>
      </c>
      <c r="AA1430" s="61" t="str">
        <f aca="false">IF(MATCH($A1430,Datos_Origen!$A$2:$A$2459,0)=$Z1430,"OK","REVISAR")</f>
        <v>OK</v>
      </c>
      <c r="AB1430" s="62" t="n">
        <f aca="false">INDEX(Datos_Origen!$B$2:$B$2459,$Z1430)</f>
        <v>45730</v>
      </c>
      <c r="AC1430" s="61" t="n">
        <f aca="false">INDEX(Datos_Origen!$H$2:$H$2459,$Z1430)</f>
        <v>60</v>
      </c>
      <c r="AD1430" s="61" t="str">
        <f aca="false">INDEX(Datos_Origen!$D$2:$D$2459,$Z1430)&amp;""</f>
        <v>Cordoba</v>
      </c>
    </row>
    <row r="1431" customFormat="false" ht="15" hidden="false" customHeight="false" outlineLevel="0" collapsed="false">
      <c r="A1431" s="61" t="n">
        <f aca="false">INDEX(Datos_Origen!$A$2:$A$2459,$Z1431)</f>
        <v>1430</v>
      </c>
      <c r="B1431" s="62" t="n">
        <f aca="false">IF(ISNUMBER($AB1431),$AB1431,IF(MID($AB1431,5,1)="-",DATE(VALUE(LEFT($AB1431,4)),VALUE(MID($AB1431,6,2)),VALUE(RIGHT($AB1431,2))),DATE(VALUE(RIGHT($AB1431,4)),VALUE(MID($AB1431,4,2)),VALUE(LEFT($AB1431,2)))))</f>
        <v>45737</v>
      </c>
      <c r="C1431" s="61" t="n">
        <f aca="false">YEAR($B1431)</f>
        <v>2025</v>
      </c>
      <c r="D1431" s="61" t="str">
        <f aca="false">"Q"&amp;ROUNDUP(MONTH($B1431)/3,0)</f>
        <v>Q1</v>
      </c>
      <c r="E1431" s="61" t="n">
        <f aca="false">MONTH($B1431)</f>
        <v>3</v>
      </c>
      <c r="F1431" s="61" t="str">
        <f aca="false">INDEX(Parametros!$I$5:$I$16,$E1431)</f>
        <v>Mar</v>
      </c>
      <c r="G1431" s="61" t="str">
        <f aca="false">TEXT($C1431,"0000")&amp;"-"&amp;TEXT($E1431,"00")</f>
        <v>2025-03</v>
      </c>
      <c r="H1431" s="61" t="str">
        <f aca="false">INDEX(Parametros!$C$71:$C$91,MATCH(TRIM(INDEX(Datos_Origen!$C$2:$C$2459,$Z1431)),Parametros!$B$71:$B$91,0))</f>
        <v>Centro</v>
      </c>
      <c r="I1431" s="61" t="str">
        <f aca="false">IF(TRIM($AD1431)="",INDEX(Parametros!$I$20:$I$24,MATCH($H1431,Parametros!$H$20:$H$24,0)),TRIM($AD1431))</f>
        <v>Cordoba</v>
      </c>
      <c r="J1431" s="61" t="str">
        <f aca="false">INDEX(Parametros!$C$95:$C$106,MATCH(TRIM(INDEX(Datos_Origen!$E$2:$E$2459,$Z1431)),Parametros!$B$95:$B$106,0))</f>
        <v>E-commerce</v>
      </c>
      <c r="K1431" s="61" t="str">
        <f aca="false">INDEX(Parametros!$C$48:$C$67,MATCH(TRIM(INDEX(Datos_Origen!$F$2:$F$2459,$Z1431)),Parametros!$B$48:$B$67,0))</f>
        <v>Accesorios</v>
      </c>
      <c r="L1431" s="61" t="str">
        <f aca="false">$K1431&amp;" "&amp;$C1431</f>
        <v>Accesorios 2025</v>
      </c>
      <c r="M1431" s="61" t="str">
        <f aca="false">TRIM(INDEX(Datos_Origen!$G$2:$G$2459,$Z1431))</f>
        <v>Teclado Mecanico</v>
      </c>
      <c r="N1431" s="61" t="str">
        <f aca="false">$M1431&amp;" "&amp;$C1431</f>
        <v>Teclado Mecanico 2025</v>
      </c>
      <c r="O1431" s="63" t="n">
        <f aca="false">IF(ISTEXT($AC1431),VALUE($AC1431),$AC1431)</f>
        <v>37</v>
      </c>
      <c r="P1431" s="64" t="n">
        <f aca="false">INDEX(Datos_Origen!$I$2:$I$2459,$Z1431)</f>
        <v>94.39</v>
      </c>
      <c r="Q1431" s="64" t="n">
        <f aca="false">INDEX(Datos_Origen!$J$2:$J$2459,$Z1431)</f>
        <v>49.41</v>
      </c>
      <c r="R1431" s="65" t="n">
        <f aca="false">ROUND($O1431*$P1431,2)</f>
        <v>3492.43</v>
      </c>
      <c r="S1431" s="65" t="n">
        <f aca="false">ROUND($O1431*$Q1431,2)</f>
        <v>1828.17</v>
      </c>
      <c r="T1431" s="65" t="n">
        <f aca="false">ROUND($R1431*SUMIFS(Parametros!$E$28:$E$43,Parametros!$B$28:$B$43,$J1431,Parametros!$C$28:$C$43,$C1431,Parametros!$D$28:$D$43,$D1431),2)</f>
        <v>237.49</v>
      </c>
      <c r="U1431" s="65" t="n">
        <f aca="false">$R1431-$S1431-$T1431</f>
        <v>1426.77</v>
      </c>
      <c r="V1431" s="66" t="n">
        <f aca="false">IFERROR($U1431/$R1431,0)</f>
        <v>0.408532168146534</v>
      </c>
      <c r="W1431" s="67" t="str">
        <f aca="false">IF(AND($V1431&gt;=Parametros!$C$8,$R1431&gt;=Parametros!$C$12),"Alta rentabilidad",IF(OR($V1431&lt;Parametros!$C$11,$R1431&lt;Parametros!$C$13),"Revisar","Estandar"))</f>
        <v>Alta rentabilidad</v>
      </c>
      <c r="X1431" s="67" t="str">
        <f aca="false">IF(AND($J1431="E-commerce",IFERROR($T1431/$R1431,0)&gt;Parametros!$C$14),"Alerta","OK")</f>
        <v>Alerta</v>
      </c>
      <c r="Y1431" s="61" t="str">
        <f aca="false">IF($R1431&gt;=Parametros!$C$12,"Alto",IF($R1431&lt;Parametros!$C$13,"Bajo","Medio"))</f>
        <v>Alto</v>
      </c>
      <c r="Z1431" s="61" t="n">
        <v>892</v>
      </c>
      <c r="AA1431" s="61" t="str">
        <f aca="false">IF(MATCH($A1431,Datos_Origen!$A$2:$A$2459,0)=$Z1431,"OK","REVISAR")</f>
        <v>OK</v>
      </c>
      <c r="AB1431" s="61" t="str">
        <f aca="false">INDEX(Datos_Origen!$B$2:$B$2459,$Z1431)</f>
        <v>2025-03-21</v>
      </c>
      <c r="AC1431" s="61" t="n">
        <f aca="false">INDEX(Datos_Origen!$H$2:$H$2459,$Z1431)</f>
        <v>37</v>
      </c>
      <c r="AD1431" s="61" t="str">
        <f aca="false">INDEX(Datos_Origen!$D$2:$D$2459,$Z1431)&amp;""</f>
        <v>Cordoba</v>
      </c>
    </row>
    <row r="1432" customFormat="false" ht="15" hidden="false" customHeight="false" outlineLevel="0" collapsed="false">
      <c r="A1432" s="61" t="n">
        <f aca="false">INDEX(Datos_Origen!$A$2:$A$2459,$Z1432)</f>
        <v>1431</v>
      </c>
      <c r="B1432" s="62" t="n">
        <f aca="false">IF(ISNUMBER($AB1432),$AB1432,IF(MID($AB1432,5,1)="-",DATE(VALUE(LEFT($AB1432,4)),VALUE(MID($AB1432,6,2)),VALUE(RIGHT($AB1432,2))),DATE(VALUE(RIGHT($AB1432,4)),VALUE(MID($AB1432,4,2)),VALUE(LEFT($AB1432,2)))))</f>
        <v>45717</v>
      </c>
      <c r="C1432" s="61" t="n">
        <f aca="false">YEAR($B1432)</f>
        <v>2025</v>
      </c>
      <c r="D1432" s="61" t="str">
        <f aca="false">"Q"&amp;ROUNDUP(MONTH($B1432)/3,0)</f>
        <v>Q1</v>
      </c>
      <c r="E1432" s="61" t="n">
        <f aca="false">MONTH($B1432)</f>
        <v>3</v>
      </c>
      <c r="F1432" s="61" t="str">
        <f aca="false">INDEX(Parametros!$I$5:$I$16,$E1432)</f>
        <v>Mar</v>
      </c>
      <c r="G1432" s="61" t="str">
        <f aca="false">TEXT($C1432,"0000")&amp;"-"&amp;TEXT($E1432,"00")</f>
        <v>2025-03</v>
      </c>
      <c r="H1432" s="61" t="str">
        <f aca="false">INDEX(Parametros!$C$71:$C$91,MATCH(TRIM(INDEX(Datos_Origen!$C$2:$C$2459,$Z1432)),Parametros!$B$71:$B$91,0))</f>
        <v>Centro</v>
      </c>
      <c r="I1432" s="61" t="str">
        <f aca="false">IF(TRIM($AD1432)="",INDEX(Parametros!$I$20:$I$24,MATCH($H1432,Parametros!$H$20:$H$24,0)),TRIM($AD1432))</f>
        <v>Cordoba</v>
      </c>
      <c r="J1432" s="61" t="str">
        <f aca="false">INDEX(Parametros!$C$95:$C$106,MATCH(TRIM(INDEX(Datos_Origen!$E$2:$E$2459,$Z1432)),Parametros!$B$95:$B$106,0))</f>
        <v>Tienda fisica</v>
      </c>
      <c r="K1432" s="61" t="str">
        <f aca="false">INDEX(Parametros!$C$48:$C$67,MATCH(TRIM(INDEX(Datos_Origen!$F$2:$F$2459,$Z1432)),Parametros!$B$48:$B$67,0))</f>
        <v>Accesorios</v>
      </c>
      <c r="L1432" s="61" t="str">
        <f aca="false">$K1432&amp;" "&amp;$C1432</f>
        <v>Accesorios 2025</v>
      </c>
      <c r="M1432" s="61" t="str">
        <f aca="false">TRIM(INDEX(Datos_Origen!$G$2:$G$2459,$Z1432))</f>
        <v>Webcam Full HD</v>
      </c>
      <c r="N1432" s="61" t="str">
        <f aca="false">$M1432&amp;" "&amp;$C1432</f>
        <v>Webcam Full HD 2025</v>
      </c>
      <c r="O1432" s="63" t="n">
        <f aca="false">IF(ISTEXT($AC1432),VALUE($AC1432),$AC1432)</f>
        <v>59</v>
      </c>
      <c r="P1432" s="64" t="n">
        <f aca="false">INDEX(Datos_Origen!$I$2:$I$2459,$Z1432)</f>
        <v>64.58</v>
      </c>
      <c r="Q1432" s="64" t="n">
        <f aca="false">INDEX(Datos_Origen!$J$2:$J$2459,$Z1432)</f>
        <v>36.49</v>
      </c>
      <c r="R1432" s="65" t="n">
        <f aca="false">ROUND($O1432*$P1432,2)</f>
        <v>3810.22</v>
      </c>
      <c r="S1432" s="65" t="n">
        <f aca="false">ROUND($O1432*$Q1432,2)</f>
        <v>2152.91</v>
      </c>
      <c r="T1432" s="65" t="n">
        <f aca="false">ROUND($R1432*SUMIFS(Parametros!$E$28:$E$43,Parametros!$B$28:$B$43,$J1432,Parametros!$C$28:$C$43,$C1432,Parametros!$D$28:$D$43,$D1432),2)</f>
        <v>49.53</v>
      </c>
      <c r="U1432" s="65" t="n">
        <f aca="false">$R1432-$S1432-$T1432</f>
        <v>1607.78</v>
      </c>
      <c r="V1432" s="66" t="n">
        <f aca="false">IFERROR($U1432/$R1432,0)</f>
        <v>0.42196513587142</v>
      </c>
      <c r="W1432" s="67" t="str">
        <f aca="false">IF(AND($V1432&gt;=Parametros!$C$8,$R1432&gt;=Parametros!$C$12),"Alta rentabilidad",IF(OR($V1432&lt;Parametros!$C$11,$R1432&lt;Parametros!$C$13),"Revisar","Estandar"))</f>
        <v>Alta rentabilidad</v>
      </c>
      <c r="X1432" s="67" t="str">
        <f aca="false">IF(AND($J1432="E-commerce",IFERROR($T1432/$R1432,0)&gt;Parametros!$C$14),"Alerta","OK")</f>
        <v>OK</v>
      </c>
      <c r="Y1432" s="61" t="str">
        <f aca="false">IF($R1432&gt;=Parametros!$C$12,"Alto",IF($R1432&lt;Parametros!$C$13,"Bajo","Medio"))</f>
        <v>Alto</v>
      </c>
      <c r="Z1432" s="61" t="n">
        <v>2327</v>
      </c>
      <c r="AA1432" s="61" t="str">
        <f aca="false">IF(MATCH($A1432,Datos_Origen!$A$2:$A$2459,0)=$Z1432,"OK","REVISAR")</f>
        <v>OK</v>
      </c>
      <c r="AB1432" s="62" t="n">
        <f aca="false">INDEX(Datos_Origen!$B$2:$B$2459,$Z1432)</f>
        <v>45717</v>
      </c>
      <c r="AC1432" s="61" t="n">
        <f aca="false">INDEX(Datos_Origen!$H$2:$H$2459,$Z1432)</f>
        <v>59</v>
      </c>
      <c r="AD1432" s="61" t="str">
        <f aca="false">INDEX(Datos_Origen!$D$2:$D$2459,$Z1432)&amp;""</f>
        <v>Cordoba</v>
      </c>
    </row>
    <row r="1433" customFormat="false" ht="15" hidden="false" customHeight="false" outlineLevel="0" collapsed="false">
      <c r="A1433" s="61" t="n">
        <f aca="false">INDEX(Datos_Origen!$A$2:$A$2459,$Z1433)</f>
        <v>1432</v>
      </c>
      <c r="B1433" s="62" t="n">
        <f aca="false">IF(ISNUMBER($AB1433),$AB1433,IF(MID($AB1433,5,1)="-",DATE(VALUE(LEFT($AB1433,4)),VALUE(MID($AB1433,6,2)),VALUE(RIGHT($AB1433,2))),DATE(VALUE(RIGHT($AB1433,4)),VALUE(MID($AB1433,4,2)),VALUE(LEFT($AB1433,2)))))</f>
        <v>45724</v>
      </c>
      <c r="C1433" s="61" t="n">
        <f aca="false">YEAR($B1433)</f>
        <v>2025</v>
      </c>
      <c r="D1433" s="61" t="str">
        <f aca="false">"Q"&amp;ROUNDUP(MONTH($B1433)/3,0)</f>
        <v>Q1</v>
      </c>
      <c r="E1433" s="61" t="n">
        <f aca="false">MONTH($B1433)</f>
        <v>3</v>
      </c>
      <c r="F1433" s="61" t="str">
        <f aca="false">INDEX(Parametros!$I$5:$I$16,$E1433)</f>
        <v>Mar</v>
      </c>
      <c r="G1433" s="61" t="str">
        <f aca="false">TEXT($C1433,"0000")&amp;"-"&amp;TEXT($E1433,"00")</f>
        <v>2025-03</v>
      </c>
      <c r="H1433" s="61" t="str">
        <f aca="false">INDEX(Parametros!$C$71:$C$91,MATCH(TRIM(INDEX(Datos_Origen!$C$2:$C$2459,$Z1433)),Parametros!$B$71:$B$91,0))</f>
        <v>Centro</v>
      </c>
      <c r="I1433" s="61" t="str">
        <f aca="false">IF(TRIM($AD1433)="",INDEX(Parametros!$I$20:$I$24,MATCH($H1433,Parametros!$H$20:$H$24,0)),TRIM($AD1433))</f>
        <v>Cordoba</v>
      </c>
      <c r="J1433" s="61" t="str">
        <f aca="false">INDEX(Parametros!$C$95:$C$106,MATCH(TRIM(INDEX(Datos_Origen!$E$2:$E$2459,$Z1433)),Parametros!$B$95:$B$106,0))</f>
        <v>E-commerce</v>
      </c>
      <c r="K1433" s="61" t="str">
        <f aca="false">INDEX(Parametros!$C$48:$C$67,MATCH(TRIM(INDEX(Datos_Origen!$F$2:$F$2459,$Z1433)),Parametros!$B$48:$B$67,0))</f>
        <v>Accesorios</v>
      </c>
      <c r="L1433" s="61" t="str">
        <f aca="false">$K1433&amp;" "&amp;$C1433</f>
        <v>Accesorios 2025</v>
      </c>
      <c r="M1433" s="61" t="str">
        <f aca="false">TRIM(INDEX(Datos_Origen!$G$2:$G$2459,$Z1433))</f>
        <v>Webcam Full HD</v>
      </c>
      <c r="N1433" s="61" t="str">
        <f aca="false">$M1433&amp;" "&amp;$C1433</f>
        <v>Webcam Full HD 2025</v>
      </c>
      <c r="O1433" s="63" t="n">
        <f aca="false">IF(ISTEXT($AC1433),VALUE($AC1433),$AC1433)</f>
        <v>30</v>
      </c>
      <c r="P1433" s="64" t="n">
        <f aca="false">INDEX(Datos_Origen!$I$2:$I$2459,$Z1433)</f>
        <v>64.58</v>
      </c>
      <c r="Q1433" s="64" t="n">
        <f aca="false">INDEX(Datos_Origen!$J$2:$J$2459,$Z1433)</f>
        <v>36.49</v>
      </c>
      <c r="R1433" s="65" t="n">
        <f aca="false">ROUND($O1433*$P1433,2)</f>
        <v>1937.4</v>
      </c>
      <c r="S1433" s="65" t="n">
        <f aca="false">ROUND($O1433*$Q1433,2)</f>
        <v>1094.7</v>
      </c>
      <c r="T1433" s="65" t="n">
        <f aca="false">ROUND($R1433*SUMIFS(Parametros!$E$28:$E$43,Parametros!$B$28:$B$43,$J1433,Parametros!$C$28:$C$43,$C1433,Parametros!$D$28:$D$43,$D1433),2)</f>
        <v>131.74</v>
      </c>
      <c r="U1433" s="65" t="n">
        <f aca="false">$R1433-$S1433-$T1433</f>
        <v>710.96</v>
      </c>
      <c r="V1433" s="66" t="n">
        <f aca="false">IFERROR($U1433/$R1433,0)</f>
        <v>0.366966036956746</v>
      </c>
      <c r="W1433" s="67" t="str">
        <f aca="false">IF(AND($V1433&gt;=Parametros!$C$8,$R1433&gt;=Parametros!$C$12),"Alta rentabilidad",IF(OR($V1433&lt;Parametros!$C$11,$R1433&lt;Parametros!$C$13),"Revisar","Estandar"))</f>
        <v>Estandar</v>
      </c>
      <c r="X1433" s="67" t="str">
        <f aca="false">IF(AND($J1433="E-commerce",IFERROR($T1433/$R1433,0)&gt;Parametros!$C$14),"Alerta","OK")</f>
        <v>Alerta</v>
      </c>
      <c r="Y1433" s="61" t="str">
        <f aca="false">IF($R1433&gt;=Parametros!$C$12,"Alto",IF($R1433&lt;Parametros!$C$13,"Bajo","Medio"))</f>
        <v>Medio</v>
      </c>
      <c r="Z1433" s="61" t="n">
        <v>418</v>
      </c>
      <c r="AA1433" s="61" t="str">
        <f aca="false">IF(MATCH($A1433,Datos_Origen!$A$2:$A$2459,0)=$Z1433,"OK","REVISAR")</f>
        <v>OK</v>
      </c>
      <c r="AB1433" s="61" t="str">
        <f aca="false">INDEX(Datos_Origen!$B$2:$B$2459,$Z1433)</f>
        <v>08/03/2025</v>
      </c>
      <c r="AC1433" s="61" t="n">
        <f aca="false">INDEX(Datos_Origen!$H$2:$H$2459,$Z1433)</f>
        <v>30</v>
      </c>
      <c r="AD1433" s="61" t="str">
        <f aca="false">INDEX(Datos_Origen!$D$2:$D$2459,$Z1433)&amp;""</f>
        <v>Cordoba</v>
      </c>
    </row>
    <row r="1434" customFormat="false" ht="15" hidden="false" customHeight="false" outlineLevel="0" collapsed="false">
      <c r="A1434" s="61" t="n">
        <f aca="false">INDEX(Datos_Origen!$A$2:$A$2459,$Z1434)</f>
        <v>1433</v>
      </c>
      <c r="B1434" s="62" t="n">
        <f aca="false">IF(ISNUMBER($AB1434),$AB1434,IF(MID($AB1434,5,1)="-",DATE(VALUE(LEFT($AB1434,4)),VALUE(MID($AB1434,6,2)),VALUE(RIGHT($AB1434,2))),DATE(VALUE(RIGHT($AB1434,4)),VALUE(MID($AB1434,4,2)),VALUE(LEFT($AB1434,2)))))</f>
        <v>45731</v>
      </c>
      <c r="C1434" s="61" t="n">
        <f aca="false">YEAR($B1434)</f>
        <v>2025</v>
      </c>
      <c r="D1434" s="61" t="str">
        <f aca="false">"Q"&amp;ROUNDUP(MONTH($B1434)/3,0)</f>
        <v>Q1</v>
      </c>
      <c r="E1434" s="61" t="n">
        <f aca="false">MONTH($B1434)</f>
        <v>3</v>
      </c>
      <c r="F1434" s="61" t="str">
        <f aca="false">INDEX(Parametros!$I$5:$I$16,$E1434)</f>
        <v>Mar</v>
      </c>
      <c r="G1434" s="61" t="str">
        <f aca="false">TEXT($C1434,"0000")&amp;"-"&amp;TEXT($E1434,"00")</f>
        <v>2025-03</v>
      </c>
      <c r="H1434" s="61" t="str">
        <f aca="false">INDEX(Parametros!$C$71:$C$91,MATCH(TRIM(INDEX(Datos_Origen!$C$2:$C$2459,$Z1434)),Parametros!$B$71:$B$91,0))</f>
        <v>Centro</v>
      </c>
      <c r="I1434" s="61" t="str">
        <f aca="false">IF(TRIM($AD1434)="",INDEX(Parametros!$I$20:$I$24,MATCH($H1434,Parametros!$H$20:$H$24,0)),TRIM($AD1434))</f>
        <v>Cordoba</v>
      </c>
      <c r="J1434" s="61" t="str">
        <f aca="false">INDEX(Parametros!$C$95:$C$106,MATCH(TRIM(INDEX(Datos_Origen!$E$2:$E$2459,$Z1434)),Parametros!$B$95:$B$106,0))</f>
        <v>Tienda fisica</v>
      </c>
      <c r="K1434" s="61" t="str">
        <f aca="false">INDEX(Parametros!$C$48:$C$67,MATCH(TRIM(INDEX(Datos_Origen!$F$2:$F$2459,$Z1434)),Parametros!$B$48:$B$67,0))</f>
        <v>Audio</v>
      </c>
      <c r="L1434" s="61" t="str">
        <f aca="false">$K1434&amp;" "&amp;$C1434</f>
        <v>Audio 2025</v>
      </c>
      <c r="M1434" s="61" t="str">
        <f aca="false">TRIM(INDEX(Datos_Origen!$G$2:$G$2459,$Z1434))</f>
        <v>Auriculares BT Pro</v>
      </c>
      <c r="N1434" s="61" t="str">
        <f aca="false">$M1434&amp;" "&amp;$C1434</f>
        <v>Auriculares BT Pro 2025</v>
      </c>
      <c r="O1434" s="63" t="n">
        <f aca="false">IF(ISTEXT($AC1434),VALUE($AC1434),$AC1434)</f>
        <v>23</v>
      </c>
      <c r="P1434" s="64" t="n">
        <f aca="false">INDEX(Datos_Origen!$I$2:$I$2459,$Z1434)</f>
        <v>119.23</v>
      </c>
      <c r="Q1434" s="64" t="n">
        <f aca="false">INDEX(Datos_Origen!$J$2:$J$2459,$Z1434)</f>
        <v>65.51</v>
      </c>
      <c r="R1434" s="65" t="n">
        <f aca="false">ROUND($O1434*$P1434,2)</f>
        <v>2742.29</v>
      </c>
      <c r="S1434" s="65" t="n">
        <f aca="false">ROUND($O1434*$Q1434,2)</f>
        <v>1506.73</v>
      </c>
      <c r="T1434" s="65" t="n">
        <f aca="false">ROUND($R1434*SUMIFS(Parametros!$E$28:$E$43,Parametros!$B$28:$B$43,$J1434,Parametros!$C$28:$C$43,$C1434,Parametros!$D$28:$D$43,$D1434),2)</f>
        <v>35.65</v>
      </c>
      <c r="U1434" s="65" t="n">
        <f aca="false">$R1434-$S1434-$T1434</f>
        <v>1199.91</v>
      </c>
      <c r="V1434" s="66" t="n">
        <f aca="false">IFERROR($U1434/$R1434,0)</f>
        <v>0.437557661662333</v>
      </c>
      <c r="W1434" s="67" t="str">
        <f aca="false">IF(AND($V1434&gt;=Parametros!$C$8,$R1434&gt;=Parametros!$C$12),"Alta rentabilidad",IF(OR($V1434&lt;Parametros!$C$11,$R1434&lt;Parametros!$C$13),"Revisar","Estandar"))</f>
        <v>Estandar</v>
      </c>
      <c r="X1434" s="67" t="str">
        <f aca="false">IF(AND($J1434="E-commerce",IFERROR($T1434/$R1434,0)&gt;Parametros!$C$14),"Alerta","OK")</f>
        <v>OK</v>
      </c>
      <c r="Y1434" s="61" t="str">
        <f aca="false">IF($R1434&gt;=Parametros!$C$12,"Alto",IF($R1434&lt;Parametros!$C$13,"Bajo","Medio"))</f>
        <v>Medio</v>
      </c>
      <c r="Z1434" s="61" t="n">
        <v>1586</v>
      </c>
      <c r="AA1434" s="61" t="str">
        <f aca="false">IF(MATCH($A1434,Datos_Origen!$A$2:$A$2459,0)=$Z1434,"OK","REVISAR")</f>
        <v>OK</v>
      </c>
      <c r="AB1434" s="62" t="n">
        <f aca="false">INDEX(Datos_Origen!$B$2:$B$2459,$Z1434)</f>
        <v>45731</v>
      </c>
      <c r="AC1434" s="61" t="n">
        <f aca="false">INDEX(Datos_Origen!$H$2:$H$2459,$Z1434)</f>
        <v>23</v>
      </c>
      <c r="AD1434" s="61" t="str">
        <f aca="false">INDEX(Datos_Origen!$D$2:$D$2459,$Z1434)&amp;""</f>
        <v>Cordoba</v>
      </c>
    </row>
    <row r="1435" customFormat="false" ht="15" hidden="false" customHeight="false" outlineLevel="0" collapsed="false">
      <c r="A1435" s="61" t="n">
        <f aca="false">INDEX(Datos_Origen!$A$2:$A$2459,$Z1435)</f>
        <v>1434</v>
      </c>
      <c r="B1435" s="62" t="n">
        <f aca="false">IF(ISNUMBER($AB1435),$AB1435,IF(MID($AB1435,5,1)="-",DATE(VALUE(LEFT($AB1435,4)),VALUE(MID($AB1435,6,2)),VALUE(RIGHT($AB1435,2))),DATE(VALUE(RIGHT($AB1435,4)),VALUE(MID($AB1435,4,2)),VALUE(LEFT($AB1435,2)))))</f>
        <v>45738</v>
      </c>
      <c r="C1435" s="61" t="n">
        <f aca="false">YEAR($B1435)</f>
        <v>2025</v>
      </c>
      <c r="D1435" s="61" t="str">
        <f aca="false">"Q"&amp;ROUNDUP(MONTH($B1435)/3,0)</f>
        <v>Q1</v>
      </c>
      <c r="E1435" s="61" t="n">
        <f aca="false">MONTH($B1435)</f>
        <v>3</v>
      </c>
      <c r="F1435" s="61" t="str">
        <f aca="false">INDEX(Parametros!$I$5:$I$16,$E1435)</f>
        <v>Mar</v>
      </c>
      <c r="G1435" s="61" t="str">
        <f aca="false">TEXT($C1435,"0000")&amp;"-"&amp;TEXT($E1435,"00")</f>
        <v>2025-03</v>
      </c>
      <c r="H1435" s="61" t="str">
        <f aca="false">INDEX(Parametros!$C$71:$C$91,MATCH(TRIM(INDEX(Datos_Origen!$C$2:$C$2459,$Z1435)),Parametros!$B$71:$B$91,0))</f>
        <v>Centro</v>
      </c>
      <c r="I1435" s="61" t="str">
        <f aca="false">IF(TRIM($AD1435)="",INDEX(Parametros!$I$20:$I$24,MATCH($H1435,Parametros!$H$20:$H$24,0)),TRIM($AD1435))</f>
        <v>Cordoba</v>
      </c>
      <c r="J1435" s="61" t="str">
        <f aca="false">INDEX(Parametros!$C$95:$C$106,MATCH(TRIM(INDEX(Datos_Origen!$E$2:$E$2459,$Z1435)),Parametros!$B$95:$B$106,0))</f>
        <v>E-commerce</v>
      </c>
      <c r="K1435" s="61" t="str">
        <f aca="false">INDEX(Parametros!$C$48:$C$67,MATCH(TRIM(INDEX(Datos_Origen!$F$2:$F$2459,$Z1435)),Parametros!$B$48:$B$67,0))</f>
        <v>Audio</v>
      </c>
      <c r="L1435" s="61" t="str">
        <f aca="false">$K1435&amp;" "&amp;$C1435</f>
        <v>Audio 2025</v>
      </c>
      <c r="M1435" s="61" t="str">
        <f aca="false">TRIM(INDEX(Datos_Origen!$G$2:$G$2459,$Z1435))</f>
        <v>Auriculares BT Pro</v>
      </c>
      <c r="N1435" s="61" t="str">
        <f aca="false">$M1435&amp;" "&amp;$C1435</f>
        <v>Auriculares BT Pro 2025</v>
      </c>
      <c r="O1435" s="63" t="n">
        <f aca="false">IF(ISTEXT($AC1435),VALUE($AC1435),$AC1435)</f>
        <v>15</v>
      </c>
      <c r="P1435" s="64" t="n">
        <f aca="false">INDEX(Datos_Origen!$I$2:$I$2459,$Z1435)</f>
        <v>119.23</v>
      </c>
      <c r="Q1435" s="64" t="n">
        <f aca="false">INDEX(Datos_Origen!$J$2:$J$2459,$Z1435)</f>
        <v>65.51</v>
      </c>
      <c r="R1435" s="65" t="n">
        <f aca="false">ROUND($O1435*$P1435,2)</f>
        <v>1788.45</v>
      </c>
      <c r="S1435" s="65" t="n">
        <f aca="false">ROUND($O1435*$Q1435,2)</f>
        <v>982.65</v>
      </c>
      <c r="T1435" s="65" t="n">
        <f aca="false">ROUND($R1435*SUMIFS(Parametros!$E$28:$E$43,Parametros!$B$28:$B$43,$J1435,Parametros!$C$28:$C$43,$C1435,Parametros!$D$28:$D$43,$D1435),2)</f>
        <v>121.61</v>
      </c>
      <c r="U1435" s="65" t="n">
        <f aca="false">$R1435-$S1435-$T1435</f>
        <v>684.19</v>
      </c>
      <c r="V1435" s="66" t="n">
        <f aca="false">IFERROR($U1435/$R1435,0)</f>
        <v>0.382560317593447</v>
      </c>
      <c r="W1435" s="67" t="str">
        <f aca="false">IF(AND($V1435&gt;=Parametros!$C$8,$R1435&gt;=Parametros!$C$12),"Alta rentabilidad",IF(OR($V1435&lt;Parametros!$C$11,$R1435&lt;Parametros!$C$13),"Revisar","Estandar"))</f>
        <v>Estandar</v>
      </c>
      <c r="X1435" s="67" t="str">
        <f aca="false">IF(AND($J1435="E-commerce",IFERROR($T1435/$R1435,0)&gt;Parametros!$C$14),"Alerta","OK")</f>
        <v>Alerta</v>
      </c>
      <c r="Y1435" s="61" t="str">
        <f aca="false">IF($R1435&gt;=Parametros!$C$12,"Alto",IF($R1435&lt;Parametros!$C$13,"Bajo","Medio"))</f>
        <v>Medio</v>
      </c>
      <c r="Z1435" s="61" t="n">
        <v>488</v>
      </c>
      <c r="AA1435" s="61" t="str">
        <f aca="false">IF(MATCH($A1435,Datos_Origen!$A$2:$A$2459,0)=$Z1435,"OK","REVISAR")</f>
        <v>OK</v>
      </c>
      <c r="AB1435" s="62" t="n">
        <f aca="false">INDEX(Datos_Origen!$B$2:$B$2459,$Z1435)</f>
        <v>45738</v>
      </c>
      <c r="AC1435" s="61" t="n">
        <f aca="false">INDEX(Datos_Origen!$H$2:$H$2459,$Z1435)</f>
        <v>15</v>
      </c>
      <c r="AD1435" s="61" t="str">
        <f aca="false">INDEX(Datos_Origen!$D$2:$D$2459,$Z1435)&amp;""</f>
        <v>Cordoba</v>
      </c>
    </row>
    <row r="1436" customFormat="false" ht="15" hidden="false" customHeight="false" outlineLevel="0" collapsed="false">
      <c r="A1436" s="61" t="n">
        <f aca="false">INDEX(Datos_Origen!$A$2:$A$2459,$Z1436)</f>
        <v>1435</v>
      </c>
      <c r="B1436" s="62" t="n">
        <f aca="false">IF(ISNUMBER($AB1436),$AB1436,IF(MID($AB1436,5,1)="-",DATE(VALUE(LEFT($AB1436,4)),VALUE(MID($AB1436,6,2)),VALUE(RIGHT($AB1436,2))),DATE(VALUE(RIGHT($AB1436,4)),VALUE(MID($AB1436,4,2)),VALUE(LEFT($AB1436,2)))))</f>
        <v>45718</v>
      </c>
      <c r="C1436" s="61" t="n">
        <f aca="false">YEAR($B1436)</f>
        <v>2025</v>
      </c>
      <c r="D1436" s="61" t="str">
        <f aca="false">"Q"&amp;ROUNDUP(MONTH($B1436)/3,0)</f>
        <v>Q1</v>
      </c>
      <c r="E1436" s="61" t="n">
        <f aca="false">MONTH($B1436)</f>
        <v>3</v>
      </c>
      <c r="F1436" s="61" t="str">
        <f aca="false">INDEX(Parametros!$I$5:$I$16,$E1436)</f>
        <v>Mar</v>
      </c>
      <c r="G1436" s="61" t="str">
        <f aca="false">TEXT($C1436,"0000")&amp;"-"&amp;TEXT($E1436,"00")</f>
        <v>2025-03</v>
      </c>
      <c r="H1436" s="61" t="str">
        <f aca="false">INDEX(Parametros!$C$71:$C$91,MATCH(TRIM(INDEX(Datos_Origen!$C$2:$C$2459,$Z1436)),Parametros!$B$71:$B$91,0))</f>
        <v>Centro</v>
      </c>
      <c r="I1436" s="61" t="str">
        <f aca="false">IF(TRIM($AD1436)="",INDEX(Parametros!$I$20:$I$24,MATCH($H1436,Parametros!$H$20:$H$24,0)),TRIM($AD1436))</f>
        <v>Cordoba</v>
      </c>
      <c r="J1436" s="61" t="str">
        <f aca="false">INDEX(Parametros!$C$95:$C$106,MATCH(TRIM(INDEX(Datos_Origen!$E$2:$E$2459,$Z1436)),Parametros!$B$95:$B$106,0))</f>
        <v>Tienda fisica</v>
      </c>
      <c r="K1436" s="61" t="str">
        <f aca="false">INDEX(Parametros!$C$48:$C$67,MATCH(TRIM(INDEX(Datos_Origen!$F$2:$F$2459,$Z1436)),Parametros!$B$48:$B$67,0))</f>
        <v>Audio</v>
      </c>
      <c r="L1436" s="61" t="str">
        <f aca="false">$K1436&amp;" "&amp;$C1436</f>
        <v>Audio 2025</v>
      </c>
      <c r="M1436" s="61" t="str">
        <f aca="false">TRIM(INDEX(Datos_Origen!$G$2:$G$2459,$Z1436))</f>
        <v>Parlante Bluetooth</v>
      </c>
      <c r="N1436" s="61" t="str">
        <f aca="false">$M1436&amp;" "&amp;$C1436</f>
        <v>Parlante Bluetooth 2025</v>
      </c>
      <c r="O1436" s="63" t="n">
        <f aca="false">IF(ISTEXT($AC1436),VALUE($AC1436),$AC1436)</f>
        <v>20</v>
      </c>
      <c r="P1436" s="64" t="n">
        <f aca="false">INDEX(Datos_Origen!$I$2:$I$2459,$Z1436)</f>
        <v>84.46</v>
      </c>
      <c r="Q1436" s="64" t="n">
        <f aca="false">INDEX(Datos_Origen!$J$2:$J$2459,$Z1436)</f>
        <v>49.47</v>
      </c>
      <c r="R1436" s="65" t="n">
        <f aca="false">ROUND($O1436*$P1436,2)</f>
        <v>1689.2</v>
      </c>
      <c r="S1436" s="65" t="n">
        <f aca="false">ROUND($O1436*$Q1436,2)</f>
        <v>989.4</v>
      </c>
      <c r="T1436" s="65" t="n">
        <f aca="false">ROUND($R1436*SUMIFS(Parametros!$E$28:$E$43,Parametros!$B$28:$B$43,$J1436,Parametros!$C$28:$C$43,$C1436,Parametros!$D$28:$D$43,$D1436),2)</f>
        <v>21.96</v>
      </c>
      <c r="U1436" s="65" t="n">
        <f aca="false">$R1436-$S1436-$T1436</f>
        <v>677.84</v>
      </c>
      <c r="V1436" s="66" t="n">
        <f aca="false">IFERROR($U1436/$R1436,0)</f>
        <v>0.401278711816244</v>
      </c>
      <c r="W1436" s="67" t="str">
        <f aca="false">IF(AND($V1436&gt;=Parametros!$C$8,$R1436&gt;=Parametros!$C$12),"Alta rentabilidad",IF(OR($V1436&lt;Parametros!$C$11,$R1436&lt;Parametros!$C$13),"Revisar","Estandar"))</f>
        <v>Estandar</v>
      </c>
      <c r="X1436" s="67" t="str">
        <f aca="false">IF(AND($J1436="E-commerce",IFERROR($T1436/$R1436,0)&gt;Parametros!$C$14),"Alerta","OK")</f>
        <v>OK</v>
      </c>
      <c r="Y1436" s="61" t="str">
        <f aca="false">IF($R1436&gt;=Parametros!$C$12,"Alto",IF($R1436&lt;Parametros!$C$13,"Bajo","Medio"))</f>
        <v>Medio</v>
      </c>
      <c r="Z1436" s="61" t="n">
        <v>847</v>
      </c>
      <c r="AA1436" s="61" t="str">
        <f aca="false">IF(MATCH($A1436,Datos_Origen!$A$2:$A$2459,0)=$Z1436,"OK","REVISAR")</f>
        <v>OK</v>
      </c>
      <c r="AB1436" s="62" t="n">
        <f aca="false">INDEX(Datos_Origen!$B$2:$B$2459,$Z1436)</f>
        <v>45718</v>
      </c>
      <c r="AC1436" s="61" t="str">
        <f aca="false">INDEX(Datos_Origen!$H$2:$H$2459,$Z1436)</f>
        <v>20</v>
      </c>
      <c r="AD1436" s="61" t="str">
        <f aca="false">INDEX(Datos_Origen!$D$2:$D$2459,$Z1436)&amp;""</f>
        <v>Cordoba</v>
      </c>
    </row>
    <row r="1437" customFormat="false" ht="15" hidden="false" customHeight="false" outlineLevel="0" collapsed="false">
      <c r="A1437" s="61" t="n">
        <f aca="false">INDEX(Datos_Origen!$A$2:$A$2459,$Z1437)</f>
        <v>1436</v>
      </c>
      <c r="B1437" s="62" t="n">
        <f aca="false">IF(ISNUMBER($AB1437),$AB1437,IF(MID($AB1437,5,1)="-",DATE(VALUE(LEFT($AB1437,4)),VALUE(MID($AB1437,6,2)),VALUE(RIGHT($AB1437,2))),DATE(VALUE(RIGHT($AB1437,4)),VALUE(MID($AB1437,4,2)),VALUE(LEFT($AB1437,2)))))</f>
        <v>45725</v>
      </c>
      <c r="C1437" s="61" t="n">
        <f aca="false">YEAR($B1437)</f>
        <v>2025</v>
      </c>
      <c r="D1437" s="61" t="str">
        <f aca="false">"Q"&amp;ROUNDUP(MONTH($B1437)/3,0)</f>
        <v>Q1</v>
      </c>
      <c r="E1437" s="61" t="n">
        <f aca="false">MONTH($B1437)</f>
        <v>3</v>
      </c>
      <c r="F1437" s="61" t="str">
        <f aca="false">INDEX(Parametros!$I$5:$I$16,$E1437)</f>
        <v>Mar</v>
      </c>
      <c r="G1437" s="61" t="str">
        <f aca="false">TEXT($C1437,"0000")&amp;"-"&amp;TEXT($E1437,"00")</f>
        <v>2025-03</v>
      </c>
      <c r="H1437" s="61" t="str">
        <f aca="false">INDEX(Parametros!$C$71:$C$91,MATCH(TRIM(INDEX(Datos_Origen!$C$2:$C$2459,$Z1437)),Parametros!$B$71:$B$91,0))</f>
        <v>Centro</v>
      </c>
      <c r="I1437" s="61" t="str">
        <f aca="false">IF(TRIM($AD1437)="",INDEX(Parametros!$I$20:$I$24,MATCH($H1437,Parametros!$H$20:$H$24,0)),TRIM($AD1437))</f>
        <v>Cordoba</v>
      </c>
      <c r="J1437" s="61" t="str">
        <f aca="false">INDEX(Parametros!$C$95:$C$106,MATCH(TRIM(INDEX(Datos_Origen!$E$2:$E$2459,$Z1437)),Parametros!$B$95:$B$106,0))</f>
        <v>E-commerce</v>
      </c>
      <c r="K1437" s="61" t="str">
        <f aca="false">INDEX(Parametros!$C$48:$C$67,MATCH(TRIM(INDEX(Datos_Origen!$F$2:$F$2459,$Z1437)),Parametros!$B$48:$B$67,0))</f>
        <v>Audio</v>
      </c>
      <c r="L1437" s="61" t="str">
        <f aca="false">$K1437&amp;" "&amp;$C1437</f>
        <v>Audio 2025</v>
      </c>
      <c r="M1437" s="61" t="str">
        <f aca="false">TRIM(INDEX(Datos_Origen!$G$2:$G$2459,$Z1437))</f>
        <v>Parlante Bluetooth</v>
      </c>
      <c r="N1437" s="61" t="str">
        <f aca="false">$M1437&amp;" "&amp;$C1437</f>
        <v>Parlante Bluetooth 2025</v>
      </c>
      <c r="O1437" s="63" t="n">
        <f aca="false">IF(ISTEXT($AC1437),VALUE($AC1437),$AC1437)</f>
        <v>16</v>
      </c>
      <c r="P1437" s="64" t="n">
        <f aca="false">INDEX(Datos_Origen!$I$2:$I$2459,$Z1437)</f>
        <v>84.46</v>
      </c>
      <c r="Q1437" s="64" t="n">
        <f aca="false">INDEX(Datos_Origen!$J$2:$J$2459,$Z1437)</f>
        <v>49.47</v>
      </c>
      <c r="R1437" s="65" t="n">
        <f aca="false">ROUND($O1437*$P1437,2)</f>
        <v>1351.36</v>
      </c>
      <c r="S1437" s="65" t="n">
        <f aca="false">ROUND($O1437*$Q1437,2)</f>
        <v>791.52</v>
      </c>
      <c r="T1437" s="65" t="n">
        <f aca="false">ROUND($R1437*SUMIFS(Parametros!$E$28:$E$43,Parametros!$B$28:$B$43,$J1437,Parametros!$C$28:$C$43,$C1437,Parametros!$D$28:$D$43,$D1437),2)</f>
        <v>91.89</v>
      </c>
      <c r="U1437" s="65" t="n">
        <f aca="false">$R1437-$S1437-$T1437</f>
        <v>467.95</v>
      </c>
      <c r="V1437" s="66" t="n">
        <f aca="false">IFERROR($U1437/$R1437,0)</f>
        <v>0.346280783802984</v>
      </c>
      <c r="W1437" s="67" t="str">
        <f aca="false">IF(AND($V1437&gt;=Parametros!$C$8,$R1437&gt;=Parametros!$C$12),"Alta rentabilidad",IF(OR($V1437&lt;Parametros!$C$11,$R1437&lt;Parametros!$C$13),"Revisar","Estandar"))</f>
        <v>Estandar</v>
      </c>
      <c r="X1437" s="67" t="str">
        <f aca="false">IF(AND($J1437="E-commerce",IFERROR($T1437/$R1437,0)&gt;Parametros!$C$14),"Alerta","OK")</f>
        <v>Alerta</v>
      </c>
      <c r="Y1437" s="61" t="str">
        <f aca="false">IF($R1437&gt;=Parametros!$C$12,"Alto",IF($R1437&lt;Parametros!$C$13,"Bajo","Medio"))</f>
        <v>Medio</v>
      </c>
      <c r="Z1437" s="61" t="n">
        <v>2096</v>
      </c>
      <c r="AA1437" s="61" t="str">
        <f aca="false">IF(MATCH($A1437,Datos_Origen!$A$2:$A$2459,0)=$Z1437,"OK","REVISAR")</f>
        <v>OK</v>
      </c>
      <c r="AB1437" s="62" t="n">
        <f aca="false">INDEX(Datos_Origen!$B$2:$B$2459,$Z1437)</f>
        <v>45725</v>
      </c>
      <c r="AC1437" s="61" t="n">
        <f aca="false">INDEX(Datos_Origen!$H$2:$H$2459,$Z1437)</f>
        <v>16</v>
      </c>
      <c r="AD1437" s="61" t="str">
        <f aca="false">INDEX(Datos_Origen!$D$2:$D$2459,$Z1437)&amp;""</f>
        <v>Cordoba</v>
      </c>
    </row>
    <row r="1438" customFormat="false" ht="15" hidden="false" customHeight="false" outlineLevel="0" collapsed="false">
      <c r="A1438" s="61" t="n">
        <f aca="false">INDEX(Datos_Origen!$A$2:$A$2459,$Z1438)</f>
        <v>1437</v>
      </c>
      <c r="B1438" s="62" t="n">
        <f aca="false">IF(ISNUMBER($AB1438),$AB1438,IF(MID($AB1438,5,1)="-",DATE(VALUE(LEFT($AB1438,4)),VALUE(MID($AB1438,6,2)),VALUE(RIGHT($AB1438,2))),DATE(VALUE(RIGHT($AB1438,4)),VALUE(MID($AB1438,4,2)),VALUE(LEFT($AB1438,2)))))</f>
        <v>45732</v>
      </c>
      <c r="C1438" s="61" t="n">
        <f aca="false">YEAR($B1438)</f>
        <v>2025</v>
      </c>
      <c r="D1438" s="61" t="str">
        <f aca="false">"Q"&amp;ROUNDUP(MONTH($B1438)/3,0)</f>
        <v>Q1</v>
      </c>
      <c r="E1438" s="61" t="n">
        <f aca="false">MONTH($B1438)</f>
        <v>3</v>
      </c>
      <c r="F1438" s="61" t="str">
        <f aca="false">INDEX(Parametros!$I$5:$I$16,$E1438)</f>
        <v>Mar</v>
      </c>
      <c r="G1438" s="61" t="str">
        <f aca="false">TEXT($C1438,"0000")&amp;"-"&amp;TEXT($E1438,"00")</f>
        <v>2025-03</v>
      </c>
      <c r="H1438" s="61" t="str">
        <f aca="false">INDEX(Parametros!$C$71:$C$91,MATCH(TRIM(INDEX(Datos_Origen!$C$2:$C$2459,$Z1438)),Parametros!$B$71:$B$91,0))</f>
        <v>Centro</v>
      </c>
      <c r="I1438" s="61" t="str">
        <f aca="false">IF(TRIM($AD1438)="",INDEX(Parametros!$I$20:$I$24,MATCH($H1438,Parametros!$H$20:$H$24,0)),TRIM($AD1438))</f>
        <v>Cordoba</v>
      </c>
      <c r="J1438" s="61" t="str">
        <f aca="false">INDEX(Parametros!$C$95:$C$106,MATCH(TRIM(INDEX(Datos_Origen!$E$2:$E$2459,$Z1438)),Parametros!$B$95:$B$106,0))</f>
        <v>Tienda fisica</v>
      </c>
      <c r="K1438" s="61" t="str">
        <f aca="false">INDEX(Parametros!$C$48:$C$67,MATCH(TRIM(INDEX(Datos_Origen!$F$2:$F$2459,$Z1438)),Parametros!$B$48:$B$67,0))</f>
        <v>Almacenamiento</v>
      </c>
      <c r="L1438" s="61" t="str">
        <f aca="false">$K1438&amp;" "&amp;$C1438</f>
        <v>Almacenamiento 2025</v>
      </c>
      <c r="M1438" s="61" t="str">
        <f aca="false">TRIM(INDEX(Datos_Origen!$G$2:$G$2459,$Z1438))</f>
        <v>SSD Externo 1TB</v>
      </c>
      <c r="N1438" s="61" t="str">
        <f aca="false">$M1438&amp;" "&amp;$C1438</f>
        <v>SSD Externo 1TB 2025</v>
      </c>
      <c r="O1438" s="63" t="n">
        <f aca="false">IF(ISTEXT($AC1438),VALUE($AC1438),$AC1438)</f>
        <v>29</v>
      </c>
      <c r="P1438" s="64" t="n">
        <f aca="false">INDEX(Datos_Origen!$I$2:$I$2459,$Z1438)</f>
        <v>129.17</v>
      </c>
      <c r="Q1438" s="64" t="n">
        <f aca="false">INDEX(Datos_Origen!$J$2:$J$2459,$Z1438)</f>
        <v>78.33</v>
      </c>
      <c r="R1438" s="65" t="n">
        <f aca="false">ROUND($O1438*$P1438,2)</f>
        <v>3745.93</v>
      </c>
      <c r="S1438" s="65" t="n">
        <f aca="false">ROUND($O1438*$Q1438,2)</f>
        <v>2271.57</v>
      </c>
      <c r="T1438" s="65" t="n">
        <f aca="false">ROUND($R1438*SUMIFS(Parametros!$E$28:$E$43,Parametros!$B$28:$B$43,$J1438,Parametros!$C$28:$C$43,$C1438,Parametros!$D$28:$D$43,$D1438),2)</f>
        <v>48.7</v>
      </c>
      <c r="U1438" s="65" t="n">
        <f aca="false">$R1438-$S1438-$T1438</f>
        <v>1425.66</v>
      </c>
      <c r="V1438" s="66" t="n">
        <f aca="false">IFERROR($U1438/$R1438,0)</f>
        <v>0.380589065999632</v>
      </c>
      <c r="W1438" s="67" t="str">
        <f aca="false">IF(AND($V1438&gt;=Parametros!$C$8,$R1438&gt;=Parametros!$C$12),"Alta rentabilidad",IF(OR($V1438&lt;Parametros!$C$11,$R1438&lt;Parametros!$C$13),"Revisar","Estandar"))</f>
        <v>Alta rentabilidad</v>
      </c>
      <c r="X1438" s="67" t="str">
        <f aca="false">IF(AND($J1438="E-commerce",IFERROR($T1438/$R1438,0)&gt;Parametros!$C$14),"Alerta","OK")</f>
        <v>OK</v>
      </c>
      <c r="Y1438" s="61" t="str">
        <f aca="false">IF($R1438&gt;=Parametros!$C$12,"Alto",IF($R1438&lt;Parametros!$C$13,"Bajo","Medio"))</f>
        <v>Alto</v>
      </c>
      <c r="Z1438" s="61" t="n">
        <v>2357</v>
      </c>
      <c r="AA1438" s="61" t="str">
        <f aca="false">IF(MATCH($A1438,Datos_Origen!$A$2:$A$2459,0)=$Z1438,"OK","REVISAR")</f>
        <v>OK</v>
      </c>
      <c r="AB1438" s="62" t="n">
        <f aca="false">INDEX(Datos_Origen!$B$2:$B$2459,$Z1438)</f>
        <v>45732</v>
      </c>
      <c r="AC1438" s="61" t="n">
        <f aca="false">INDEX(Datos_Origen!$H$2:$H$2459,$Z1438)</f>
        <v>29</v>
      </c>
      <c r="AD1438" s="61" t="str">
        <f aca="false">INDEX(Datos_Origen!$D$2:$D$2459,$Z1438)&amp;""</f>
        <v>Cordoba</v>
      </c>
    </row>
    <row r="1439" customFormat="false" ht="15" hidden="false" customHeight="false" outlineLevel="0" collapsed="false">
      <c r="A1439" s="61" t="n">
        <f aca="false">INDEX(Datos_Origen!$A$2:$A$2459,$Z1439)</f>
        <v>1438</v>
      </c>
      <c r="B1439" s="62" t="n">
        <f aca="false">IF(ISNUMBER($AB1439),$AB1439,IF(MID($AB1439,5,1)="-",DATE(VALUE(LEFT($AB1439,4)),VALUE(MID($AB1439,6,2)),VALUE(RIGHT($AB1439,2))),DATE(VALUE(RIGHT($AB1439,4)),VALUE(MID($AB1439,4,2)),VALUE(LEFT($AB1439,2)))))</f>
        <v>45739</v>
      </c>
      <c r="C1439" s="61" t="n">
        <f aca="false">YEAR($B1439)</f>
        <v>2025</v>
      </c>
      <c r="D1439" s="61" t="str">
        <f aca="false">"Q"&amp;ROUNDUP(MONTH($B1439)/3,0)</f>
        <v>Q1</v>
      </c>
      <c r="E1439" s="61" t="n">
        <f aca="false">MONTH($B1439)</f>
        <v>3</v>
      </c>
      <c r="F1439" s="61" t="str">
        <f aca="false">INDEX(Parametros!$I$5:$I$16,$E1439)</f>
        <v>Mar</v>
      </c>
      <c r="G1439" s="61" t="str">
        <f aca="false">TEXT($C1439,"0000")&amp;"-"&amp;TEXT($E1439,"00")</f>
        <v>2025-03</v>
      </c>
      <c r="H1439" s="61" t="str">
        <f aca="false">INDEX(Parametros!$C$71:$C$91,MATCH(TRIM(INDEX(Datos_Origen!$C$2:$C$2459,$Z1439)),Parametros!$B$71:$B$91,0))</f>
        <v>Centro</v>
      </c>
      <c r="I1439" s="61" t="str">
        <f aca="false">IF(TRIM($AD1439)="",INDEX(Parametros!$I$20:$I$24,MATCH($H1439,Parametros!$H$20:$H$24,0)),TRIM($AD1439))</f>
        <v>Cordoba</v>
      </c>
      <c r="J1439" s="61" t="str">
        <f aca="false">INDEX(Parametros!$C$95:$C$106,MATCH(TRIM(INDEX(Datos_Origen!$E$2:$E$2459,$Z1439)),Parametros!$B$95:$B$106,0))</f>
        <v>E-commerce</v>
      </c>
      <c r="K1439" s="61" t="str">
        <f aca="false">INDEX(Parametros!$C$48:$C$67,MATCH(TRIM(INDEX(Datos_Origen!$F$2:$F$2459,$Z1439)),Parametros!$B$48:$B$67,0))</f>
        <v>Almacenamiento</v>
      </c>
      <c r="L1439" s="61" t="str">
        <f aca="false">$K1439&amp;" "&amp;$C1439</f>
        <v>Almacenamiento 2025</v>
      </c>
      <c r="M1439" s="61" t="str">
        <f aca="false">TRIM(INDEX(Datos_Origen!$G$2:$G$2459,$Z1439))</f>
        <v>SSD Externo 1TB</v>
      </c>
      <c r="N1439" s="61" t="str">
        <f aca="false">$M1439&amp;" "&amp;$C1439</f>
        <v>SSD Externo 1TB 2025</v>
      </c>
      <c r="O1439" s="63" t="n">
        <f aca="false">IF(ISTEXT($AC1439),VALUE($AC1439),$AC1439)</f>
        <v>23</v>
      </c>
      <c r="P1439" s="64" t="n">
        <f aca="false">INDEX(Datos_Origen!$I$2:$I$2459,$Z1439)</f>
        <v>129.17</v>
      </c>
      <c r="Q1439" s="64" t="n">
        <f aca="false">INDEX(Datos_Origen!$J$2:$J$2459,$Z1439)</f>
        <v>78.33</v>
      </c>
      <c r="R1439" s="65" t="n">
        <f aca="false">ROUND($O1439*$P1439,2)</f>
        <v>2970.91</v>
      </c>
      <c r="S1439" s="65" t="n">
        <f aca="false">ROUND($O1439*$Q1439,2)</f>
        <v>1801.59</v>
      </c>
      <c r="T1439" s="65" t="n">
        <f aca="false">ROUND($R1439*SUMIFS(Parametros!$E$28:$E$43,Parametros!$B$28:$B$43,$J1439,Parametros!$C$28:$C$43,$C1439,Parametros!$D$28:$D$43,$D1439),2)</f>
        <v>202.02</v>
      </c>
      <c r="U1439" s="65" t="n">
        <f aca="false">$R1439-$S1439-$T1439</f>
        <v>967.3</v>
      </c>
      <c r="V1439" s="66" t="n">
        <f aca="false">IFERROR($U1439/$R1439,0)</f>
        <v>0.325590475645509</v>
      </c>
      <c r="W1439" s="67" t="str">
        <f aca="false">IF(AND($V1439&gt;=Parametros!$C$8,$R1439&gt;=Parametros!$C$12),"Alta rentabilidad",IF(OR($V1439&lt;Parametros!$C$11,$R1439&lt;Parametros!$C$13),"Revisar","Estandar"))</f>
        <v>Estandar</v>
      </c>
      <c r="X1439" s="67" t="str">
        <f aca="false">IF(AND($J1439="E-commerce",IFERROR($T1439/$R1439,0)&gt;Parametros!$C$14),"Alerta","OK")</f>
        <v>Alerta</v>
      </c>
      <c r="Y1439" s="61" t="str">
        <f aca="false">IF($R1439&gt;=Parametros!$C$12,"Alto",IF($R1439&lt;Parametros!$C$13,"Bajo","Medio"))</f>
        <v>Medio</v>
      </c>
      <c r="Z1439" s="61" t="n">
        <v>387</v>
      </c>
      <c r="AA1439" s="61" t="str">
        <f aca="false">IF(MATCH($A1439,Datos_Origen!$A$2:$A$2459,0)=$Z1439,"OK","REVISAR")</f>
        <v>OK</v>
      </c>
      <c r="AB1439" s="62" t="n">
        <f aca="false">INDEX(Datos_Origen!$B$2:$B$2459,$Z1439)</f>
        <v>45739</v>
      </c>
      <c r="AC1439" s="61" t="n">
        <f aca="false">INDEX(Datos_Origen!$H$2:$H$2459,$Z1439)</f>
        <v>23</v>
      </c>
      <c r="AD1439" s="61" t="str">
        <f aca="false">INDEX(Datos_Origen!$D$2:$D$2459,$Z1439)&amp;""</f>
        <v>Cordoba</v>
      </c>
    </row>
    <row r="1440" customFormat="false" ht="15" hidden="false" customHeight="false" outlineLevel="0" collapsed="false">
      <c r="A1440" s="61" t="n">
        <f aca="false">INDEX(Datos_Origen!$A$2:$A$2459,$Z1440)</f>
        <v>1439</v>
      </c>
      <c r="B1440" s="62" t="n">
        <f aca="false">IF(ISNUMBER($AB1440),$AB1440,IF(MID($AB1440,5,1)="-",DATE(VALUE(LEFT($AB1440,4)),VALUE(MID($AB1440,6,2)),VALUE(RIGHT($AB1440,2))),DATE(VALUE(RIGHT($AB1440,4)),VALUE(MID($AB1440,4,2)),VALUE(LEFT($AB1440,2)))))</f>
        <v>45719</v>
      </c>
      <c r="C1440" s="61" t="n">
        <f aca="false">YEAR($B1440)</f>
        <v>2025</v>
      </c>
      <c r="D1440" s="61" t="str">
        <f aca="false">"Q"&amp;ROUNDUP(MONTH($B1440)/3,0)</f>
        <v>Q1</v>
      </c>
      <c r="E1440" s="61" t="n">
        <f aca="false">MONTH($B1440)</f>
        <v>3</v>
      </c>
      <c r="F1440" s="61" t="str">
        <f aca="false">INDEX(Parametros!$I$5:$I$16,$E1440)</f>
        <v>Mar</v>
      </c>
      <c r="G1440" s="61" t="str">
        <f aca="false">TEXT($C1440,"0000")&amp;"-"&amp;TEXT($E1440,"00")</f>
        <v>2025-03</v>
      </c>
      <c r="H1440" s="61" t="str">
        <f aca="false">INDEX(Parametros!$C$71:$C$91,MATCH(TRIM(INDEX(Datos_Origen!$C$2:$C$2459,$Z1440)),Parametros!$B$71:$B$91,0))</f>
        <v>Centro</v>
      </c>
      <c r="I1440" s="61" t="str">
        <f aca="false">IF(TRIM($AD1440)="",INDEX(Parametros!$I$20:$I$24,MATCH($H1440,Parametros!$H$20:$H$24,0)),TRIM($AD1440))</f>
        <v>Cordoba</v>
      </c>
      <c r="J1440" s="61" t="str">
        <f aca="false">INDEX(Parametros!$C$95:$C$106,MATCH(TRIM(INDEX(Datos_Origen!$E$2:$E$2459,$Z1440)),Parametros!$B$95:$B$106,0))</f>
        <v>Tienda fisica</v>
      </c>
      <c r="K1440" s="61" t="str">
        <f aca="false">INDEX(Parametros!$C$48:$C$67,MATCH(TRIM(INDEX(Datos_Origen!$F$2:$F$2459,$Z1440)),Parametros!$B$48:$B$67,0))</f>
        <v>Almacenamiento</v>
      </c>
      <c r="L1440" s="61" t="str">
        <f aca="false">$K1440&amp;" "&amp;$C1440</f>
        <v>Almacenamiento 2025</v>
      </c>
      <c r="M1440" s="61" t="str">
        <f aca="false">TRIM(INDEX(Datos_Origen!$G$2:$G$2459,$Z1440))</f>
        <v>Pendrive 256GB</v>
      </c>
      <c r="N1440" s="61" t="str">
        <f aca="false">$M1440&amp;" "&amp;$C1440</f>
        <v>Pendrive 256GB 2025</v>
      </c>
      <c r="O1440" s="63" t="n">
        <f aca="false">IF(ISTEXT($AC1440),VALUE($AC1440),$AC1440)</f>
        <v>31</v>
      </c>
      <c r="P1440" s="64" t="n">
        <f aca="false">INDEX(Datos_Origen!$I$2:$I$2459,$Z1440)</f>
        <v>34.78</v>
      </c>
      <c r="Q1440" s="64" t="n">
        <f aca="false">INDEX(Datos_Origen!$J$2:$J$2459,$Z1440)</f>
        <v>18.39</v>
      </c>
      <c r="R1440" s="65" t="n">
        <f aca="false">ROUND($O1440*$P1440,2)</f>
        <v>1078.18</v>
      </c>
      <c r="S1440" s="65" t="n">
        <f aca="false">ROUND($O1440*$Q1440,2)</f>
        <v>570.09</v>
      </c>
      <c r="T1440" s="65" t="n">
        <f aca="false">ROUND($R1440*SUMIFS(Parametros!$E$28:$E$43,Parametros!$B$28:$B$43,$J1440,Parametros!$C$28:$C$43,$C1440,Parametros!$D$28:$D$43,$D1440),2)</f>
        <v>14.02</v>
      </c>
      <c r="U1440" s="65" t="n">
        <f aca="false">$R1440-$S1440-$T1440</f>
        <v>494.07</v>
      </c>
      <c r="V1440" s="66" t="n">
        <f aca="false">IFERROR($U1440/$R1440,0)</f>
        <v>0.458244448978835</v>
      </c>
      <c r="W1440" s="67" t="str">
        <f aca="false">IF(AND($V1440&gt;=Parametros!$C$8,$R1440&gt;=Parametros!$C$12),"Alta rentabilidad",IF(OR($V1440&lt;Parametros!$C$11,$R1440&lt;Parametros!$C$13),"Revisar","Estandar"))</f>
        <v>Estandar</v>
      </c>
      <c r="X1440" s="67" t="str">
        <f aca="false">IF(AND($J1440="E-commerce",IFERROR($T1440/$R1440,0)&gt;Parametros!$C$14),"Alerta","OK")</f>
        <v>OK</v>
      </c>
      <c r="Y1440" s="61" t="str">
        <f aca="false">IF($R1440&gt;=Parametros!$C$12,"Alto",IF($R1440&lt;Parametros!$C$13,"Bajo","Medio"))</f>
        <v>Medio</v>
      </c>
      <c r="Z1440" s="61" t="n">
        <v>683</v>
      </c>
      <c r="AA1440" s="61" t="str">
        <f aca="false">IF(MATCH($A1440,Datos_Origen!$A$2:$A$2459,0)=$Z1440,"OK","REVISAR")</f>
        <v>OK</v>
      </c>
      <c r="AB1440" s="62" t="n">
        <f aca="false">INDEX(Datos_Origen!$B$2:$B$2459,$Z1440)</f>
        <v>45719</v>
      </c>
      <c r="AC1440" s="61" t="n">
        <f aca="false">INDEX(Datos_Origen!$H$2:$H$2459,$Z1440)</f>
        <v>31</v>
      </c>
      <c r="AD1440" s="61" t="str">
        <f aca="false">INDEX(Datos_Origen!$D$2:$D$2459,$Z1440)&amp;""</f>
        <v/>
      </c>
    </row>
    <row r="1441" customFormat="false" ht="15" hidden="false" customHeight="false" outlineLevel="0" collapsed="false">
      <c r="A1441" s="61" t="n">
        <f aca="false">INDEX(Datos_Origen!$A$2:$A$2459,$Z1441)</f>
        <v>1440</v>
      </c>
      <c r="B1441" s="62" t="n">
        <f aca="false">IF(ISNUMBER($AB1441),$AB1441,IF(MID($AB1441,5,1)="-",DATE(VALUE(LEFT($AB1441,4)),VALUE(MID($AB1441,6,2)),VALUE(RIGHT($AB1441,2))),DATE(VALUE(RIGHT($AB1441,4)),VALUE(MID($AB1441,4,2)),VALUE(LEFT($AB1441,2)))))</f>
        <v>45726</v>
      </c>
      <c r="C1441" s="61" t="n">
        <f aca="false">YEAR($B1441)</f>
        <v>2025</v>
      </c>
      <c r="D1441" s="61" t="str">
        <f aca="false">"Q"&amp;ROUNDUP(MONTH($B1441)/3,0)</f>
        <v>Q1</v>
      </c>
      <c r="E1441" s="61" t="n">
        <f aca="false">MONTH($B1441)</f>
        <v>3</v>
      </c>
      <c r="F1441" s="61" t="str">
        <f aca="false">INDEX(Parametros!$I$5:$I$16,$E1441)</f>
        <v>Mar</v>
      </c>
      <c r="G1441" s="61" t="str">
        <f aca="false">TEXT($C1441,"0000")&amp;"-"&amp;TEXT($E1441,"00")</f>
        <v>2025-03</v>
      </c>
      <c r="H1441" s="61" t="str">
        <f aca="false">INDEX(Parametros!$C$71:$C$91,MATCH(TRIM(INDEX(Datos_Origen!$C$2:$C$2459,$Z1441)),Parametros!$B$71:$B$91,0))</f>
        <v>Centro</v>
      </c>
      <c r="I1441" s="61" t="str">
        <f aca="false">IF(TRIM($AD1441)="",INDEX(Parametros!$I$20:$I$24,MATCH($H1441,Parametros!$H$20:$H$24,0)),TRIM($AD1441))</f>
        <v>Cordoba</v>
      </c>
      <c r="J1441" s="61" t="str">
        <f aca="false">INDEX(Parametros!$C$95:$C$106,MATCH(TRIM(INDEX(Datos_Origen!$E$2:$E$2459,$Z1441)),Parametros!$B$95:$B$106,0))</f>
        <v>E-commerce</v>
      </c>
      <c r="K1441" s="61" t="str">
        <f aca="false">INDEX(Parametros!$C$48:$C$67,MATCH(TRIM(INDEX(Datos_Origen!$F$2:$F$2459,$Z1441)),Parametros!$B$48:$B$67,0))</f>
        <v>Almacenamiento</v>
      </c>
      <c r="L1441" s="61" t="str">
        <f aca="false">$K1441&amp;" "&amp;$C1441</f>
        <v>Almacenamiento 2025</v>
      </c>
      <c r="M1441" s="61" t="str">
        <f aca="false">TRIM(INDEX(Datos_Origen!$G$2:$G$2459,$Z1441))</f>
        <v>Pendrive 256GB</v>
      </c>
      <c r="N1441" s="61" t="str">
        <f aca="false">$M1441&amp;" "&amp;$C1441</f>
        <v>Pendrive 256GB 2025</v>
      </c>
      <c r="O1441" s="63" t="n">
        <f aca="false">IF(ISTEXT($AC1441),VALUE($AC1441),$AC1441)</f>
        <v>20</v>
      </c>
      <c r="P1441" s="64" t="n">
        <f aca="false">INDEX(Datos_Origen!$I$2:$I$2459,$Z1441)</f>
        <v>34.78</v>
      </c>
      <c r="Q1441" s="64" t="n">
        <f aca="false">INDEX(Datos_Origen!$J$2:$J$2459,$Z1441)</f>
        <v>18.39</v>
      </c>
      <c r="R1441" s="65" t="n">
        <f aca="false">ROUND($O1441*$P1441,2)</f>
        <v>695.6</v>
      </c>
      <c r="S1441" s="65" t="n">
        <f aca="false">ROUND($O1441*$Q1441,2)</f>
        <v>367.8</v>
      </c>
      <c r="T1441" s="65" t="n">
        <f aca="false">ROUND($R1441*SUMIFS(Parametros!$E$28:$E$43,Parametros!$B$28:$B$43,$J1441,Parametros!$C$28:$C$43,$C1441,Parametros!$D$28:$D$43,$D1441),2)</f>
        <v>47.3</v>
      </c>
      <c r="U1441" s="65" t="n">
        <f aca="false">$R1441-$S1441-$T1441</f>
        <v>280.5</v>
      </c>
      <c r="V1441" s="66" t="n">
        <f aca="false">IFERROR($U1441/$R1441,0)</f>
        <v>0.403248993674526</v>
      </c>
      <c r="W1441" s="67" t="str">
        <f aca="false">IF(AND($V1441&gt;=Parametros!$C$8,$R1441&gt;=Parametros!$C$12),"Alta rentabilidad",IF(OR($V1441&lt;Parametros!$C$11,$R1441&lt;Parametros!$C$13),"Revisar","Estandar"))</f>
        <v>Estandar</v>
      </c>
      <c r="X1441" s="67" t="str">
        <f aca="false">IF(AND($J1441="E-commerce",IFERROR($T1441/$R1441,0)&gt;Parametros!$C$14),"Alerta","OK")</f>
        <v>Alerta</v>
      </c>
      <c r="Y1441" s="61" t="str">
        <f aca="false">IF($R1441&gt;=Parametros!$C$12,"Alto",IF($R1441&lt;Parametros!$C$13,"Bajo","Medio"))</f>
        <v>Medio</v>
      </c>
      <c r="Z1441" s="61" t="n">
        <v>802</v>
      </c>
      <c r="AA1441" s="61" t="str">
        <f aca="false">IF(MATCH($A1441,Datos_Origen!$A$2:$A$2459,0)=$Z1441,"OK","REVISAR")</f>
        <v>OK</v>
      </c>
      <c r="AB1441" s="62" t="n">
        <f aca="false">INDEX(Datos_Origen!$B$2:$B$2459,$Z1441)</f>
        <v>45726</v>
      </c>
      <c r="AC1441" s="61" t="n">
        <f aca="false">INDEX(Datos_Origen!$H$2:$H$2459,$Z1441)</f>
        <v>20</v>
      </c>
      <c r="AD1441" s="61" t="str">
        <f aca="false">INDEX(Datos_Origen!$D$2:$D$2459,$Z1441)&amp;""</f>
        <v>Cordoba</v>
      </c>
    </row>
    <row r="1442" customFormat="false" ht="15" hidden="false" customHeight="false" outlineLevel="0" collapsed="false">
      <c r="A1442" s="61" t="n">
        <f aca="false">INDEX(Datos_Origen!$A$2:$A$2459,$Z1442)</f>
        <v>1441</v>
      </c>
      <c r="B1442" s="62" t="n">
        <f aca="false">IF(ISNUMBER($AB1442),$AB1442,IF(MID($AB1442,5,1)="-",DATE(VALUE(LEFT($AB1442,4)),VALUE(MID($AB1442,6,2)),VALUE(RIGHT($AB1442,2))),DATE(VALUE(RIGHT($AB1442,4)),VALUE(MID($AB1442,4,2)),VALUE(LEFT($AB1442,2)))))</f>
        <v>45733</v>
      </c>
      <c r="C1442" s="61" t="n">
        <f aca="false">YEAR($B1442)</f>
        <v>2025</v>
      </c>
      <c r="D1442" s="61" t="str">
        <f aca="false">"Q"&amp;ROUNDUP(MONTH($B1442)/3,0)</f>
        <v>Q1</v>
      </c>
      <c r="E1442" s="61" t="n">
        <f aca="false">MONTH($B1442)</f>
        <v>3</v>
      </c>
      <c r="F1442" s="61" t="str">
        <f aca="false">INDEX(Parametros!$I$5:$I$16,$E1442)</f>
        <v>Mar</v>
      </c>
      <c r="G1442" s="61" t="str">
        <f aca="false">TEXT($C1442,"0000")&amp;"-"&amp;TEXT($E1442,"00")</f>
        <v>2025-03</v>
      </c>
      <c r="H1442" s="61" t="str">
        <f aca="false">INDEX(Parametros!$C$71:$C$91,MATCH(TRIM(INDEX(Datos_Origen!$C$2:$C$2459,$Z1442)),Parametros!$B$71:$B$91,0))</f>
        <v>Litoral</v>
      </c>
      <c r="I1442" s="61" t="str">
        <f aca="false">IF(TRIM($AD1442)="",INDEX(Parametros!$I$20:$I$24,MATCH($H1442,Parametros!$H$20:$H$24,0)),TRIM($AD1442))</f>
        <v>Rosario</v>
      </c>
      <c r="J1442" s="61" t="str">
        <f aca="false">INDEX(Parametros!$C$95:$C$106,MATCH(TRIM(INDEX(Datos_Origen!$E$2:$E$2459,$Z1442)),Parametros!$B$95:$B$106,0))</f>
        <v>Tienda fisica</v>
      </c>
      <c r="K1442" s="61" t="str">
        <f aca="false">INDEX(Parametros!$C$48:$C$67,MATCH(TRIM(INDEX(Datos_Origen!$F$2:$F$2459,$Z1442)),Parametros!$B$48:$B$67,0))</f>
        <v>Computacion</v>
      </c>
      <c r="L1442" s="61" t="str">
        <f aca="false">$K1442&amp;" "&amp;$C1442</f>
        <v>Computacion 2025</v>
      </c>
      <c r="M1442" s="61" t="str">
        <f aca="false">TRIM(INDEX(Datos_Origen!$G$2:$G$2459,$Z1442))</f>
        <v>Laptop Pro 15</v>
      </c>
      <c r="N1442" s="61" t="str">
        <f aca="false">$M1442&amp;" "&amp;$C1442</f>
        <v>Laptop Pro 15 2025</v>
      </c>
      <c r="O1442" s="63" t="n">
        <f aca="false">IF(ISTEXT($AC1442),VALUE($AC1442),$AC1442)</f>
        <v>8</v>
      </c>
      <c r="P1442" s="64" t="n">
        <f aca="false">INDEX(Datos_Origen!$I$2:$I$2459,$Z1442)</f>
        <v>1155.06</v>
      </c>
      <c r="Q1442" s="64" t="n">
        <f aca="false">INDEX(Datos_Origen!$J$2:$J$2459,$Z1442)</f>
        <v>766.32</v>
      </c>
      <c r="R1442" s="65" t="n">
        <f aca="false">ROUND($O1442*$P1442,2)</f>
        <v>9240.48</v>
      </c>
      <c r="S1442" s="65" t="n">
        <f aca="false">ROUND($O1442*$Q1442,2)</f>
        <v>6130.56</v>
      </c>
      <c r="T1442" s="65" t="n">
        <f aca="false">ROUND($R1442*SUMIFS(Parametros!$E$28:$E$43,Parametros!$B$28:$B$43,$J1442,Parametros!$C$28:$C$43,$C1442,Parametros!$D$28:$D$43,$D1442),2)</f>
        <v>120.13</v>
      </c>
      <c r="U1442" s="65" t="n">
        <f aca="false">$R1442-$S1442-$T1442</f>
        <v>2989.79</v>
      </c>
      <c r="V1442" s="66" t="n">
        <f aca="false">IFERROR($U1442/$R1442,0)</f>
        <v>0.323553538344328</v>
      </c>
      <c r="W1442" s="67" t="str">
        <f aca="false">IF(AND($V1442&gt;=Parametros!$C$8,$R1442&gt;=Parametros!$C$12),"Alta rentabilidad",IF(OR($V1442&lt;Parametros!$C$11,$R1442&lt;Parametros!$C$13),"Revisar","Estandar"))</f>
        <v>Estandar</v>
      </c>
      <c r="X1442" s="67" t="str">
        <f aca="false">IF(AND($J1442="E-commerce",IFERROR($T1442/$R1442,0)&gt;Parametros!$C$14),"Alerta","OK")</f>
        <v>OK</v>
      </c>
      <c r="Y1442" s="61" t="str">
        <f aca="false">IF($R1442&gt;=Parametros!$C$12,"Alto",IF($R1442&lt;Parametros!$C$13,"Bajo","Medio"))</f>
        <v>Alto</v>
      </c>
      <c r="Z1442" s="61" t="n">
        <v>1156</v>
      </c>
      <c r="AA1442" s="61" t="str">
        <f aca="false">IF(MATCH($A1442,Datos_Origen!$A$2:$A$2459,0)=$Z1442,"OK","REVISAR")</f>
        <v>OK</v>
      </c>
      <c r="AB1442" s="62" t="n">
        <f aca="false">INDEX(Datos_Origen!$B$2:$B$2459,$Z1442)</f>
        <v>45733</v>
      </c>
      <c r="AC1442" s="61" t="n">
        <f aca="false">INDEX(Datos_Origen!$H$2:$H$2459,$Z1442)</f>
        <v>8</v>
      </c>
      <c r="AD1442" s="61" t="str">
        <f aca="false">INDEX(Datos_Origen!$D$2:$D$2459,$Z1442)&amp;""</f>
        <v>Rosario</v>
      </c>
    </row>
    <row r="1443" customFormat="false" ht="15" hidden="false" customHeight="false" outlineLevel="0" collapsed="false">
      <c r="A1443" s="61" t="n">
        <f aca="false">INDEX(Datos_Origen!$A$2:$A$2459,$Z1443)</f>
        <v>1442</v>
      </c>
      <c r="B1443" s="62" t="n">
        <f aca="false">IF(ISNUMBER($AB1443),$AB1443,IF(MID($AB1443,5,1)="-",DATE(VALUE(LEFT($AB1443,4)),VALUE(MID($AB1443,6,2)),VALUE(RIGHT($AB1443,2))),DATE(VALUE(RIGHT($AB1443,4)),VALUE(MID($AB1443,4,2)),VALUE(LEFT($AB1443,2)))))</f>
        <v>45740</v>
      </c>
      <c r="C1443" s="61" t="n">
        <f aca="false">YEAR($B1443)</f>
        <v>2025</v>
      </c>
      <c r="D1443" s="61" t="str">
        <f aca="false">"Q"&amp;ROUNDUP(MONTH($B1443)/3,0)</f>
        <v>Q1</v>
      </c>
      <c r="E1443" s="61" t="n">
        <f aca="false">MONTH($B1443)</f>
        <v>3</v>
      </c>
      <c r="F1443" s="61" t="str">
        <f aca="false">INDEX(Parametros!$I$5:$I$16,$E1443)</f>
        <v>Mar</v>
      </c>
      <c r="G1443" s="61" t="str">
        <f aca="false">TEXT($C1443,"0000")&amp;"-"&amp;TEXT($E1443,"00")</f>
        <v>2025-03</v>
      </c>
      <c r="H1443" s="61" t="str">
        <f aca="false">INDEX(Parametros!$C$71:$C$91,MATCH(TRIM(INDEX(Datos_Origen!$C$2:$C$2459,$Z1443)),Parametros!$B$71:$B$91,0))</f>
        <v>Litoral</v>
      </c>
      <c r="I1443" s="61" t="str">
        <f aca="false">IF(TRIM($AD1443)="",INDEX(Parametros!$I$20:$I$24,MATCH($H1443,Parametros!$H$20:$H$24,0)),TRIM($AD1443))</f>
        <v>Rosario</v>
      </c>
      <c r="J1443" s="61" t="str">
        <f aca="false">INDEX(Parametros!$C$95:$C$106,MATCH(TRIM(INDEX(Datos_Origen!$E$2:$E$2459,$Z1443)),Parametros!$B$95:$B$106,0))</f>
        <v>E-commerce</v>
      </c>
      <c r="K1443" s="61" t="str">
        <f aca="false">INDEX(Parametros!$C$48:$C$67,MATCH(TRIM(INDEX(Datos_Origen!$F$2:$F$2459,$Z1443)),Parametros!$B$48:$B$67,0))</f>
        <v>Computacion</v>
      </c>
      <c r="L1443" s="61" t="str">
        <f aca="false">$K1443&amp;" "&amp;$C1443</f>
        <v>Computacion 2025</v>
      </c>
      <c r="M1443" s="61" t="str">
        <f aca="false">TRIM(INDEX(Datos_Origen!$G$2:$G$2459,$Z1443))</f>
        <v>Laptop Pro 15</v>
      </c>
      <c r="N1443" s="61" t="str">
        <f aca="false">$M1443&amp;" "&amp;$C1443</f>
        <v>Laptop Pro 15 2025</v>
      </c>
      <c r="O1443" s="63" t="n">
        <f aca="false">IF(ISTEXT($AC1443),VALUE($AC1443),$AC1443)</f>
        <v>6</v>
      </c>
      <c r="P1443" s="64" t="n">
        <f aca="false">INDEX(Datos_Origen!$I$2:$I$2459,$Z1443)</f>
        <v>1155.06</v>
      </c>
      <c r="Q1443" s="64" t="n">
        <f aca="false">INDEX(Datos_Origen!$J$2:$J$2459,$Z1443)</f>
        <v>766.32</v>
      </c>
      <c r="R1443" s="65" t="n">
        <f aca="false">ROUND($O1443*$P1443,2)</f>
        <v>6930.36</v>
      </c>
      <c r="S1443" s="65" t="n">
        <f aca="false">ROUND($O1443*$Q1443,2)</f>
        <v>4597.92</v>
      </c>
      <c r="T1443" s="65" t="n">
        <f aca="false">ROUND($R1443*SUMIFS(Parametros!$E$28:$E$43,Parametros!$B$28:$B$43,$J1443,Parametros!$C$28:$C$43,$C1443,Parametros!$D$28:$D$43,$D1443),2)</f>
        <v>471.26</v>
      </c>
      <c r="U1443" s="65" t="n">
        <f aca="false">$R1443-$S1443-$T1443</f>
        <v>1861.18</v>
      </c>
      <c r="V1443" s="66" t="n">
        <f aca="false">IFERROR($U1443/$R1443,0)</f>
        <v>0.268554591680663</v>
      </c>
      <c r="W1443" s="67" t="str">
        <f aca="false">IF(AND($V1443&gt;=Parametros!$C$8,$R1443&gt;=Parametros!$C$12),"Alta rentabilidad",IF(OR($V1443&lt;Parametros!$C$11,$R1443&lt;Parametros!$C$13),"Revisar","Estandar"))</f>
        <v>Revisar</v>
      </c>
      <c r="X1443" s="67" t="str">
        <f aca="false">IF(AND($J1443="E-commerce",IFERROR($T1443/$R1443,0)&gt;Parametros!$C$14),"Alerta","OK")</f>
        <v>Alerta</v>
      </c>
      <c r="Y1443" s="61" t="str">
        <f aca="false">IF($R1443&gt;=Parametros!$C$12,"Alto",IF($R1443&lt;Parametros!$C$13,"Bajo","Medio"))</f>
        <v>Alto</v>
      </c>
      <c r="Z1443" s="61" t="n">
        <v>2433</v>
      </c>
      <c r="AA1443" s="61" t="str">
        <f aca="false">IF(MATCH($A1443,Datos_Origen!$A$2:$A$2459,0)=$Z1443,"OK","REVISAR")</f>
        <v>OK</v>
      </c>
      <c r="AB1443" s="62" t="n">
        <f aca="false">INDEX(Datos_Origen!$B$2:$B$2459,$Z1443)</f>
        <v>45740</v>
      </c>
      <c r="AC1443" s="61" t="n">
        <f aca="false">INDEX(Datos_Origen!$H$2:$H$2459,$Z1443)</f>
        <v>6</v>
      </c>
      <c r="AD1443" s="61" t="str">
        <f aca="false">INDEX(Datos_Origen!$D$2:$D$2459,$Z1443)&amp;""</f>
        <v>Rosario</v>
      </c>
    </row>
    <row r="1444" customFormat="false" ht="15" hidden="false" customHeight="false" outlineLevel="0" collapsed="false">
      <c r="A1444" s="61" t="n">
        <f aca="false">INDEX(Datos_Origen!$A$2:$A$2459,$Z1444)</f>
        <v>1443</v>
      </c>
      <c r="B1444" s="62" t="n">
        <f aca="false">IF(ISNUMBER($AB1444),$AB1444,IF(MID($AB1444,5,1)="-",DATE(VALUE(LEFT($AB1444,4)),VALUE(MID($AB1444,6,2)),VALUE(RIGHT($AB1444,2))),DATE(VALUE(RIGHT($AB1444,4)),VALUE(MID($AB1444,4,2)),VALUE(LEFT($AB1444,2)))))</f>
        <v>45720</v>
      </c>
      <c r="C1444" s="61" t="n">
        <f aca="false">YEAR($B1444)</f>
        <v>2025</v>
      </c>
      <c r="D1444" s="61" t="str">
        <f aca="false">"Q"&amp;ROUNDUP(MONTH($B1444)/3,0)</f>
        <v>Q1</v>
      </c>
      <c r="E1444" s="61" t="n">
        <f aca="false">MONTH($B1444)</f>
        <v>3</v>
      </c>
      <c r="F1444" s="61" t="str">
        <f aca="false">INDEX(Parametros!$I$5:$I$16,$E1444)</f>
        <v>Mar</v>
      </c>
      <c r="G1444" s="61" t="str">
        <f aca="false">TEXT($C1444,"0000")&amp;"-"&amp;TEXT($E1444,"00")</f>
        <v>2025-03</v>
      </c>
      <c r="H1444" s="61" t="str">
        <f aca="false">INDEX(Parametros!$C$71:$C$91,MATCH(TRIM(INDEX(Datos_Origen!$C$2:$C$2459,$Z1444)),Parametros!$B$71:$B$91,0))</f>
        <v>Litoral</v>
      </c>
      <c r="I1444" s="61" t="str">
        <f aca="false">IF(TRIM($AD1444)="",INDEX(Parametros!$I$20:$I$24,MATCH($H1444,Parametros!$H$20:$H$24,0)),TRIM($AD1444))</f>
        <v>Rosario</v>
      </c>
      <c r="J1444" s="61" t="str">
        <f aca="false">INDEX(Parametros!$C$95:$C$106,MATCH(TRIM(INDEX(Datos_Origen!$E$2:$E$2459,$Z1444)),Parametros!$B$95:$B$106,0))</f>
        <v>Tienda fisica</v>
      </c>
      <c r="K1444" s="61" t="str">
        <f aca="false">INDEX(Parametros!$C$48:$C$67,MATCH(TRIM(INDEX(Datos_Origen!$F$2:$F$2459,$Z1444)),Parametros!$B$48:$B$67,0))</f>
        <v>Computacion</v>
      </c>
      <c r="L1444" s="61" t="str">
        <f aca="false">$K1444&amp;" "&amp;$C1444</f>
        <v>Computacion 2025</v>
      </c>
      <c r="M1444" s="61" t="str">
        <f aca="false">TRIM(INDEX(Datos_Origen!$G$2:$G$2459,$Z1444))</f>
        <v>Monitor 4K 27</v>
      </c>
      <c r="N1444" s="61" t="str">
        <f aca="false">$M1444&amp;" "&amp;$C1444</f>
        <v>Monitor 4K 27 2025</v>
      </c>
      <c r="O1444" s="63" t="n">
        <f aca="false">IF(ISTEXT($AC1444),VALUE($AC1444),$AC1444)</f>
        <v>9</v>
      </c>
      <c r="P1444" s="64" t="n">
        <f aca="false">INDEX(Datos_Origen!$I$2:$I$2459,$Z1444)</f>
        <v>433.15</v>
      </c>
      <c r="Q1444" s="64" t="n">
        <f aca="false">INDEX(Datos_Origen!$J$2:$J$2459,$Z1444)</f>
        <v>280.42</v>
      </c>
      <c r="R1444" s="65" t="n">
        <f aca="false">ROUND($O1444*$P1444,2)</f>
        <v>3898.35</v>
      </c>
      <c r="S1444" s="65" t="n">
        <f aca="false">ROUND($O1444*$Q1444,2)</f>
        <v>2523.78</v>
      </c>
      <c r="T1444" s="65" t="n">
        <f aca="false">ROUND($R1444*SUMIFS(Parametros!$E$28:$E$43,Parametros!$B$28:$B$43,$J1444,Parametros!$C$28:$C$43,$C1444,Parametros!$D$28:$D$43,$D1444),2)</f>
        <v>50.68</v>
      </c>
      <c r="U1444" s="65" t="n">
        <f aca="false">$R1444-$S1444-$T1444</f>
        <v>1323.89</v>
      </c>
      <c r="V1444" s="66" t="n">
        <f aca="false">IFERROR($U1444/$R1444,0)</f>
        <v>0.339602652404222</v>
      </c>
      <c r="W1444" s="67" t="str">
        <f aca="false">IF(AND($V1444&gt;=Parametros!$C$8,$R1444&gt;=Parametros!$C$12),"Alta rentabilidad",IF(OR($V1444&lt;Parametros!$C$11,$R1444&lt;Parametros!$C$13),"Revisar","Estandar"))</f>
        <v>Estandar</v>
      </c>
      <c r="X1444" s="67" t="str">
        <f aca="false">IF(AND($J1444="E-commerce",IFERROR($T1444/$R1444,0)&gt;Parametros!$C$14),"Alerta","OK")</f>
        <v>OK</v>
      </c>
      <c r="Y1444" s="61" t="str">
        <f aca="false">IF($R1444&gt;=Parametros!$C$12,"Alto",IF($R1444&lt;Parametros!$C$13,"Bajo","Medio"))</f>
        <v>Alto</v>
      </c>
      <c r="Z1444" s="61" t="n">
        <v>586</v>
      </c>
      <c r="AA1444" s="61" t="str">
        <f aca="false">IF(MATCH($A1444,Datos_Origen!$A$2:$A$2459,0)=$Z1444,"OK","REVISAR")</f>
        <v>OK</v>
      </c>
      <c r="AB1444" s="61" t="str">
        <f aca="false">INDEX(Datos_Origen!$B$2:$B$2459,$Z1444)</f>
        <v>2025-03-04</v>
      </c>
      <c r="AC1444" s="61" t="n">
        <f aca="false">INDEX(Datos_Origen!$H$2:$H$2459,$Z1444)</f>
        <v>9</v>
      </c>
      <c r="AD1444" s="61" t="str">
        <f aca="false">INDEX(Datos_Origen!$D$2:$D$2459,$Z1444)&amp;""</f>
        <v>Rosario</v>
      </c>
    </row>
    <row r="1445" customFormat="false" ht="15" hidden="false" customHeight="false" outlineLevel="0" collapsed="false">
      <c r="A1445" s="61" t="n">
        <f aca="false">INDEX(Datos_Origen!$A$2:$A$2459,$Z1445)</f>
        <v>1444</v>
      </c>
      <c r="B1445" s="62" t="n">
        <f aca="false">IF(ISNUMBER($AB1445),$AB1445,IF(MID($AB1445,5,1)="-",DATE(VALUE(LEFT($AB1445,4)),VALUE(MID($AB1445,6,2)),VALUE(RIGHT($AB1445,2))),DATE(VALUE(RIGHT($AB1445,4)),VALUE(MID($AB1445,4,2)),VALUE(LEFT($AB1445,2)))))</f>
        <v>45727</v>
      </c>
      <c r="C1445" s="61" t="n">
        <f aca="false">YEAR($B1445)</f>
        <v>2025</v>
      </c>
      <c r="D1445" s="61" t="str">
        <f aca="false">"Q"&amp;ROUNDUP(MONTH($B1445)/3,0)</f>
        <v>Q1</v>
      </c>
      <c r="E1445" s="61" t="n">
        <f aca="false">MONTH($B1445)</f>
        <v>3</v>
      </c>
      <c r="F1445" s="61" t="str">
        <f aca="false">INDEX(Parametros!$I$5:$I$16,$E1445)</f>
        <v>Mar</v>
      </c>
      <c r="G1445" s="61" t="str">
        <f aca="false">TEXT($C1445,"0000")&amp;"-"&amp;TEXT($E1445,"00")</f>
        <v>2025-03</v>
      </c>
      <c r="H1445" s="61" t="str">
        <f aca="false">INDEX(Parametros!$C$71:$C$91,MATCH(TRIM(INDEX(Datos_Origen!$C$2:$C$2459,$Z1445)),Parametros!$B$71:$B$91,0))</f>
        <v>Litoral</v>
      </c>
      <c r="I1445" s="61" t="str">
        <f aca="false">IF(TRIM($AD1445)="",INDEX(Parametros!$I$20:$I$24,MATCH($H1445,Parametros!$H$20:$H$24,0)),TRIM($AD1445))</f>
        <v>Rosario</v>
      </c>
      <c r="J1445" s="61" t="str">
        <f aca="false">INDEX(Parametros!$C$95:$C$106,MATCH(TRIM(INDEX(Datos_Origen!$E$2:$E$2459,$Z1445)),Parametros!$B$95:$B$106,0))</f>
        <v>E-commerce</v>
      </c>
      <c r="K1445" s="61" t="str">
        <f aca="false">INDEX(Parametros!$C$48:$C$67,MATCH(TRIM(INDEX(Datos_Origen!$F$2:$F$2459,$Z1445)),Parametros!$B$48:$B$67,0))</f>
        <v>Computacion</v>
      </c>
      <c r="L1445" s="61" t="str">
        <f aca="false">$K1445&amp;" "&amp;$C1445</f>
        <v>Computacion 2025</v>
      </c>
      <c r="M1445" s="61" t="str">
        <f aca="false">TRIM(INDEX(Datos_Origen!$G$2:$G$2459,$Z1445))</f>
        <v>Monitor 4K 27</v>
      </c>
      <c r="N1445" s="61" t="str">
        <f aca="false">$M1445&amp;" "&amp;$C1445</f>
        <v>Monitor 4K 27 2025</v>
      </c>
      <c r="O1445" s="63" t="n">
        <f aca="false">IF(ISTEXT($AC1445),VALUE($AC1445),$AC1445)</f>
        <v>5</v>
      </c>
      <c r="P1445" s="64" t="n">
        <f aca="false">INDEX(Datos_Origen!$I$2:$I$2459,$Z1445)</f>
        <v>433.15</v>
      </c>
      <c r="Q1445" s="64" t="n">
        <f aca="false">INDEX(Datos_Origen!$J$2:$J$2459,$Z1445)</f>
        <v>280.42</v>
      </c>
      <c r="R1445" s="65" t="n">
        <f aca="false">ROUND($O1445*$P1445,2)</f>
        <v>2165.75</v>
      </c>
      <c r="S1445" s="65" t="n">
        <f aca="false">ROUND($O1445*$Q1445,2)</f>
        <v>1402.1</v>
      </c>
      <c r="T1445" s="65" t="n">
        <f aca="false">ROUND($R1445*SUMIFS(Parametros!$E$28:$E$43,Parametros!$B$28:$B$43,$J1445,Parametros!$C$28:$C$43,$C1445,Parametros!$D$28:$D$43,$D1445),2)</f>
        <v>147.27</v>
      </c>
      <c r="U1445" s="65" t="n">
        <f aca="false">$R1445-$S1445-$T1445</f>
        <v>616.38</v>
      </c>
      <c r="V1445" s="66" t="n">
        <f aca="false">IFERROR($U1445/$R1445,0)</f>
        <v>0.284603486090269</v>
      </c>
      <c r="W1445" s="67" t="str">
        <f aca="false">IF(AND($V1445&gt;=Parametros!$C$8,$R1445&gt;=Parametros!$C$12),"Alta rentabilidad",IF(OR($V1445&lt;Parametros!$C$11,$R1445&lt;Parametros!$C$13),"Revisar","Estandar"))</f>
        <v>Estandar</v>
      </c>
      <c r="X1445" s="67" t="str">
        <f aca="false">IF(AND($J1445="E-commerce",IFERROR($T1445/$R1445,0)&gt;Parametros!$C$14),"Alerta","OK")</f>
        <v>Alerta</v>
      </c>
      <c r="Y1445" s="61" t="str">
        <f aca="false">IF($R1445&gt;=Parametros!$C$12,"Alto",IF($R1445&lt;Parametros!$C$13,"Bajo","Medio"))</f>
        <v>Medio</v>
      </c>
      <c r="Z1445" s="61" t="n">
        <v>556</v>
      </c>
      <c r="AA1445" s="61" t="str">
        <f aca="false">IF(MATCH($A1445,Datos_Origen!$A$2:$A$2459,0)=$Z1445,"OK","REVISAR")</f>
        <v>OK</v>
      </c>
      <c r="AB1445" s="61" t="str">
        <f aca="false">INDEX(Datos_Origen!$B$2:$B$2459,$Z1445)</f>
        <v>11/03/2025</v>
      </c>
      <c r="AC1445" s="61" t="n">
        <f aca="false">INDEX(Datos_Origen!$H$2:$H$2459,$Z1445)</f>
        <v>5</v>
      </c>
      <c r="AD1445" s="61" t="str">
        <f aca="false">INDEX(Datos_Origen!$D$2:$D$2459,$Z1445)&amp;""</f>
        <v>Rosario</v>
      </c>
    </row>
    <row r="1446" customFormat="false" ht="15" hidden="false" customHeight="false" outlineLevel="0" collapsed="false">
      <c r="A1446" s="61" t="n">
        <f aca="false">INDEX(Datos_Origen!$A$2:$A$2459,$Z1446)</f>
        <v>1445</v>
      </c>
      <c r="B1446" s="62" t="n">
        <f aca="false">IF(ISNUMBER($AB1446),$AB1446,IF(MID($AB1446,5,1)="-",DATE(VALUE(LEFT($AB1446,4)),VALUE(MID($AB1446,6,2)),VALUE(RIGHT($AB1446,2))),DATE(VALUE(RIGHT($AB1446,4)),VALUE(MID($AB1446,4,2)),VALUE(LEFT($AB1446,2)))))</f>
        <v>45734</v>
      </c>
      <c r="C1446" s="61" t="n">
        <f aca="false">YEAR($B1446)</f>
        <v>2025</v>
      </c>
      <c r="D1446" s="61" t="str">
        <f aca="false">"Q"&amp;ROUNDUP(MONTH($B1446)/3,0)</f>
        <v>Q1</v>
      </c>
      <c r="E1446" s="61" t="n">
        <f aca="false">MONTH($B1446)</f>
        <v>3</v>
      </c>
      <c r="F1446" s="61" t="str">
        <f aca="false">INDEX(Parametros!$I$5:$I$16,$E1446)</f>
        <v>Mar</v>
      </c>
      <c r="G1446" s="61" t="str">
        <f aca="false">TEXT($C1446,"0000")&amp;"-"&amp;TEXT($E1446,"00")</f>
        <v>2025-03</v>
      </c>
      <c r="H1446" s="61" t="str">
        <f aca="false">INDEX(Parametros!$C$71:$C$91,MATCH(TRIM(INDEX(Datos_Origen!$C$2:$C$2459,$Z1446)),Parametros!$B$71:$B$91,0))</f>
        <v>Litoral</v>
      </c>
      <c r="I1446" s="61" t="str">
        <f aca="false">IF(TRIM($AD1446)="",INDEX(Parametros!$I$20:$I$24,MATCH($H1446,Parametros!$H$20:$H$24,0)),TRIM($AD1446))</f>
        <v>Rosario</v>
      </c>
      <c r="J1446" s="61" t="str">
        <f aca="false">INDEX(Parametros!$C$95:$C$106,MATCH(TRIM(INDEX(Datos_Origen!$E$2:$E$2459,$Z1446)),Parametros!$B$95:$B$106,0))</f>
        <v>Tienda fisica</v>
      </c>
      <c r="K1446" s="61" t="str">
        <f aca="false">INDEX(Parametros!$C$48:$C$67,MATCH(TRIM(INDEX(Datos_Origen!$F$2:$F$2459,$Z1446)),Parametros!$B$48:$B$67,0))</f>
        <v>Computacion</v>
      </c>
      <c r="L1446" s="61" t="str">
        <f aca="false">$K1446&amp;" "&amp;$C1446</f>
        <v>Computacion 2025</v>
      </c>
      <c r="M1446" s="61" t="str">
        <f aca="false">TRIM(INDEX(Datos_Origen!$G$2:$G$2459,$Z1446))</f>
        <v>PC Gamer Ryzen</v>
      </c>
      <c r="N1446" s="61" t="str">
        <f aca="false">$M1446&amp;" "&amp;$C1446</f>
        <v>PC Gamer Ryzen 2025</v>
      </c>
      <c r="O1446" s="63" t="n">
        <f aca="false">IF(ISTEXT($AC1446),VALUE($AC1446),$AC1446)</f>
        <v>7</v>
      </c>
      <c r="P1446" s="64" t="n">
        <f aca="false">INDEX(Datos_Origen!$I$2:$I$2459,$Z1446)</f>
        <v>1588.21</v>
      </c>
      <c r="Q1446" s="64" t="n">
        <f aca="false">INDEX(Datos_Origen!$J$2:$J$2459,$Z1446)</f>
        <v>1155.66</v>
      </c>
      <c r="R1446" s="65" t="n">
        <f aca="false">ROUND($O1446*$P1446,2)</f>
        <v>11117.47</v>
      </c>
      <c r="S1446" s="65" t="n">
        <f aca="false">ROUND($O1446*$Q1446,2)</f>
        <v>8089.62</v>
      </c>
      <c r="T1446" s="65" t="n">
        <f aca="false">ROUND($R1446*SUMIFS(Parametros!$E$28:$E$43,Parametros!$B$28:$B$43,$J1446,Parametros!$C$28:$C$43,$C1446,Parametros!$D$28:$D$43,$D1446),2)</f>
        <v>144.53</v>
      </c>
      <c r="U1446" s="65" t="n">
        <f aca="false">$R1446-$S1446-$T1446</f>
        <v>2883.32</v>
      </c>
      <c r="V1446" s="66" t="n">
        <f aca="false">IFERROR($U1446/$R1446,0)</f>
        <v>0.259350373781085</v>
      </c>
      <c r="W1446" s="67" t="str">
        <f aca="false">IF(AND($V1446&gt;=Parametros!$C$8,$R1446&gt;=Parametros!$C$12),"Alta rentabilidad",IF(OR($V1446&lt;Parametros!$C$11,$R1446&lt;Parametros!$C$13),"Revisar","Estandar"))</f>
        <v>Revisar</v>
      </c>
      <c r="X1446" s="67" t="str">
        <f aca="false">IF(AND($J1446="E-commerce",IFERROR($T1446/$R1446,0)&gt;Parametros!$C$14),"Alerta","OK")</f>
        <v>OK</v>
      </c>
      <c r="Y1446" s="61" t="str">
        <f aca="false">IF($R1446&gt;=Parametros!$C$12,"Alto",IF($R1446&lt;Parametros!$C$13,"Bajo","Medio"))</f>
        <v>Alto</v>
      </c>
      <c r="Z1446" s="61" t="n">
        <v>309</v>
      </c>
      <c r="AA1446" s="61" t="str">
        <f aca="false">IF(MATCH($A1446,Datos_Origen!$A$2:$A$2459,0)=$Z1446,"OK","REVISAR")</f>
        <v>OK</v>
      </c>
      <c r="AB1446" s="62" t="n">
        <f aca="false">INDEX(Datos_Origen!$B$2:$B$2459,$Z1446)</f>
        <v>45734</v>
      </c>
      <c r="AC1446" s="61" t="n">
        <f aca="false">INDEX(Datos_Origen!$H$2:$H$2459,$Z1446)</f>
        <v>7</v>
      </c>
      <c r="AD1446" s="61" t="str">
        <f aca="false">INDEX(Datos_Origen!$D$2:$D$2459,$Z1446)&amp;""</f>
        <v>Rosario</v>
      </c>
    </row>
    <row r="1447" customFormat="false" ht="15" hidden="false" customHeight="false" outlineLevel="0" collapsed="false">
      <c r="A1447" s="61" t="n">
        <f aca="false">INDEX(Datos_Origen!$A$2:$A$2459,$Z1447)</f>
        <v>1446</v>
      </c>
      <c r="B1447" s="62" t="n">
        <f aca="false">IF(ISNUMBER($AB1447),$AB1447,IF(MID($AB1447,5,1)="-",DATE(VALUE(LEFT($AB1447,4)),VALUE(MID($AB1447,6,2)),VALUE(RIGHT($AB1447,2))),DATE(VALUE(RIGHT($AB1447,4)),VALUE(MID($AB1447,4,2)),VALUE(LEFT($AB1447,2)))))</f>
        <v>45741</v>
      </c>
      <c r="C1447" s="61" t="n">
        <f aca="false">YEAR($B1447)</f>
        <v>2025</v>
      </c>
      <c r="D1447" s="61" t="str">
        <f aca="false">"Q"&amp;ROUNDUP(MONTH($B1447)/3,0)</f>
        <v>Q1</v>
      </c>
      <c r="E1447" s="61" t="n">
        <f aca="false">MONTH($B1447)</f>
        <v>3</v>
      </c>
      <c r="F1447" s="61" t="str">
        <f aca="false">INDEX(Parametros!$I$5:$I$16,$E1447)</f>
        <v>Mar</v>
      </c>
      <c r="G1447" s="61" t="str">
        <f aca="false">TEXT($C1447,"0000")&amp;"-"&amp;TEXT($E1447,"00")</f>
        <v>2025-03</v>
      </c>
      <c r="H1447" s="61" t="str">
        <f aca="false">INDEX(Parametros!$C$71:$C$91,MATCH(TRIM(INDEX(Datos_Origen!$C$2:$C$2459,$Z1447)),Parametros!$B$71:$B$91,0))</f>
        <v>Litoral</v>
      </c>
      <c r="I1447" s="61" t="str">
        <f aca="false">IF(TRIM($AD1447)="",INDEX(Parametros!$I$20:$I$24,MATCH($H1447,Parametros!$H$20:$H$24,0)),TRIM($AD1447))</f>
        <v>Rosario</v>
      </c>
      <c r="J1447" s="61" t="str">
        <f aca="false">INDEX(Parametros!$C$95:$C$106,MATCH(TRIM(INDEX(Datos_Origen!$E$2:$E$2459,$Z1447)),Parametros!$B$95:$B$106,0))</f>
        <v>E-commerce</v>
      </c>
      <c r="K1447" s="61" t="str">
        <f aca="false">INDEX(Parametros!$C$48:$C$67,MATCH(TRIM(INDEX(Datos_Origen!$F$2:$F$2459,$Z1447)),Parametros!$B$48:$B$67,0))</f>
        <v>Computacion</v>
      </c>
      <c r="L1447" s="61" t="str">
        <f aca="false">$K1447&amp;" "&amp;$C1447</f>
        <v>Computacion 2025</v>
      </c>
      <c r="M1447" s="61" t="str">
        <f aca="false">TRIM(INDEX(Datos_Origen!$G$2:$G$2459,$Z1447))</f>
        <v>PC Gamer Ryzen</v>
      </c>
      <c r="N1447" s="61" t="str">
        <f aca="false">$M1447&amp;" "&amp;$C1447</f>
        <v>PC Gamer Ryzen 2025</v>
      </c>
      <c r="O1447" s="63" t="n">
        <f aca="false">IF(ISTEXT($AC1447),VALUE($AC1447),$AC1447)</f>
        <v>6</v>
      </c>
      <c r="P1447" s="64" t="n">
        <f aca="false">INDEX(Datos_Origen!$I$2:$I$2459,$Z1447)</f>
        <v>1588.21</v>
      </c>
      <c r="Q1447" s="64" t="n">
        <f aca="false">INDEX(Datos_Origen!$J$2:$J$2459,$Z1447)</f>
        <v>1155.66</v>
      </c>
      <c r="R1447" s="65" t="n">
        <f aca="false">ROUND($O1447*$P1447,2)</f>
        <v>9529.26</v>
      </c>
      <c r="S1447" s="65" t="n">
        <f aca="false">ROUND($O1447*$Q1447,2)</f>
        <v>6933.96</v>
      </c>
      <c r="T1447" s="65" t="n">
        <f aca="false">ROUND($R1447*SUMIFS(Parametros!$E$28:$E$43,Parametros!$B$28:$B$43,$J1447,Parametros!$C$28:$C$43,$C1447,Parametros!$D$28:$D$43,$D1447),2)</f>
        <v>647.99</v>
      </c>
      <c r="U1447" s="65" t="n">
        <f aca="false">$R1447-$S1447-$T1447</f>
        <v>1947.31</v>
      </c>
      <c r="V1447" s="66" t="n">
        <f aca="false">IFERROR($U1447/$R1447,0)</f>
        <v>0.204350600151533</v>
      </c>
      <c r="W1447" s="67" t="str">
        <f aca="false">IF(AND($V1447&gt;=Parametros!$C$8,$R1447&gt;=Parametros!$C$12),"Alta rentabilidad",IF(OR($V1447&lt;Parametros!$C$11,$R1447&lt;Parametros!$C$13),"Revisar","Estandar"))</f>
        <v>Revisar</v>
      </c>
      <c r="X1447" s="67" t="str">
        <f aca="false">IF(AND($J1447="E-commerce",IFERROR($T1447/$R1447,0)&gt;Parametros!$C$14),"Alerta","OK")</f>
        <v>Alerta</v>
      </c>
      <c r="Y1447" s="61" t="str">
        <f aca="false">IF($R1447&gt;=Parametros!$C$12,"Alto",IF($R1447&lt;Parametros!$C$13,"Bajo","Medio"))</f>
        <v>Alto</v>
      </c>
      <c r="Z1447" s="61" t="n">
        <v>2003</v>
      </c>
      <c r="AA1447" s="61" t="str">
        <f aca="false">IF(MATCH($A1447,Datos_Origen!$A$2:$A$2459,0)=$Z1447,"OK","REVISAR")</f>
        <v>OK</v>
      </c>
      <c r="AB1447" s="62" t="n">
        <f aca="false">INDEX(Datos_Origen!$B$2:$B$2459,$Z1447)</f>
        <v>45741</v>
      </c>
      <c r="AC1447" s="61" t="n">
        <f aca="false">INDEX(Datos_Origen!$H$2:$H$2459,$Z1447)</f>
        <v>6</v>
      </c>
      <c r="AD1447" s="61" t="str">
        <f aca="false">INDEX(Datos_Origen!$D$2:$D$2459,$Z1447)&amp;""</f>
        <v>Rosario</v>
      </c>
    </row>
    <row r="1448" customFormat="false" ht="15" hidden="false" customHeight="false" outlineLevel="0" collapsed="false">
      <c r="A1448" s="61" t="n">
        <f aca="false">INDEX(Datos_Origen!$A$2:$A$2459,$Z1448)</f>
        <v>1447</v>
      </c>
      <c r="B1448" s="62" t="n">
        <f aca="false">IF(ISNUMBER($AB1448),$AB1448,IF(MID($AB1448,5,1)="-",DATE(VALUE(LEFT($AB1448,4)),VALUE(MID($AB1448,6,2)),VALUE(RIGHT($AB1448,2))),DATE(VALUE(RIGHT($AB1448,4)),VALUE(MID($AB1448,4,2)),VALUE(LEFT($AB1448,2)))))</f>
        <v>45721</v>
      </c>
      <c r="C1448" s="61" t="n">
        <f aca="false">YEAR($B1448)</f>
        <v>2025</v>
      </c>
      <c r="D1448" s="61" t="str">
        <f aca="false">"Q"&amp;ROUNDUP(MONTH($B1448)/3,0)</f>
        <v>Q1</v>
      </c>
      <c r="E1448" s="61" t="n">
        <f aca="false">MONTH($B1448)</f>
        <v>3</v>
      </c>
      <c r="F1448" s="61" t="str">
        <f aca="false">INDEX(Parametros!$I$5:$I$16,$E1448)</f>
        <v>Mar</v>
      </c>
      <c r="G1448" s="61" t="str">
        <f aca="false">TEXT($C1448,"0000")&amp;"-"&amp;TEXT($E1448,"00")</f>
        <v>2025-03</v>
      </c>
      <c r="H1448" s="61" t="str">
        <f aca="false">INDEX(Parametros!$C$71:$C$91,MATCH(TRIM(INDEX(Datos_Origen!$C$2:$C$2459,$Z1448)),Parametros!$B$71:$B$91,0))</f>
        <v>Litoral</v>
      </c>
      <c r="I1448" s="61" t="str">
        <f aca="false">IF(TRIM($AD1448)="",INDEX(Parametros!$I$20:$I$24,MATCH($H1448,Parametros!$H$20:$H$24,0)),TRIM($AD1448))</f>
        <v>Rosario</v>
      </c>
      <c r="J1448" s="61" t="str">
        <f aca="false">INDEX(Parametros!$C$95:$C$106,MATCH(TRIM(INDEX(Datos_Origen!$E$2:$E$2459,$Z1448)),Parametros!$B$95:$B$106,0))</f>
        <v>Tienda fisica</v>
      </c>
      <c r="K1448" s="61" t="str">
        <f aca="false">INDEX(Parametros!$C$48:$C$67,MATCH(TRIM(INDEX(Datos_Origen!$F$2:$F$2459,$Z1448)),Parametros!$B$48:$B$67,0))</f>
        <v>Accesorios</v>
      </c>
      <c r="L1448" s="61" t="str">
        <f aca="false">$K1448&amp;" "&amp;$C1448</f>
        <v>Accesorios 2025</v>
      </c>
      <c r="M1448" s="61" t="str">
        <f aca="false">TRIM(INDEX(Datos_Origen!$G$2:$G$2459,$Z1448))</f>
        <v>Mouse Inalambrico</v>
      </c>
      <c r="N1448" s="61" t="str">
        <f aca="false">$M1448&amp;" "&amp;$C1448</f>
        <v>Mouse Inalambrico 2025</v>
      </c>
      <c r="O1448" s="63" t="n">
        <f aca="false">IF(ISTEXT($AC1448),VALUE($AC1448),$AC1448)</f>
        <v>43</v>
      </c>
      <c r="P1448" s="64" t="n">
        <f aca="false">INDEX(Datos_Origen!$I$2:$I$2459,$Z1448)</f>
        <v>27.82</v>
      </c>
      <c r="Q1448" s="64" t="n">
        <f aca="false">INDEX(Datos_Origen!$J$2:$J$2459,$Z1448)</f>
        <v>13.84</v>
      </c>
      <c r="R1448" s="65" t="n">
        <f aca="false">ROUND($O1448*$P1448,2)</f>
        <v>1196.26</v>
      </c>
      <c r="S1448" s="65" t="n">
        <f aca="false">ROUND($O1448*$Q1448,2)</f>
        <v>595.12</v>
      </c>
      <c r="T1448" s="65" t="n">
        <f aca="false">ROUND($R1448*SUMIFS(Parametros!$E$28:$E$43,Parametros!$B$28:$B$43,$J1448,Parametros!$C$28:$C$43,$C1448,Parametros!$D$28:$D$43,$D1448),2)</f>
        <v>15.55</v>
      </c>
      <c r="U1448" s="65" t="n">
        <f aca="false">$R1448-$S1448-$T1448</f>
        <v>585.59</v>
      </c>
      <c r="V1448" s="66" t="n">
        <f aca="false">IFERROR($U1448/$R1448,0)</f>
        <v>0.489517329008744</v>
      </c>
      <c r="W1448" s="67" t="str">
        <f aca="false">IF(AND($V1448&gt;=Parametros!$C$8,$R1448&gt;=Parametros!$C$12),"Alta rentabilidad",IF(OR($V1448&lt;Parametros!$C$11,$R1448&lt;Parametros!$C$13),"Revisar","Estandar"))</f>
        <v>Estandar</v>
      </c>
      <c r="X1448" s="67" t="str">
        <f aca="false">IF(AND($J1448="E-commerce",IFERROR($T1448/$R1448,0)&gt;Parametros!$C$14),"Alerta","OK")</f>
        <v>OK</v>
      </c>
      <c r="Y1448" s="61" t="str">
        <f aca="false">IF($R1448&gt;=Parametros!$C$12,"Alto",IF($R1448&lt;Parametros!$C$13,"Bajo","Medio"))</f>
        <v>Medio</v>
      </c>
      <c r="Z1448" s="61" t="n">
        <v>1222</v>
      </c>
      <c r="AA1448" s="61" t="str">
        <f aca="false">IF(MATCH($A1448,Datos_Origen!$A$2:$A$2459,0)=$Z1448,"OK","REVISAR")</f>
        <v>OK</v>
      </c>
      <c r="AB1448" s="62" t="n">
        <f aca="false">INDEX(Datos_Origen!$B$2:$B$2459,$Z1448)</f>
        <v>45721</v>
      </c>
      <c r="AC1448" s="61" t="n">
        <f aca="false">INDEX(Datos_Origen!$H$2:$H$2459,$Z1448)</f>
        <v>43</v>
      </c>
      <c r="AD1448" s="61" t="str">
        <f aca="false">INDEX(Datos_Origen!$D$2:$D$2459,$Z1448)&amp;""</f>
        <v/>
      </c>
    </row>
    <row r="1449" customFormat="false" ht="15" hidden="false" customHeight="false" outlineLevel="0" collapsed="false">
      <c r="A1449" s="61" t="n">
        <f aca="false">INDEX(Datos_Origen!$A$2:$A$2459,$Z1449)</f>
        <v>1448</v>
      </c>
      <c r="B1449" s="62" t="n">
        <f aca="false">IF(ISNUMBER($AB1449),$AB1449,IF(MID($AB1449,5,1)="-",DATE(VALUE(LEFT($AB1449,4)),VALUE(MID($AB1449,6,2)),VALUE(RIGHT($AB1449,2))),DATE(VALUE(RIGHT($AB1449,4)),VALUE(MID($AB1449,4,2)),VALUE(LEFT($AB1449,2)))))</f>
        <v>45728</v>
      </c>
      <c r="C1449" s="61" t="n">
        <f aca="false">YEAR($B1449)</f>
        <v>2025</v>
      </c>
      <c r="D1449" s="61" t="str">
        <f aca="false">"Q"&amp;ROUNDUP(MONTH($B1449)/3,0)</f>
        <v>Q1</v>
      </c>
      <c r="E1449" s="61" t="n">
        <f aca="false">MONTH($B1449)</f>
        <v>3</v>
      </c>
      <c r="F1449" s="61" t="str">
        <f aca="false">INDEX(Parametros!$I$5:$I$16,$E1449)</f>
        <v>Mar</v>
      </c>
      <c r="G1449" s="61" t="str">
        <f aca="false">TEXT($C1449,"0000")&amp;"-"&amp;TEXT($E1449,"00")</f>
        <v>2025-03</v>
      </c>
      <c r="H1449" s="61" t="str">
        <f aca="false">INDEX(Parametros!$C$71:$C$91,MATCH(TRIM(INDEX(Datos_Origen!$C$2:$C$2459,$Z1449)),Parametros!$B$71:$B$91,0))</f>
        <v>Litoral</v>
      </c>
      <c r="I1449" s="61" t="str">
        <f aca="false">IF(TRIM($AD1449)="",INDEX(Parametros!$I$20:$I$24,MATCH($H1449,Parametros!$H$20:$H$24,0)),TRIM($AD1449))</f>
        <v>Rosario</v>
      </c>
      <c r="J1449" s="61" t="str">
        <f aca="false">INDEX(Parametros!$C$95:$C$106,MATCH(TRIM(INDEX(Datos_Origen!$E$2:$E$2459,$Z1449)),Parametros!$B$95:$B$106,0))</f>
        <v>E-commerce</v>
      </c>
      <c r="K1449" s="61" t="str">
        <f aca="false">INDEX(Parametros!$C$48:$C$67,MATCH(TRIM(INDEX(Datos_Origen!$F$2:$F$2459,$Z1449)),Parametros!$B$48:$B$67,0))</f>
        <v>Accesorios</v>
      </c>
      <c r="L1449" s="61" t="str">
        <f aca="false">$K1449&amp;" "&amp;$C1449</f>
        <v>Accesorios 2025</v>
      </c>
      <c r="M1449" s="61" t="str">
        <f aca="false">TRIM(INDEX(Datos_Origen!$G$2:$G$2459,$Z1449))</f>
        <v>Mouse Inalambrico</v>
      </c>
      <c r="N1449" s="61" t="str">
        <f aca="false">$M1449&amp;" "&amp;$C1449</f>
        <v>Mouse Inalambrico 2025</v>
      </c>
      <c r="O1449" s="63" t="n">
        <f aca="false">IF(ISTEXT($AC1449),VALUE($AC1449),$AC1449)</f>
        <v>30</v>
      </c>
      <c r="P1449" s="64" t="n">
        <f aca="false">INDEX(Datos_Origen!$I$2:$I$2459,$Z1449)</f>
        <v>27.82</v>
      </c>
      <c r="Q1449" s="64" t="n">
        <f aca="false">INDEX(Datos_Origen!$J$2:$J$2459,$Z1449)</f>
        <v>13.84</v>
      </c>
      <c r="R1449" s="65" t="n">
        <f aca="false">ROUND($O1449*$P1449,2)</f>
        <v>834.6</v>
      </c>
      <c r="S1449" s="65" t="n">
        <f aca="false">ROUND($O1449*$Q1449,2)</f>
        <v>415.2</v>
      </c>
      <c r="T1449" s="65" t="n">
        <f aca="false">ROUND($R1449*SUMIFS(Parametros!$E$28:$E$43,Parametros!$B$28:$B$43,$J1449,Parametros!$C$28:$C$43,$C1449,Parametros!$D$28:$D$43,$D1449),2)</f>
        <v>56.75</v>
      </c>
      <c r="U1449" s="65" t="n">
        <f aca="false">$R1449-$S1449-$T1449</f>
        <v>362.65</v>
      </c>
      <c r="V1449" s="66" t="n">
        <f aca="false">IFERROR($U1449/$R1449,0)</f>
        <v>0.434519530313923</v>
      </c>
      <c r="W1449" s="67" t="str">
        <f aca="false">IF(AND($V1449&gt;=Parametros!$C$8,$R1449&gt;=Parametros!$C$12),"Alta rentabilidad",IF(OR($V1449&lt;Parametros!$C$11,$R1449&lt;Parametros!$C$13),"Revisar","Estandar"))</f>
        <v>Estandar</v>
      </c>
      <c r="X1449" s="67" t="str">
        <f aca="false">IF(AND($J1449="E-commerce",IFERROR($T1449/$R1449,0)&gt;Parametros!$C$14),"Alerta","OK")</f>
        <v>Alerta</v>
      </c>
      <c r="Y1449" s="61" t="str">
        <f aca="false">IF($R1449&gt;=Parametros!$C$12,"Alto",IF($R1449&lt;Parametros!$C$13,"Bajo","Medio"))</f>
        <v>Medio</v>
      </c>
      <c r="Z1449" s="61" t="n">
        <v>227</v>
      </c>
      <c r="AA1449" s="61" t="str">
        <f aca="false">IF(MATCH($A1449,Datos_Origen!$A$2:$A$2459,0)=$Z1449,"OK","REVISAR")</f>
        <v>OK</v>
      </c>
      <c r="AB1449" s="62" t="n">
        <f aca="false">INDEX(Datos_Origen!$B$2:$B$2459,$Z1449)</f>
        <v>45728</v>
      </c>
      <c r="AC1449" s="61" t="n">
        <f aca="false">INDEX(Datos_Origen!$H$2:$H$2459,$Z1449)</f>
        <v>30</v>
      </c>
      <c r="AD1449" s="61" t="str">
        <f aca="false">INDEX(Datos_Origen!$D$2:$D$2459,$Z1449)&amp;""</f>
        <v>Rosario</v>
      </c>
    </row>
    <row r="1450" customFormat="false" ht="15" hidden="false" customHeight="false" outlineLevel="0" collapsed="false">
      <c r="A1450" s="61" t="n">
        <f aca="false">INDEX(Datos_Origen!$A$2:$A$2459,$Z1450)</f>
        <v>1449</v>
      </c>
      <c r="B1450" s="62" t="n">
        <f aca="false">IF(ISNUMBER($AB1450),$AB1450,IF(MID($AB1450,5,1)="-",DATE(VALUE(LEFT($AB1450,4)),VALUE(MID($AB1450,6,2)),VALUE(RIGHT($AB1450,2))),DATE(VALUE(RIGHT($AB1450,4)),VALUE(MID($AB1450,4,2)),VALUE(LEFT($AB1450,2)))))</f>
        <v>45735</v>
      </c>
      <c r="C1450" s="61" t="n">
        <f aca="false">YEAR($B1450)</f>
        <v>2025</v>
      </c>
      <c r="D1450" s="61" t="str">
        <f aca="false">"Q"&amp;ROUNDUP(MONTH($B1450)/3,0)</f>
        <v>Q1</v>
      </c>
      <c r="E1450" s="61" t="n">
        <f aca="false">MONTH($B1450)</f>
        <v>3</v>
      </c>
      <c r="F1450" s="61" t="str">
        <f aca="false">INDEX(Parametros!$I$5:$I$16,$E1450)</f>
        <v>Mar</v>
      </c>
      <c r="G1450" s="61" t="str">
        <f aca="false">TEXT($C1450,"0000")&amp;"-"&amp;TEXT($E1450,"00")</f>
        <v>2025-03</v>
      </c>
      <c r="H1450" s="61" t="str">
        <f aca="false">INDEX(Parametros!$C$71:$C$91,MATCH(TRIM(INDEX(Datos_Origen!$C$2:$C$2459,$Z1450)),Parametros!$B$71:$B$91,0))</f>
        <v>Litoral</v>
      </c>
      <c r="I1450" s="61" t="str">
        <f aca="false">IF(TRIM($AD1450)="",INDEX(Parametros!$I$20:$I$24,MATCH($H1450,Parametros!$H$20:$H$24,0)),TRIM($AD1450))</f>
        <v>Rosario</v>
      </c>
      <c r="J1450" s="61" t="str">
        <f aca="false">INDEX(Parametros!$C$95:$C$106,MATCH(TRIM(INDEX(Datos_Origen!$E$2:$E$2459,$Z1450)),Parametros!$B$95:$B$106,0))</f>
        <v>Tienda fisica</v>
      </c>
      <c r="K1450" s="61" t="str">
        <f aca="false">INDEX(Parametros!$C$48:$C$67,MATCH(TRIM(INDEX(Datos_Origen!$F$2:$F$2459,$Z1450)),Parametros!$B$48:$B$67,0))</f>
        <v>Accesorios</v>
      </c>
      <c r="L1450" s="61" t="str">
        <f aca="false">$K1450&amp;" "&amp;$C1450</f>
        <v>Accesorios 2025</v>
      </c>
      <c r="M1450" s="61" t="str">
        <f aca="false">TRIM(INDEX(Datos_Origen!$G$2:$G$2459,$Z1450))</f>
        <v>Teclado Mecanico</v>
      </c>
      <c r="N1450" s="61" t="str">
        <f aca="false">$M1450&amp;" "&amp;$C1450</f>
        <v>Teclado Mecanico 2025</v>
      </c>
      <c r="O1450" s="63" t="n">
        <f aca="false">IF(ISTEXT($AC1450),VALUE($AC1450),$AC1450)</f>
        <v>40</v>
      </c>
      <c r="P1450" s="64" t="n">
        <f aca="false">INDEX(Datos_Origen!$I$2:$I$2459,$Z1450)</f>
        <v>94.39</v>
      </c>
      <c r="Q1450" s="64" t="n">
        <f aca="false">INDEX(Datos_Origen!$J$2:$J$2459,$Z1450)</f>
        <v>49.41</v>
      </c>
      <c r="R1450" s="65" t="n">
        <f aca="false">ROUND($O1450*$P1450,2)</f>
        <v>3775.6</v>
      </c>
      <c r="S1450" s="65" t="n">
        <f aca="false">ROUND($O1450*$Q1450,2)</f>
        <v>1976.4</v>
      </c>
      <c r="T1450" s="65" t="n">
        <f aca="false">ROUND($R1450*SUMIFS(Parametros!$E$28:$E$43,Parametros!$B$28:$B$43,$J1450,Parametros!$C$28:$C$43,$C1450,Parametros!$D$28:$D$43,$D1450),2)</f>
        <v>49.08</v>
      </c>
      <c r="U1450" s="65" t="n">
        <f aca="false">$R1450-$S1450-$T1450</f>
        <v>1750.12</v>
      </c>
      <c r="V1450" s="66" t="n">
        <f aca="false">IFERROR($U1450/$R1450,0)</f>
        <v>0.463534272698379</v>
      </c>
      <c r="W1450" s="67" t="str">
        <f aca="false">IF(AND($V1450&gt;=Parametros!$C$8,$R1450&gt;=Parametros!$C$12),"Alta rentabilidad",IF(OR($V1450&lt;Parametros!$C$11,$R1450&lt;Parametros!$C$13),"Revisar","Estandar"))</f>
        <v>Alta rentabilidad</v>
      </c>
      <c r="X1450" s="67" t="str">
        <f aca="false">IF(AND($J1450="E-commerce",IFERROR($T1450/$R1450,0)&gt;Parametros!$C$14),"Alerta","OK")</f>
        <v>OK</v>
      </c>
      <c r="Y1450" s="61" t="str">
        <f aca="false">IF($R1450&gt;=Parametros!$C$12,"Alto",IF($R1450&lt;Parametros!$C$13,"Bajo","Medio"))</f>
        <v>Alto</v>
      </c>
      <c r="Z1450" s="61" t="n">
        <v>771</v>
      </c>
      <c r="AA1450" s="61" t="str">
        <f aca="false">IF(MATCH($A1450,Datos_Origen!$A$2:$A$2459,0)=$Z1450,"OK","REVISAR")</f>
        <v>OK</v>
      </c>
      <c r="AB1450" s="62" t="n">
        <f aca="false">INDEX(Datos_Origen!$B$2:$B$2459,$Z1450)</f>
        <v>45735</v>
      </c>
      <c r="AC1450" s="61" t="n">
        <f aca="false">INDEX(Datos_Origen!$H$2:$H$2459,$Z1450)</f>
        <v>40</v>
      </c>
      <c r="AD1450" s="61" t="str">
        <f aca="false">INDEX(Datos_Origen!$D$2:$D$2459,$Z1450)&amp;""</f>
        <v>Rosario</v>
      </c>
    </row>
    <row r="1451" customFormat="false" ht="15" hidden="false" customHeight="false" outlineLevel="0" collapsed="false">
      <c r="A1451" s="61" t="n">
        <f aca="false">INDEX(Datos_Origen!$A$2:$A$2459,$Z1451)</f>
        <v>1450</v>
      </c>
      <c r="B1451" s="62" t="n">
        <f aca="false">IF(ISNUMBER($AB1451),$AB1451,IF(MID($AB1451,5,1)="-",DATE(VALUE(LEFT($AB1451,4)),VALUE(MID($AB1451,6,2)),VALUE(RIGHT($AB1451,2))),DATE(VALUE(RIGHT($AB1451,4)),VALUE(MID($AB1451,4,2)),VALUE(LEFT($AB1451,2)))))</f>
        <v>45742</v>
      </c>
      <c r="C1451" s="61" t="n">
        <f aca="false">YEAR($B1451)</f>
        <v>2025</v>
      </c>
      <c r="D1451" s="61" t="str">
        <f aca="false">"Q"&amp;ROUNDUP(MONTH($B1451)/3,0)</f>
        <v>Q1</v>
      </c>
      <c r="E1451" s="61" t="n">
        <f aca="false">MONTH($B1451)</f>
        <v>3</v>
      </c>
      <c r="F1451" s="61" t="str">
        <f aca="false">INDEX(Parametros!$I$5:$I$16,$E1451)</f>
        <v>Mar</v>
      </c>
      <c r="G1451" s="61" t="str">
        <f aca="false">TEXT($C1451,"0000")&amp;"-"&amp;TEXT($E1451,"00")</f>
        <v>2025-03</v>
      </c>
      <c r="H1451" s="61" t="str">
        <f aca="false">INDEX(Parametros!$C$71:$C$91,MATCH(TRIM(INDEX(Datos_Origen!$C$2:$C$2459,$Z1451)),Parametros!$B$71:$B$91,0))</f>
        <v>Litoral</v>
      </c>
      <c r="I1451" s="61" t="str">
        <f aca="false">IF(TRIM($AD1451)="",INDEX(Parametros!$I$20:$I$24,MATCH($H1451,Parametros!$H$20:$H$24,0)),TRIM($AD1451))</f>
        <v>Rosario</v>
      </c>
      <c r="J1451" s="61" t="str">
        <f aca="false">INDEX(Parametros!$C$95:$C$106,MATCH(TRIM(INDEX(Datos_Origen!$E$2:$E$2459,$Z1451)),Parametros!$B$95:$B$106,0))</f>
        <v>E-commerce</v>
      </c>
      <c r="K1451" s="61" t="str">
        <f aca="false">INDEX(Parametros!$C$48:$C$67,MATCH(TRIM(INDEX(Datos_Origen!$F$2:$F$2459,$Z1451)),Parametros!$B$48:$B$67,0))</f>
        <v>Accesorios</v>
      </c>
      <c r="L1451" s="61" t="str">
        <f aca="false">$K1451&amp;" "&amp;$C1451</f>
        <v>Accesorios 2025</v>
      </c>
      <c r="M1451" s="61" t="str">
        <f aca="false">TRIM(INDEX(Datos_Origen!$G$2:$G$2459,$Z1451))</f>
        <v>Teclado Mecanico</v>
      </c>
      <c r="N1451" s="61" t="str">
        <f aca="false">$M1451&amp;" "&amp;$C1451</f>
        <v>Teclado Mecanico 2025</v>
      </c>
      <c r="O1451" s="63" t="n">
        <f aca="false">IF(ISTEXT($AC1451),VALUE($AC1451),$AC1451)</f>
        <v>28</v>
      </c>
      <c r="P1451" s="64" t="n">
        <f aca="false">INDEX(Datos_Origen!$I$2:$I$2459,$Z1451)</f>
        <v>94.39</v>
      </c>
      <c r="Q1451" s="64" t="n">
        <f aca="false">INDEX(Datos_Origen!$J$2:$J$2459,$Z1451)</f>
        <v>49.41</v>
      </c>
      <c r="R1451" s="65" t="n">
        <f aca="false">ROUND($O1451*$P1451,2)</f>
        <v>2642.92</v>
      </c>
      <c r="S1451" s="65" t="n">
        <f aca="false">ROUND($O1451*$Q1451,2)</f>
        <v>1383.48</v>
      </c>
      <c r="T1451" s="65" t="n">
        <f aca="false">ROUND($R1451*SUMIFS(Parametros!$E$28:$E$43,Parametros!$B$28:$B$43,$J1451,Parametros!$C$28:$C$43,$C1451,Parametros!$D$28:$D$43,$D1451),2)</f>
        <v>179.72</v>
      </c>
      <c r="U1451" s="65" t="n">
        <f aca="false">$R1451-$S1451-$T1451</f>
        <v>1079.72</v>
      </c>
      <c r="V1451" s="66" t="n">
        <f aca="false">IFERROR($U1451/$R1451,0)</f>
        <v>0.408532986242489</v>
      </c>
      <c r="W1451" s="67" t="str">
        <f aca="false">IF(AND($V1451&gt;=Parametros!$C$8,$R1451&gt;=Parametros!$C$12),"Alta rentabilidad",IF(OR($V1451&lt;Parametros!$C$11,$R1451&lt;Parametros!$C$13),"Revisar","Estandar"))</f>
        <v>Estandar</v>
      </c>
      <c r="X1451" s="67" t="str">
        <f aca="false">IF(AND($J1451="E-commerce",IFERROR($T1451/$R1451,0)&gt;Parametros!$C$14),"Alerta","OK")</f>
        <v>Alerta</v>
      </c>
      <c r="Y1451" s="61" t="str">
        <f aca="false">IF($R1451&gt;=Parametros!$C$12,"Alto",IF($R1451&lt;Parametros!$C$13,"Bajo","Medio"))</f>
        <v>Medio</v>
      </c>
      <c r="Z1451" s="61" t="n">
        <v>2293</v>
      </c>
      <c r="AA1451" s="61" t="str">
        <f aca="false">IF(MATCH($A1451,Datos_Origen!$A$2:$A$2459,0)=$Z1451,"OK","REVISAR")</f>
        <v>OK</v>
      </c>
      <c r="AB1451" s="62" t="n">
        <f aca="false">INDEX(Datos_Origen!$B$2:$B$2459,$Z1451)</f>
        <v>45742</v>
      </c>
      <c r="AC1451" s="61" t="str">
        <f aca="false">INDEX(Datos_Origen!$H$2:$H$2459,$Z1451)</f>
        <v>28</v>
      </c>
      <c r="AD1451" s="61" t="str">
        <f aca="false">INDEX(Datos_Origen!$D$2:$D$2459,$Z1451)&amp;""</f>
        <v>Rosario</v>
      </c>
    </row>
    <row r="1452" customFormat="false" ht="15" hidden="false" customHeight="false" outlineLevel="0" collapsed="false">
      <c r="A1452" s="61" t="n">
        <f aca="false">INDEX(Datos_Origen!$A$2:$A$2459,$Z1452)</f>
        <v>1451</v>
      </c>
      <c r="B1452" s="62" t="n">
        <f aca="false">IF(ISNUMBER($AB1452),$AB1452,IF(MID($AB1452,5,1)="-",DATE(VALUE(LEFT($AB1452,4)),VALUE(MID($AB1452,6,2)),VALUE(RIGHT($AB1452,2))),DATE(VALUE(RIGHT($AB1452,4)),VALUE(MID($AB1452,4,2)),VALUE(LEFT($AB1452,2)))))</f>
        <v>45722</v>
      </c>
      <c r="C1452" s="61" t="n">
        <f aca="false">YEAR($B1452)</f>
        <v>2025</v>
      </c>
      <c r="D1452" s="61" t="str">
        <f aca="false">"Q"&amp;ROUNDUP(MONTH($B1452)/3,0)</f>
        <v>Q1</v>
      </c>
      <c r="E1452" s="61" t="n">
        <f aca="false">MONTH($B1452)</f>
        <v>3</v>
      </c>
      <c r="F1452" s="61" t="str">
        <f aca="false">INDEX(Parametros!$I$5:$I$16,$E1452)</f>
        <v>Mar</v>
      </c>
      <c r="G1452" s="61" t="str">
        <f aca="false">TEXT($C1452,"0000")&amp;"-"&amp;TEXT($E1452,"00")</f>
        <v>2025-03</v>
      </c>
      <c r="H1452" s="61" t="str">
        <f aca="false">INDEX(Parametros!$C$71:$C$91,MATCH(TRIM(INDEX(Datos_Origen!$C$2:$C$2459,$Z1452)),Parametros!$B$71:$B$91,0))</f>
        <v>Litoral</v>
      </c>
      <c r="I1452" s="61" t="str">
        <f aca="false">IF(TRIM($AD1452)="",INDEX(Parametros!$I$20:$I$24,MATCH($H1452,Parametros!$H$20:$H$24,0)),TRIM($AD1452))</f>
        <v>Rosario</v>
      </c>
      <c r="J1452" s="61" t="str">
        <f aca="false">INDEX(Parametros!$C$95:$C$106,MATCH(TRIM(INDEX(Datos_Origen!$E$2:$E$2459,$Z1452)),Parametros!$B$95:$B$106,0))</f>
        <v>Tienda fisica</v>
      </c>
      <c r="K1452" s="61" t="str">
        <f aca="false">INDEX(Parametros!$C$48:$C$67,MATCH(TRIM(INDEX(Datos_Origen!$F$2:$F$2459,$Z1452)),Parametros!$B$48:$B$67,0))</f>
        <v>Accesorios</v>
      </c>
      <c r="L1452" s="61" t="str">
        <f aca="false">$K1452&amp;" "&amp;$C1452</f>
        <v>Accesorios 2025</v>
      </c>
      <c r="M1452" s="61" t="str">
        <f aca="false">TRIM(INDEX(Datos_Origen!$G$2:$G$2459,$Z1452))</f>
        <v>Webcam Full HD</v>
      </c>
      <c r="N1452" s="61" t="str">
        <f aca="false">$M1452&amp;" "&amp;$C1452</f>
        <v>Webcam Full HD 2025</v>
      </c>
      <c r="O1452" s="63" t="n">
        <f aca="false">IF(ISTEXT($AC1452),VALUE($AC1452),$AC1452)</f>
        <v>35</v>
      </c>
      <c r="P1452" s="64" t="n">
        <f aca="false">INDEX(Datos_Origen!$I$2:$I$2459,$Z1452)</f>
        <v>64.58</v>
      </c>
      <c r="Q1452" s="64" t="n">
        <f aca="false">INDEX(Datos_Origen!$J$2:$J$2459,$Z1452)</f>
        <v>36.49</v>
      </c>
      <c r="R1452" s="65" t="n">
        <f aca="false">ROUND($O1452*$P1452,2)</f>
        <v>2260.3</v>
      </c>
      <c r="S1452" s="65" t="n">
        <f aca="false">ROUND($O1452*$Q1452,2)</f>
        <v>1277.15</v>
      </c>
      <c r="T1452" s="65" t="n">
        <f aca="false">ROUND($R1452*SUMIFS(Parametros!$E$28:$E$43,Parametros!$B$28:$B$43,$J1452,Parametros!$C$28:$C$43,$C1452,Parametros!$D$28:$D$43,$D1452),2)</f>
        <v>29.38</v>
      </c>
      <c r="U1452" s="65" t="n">
        <f aca="false">$R1452-$S1452-$T1452</f>
        <v>953.77</v>
      </c>
      <c r="V1452" s="66" t="n">
        <f aca="false">IFERROR($U1452/$R1452,0)</f>
        <v>0.421966110693271</v>
      </c>
      <c r="W1452" s="67" t="str">
        <f aca="false">IF(AND($V1452&gt;=Parametros!$C$8,$R1452&gt;=Parametros!$C$12),"Alta rentabilidad",IF(OR($V1452&lt;Parametros!$C$11,$R1452&lt;Parametros!$C$13),"Revisar","Estandar"))</f>
        <v>Estandar</v>
      </c>
      <c r="X1452" s="67" t="str">
        <f aca="false">IF(AND($J1452="E-commerce",IFERROR($T1452/$R1452,0)&gt;Parametros!$C$14),"Alerta","OK")</f>
        <v>OK</v>
      </c>
      <c r="Y1452" s="61" t="str">
        <f aca="false">IF($R1452&gt;=Parametros!$C$12,"Alto",IF($R1452&lt;Parametros!$C$13,"Bajo","Medio"))</f>
        <v>Medio</v>
      </c>
      <c r="Z1452" s="61" t="n">
        <v>2360</v>
      </c>
      <c r="AA1452" s="61" t="str">
        <f aca="false">IF(MATCH($A1452,Datos_Origen!$A$2:$A$2459,0)=$Z1452,"OK","REVISAR")</f>
        <v>OK</v>
      </c>
      <c r="AB1452" s="62" t="n">
        <f aca="false">INDEX(Datos_Origen!$B$2:$B$2459,$Z1452)</f>
        <v>45722</v>
      </c>
      <c r="AC1452" s="61" t="n">
        <f aca="false">INDEX(Datos_Origen!$H$2:$H$2459,$Z1452)</f>
        <v>35</v>
      </c>
      <c r="AD1452" s="61" t="str">
        <f aca="false">INDEX(Datos_Origen!$D$2:$D$2459,$Z1452)&amp;""</f>
        <v>Rosario</v>
      </c>
    </row>
    <row r="1453" customFormat="false" ht="15" hidden="false" customHeight="false" outlineLevel="0" collapsed="false">
      <c r="A1453" s="61" t="n">
        <f aca="false">INDEX(Datos_Origen!$A$2:$A$2459,$Z1453)</f>
        <v>1452</v>
      </c>
      <c r="B1453" s="62" t="n">
        <f aca="false">IF(ISNUMBER($AB1453),$AB1453,IF(MID($AB1453,5,1)="-",DATE(VALUE(LEFT($AB1453,4)),VALUE(MID($AB1453,6,2)),VALUE(RIGHT($AB1453,2))),DATE(VALUE(RIGHT($AB1453,4)),VALUE(MID($AB1453,4,2)),VALUE(LEFT($AB1453,2)))))</f>
        <v>45729</v>
      </c>
      <c r="C1453" s="61" t="n">
        <f aca="false">YEAR($B1453)</f>
        <v>2025</v>
      </c>
      <c r="D1453" s="61" t="str">
        <f aca="false">"Q"&amp;ROUNDUP(MONTH($B1453)/3,0)</f>
        <v>Q1</v>
      </c>
      <c r="E1453" s="61" t="n">
        <f aca="false">MONTH($B1453)</f>
        <v>3</v>
      </c>
      <c r="F1453" s="61" t="str">
        <f aca="false">INDEX(Parametros!$I$5:$I$16,$E1453)</f>
        <v>Mar</v>
      </c>
      <c r="G1453" s="61" t="str">
        <f aca="false">TEXT($C1453,"0000")&amp;"-"&amp;TEXT($E1453,"00")</f>
        <v>2025-03</v>
      </c>
      <c r="H1453" s="61" t="str">
        <f aca="false">INDEX(Parametros!$C$71:$C$91,MATCH(TRIM(INDEX(Datos_Origen!$C$2:$C$2459,$Z1453)),Parametros!$B$71:$B$91,0))</f>
        <v>Litoral</v>
      </c>
      <c r="I1453" s="61" t="str">
        <f aca="false">IF(TRIM($AD1453)="",INDEX(Parametros!$I$20:$I$24,MATCH($H1453,Parametros!$H$20:$H$24,0)),TRIM($AD1453))</f>
        <v>Rosario</v>
      </c>
      <c r="J1453" s="61" t="str">
        <f aca="false">INDEX(Parametros!$C$95:$C$106,MATCH(TRIM(INDEX(Datos_Origen!$E$2:$E$2459,$Z1453)),Parametros!$B$95:$B$106,0))</f>
        <v>E-commerce</v>
      </c>
      <c r="K1453" s="61" t="str">
        <f aca="false">INDEX(Parametros!$C$48:$C$67,MATCH(TRIM(INDEX(Datos_Origen!$F$2:$F$2459,$Z1453)),Parametros!$B$48:$B$67,0))</f>
        <v>Accesorios</v>
      </c>
      <c r="L1453" s="61" t="str">
        <f aca="false">$K1453&amp;" "&amp;$C1453</f>
        <v>Accesorios 2025</v>
      </c>
      <c r="M1453" s="61" t="str">
        <f aca="false">TRIM(INDEX(Datos_Origen!$G$2:$G$2459,$Z1453))</f>
        <v>Webcam Full HD</v>
      </c>
      <c r="N1453" s="61" t="str">
        <f aca="false">$M1453&amp;" "&amp;$C1453</f>
        <v>Webcam Full HD 2025</v>
      </c>
      <c r="O1453" s="63" t="n">
        <f aca="false">IF(ISTEXT($AC1453),VALUE($AC1453),$AC1453)</f>
        <v>26</v>
      </c>
      <c r="P1453" s="64" t="n">
        <f aca="false">INDEX(Datos_Origen!$I$2:$I$2459,$Z1453)</f>
        <v>64.58</v>
      </c>
      <c r="Q1453" s="64" t="n">
        <f aca="false">INDEX(Datos_Origen!$J$2:$J$2459,$Z1453)</f>
        <v>36.49</v>
      </c>
      <c r="R1453" s="65" t="n">
        <f aca="false">ROUND($O1453*$P1453,2)</f>
        <v>1679.08</v>
      </c>
      <c r="S1453" s="65" t="n">
        <f aca="false">ROUND($O1453*$Q1453,2)</f>
        <v>948.74</v>
      </c>
      <c r="T1453" s="65" t="n">
        <f aca="false">ROUND($R1453*SUMIFS(Parametros!$E$28:$E$43,Parametros!$B$28:$B$43,$J1453,Parametros!$C$28:$C$43,$C1453,Parametros!$D$28:$D$43,$D1453),2)</f>
        <v>114.18</v>
      </c>
      <c r="U1453" s="65" t="n">
        <f aca="false">$R1453-$S1453-$T1453</f>
        <v>616.16</v>
      </c>
      <c r="V1453" s="66" t="n">
        <f aca="false">IFERROR($U1453/$R1453,0)</f>
        <v>0.366962860614146</v>
      </c>
      <c r="W1453" s="67" t="str">
        <f aca="false">IF(AND($V1453&gt;=Parametros!$C$8,$R1453&gt;=Parametros!$C$12),"Alta rentabilidad",IF(OR($V1453&lt;Parametros!$C$11,$R1453&lt;Parametros!$C$13),"Revisar","Estandar"))</f>
        <v>Estandar</v>
      </c>
      <c r="X1453" s="67" t="str">
        <f aca="false">IF(AND($J1453="E-commerce",IFERROR($T1453/$R1453,0)&gt;Parametros!$C$14),"Alerta","OK")</f>
        <v>Alerta</v>
      </c>
      <c r="Y1453" s="61" t="str">
        <f aca="false">IF($R1453&gt;=Parametros!$C$12,"Alto",IF($R1453&lt;Parametros!$C$13,"Bajo","Medio"))</f>
        <v>Medio</v>
      </c>
      <c r="Z1453" s="61" t="n">
        <v>1405</v>
      </c>
      <c r="AA1453" s="61" t="str">
        <f aca="false">IF(MATCH($A1453,Datos_Origen!$A$2:$A$2459,0)=$Z1453,"OK","REVISAR")</f>
        <v>OK</v>
      </c>
      <c r="AB1453" s="62" t="n">
        <f aca="false">INDEX(Datos_Origen!$B$2:$B$2459,$Z1453)</f>
        <v>45729</v>
      </c>
      <c r="AC1453" s="61" t="n">
        <f aca="false">INDEX(Datos_Origen!$H$2:$H$2459,$Z1453)</f>
        <v>26</v>
      </c>
      <c r="AD1453" s="61" t="str">
        <f aca="false">INDEX(Datos_Origen!$D$2:$D$2459,$Z1453)&amp;""</f>
        <v>Rosario</v>
      </c>
    </row>
    <row r="1454" customFormat="false" ht="15" hidden="false" customHeight="false" outlineLevel="0" collapsed="false">
      <c r="A1454" s="61" t="n">
        <f aca="false">INDEX(Datos_Origen!$A$2:$A$2459,$Z1454)</f>
        <v>1453</v>
      </c>
      <c r="B1454" s="62" t="n">
        <f aca="false">IF(ISNUMBER($AB1454),$AB1454,IF(MID($AB1454,5,1)="-",DATE(VALUE(LEFT($AB1454,4)),VALUE(MID($AB1454,6,2)),VALUE(RIGHT($AB1454,2))),DATE(VALUE(RIGHT($AB1454,4)),VALUE(MID($AB1454,4,2)),VALUE(LEFT($AB1454,2)))))</f>
        <v>45736</v>
      </c>
      <c r="C1454" s="61" t="n">
        <f aca="false">YEAR($B1454)</f>
        <v>2025</v>
      </c>
      <c r="D1454" s="61" t="str">
        <f aca="false">"Q"&amp;ROUNDUP(MONTH($B1454)/3,0)</f>
        <v>Q1</v>
      </c>
      <c r="E1454" s="61" t="n">
        <f aca="false">MONTH($B1454)</f>
        <v>3</v>
      </c>
      <c r="F1454" s="61" t="str">
        <f aca="false">INDEX(Parametros!$I$5:$I$16,$E1454)</f>
        <v>Mar</v>
      </c>
      <c r="G1454" s="61" t="str">
        <f aca="false">TEXT($C1454,"0000")&amp;"-"&amp;TEXT($E1454,"00")</f>
        <v>2025-03</v>
      </c>
      <c r="H1454" s="61" t="str">
        <f aca="false">INDEX(Parametros!$C$71:$C$91,MATCH(TRIM(INDEX(Datos_Origen!$C$2:$C$2459,$Z1454)),Parametros!$B$71:$B$91,0))</f>
        <v>Litoral</v>
      </c>
      <c r="I1454" s="61" t="str">
        <f aca="false">IF(TRIM($AD1454)="",INDEX(Parametros!$I$20:$I$24,MATCH($H1454,Parametros!$H$20:$H$24,0)),TRIM($AD1454))</f>
        <v>Rosario</v>
      </c>
      <c r="J1454" s="61" t="str">
        <f aca="false">INDEX(Parametros!$C$95:$C$106,MATCH(TRIM(INDEX(Datos_Origen!$E$2:$E$2459,$Z1454)),Parametros!$B$95:$B$106,0))</f>
        <v>Tienda fisica</v>
      </c>
      <c r="K1454" s="61" t="str">
        <f aca="false">INDEX(Parametros!$C$48:$C$67,MATCH(TRIM(INDEX(Datos_Origen!$F$2:$F$2459,$Z1454)),Parametros!$B$48:$B$67,0))</f>
        <v>Audio</v>
      </c>
      <c r="L1454" s="61" t="str">
        <f aca="false">$K1454&amp;" "&amp;$C1454</f>
        <v>Audio 2025</v>
      </c>
      <c r="M1454" s="61" t="str">
        <f aca="false">TRIM(INDEX(Datos_Origen!$G$2:$G$2459,$Z1454))</f>
        <v>Auriculares BT Pro</v>
      </c>
      <c r="N1454" s="61" t="str">
        <f aca="false">$M1454&amp;" "&amp;$C1454</f>
        <v>Auriculares BT Pro 2025</v>
      </c>
      <c r="O1454" s="63" t="n">
        <f aca="false">IF(ISTEXT($AC1454),VALUE($AC1454),$AC1454)</f>
        <v>18</v>
      </c>
      <c r="P1454" s="64" t="n">
        <f aca="false">INDEX(Datos_Origen!$I$2:$I$2459,$Z1454)</f>
        <v>119.23</v>
      </c>
      <c r="Q1454" s="64" t="n">
        <f aca="false">INDEX(Datos_Origen!$J$2:$J$2459,$Z1454)</f>
        <v>65.51</v>
      </c>
      <c r="R1454" s="65" t="n">
        <f aca="false">ROUND($O1454*$P1454,2)</f>
        <v>2146.14</v>
      </c>
      <c r="S1454" s="65" t="n">
        <f aca="false">ROUND($O1454*$Q1454,2)</f>
        <v>1179.18</v>
      </c>
      <c r="T1454" s="65" t="n">
        <f aca="false">ROUND($R1454*SUMIFS(Parametros!$E$28:$E$43,Parametros!$B$28:$B$43,$J1454,Parametros!$C$28:$C$43,$C1454,Parametros!$D$28:$D$43,$D1454),2)</f>
        <v>27.9</v>
      </c>
      <c r="U1454" s="65" t="n">
        <f aca="false">$R1454-$S1454-$T1454</f>
        <v>939.06</v>
      </c>
      <c r="V1454" s="66" t="n">
        <f aca="false">IFERROR($U1454/$R1454,0)</f>
        <v>0.437557661662333</v>
      </c>
      <c r="W1454" s="67" t="str">
        <f aca="false">IF(AND($V1454&gt;=Parametros!$C$8,$R1454&gt;=Parametros!$C$12),"Alta rentabilidad",IF(OR($V1454&lt;Parametros!$C$11,$R1454&lt;Parametros!$C$13),"Revisar","Estandar"))</f>
        <v>Estandar</v>
      </c>
      <c r="X1454" s="67" t="str">
        <f aca="false">IF(AND($J1454="E-commerce",IFERROR($T1454/$R1454,0)&gt;Parametros!$C$14),"Alerta","OK")</f>
        <v>OK</v>
      </c>
      <c r="Y1454" s="61" t="str">
        <f aca="false">IF($R1454&gt;=Parametros!$C$12,"Alto",IF($R1454&lt;Parametros!$C$13,"Bajo","Medio"))</f>
        <v>Medio</v>
      </c>
      <c r="Z1454" s="61" t="n">
        <v>187</v>
      </c>
      <c r="AA1454" s="61" t="str">
        <f aca="false">IF(MATCH($A1454,Datos_Origen!$A$2:$A$2459,0)=$Z1454,"OK","REVISAR")</f>
        <v>OK</v>
      </c>
      <c r="AB1454" s="62" t="n">
        <f aca="false">INDEX(Datos_Origen!$B$2:$B$2459,$Z1454)</f>
        <v>45736</v>
      </c>
      <c r="AC1454" s="61" t="n">
        <f aca="false">INDEX(Datos_Origen!$H$2:$H$2459,$Z1454)</f>
        <v>18</v>
      </c>
      <c r="AD1454" s="61" t="str">
        <f aca="false">INDEX(Datos_Origen!$D$2:$D$2459,$Z1454)&amp;""</f>
        <v>Rosario</v>
      </c>
    </row>
    <row r="1455" customFormat="false" ht="15" hidden="false" customHeight="false" outlineLevel="0" collapsed="false">
      <c r="A1455" s="61" t="n">
        <f aca="false">INDEX(Datos_Origen!$A$2:$A$2459,$Z1455)</f>
        <v>1454</v>
      </c>
      <c r="B1455" s="62" t="n">
        <f aca="false">IF(ISNUMBER($AB1455),$AB1455,IF(MID($AB1455,5,1)="-",DATE(VALUE(LEFT($AB1455,4)),VALUE(MID($AB1455,6,2)),VALUE(RIGHT($AB1455,2))),DATE(VALUE(RIGHT($AB1455,4)),VALUE(MID($AB1455,4,2)),VALUE(LEFT($AB1455,2)))))</f>
        <v>45743</v>
      </c>
      <c r="C1455" s="61" t="n">
        <f aca="false">YEAR($B1455)</f>
        <v>2025</v>
      </c>
      <c r="D1455" s="61" t="str">
        <f aca="false">"Q"&amp;ROUNDUP(MONTH($B1455)/3,0)</f>
        <v>Q1</v>
      </c>
      <c r="E1455" s="61" t="n">
        <f aca="false">MONTH($B1455)</f>
        <v>3</v>
      </c>
      <c r="F1455" s="61" t="str">
        <f aca="false">INDEX(Parametros!$I$5:$I$16,$E1455)</f>
        <v>Mar</v>
      </c>
      <c r="G1455" s="61" t="str">
        <f aca="false">TEXT($C1455,"0000")&amp;"-"&amp;TEXT($E1455,"00")</f>
        <v>2025-03</v>
      </c>
      <c r="H1455" s="61" t="str">
        <f aca="false">INDEX(Parametros!$C$71:$C$91,MATCH(TRIM(INDEX(Datos_Origen!$C$2:$C$2459,$Z1455)),Parametros!$B$71:$B$91,0))</f>
        <v>Litoral</v>
      </c>
      <c r="I1455" s="61" t="str">
        <f aca="false">IF(TRIM($AD1455)="",INDEX(Parametros!$I$20:$I$24,MATCH($H1455,Parametros!$H$20:$H$24,0)),TRIM($AD1455))</f>
        <v>Rosario</v>
      </c>
      <c r="J1455" s="61" t="str">
        <f aca="false">INDEX(Parametros!$C$95:$C$106,MATCH(TRIM(INDEX(Datos_Origen!$E$2:$E$2459,$Z1455)),Parametros!$B$95:$B$106,0))</f>
        <v>E-commerce</v>
      </c>
      <c r="K1455" s="61" t="str">
        <f aca="false">INDEX(Parametros!$C$48:$C$67,MATCH(TRIM(INDEX(Datos_Origen!$F$2:$F$2459,$Z1455)),Parametros!$B$48:$B$67,0))</f>
        <v>Audio</v>
      </c>
      <c r="L1455" s="61" t="str">
        <f aca="false">$K1455&amp;" "&amp;$C1455</f>
        <v>Audio 2025</v>
      </c>
      <c r="M1455" s="61" t="str">
        <f aca="false">TRIM(INDEX(Datos_Origen!$G$2:$G$2459,$Z1455))</f>
        <v>Auriculares BT Pro</v>
      </c>
      <c r="N1455" s="61" t="str">
        <f aca="false">$M1455&amp;" "&amp;$C1455</f>
        <v>Auriculares BT Pro 2025</v>
      </c>
      <c r="O1455" s="63" t="n">
        <f aca="false">IF(ISTEXT($AC1455),VALUE($AC1455),$AC1455)</f>
        <v>10</v>
      </c>
      <c r="P1455" s="64" t="n">
        <f aca="false">INDEX(Datos_Origen!$I$2:$I$2459,$Z1455)</f>
        <v>119.23</v>
      </c>
      <c r="Q1455" s="64" t="n">
        <f aca="false">INDEX(Datos_Origen!$J$2:$J$2459,$Z1455)</f>
        <v>65.51</v>
      </c>
      <c r="R1455" s="65" t="n">
        <f aca="false">ROUND($O1455*$P1455,2)</f>
        <v>1192.3</v>
      </c>
      <c r="S1455" s="65" t="n">
        <f aca="false">ROUND($O1455*$Q1455,2)</f>
        <v>655.1</v>
      </c>
      <c r="T1455" s="65" t="n">
        <f aca="false">ROUND($R1455*SUMIFS(Parametros!$E$28:$E$43,Parametros!$B$28:$B$43,$J1455,Parametros!$C$28:$C$43,$C1455,Parametros!$D$28:$D$43,$D1455),2)</f>
        <v>81.08</v>
      </c>
      <c r="U1455" s="65" t="n">
        <f aca="false">$R1455-$S1455-$T1455</f>
        <v>456.12</v>
      </c>
      <c r="V1455" s="66" t="n">
        <f aca="false">IFERROR($U1455/$R1455,0)</f>
        <v>0.382554726159524</v>
      </c>
      <c r="W1455" s="67" t="str">
        <f aca="false">IF(AND($V1455&gt;=Parametros!$C$8,$R1455&gt;=Parametros!$C$12),"Alta rentabilidad",IF(OR($V1455&lt;Parametros!$C$11,$R1455&lt;Parametros!$C$13),"Revisar","Estandar"))</f>
        <v>Estandar</v>
      </c>
      <c r="X1455" s="67" t="str">
        <f aca="false">IF(AND($J1455="E-commerce",IFERROR($T1455/$R1455,0)&gt;Parametros!$C$14),"Alerta","OK")</f>
        <v>Alerta</v>
      </c>
      <c r="Y1455" s="61" t="str">
        <f aca="false">IF($R1455&gt;=Parametros!$C$12,"Alto",IF($R1455&lt;Parametros!$C$13,"Bajo","Medio"))</f>
        <v>Medio</v>
      </c>
      <c r="Z1455" s="61" t="n">
        <v>891</v>
      </c>
      <c r="AA1455" s="61" t="str">
        <f aca="false">IF(MATCH($A1455,Datos_Origen!$A$2:$A$2459,0)=$Z1455,"OK","REVISAR")</f>
        <v>OK</v>
      </c>
      <c r="AB1455" s="62" t="n">
        <f aca="false">INDEX(Datos_Origen!$B$2:$B$2459,$Z1455)</f>
        <v>45743</v>
      </c>
      <c r="AC1455" s="61" t="n">
        <f aca="false">INDEX(Datos_Origen!$H$2:$H$2459,$Z1455)</f>
        <v>10</v>
      </c>
      <c r="AD1455" s="61" t="str">
        <f aca="false">INDEX(Datos_Origen!$D$2:$D$2459,$Z1455)&amp;""</f>
        <v>Rosario</v>
      </c>
    </row>
    <row r="1456" customFormat="false" ht="15" hidden="false" customHeight="false" outlineLevel="0" collapsed="false">
      <c r="A1456" s="61" t="n">
        <f aca="false">INDEX(Datos_Origen!$A$2:$A$2459,$Z1456)</f>
        <v>1455</v>
      </c>
      <c r="B1456" s="62" t="n">
        <f aca="false">IF(ISNUMBER($AB1456),$AB1456,IF(MID($AB1456,5,1)="-",DATE(VALUE(LEFT($AB1456,4)),VALUE(MID($AB1456,6,2)),VALUE(RIGHT($AB1456,2))),DATE(VALUE(RIGHT($AB1456,4)),VALUE(MID($AB1456,4,2)),VALUE(LEFT($AB1456,2)))))</f>
        <v>45723</v>
      </c>
      <c r="C1456" s="61" t="n">
        <f aca="false">YEAR($B1456)</f>
        <v>2025</v>
      </c>
      <c r="D1456" s="61" t="str">
        <f aca="false">"Q"&amp;ROUNDUP(MONTH($B1456)/3,0)</f>
        <v>Q1</v>
      </c>
      <c r="E1456" s="61" t="n">
        <f aca="false">MONTH($B1456)</f>
        <v>3</v>
      </c>
      <c r="F1456" s="61" t="str">
        <f aca="false">INDEX(Parametros!$I$5:$I$16,$E1456)</f>
        <v>Mar</v>
      </c>
      <c r="G1456" s="61" t="str">
        <f aca="false">TEXT($C1456,"0000")&amp;"-"&amp;TEXT($E1456,"00")</f>
        <v>2025-03</v>
      </c>
      <c r="H1456" s="61" t="str">
        <f aca="false">INDEX(Parametros!$C$71:$C$91,MATCH(TRIM(INDEX(Datos_Origen!$C$2:$C$2459,$Z1456)),Parametros!$B$71:$B$91,0))</f>
        <v>Litoral</v>
      </c>
      <c r="I1456" s="61" t="str">
        <f aca="false">IF(TRIM($AD1456)="",INDEX(Parametros!$I$20:$I$24,MATCH($H1456,Parametros!$H$20:$H$24,0)),TRIM($AD1456))</f>
        <v>Rosario</v>
      </c>
      <c r="J1456" s="61" t="str">
        <f aca="false">INDEX(Parametros!$C$95:$C$106,MATCH(TRIM(INDEX(Datos_Origen!$E$2:$E$2459,$Z1456)),Parametros!$B$95:$B$106,0))</f>
        <v>Tienda fisica</v>
      </c>
      <c r="K1456" s="61" t="str">
        <f aca="false">INDEX(Parametros!$C$48:$C$67,MATCH(TRIM(INDEX(Datos_Origen!$F$2:$F$2459,$Z1456)),Parametros!$B$48:$B$67,0))</f>
        <v>Audio</v>
      </c>
      <c r="L1456" s="61" t="str">
        <f aca="false">$K1456&amp;" "&amp;$C1456</f>
        <v>Audio 2025</v>
      </c>
      <c r="M1456" s="61" t="str">
        <f aca="false">TRIM(INDEX(Datos_Origen!$G$2:$G$2459,$Z1456))</f>
        <v>Parlante Bluetooth</v>
      </c>
      <c r="N1456" s="61" t="str">
        <f aca="false">$M1456&amp;" "&amp;$C1456</f>
        <v>Parlante Bluetooth 2025</v>
      </c>
      <c r="O1456" s="63" t="n">
        <f aca="false">IF(ISTEXT($AC1456),VALUE($AC1456),$AC1456)</f>
        <v>15</v>
      </c>
      <c r="P1456" s="64" t="n">
        <f aca="false">INDEX(Datos_Origen!$I$2:$I$2459,$Z1456)</f>
        <v>84.46</v>
      </c>
      <c r="Q1456" s="64" t="n">
        <f aca="false">INDEX(Datos_Origen!$J$2:$J$2459,$Z1456)</f>
        <v>49.47</v>
      </c>
      <c r="R1456" s="65" t="n">
        <f aca="false">ROUND($O1456*$P1456,2)</f>
        <v>1266.9</v>
      </c>
      <c r="S1456" s="65" t="n">
        <f aca="false">ROUND($O1456*$Q1456,2)</f>
        <v>742.05</v>
      </c>
      <c r="T1456" s="65" t="n">
        <f aca="false">ROUND($R1456*SUMIFS(Parametros!$E$28:$E$43,Parametros!$B$28:$B$43,$J1456,Parametros!$C$28:$C$43,$C1456,Parametros!$D$28:$D$43,$D1456),2)</f>
        <v>16.47</v>
      </c>
      <c r="U1456" s="65" t="n">
        <f aca="false">$R1456-$S1456-$T1456</f>
        <v>508.38</v>
      </c>
      <c r="V1456" s="66" t="n">
        <f aca="false">IFERROR($U1456/$R1456,0)</f>
        <v>0.401278711816244</v>
      </c>
      <c r="W1456" s="67" t="str">
        <f aca="false">IF(AND($V1456&gt;=Parametros!$C$8,$R1456&gt;=Parametros!$C$12),"Alta rentabilidad",IF(OR($V1456&lt;Parametros!$C$11,$R1456&lt;Parametros!$C$13),"Revisar","Estandar"))</f>
        <v>Estandar</v>
      </c>
      <c r="X1456" s="67" t="str">
        <f aca="false">IF(AND($J1456="E-commerce",IFERROR($T1456/$R1456,0)&gt;Parametros!$C$14),"Alerta","OK")</f>
        <v>OK</v>
      </c>
      <c r="Y1456" s="61" t="str">
        <f aca="false">IF($R1456&gt;=Parametros!$C$12,"Alto",IF($R1456&lt;Parametros!$C$13,"Bajo","Medio"))</f>
        <v>Medio</v>
      </c>
      <c r="Z1456" s="61" t="n">
        <v>1038</v>
      </c>
      <c r="AA1456" s="61" t="str">
        <f aca="false">IF(MATCH($A1456,Datos_Origen!$A$2:$A$2459,0)=$Z1456,"OK","REVISAR")</f>
        <v>OK</v>
      </c>
      <c r="AB1456" s="62" t="n">
        <f aca="false">INDEX(Datos_Origen!$B$2:$B$2459,$Z1456)</f>
        <v>45723</v>
      </c>
      <c r="AC1456" s="61" t="n">
        <f aca="false">INDEX(Datos_Origen!$H$2:$H$2459,$Z1456)</f>
        <v>15</v>
      </c>
      <c r="AD1456" s="61" t="str">
        <f aca="false">INDEX(Datos_Origen!$D$2:$D$2459,$Z1456)&amp;""</f>
        <v>Rosario</v>
      </c>
    </row>
    <row r="1457" customFormat="false" ht="15" hidden="false" customHeight="false" outlineLevel="0" collapsed="false">
      <c r="A1457" s="61" t="n">
        <f aca="false">INDEX(Datos_Origen!$A$2:$A$2459,$Z1457)</f>
        <v>1456</v>
      </c>
      <c r="B1457" s="62" t="n">
        <f aca="false">IF(ISNUMBER($AB1457),$AB1457,IF(MID($AB1457,5,1)="-",DATE(VALUE(LEFT($AB1457,4)),VALUE(MID($AB1457,6,2)),VALUE(RIGHT($AB1457,2))),DATE(VALUE(RIGHT($AB1457,4)),VALUE(MID($AB1457,4,2)),VALUE(LEFT($AB1457,2)))))</f>
        <v>45730</v>
      </c>
      <c r="C1457" s="61" t="n">
        <f aca="false">YEAR($B1457)</f>
        <v>2025</v>
      </c>
      <c r="D1457" s="61" t="str">
        <f aca="false">"Q"&amp;ROUNDUP(MONTH($B1457)/3,0)</f>
        <v>Q1</v>
      </c>
      <c r="E1457" s="61" t="n">
        <f aca="false">MONTH($B1457)</f>
        <v>3</v>
      </c>
      <c r="F1457" s="61" t="str">
        <f aca="false">INDEX(Parametros!$I$5:$I$16,$E1457)</f>
        <v>Mar</v>
      </c>
      <c r="G1457" s="61" t="str">
        <f aca="false">TEXT($C1457,"0000")&amp;"-"&amp;TEXT($E1457,"00")</f>
        <v>2025-03</v>
      </c>
      <c r="H1457" s="61" t="str">
        <f aca="false">INDEX(Parametros!$C$71:$C$91,MATCH(TRIM(INDEX(Datos_Origen!$C$2:$C$2459,$Z1457)),Parametros!$B$71:$B$91,0))</f>
        <v>Litoral</v>
      </c>
      <c r="I1457" s="61" t="str">
        <f aca="false">IF(TRIM($AD1457)="",INDEX(Parametros!$I$20:$I$24,MATCH($H1457,Parametros!$H$20:$H$24,0)),TRIM($AD1457))</f>
        <v>Rosario</v>
      </c>
      <c r="J1457" s="61" t="str">
        <f aca="false">INDEX(Parametros!$C$95:$C$106,MATCH(TRIM(INDEX(Datos_Origen!$E$2:$E$2459,$Z1457)),Parametros!$B$95:$B$106,0))</f>
        <v>E-commerce</v>
      </c>
      <c r="K1457" s="61" t="str">
        <f aca="false">INDEX(Parametros!$C$48:$C$67,MATCH(TRIM(INDEX(Datos_Origen!$F$2:$F$2459,$Z1457)),Parametros!$B$48:$B$67,0))</f>
        <v>Audio</v>
      </c>
      <c r="L1457" s="61" t="str">
        <f aca="false">$K1457&amp;" "&amp;$C1457</f>
        <v>Audio 2025</v>
      </c>
      <c r="M1457" s="61" t="str">
        <f aca="false">TRIM(INDEX(Datos_Origen!$G$2:$G$2459,$Z1457))</f>
        <v>Parlante Bluetooth</v>
      </c>
      <c r="N1457" s="61" t="str">
        <f aca="false">$M1457&amp;" "&amp;$C1457</f>
        <v>Parlante Bluetooth 2025</v>
      </c>
      <c r="O1457" s="63" t="n">
        <f aca="false">IF(ISTEXT($AC1457),VALUE($AC1457),$AC1457)</f>
        <v>10</v>
      </c>
      <c r="P1457" s="64" t="n">
        <f aca="false">INDEX(Datos_Origen!$I$2:$I$2459,$Z1457)</f>
        <v>84.46</v>
      </c>
      <c r="Q1457" s="64" t="n">
        <f aca="false">INDEX(Datos_Origen!$J$2:$J$2459,$Z1457)</f>
        <v>49.47</v>
      </c>
      <c r="R1457" s="65" t="n">
        <f aca="false">ROUND($O1457*$P1457,2)</f>
        <v>844.6</v>
      </c>
      <c r="S1457" s="65" t="n">
        <f aca="false">ROUND($O1457*$Q1457,2)</f>
        <v>494.7</v>
      </c>
      <c r="T1457" s="65" t="n">
        <f aca="false">ROUND($R1457*SUMIFS(Parametros!$E$28:$E$43,Parametros!$B$28:$B$43,$J1457,Parametros!$C$28:$C$43,$C1457,Parametros!$D$28:$D$43,$D1457),2)</f>
        <v>57.43</v>
      </c>
      <c r="U1457" s="65" t="n">
        <f aca="false">$R1457-$S1457-$T1457</f>
        <v>292.47</v>
      </c>
      <c r="V1457" s="66" t="n">
        <f aca="false">IFERROR($U1457/$R1457,0)</f>
        <v>0.346282263793512</v>
      </c>
      <c r="W1457" s="67" t="str">
        <f aca="false">IF(AND($V1457&gt;=Parametros!$C$8,$R1457&gt;=Parametros!$C$12),"Alta rentabilidad",IF(OR($V1457&lt;Parametros!$C$11,$R1457&lt;Parametros!$C$13),"Revisar","Estandar"))</f>
        <v>Estandar</v>
      </c>
      <c r="X1457" s="67" t="str">
        <f aca="false">IF(AND($J1457="E-commerce",IFERROR($T1457/$R1457,0)&gt;Parametros!$C$14),"Alerta","OK")</f>
        <v>Alerta</v>
      </c>
      <c r="Y1457" s="61" t="str">
        <f aca="false">IF($R1457&gt;=Parametros!$C$12,"Alto",IF($R1457&lt;Parametros!$C$13,"Bajo","Medio"))</f>
        <v>Medio</v>
      </c>
      <c r="Z1457" s="61" t="n">
        <v>1412</v>
      </c>
      <c r="AA1457" s="61" t="str">
        <f aca="false">IF(MATCH($A1457,Datos_Origen!$A$2:$A$2459,0)=$Z1457,"OK","REVISAR")</f>
        <v>OK</v>
      </c>
      <c r="AB1457" s="62" t="n">
        <f aca="false">INDEX(Datos_Origen!$B$2:$B$2459,$Z1457)</f>
        <v>45730</v>
      </c>
      <c r="AC1457" s="61" t="n">
        <f aca="false">INDEX(Datos_Origen!$H$2:$H$2459,$Z1457)</f>
        <v>10</v>
      </c>
      <c r="AD1457" s="61" t="str">
        <f aca="false">INDEX(Datos_Origen!$D$2:$D$2459,$Z1457)&amp;""</f>
        <v>Rosario</v>
      </c>
    </row>
    <row r="1458" customFormat="false" ht="15" hidden="false" customHeight="false" outlineLevel="0" collapsed="false">
      <c r="A1458" s="61" t="n">
        <f aca="false">INDEX(Datos_Origen!$A$2:$A$2459,$Z1458)</f>
        <v>1457</v>
      </c>
      <c r="B1458" s="62" t="n">
        <f aca="false">IF(ISNUMBER($AB1458),$AB1458,IF(MID($AB1458,5,1)="-",DATE(VALUE(LEFT($AB1458,4)),VALUE(MID($AB1458,6,2)),VALUE(RIGHT($AB1458,2))),DATE(VALUE(RIGHT($AB1458,4)),VALUE(MID($AB1458,4,2)),VALUE(LEFT($AB1458,2)))))</f>
        <v>45737</v>
      </c>
      <c r="C1458" s="61" t="n">
        <f aca="false">YEAR($B1458)</f>
        <v>2025</v>
      </c>
      <c r="D1458" s="61" t="str">
        <f aca="false">"Q"&amp;ROUNDUP(MONTH($B1458)/3,0)</f>
        <v>Q1</v>
      </c>
      <c r="E1458" s="61" t="n">
        <f aca="false">MONTH($B1458)</f>
        <v>3</v>
      </c>
      <c r="F1458" s="61" t="str">
        <f aca="false">INDEX(Parametros!$I$5:$I$16,$E1458)</f>
        <v>Mar</v>
      </c>
      <c r="G1458" s="61" t="str">
        <f aca="false">TEXT($C1458,"0000")&amp;"-"&amp;TEXT($E1458,"00")</f>
        <v>2025-03</v>
      </c>
      <c r="H1458" s="61" t="str">
        <f aca="false">INDEX(Parametros!$C$71:$C$91,MATCH(TRIM(INDEX(Datos_Origen!$C$2:$C$2459,$Z1458)),Parametros!$B$71:$B$91,0))</f>
        <v>Litoral</v>
      </c>
      <c r="I1458" s="61" t="str">
        <f aca="false">IF(TRIM($AD1458)="",INDEX(Parametros!$I$20:$I$24,MATCH($H1458,Parametros!$H$20:$H$24,0)),TRIM($AD1458))</f>
        <v>Rosario</v>
      </c>
      <c r="J1458" s="61" t="str">
        <f aca="false">INDEX(Parametros!$C$95:$C$106,MATCH(TRIM(INDEX(Datos_Origen!$E$2:$E$2459,$Z1458)),Parametros!$B$95:$B$106,0))</f>
        <v>Tienda fisica</v>
      </c>
      <c r="K1458" s="61" t="str">
        <f aca="false">INDEX(Parametros!$C$48:$C$67,MATCH(TRIM(INDEX(Datos_Origen!$F$2:$F$2459,$Z1458)),Parametros!$B$48:$B$67,0))</f>
        <v>Almacenamiento</v>
      </c>
      <c r="L1458" s="61" t="str">
        <f aca="false">$K1458&amp;" "&amp;$C1458</f>
        <v>Almacenamiento 2025</v>
      </c>
      <c r="M1458" s="61" t="str">
        <f aca="false">TRIM(INDEX(Datos_Origen!$G$2:$G$2459,$Z1458))</f>
        <v>SSD Externo 1TB</v>
      </c>
      <c r="N1458" s="61" t="str">
        <f aca="false">$M1458&amp;" "&amp;$C1458</f>
        <v>SSD Externo 1TB 2025</v>
      </c>
      <c r="O1458" s="63" t="n">
        <f aca="false">IF(ISTEXT($AC1458),VALUE($AC1458),$AC1458)</f>
        <v>26</v>
      </c>
      <c r="P1458" s="64" t="n">
        <f aca="false">INDEX(Datos_Origen!$I$2:$I$2459,$Z1458)</f>
        <v>129.17</v>
      </c>
      <c r="Q1458" s="64" t="n">
        <f aca="false">INDEX(Datos_Origen!$J$2:$J$2459,$Z1458)</f>
        <v>78.33</v>
      </c>
      <c r="R1458" s="65" t="n">
        <f aca="false">ROUND($O1458*$P1458,2)</f>
        <v>3358.42</v>
      </c>
      <c r="S1458" s="65" t="n">
        <f aca="false">ROUND($O1458*$Q1458,2)</f>
        <v>2036.58</v>
      </c>
      <c r="T1458" s="65" t="n">
        <f aca="false">ROUND($R1458*SUMIFS(Parametros!$E$28:$E$43,Parametros!$B$28:$B$43,$J1458,Parametros!$C$28:$C$43,$C1458,Parametros!$D$28:$D$43,$D1458),2)</f>
        <v>43.66</v>
      </c>
      <c r="U1458" s="65" t="n">
        <f aca="false">$R1458-$S1458-$T1458</f>
        <v>1278.18</v>
      </c>
      <c r="V1458" s="66" t="n">
        <f aca="false">IFERROR($U1458/$R1458,0)</f>
        <v>0.38058968205287</v>
      </c>
      <c r="W1458" s="67" t="str">
        <f aca="false">IF(AND($V1458&gt;=Parametros!$C$8,$R1458&gt;=Parametros!$C$12),"Alta rentabilidad",IF(OR($V1458&lt;Parametros!$C$11,$R1458&lt;Parametros!$C$13),"Revisar","Estandar"))</f>
        <v>Alta rentabilidad</v>
      </c>
      <c r="X1458" s="67" t="str">
        <f aca="false">IF(AND($J1458="E-commerce",IFERROR($T1458/$R1458,0)&gt;Parametros!$C$14),"Alerta","OK")</f>
        <v>OK</v>
      </c>
      <c r="Y1458" s="61" t="str">
        <f aca="false">IF($R1458&gt;=Parametros!$C$12,"Alto",IF($R1458&lt;Parametros!$C$13,"Bajo","Medio"))</f>
        <v>Alto</v>
      </c>
      <c r="Z1458" s="61" t="n">
        <v>898</v>
      </c>
      <c r="AA1458" s="61" t="str">
        <f aca="false">IF(MATCH($A1458,Datos_Origen!$A$2:$A$2459,0)=$Z1458,"OK","REVISAR")</f>
        <v>OK</v>
      </c>
      <c r="AB1458" s="62" t="n">
        <f aca="false">INDEX(Datos_Origen!$B$2:$B$2459,$Z1458)</f>
        <v>45737</v>
      </c>
      <c r="AC1458" s="61" t="n">
        <f aca="false">INDEX(Datos_Origen!$H$2:$H$2459,$Z1458)</f>
        <v>26</v>
      </c>
      <c r="AD1458" s="61" t="str">
        <f aca="false">INDEX(Datos_Origen!$D$2:$D$2459,$Z1458)&amp;""</f>
        <v>Rosario</v>
      </c>
    </row>
    <row r="1459" customFormat="false" ht="15" hidden="false" customHeight="false" outlineLevel="0" collapsed="false">
      <c r="A1459" s="61" t="n">
        <f aca="false">INDEX(Datos_Origen!$A$2:$A$2459,$Z1459)</f>
        <v>1458</v>
      </c>
      <c r="B1459" s="62" t="n">
        <f aca="false">IF(ISNUMBER($AB1459),$AB1459,IF(MID($AB1459,5,1)="-",DATE(VALUE(LEFT($AB1459,4)),VALUE(MID($AB1459,6,2)),VALUE(RIGHT($AB1459,2))),DATE(VALUE(RIGHT($AB1459,4)),VALUE(MID($AB1459,4,2)),VALUE(LEFT($AB1459,2)))))</f>
        <v>45717</v>
      </c>
      <c r="C1459" s="61" t="n">
        <f aca="false">YEAR($B1459)</f>
        <v>2025</v>
      </c>
      <c r="D1459" s="61" t="str">
        <f aca="false">"Q"&amp;ROUNDUP(MONTH($B1459)/3,0)</f>
        <v>Q1</v>
      </c>
      <c r="E1459" s="61" t="n">
        <f aca="false">MONTH($B1459)</f>
        <v>3</v>
      </c>
      <c r="F1459" s="61" t="str">
        <f aca="false">INDEX(Parametros!$I$5:$I$16,$E1459)</f>
        <v>Mar</v>
      </c>
      <c r="G1459" s="61" t="str">
        <f aca="false">TEXT($C1459,"0000")&amp;"-"&amp;TEXT($E1459,"00")</f>
        <v>2025-03</v>
      </c>
      <c r="H1459" s="61" t="str">
        <f aca="false">INDEX(Parametros!$C$71:$C$91,MATCH(TRIM(INDEX(Datos_Origen!$C$2:$C$2459,$Z1459)),Parametros!$B$71:$B$91,0))</f>
        <v>Litoral</v>
      </c>
      <c r="I1459" s="61" t="str">
        <f aca="false">IF(TRIM($AD1459)="",INDEX(Parametros!$I$20:$I$24,MATCH($H1459,Parametros!$H$20:$H$24,0)),TRIM($AD1459))</f>
        <v>Rosario</v>
      </c>
      <c r="J1459" s="61" t="str">
        <f aca="false">INDEX(Parametros!$C$95:$C$106,MATCH(TRIM(INDEX(Datos_Origen!$E$2:$E$2459,$Z1459)),Parametros!$B$95:$B$106,0))</f>
        <v>E-commerce</v>
      </c>
      <c r="K1459" s="61" t="str">
        <f aca="false">INDEX(Parametros!$C$48:$C$67,MATCH(TRIM(INDEX(Datos_Origen!$F$2:$F$2459,$Z1459)),Parametros!$B$48:$B$67,0))</f>
        <v>Almacenamiento</v>
      </c>
      <c r="L1459" s="61" t="str">
        <f aca="false">$K1459&amp;" "&amp;$C1459</f>
        <v>Almacenamiento 2025</v>
      </c>
      <c r="M1459" s="61" t="str">
        <f aca="false">TRIM(INDEX(Datos_Origen!$G$2:$G$2459,$Z1459))</f>
        <v>SSD Externo 1TB</v>
      </c>
      <c r="N1459" s="61" t="str">
        <f aca="false">$M1459&amp;" "&amp;$C1459</f>
        <v>SSD Externo 1TB 2025</v>
      </c>
      <c r="O1459" s="63" t="n">
        <f aca="false">IF(ISTEXT($AC1459),VALUE($AC1459),$AC1459)</f>
        <v>18</v>
      </c>
      <c r="P1459" s="64" t="n">
        <f aca="false">INDEX(Datos_Origen!$I$2:$I$2459,$Z1459)</f>
        <v>129.17</v>
      </c>
      <c r="Q1459" s="64" t="n">
        <f aca="false">INDEX(Datos_Origen!$J$2:$J$2459,$Z1459)</f>
        <v>78.33</v>
      </c>
      <c r="R1459" s="65" t="n">
        <f aca="false">ROUND($O1459*$P1459,2)</f>
        <v>2325.06</v>
      </c>
      <c r="S1459" s="65" t="n">
        <f aca="false">ROUND($O1459*$Q1459,2)</f>
        <v>1409.94</v>
      </c>
      <c r="T1459" s="65" t="n">
        <f aca="false">ROUND($R1459*SUMIFS(Parametros!$E$28:$E$43,Parametros!$B$28:$B$43,$J1459,Parametros!$C$28:$C$43,$C1459,Parametros!$D$28:$D$43,$D1459),2)</f>
        <v>158.1</v>
      </c>
      <c r="U1459" s="65" t="n">
        <f aca="false">$R1459-$S1459-$T1459</f>
        <v>757.02</v>
      </c>
      <c r="V1459" s="66" t="n">
        <f aca="false">IFERROR($U1459/$R1459,0)</f>
        <v>0.32559159763619</v>
      </c>
      <c r="W1459" s="67" t="str">
        <f aca="false">IF(AND($V1459&gt;=Parametros!$C$8,$R1459&gt;=Parametros!$C$12),"Alta rentabilidad",IF(OR($V1459&lt;Parametros!$C$11,$R1459&lt;Parametros!$C$13),"Revisar","Estandar"))</f>
        <v>Estandar</v>
      </c>
      <c r="X1459" s="67" t="str">
        <f aca="false">IF(AND($J1459="E-commerce",IFERROR($T1459/$R1459,0)&gt;Parametros!$C$14),"Alerta","OK")</f>
        <v>Alerta</v>
      </c>
      <c r="Y1459" s="61" t="str">
        <f aca="false">IF($R1459&gt;=Parametros!$C$12,"Alto",IF($R1459&lt;Parametros!$C$13,"Bajo","Medio"))</f>
        <v>Medio</v>
      </c>
      <c r="Z1459" s="61" t="n">
        <v>1053</v>
      </c>
      <c r="AA1459" s="61" t="str">
        <f aca="false">IF(MATCH($A1459,Datos_Origen!$A$2:$A$2459,0)=$Z1459,"OK","REVISAR")</f>
        <v>OK</v>
      </c>
      <c r="AB1459" s="62" t="n">
        <f aca="false">INDEX(Datos_Origen!$B$2:$B$2459,$Z1459)</f>
        <v>45717</v>
      </c>
      <c r="AC1459" s="61" t="str">
        <f aca="false">INDEX(Datos_Origen!$H$2:$H$2459,$Z1459)</f>
        <v>18</v>
      </c>
      <c r="AD1459" s="61" t="str">
        <f aca="false">INDEX(Datos_Origen!$D$2:$D$2459,$Z1459)&amp;""</f>
        <v/>
      </c>
    </row>
    <row r="1460" customFormat="false" ht="15" hidden="false" customHeight="false" outlineLevel="0" collapsed="false">
      <c r="A1460" s="61" t="n">
        <f aca="false">INDEX(Datos_Origen!$A$2:$A$2459,$Z1460)</f>
        <v>1459</v>
      </c>
      <c r="B1460" s="62" t="n">
        <f aca="false">IF(ISNUMBER($AB1460),$AB1460,IF(MID($AB1460,5,1)="-",DATE(VALUE(LEFT($AB1460,4)),VALUE(MID($AB1460,6,2)),VALUE(RIGHT($AB1460,2))),DATE(VALUE(RIGHT($AB1460,4)),VALUE(MID($AB1460,4,2)),VALUE(LEFT($AB1460,2)))))</f>
        <v>45724</v>
      </c>
      <c r="C1460" s="61" t="n">
        <f aca="false">YEAR($B1460)</f>
        <v>2025</v>
      </c>
      <c r="D1460" s="61" t="str">
        <f aca="false">"Q"&amp;ROUNDUP(MONTH($B1460)/3,0)</f>
        <v>Q1</v>
      </c>
      <c r="E1460" s="61" t="n">
        <f aca="false">MONTH($B1460)</f>
        <v>3</v>
      </c>
      <c r="F1460" s="61" t="str">
        <f aca="false">INDEX(Parametros!$I$5:$I$16,$E1460)</f>
        <v>Mar</v>
      </c>
      <c r="G1460" s="61" t="str">
        <f aca="false">TEXT($C1460,"0000")&amp;"-"&amp;TEXT($E1460,"00")</f>
        <v>2025-03</v>
      </c>
      <c r="H1460" s="61" t="str">
        <f aca="false">INDEX(Parametros!$C$71:$C$91,MATCH(TRIM(INDEX(Datos_Origen!$C$2:$C$2459,$Z1460)),Parametros!$B$71:$B$91,0))</f>
        <v>Litoral</v>
      </c>
      <c r="I1460" s="61" t="str">
        <f aca="false">IF(TRIM($AD1460)="",INDEX(Parametros!$I$20:$I$24,MATCH($H1460,Parametros!$H$20:$H$24,0)),TRIM($AD1460))</f>
        <v>Rosario</v>
      </c>
      <c r="J1460" s="61" t="str">
        <f aca="false">INDEX(Parametros!$C$95:$C$106,MATCH(TRIM(INDEX(Datos_Origen!$E$2:$E$2459,$Z1460)),Parametros!$B$95:$B$106,0))</f>
        <v>Tienda fisica</v>
      </c>
      <c r="K1460" s="61" t="str">
        <f aca="false">INDEX(Parametros!$C$48:$C$67,MATCH(TRIM(INDEX(Datos_Origen!$F$2:$F$2459,$Z1460)),Parametros!$B$48:$B$67,0))</f>
        <v>Almacenamiento</v>
      </c>
      <c r="L1460" s="61" t="str">
        <f aca="false">$K1460&amp;" "&amp;$C1460</f>
        <v>Almacenamiento 2025</v>
      </c>
      <c r="M1460" s="61" t="str">
        <f aca="false">TRIM(INDEX(Datos_Origen!$G$2:$G$2459,$Z1460))</f>
        <v>Pendrive 256GB</v>
      </c>
      <c r="N1460" s="61" t="str">
        <f aca="false">$M1460&amp;" "&amp;$C1460</f>
        <v>Pendrive 256GB 2025</v>
      </c>
      <c r="O1460" s="63" t="n">
        <f aca="false">IF(ISTEXT($AC1460),VALUE($AC1460),$AC1460)</f>
        <v>25</v>
      </c>
      <c r="P1460" s="64" t="n">
        <f aca="false">INDEX(Datos_Origen!$I$2:$I$2459,$Z1460)</f>
        <v>34.78</v>
      </c>
      <c r="Q1460" s="64" t="n">
        <f aca="false">INDEX(Datos_Origen!$J$2:$J$2459,$Z1460)</f>
        <v>18.39</v>
      </c>
      <c r="R1460" s="65" t="n">
        <f aca="false">ROUND($O1460*$P1460,2)</f>
        <v>869.5</v>
      </c>
      <c r="S1460" s="65" t="n">
        <f aca="false">ROUND($O1460*$Q1460,2)</f>
        <v>459.75</v>
      </c>
      <c r="T1460" s="65" t="n">
        <f aca="false">ROUND($R1460*SUMIFS(Parametros!$E$28:$E$43,Parametros!$B$28:$B$43,$J1460,Parametros!$C$28:$C$43,$C1460,Parametros!$D$28:$D$43,$D1460),2)</f>
        <v>11.3</v>
      </c>
      <c r="U1460" s="65" t="n">
        <f aca="false">$R1460-$S1460-$T1460</f>
        <v>398.45</v>
      </c>
      <c r="V1460" s="66" t="n">
        <f aca="false">IFERROR($U1460/$R1460,0)</f>
        <v>0.458251868890167</v>
      </c>
      <c r="W1460" s="67" t="str">
        <f aca="false">IF(AND($V1460&gt;=Parametros!$C$8,$R1460&gt;=Parametros!$C$12),"Alta rentabilidad",IF(OR($V1460&lt;Parametros!$C$11,$R1460&lt;Parametros!$C$13),"Revisar","Estandar"))</f>
        <v>Estandar</v>
      </c>
      <c r="X1460" s="67" t="str">
        <f aca="false">IF(AND($J1460="E-commerce",IFERROR($T1460/$R1460,0)&gt;Parametros!$C$14),"Alerta","OK")</f>
        <v>OK</v>
      </c>
      <c r="Y1460" s="61" t="str">
        <f aca="false">IF($R1460&gt;=Parametros!$C$12,"Alto",IF($R1460&lt;Parametros!$C$13,"Bajo","Medio"))</f>
        <v>Medio</v>
      </c>
      <c r="Z1460" s="61" t="n">
        <v>1567</v>
      </c>
      <c r="AA1460" s="61" t="str">
        <f aca="false">IF(MATCH($A1460,Datos_Origen!$A$2:$A$2459,0)=$Z1460,"OK","REVISAR")</f>
        <v>OK</v>
      </c>
      <c r="AB1460" s="61" t="str">
        <f aca="false">INDEX(Datos_Origen!$B$2:$B$2459,$Z1460)</f>
        <v>2025-03-08</v>
      </c>
      <c r="AC1460" s="61" t="n">
        <f aca="false">INDEX(Datos_Origen!$H$2:$H$2459,$Z1460)</f>
        <v>25</v>
      </c>
      <c r="AD1460" s="61" t="str">
        <f aca="false">INDEX(Datos_Origen!$D$2:$D$2459,$Z1460)&amp;""</f>
        <v/>
      </c>
    </row>
    <row r="1461" customFormat="false" ht="15" hidden="false" customHeight="false" outlineLevel="0" collapsed="false">
      <c r="A1461" s="61" t="n">
        <f aca="false">INDEX(Datos_Origen!$A$2:$A$2459,$Z1461)</f>
        <v>1460</v>
      </c>
      <c r="B1461" s="62" t="n">
        <f aca="false">IF(ISNUMBER($AB1461),$AB1461,IF(MID($AB1461,5,1)="-",DATE(VALUE(LEFT($AB1461,4)),VALUE(MID($AB1461,6,2)),VALUE(RIGHT($AB1461,2))),DATE(VALUE(RIGHT($AB1461,4)),VALUE(MID($AB1461,4,2)),VALUE(LEFT($AB1461,2)))))</f>
        <v>45731</v>
      </c>
      <c r="C1461" s="61" t="n">
        <f aca="false">YEAR($B1461)</f>
        <v>2025</v>
      </c>
      <c r="D1461" s="61" t="str">
        <f aca="false">"Q"&amp;ROUNDUP(MONTH($B1461)/3,0)</f>
        <v>Q1</v>
      </c>
      <c r="E1461" s="61" t="n">
        <f aca="false">MONTH($B1461)</f>
        <v>3</v>
      </c>
      <c r="F1461" s="61" t="str">
        <f aca="false">INDEX(Parametros!$I$5:$I$16,$E1461)</f>
        <v>Mar</v>
      </c>
      <c r="G1461" s="61" t="str">
        <f aca="false">TEXT($C1461,"0000")&amp;"-"&amp;TEXT($E1461,"00")</f>
        <v>2025-03</v>
      </c>
      <c r="H1461" s="61" t="str">
        <f aca="false">INDEX(Parametros!$C$71:$C$91,MATCH(TRIM(INDEX(Datos_Origen!$C$2:$C$2459,$Z1461)),Parametros!$B$71:$B$91,0))</f>
        <v>Litoral</v>
      </c>
      <c r="I1461" s="61" t="str">
        <f aca="false">IF(TRIM($AD1461)="",INDEX(Parametros!$I$20:$I$24,MATCH($H1461,Parametros!$H$20:$H$24,0)),TRIM($AD1461))</f>
        <v>Rosario</v>
      </c>
      <c r="J1461" s="61" t="str">
        <f aca="false">INDEX(Parametros!$C$95:$C$106,MATCH(TRIM(INDEX(Datos_Origen!$E$2:$E$2459,$Z1461)),Parametros!$B$95:$B$106,0))</f>
        <v>E-commerce</v>
      </c>
      <c r="K1461" s="61" t="str">
        <f aca="false">INDEX(Parametros!$C$48:$C$67,MATCH(TRIM(INDEX(Datos_Origen!$F$2:$F$2459,$Z1461)),Parametros!$B$48:$B$67,0))</f>
        <v>Almacenamiento</v>
      </c>
      <c r="L1461" s="61" t="str">
        <f aca="false">$K1461&amp;" "&amp;$C1461</f>
        <v>Almacenamiento 2025</v>
      </c>
      <c r="M1461" s="61" t="str">
        <f aca="false">TRIM(INDEX(Datos_Origen!$G$2:$G$2459,$Z1461))</f>
        <v>Pendrive 256GB</v>
      </c>
      <c r="N1461" s="61" t="str">
        <f aca="false">$M1461&amp;" "&amp;$C1461</f>
        <v>Pendrive 256GB 2025</v>
      </c>
      <c r="O1461" s="63" t="n">
        <f aca="false">IF(ISTEXT($AC1461),VALUE($AC1461),$AC1461)</f>
        <v>13</v>
      </c>
      <c r="P1461" s="64" t="n">
        <f aca="false">INDEX(Datos_Origen!$I$2:$I$2459,$Z1461)</f>
        <v>34.78</v>
      </c>
      <c r="Q1461" s="64" t="n">
        <f aca="false">INDEX(Datos_Origen!$J$2:$J$2459,$Z1461)</f>
        <v>18.39</v>
      </c>
      <c r="R1461" s="65" t="n">
        <f aca="false">ROUND($O1461*$P1461,2)</f>
        <v>452.14</v>
      </c>
      <c r="S1461" s="65" t="n">
        <f aca="false">ROUND($O1461*$Q1461,2)</f>
        <v>239.07</v>
      </c>
      <c r="T1461" s="65" t="n">
        <f aca="false">ROUND($R1461*SUMIFS(Parametros!$E$28:$E$43,Parametros!$B$28:$B$43,$J1461,Parametros!$C$28:$C$43,$C1461,Parametros!$D$28:$D$43,$D1461),2)</f>
        <v>30.75</v>
      </c>
      <c r="U1461" s="65" t="n">
        <f aca="false">$R1461-$S1461-$T1461</f>
        <v>182.32</v>
      </c>
      <c r="V1461" s="66" t="n">
        <f aca="false">IFERROR($U1461/$R1461,0)</f>
        <v>0.403237935152829</v>
      </c>
      <c r="W1461" s="67" t="str">
        <f aca="false">IF(AND($V1461&gt;=Parametros!$C$8,$R1461&gt;=Parametros!$C$12),"Alta rentabilidad",IF(OR($V1461&lt;Parametros!$C$11,$R1461&lt;Parametros!$C$13),"Revisar","Estandar"))</f>
        <v>Estandar</v>
      </c>
      <c r="X1461" s="67" t="str">
        <f aca="false">IF(AND($J1461="E-commerce",IFERROR($T1461/$R1461,0)&gt;Parametros!$C$14),"Alerta","OK")</f>
        <v>Alerta</v>
      </c>
      <c r="Y1461" s="61" t="str">
        <f aca="false">IF($R1461&gt;=Parametros!$C$12,"Alto",IF($R1461&lt;Parametros!$C$13,"Bajo","Medio"))</f>
        <v>Medio</v>
      </c>
      <c r="Z1461" s="61" t="n">
        <v>1743</v>
      </c>
      <c r="AA1461" s="61" t="str">
        <f aca="false">IF(MATCH($A1461,Datos_Origen!$A$2:$A$2459,0)=$Z1461,"OK","REVISAR")</f>
        <v>OK</v>
      </c>
      <c r="AB1461" s="62" t="n">
        <f aca="false">INDEX(Datos_Origen!$B$2:$B$2459,$Z1461)</f>
        <v>45731</v>
      </c>
      <c r="AC1461" s="61" t="n">
        <f aca="false">INDEX(Datos_Origen!$H$2:$H$2459,$Z1461)</f>
        <v>13</v>
      </c>
      <c r="AD1461" s="61" t="str">
        <f aca="false">INDEX(Datos_Origen!$D$2:$D$2459,$Z1461)&amp;""</f>
        <v>Rosario</v>
      </c>
    </row>
    <row r="1462" customFormat="false" ht="15" hidden="false" customHeight="false" outlineLevel="0" collapsed="false">
      <c r="A1462" s="61" t="n">
        <f aca="false">INDEX(Datos_Origen!$A$2:$A$2459,$Z1462)</f>
        <v>1461</v>
      </c>
      <c r="B1462" s="62" t="n">
        <f aca="false">IF(ISNUMBER($AB1462),$AB1462,IF(MID($AB1462,5,1)="-",DATE(VALUE(LEFT($AB1462,4)),VALUE(MID($AB1462,6,2)),VALUE(RIGHT($AB1462,2))),DATE(VALUE(RIGHT($AB1462,4)),VALUE(MID($AB1462,4,2)),VALUE(LEFT($AB1462,2)))))</f>
        <v>45738</v>
      </c>
      <c r="C1462" s="61" t="n">
        <f aca="false">YEAR($B1462)</f>
        <v>2025</v>
      </c>
      <c r="D1462" s="61" t="str">
        <f aca="false">"Q"&amp;ROUNDUP(MONTH($B1462)/3,0)</f>
        <v>Q1</v>
      </c>
      <c r="E1462" s="61" t="n">
        <f aca="false">MONTH($B1462)</f>
        <v>3</v>
      </c>
      <c r="F1462" s="61" t="str">
        <f aca="false">INDEX(Parametros!$I$5:$I$16,$E1462)</f>
        <v>Mar</v>
      </c>
      <c r="G1462" s="61" t="str">
        <f aca="false">TEXT($C1462,"0000")&amp;"-"&amp;TEXT($E1462,"00")</f>
        <v>2025-03</v>
      </c>
      <c r="H1462" s="61" t="str">
        <f aca="false">INDEX(Parametros!$C$71:$C$91,MATCH(TRIM(INDEX(Datos_Origen!$C$2:$C$2459,$Z1462)),Parametros!$B$71:$B$91,0))</f>
        <v>Cuyo</v>
      </c>
      <c r="I1462" s="61" t="str">
        <f aca="false">IF(TRIM($AD1462)="",INDEX(Parametros!$I$20:$I$24,MATCH($H1462,Parametros!$H$20:$H$24,0)),TRIM($AD1462))</f>
        <v>Mendoza</v>
      </c>
      <c r="J1462" s="61" t="str">
        <f aca="false">INDEX(Parametros!$C$95:$C$106,MATCH(TRIM(INDEX(Datos_Origen!$E$2:$E$2459,$Z1462)),Parametros!$B$95:$B$106,0))</f>
        <v>Tienda fisica</v>
      </c>
      <c r="K1462" s="61" t="str">
        <f aca="false">INDEX(Parametros!$C$48:$C$67,MATCH(TRIM(INDEX(Datos_Origen!$F$2:$F$2459,$Z1462)),Parametros!$B$48:$B$67,0))</f>
        <v>Computacion</v>
      </c>
      <c r="L1462" s="61" t="str">
        <f aca="false">$K1462&amp;" "&amp;$C1462</f>
        <v>Computacion 2025</v>
      </c>
      <c r="M1462" s="61" t="str">
        <f aca="false">TRIM(INDEX(Datos_Origen!$G$2:$G$2459,$Z1462))</f>
        <v>Laptop Pro 15</v>
      </c>
      <c r="N1462" s="61" t="str">
        <f aca="false">$M1462&amp;" "&amp;$C1462</f>
        <v>Laptop Pro 15 2025</v>
      </c>
      <c r="O1462" s="63" t="n">
        <f aca="false">IF(ISTEXT($AC1462),VALUE($AC1462),$AC1462)</f>
        <v>5</v>
      </c>
      <c r="P1462" s="64" t="n">
        <f aca="false">INDEX(Datos_Origen!$I$2:$I$2459,$Z1462)</f>
        <v>1155.06</v>
      </c>
      <c r="Q1462" s="64" t="n">
        <f aca="false">INDEX(Datos_Origen!$J$2:$J$2459,$Z1462)</f>
        <v>766.32</v>
      </c>
      <c r="R1462" s="65" t="n">
        <f aca="false">ROUND($O1462*$P1462,2)</f>
        <v>5775.3</v>
      </c>
      <c r="S1462" s="65" t="n">
        <f aca="false">ROUND($O1462*$Q1462,2)</f>
        <v>3831.6</v>
      </c>
      <c r="T1462" s="65" t="n">
        <f aca="false">ROUND($R1462*SUMIFS(Parametros!$E$28:$E$43,Parametros!$B$28:$B$43,$J1462,Parametros!$C$28:$C$43,$C1462,Parametros!$D$28:$D$43,$D1462),2)</f>
        <v>75.08</v>
      </c>
      <c r="U1462" s="65" t="n">
        <f aca="false">$R1462-$S1462-$T1462</f>
        <v>1868.62</v>
      </c>
      <c r="V1462" s="66" t="n">
        <f aca="false">IFERROR($U1462/$R1462,0)</f>
        <v>0.323553754783301</v>
      </c>
      <c r="W1462" s="67" t="str">
        <f aca="false">IF(AND($V1462&gt;=Parametros!$C$8,$R1462&gt;=Parametros!$C$12),"Alta rentabilidad",IF(OR($V1462&lt;Parametros!$C$11,$R1462&lt;Parametros!$C$13),"Revisar","Estandar"))</f>
        <v>Estandar</v>
      </c>
      <c r="X1462" s="67" t="str">
        <f aca="false">IF(AND($J1462="E-commerce",IFERROR($T1462/$R1462,0)&gt;Parametros!$C$14),"Alerta","OK")</f>
        <v>OK</v>
      </c>
      <c r="Y1462" s="61" t="str">
        <f aca="false">IF($R1462&gt;=Parametros!$C$12,"Alto",IF($R1462&lt;Parametros!$C$13,"Bajo","Medio"))</f>
        <v>Alto</v>
      </c>
      <c r="Z1462" s="61" t="n">
        <v>1522</v>
      </c>
      <c r="AA1462" s="61" t="str">
        <f aca="false">IF(MATCH($A1462,Datos_Origen!$A$2:$A$2459,0)=$Z1462,"OK","REVISAR")</f>
        <v>OK</v>
      </c>
      <c r="AB1462" s="62" t="n">
        <f aca="false">INDEX(Datos_Origen!$B$2:$B$2459,$Z1462)</f>
        <v>45738</v>
      </c>
      <c r="AC1462" s="61" t="n">
        <f aca="false">INDEX(Datos_Origen!$H$2:$H$2459,$Z1462)</f>
        <v>5</v>
      </c>
      <c r="AD1462" s="61" t="str">
        <f aca="false">INDEX(Datos_Origen!$D$2:$D$2459,$Z1462)&amp;""</f>
        <v/>
      </c>
    </row>
    <row r="1463" customFormat="false" ht="15" hidden="false" customHeight="false" outlineLevel="0" collapsed="false">
      <c r="A1463" s="61" t="n">
        <f aca="false">INDEX(Datos_Origen!$A$2:$A$2459,$Z1463)</f>
        <v>1462</v>
      </c>
      <c r="B1463" s="62" t="n">
        <f aca="false">IF(ISNUMBER($AB1463),$AB1463,IF(MID($AB1463,5,1)="-",DATE(VALUE(LEFT($AB1463,4)),VALUE(MID($AB1463,6,2)),VALUE(RIGHT($AB1463,2))),DATE(VALUE(RIGHT($AB1463,4)),VALUE(MID($AB1463,4,2)),VALUE(LEFT($AB1463,2)))))</f>
        <v>45718</v>
      </c>
      <c r="C1463" s="61" t="n">
        <f aca="false">YEAR($B1463)</f>
        <v>2025</v>
      </c>
      <c r="D1463" s="61" t="str">
        <f aca="false">"Q"&amp;ROUNDUP(MONTH($B1463)/3,0)</f>
        <v>Q1</v>
      </c>
      <c r="E1463" s="61" t="n">
        <f aca="false">MONTH($B1463)</f>
        <v>3</v>
      </c>
      <c r="F1463" s="61" t="str">
        <f aca="false">INDEX(Parametros!$I$5:$I$16,$E1463)</f>
        <v>Mar</v>
      </c>
      <c r="G1463" s="61" t="str">
        <f aca="false">TEXT($C1463,"0000")&amp;"-"&amp;TEXT($E1463,"00")</f>
        <v>2025-03</v>
      </c>
      <c r="H1463" s="61" t="str">
        <f aca="false">INDEX(Parametros!$C$71:$C$91,MATCH(TRIM(INDEX(Datos_Origen!$C$2:$C$2459,$Z1463)),Parametros!$B$71:$B$91,0))</f>
        <v>Cuyo</v>
      </c>
      <c r="I1463" s="61" t="str">
        <f aca="false">IF(TRIM($AD1463)="",INDEX(Parametros!$I$20:$I$24,MATCH($H1463,Parametros!$H$20:$H$24,0)),TRIM($AD1463))</f>
        <v>Mendoza</v>
      </c>
      <c r="J1463" s="61" t="str">
        <f aca="false">INDEX(Parametros!$C$95:$C$106,MATCH(TRIM(INDEX(Datos_Origen!$E$2:$E$2459,$Z1463)),Parametros!$B$95:$B$106,0))</f>
        <v>E-commerce</v>
      </c>
      <c r="K1463" s="61" t="str">
        <f aca="false">INDEX(Parametros!$C$48:$C$67,MATCH(TRIM(INDEX(Datos_Origen!$F$2:$F$2459,$Z1463)),Parametros!$B$48:$B$67,0))</f>
        <v>Computacion</v>
      </c>
      <c r="L1463" s="61" t="str">
        <f aca="false">$K1463&amp;" "&amp;$C1463</f>
        <v>Computacion 2025</v>
      </c>
      <c r="M1463" s="61" t="str">
        <f aca="false">TRIM(INDEX(Datos_Origen!$G$2:$G$2459,$Z1463))</f>
        <v>Laptop Pro 15</v>
      </c>
      <c r="N1463" s="61" t="str">
        <f aca="false">$M1463&amp;" "&amp;$C1463</f>
        <v>Laptop Pro 15 2025</v>
      </c>
      <c r="O1463" s="63" t="n">
        <f aca="false">IF(ISTEXT($AC1463),VALUE($AC1463),$AC1463)</f>
        <v>5</v>
      </c>
      <c r="P1463" s="64" t="n">
        <f aca="false">INDEX(Datos_Origen!$I$2:$I$2459,$Z1463)</f>
        <v>1155.06</v>
      </c>
      <c r="Q1463" s="64" t="n">
        <f aca="false">INDEX(Datos_Origen!$J$2:$J$2459,$Z1463)</f>
        <v>766.32</v>
      </c>
      <c r="R1463" s="65" t="n">
        <f aca="false">ROUND($O1463*$P1463,2)</f>
        <v>5775.3</v>
      </c>
      <c r="S1463" s="65" t="n">
        <f aca="false">ROUND($O1463*$Q1463,2)</f>
        <v>3831.6</v>
      </c>
      <c r="T1463" s="65" t="n">
        <f aca="false">ROUND($R1463*SUMIFS(Parametros!$E$28:$E$43,Parametros!$B$28:$B$43,$J1463,Parametros!$C$28:$C$43,$C1463,Parametros!$D$28:$D$43,$D1463),2)</f>
        <v>392.72</v>
      </c>
      <c r="U1463" s="65" t="n">
        <f aca="false">$R1463-$S1463-$T1463</f>
        <v>1550.98</v>
      </c>
      <c r="V1463" s="66" t="n">
        <f aca="false">IFERROR($U1463/$R1463,0)</f>
        <v>0.268554014510069</v>
      </c>
      <c r="W1463" s="67" t="str">
        <f aca="false">IF(AND($V1463&gt;=Parametros!$C$8,$R1463&gt;=Parametros!$C$12),"Alta rentabilidad",IF(OR($V1463&lt;Parametros!$C$11,$R1463&lt;Parametros!$C$13),"Revisar","Estandar"))</f>
        <v>Revisar</v>
      </c>
      <c r="X1463" s="67" t="str">
        <f aca="false">IF(AND($J1463="E-commerce",IFERROR($T1463/$R1463,0)&gt;Parametros!$C$14),"Alerta","OK")</f>
        <v>Alerta</v>
      </c>
      <c r="Y1463" s="61" t="str">
        <f aca="false">IF($R1463&gt;=Parametros!$C$12,"Alto",IF($R1463&lt;Parametros!$C$13,"Bajo","Medio"))</f>
        <v>Alto</v>
      </c>
      <c r="Z1463" s="61" t="n">
        <v>2034</v>
      </c>
      <c r="AA1463" s="61" t="str">
        <f aca="false">IF(MATCH($A1463,Datos_Origen!$A$2:$A$2459,0)=$Z1463,"OK","REVISAR")</f>
        <v>OK</v>
      </c>
      <c r="AB1463" s="61" t="str">
        <f aca="false">INDEX(Datos_Origen!$B$2:$B$2459,$Z1463)</f>
        <v>02/03/2025</v>
      </c>
      <c r="AC1463" s="61" t="str">
        <f aca="false">INDEX(Datos_Origen!$H$2:$H$2459,$Z1463)</f>
        <v>5</v>
      </c>
      <c r="AD1463" s="61" t="str">
        <f aca="false">INDEX(Datos_Origen!$D$2:$D$2459,$Z1463)&amp;""</f>
        <v>Mendoza</v>
      </c>
    </row>
    <row r="1464" customFormat="false" ht="15" hidden="false" customHeight="false" outlineLevel="0" collapsed="false">
      <c r="A1464" s="61" t="n">
        <f aca="false">INDEX(Datos_Origen!$A$2:$A$2459,$Z1464)</f>
        <v>1463</v>
      </c>
      <c r="B1464" s="62" t="n">
        <f aca="false">IF(ISNUMBER($AB1464),$AB1464,IF(MID($AB1464,5,1)="-",DATE(VALUE(LEFT($AB1464,4)),VALUE(MID($AB1464,6,2)),VALUE(RIGHT($AB1464,2))),DATE(VALUE(RIGHT($AB1464,4)),VALUE(MID($AB1464,4,2)),VALUE(LEFT($AB1464,2)))))</f>
        <v>45725</v>
      </c>
      <c r="C1464" s="61" t="n">
        <f aca="false">YEAR($B1464)</f>
        <v>2025</v>
      </c>
      <c r="D1464" s="61" t="str">
        <f aca="false">"Q"&amp;ROUNDUP(MONTH($B1464)/3,0)</f>
        <v>Q1</v>
      </c>
      <c r="E1464" s="61" t="n">
        <f aca="false">MONTH($B1464)</f>
        <v>3</v>
      </c>
      <c r="F1464" s="61" t="str">
        <f aca="false">INDEX(Parametros!$I$5:$I$16,$E1464)</f>
        <v>Mar</v>
      </c>
      <c r="G1464" s="61" t="str">
        <f aca="false">TEXT($C1464,"0000")&amp;"-"&amp;TEXT($E1464,"00")</f>
        <v>2025-03</v>
      </c>
      <c r="H1464" s="61" t="str">
        <f aca="false">INDEX(Parametros!$C$71:$C$91,MATCH(TRIM(INDEX(Datos_Origen!$C$2:$C$2459,$Z1464)),Parametros!$B$71:$B$91,0))</f>
        <v>Cuyo</v>
      </c>
      <c r="I1464" s="61" t="str">
        <f aca="false">IF(TRIM($AD1464)="",INDEX(Parametros!$I$20:$I$24,MATCH($H1464,Parametros!$H$20:$H$24,0)),TRIM($AD1464))</f>
        <v>Mendoza</v>
      </c>
      <c r="J1464" s="61" t="str">
        <f aca="false">INDEX(Parametros!$C$95:$C$106,MATCH(TRIM(INDEX(Datos_Origen!$E$2:$E$2459,$Z1464)),Parametros!$B$95:$B$106,0))</f>
        <v>Tienda fisica</v>
      </c>
      <c r="K1464" s="61" t="str">
        <f aca="false">INDEX(Parametros!$C$48:$C$67,MATCH(TRIM(INDEX(Datos_Origen!$F$2:$F$2459,$Z1464)),Parametros!$B$48:$B$67,0))</f>
        <v>Computacion</v>
      </c>
      <c r="L1464" s="61" t="str">
        <f aca="false">$K1464&amp;" "&amp;$C1464</f>
        <v>Computacion 2025</v>
      </c>
      <c r="M1464" s="61" t="str">
        <f aca="false">TRIM(INDEX(Datos_Origen!$G$2:$G$2459,$Z1464))</f>
        <v>Monitor 4K 27</v>
      </c>
      <c r="N1464" s="61" t="str">
        <f aca="false">$M1464&amp;" "&amp;$C1464</f>
        <v>Monitor 4K 27 2025</v>
      </c>
      <c r="O1464" s="63" t="n">
        <f aca="false">IF(ISTEXT($AC1464),VALUE($AC1464),$AC1464)</f>
        <v>6</v>
      </c>
      <c r="P1464" s="64" t="n">
        <f aca="false">INDEX(Datos_Origen!$I$2:$I$2459,$Z1464)</f>
        <v>433.15</v>
      </c>
      <c r="Q1464" s="64" t="n">
        <f aca="false">INDEX(Datos_Origen!$J$2:$J$2459,$Z1464)</f>
        <v>280.42</v>
      </c>
      <c r="R1464" s="65" t="n">
        <f aca="false">ROUND($O1464*$P1464,2)</f>
        <v>2598.9</v>
      </c>
      <c r="S1464" s="65" t="n">
        <f aca="false">ROUND($O1464*$Q1464,2)</f>
        <v>1682.52</v>
      </c>
      <c r="T1464" s="65" t="n">
        <f aca="false">ROUND($R1464*SUMIFS(Parametros!$E$28:$E$43,Parametros!$B$28:$B$43,$J1464,Parametros!$C$28:$C$43,$C1464,Parametros!$D$28:$D$43,$D1464),2)</f>
        <v>33.79</v>
      </c>
      <c r="U1464" s="65" t="n">
        <f aca="false">$R1464-$S1464-$T1464</f>
        <v>882.59</v>
      </c>
      <c r="V1464" s="66" t="n">
        <f aca="false">IFERROR($U1464/$R1464,0)</f>
        <v>0.339601369810304</v>
      </c>
      <c r="W1464" s="67" t="str">
        <f aca="false">IF(AND($V1464&gt;=Parametros!$C$8,$R1464&gt;=Parametros!$C$12),"Alta rentabilidad",IF(OR($V1464&lt;Parametros!$C$11,$R1464&lt;Parametros!$C$13),"Revisar","Estandar"))</f>
        <v>Estandar</v>
      </c>
      <c r="X1464" s="67" t="str">
        <f aca="false">IF(AND($J1464="E-commerce",IFERROR($T1464/$R1464,0)&gt;Parametros!$C$14),"Alerta","OK")</f>
        <v>OK</v>
      </c>
      <c r="Y1464" s="61" t="str">
        <f aca="false">IF($R1464&gt;=Parametros!$C$12,"Alto",IF($R1464&lt;Parametros!$C$13,"Bajo","Medio"))</f>
        <v>Medio</v>
      </c>
      <c r="Z1464" s="61" t="n">
        <v>367</v>
      </c>
      <c r="AA1464" s="61" t="str">
        <f aca="false">IF(MATCH($A1464,Datos_Origen!$A$2:$A$2459,0)=$Z1464,"OK","REVISAR")</f>
        <v>OK</v>
      </c>
      <c r="AB1464" s="62" t="n">
        <f aca="false">INDEX(Datos_Origen!$B$2:$B$2459,$Z1464)</f>
        <v>45725</v>
      </c>
      <c r="AC1464" s="61" t="n">
        <f aca="false">INDEX(Datos_Origen!$H$2:$H$2459,$Z1464)</f>
        <v>6</v>
      </c>
      <c r="AD1464" s="61" t="str">
        <f aca="false">INDEX(Datos_Origen!$D$2:$D$2459,$Z1464)&amp;""</f>
        <v>Mendoza</v>
      </c>
    </row>
    <row r="1465" customFormat="false" ht="15" hidden="false" customHeight="false" outlineLevel="0" collapsed="false">
      <c r="A1465" s="61" t="n">
        <f aca="false">INDEX(Datos_Origen!$A$2:$A$2459,$Z1465)</f>
        <v>1464</v>
      </c>
      <c r="B1465" s="62" t="n">
        <f aca="false">IF(ISNUMBER($AB1465),$AB1465,IF(MID($AB1465,5,1)="-",DATE(VALUE(LEFT($AB1465,4)),VALUE(MID($AB1465,6,2)),VALUE(RIGHT($AB1465,2))),DATE(VALUE(RIGHT($AB1465,4)),VALUE(MID($AB1465,4,2)),VALUE(LEFT($AB1465,2)))))</f>
        <v>45732</v>
      </c>
      <c r="C1465" s="61" t="n">
        <f aca="false">YEAR($B1465)</f>
        <v>2025</v>
      </c>
      <c r="D1465" s="61" t="str">
        <f aca="false">"Q"&amp;ROUNDUP(MONTH($B1465)/3,0)</f>
        <v>Q1</v>
      </c>
      <c r="E1465" s="61" t="n">
        <f aca="false">MONTH($B1465)</f>
        <v>3</v>
      </c>
      <c r="F1465" s="61" t="str">
        <f aca="false">INDEX(Parametros!$I$5:$I$16,$E1465)</f>
        <v>Mar</v>
      </c>
      <c r="G1465" s="61" t="str">
        <f aca="false">TEXT($C1465,"0000")&amp;"-"&amp;TEXT($E1465,"00")</f>
        <v>2025-03</v>
      </c>
      <c r="H1465" s="61" t="str">
        <f aca="false">INDEX(Parametros!$C$71:$C$91,MATCH(TRIM(INDEX(Datos_Origen!$C$2:$C$2459,$Z1465)),Parametros!$B$71:$B$91,0))</f>
        <v>Cuyo</v>
      </c>
      <c r="I1465" s="61" t="str">
        <f aca="false">IF(TRIM($AD1465)="",INDEX(Parametros!$I$20:$I$24,MATCH($H1465,Parametros!$H$20:$H$24,0)),TRIM($AD1465))</f>
        <v>Mendoza</v>
      </c>
      <c r="J1465" s="61" t="str">
        <f aca="false">INDEX(Parametros!$C$95:$C$106,MATCH(TRIM(INDEX(Datos_Origen!$E$2:$E$2459,$Z1465)),Parametros!$B$95:$B$106,0))</f>
        <v>E-commerce</v>
      </c>
      <c r="K1465" s="61" t="str">
        <f aca="false">INDEX(Parametros!$C$48:$C$67,MATCH(TRIM(INDEX(Datos_Origen!$F$2:$F$2459,$Z1465)),Parametros!$B$48:$B$67,0))</f>
        <v>Computacion</v>
      </c>
      <c r="L1465" s="61" t="str">
        <f aca="false">$K1465&amp;" "&amp;$C1465</f>
        <v>Computacion 2025</v>
      </c>
      <c r="M1465" s="61" t="str">
        <f aca="false">TRIM(INDEX(Datos_Origen!$G$2:$G$2459,$Z1465))</f>
        <v>Monitor 4K 27</v>
      </c>
      <c r="N1465" s="61" t="str">
        <f aca="false">$M1465&amp;" "&amp;$C1465</f>
        <v>Monitor 4K 27 2025</v>
      </c>
      <c r="O1465" s="63" t="n">
        <f aca="false">IF(ISTEXT($AC1465),VALUE($AC1465),$AC1465)</f>
        <v>4</v>
      </c>
      <c r="P1465" s="64" t="n">
        <f aca="false">INDEX(Datos_Origen!$I$2:$I$2459,$Z1465)</f>
        <v>433.15</v>
      </c>
      <c r="Q1465" s="64" t="n">
        <f aca="false">INDEX(Datos_Origen!$J$2:$J$2459,$Z1465)</f>
        <v>280.42</v>
      </c>
      <c r="R1465" s="65" t="n">
        <f aca="false">ROUND($O1465*$P1465,2)</f>
        <v>1732.6</v>
      </c>
      <c r="S1465" s="65" t="n">
        <f aca="false">ROUND($O1465*$Q1465,2)</f>
        <v>1121.68</v>
      </c>
      <c r="T1465" s="65" t="n">
        <f aca="false">ROUND($R1465*SUMIFS(Parametros!$E$28:$E$43,Parametros!$B$28:$B$43,$J1465,Parametros!$C$28:$C$43,$C1465,Parametros!$D$28:$D$43,$D1465),2)</f>
        <v>117.82</v>
      </c>
      <c r="U1465" s="65" t="n">
        <f aca="false">$R1465-$S1465-$T1465</f>
        <v>493.1</v>
      </c>
      <c r="V1465" s="66" t="n">
        <f aca="false">IFERROR($U1465/$R1465,0)</f>
        <v>0.284601177421217</v>
      </c>
      <c r="W1465" s="67" t="str">
        <f aca="false">IF(AND($V1465&gt;=Parametros!$C$8,$R1465&gt;=Parametros!$C$12),"Alta rentabilidad",IF(OR($V1465&lt;Parametros!$C$11,$R1465&lt;Parametros!$C$13),"Revisar","Estandar"))</f>
        <v>Estandar</v>
      </c>
      <c r="X1465" s="67" t="str">
        <f aca="false">IF(AND($J1465="E-commerce",IFERROR($T1465/$R1465,0)&gt;Parametros!$C$14),"Alerta","OK")</f>
        <v>Alerta</v>
      </c>
      <c r="Y1465" s="61" t="str">
        <f aca="false">IF($R1465&gt;=Parametros!$C$12,"Alto",IF($R1465&lt;Parametros!$C$13,"Bajo","Medio"))</f>
        <v>Medio</v>
      </c>
      <c r="Z1465" s="61" t="n">
        <v>1857</v>
      </c>
      <c r="AA1465" s="61" t="str">
        <f aca="false">IF(MATCH($A1465,Datos_Origen!$A$2:$A$2459,0)=$Z1465,"OK","REVISAR")</f>
        <v>OK</v>
      </c>
      <c r="AB1465" s="62" t="n">
        <f aca="false">INDEX(Datos_Origen!$B$2:$B$2459,$Z1465)</f>
        <v>45732</v>
      </c>
      <c r="AC1465" s="61" t="n">
        <f aca="false">INDEX(Datos_Origen!$H$2:$H$2459,$Z1465)</f>
        <v>4</v>
      </c>
      <c r="AD1465" s="61" t="str">
        <f aca="false">INDEX(Datos_Origen!$D$2:$D$2459,$Z1465)&amp;""</f>
        <v>Mendoza</v>
      </c>
    </row>
    <row r="1466" customFormat="false" ht="15" hidden="false" customHeight="false" outlineLevel="0" collapsed="false">
      <c r="A1466" s="61" t="n">
        <f aca="false">INDEX(Datos_Origen!$A$2:$A$2459,$Z1466)</f>
        <v>1465</v>
      </c>
      <c r="B1466" s="62" t="n">
        <f aca="false">IF(ISNUMBER($AB1466),$AB1466,IF(MID($AB1466,5,1)="-",DATE(VALUE(LEFT($AB1466,4)),VALUE(MID($AB1466,6,2)),VALUE(RIGHT($AB1466,2))),DATE(VALUE(RIGHT($AB1466,4)),VALUE(MID($AB1466,4,2)),VALUE(LEFT($AB1466,2)))))</f>
        <v>45739</v>
      </c>
      <c r="C1466" s="61" t="n">
        <f aca="false">YEAR($B1466)</f>
        <v>2025</v>
      </c>
      <c r="D1466" s="61" t="str">
        <f aca="false">"Q"&amp;ROUNDUP(MONTH($B1466)/3,0)</f>
        <v>Q1</v>
      </c>
      <c r="E1466" s="61" t="n">
        <f aca="false">MONTH($B1466)</f>
        <v>3</v>
      </c>
      <c r="F1466" s="61" t="str">
        <f aca="false">INDEX(Parametros!$I$5:$I$16,$E1466)</f>
        <v>Mar</v>
      </c>
      <c r="G1466" s="61" t="str">
        <f aca="false">TEXT($C1466,"0000")&amp;"-"&amp;TEXT($E1466,"00")</f>
        <v>2025-03</v>
      </c>
      <c r="H1466" s="61" t="str">
        <f aca="false">INDEX(Parametros!$C$71:$C$91,MATCH(TRIM(INDEX(Datos_Origen!$C$2:$C$2459,$Z1466)),Parametros!$B$71:$B$91,0))</f>
        <v>Cuyo</v>
      </c>
      <c r="I1466" s="61" t="str">
        <f aca="false">IF(TRIM($AD1466)="",INDEX(Parametros!$I$20:$I$24,MATCH($H1466,Parametros!$H$20:$H$24,0)),TRIM($AD1466))</f>
        <v>Mendoza</v>
      </c>
      <c r="J1466" s="61" t="str">
        <f aca="false">INDEX(Parametros!$C$95:$C$106,MATCH(TRIM(INDEX(Datos_Origen!$E$2:$E$2459,$Z1466)),Parametros!$B$95:$B$106,0))</f>
        <v>Tienda fisica</v>
      </c>
      <c r="K1466" s="61" t="str">
        <f aca="false">INDEX(Parametros!$C$48:$C$67,MATCH(TRIM(INDEX(Datos_Origen!$F$2:$F$2459,$Z1466)),Parametros!$B$48:$B$67,0))</f>
        <v>Computacion</v>
      </c>
      <c r="L1466" s="61" t="str">
        <f aca="false">$K1466&amp;" "&amp;$C1466</f>
        <v>Computacion 2025</v>
      </c>
      <c r="M1466" s="61" t="str">
        <f aca="false">TRIM(INDEX(Datos_Origen!$G$2:$G$2459,$Z1466))</f>
        <v>PC Gamer Ryzen</v>
      </c>
      <c r="N1466" s="61" t="str">
        <f aca="false">$M1466&amp;" "&amp;$C1466</f>
        <v>PC Gamer Ryzen 2025</v>
      </c>
      <c r="O1466" s="63" t="n">
        <f aca="false">IF(ISTEXT($AC1466),VALUE($AC1466),$AC1466)</f>
        <v>6</v>
      </c>
      <c r="P1466" s="64" t="n">
        <f aca="false">INDEX(Datos_Origen!$I$2:$I$2459,$Z1466)</f>
        <v>1588.21</v>
      </c>
      <c r="Q1466" s="64" t="n">
        <f aca="false">INDEX(Datos_Origen!$J$2:$J$2459,$Z1466)</f>
        <v>1155.66</v>
      </c>
      <c r="R1466" s="65" t="n">
        <f aca="false">ROUND($O1466*$P1466,2)</f>
        <v>9529.26</v>
      </c>
      <c r="S1466" s="65" t="n">
        <f aca="false">ROUND($O1466*$Q1466,2)</f>
        <v>6933.96</v>
      </c>
      <c r="T1466" s="65" t="n">
        <f aca="false">ROUND($R1466*SUMIFS(Parametros!$E$28:$E$43,Parametros!$B$28:$B$43,$J1466,Parametros!$C$28:$C$43,$C1466,Parametros!$D$28:$D$43,$D1466),2)</f>
        <v>123.88</v>
      </c>
      <c r="U1466" s="65" t="n">
        <f aca="false">$R1466-$S1466-$T1466</f>
        <v>2471.42</v>
      </c>
      <c r="V1466" s="66" t="n">
        <f aca="false">IFERROR($U1466/$R1466,0)</f>
        <v>0.259350673609493</v>
      </c>
      <c r="W1466" s="67" t="str">
        <f aca="false">IF(AND($V1466&gt;=Parametros!$C$8,$R1466&gt;=Parametros!$C$12),"Alta rentabilidad",IF(OR($V1466&lt;Parametros!$C$11,$R1466&lt;Parametros!$C$13),"Revisar","Estandar"))</f>
        <v>Revisar</v>
      </c>
      <c r="X1466" s="67" t="str">
        <f aca="false">IF(AND($J1466="E-commerce",IFERROR($T1466/$R1466,0)&gt;Parametros!$C$14),"Alerta","OK")</f>
        <v>OK</v>
      </c>
      <c r="Y1466" s="61" t="str">
        <f aca="false">IF($R1466&gt;=Parametros!$C$12,"Alto",IF($R1466&lt;Parametros!$C$13,"Bajo","Medio"))</f>
        <v>Alto</v>
      </c>
      <c r="Z1466" s="61" t="n">
        <v>2087</v>
      </c>
      <c r="AA1466" s="61" t="str">
        <f aca="false">IF(MATCH($A1466,Datos_Origen!$A$2:$A$2459,0)=$Z1466,"OK","REVISAR")</f>
        <v>OK</v>
      </c>
      <c r="AB1466" s="61" t="str">
        <f aca="false">INDEX(Datos_Origen!$B$2:$B$2459,$Z1466)</f>
        <v>23/03/2025</v>
      </c>
      <c r="AC1466" s="61" t="n">
        <f aca="false">INDEX(Datos_Origen!$H$2:$H$2459,$Z1466)</f>
        <v>6</v>
      </c>
      <c r="AD1466" s="61" t="str">
        <f aca="false">INDEX(Datos_Origen!$D$2:$D$2459,$Z1466)&amp;""</f>
        <v>Mendoza</v>
      </c>
    </row>
    <row r="1467" customFormat="false" ht="15" hidden="false" customHeight="false" outlineLevel="0" collapsed="false">
      <c r="A1467" s="61" t="n">
        <f aca="false">INDEX(Datos_Origen!$A$2:$A$2459,$Z1467)</f>
        <v>1466</v>
      </c>
      <c r="B1467" s="62" t="n">
        <f aca="false">IF(ISNUMBER($AB1467),$AB1467,IF(MID($AB1467,5,1)="-",DATE(VALUE(LEFT($AB1467,4)),VALUE(MID($AB1467,6,2)),VALUE(RIGHT($AB1467,2))),DATE(VALUE(RIGHT($AB1467,4)),VALUE(MID($AB1467,4,2)),VALUE(LEFT($AB1467,2)))))</f>
        <v>45719</v>
      </c>
      <c r="C1467" s="61" t="n">
        <f aca="false">YEAR($B1467)</f>
        <v>2025</v>
      </c>
      <c r="D1467" s="61" t="str">
        <f aca="false">"Q"&amp;ROUNDUP(MONTH($B1467)/3,0)</f>
        <v>Q1</v>
      </c>
      <c r="E1467" s="61" t="n">
        <f aca="false">MONTH($B1467)</f>
        <v>3</v>
      </c>
      <c r="F1467" s="61" t="str">
        <f aca="false">INDEX(Parametros!$I$5:$I$16,$E1467)</f>
        <v>Mar</v>
      </c>
      <c r="G1467" s="61" t="str">
        <f aca="false">TEXT($C1467,"0000")&amp;"-"&amp;TEXT($E1467,"00")</f>
        <v>2025-03</v>
      </c>
      <c r="H1467" s="61" t="str">
        <f aca="false">INDEX(Parametros!$C$71:$C$91,MATCH(TRIM(INDEX(Datos_Origen!$C$2:$C$2459,$Z1467)),Parametros!$B$71:$B$91,0))</f>
        <v>Cuyo</v>
      </c>
      <c r="I1467" s="61" t="str">
        <f aca="false">IF(TRIM($AD1467)="",INDEX(Parametros!$I$20:$I$24,MATCH($H1467,Parametros!$H$20:$H$24,0)),TRIM($AD1467))</f>
        <v>Mendoza</v>
      </c>
      <c r="J1467" s="61" t="str">
        <f aca="false">INDEX(Parametros!$C$95:$C$106,MATCH(TRIM(INDEX(Datos_Origen!$E$2:$E$2459,$Z1467)),Parametros!$B$95:$B$106,0))</f>
        <v>E-commerce</v>
      </c>
      <c r="K1467" s="61" t="str">
        <f aca="false">INDEX(Parametros!$C$48:$C$67,MATCH(TRIM(INDEX(Datos_Origen!$F$2:$F$2459,$Z1467)),Parametros!$B$48:$B$67,0))</f>
        <v>Computacion</v>
      </c>
      <c r="L1467" s="61" t="str">
        <f aca="false">$K1467&amp;" "&amp;$C1467</f>
        <v>Computacion 2025</v>
      </c>
      <c r="M1467" s="61" t="str">
        <f aca="false">TRIM(INDEX(Datos_Origen!$G$2:$G$2459,$Z1467))</f>
        <v>PC Gamer Ryzen</v>
      </c>
      <c r="N1467" s="61" t="str">
        <f aca="false">$M1467&amp;" "&amp;$C1467</f>
        <v>PC Gamer Ryzen 2025</v>
      </c>
      <c r="O1467" s="63" t="n">
        <f aca="false">IF(ISTEXT($AC1467),VALUE($AC1467),$AC1467)</f>
        <v>4</v>
      </c>
      <c r="P1467" s="64" t="n">
        <f aca="false">INDEX(Datos_Origen!$I$2:$I$2459,$Z1467)</f>
        <v>1588.21</v>
      </c>
      <c r="Q1467" s="64" t="n">
        <f aca="false">INDEX(Datos_Origen!$J$2:$J$2459,$Z1467)</f>
        <v>1155.66</v>
      </c>
      <c r="R1467" s="65" t="n">
        <f aca="false">ROUND($O1467*$P1467,2)</f>
        <v>6352.84</v>
      </c>
      <c r="S1467" s="65" t="n">
        <f aca="false">ROUND($O1467*$Q1467,2)</f>
        <v>4622.64</v>
      </c>
      <c r="T1467" s="65" t="n">
        <f aca="false">ROUND($R1467*SUMIFS(Parametros!$E$28:$E$43,Parametros!$B$28:$B$43,$J1467,Parametros!$C$28:$C$43,$C1467,Parametros!$D$28:$D$43,$D1467),2)</f>
        <v>431.99</v>
      </c>
      <c r="U1467" s="65" t="n">
        <f aca="false">$R1467-$S1467-$T1467</f>
        <v>1298.21</v>
      </c>
      <c r="V1467" s="66" t="n">
        <f aca="false">IFERROR($U1467/$R1467,0)</f>
        <v>0.204351124851248</v>
      </c>
      <c r="W1467" s="67" t="str">
        <f aca="false">IF(AND($V1467&gt;=Parametros!$C$8,$R1467&gt;=Parametros!$C$12),"Alta rentabilidad",IF(OR($V1467&lt;Parametros!$C$11,$R1467&lt;Parametros!$C$13),"Revisar","Estandar"))</f>
        <v>Revisar</v>
      </c>
      <c r="X1467" s="67" t="str">
        <f aca="false">IF(AND($J1467="E-commerce",IFERROR($T1467/$R1467,0)&gt;Parametros!$C$14),"Alerta","OK")</f>
        <v>Alerta</v>
      </c>
      <c r="Y1467" s="61" t="str">
        <f aca="false">IF($R1467&gt;=Parametros!$C$12,"Alto",IF($R1467&lt;Parametros!$C$13,"Bajo","Medio"))</f>
        <v>Alto</v>
      </c>
      <c r="Z1467" s="61" t="n">
        <v>1920</v>
      </c>
      <c r="AA1467" s="61" t="str">
        <f aca="false">IF(MATCH($A1467,Datos_Origen!$A$2:$A$2459,0)=$Z1467,"OK","REVISAR")</f>
        <v>OK</v>
      </c>
      <c r="AB1467" s="62" t="n">
        <f aca="false">INDEX(Datos_Origen!$B$2:$B$2459,$Z1467)</f>
        <v>45719</v>
      </c>
      <c r="AC1467" s="61" t="n">
        <f aca="false">INDEX(Datos_Origen!$H$2:$H$2459,$Z1467)</f>
        <v>4</v>
      </c>
      <c r="AD1467" s="61" t="str">
        <f aca="false">INDEX(Datos_Origen!$D$2:$D$2459,$Z1467)&amp;""</f>
        <v>Mendoza</v>
      </c>
    </row>
    <row r="1468" customFormat="false" ht="15" hidden="false" customHeight="false" outlineLevel="0" collapsed="false">
      <c r="A1468" s="61" t="n">
        <f aca="false">INDEX(Datos_Origen!$A$2:$A$2459,$Z1468)</f>
        <v>1467</v>
      </c>
      <c r="B1468" s="62" t="n">
        <f aca="false">IF(ISNUMBER($AB1468),$AB1468,IF(MID($AB1468,5,1)="-",DATE(VALUE(LEFT($AB1468,4)),VALUE(MID($AB1468,6,2)),VALUE(RIGHT($AB1468,2))),DATE(VALUE(RIGHT($AB1468,4)),VALUE(MID($AB1468,4,2)),VALUE(LEFT($AB1468,2)))))</f>
        <v>45726</v>
      </c>
      <c r="C1468" s="61" t="n">
        <f aca="false">YEAR($B1468)</f>
        <v>2025</v>
      </c>
      <c r="D1468" s="61" t="str">
        <f aca="false">"Q"&amp;ROUNDUP(MONTH($B1468)/3,0)</f>
        <v>Q1</v>
      </c>
      <c r="E1468" s="61" t="n">
        <f aca="false">MONTH($B1468)</f>
        <v>3</v>
      </c>
      <c r="F1468" s="61" t="str">
        <f aca="false">INDEX(Parametros!$I$5:$I$16,$E1468)</f>
        <v>Mar</v>
      </c>
      <c r="G1468" s="61" t="str">
        <f aca="false">TEXT($C1468,"0000")&amp;"-"&amp;TEXT($E1468,"00")</f>
        <v>2025-03</v>
      </c>
      <c r="H1468" s="61" t="str">
        <f aca="false">INDEX(Parametros!$C$71:$C$91,MATCH(TRIM(INDEX(Datos_Origen!$C$2:$C$2459,$Z1468)),Parametros!$B$71:$B$91,0))</f>
        <v>Cuyo</v>
      </c>
      <c r="I1468" s="61" t="str">
        <f aca="false">IF(TRIM($AD1468)="",INDEX(Parametros!$I$20:$I$24,MATCH($H1468,Parametros!$H$20:$H$24,0)),TRIM($AD1468))</f>
        <v>Mendoza</v>
      </c>
      <c r="J1468" s="61" t="str">
        <f aca="false">INDEX(Parametros!$C$95:$C$106,MATCH(TRIM(INDEX(Datos_Origen!$E$2:$E$2459,$Z1468)),Parametros!$B$95:$B$106,0))</f>
        <v>Tienda fisica</v>
      </c>
      <c r="K1468" s="61" t="str">
        <f aca="false">INDEX(Parametros!$C$48:$C$67,MATCH(TRIM(INDEX(Datos_Origen!$F$2:$F$2459,$Z1468)),Parametros!$B$48:$B$67,0))</f>
        <v>Accesorios</v>
      </c>
      <c r="L1468" s="61" t="str">
        <f aca="false">$K1468&amp;" "&amp;$C1468</f>
        <v>Accesorios 2025</v>
      </c>
      <c r="M1468" s="61" t="str">
        <f aca="false">TRIM(INDEX(Datos_Origen!$G$2:$G$2459,$Z1468))</f>
        <v>Mouse Inalambrico</v>
      </c>
      <c r="N1468" s="61" t="str">
        <f aca="false">$M1468&amp;" "&amp;$C1468</f>
        <v>Mouse Inalambrico 2025</v>
      </c>
      <c r="O1468" s="63" t="n">
        <f aca="false">IF(ISTEXT($AC1468),VALUE($AC1468),$AC1468)</f>
        <v>23</v>
      </c>
      <c r="P1468" s="64" t="n">
        <f aca="false">INDEX(Datos_Origen!$I$2:$I$2459,$Z1468)</f>
        <v>27.82</v>
      </c>
      <c r="Q1468" s="64" t="n">
        <f aca="false">INDEX(Datos_Origen!$J$2:$J$2459,$Z1468)</f>
        <v>13.84</v>
      </c>
      <c r="R1468" s="65" t="n">
        <f aca="false">ROUND($O1468*$P1468,2)</f>
        <v>639.86</v>
      </c>
      <c r="S1468" s="65" t="n">
        <f aca="false">ROUND($O1468*$Q1468,2)</f>
        <v>318.32</v>
      </c>
      <c r="T1468" s="65" t="n">
        <f aca="false">ROUND($R1468*SUMIFS(Parametros!$E$28:$E$43,Parametros!$B$28:$B$43,$J1468,Parametros!$C$28:$C$43,$C1468,Parametros!$D$28:$D$43,$D1468),2)</f>
        <v>8.32</v>
      </c>
      <c r="U1468" s="65" t="n">
        <f aca="false">$R1468-$S1468-$T1468</f>
        <v>313.22</v>
      </c>
      <c r="V1468" s="66" t="n">
        <f aca="false">IFERROR($U1468/$R1468,0)</f>
        <v>0.489513331041165</v>
      </c>
      <c r="W1468" s="67" t="str">
        <f aca="false">IF(AND($V1468&gt;=Parametros!$C$8,$R1468&gt;=Parametros!$C$12),"Alta rentabilidad",IF(OR($V1468&lt;Parametros!$C$11,$R1468&lt;Parametros!$C$13),"Revisar","Estandar"))</f>
        <v>Estandar</v>
      </c>
      <c r="X1468" s="67" t="str">
        <f aca="false">IF(AND($J1468="E-commerce",IFERROR($T1468/$R1468,0)&gt;Parametros!$C$14),"Alerta","OK")</f>
        <v>OK</v>
      </c>
      <c r="Y1468" s="61" t="str">
        <f aca="false">IF($R1468&gt;=Parametros!$C$12,"Alto",IF($R1468&lt;Parametros!$C$13,"Bajo","Medio"))</f>
        <v>Medio</v>
      </c>
      <c r="Z1468" s="61" t="n">
        <v>2202</v>
      </c>
      <c r="AA1468" s="61" t="str">
        <f aca="false">IF(MATCH($A1468,Datos_Origen!$A$2:$A$2459,0)=$Z1468,"OK","REVISAR")</f>
        <v>OK</v>
      </c>
      <c r="AB1468" s="61" t="str">
        <f aca="false">INDEX(Datos_Origen!$B$2:$B$2459,$Z1468)</f>
        <v>2025-03-10</v>
      </c>
      <c r="AC1468" s="61" t="n">
        <f aca="false">INDEX(Datos_Origen!$H$2:$H$2459,$Z1468)</f>
        <v>23</v>
      </c>
      <c r="AD1468" s="61" t="str">
        <f aca="false">INDEX(Datos_Origen!$D$2:$D$2459,$Z1468)&amp;""</f>
        <v>Mendoza</v>
      </c>
    </row>
    <row r="1469" customFormat="false" ht="15" hidden="false" customHeight="false" outlineLevel="0" collapsed="false">
      <c r="A1469" s="61" t="n">
        <f aca="false">INDEX(Datos_Origen!$A$2:$A$2459,$Z1469)</f>
        <v>1468</v>
      </c>
      <c r="B1469" s="62" t="n">
        <f aca="false">IF(ISNUMBER($AB1469),$AB1469,IF(MID($AB1469,5,1)="-",DATE(VALUE(LEFT($AB1469,4)),VALUE(MID($AB1469,6,2)),VALUE(RIGHT($AB1469,2))),DATE(VALUE(RIGHT($AB1469,4)),VALUE(MID($AB1469,4,2)),VALUE(LEFT($AB1469,2)))))</f>
        <v>45733</v>
      </c>
      <c r="C1469" s="61" t="n">
        <f aca="false">YEAR($B1469)</f>
        <v>2025</v>
      </c>
      <c r="D1469" s="61" t="str">
        <f aca="false">"Q"&amp;ROUNDUP(MONTH($B1469)/3,0)</f>
        <v>Q1</v>
      </c>
      <c r="E1469" s="61" t="n">
        <f aca="false">MONTH($B1469)</f>
        <v>3</v>
      </c>
      <c r="F1469" s="61" t="str">
        <f aca="false">INDEX(Parametros!$I$5:$I$16,$E1469)</f>
        <v>Mar</v>
      </c>
      <c r="G1469" s="61" t="str">
        <f aca="false">TEXT($C1469,"0000")&amp;"-"&amp;TEXT($E1469,"00")</f>
        <v>2025-03</v>
      </c>
      <c r="H1469" s="61" t="str">
        <f aca="false">INDEX(Parametros!$C$71:$C$91,MATCH(TRIM(INDEX(Datos_Origen!$C$2:$C$2459,$Z1469)),Parametros!$B$71:$B$91,0))</f>
        <v>Cuyo</v>
      </c>
      <c r="I1469" s="61" t="str">
        <f aca="false">IF(TRIM($AD1469)="",INDEX(Parametros!$I$20:$I$24,MATCH($H1469,Parametros!$H$20:$H$24,0)),TRIM($AD1469))</f>
        <v>Mendoza</v>
      </c>
      <c r="J1469" s="61" t="str">
        <f aca="false">INDEX(Parametros!$C$95:$C$106,MATCH(TRIM(INDEX(Datos_Origen!$E$2:$E$2459,$Z1469)),Parametros!$B$95:$B$106,0))</f>
        <v>E-commerce</v>
      </c>
      <c r="K1469" s="61" t="str">
        <f aca="false">INDEX(Parametros!$C$48:$C$67,MATCH(TRIM(INDEX(Datos_Origen!$F$2:$F$2459,$Z1469)),Parametros!$B$48:$B$67,0))</f>
        <v>Accesorios</v>
      </c>
      <c r="L1469" s="61" t="str">
        <f aca="false">$K1469&amp;" "&amp;$C1469</f>
        <v>Accesorios 2025</v>
      </c>
      <c r="M1469" s="61" t="str">
        <f aca="false">TRIM(INDEX(Datos_Origen!$G$2:$G$2459,$Z1469))</f>
        <v>Mouse Inalambrico</v>
      </c>
      <c r="N1469" s="61" t="str">
        <f aca="false">$M1469&amp;" "&amp;$C1469</f>
        <v>Mouse Inalambrico 2025</v>
      </c>
      <c r="O1469" s="63" t="n">
        <f aca="false">IF(ISTEXT($AC1469),VALUE($AC1469),$AC1469)</f>
        <v>20</v>
      </c>
      <c r="P1469" s="64" t="n">
        <f aca="false">INDEX(Datos_Origen!$I$2:$I$2459,$Z1469)</f>
        <v>27.82</v>
      </c>
      <c r="Q1469" s="64" t="n">
        <f aca="false">INDEX(Datos_Origen!$J$2:$J$2459,$Z1469)</f>
        <v>13.84</v>
      </c>
      <c r="R1469" s="65" t="n">
        <f aca="false">ROUND($O1469*$P1469,2)</f>
        <v>556.4</v>
      </c>
      <c r="S1469" s="65" t="n">
        <f aca="false">ROUND($O1469*$Q1469,2)</f>
        <v>276.8</v>
      </c>
      <c r="T1469" s="65" t="n">
        <f aca="false">ROUND($R1469*SUMIFS(Parametros!$E$28:$E$43,Parametros!$B$28:$B$43,$J1469,Parametros!$C$28:$C$43,$C1469,Parametros!$D$28:$D$43,$D1469),2)</f>
        <v>37.84</v>
      </c>
      <c r="U1469" s="65" t="n">
        <f aca="false">$R1469-$S1469-$T1469</f>
        <v>241.76</v>
      </c>
      <c r="V1469" s="66" t="n">
        <f aca="false">IFERROR($U1469/$R1469,0)</f>
        <v>0.43450754852624</v>
      </c>
      <c r="W1469" s="67" t="str">
        <f aca="false">IF(AND($V1469&gt;=Parametros!$C$8,$R1469&gt;=Parametros!$C$12),"Alta rentabilidad",IF(OR($V1469&lt;Parametros!$C$11,$R1469&lt;Parametros!$C$13),"Revisar","Estandar"))</f>
        <v>Estandar</v>
      </c>
      <c r="X1469" s="67" t="str">
        <f aca="false">IF(AND($J1469="E-commerce",IFERROR($T1469/$R1469,0)&gt;Parametros!$C$14),"Alerta","OK")</f>
        <v>Alerta</v>
      </c>
      <c r="Y1469" s="61" t="str">
        <f aca="false">IF($R1469&gt;=Parametros!$C$12,"Alto",IF($R1469&lt;Parametros!$C$13,"Bajo","Medio"))</f>
        <v>Medio</v>
      </c>
      <c r="Z1469" s="61" t="n">
        <v>767</v>
      </c>
      <c r="AA1469" s="61" t="str">
        <f aca="false">IF(MATCH($A1469,Datos_Origen!$A$2:$A$2459,0)=$Z1469,"OK","REVISAR")</f>
        <v>OK</v>
      </c>
      <c r="AB1469" s="62" t="n">
        <f aca="false">INDEX(Datos_Origen!$B$2:$B$2459,$Z1469)</f>
        <v>45733</v>
      </c>
      <c r="AC1469" s="61" t="n">
        <f aca="false">INDEX(Datos_Origen!$H$2:$H$2459,$Z1469)</f>
        <v>20</v>
      </c>
      <c r="AD1469" s="61" t="str">
        <f aca="false">INDEX(Datos_Origen!$D$2:$D$2459,$Z1469)&amp;""</f>
        <v>Mendoza</v>
      </c>
    </row>
    <row r="1470" customFormat="false" ht="15" hidden="false" customHeight="false" outlineLevel="0" collapsed="false">
      <c r="A1470" s="61" t="n">
        <f aca="false">INDEX(Datos_Origen!$A$2:$A$2459,$Z1470)</f>
        <v>1469</v>
      </c>
      <c r="B1470" s="62" t="n">
        <f aca="false">IF(ISNUMBER($AB1470),$AB1470,IF(MID($AB1470,5,1)="-",DATE(VALUE(LEFT($AB1470,4)),VALUE(MID($AB1470,6,2)),VALUE(RIGHT($AB1470,2))),DATE(VALUE(RIGHT($AB1470,4)),VALUE(MID($AB1470,4,2)),VALUE(LEFT($AB1470,2)))))</f>
        <v>45740</v>
      </c>
      <c r="C1470" s="61" t="n">
        <f aca="false">YEAR($B1470)</f>
        <v>2025</v>
      </c>
      <c r="D1470" s="61" t="str">
        <f aca="false">"Q"&amp;ROUNDUP(MONTH($B1470)/3,0)</f>
        <v>Q1</v>
      </c>
      <c r="E1470" s="61" t="n">
        <f aca="false">MONTH($B1470)</f>
        <v>3</v>
      </c>
      <c r="F1470" s="61" t="str">
        <f aca="false">INDEX(Parametros!$I$5:$I$16,$E1470)</f>
        <v>Mar</v>
      </c>
      <c r="G1470" s="61" t="str">
        <f aca="false">TEXT($C1470,"0000")&amp;"-"&amp;TEXT($E1470,"00")</f>
        <v>2025-03</v>
      </c>
      <c r="H1470" s="61" t="str">
        <f aca="false">INDEX(Parametros!$C$71:$C$91,MATCH(TRIM(INDEX(Datos_Origen!$C$2:$C$2459,$Z1470)),Parametros!$B$71:$B$91,0))</f>
        <v>Cuyo</v>
      </c>
      <c r="I1470" s="61" t="str">
        <f aca="false">IF(TRIM($AD1470)="",INDEX(Parametros!$I$20:$I$24,MATCH($H1470,Parametros!$H$20:$H$24,0)),TRIM($AD1470))</f>
        <v>Mendoza</v>
      </c>
      <c r="J1470" s="61" t="str">
        <f aca="false">INDEX(Parametros!$C$95:$C$106,MATCH(TRIM(INDEX(Datos_Origen!$E$2:$E$2459,$Z1470)),Parametros!$B$95:$B$106,0))</f>
        <v>Tienda fisica</v>
      </c>
      <c r="K1470" s="61" t="str">
        <f aca="false">INDEX(Parametros!$C$48:$C$67,MATCH(TRIM(INDEX(Datos_Origen!$F$2:$F$2459,$Z1470)),Parametros!$B$48:$B$67,0))</f>
        <v>Accesorios</v>
      </c>
      <c r="L1470" s="61" t="str">
        <f aca="false">$K1470&amp;" "&amp;$C1470</f>
        <v>Accesorios 2025</v>
      </c>
      <c r="M1470" s="61" t="str">
        <f aca="false">TRIM(INDEX(Datos_Origen!$G$2:$G$2459,$Z1470))</f>
        <v>Teclado Mecanico</v>
      </c>
      <c r="N1470" s="61" t="str">
        <f aca="false">$M1470&amp;" "&amp;$C1470</f>
        <v>Teclado Mecanico 2025</v>
      </c>
      <c r="O1470" s="63" t="n">
        <f aca="false">IF(ISTEXT($AC1470),VALUE($AC1470),$AC1470)</f>
        <v>30</v>
      </c>
      <c r="P1470" s="64" t="n">
        <f aca="false">INDEX(Datos_Origen!$I$2:$I$2459,$Z1470)</f>
        <v>94.39</v>
      </c>
      <c r="Q1470" s="64" t="n">
        <f aca="false">INDEX(Datos_Origen!$J$2:$J$2459,$Z1470)</f>
        <v>49.41</v>
      </c>
      <c r="R1470" s="65" t="n">
        <f aca="false">ROUND($O1470*$P1470,2)</f>
        <v>2831.7</v>
      </c>
      <c r="S1470" s="65" t="n">
        <f aca="false">ROUND($O1470*$Q1470,2)</f>
        <v>1482.3</v>
      </c>
      <c r="T1470" s="65" t="n">
        <f aca="false">ROUND($R1470*SUMIFS(Parametros!$E$28:$E$43,Parametros!$B$28:$B$43,$J1470,Parametros!$C$28:$C$43,$C1470,Parametros!$D$28:$D$43,$D1470),2)</f>
        <v>36.81</v>
      </c>
      <c r="U1470" s="65" t="n">
        <f aca="false">$R1470-$S1470-$T1470</f>
        <v>1312.59</v>
      </c>
      <c r="V1470" s="66" t="n">
        <f aca="false">IFERROR($U1470/$R1470,0)</f>
        <v>0.463534272698379</v>
      </c>
      <c r="W1470" s="67" t="str">
        <f aca="false">IF(AND($V1470&gt;=Parametros!$C$8,$R1470&gt;=Parametros!$C$12),"Alta rentabilidad",IF(OR($V1470&lt;Parametros!$C$11,$R1470&lt;Parametros!$C$13),"Revisar","Estandar"))</f>
        <v>Estandar</v>
      </c>
      <c r="X1470" s="67" t="str">
        <f aca="false">IF(AND($J1470="E-commerce",IFERROR($T1470/$R1470,0)&gt;Parametros!$C$14),"Alerta","OK")</f>
        <v>OK</v>
      </c>
      <c r="Y1470" s="61" t="str">
        <f aca="false">IF($R1470&gt;=Parametros!$C$12,"Alto",IF($R1470&lt;Parametros!$C$13,"Bajo","Medio"))</f>
        <v>Medio</v>
      </c>
      <c r="Z1470" s="61" t="n">
        <v>2129</v>
      </c>
      <c r="AA1470" s="61" t="str">
        <f aca="false">IF(MATCH($A1470,Datos_Origen!$A$2:$A$2459,0)=$Z1470,"OK","REVISAR")</f>
        <v>OK</v>
      </c>
      <c r="AB1470" s="62" t="n">
        <f aca="false">INDEX(Datos_Origen!$B$2:$B$2459,$Z1470)</f>
        <v>45740</v>
      </c>
      <c r="AC1470" s="61" t="n">
        <f aca="false">INDEX(Datos_Origen!$H$2:$H$2459,$Z1470)</f>
        <v>30</v>
      </c>
      <c r="AD1470" s="61" t="str">
        <f aca="false">INDEX(Datos_Origen!$D$2:$D$2459,$Z1470)&amp;""</f>
        <v>Mendoza</v>
      </c>
    </row>
    <row r="1471" customFormat="false" ht="15" hidden="false" customHeight="false" outlineLevel="0" collapsed="false">
      <c r="A1471" s="61" t="n">
        <f aca="false">INDEX(Datos_Origen!$A$2:$A$2459,$Z1471)</f>
        <v>1470</v>
      </c>
      <c r="B1471" s="62" t="n">
        <f aca="false">IF(ISNUMBER($AB1471),$AB1471,IF(MID($AB1471,5,1)="-",DATE(VALUE(LEFT($AB1471,4)),VALUE(MID($AB1471,6,2)),VALUE(RIGHT($AB1471,2))),DATE(VALUE(RIGHT($AB1471,4)),VALUE(MID($AB1471,4,2)),VALUE(LEFT($AB1471,2)))))</f>
        <v>45720</v>
      </c>
      <c r="C1471" s="61" t="n">
        <f aca="false">YEAR($B1471)</f>
        <v>2025</v>
      </c>
      <c r="D1471" s="61" t="str">
        <f aca="false">"Q"&amp;ROUNDUP(MONTH($B1471)/3,0)</f>
        <v>Q1</v>
      </c>
      <c r="E1471" s="61" t="n">
        <f aca="false">MONTH($B1471)</f>
        <v>3</v>
      </c>
      <c r="F1471" s="61" t="str">
        <f aca="false">INDEX(Parametros!$I$5:$I$16,$E1471)</f>
        <v>Mar</v>
      </c>
      <c r="G1471" s="61" t="str">
        <f aca="false">TEXT($C1471,"0000")&amp;"-"&amp;TEXT($E1471,"00")</f>
        <v>2025-03</v>
      </c>
      <c r="H1471" s="61" t="str">
        <f aca="false">INDEX(Parametros!$C$71:$C$91,MATCH(TRIM(INDEX(Datos_Origen!$C$2:$C$2459,$Z1471)),Parametros!$B$71:$B$91,0))</f>
        <v>Cuyo</v>
      </c>
      <c r="I1471" s="61" t="str">
        <f aca="false">IF(TRIM($AD1471)="",INDEX(Parametros!$I$20:$I$24,MATCH($H1471,Parametros!$H$20:$H$24,0)),TRIM($AD1471))</f>
        <v>Mendoza</v>
      </c>
      <c r="J1471" s="61" t="str">
        <f aca="false">INDEX(Parametros!$C$95:$C$106,MATCH(TRIM(INDEX(Datos_Origen!$E$2:$E$2459,$Z1471)),Parametros!$B$95:$B$106,0))</f>
        <v>E-commerce</v>
      </c>
      <c r="K1471" s="61" t="str">
        <f aca="false">INDEX(Parametros!$C$48:$C$67,MATCH(TRIM(INDEX(Datos_Origen!$F$2:$F$2459,$Z1471)),Parametros!$B$48:$B$67,0))</f>
        <v>Accesorios</v>
      </c>
      <c r="L1471" s="61" t="str">
        <f aca="false">$K1471&amp;" "&amp;$C1471</f>
        <v>Accesorios 2025</v>
      </c>
      <c r="M1471" s="61" t="str">
        <f aca="false">TRIM(INDEX(Datos_Origen!$G$2:$G$2459,$Z1471))</f>
        <v>Teclado Mecanico</v>
      </c>
      <c r="N1471" s="61" t="str">
        <f aca="false">$M1471&amp;" "&amp;$C1471</f>
        <v>Teclado Mecanico 2025</v>
      </c>
      <c r="O1471" s="63" t="n">
        <f aca="false">IF(ISTEXT($AC1471),VALUE($AC1471),$AC1471)</f>
        <v>23</v>
      </c>
      <c r="P1471" s="64" t="n">
        <f aca="false">INDEX(Datos_Origen!$I$2:$I$2459,$Z1471)</f>
        <v>94.39</v>
      </c>
      <c r="Q1471" s="64" t="n">
        <f aca="false">INDEX(Datos_Origen!$J$2:$J$2459,$Z1471)</f>
        <v>49.41</v>
      </c>
      <c r="R1471" s="65" t="n">
        <f aca="false">ROUND($O1471*$P1471,2)</f>
        <v>2170.97</v>
      </c>
      <c r="S1471" s="65" t="n">
        <f aca="false">ROUND($O1471*$Q1471,2)</f>
        <v>1136.43</v>
      </c>
      <c r="T1471" s="65" t="n">
        <f aca="false">ROUND($R1471*SUMIFS(Parametros!$E$28:$E$43,Parametros!$B$28:$B$43,$J1471,Parametros!$C$28:$C$43,$C1471,Parametros!$D$28:$D$43,$D1471),2)</f>
        <v>147.63</v>
      </c>
      <c r="U1471" s="65" t="n">
        <f aca="false">$R1471-$S1471-$T1471</f>
        <v>886.91</v>
      </c>
      <c r="V1471" s="66" t="n">
        <f aca="false">IFERROR($U1471/$R1471,0)</f>
        <v>0.408531670175083</v>
      </c>
      <c r="W1471" s="67" t="str">
        <f aca="false">IF(AND($V1471&gt;=Parametros!$C$8,$R1471&gt;=Parametros!$C$12),"Alta rentabilidad",IF(OR($V1471&lt;Parametros!$C$11,$R1471&lt;Parametros!$C$13),"Revisar","Estandar"))</f>
        <v>Estandar</v>
      </c>
      <c r="X1471" s="67" t="str">
        <f aca="false">IF(AND($J1471="E-commerce",IFERROR($T1471/$R1471,0)&gt;Parametros!$C$14),"Alerta","OK")</f>
        <v>Alerta</v>
      </c>
      <c r="Y1471" s="61" t="str">
        <f aca="false">IF($R1471&gt;=Parametros!$C$12,"Alto",IF($R1471&lt;Parametros!$C$13,"Bajo","Medio"))</f>
        <v>Medio</v>
      </c>
      <c r="Z1471" s="61" t="n">
        <v>424</v>
      </c>
      <c r="AA1471" s="61" t="str">
        <f aca="false">IF(MATCH($A1471,Datos_Origen!$A$2:$A$2459,0)=$Z1471,"OK","REVISAR")</f>
        <v>OK</v>
      </c>
      <c r="AB1471" s="61" t="str">
        <f aca="false">INDEX(Datos_Origen!$B$2:$B$2459,$Z1471)</f>
        <v>04/03/2025</v>
      </c>
      <c r="AC1471" s="61" t="str">
        <f aca="false">INDEX(Datos_Origen!$H$2:$H$2459,$Z1471)</f>
        <v>23</v>
      </c>
      <c r="AD1471" s="61" t="str">
        <f aca="false">INDEX(Datos_Origen!$D$2:$D$2459,$Z1471)&amp;""</f>
        <v>Mendoza</v>
      </c>
    </row>
    <row r="1472" customFormat="false" ht="15" hidden="false" customHeight="false" outlineLevel="0" collapsed="false">
      <c r="A1472" s="61" t="n">
        <f aca="false">INDEX(Datos_Origen!$A$2:$A$2459,$Z1472)</f>
        <v>1471</v>
      </c>
      <c r="B1472" s="62" t="n">
        <f aca="false">IF(ISNUMBER($AB1472),$AB1472,IF(MID($AB1472,5,1)="-",DATE(VALUE(LEFT($AB1472,4)),VALUE(MID($AB1472,6,2)),VALUE(RIGHT($AB1472,2))),DATE(VALUE(RIGHT($AB1472,4)),VALUE(MID($AB1472,4,2)),VALUE(LEFT($AB1472,2)))))</f>
        <v>45727</v>
      </c>
      <c r="C1472" s="61" t="n">
        <f aca="false">YEAR($B1472)</f>
        <v>2025</v>
      </c>
      <c r="D1472" s="61" t="str">
        <f aca="false">"Q"&amp;ROUNDUP(MONTH($B1472)/3,0)</f>
        <v>Q1</v>
      </c>
      <c r="E1472" s="61" t="n">
        <f aca="false">MONTH($B1472)</f>
        <v>3</v>
      </c>
      <c r="F1472" s="61" t="str">
        <f aca="false">INDEX(Parametros!$I$5:$I$16,$E1472)</f>
        <v>Mar</v>
      </c>
      <c r="G1472" s="61" t="str">
        <f aca="false">TEXT($C1472,"0000")&amp;"-"&amp;TEXT($E1472,"00")</f>
        <v>2025-03</v>
      </c>
      <c r="H1472" s="61" t="str">
        <f aca="false">INDEX(Parametros!$C$71:$C$91,MATCH(TRIM(INDEX(Datos_Origen!$C$2:$C$2459,$Z1472)),Parametros!$B$71:$B$91,0))</f>
        <v>Cuyo</v>
      </c>
      <c r="I1472" s="61" t="str">
        <f aca="false">IF(TRIM($AD1472)="",INDEX(Parametros!$I$20:$I$24,MATCH($H1472,Parametros!$H$20:$H$24,0)),TRIM($AD1472))</f>
        <v>Mendoza</v>
      </c>
      <c r="J1472" s="61" t="str">
        <f aca="false">INDEX(Parametros!$C$95:$C$106,MATCH(TRIM(INDEX(Datos_Origen!$E$2:$E$2459,$Z1472)),Parametros!$B$95:$B$106,0))</f>
        <v>Tienda fisica</v>
      </c>
      <c r="K1472" s="61" t="str">
        <f aca="false">INDEX(Parametros!$C$48:$C$67,MATCH(TRIM(INDEX(Datos_Origen!$F$2:$F$2459,$Z1472)),Parametros!$B$48:$B$67,0))</f>
        <v>Accesorios</v>
      </c>
      <c r="L1472" s="61" t="str">
        <f aca="false">$K1472&amp;" "&amp;$C1472</f>
        <v>Accesorios 2025</v>
      </c>
      <c r="M1472" s="61" t="str">
        <f aca="false">TRIM(INDEX(Datos_Origen!$G$2:$G$2459,$Z1472))</f>
        <v>Webcam Full HD</v>
      </c>
      <c r="N1472" s="61" t="str">
        <f aca="false">$M1472&amp;" "&amp;$C1472</f>
        <v>Webcam Full HD 2025</v>
      </c>
      <c r="O1472" s="63" t="n">
        <f aca="false">IF(ISTEXT($AC1472),VALUE($AC1472),$AC1472)</f>
        <v>31</v>
      </c>
      <c r="P1472" s="64" t="n">
        <f aca="false">INDEX(Datos_Origen!$I$2:$I$2459,$Z1472)</f>
        <v>64.58</v>
      </c>
      <c r="Q1472" s="64" t="n">
        <f aca="false">INDEX(Datos_Origen!$J$2:$J$2459,$Z1472)</f>
        <v>36.49</v>
      </c>
      <c r="R1472" s="65" t="n">
        <f aca="false">ROUND($O1472*$P1472,2)</f>
        <v>2001.98</v>
      </c>
      <c r="S1472" s="65" t="n">
        <f aca="false">ROUND($O1472*$Q1472,2)</f>
        <v>1131.19</v>
      </c>
      <c r="T1472" s="65" t="n">
        <f aca="false">ROUND($R1472*SUMIFS(Parametros!$E$28:$E$43,Parametros!$B$28:$B$43,$J1472,Parametros!$C$28:$C$43,$C1472,Parametros!$D$28:$D$43,$D1472),2)</f>
        <v>26.03</v>
      </c>
      <c r="U1472" s="65" t="n">
        <f aca="false">$R1472-$S1472-$T1472</f>
        <v>844.76</v>
      </c>
      <c r="V1472" s="66" t="n">
        <f aca="false">IFERROR($U1472/$R1472,0)</f>
        <v>0.421962257365208</v>
      </c>
      <c r="W1472" s="67" t="str">
        <f aca="false">IF(AND($V1472&gt;=Parametros!$C$8,$R1472&gt;=Parametros!$C$12),"Alta rentabilidad",IF(OR($V1472&lt;Parametros!$C$11,$R1472&lt;Parametros!$C$13),"Revisar","Estandar"))</f>
        <v>Estandar</v>
      </c>
      <c r="X1472" s="67" t="str">
        <f aca="false">IF(AND($J1472="E-commerce",IFERROR($T1472/$R1472,0)&gt;Parametros!$C$14),"Alerta","OK")</f>
        <v>OK</v>
      </c>
      <c r="Y1472" s="61" t="str">
        <f aca="false">IF($R1472&gt;=Parametros!$C$12,"Alto",IF($R1472&lt;Parametros!$C$13,"Bajo","Medio"))</f>
        <v>Medio</v>
      </c>
      <c r="Z1472" s="61" t="n">
        <v>1834</v>
      </c>
      <c r="AA1472" s="61" t="str">
        <f aca="false">IF(MATCH($A1472,Datos_Origen!$A$2:$A$2459,0)=$Z1472,"OK","REVISAR")</f>
        <v>OK</v>
      </c>
      <c r="AB1472" s="61" t="str">
        <f aca="false">INDEX(Datos_Origen!$B$2:$B$2459,$Z1472)</f>
        <v>11/03/2025</v>
      </c>
      <c r="AC1472" s="61" t="n">
        <f aca="false">INDEX(Datos_Origen!$H$2:$H$2459,$Z1472)</f>
        <v>31</v>
      </c>
      <c r="AD1472" s="61" t="str">
        <f aca="false">INDEX(Datos_Origen!$D$2:$D$2459,$Z1472)&amp;""</f>
        <v>Mendoza</v>
      </c>
    </row>
    <row r="1473" customFormat="false" ht="15" hidden="false" customHeight="false" outlineLevel="0" collapsed="false">
      <c r="A1473" s="61" t="n">
        <f aca="false">INDEX(Datos_Origen!$A$2:$A$2459,$Z1473)</f>
        <v>1472</v>
      </c>
      <c r="B1473" s="62" t="n">
        <f aca="false">IF(ISNUMBER($AB1473),$AB1473,IF(MID($AB1473,5,1)="-",DATE(VALUE(LEFT($AB1473,4)),VALUE(MID($AB1473,6,2)),VALUE(RIGHT($AB1473,2))),DATE(VALUE(RIGHT($AB1473,4)),VALUE(MID($AB1473,4,2)),VALUE(LEFT($AB1473,2)))))</f>
        <v>45734</v>
      </c>
      <c r="C1473" s="61" t="n">
        <f aca="false">YEAR($B1473)</f>
        <v>2025</v>
      </c>
      <c r="D1473" s="61" t="str">
        <f aca="false">"Q"&amp;ROUNDUP(MONTH($B1473)/3,0)</f>
        <v>Q1</v>
      </c>
      <c r="E1473" s="61" t="n">
        <f aca="false">MONTH($B1473)</f>
        <v>3</v>
      </c>
      <c r="F1473" s="61" t="str">
        <f aca="false">INDEX(Parametros!$I$5:$I$16,$E1473)</f>
        <v>Mar</v>
      </c>
      <c r="G1473" s="61" t="str">
        <f aca="false">TEXT($C1473,"0000")&amp;"-"&amp;TEXT($E1473,"00")</f>
        <v>2025-03</v>
      </c>
      <c r="H1473" s="61" t="str">
        <f aca="false">INDEX(Parametros!$C$71:$C$91,MATCH(TRIM(INDEX(Datos_Origen!$C$2:$C$2459,$Z1473)),Parametros!$B$71:$B$91,0))</f>
        <v>Cuyo</v>
      </c>
      <c r="I1473" s="61" t="str">
        <f aca="false">IF(TRIM($AD1473)="",INDEX(Parametros!$I$20:$I$24,MATCH($H1473,Parametros!$H$20:$H$24,0)),TRIM($AD1473))</f>
        <v>Mendoza</v>
      </c>
      <c r="J1473" s="61" t="str">
        <f aca="false">INDEX(Parametros!$C$95:$C$106,MATCH(TRIM(INDEX(Datos_Origen!$E$2:$E$2459,$Z1473)),Parametros!$B$95:$B$106,0))</f>
        <v>E-commerce</v>
      </c>
      <c r="K1473" s="61" t="str">
        <f aca="false">INDEX(Parametros!$C$48:$C$67,MATCH(TRIM(INDEX(Datos_Origen!$F$2:$F$2459,$Z1473)),Parametros!$B$48:$B$67,0))</f>
        <v>Accesorios</v>
      </c>
      <c r="L1473" s="61" t="str">
        <f aca="false">$K1473&amp;" "&amp;$C1473</f>
        <v>Accesorios 2025</v>
      </c>
      <c r="M1473" s="61" t="str">
        <f aca="false">TRIM(INDEX(Datos_Origen!$G$2:$G$2459,$Z1473))</f>
        <v>Webcam Full HD</v>
      </c>
      <c r="N1473" s="61" t="str">
        <f aca="false">$M1473&amp;" "&amp;$C1473</f>
        <v>Webcam Full HD 2025</v>
      </c>
      <c r="O1473" s="63" t="n">
        <f aca="false">IF(ISTEXT($AC1473),VALUE($AC1473),$AC1473)</f>
        <v>20</v>
      </c>
      <c r="P1473" s="64" t="n">
        <f aca="false">INDEX(Datos_Origen!$I$2:$I$2459,$Z1473)</f>
        <v>64.58</v>
      </c>
      <c r="Q1473" s="64" t="n">
        <f aca="false">INDEX(Datos_Origen!$J$2:$J$2459,$Z1473)</f>
        <v>36.49</v>
      </c>
      <c r="R1473" s="65" t="n">
        <f aca="false">ROUND($O1473*$P1473,2)</f>
        <v>1291.6</v>
      </c>
      <c r="S1473" s="65" t="n">
        <f aca="false">ROUND($O1473*$Q1473,2)</f>
        <v>729.8</v>
      </c>
      <c r="T1473" s="65" t="n">
        <f aca="false">ROUND($R1473*SUMIFS(Parametros!$E$28:$E$43,Parametros!$B$28:$B$43,$J1473,Parametros!$C$28:$C$43,$C1473,Parametros!$D$28:$D$43,$D1473),2)</f>
        <v>87.83</v>
      </c>
      <c r="U1473" s="65" t="n">
        <f aca="false">$R1473-$S1473-$T1473</f>
        <v>473.97</v>
      </c>
      <c r="V1473" s="66" t="n">
        <f aca="false">IFERROR($U1473/$R1473,0)</f>
        <v>0.366963456178383</v>
      </c>
      <c r="W1473" s="67" t="str">
        <f aca="false">IF(AND($V1473&gt;=Parametros!$C$8,$R1473&gt;=Parametros!$C$12),"Alta rentabilidad",IF(OR($V1473&lt;Parametros!$C$11,$R1473&lt;Parametros!$C$13),"Revisar","Estandar"))</f>
        <v>Estandar</v>
      </c>
      <c r="X1473" s="67" t="str">
        <f aca="false">IF(AND($J1473="E-commerce",IFERROR($T1473/$R1473,0)&gt;Parametros!$C$14),"Alerta","OK")</f>
        <v>Alerta</v>
      </c>
      <c r="Y1473" s="61" t="str">
        <f aca="false">IF($R1473&gt;=Parametros!$C$12,"Alto",IF($R1473&lt;Parametros!$C$13,"Bajo","Medio"))</f>
        <v>Medio</v>
      </c>
      <c r="Z1473" s="61" t="n">
        <v>1601</v>
      </c>
      <c r="AA1473" s="61" t="str">
        <f aca="false">IF(MATCH($A1473,Datos_Origen!$A$2:$A$2459,0)=$Z1473,"OK","REVISAR")</f>
        <v>OK</v>
      </c>
      <c r="AB1473" s="62" t="n">
        <f aca="false">INDEX(Datos_Origen!$B$2:$B$2459,$Z1473)</f>
        <v>45734</v>
      </c>
      <c r="AC1473" s="61" t="n">
        <f aca="false">INDEX(Datos_Origen!$H$2:$H$2459,$Z1473)</f>
        <v>20</v>
      </c>
      <c r="AD1473" s="61" t="str">
        <f aca="false">INDEX(Datos_Origen!$D$2:$D$2459,$Z1473)&amp;""</f>
        <v>Mendoza</v>
      </c>
    </row>
    <row r="1474" customFormat="false" ht="15" hidden="false" customHeight="false" outlineLevel="0" collapsed="false">
      <c r="A1474" s="61" t="n">
        <f aca="false">INDEX(Datos_Origen!$A$2:$A$2459,$Z1474)</f>
        <v>1473</v>
      </c>
      <c r="B1474" s="62" t="n">
        <f aca="false">IF(ISNUMBER($AB1474),$AB1474,IF(MID($AB1474,5,1)="-",DATE(VALUE(LEFT($AB1474,4)),VALUE(MID($AB1474,6,2)),VALUE(RIGHT($AB1474,2))),DATE(VALUE(RIGHT($AB1474,4)),VALUE(MID($AB1474,4,2)),VALUE(LEFT($AB1474,2)))))</f>
        <v>45741</v>
      </c>
      <c r="C1474" s="61" t="n">
        <f aca="false">YEAR($B1474)</f>
        <v>2025</v>
      </c>
      <c r="D1474" s="61" t="str">
        <f aca="false">"Q"&amp;ROUNDUP(MONTH($B1474)/3,0)</f>
        <v>Q1</v>
      </c>
      <c r="E1474" s="61" t="n">
        <f aca="false">MONTH($B1474)</f>
        <v>3</v>
      </c>
      <c r="F1474" s="61" t="str">
        <f aca="false">INDEX(Parametros!$I$5:$I$16,$E1474)</f>
        <v>Mar</v>
      </c>
      <c r="G1474" s="61" t="str">
        <f aca="false">TEXT($C1474,"0000")&amp;"-"&amp;TEXT($E1474,"00")</f>
        <v>2025-03</v>
      </c>
      <c r="H1474" s="61" t="str">
        <f aca="false">INDEX(Parametros!$C$71:$C$91,MATCH(TRIM(INDEX(Datos_Origen!$C$2:$C$2459,$Z1474)),Parametros!$B$71:$B$91,0))</f>
        <v>Cuyo</v>
      </c>
      <c r="I1474" s="61" t="str">
        <f aca="false">IF(TRIM($AD1474)="",INDEX(Parametros!$I$20:$I$24,MATCH($H1474,Parametros!$H$20:$H$24,0)),TRIM($AD1474))</f>
        <v>Mendoza</v>
      </c>
      <c r="J1474" s="61" t="str">
        <f aca="false">INDEX(Parametros!$C$95:$C$106,MATCH(TRIM(INDEX(Datos_Origen!$E$2:$E$2459,$Z1474)),Parametros!$B$95:$B$106,0))</f>
        <v>Tienda fisica</v>
      </c>
      <c r="K1474" s="61" t="str">
        <f aca="false">INDEX(Parametros!$C$48:$C$67,MATCH(TRIM(INDEX(Datos_Origen!$F$2:$F$2459,$Z1474)),Parametros!$B$48:$B$67,0))</f>
        <v>Audio</v>
      </c>
      <c r="L1474" s="61" t="str">
        <f aca="false">$K1474&amp;" "&amp;$C1474</f>
        <v>Audio 2025</v>
      </c>
      <c r="M1474" s="61" t="str">
        <f aca="false">TRIM(INDEX(Datos_Origen!$G$2:$G$2459,$Z1474))</f>
        <v>Auriculares BT Pro</v>
      </c>
      <c r="N1474" s="61" t="str">
        <f aca="false">$M1474&amp;" "&amp;$C1474</f>
        <v>Auriculares BT Pro 2025</v>
      </c>
      <c r="O1474" s="63" t="n">
        <f aca="false">IF(ISTEXT($AC1474),VALUE($AC1474),$AC1474)</f>
        <v>12</v>
      </c>
      <c r="P1474" s="64" t="n">
        <f aca="false">INDEX(Datos_Origen!$I$2:$I$2459,$Z1474)</f>
        <v>119.23</v>
      </c>
      <c r="Q1474" s="64" t="n">
        <f aca="false">INDEX(Datos_Origen!$J$2:$J$2459,$Z1474)</f>
        <v>65.51</v>
      </c>
      <c r="R1474" s="65" t="n">
        <f aca="false">ROUND($O1474*$P1474,2)</f>
        <v>1430.76</v>
      </c>
      <c r="S1474" s="65" t="n">
        <f aca="false">ROUND($O1474*$Q1474,2)</f>
        <v>786.12</v>
      </c>
      <c r="T1474" s="65" t="n">
        <f aca="false">ROUND($R1474*SUMIFS(Parametros!$E$28:$E$43,Parametros!$B$28:$B$43,$J1474,Parametros!$C$28:$C$43,$C1474,Parametros!$D$28:$D$43,$D1474),2)</f>
        <v>18.6</v>
      </c>
      <c r="U1474" s="65" t="n">
        <f aca="false">$R1474-$S1474-$T1474</f>
        <v>626.04</v>
      </c>
      <c r="V1474" s="66" t="n">
        <f aca="false">IFERROR($U1474/$R1474,0)</f>
        <v>0.437557661662333</v>
      </c>
      <c r="W1474" s="67" t="str">
        <f aca="false">IF(AND($V1474&gt;=Parametros!$C$8,$R1474&gt;=Parametros!$C$12),"Alta rentabilidad",IF(OR($V1474&lt;Parametros!$C$11,$R1474&lt;Parametros!$C$13),"Revisar","Estandar"))</f>
        <v>Estandar</v>
      </c>
      <c r="X1474" s="67" t="str">
        <f aca="false">IF(AND($J1474="E-commerce",IFERROR($T1474/$R1474,0)&gt;Parametros!$C$14),"Alerta","OK")</f>
        <v>OK</v>
      </c>
      <c r="Y1474" s="61" t="str">
        <f aca="false">IF($R1474&gt;=Parametros!$C$12,"Alto",IF($R1474&lt;Parametros!$C$13,"Bajo","Medio"))</f>
        <v>Medio</v>
      </c>
      <c r="Z1474" s="61" t="n">
        <v>1770</v>
      </c>
      <c r="AA1474" s="61" t="str">
        <f aca="false">IF(MATCH($A1474,Datos_Origen!$A$2:$A$2459,0)=$Z1474,"OK","REVISAR")</f>
        <v>OK</v>
      </c>
      <c r="AB1474" s="61" t="str">
        <f aca="false">INDEX(Datos_Origen!$B$2:$B$2459,$Z1474)</f>
        <v>25/03/2025</v>
      </c>
      <c r="AC1474" s="61" t="n">
        <f aca="false">INDEX(Datos_Origen!$H$2:$H$2459,$Z1474)</f>
        <v>12</v>
      </c>
      <c r="AD1474" s="61" t="str">
        <f aca="false">INDEX(Datos_Origen!$D$2:$D$2459,$Z1474)&amp;""</f>
        <v>Mendoza</v>
      </c>
    </row>
    <row r="1475" customFormat="false" ht="15" hidden="false" customHeight="false" outlineLevel="0" collapsed="false">
      <c r="A1475" s="61" t="n">
        <f aca="false">INDEX(Datos_Origen!$A$2:$A$2459,$Z1475)</f>
        <v>1474</v>
      </c>
      <c r="B1475" s="62" t="n">
        <f aca="false">IF(ISNUMBER($AB1475),$AB1475,IF(MID($AB1475,5,1)="-",DATE(VALUE(LEFT($AB1475,4)),VALUE(MID($AB1475,6,2)),VALUE(RIGHT($AB1475,2))),DATE(VALUE(RIGHT($AB1475,4)),VALUE(MID($AB1475,4,2)),VALUE(LEFT($AB1475,2)))))</f>
        <v>45721</v>
      </c>
      <c r="C1475" s="61" t="n">
        <f aca="false">YEAR($B1475)</f>
        <v>2025</v>
      </c>
      <c r="D1475" s="61" t="str">
        <f aca="false">"Q"&amp;ROUNDUP(MONTH($B1475)/3,0)</f>
        <v>Q1</v>
      </c>
      <c r="E1475" s="61" t="n">
        <f aca="false">MONTH($B1475)</f>
        <v>3</v>
      </c>
      <c r="F1475" s="61" t="str">
        <f aca="false">INDEX(Parametros!$I$5:$I$16,$E1475)</f>
        <v>Mar</v>
      </c>
      <c r="G1475" s="61" t="str">
        <f aca="false">TEXT($C1475,"0000")&amp;"-"&amp;TEXT($E1475,"00")</f>
        <v>2025-03</v>
      </c>
      <c r="H1475" s="61" t="str">
        <f aca="false">INDEX(Parametros!$C$71:$C$91,MATCH(TRIM(INDEX(Datos_Origen!$C$2:$C$2459,$Z1475)),Parametros!$B$71:$B$91,0))</f>
        <v>Cuyo</v>
      </c>
      <c r="I1475" s="61" t="str">
        <f aca="false">IF(TRIM($AD1475)="",INDEX(Parametros!$I$20:$I$24,MATCH($H1475,Parametros!$H$20:$H$24,0)),TRIM($AD1475))</f>
        <v>Mendoza</v>
      </c>
      <c r="J1475" s="61" t="str">
        <f aca="false">INDEX(Parametros!$C$95:$C$106,MATCH(TRIM(INDEX(Datos_Origen!$E$2:$E$2459,$Z1475)),Parametros!$B$95:$B$106,0))</f>
        <v>E-commerce</v>
      </c>
      <c r="K1475" s="61" t="str">
        <f aca="false">INDEX(Parametros!$C$48:$C$67,MATCH(TRIM(INDEX(Datos_Origen!$F$2:$F$2459,$Z1475)),Parametros!$B$48:$B$67,0))</f>
        <v>Audio</v>
      </c>
      <c r="L1475" s="61" t="str">
        <f aca="false">$K1475&amp;" "&amp;$C1475</f>
        <v>Audio 2025</v>
      </c>
      <c r="M1475" s="61" t="str">
        <f aca="false">TRIM(INDEX(Datos_Origen!$G$2:$G$2459,$Z1475))</f>
        <v>Auriculares BT Pro</v>
      </c>
      <c r="N1475" s="61" t="str">
        <f aca="false">$M1475&amp;" "&amp;$C1475</f>
        <v>Auriculares BT Pro 2025</v>
      </c>
      <c r="O1475" s="63" t="n">
        <f aca="false">IF(ISTEXT($AC1475),VALUE($AC1475),$AC1475)</f>
        <v>8</v>
      </c>
      <c r="P1475" s="64" t="n">
        <f aca="false">INDEX(Datos_Origen!$I$2:$I$2459,$Z1475)</f>
        <v>119.23</v>
      </c>
      <c r="Q1475" s="64" t="n">
        <f aca="false">INDEX(Datos_Origen!$J$2:$J$2459,$Z1475)</f>
        <v>65.51</v>
      </c>
      <c r="R1475" s="65" t="n">
        <f aca="false">ROUND($O1475*$P1475,2)</f>
        <v>953.84</v>
      </c>
      <c r="S1475" s="65" t="n">
        <f aca="false">ROUND($O1475*$Q1475,2)</f>
        <v>524.08</v>
      </c>
      <c r="T1475" s="65" t="n">
        <f aca="false">ROUND($R1475*SUMIFS(Parametros!$E$28:$E$43,Parametros!$B$28:$B$43,$J1475,Parametros!$C$28:$C$43,$C1475,Parametros!$D$28:$D$43,$D1475),2)</f>
        <v>64.86</v>
      </c>
      <c r="U1475" s="65" t="n">
        <f aca="false">$R1475-$S1475-$T1475</f>
        <v>364.9</v>
      </c>
      <c r="V1475" s="66" t="n">
        <f aca="false">IFERROR($U1475/$R1475,0)</f>
        <v>0.382558919734966</v>
      </c>
      <c r="W1475" s="67" t="str">
        <f aca="false">IF(AND($V1475&gt;=Parametros!$C$8,$R1475&gt;=Parametros!$C$12),"Alta rentabilidad",IF(OR($V1475&lt;Parametros!$C$11,$R1475&lt;Parametros!$C$13),"Revisar","Estandar"))</f>
        <v>Estandar</v>
      </c>
      <c r="X1475" s="67" t="str">
        <f aca="false">IF(AND($J1475="E-commerce",IFERROR($T1475/$R1475,0)&gt;Parametros!$C$14),"Alerta","OK")</f>
        <v>Alerta</v>
      </c>
      <c r="Y1475" s="61" t="str">
        <f aca="false">IF($R1475&gt;=Parametros!$C$12,"Alto",IF($R1475&lt;Parametros!$C$13,"Bajo","Medio"))</f>
        <v>Medio</v>
      </c>
      <c r="Z1475" s="61" t="n">
        <v>854</v>
      </c>
      <c r="AA1475" s="61" t="str">
        <f aca="false">IF(MATCH($A1475,Datos_Origen!$A$2:$A$2459,0)=$Z1475,"OK","REVISAR")</f>
        <v>OK</v>
      </c>
      <c r="AB1475" s="62" t="n">
        <f aca="false">INDEX(Datos_Origen!$B$2:$B$2459,$Z1475)</f>
        <v>45721</v>
      </c>
      <c r="AC1475" s="61" t="str">
        <f aca="false">INDEX(Datos_Origen!$H$2:$H$2459,$Z1475)</f>
        <v>8</v>
      </c>
      <c r="AD1475" s="61" t="str">
        <f aca="false">INDEX(Datos_Origen!$D$2:$D$2459,$Z1475)&amp;""</f>
        <v>Mendoza</v>
      </c>
    </row>
    <row r="1476" customFormat="false" ht="15" hidden="false" customHeight="false" outlineLevel="0" collapsed="false">
      <c r="A1476" s="61" t="n">
        <f aca="false">INDEX(Datos_Origen!$A$2:$A$2459,$Z1476)</f>
        <v>1475</v>
      </c>
      <c r="B1476" s="62" t="n">
        <f aca="false">IF(ISNUMBER($AB1476),$AB1476,IF(MID($AB1476,5,1)="-",DATE(VALUE(LEFT($AB1476,4)),VALUE(MID($AB1476,6,2)),VALUE(RIGHT($AB1476,2))),DATE(VALUE(RIGHT($AB1476,4)),VALUE(MID($AB1476,4,2)),VALUE(LEFT($AB1476,2)))))</f>
        <v>45728</v>
      </c>
      <c r="C1476" s="61" t="n">
        <f aca="false">YEAR($B1476)</f>
        <v>2025</v>
      </c>
      <c r="D1476" s="61" t="str">
        <f aca="false">"Q"&amp;ROUNDUP(MONTH($B1476)/3,0)</f>
        <v>Q1</v>
      </c>
      <c r="E1476" s="61" t="n">
        <f aca="false">MONTH($B1476)</f>
        <v>3</v>
      </c>
      <c r="F1476" s="61" t="str">
        <f aca="false">INDEX(Parametros!$I$5:$I$16,$E1476)</f>
        <v>Mar</v>
      </c>
      <c r="G1476" s="61" t="str">
        <f aca="false">TEXT($C1476,"0000")&amp;"-"&amp;TEXT($E1476,"00")</f>
        <v>2025-03</v>
      </c>
      <c r="H1476" s="61" t="str">
        <f aca="false">INDEX(Parametros!$C$71:$C$91,MATCH(TRIM(INDEX(Datos_Origen!$C$2:$C$2459,$Z1476)),Parametros!$B$71:$B$91,0))</f>
        <v>Cuyo</v>
      </c>
      <c r="I1476" s="61" t="str">
        <f aca="false">IF(TRIM($AD1476)="",INDEX(Parametros!$I$20:$I$24,MATCH($H1476,Parametros!$H$20:$H$24,0)),TRIM($AD1476))</f>
        <v>Mendoza</v>
      </c>
      <c r="J1476" s="61" t="str">
        <f aca="false">INDEX(Parametros!$C$95:$C$106,MATCH(TRIM(INDEX(Datos_Origen!$E$2:$E$2459,$Z1476)),Parametros!$B$95:$B$106,0))</f>
        <v>Tienda fisica</v>
      </c>
      <c r="K1476" s="61" t="str">
        <f aca="false">INDEX(Parametros!$C$48:$C$67,MATCH(TRIM(INDEX(Datos_Origen!$F$2:$F$2459,$Z1476)),Parametros!$B$48:$B$67,0))</f>
        <v>Audio</v>
      </c>
      <c r="L1476" s="61" t="str">
        <f aca="false">$K1476&amp;" "&amp;$C1476</f>
        <v>Audio 2025</v>
      </c>
      <c r="M1476" s="61" t="str">
        <f aca="false">TRIM(INDEX(Datos_Origen!$G$2:$G$2459,$Z1476))</f>
        <v>Parlante Bluetooth</v>
      </c>
      <c r="N1476" s="61" t="str">
        <f aca="false">$M1476&amp;" "&amp;$C1476</f>
        <v>Parlante Bluetooth 2025</v>
      </c>
      <c r="O1476" s="63" t="n">
        <f aca="false">IF(ISTEXT($AC1476),VALUE($AC1476),$AC1476)</f>
        <v>13</v>
      </c>
      <c r="P1476" s="64" t="n">
        <f aca="false">INDEX(Datos_Origen!$I$2:$I$2459,$Z1476)</f>
        <v>84.46</v>
      </c>
      <c r="Q1476" s="64" t="n">
        <f aca="false">INDEX(Datos_Origen!$J$2:$J$2459,$Z1476)</f>
        <v>49.47</v>
      </c>
      <c r="R1476" s="65" t="n">
        <f aca="false">ROUND($O1476*$P1476,2)</f>
        <v>1097.98</v>
      </c>
      <c r="S1476" s="65" t="n">
        <f aca="false">ROUND($O1476*$Q1476,2)</f>
        <v>643.11</v>
      </c>
      <c r="T1476" s="65" t="n">
        <f aca="false">ROUND($R1476*SUMIFS(Parametros!$E$28:$E$43,Parametros!$B$28:$B$43,$J1476,Parametros!$C$28:$C$43,$C1476,Parametros!$D$28:$D$43,$D1476),2)</f>
        <v>14.27</v>
      </c>
      <c r="U1476" s="65" t="n">
        <f aca="false">$R1476-$S1476-$T1476</f>
        <v>440.6</v>
      </c>
      <c r="V1476" s="66" t="n">
        <f aca="false">IFERROR($U1476/$R1476,0)</f>
        <v>0.401282354869852</v>
      </c>
      <c r="W1476" s="67" t="str">
        <f aca="false">IF(AND($V1476&gt;=Parametros!$C$8,$R1476&gt;=Parametros!$C$12),"Alta rentabilidad",IF(OR($V1476&lt;Parametros!$C$11,$R1476&lt;Parametros!$C$13),"Revisar","Estandar"))</f>
        <v>Estandar</v>
      </c>
      <c r="X1476" s="67" t="str">
        <f aca="false">IF(AND($J1476="E-commerce",IFERROR($T1476/$R1476,0)&gt;Parametros!$C$14),"Alerta","OK")</f>
        <v>OK</v>
      </c>
      <c r="Y1476" s="61" t="str">
        <f aca="false">IF($R1476&gt;=Parametros!$C$12,"Alto",IF($R1476&lt;Parametros!$C$13,"Bajo","Medio"))</f>
        <v>Medio</v>
      </c>
      <c r="Z1476" s="61" t="n">
        <v>748</v>
      </c>
      <c r="AA1476" s="61" t="str">
        <f aca="false">IF(MATCH($A1476,Datos_Origen!$A$2:$A$2459,0)=$Z1476,"OK","REVISAR")</f>
        <v>OK</v>
      </c>
      <c r="AB1476" s="62" t="n">
        <f aca="false">INDEX(Datos_Origen!$B$2:$B$2459,$Z1476)</f>
        <v>45728</v>
      </c>
      <c r="AC1476" s="61" t="n">
        <f aca="false">INDEX(Datos_Origen!$H$2:$H$2459,$Z1476)</f>
        <v>13</v>
      </c>
      <c r="AD1476" s="61" t="str">
        <f aca="false">INDEX(Datos_Origen!$D$2:$D$2459,$Z1476)&amp;""</f>
        <v>Mendoza</v>
      </c>
    </row>
    <row r="1477" customFormat="false" ht="15" hidden="false" customHeight="false" outlineLevel="0" collapsed="false">
      <c r="A1477" s="61" t="n">
        <f aca="false">INDEX(Datos_Origen!$A$2:$A$2459,$Z1477)</f>
        <v>1476</v>
      </c>
      <c r="B1477" s="62" t="n">
        <f aca="false">IF(ISNUMBER($AB1477),$AB1477,IF(MID($AB1477,5,1)="-",DATE(VALUE(LEFT($AB1477,4)),VALUE(MID($AB1477,6,2)),VALUE(RIGHT($AB1477,2))),DATE(VALUE(RIGHT($AB1477,4)),VALUE(MID($AB1477,4,2)),VALUE(LEFT($AB1477,2)))))</f>
        <v>45735</v>
      </c>
      <c r="C1477" s="61" t="n">
        <f aca="false">YEAR($B1477)</f>
        <v>2025</v>
      </c>
      <c r="D1477" s="61" t="str">
        <f aca="false">"Q"&amp;ROUNDUP(MONTH($B1477)/3,0)</f>
        <v>Q1</v>
      </c>
      <c r="E1477" s="61" t="n">
        <f aca="false">MONTH($B1477)</f>
        <v>3</v>
      </c>
      <c r="F1477" s="61" t="str">
        <f aca="false">INDEX(Parametros!$I$5:$I$16,$E1477)</f>
        <v>Mar</v>
      </c>
      <c r="G1477" s="61" t="str">
        <f aca="false">TEXT($C1477,"0000")&amp;"-"&amp;TEXT($E1477,"00")</f>
        <v>2025-03</v>
      </c>
      <c r="H1477" s="61" t="str">
        <f aca="false">INDEX(Parametros!$C$71:$C$91,MATCH(TRIM(INDEX(Datos_Origen!$C$2:$C$2459,$Z1477)),Parametros!$B$71:$B$91,0))</f>
        <v>Cuyo</v>
      </c>
      <c r="I1477" s="61" t="str">
        <f aca="false">IF(TRIM($AD1477)="",INDEX(Parametros!$I$20:$I$24,MATCH($H1477,Parametros!$H$20:$H$24,0)),TRIM($AD1477))</f>
        <v>Mendoza</v>
      </c>
      <c r="J1477" s="61" t="str">
        <f aca="false">INDEX(Parametros!$C$95:$C$106,MATCH(TRIM(INDEX(Datos_Origen!$E$2:$E$2459,$Z1477)),Parametros!$B$95:$B$106,0))</f>
        <v>E-commerce</v>
      </c>
      <c r="K1477" s="61" t="str">
        <f aca="false">INDEX(Parametros!$C$48:$C$67,MATCH(TRIM(INDEX(Datos_Origen!$F$2:$F$2459,$Z1477)),Parametros!$B$48:$B$67,0))</f>
        <v>Audio</v>
      </c>
      <c r="L1477" s="61" t="str">
        <f aca="false">$K1477&amp;" "&amp;$C1477</f>
        <v>Audio 2025</v>
      </c>
      <c r="M1477" s="61" t="str">
        <f aca="false">TRIM(INDEX(Datos_Origen!$G$2:$G$2459,$Z1477))</f>
        <v>Parlante Bluetooth</v>
      </c>
      <c r="N1477" s="61" t="str">
        <f aca="false">$M1477&amp;" "&amp;$C1477</f>
        <v>Parlante Bluetooth 2025</v>
      </c>
      <c r="O1477" s="63" t="n">
        <f aca="false">IF(ISTEXT($AC1477),VALUE($AC1477),$AC1477)</f>
        <v>10</v>
      </c>
      <c r="P1477" s="64" t="n">
        <f aca="false">INDEX(Datos_Origen!$I$2:$I$2459,$Z1477)</f>
        <v>84.46</v>
      </c>
      <c r="Q1477" s="64" t="n">
        <f aca="false">INDEX(Datos_Origen!$J$2:$J$2459,$Z1477)</f>
        <v>49.47</v>
      </c>
      <c r="R1477" s="65" t="n">
        <f aca="false">ROUND($O1477*$P1477,2)</f>
        <v>844.6</v>
      </c>
      <c r="S1477" s="65" t="n">
        <f aca="false">ROUND($O1477*$Q1477,2)</f>
        <v>494.7</v>
      </c>
      <c r="T1477" s="65" t="n">
        <f aca="false">ROUND($R1477*SUMIFS(Parametros!$E$28:$E$43,Parametros!$B$28:$B$43,$J1477,Parametros!$C$28:$C$43,$C1477,Parametros!$D$28:$D$43,$D1477),2)</f>
        <v>57.43</v>
      </c>
      <c r="U1477" s="65" t="n">
        <f aca="false">$R1477-$S1477-$T1477</f>
        <v>292.47</v>
      </c>
      <c r="V1477" s="66" t="n">
        <f aca="false">IFERROR($U1477/$R1477,0)</f>
        <v>0.346282263793512</v>
      </c>
      <c r="W1477" s="67" t="str">
        <f aca="false">IF(AND($V1477&gt;=Parametros!$C$8,$R1477&gt;=Parametros!$C$12),"Alta rentabilidad",IF(OR($V1477&lt;Parametros!$C$11,$R1477&lt;Parametros!$C$13),"Revisar","Estandar"))</f>
        <v>Estandar</v>
      </c>
      <c r="X1477" s="67" t="str">
        <f aca="false">IF(AND($J1477="E-commerce",IFERROR($T1477/$R1477,0)&gt;Parametros!$C$14),"Alerta","OK")</f>
        <v>Alerta</v>
      </c>
      <c r="Y1477" s="61" t="str">
        <f aca="false">IF($R1477&gt;=Parametros!$C$12,"Alto",IF($R1477&lt;Parametros!$C$13,"Bajo","Medio"))</f>
        <v>Medio</v>
      </c>
      <c r="Z1477" s="61" t="n">
        <v>1912</v>
      </c>
      <c r="AA1477" s="61" t="str">
        <f aca="false">IF(MATCH($A1477,Datos_Origen!$A$2:$A$2459,0)=$Z1477,"OK","REVISAR")</f>
        <v>OK</v>
      </c>
      <c r="AB1477" s="62" t="n">
        <f aca="false">INDEX(Datos_Origen!$B$2:$B$2459,$Z1477)</f>
        <v>45735</v>
      </c>
      <c r="AC1477" s="61" t="n">
        <f aca="false">INDEX(Datos_Origen!$H$2:$H$2459,$Z1477)</f>
        <v>10</v>
      </c>
      <c r="AD1477" s="61" t="str">
        <f aca="false">INDEX(Datos_Origen!$D$2:$D$2459,$Z1477)&amp;""</f>
        <v>Mendoza</v>
      </c>
    </row>
    <row r="1478" customFormat="false" ht="15" hidden="false" customHeight="false" outlineLevel="0" collapsed="false">
      <c r="A1478" s="61" t="n">
        <f aca="false">INDEX(Datos_Origen!$A$2:$A$2459,$Z1478)</f>
        <v>1477</v>
      </c>
      <c r="B1478" s="62" t="n">
        <f aca="false">IF(ISNUMBER($AB1478),$AB1478,IF(MID($AB1478,5,1)="-",DATE(VALUE(LEFT($AB1478,4)),VALUE(MID($AB1478,6,2)),VALUE(RIGHT($AB1478,2))),DATE(VALUE(RIGHT($AB1478,4)),VALUE(MID($AB1478,4,2)),VALUE(LEFT($AB1478,2)))))</f>
        <v>45742</v>
      </c>
      <c r="C1478" s="61" t="n">
        <f aca="false">YEAR($B1478)</f>
        <v>2025</v>
      </c>
      <c r="D1478" s="61" t="str">
        <f aca="false">"Q"&amp;ROUNDUP(MONTH($B1478)/3,0)</f>
        <v>Q1</v>
      </c>
      <c r="E1478" s="61" t="n">
        <f aca="false">MONTH($B1478)</f>
        <v>3</v>
      </c>
      <c r="F1478" s="61" t="str">
        <f aca="false">INDEX(Parametros!$I$5:$I$16,$E1478)</f>
        <v>Mar</v>
      </c>
      <c r="G1478" s="61" t="str">
        <f aca="false">TEXT($C1478,"0000")&amp;"-"&amp;TEXT($E1478,"00")</f>
        <v>2025-03</v>
      </c>
      <c r="H1478" s="61" t="str">
        <f aca="false">INDEX(Parametros!$C$71:$C$91,MATCH(TRIM(INDEX(Datos_Origen!$C$2:$C$2459,$Z1478)),Parametros!$B$71:$B$91,0))</f>
        <v>Cuyo</v>
      </c>
      <c r="I1478" s="61" t="str">
        <f aca="false">IF(TRIM($AD1478)="",INDEX(Parametros!$I$20:$I$24,MATCH($H1478,Parametros!$H$20:$H$24,0)),TRIM($AD1478))</f>
        <v>Mendoza</v>
      </c>
      <c r="J1478" s="61" t="str">
        <f aca="false">INDEX(Parametros!$C$95:$C$106,MATCH(TRIM(INDEX(Datos_Origen!$E$2:$E$2459,$Z1478)),Parametros!$B$95:$B$106,0))</f>
        <v>Tienda fisica</v>
      </c>
      <c r="K1478" s="61" t="str">
        <f aca="false">INDEX(Parametros!$C$48:$C$67,MATCH(TRIM(INDEX(Datos_Origen!$F$2:$F$2459,$Z1478)),Parametros!$B$48:$B$67,0))</f>
        <v>Almacenamiento</v>
      </c>
      <c r="L1478" s="61" t="str">
        <f aca="false">$K1478&amp;" "&amp;$C1478</f>
        <v>Almacenamiento 2025</v>
      </c>
      <c r="M1478" s="61" t="str">
        <f aca="false">TRIM(INDEX(Datos_Origen!$G$2:$G$2459,$Z1478))</f>
        <v>SSD Externo 1TB</v>
      </c>
      <c r="N1478" s="61" t="str">
        <f aca="false">$M1478&amp;" "&amp;$C1478</f>
        <v>SSD Externo 1TB 2025</v>
      </c>
      <c r="O1478" s="63" t="n">
        <f aca="false">IF(ISTEXT($AC1478),VALUE($AC1478),$AC1478)</f>
        <v>19</v>
      </c>
      <c r="P1478" s="64" t="n">
        <f aca="false">INDEX(Datos_Origen!$I$2:$I$2459,$Z1478)</f>
        <v>129.17</v>
      </c>
      <c r="Q1478" s="64" t="n">
        <f aca="false">INDEX(Datos_Origen!$J$2:$J$2459,$Z1478)</f>
        <v>78.33</v>
      </c>
      <c r="R1478" s="65" t="n">
        <f aca="false">ROUND($O1478*$P1478,2)</f>
        <v>2454.23</v>
      </c>
      <c r="S1478" s="65" t="n">
        <f aca="false">ROUND($O1478*$Q1478,2)</f>
        <v>1488.27</v>
      </c>
      <c r="T1478" s="65" t="n">
        <f aca="false">ROUND($R1478*SUMIFS(Parametros!$E$28:$E$43,Parametros!$B$28:$B$43,$J1478,Parametros!$C$28:$C$43,$C1478,Parametros!$D$28:$D$43,$D1478),2)</f>
        <v>31.9</v>
      </c>
      <c r="U1478" s="65" t="n">
        <f aca="false">$R1478-$S1478-$T1478</f>
        <v>934.06</v>
      </c>
      <c r="V1478" s="66" t="n">
        <f aca="false">IFERROR($U1478/$R1478,0)</f>
        <v>0.380591876067035</v>
      </c>
      <c r="W1478" s="67" t="str">
        <f aca="false">IF(AND($V1478&gt;=Parametros!$C$8,$R1478&gt;=Parametros!$C$12),"Alta rentabilidad",IF(OR($V1478&lt;Parametros!$C$11,$R1478&lt;Parametros!$C$13),"Revisar","Estandar"))</f>
        <v>Estandar</v>
      </c>
      <c r="X1478" s="67" t="str">
        <f aca="false">IF(AND($J1478="E-commerce",IFERROR($T1478/$R1478,0)&gt;Parametros!$C$14),"Alerta","OK")</f>
        <v>OK</v>
      </c>
      <c r="Y1478" s="61" t="str">
        <f aca="false">IF($R1478&gt;=Parametros!$C$12,"Alto",IF($R1478&lt;Parametros!$C$13,"Bajo","Medio"))</f>
        <v>Medio</v>
      </c>
      <c r="Z1478" s="61" t="n">
        <v>218</v>
      </c>
      <c r="AA1478" s="61" t="str">
        <f aca="false">IF(MATCH($A1478,Datos_Origen!$A$2:$A$2459,0)=$Z1478,"OK","REVISAR")</f>
        <v>OK</v>
      </c>
      <c r="AB1478" s="61" t="str">
        <f aca="false">INDEX(Datos_Origen!$B$2:$B$2459,$Z1478)</f>
        <v>2025-03-26</v>
      </c>
      <c r="AC1478" s="61" t="n">
        <f aca="false">INDEX(Datos_Origen!$H$2:$H$2459,$Z1478)</f>
        <v>19</v>
      </c>
      <c r="AD1478" s="61" t="str">
        <f aca="false">INDEX(Datos_Origen!$D$2:$D$2459,$Z1478)&amp;""</f>
        <v>Mendoza</v>
      </c>
    </row>
    <row r="1479" customFormat="false" ht="15" hidden="false" customHeight="false" outlineLevel="0" collapsed="false">
      <c r="A1479" s="61" t="n">
        <f aca="false">INDEX(Datos_Origen!$A$2:$A$2459,$Z1479)</f>
        <v>1478</v>
      </c>
      <c r="B1479" s="62" t="n">
        <f aca="false">IF(ISNUMBER($AB1479),$AB1479,IF(MID($AB1479,5,1)="-",DATE(VALUE(LEFT($AB1479,4)),VALUE(MID($AB1479,6,2)),VALUE(RIGHT($AB1479,2))),DATE(VALUE(RIGHT($AB1479,4)),VALUE(MID($AB1479,4,2)),VALUE(LEFT($AB1479,2)))))</f>
        <v>45722</v>
      </c>
      <c r="C1479" s="61" t="n">
        <f aca="false">YEAR($B1479)</f>
        <v>2025</v>
      </c>
      <c r="D1479" s="61" t="str">
        <f aca="false">"Q"&amp;ROUNDUP(MONTH($B1479)/3,0)</f>
        <v>Q1</v>
      </c>
      <c r="E1479" s="61" t="n">
        <f aca="false">MONTH($B1479)</f>
        <v>3</v>
      </c>
      <c r="F1479" s="61" t="str">
        <f aca="false">INDEX(Parametros!$I$5:$I$16,$E1479)</f>
        <v>Mar</v>
      </c>
      <c r="G1479" s="61" t="str">
        <f aca="false">TEXT($C1479,"0000")&amp;"-"&amp;TEXT($E1479,"00")</f>
        <v>2025-03</v>
      </c>
      <c r="H1479" s="61" t="str">
        <f aca="false">INDEX(Parametros!$C$71:$C$91,MATCH(TRIM(INDEX(Datos_Origen!$C$2:$C$2459,$Z1479)),Parametros!$B$71:$B$91,0))</f>
        <v>Cuyo</v>
      </c>
      <c r="I1479" s="61" t="str">
        <f aca="false">IF(TRIM($AD1479)="",INDEX(Parametros!$I$20:$I$24,MATCH($H1479,Parametros!$H$20:$H$24,0)),TRIM($AD1479))</f>
        <v>Mendoza</v>
      </c>
      <c r="J1479" s="61" t="str">
        <f aca="false">INDEX(Parametros!$C$95:$C$106,MATCH(TRIM(INDEX(Datos_Origen!$E$2:$E$2459,$Z1479)),Parametros!$B$95:$B$106,0))</f>
        <v>E-commerce</v>
      </c>
      <c r="K1479" s="61" t="str">
        <f aca="false">INDEX(Parametros!$C$48:$C$67,MATCH(TRIM(INDEX(Datos_Origen!$F$2:$F$2459,$Z1479)),Parametros!$B$48:$B$67,0))</f>
        <v>Almacenamiento</v>
      </c>
      <c r="L1479" s="61" t="str">
        <f aca="false">$K1479&amp;" "&amp;$C1479</f>
        <v>Almacenamiento 2025</v>
      </c>
      <c r="M1479" s="61" t="str">
        <f aca="false">TRIM(INDEX(Datos_Origen!$G$2:$G$2459,$Z1479))</f>
        <v>SSD Externo 1TB</v>
      </c>
      <c r="N1479" s="61" t="str">
        <f aca="false">$M1479&amp;" "&amp;$C1479</f>
        <v>SSD Externo 1TB 2025</v>
      </c>
      <c r="O1479" s="63" t="n">
        <f aca="false">IF(ISTEXT($AC1479),VALUE($AC1479),$AC1479)</f>
        <v>10</v>
      </c>
      <c r="P1479" s="64" t="n">
        <f aca="false">INDEX(Datos_Origen!$I$2:$I$2459,$Z1479)</f>
        <v>129.17</v>
      </c>
      <c r="Q1479" s="64" t="n">
        <f aca="false">INDEX(Datos_Origen!$J$2:$J$2459,$Z1479)</f>
        <v>78.33</v>
      </c>
      <c r="R1479" s="65" t="n">
        <f aca="false">ROUND($O1479*$P1479,2)</f>
        <v>1291.7</v>
      </c>
      <c r="S1479" s="65" t="n">
        <f aca="false">ROUND($O1479*$Q1479,2)</f>
        <v>783.3</v>
      </c>
      <c r="T1479" s="65" t="n">
        <f aca="false">ROUND($R1479*SUMIFS(Parametros!$E$28:$E$43,Parametros!$B$28:$B$43,$J1479,Parametros!$C$28:$C$43,$C1479,Parametros!$D$28:$D$43,$D1479),2)</f>
        <v>87.84</v>
      </c>
      <c r="U1479" s="65" t="n">
        <f aca="false">$R1479-$S1479-$T1479</f>
        <v>420.56</v>
      </c>
      <c r="V1479" s="66" t="n">
        <f aca="false">IFERROR($U1479/$R1479,0)</f>
        <v>0.325586436479059</v>
      </c>
      <c r="W1479" s="67" t="str">
        <f aca="false">IF(AND($V1479&gt;=Parametros!$C$8,$R1479&gt;=Parametros!$C$12),"Alta rentabilidad",IF(OR($V1479&lt;Parametros!$C$11,$R1479&lt;Parametros!$C$13),"Revisar","Estandar"))</f>
        <v>Estandar</v>
      </c>
      <c r="X1479" s="67" t="str">
        <f aca="false">IF(AND($J1479="E-commerce",IFERROR($T1479/$R1479,0)&gt;Parametros!$C$14),"Alerta","OK")</f>
        <v>Alerta</v>
      </c>
      <c r="Y1479" s="61" t="str">
        <f aca="false">IF($R1479&gt;=Parametros!$C$12,"Alto",IF($R1479&lt;Parametros!$C$13,"Bajo","Medio"))</f>
        <v>Medio</v>
      </c>
      <c r="Z1479" s="61" t="n">
        <v>2267</v>
      </c>
      <c r="AA1479" s="61" t="str">
        <f aca="false">IF(MATCH($A1479,Datos_Origen!$A$2:$A$2459,0)=$Z1479,"OK","REVISAR")</f>
        <v>OK</v>
      </c>
      <c r="AB1479" s="62" t="n">
        <f aca="false">INDEX(Datos_Origen!$B$2:$B$2459,$Z1479)</f>
        <v>45722</v>
      </c>
      <c r="AC1479" s="61" t="n">
        <f aca="false">INDEX(Datos_Origen!$H$2:$H$2459,$Z1479)</f>
        <v>10</v>
      </c>
      <c r="AD1479" s="61" t="str">
        <f aca="false">INDEX(Datos_Origen!$D$2:$D$2459,$Z1479)&amp;""</f>
        <v>Mendoza</v>
      </c>
    </row>
    <row r="1480" customFormat="false" ht="15" hidden="false" customHeight="false" outlineLevel="0" collapsed="false">
      <c r="A1480" s="61" t="n">
        <f aca="false">INDEX(Datos_Origen!$A$2:$A$2459,$Z1480)</f>
        <v>1479</v>
      </c>
      <c r="B1480" s="62" t="n">
        <f aca="false">IF(ISNUMBER($AB1480),$AB1480,IF(MID($AB1480,5,1)="-",DATE(VALUE(LEFT($AB1480,4)),VALUE(MID($AB1480,6,2)),VALUE(RIGHT($AB1480,2))),DATE(VALUE(RIGHT($AB1480,4)),VALUE(MID($AB1480,4,2)),VALUE(LEFT($AB1480,2)))))</f>
        <v>45729</v>
      </c>
      <c r="C1480" s="61" t="n">
        <f aca="false">YEAR($B1480)</f>
        <v>2025</v>
      </c>
      <c r="D1480" s="61" t="str">
        <f aca="false">"Q"&amp;ROUNDUP(MONTH($B1480)/3,0)</f>
        <v>Q1</v>
      </c>
      <c r="E1480" s="61" t="n">
        <f aca="false">MONTH($B1480)</f>
        <v>3</v>
      </c>
      <c r="F1480" s="61" t="str">
        <f aca="false">INDEX(Parametros!$I$5:$I$16,$E1480)</f>
        <v>Mar</v>
      </c>
      <c r="G1480" s="61" t="str">
        <f aca="false">TEXT($C1480,"0000")&amp;"-"&amp;TEXT($E1480,"00")</f>
        <v>2025-03</v>
      </c>
      <c r="H1480" s="61" t="str">
        <f aca="false">INDEX(Parametros!$C$71:$C$91,MATCH(TRIM(INDEX(Datos_Origen!$C$2:$C$2459,$Z1480)),Parametros!$B$71:$B$91,0))</f>
        <v>Cuyo</v>
      </c>
      <c r="I1480" s="61" t="str">
        <f aca="false">IF(TRIM($AD1480)="",INDEX(Parametros!$I$20:$I$24,MATCH($H1480,Parametros!$H$20:$H$24,0)),TRIM($AD1480))</f>
        <v>Mendoza</v>
      </c>
      <c r="J1480" s="61" t="str">
        <f aca="false">INDEX(Parametros!$C$95:$C$106,MATCH(TRIM(INDEX(Datos_Origen!$E$2:$E$2459,$Z1480)),Parametros!$B$95:$B$106,0))</f>
        <v>Tienda fisica</v>
      </c>
      <c r="K1480" s="61" t="str">
        <f aca="false">INDEX(Parametros!$C$48:$C$67,MATCH(TRIM(INDEX(Datos_Origen!$F$2:$F$2459,$Z1480)),Parametros!$B$48:$B$67,0))</f>
        <v>Almacenamiento</v>
      </c>
      <c r="L1480" s="61" t="str">
        <f aca="false">$K1480&amp;" "&amp;$C1480</f>
        <v>Almacenamiento 2025</v>
      </c>
      <c r="M1480" s="61" t="str">
        <f aca="false">TRIM(INDEX(Datos_Origen!$G$2:$G$2459,$Z1480))</f>
        <v>Pendrive 256GB</v>
      </c>
      <c r="N1480" s="61" t="str">
        <f aca="false">$M1480&amp;" "&amp;$C1480</f>
        <v>Pendrive 256GB 2025</v>
      </c>
      <c r="O1480" s="63" t="n">
        <f aca="false">IF(ISTEXT($AC1480),VALUE($AC1480),$AC1480)</f>
        <v>16</v>
      </c>
      <c r="P1480" s="64" t="n">
        <f aca="false">INDEX(Datos_Origen!$I$2:$I$2459,$Z1480)</f>
        <v>34.78</v>
      </c>
      <c r="Q1480" s="64" t="n">
        <f aca="false">INDEX(Datos_Origen!$J$2:$J$2459,$Z1480)</f>
        <v>18.39</v>
      </c>
      <c r="R1480" s="65" t="n">
        <f aca="false">ROUND($O1480*$P1480,2)</f>
        <v>556.48</v>
      </c>
      <c r="S1480" s="65" t="n">
        <f aca="false">ROUND($O1480*$Q1480,2)</f>
        <v>294.24</v>
      </c>
      <c r="T1480" s="65" t="n">
        <f aca="false">ROUND($R1480*SUMIFS(Parametros!$E$28:$E$43,Parametros!$B$28:$B$43,$J1480,Parametros!$C$28:$C$43,$C1480,Parametros!$D$28:$D$43,$D1480),2)</f>
        <v>7.23</v>
      </c>
      <c r="U1480" s="65" t="n">
        <f aca="false">$R1480-$S1480-$T1480</f>
        <v>255.01</v>
      </c>
      <c r="V1480" s="66" t="n">
        <f aca="false">IFERROR($U1480/$R1480,0)</f>
        <v>0.458255462909718</v>
      </c>
      <c r="W1480" s="67" t="str">
        <f aca="false">IF(AND($V1480&gt;=Parametros!$C$8,$R1480&gt;=Parametros!$C$12),"Alta rentabilidad",IF(OR($V1480&lt;Parametros!$C$11,$R1480&lt;Parametros!$C$13),"Revisar","Estandar"))</f>
        <v>Estandar</v>
      </c>
      <c r="X1480" s="67" t="str">
        <f aca="false">IF(AND($J1480="E-commerce",IFERROR($T1480/$R1480,0)&gt;Parametros!$C$14),"Alerta","OK")</f>
        <v>OK</v>
      </c>
      <c r="Y1480" s="61" t="str">
        <f aca="false">IF($R1480&gt;=Parametros!$C$12,"Alto",IF($R1480&lt;Parametros!$C$13,"Bajo","Medio"))</f>
        <v>Medio</v>
      </c>
      <c r="Z1480" s="61" t="n">
        <v>1067</v>
      </c>
      <c r="AA1480" s="61" t="str">
        <f aca="false">IF(MATCH($A1480,Datos_Origen!$A$2:$A$2459,0)=$Z1480,"OK","REVISAR")</f>
        <v>OK</v>
      </c>
      <c r="AB1480" s="62" t="n">
        <f aca="false">INDEX(Datos_Origen!$B$2:$B$2459,$Z1480)</f>
        <v>45729</v>
      </c>
      <c r="AC1480" s="61" t="n">
        <f aca="false">INDEX(Datos_Origen!$H$2:$H$2459,$Z1480)</f>
        <v>16</v>
      </c>
      <c r="AD1480" s="61" t="str">
        <f aca="false">INDEX(Datos_Origen!$D$2:$D$2459,$Z1480)&amp;""</f>
        <v>Mendoza</v>
      </c>
    </row>
    <row r="1481" customFormat="false" ht="15" hidden="false" customHeight="false" outlineLevel="0" collapsed="false">
      <c r="A1481" s="61" t="n">
        <f aca="false">INDEX(Datos_Origen!$A$2:$A$2459,$Z1481)</f>
        <v>1480</v>
      </c>
      <c r="B1481" s="62" t="n">
        <f aca="false">IF(ISNUMBER($AB1481),$AB1481,IF(MID($AB1481,5,1)="-",DATE(VALUE(LEFT($AB1481,4)),VALUE(MID($AB1481,6,2)),VALUE(RIGHT($AB1481,2))),DATE(VALUE(RIGHT($AB1481,4)),VALUE(MID($AB1481,4,2)),VALUE(LEFT($AB1481,2)))))</f>
        <v>45736</v>
      </c>
      <c r="C1481" s="61" t="n">
        <f aca="false">YEAR($B1481)</f>
        <v>2025</v>
      </c>
      <c r="D1481" s="61" t="str">
        <f aca="false">"Q"&amp;ROUNDUP(MONTH($B1481)/3,0)</f>
        <v>Q1</v>
      </c>
      <c r="E1481" s="61" t="n">
        <f aca="false">MONTH($B1481)</f>
        <v>3</v>
      </c>
      <c r="F1481" s="61" t="str">
        <f aca="false">INDEX(Parametros!$I$5:$I$16,$E1481)</f>
        <v>Mar</v>
      </c>
      <c r="G1481" s="61" t="str">
        <f aca="false">TEXT($C1481,"0000")&amp;"-"&amp;TEXT($E1481,"00")</f>
        <v>2025-03</v>
      </c>
      <c r="H1481" s="61" t="str">
        <f aca="false">INDEX(Parametros!$C$71:$C$91,MATCH(TRIM(INDEX(Datos_Origen!$C$2:$C$2459,$Z1481)),Parametros!$B$71:$B$91,0))</f>
        <v>Cuyo</v>
      </c>
      <c r="I1481" s="61" t="str">
        <f aca="false">IF(TRIM($AD1481)="",INDEX(Parametros!$I$20:$I$24,MATCH($H1481,Parametros!$H$20:$H$24,0)),TRIM($AD1481))</f>
        <v>Mendoza</v>
      </c>
      <c r="J1481" s="61" t="str">
        <f aca="false">INDEX(Parametros!$C$95:$C$106,MATCH(TRIM(INDEX(Datos_Origen!$E$2:$E$2459,$Z1481)),Parametros!$B$95:$B$106,0))</f>
        <v>E-commerce</v>
      </c>
      <c r="K1481" s="61" t="str">
        <f aca="false">INDEX(Parametros!$C$48:$C$67,MATCH(TRIM(INDEX(Datos_Origen!$F$2:$F$2459,$Z1481)),Parametros!$B$48:$B$67,0))</f>
        <v>Almacenamiento</v>
      </c>
      <c r="L1481" s="61" t="str">
        <f aca="false">$K1481&amp;" "&amp;$C1481</f>
        <v>Almacenamiento 2025</v>
      </c>
      <c r="M1481" s="61" t="str">
        <f aca="false">TRIM(INDEX(Datos_Origen!$G$2:$G$2459,$Z1481))</f>
        <v>Pendrive 256GB</v>
      </c>
      <c r="N1481" s="61" t="str">
        <f aca="false">$M1481&amp;" "&amp;$C1481</f>
        <v>Pendrive 256GB 2025</v>
      </c>
      <c r="O1481" s="63" t="n">
        <f aca="false">IF(ISTEXT($AC1481),VALUE($AC1481),$AC1481)</f>
        <v>10</v>
      </c>
      <c r="P1481" s="64" t="n">
        <f aca="false">INDEX(Datos_Origen!$I$2:$I$2459,$Z1481)</f>
        <v>34.78</v>
      </c>
      <c r="Q1481" s="64" t="n">
        <f aca="false">INDEX(Datos_Origen!$J$2:$J$2459,$Z1481)</f>
        <v>18.39</v>
      </c>
      <c r="R1481" s="65" t="n">
        <f aca="false">ROUND($O1481*$P1481,2)</f>
        <v>347.8</v>
      </c>
      <c r="S1481" s="65" t="n">
        <f aca="false">ROUND($O1481*$Q1481,2)</f>
        <v>183.9</v>
      </c>
      <c r="T1481" s="65" t="n">
        <f aca="false">ROUND($R1481*SUMIFS(Parametros!$E$28:$E$43,Parametros!$B$28:$B$43,$J1481,Parametros!$C$28:$C$43,$C1481,Parametros!$D$28:$D$43,$D1481),2)</f>
        <v>23.65</v>
      </c>
      <c r="U1481" s="65" t="n">
        <f aca="false">$R1481-$S1481-$T1481</f>
        <v>140.25</v>
      </c>
      <c r="V1481" s="66" t="n">
        <f aca="false">IFERROR($U1481/$R1481,0)</f>
        <v>0.403248993674526</v>
      </c>
      <c r="W1481" s="67" t="str">
        <f aca="false">IF(AND($V1481&gt;=Parametros!$C$8,$R1481&gt;=Parametros!$C$12),"Alta rentabilidad",IF(OR($V1481&lt;Parametros!$C$11,$R1481&lt;Parametros!$C$13),"Revisar","Estandar"))</f>
        <v>Estandar</v>
      </c>
      <c r="X1481" s="67" t="str">
        <f aca="false">IF(AND($J1481="E-commerce",IFERROR($T1481/$R1481,0)&gt;Parametros!$C$14),"Alerta","OK")</f>
        <v>Alerta</v>
      </c>
      <c r="Y1481" s="61" t="str">
        <f aca="false">IF($R1481&gt;=Parametros!$C$12,"Alto",IF($R1481&lt;Parametros!$C$13,"Bajo","Medio"))</f>
        <v>Medio</v>
      </c>
      <c r="Z1481" s="61" t="n">
        <v>2275</v>
      </c>
      <c r="AA1481" s="61" t="str">
        <f aca="false">IF(MATCH($A1481,Datos_Origen!$A$2:$A$2459,0)=$Z1481,"OK","REVISAR")</f>
        <v>OK</v>
      </c>
      <c r="AB1481" s="62" t="n">
        <f aca="false">INDEX(Datos_Origen!$B$2:$B$2459,$Z1481)</f>
        <v>45736</v>
      </c>
      <c r="AC1481" s="61" t="n">
        <f aca="false">INDEX(Datos_Origen!$H$2:$H$2459,$Z1481)</f>
        <v>10</v>
      </c>
      <c r="AD1481" s="61" t="str">
        <f aca="false">INDEX(Datos_Origen!$D$2:$D$2459,$Z1481)&amp;""</f>
        <v>Mendoza</v>
      </c>
    </row>
    <row r="1482" customFormat="false" ht="15" hidden="false" customHeight="false" outlineLevel="0" collapsed="false">
      <c r="A1482" s="61" t="n">
        <f aca="false">INDEX(Datos_Origen!$A$2:$A$2459,$Z1482)</f>
        <v>1481</v>
      </c>
      <c r="B1482" s="62" t="n">
        <f aca="false">IF(ISNUMBER($AB1482),$AB1482,IF(MID($AB1482,5,1)="-",DATE(VALUE(LEFT($AB1482,4)),VALUE(MID($AB1482,6,2)),VALUE(RIGHT($AB1482,2))),DATE(VALUE(RIGHT($AB1482,4)),VALUE(MID($AB1482,4,2)),VALUE(LEFT($AB1482,2)))))</f>
        <v>45743</v>
      </c>
      <c r="C1482" s="61" t="n">
        <f aca="false">YEAR($B1482)</f>
        <v>2025</v>
      </c>
      <c r="D1482" s="61" t="str">
        <f aca="false">"Q"&amp;ROUNDUP(MONTH($B1482)/3,0)</f>
        <v>Q1</v>
      </c>
      <c r="E1482" s="61" t="n">
        <f aca="false">MONTH($B1482)</f>
        <v>3</v>
      </c>
      <c r="F1482" s="61" t="str">
        <f aca="false">INDEX(Parametros!$I$5:$I$16,$E1482)</f>
        <v>Mar</v>
      </c>
      <c r="G1482" s="61" t="str">
        <f aca="false">TEXT($C1482,"0000")&amp;"-"&amp;TEXT($E1482,"00")</f>
        <v>2025-03</v>
      </c>
      <c r="H1482" s="61" t="str">
        <f aca="false">INDEX(Parametros!$C$71:$C$91,MATCH(TRIM(INDEX(Datos_Origen!$C$2:$C$2459,$Z1482)),Parametros!$B$71:$B$91,0))</f>
        <v>NOA</v>
      </c>
      <c r="I1482" s="61" t="str">
        <f aca="false">IF(TRIM($AD1482)="",INDEX(Parametros!$I$20:$I$24,MATCH($H1482,Parametros!$H$20:$H$24,0)),TRIM($AD1482))</f>
        <v>Tucuman</v>
      </c>
      <c r="J1482" s="61" t="str">
        <f aca="false">INDEX(Parametros!$C$95:$C$106,MATCH(TRIM(INDEX(Datos_Origen!$E$2:$E$2459,$Z1482)),Parametros!$B$95:$B$106,0))</f>
        <v>Tienda fisica</v>
      </c>
      <c r="K1482" s="61" t="str">
        <f aca="false">INDEX(Parametros!$C$48:$C$67,MATCH(TRIM(INDEX(Datos_Origen!$F$2:$F$2459,$Z1482)),Parametros!$B$48:$B$67,0))</f>
        <v>Computacion</v>
      </c>
      <c r="L1482" s="61" t="str">
        <f aca="false">$K1482&amp;" "&amp;$C1482</f>
        <v>Computacion 2025</v>
      </c>
      <c r="M1482" s="61" t="str">
        <f aca="false">TRIM(INDEX(Datos_Origen!$G$2:$G$2459,$Z1482))</f>
        <v>Laptop Pro 15</v>
      </c>
      <c r="N1482" s="61" t="str">
        <f aca="false">$M1482&amp;" "&amp;$C1482</f>
        <v>Laptop Pro 15 2025</v>
      </c>
      <c r="O1482" s="63" t="n">
        <f aca="false">IF(ISTEXT($AC1482),VALUE($AC1482),$AC1482)</f>
        <v>7</v>
      </c>
      <c r="P1482" s="64" t="n">
        <f aca="false">INDEX(Datos_Origen!$I$2:$I$2459,$Z1482)</f>
        <v>1155.06</v>
      </c>
      <c r="Q1482" s="64" t="n">
        <f aca="false">INDEX(Datos_Origen!$J$2:$J$2459,$Z1482)</f>
        <v>766.32</v>
      </c>
      <c r="R1482" s="65" t="n">
        <f aca="false">ROUND($O1482*$P1482,2)</f>
        <v>8085.42</v>
      </c>
      <c r="S1482" s="65" t="n">
        <f aca="false">ROUND($O1482*$Q1482,2)</f>
        <v>5364.24</v>
      </c>
      <c r="T1482" s="65" t="n">
        <f aca="false">ROUND($R1482*SUMIFS(Parametros!$E$28:$E$43,Parametros!$B$28:$B$43,$J1482,Parametros!$C$28:$C$43,$C1482,Parametros!$D$28:$D$43,$D1482),2)</f>
        <v>105.11</v>
      </c>
      <c r="U1482" s="65" t="n">
        <f aca="false">$R1482-$S1482-$T1482</f>
        <v>2616.07</v>
      </c>
      <c r="V1482" s="66" t="n">
        <f aca="false">IFERROR($U1482/$R1482,0)</f>
        <v>0.323554002142127</v>
      </c>
      <c r="W1482" s="67" t="str">
        <f aca="false">IF(AND($V1482&gt;=Parametros!$C$8,$R1482&gt;=Parametros!$C$12),"Alta rentabilidad",IF(OR($V1482&lt;Parametros!$C$11,$R1482&lt;Parametros!$C$13),"Revisar","Estandar"))</f>
        <v>Estandar</v>
      </c>
      <c r="X1482" s="67" t="str">
        <f aca="false">IF(AND($J1482="E-commerce",IFERROR($T1482/$R1482,0)&gt;Parametros!$C$14),"Alerta","OK")</f>
        <v>OK</v>
      </c>
      <c r="Y1482" s="61" t="str">
        <f aca="false">IF($R1482&gt;=Parametros!$C$12,"Alto",IF($R1482&lt;Parametros!$C$13,"Bajo","Medio"))</f>
        <v>Alto</v>
      </c>
      <c r="Z1482" s="61" t="n">
        <v>1741</v>
      </c>
      <c r="AA1482" s="61" t="str">
        <f aca="false">IF(MATCH($A1482,Datos_Origen!$A$2:$A$2459,0)=$Z1482,"OK","REVISAR")</f>
        <v>OK</v>
      </c>
      <c r="AB1482" s="62" t="n">
        <f aca="false">INDEX(Datos_Origen!$B$2:$B$2459,$Z1482)</f>
        <v>45743</v>
      </c>
      <c r="AC1482" s="61" t="n">
        <f aca="false">INDEX(Datos_Origen!$H$2:$H$2459,$Z1482)</f>
        <v>7</v>
      </c>
      <c r="AD1482" s="61" t="str">
        <f aca="false">INDEX(Datos_Origen!$D$2:$D$2459,$Z1482)&amp;""</f>
        <v>Tucuman</v>
      </c>
    </row>
    <row r="1483" customFormat="false" ht="15" hidden="false" customHeight="false" outlineLevel="0" collapsed="false">
      <c r="A1483" s="61" t="n">
        <f aca="false">INDEX(Datos_Origen!$A$2:$A$2459,$Z1483)</f>
        <v>1482</v>
      </c>
      <c r="B1483" s="62" t="n">
        <f aca="false">IF(ISNUMBER($AB1483),$AB1483,IF(MID($AB1483,5,1)="-",DATE(VALUE(LEFT($AB1483,4)),VALUE(MID($AB1483,6,2)),VALUE(RIGHT($AB1483,2))),DATE(VALUE(RIGHT($AB1483,4)),VALUE(MID($AB1483,4,2)),VALUE(LEFT($AB1483,2)))))</f>
        <v>45723</v>
      </c>
      <c r="C1483" s="61" t="n">
        <f aca="false">YEAR($B1483)</f>
        <v>2025</v>
      </c>
      <c r="D1483" s="61" t="str">
        <f aca="false">"Q"&amp;ROUNDUP(MONTH($B1483)/3,0)</f>
        <v>Q1</v>
      </c>
      <c r="E1483" s="61" t="n">
        <f aca="false">MONTH($B1483)</f>
        <v>3</v>
      </c>
      <c r="F1483" s="61" t="str">
        <f aca="false">INDEX(Parametros!$I$5:$I$16,$E1483)</f>
        <v>Mar</v>
      </c>
      <c r="G1483" s="61" t="str">
        <f aca="false">TEXT($C1483,"0000")&amp;"-"&amp;TEXT($E1483,"00")</f>
        <v>2025-03</v>
      </c>
      <c r="H1483" s="61" t="str">
        <f aca="false">INDEX(Parametros!$C$71:$C$91,MATCH(TRIM(INDEX(Datos_Origen!$C$2:$C$2459,$Z1483)),Parametros!$B$71:$B$91,0))</f>
        <v>NOA</v>
      </c>
      <c r="I1483" s="61" t="str">
        <f aca="false">IF(TRIM($AD1483)="",INDEX(Parametros!$I$20:$I$24,MATCH($H1483,Parametros!$H$20:$H$24,0)),TRIM($AD1483))</f>
        <v>Tucuman</v>
      </c>
      <c r="J1483" s="61" t="str">
        <f aca="false">INDEX(Parametros!$C$95:$C$106,MATCH(TRIM(INDEX(Datos_Origen!$E$2:$E$2459,$Z1483)),Parametros!$B$95:$B$106,0))</f>
        <v>E-commerce</v>
      </c>
      <c r="K1483" s="61" t="str">
        <f aca="false">INDEX(Parametros!$C$48:$C$67,MATCH(TRIM(INDEX(Datos_Origen!$F$2:$F$2459,$Z1483)),Parametros!$B$48:$B$67,0))</f>
        <v>Computacion</v>
      </c>
      <c r="L1483" s="61" t="str">
        <f aca="false">$K1483&amp;" "&amp;$C1483</f>
        <v>Computacion 2025</v>
      </c>
      <c r="M1483" s="61" t="str">
        <f aca="false">TRIM(INDEX(Datos_Origen!$G$2:$G$2459,$Z1483))</f>
        <v>Laptop Pro 15</v>
      </c>
      <c r="N1483" s="61" t="str">
        <f aca="false">$M1483&amp;" "&amp;$C1483</f>
        <v>Laptop Pro 15 2025</v>
      </c>
      <c r="O1483" s="63" t="n">
        <f aca="false">IF(ISTEXT($AC1483),VALUE($AC1483),$AC1483)</f>
        <v>5</v>
      </c>
      <c r="P1483" s="64" t="n">
        <f aca="false">INDEX(Datos_Origen!$I$2:$I$2459,$Z1483)</f>
        <v>1155.06</v>
      </c>
      <c r="Q1483" s="64" t="n">
        <f aca="false">INDEX(Datos_Origen!$J$2:$J$2459,$Z1483)</f>
        <v>766.32</v>
      </c>
      <c r="R1483" s="65" t="n">
        <f aca="false">ROUND($O1483*$P1483,2)</f>
        <v>5775.3</v>
      </c>
      <c r="S1483" s="65" t="n">
        <f aca="false">ROUND($O1483*$Q1483,2)</f>
        <v>3831.6</v>
      </c>
      <c r="T1483" s="65" t="n">
        <f aca="false">ROUND($R1483*SUMIFS(Parametros!$E$28:$E$43,Parametros!$B$28:$B$43,$J1483,Parametros!$C$28:$C$43,$C1483,Parametros!$D$28:$D$43,$D1483),2)</f>
        <v>392.72</v>
      </c>
      <c r="U1483" s="65" t="n">
        <f aca="false">$R1483-$S1483-$T1483</f>
        <v>1550.98</v>
      </c>
      <c r="V1483" s="66" t="n">
        <f aca="false">IFERROR($U1483/$R1483,0)</f>
        <v>0.268554014510069</v>
      </c>
      <c r="W1483" s="67" t="str">
        <f aca="false">IF(AND($V1483&gt;=Parametros!$C$8,$R1483&gt;=Parametros!$C$12),"Alta rentabilidad",IF(OR($V1483&lt;Parametros!$C$11,$R1483&lt;Parametros!$C$13),"Revisar","Estandar"))</f>
        <v>Revisar</v>
      </c>
      <c r="X1483" s="67" t="str">
        <f aca="false">IF(AND($J1483="E-commerce",IFERROR($T1483/$R1483,0)&gt;Parametros!$C$14),"Alerta","OK")</f>
        <v>Alerta</v>
      </c>
      <c r="Y1483" s="61" t="str">
        <f aca="false">IF($R1483&gt;=Parametros!$C$12,"Alto",IF($R1483&lt;Parametros!$C$13,"Bajo","Medio"))</f>
        <v>Alto</v>
      </c>
      <c r="Z1483" s="61" t="n">
        <v>1214</v>
      </c>
      <c r="AA1483" s="61" t="str">
        <f aca="false">IF(MATCH($A1483,Datos_Origen!$A$2:$A$2459,0)=$Z1483,"OK","REVISAR")</f>
        <v>OK</v>
      </c>
      <c r="AB1483" s="62" t="n">
        <f aca="false">INDEX(Datos_Origen!$B$2:$B$2459,$Z1483)</f>
        <v>45723</v>
      </c>
      <c r="AC1483" s="61" t="n">
        <f aca="false">INDEX(Datos_Origen!$H$2:$H$2459,$Z1483)</f>
        <v>5</v>
      </c>
      <c r="AD1483" s="61" t="str">
        <f aca="false">INDEX(Datos_Origen!$D$2:$D$2459,$Z1483)&amp;""</f>
        <v>Tucuman</v>
      </c>
    </row>
    <row r="1484" customFormat="false" ht="15" hidden="false" customHeight="false" outlineLevel="0" collapsed="false">
      <c r="A1484" s="61" t="n">
        <f aca="false">INDEX(Datos_Origen!$A$2:$A$2459,$Z1484)</f>
        <v>1483</v>
      </c>
      <c r="B1484" s="62" t="n">
        <f aca="false">IF(ISNUMBER($AB1484),$AB1484,IF(MID($AB1484,5,1)="-",DATE(VALUE(LEFT($AB1484,4)),VALUE(MID($AB1484,6,2)),VALUE(RIGHT($AB1484,2))),DATE(VALUE(RIGHT($AB1484,4)),VALUE(MID($AB1484,4,2)),VALUE(LEFT($AB1484,2)))))</f>
        <v>45730</v>
      </c>
      <c r="C1484" s="61" t="n">
        <f aca="false">YEAR($B1484)</f>
        <v>2025</v>
      </c>
      <c r="D1484" s="61" t="str">
        <f aca="false">"Q"&amp;ROUNDUP(MONTH($B1484)/3,0)</f>
        <v>Q1</v>
      </c>
      <c r="E1484" s="61" t="n">
        <f aca="false">MONTH($B1484)</f>
        <v>3</v>
      </c>
      <c r="F1484" s="61" t="str">
        <f aca="false">INDEX(Parametros!$I$5:$I$16,$E1484)</f>
        <v>Mar</v>
      </c>
      <c r="G1484" s="61" t="str">
        <f aca="false">TEXT($C1484,"0000")&amp;"-"&amp;TEXT($E1484,"00")</f>
        <v>2025-03</v>
      </c>
      <c r="H1484" s="61" t="str">
        <f aca="false">INDEX(Parametros!$C$71:$C$91,MATCH(TRIM(INDEX(Datos_Origen!$C$2:$C$2459,$Z1484)),Parametros!$B$71:$B$91,0))</f>
        <v>NOA</v>
      </c>
      <c r="I1484" s="61" t="str">
        <f aca="false">IF(TRIM($AD1484)="",INDEX(Parametros!$I$20:$I$24,MATCH($H1484,Parametros!$H$20:$H$24,0)),TRIM($AD1484))</f>
        <v>Tucuman</v>
      </c>
      <c r="J1484" s="61" t="str">
        <f aca="false">INDEX(Parametros!$C$95:$C$106,MATCH(TRIM(INDEX(Datos_Origen!$E$2:$E$2459,$Z1484)),Parametros!$B$95:$B$106,0))</f>
        <v>Tienda fisica</v>
      </c>
      <c r="K1484" s="61" t="str">
        <f aca="false">INDEX(Parametros!$C$48:$C$67,MATCH(TRIM(INDEX(Datos_Origen!$F$2:$F$2459,$Z1484)),Parametros!$B$48:$B$67,0))</f>
        <v>Computacion</v>
      </c>
      <c r="L1484" s="61" t="str">
        <f aca="false">$K1484&amp;" "&amp;$C1484</f>
        <v>Computacion 2025</v>
      </c>
      <c r="M1484" s="61" t="str">
        <f aca="false">TRIM(INDEX(Datos_Origen!$G$2:$G$2459,$Z1484))</f>
        <v>Monitor 4K 27</v>
      </c>
      <c r="N1484" s="61" t="str">
        <f aca="false">$M1484&amp;" "&amp;$C1484</f>
        <v>Monitor 4K 27 2025</v>
      </c>
      <c r="O1484" s="63" t="n">
        <f aca="false">IF(ISTEXT($AC1484),VALUE($AC1484),$AC1484)</f>
        <v>7</v>
      </c>
      <c r="P1484" s="64" t="n">
        <f aca="false">INDEX(Datos_Origen!$I$2:$I$2459,$Z1484)</f>
        <v>433.15</v>
      </c>
      <c r="Q1484" s="64" t="n">
        <f aca="false">INDEX(Datos_Origen!$J$2:$J$2459,$Z1484)</f>
        <v>280.42</v>
      </c>
      <c r="R1484" s="65" t="n">
        <f aca="false">ROUND($O1484*$P1484,2)</f>
        <v>3032.05</v>
      </c>
      <c r="S1484" s="65" t="n">
        <f aca="false">ROUND($O1484*$Q1484,2)</f>
        <v>1962.94</v>
      </c>
      <c r="T1484" s="65" t="n">
        <f aca="false">ROUND($R1484*SUMIFS(Parametros!$E$28:$E$43,Parametros!$B$28:$B$43,$J1484,Parametros!$C$28:$C$43,$C1484,Parametros!$D$28:$D$43,$D1484),2)</f>
        <v>39.42</v>
      </c>
      <c r="U1484" s="65" t="n">
        <f aca="false">$R1484-$S1484-$T1484</f>
        <v>1029.69</v>
      </c>
      <c r="V1484" s="66" t="n">
        <f aca="false">IFERROR($U1484/$R1484,0)</f>
        <v>0.339601919493412</v>
      </c>
      <c r="W1484" s="67" t="str">
        <f aca="false">IF(AND($V1484&gt;=Parametros!$C$8,$R1484&gt;=Parametros!$C$12),"Alta rentabilidad",IF(OR($V1484&lt;Parametros!$C$11,$R1484&lt;Parametros!$C$13),"Revisar","Estandar"))</f>
        <v>Estandar</v>
      </c>
      <c r="X1484" s="67" t="str">
        <f aca="false">IF(AND($J1484="E-commerce",IFERROR($T1484/$R1484,0)&gt;Parametros!$C$14),"Alerta","OK")</f>
        <v>OK</v>
      </c>
      <c r="Y1484" s="61" t="str">
        <f aca="false">IF($R1484&gt;=Parametros!$C$12,"Alto",IF($R1484&lt;Parametros!$C$13,"Bajo","Medio"))</f>
        <v>Alto</v>
      </c>
      <c r="Z1484" s="61" t="n">
        <v>125</v>
      </c>
      <c r="AA1484" s="61" t="str">
        <f aca="false">IF(MATCH($A1484,Datos_Origen!$A$2:$A$2459,0)=$Z1484,"OK","REVISAR")</f>
        <v>OK</v>
      </c>
      <c r="AB1484" s="61" t="str">
        <f aca="false">INDEX(Datos_Origen!$B$2:$B$2459,$Z1484)</f>
        <v>14/03/2025</v>
      </c>
      <c r="AC1484" s="61" t="str">
        <f aca="false">INDEX(Datos_Origen!$H$2:$H$2459,$Z1484)</f>
        <v>7</v>
      </c>
      <c r="AD1484" s="61" t="str">
        <f aca="false">INDEX(Datos_Origen!$D$2:$D$2459,$Z1484)&amp;""</f>
        <v>Tucuman</v>
      </c>
    </row>
    <row r="1485" customFormat="false" ht="15" hidden="false" customHeight="false" outlineLevel="0" collapsed="false">
      <c r="A1485" s="61" t="n">
        <f aca="false">INDEX(Datos_Origen!$A$2:$A$2459,$Z1485)</f>
        <v>1484</v>
      </c>
      <c r="B1485" s="62" t="n">
        <f aca="false">IF(ISNUMBER($AB1485),$AB1485,IF(MID($AB1485,5,1)="-",DATE(VALUE(LEFT($AB1485,4)),VALUE(MID($AB1485,6,2)),VALUE(RIGHT($AB1485,2))),DATE(VALUE(RIGHT($AB1485,4)),VALUE(MID($AB1485,4,2)),VALUE(LEFT($AB1485,2)))))</f>
        <v>45737</v>
      </c>
      <c r="C1485" s="61" t="n">
        <f aca="false">YEAR($B1485)</f>
        <v>2025</v>
      </c>
      <c r="D1485" s="61" t="str">
        <f aca="false">"Q"&amp;ROUNDUP(MONTH($B1485)/3,0)</f>
        <v>Q1</v>
      </c>
      <c r="E1485" s="61" t="n">
        <f aca="false">MONTH($B1485)</f>
        <v>3</v>
      </c>
      <c r="F1485" s="61" t="str">
        <f aca="false">INDEX(Parametros!$I$5:$I$16,$E1485)</f>
        <v>Mar</v>
      </c>
      <c r="G1485" s="61" t="str">
        <f aca="false">TEXT($C1485,"0000")&amp;"-"&amp;TEXT($E1485,"00")</f>
        <v>2025-03</v>
      </c>
      <c r="H1485" s="61" t="str">
        <f aca="false">INDEX(Parametros!$C$71:$C$91,MATCH(TRIM(INDEX(Datos_Origen!$C$2:$C$2459,$Z1485)),Parametros!$B$71:$B$91,0))</f>
        <v>NOA</v>
      </c>
      <c r="I1485" s="61" t="str">
        <f aca="false">IF(TRIM($AD1485)="",INDEX(Parametros!$I$20:$I$24,MATCH($H1485,Parametros!$H$20:$H$24,0)),TRIM($AD1485))</f>
        <v>Tucuman</v>
      </c>
      <c r="J1485" s="61" t="str">
        <f aca="false">INDEX(Parametros!$C$95:$C$106,MATCH(TRIM(INDEX(Datos_Origen!$E$2:$E$2459,$Z1485)),Parametros!$B$95:$B$106,0))</f>
        <v>E-commerce</v>
      </c>
      <c r="K1485" s="61" t="str">
        <f aca="false">INDEX(Parametros!$C$48:$C$67,MATCH(TRIM(INDEX(Datos_Origen!$F$2:$F$2459,$Z1485)),Parametros!$B$48:$B$67,0))</f>
        <v>Computacion</v>
      </c>
      <c r="L1485" s="61" t="str">
        <f aca="false">$K1485&amp;" "&amp;$C1485</f>
        <v>Computacion 2025</v>
      </c>
      <c r="M1485" s="61" t="str">
        <f aca="false">TRIM(INDEX(Datos_Origen!$G$2:$G$2459,$Z1485))</f>
        <v>Monitor 4K 27</v>
      </c>
      <c r="N1485" s="61" t="str">
        <f aca="false">$M1485&amp;" "&amp;$C1485</f>
        <v>Monitor 4K 27 2025</v>
      </c>
      <c r="O1485" s="63" t="n">
        <f aca="false">IF(ISTEXT($AC1485),VALUE($AC1485),$AC1485)</f>
        <v>5</v>
      </c>
      <c r="P1485" s="64" t="n">
        <f aca="false">INDEX(Datos_Origen!$I$2:$I$2459,$Z1485)</f>
        <v>433.15</v>
      </c>
      <c r="Q1485" s="64" t="n">
        <f aca="false">INDEX(Datos_Origen!$J$2:$J$2459,$Z1485)</f>
        <v>280.42</v>
      </c>
      <c r="R1485" s="65" t="n">
        <f aca="false">ROUND($O1485*$P1485,2)</f>
        <v>2165.75</v>
      </c>
      <c r="S1485" s="65" t="n">
        <f aca="false">ROUND($O1485*$Q1485,2)</f>
        <v>1402.1</v>
      </c>
      <c r="T1485" s="65" t="n">
        <f aca="false">ROUND($R1485*SUMIFS(Parametros!$E$28:$E$43,Parametros!$B$28:$B$43,$J1485,Parametros!$C$28:$C$43,$C1485,Parametros!$D$28:$D$43,$D1485),2)</f>
        <v>147.27</v>
      </c>
      <c r="U1485" s="65" t="n">
        <f aca="false">$R1485-$S1485-$T1485</f>
        <v>616.38</v>
      </c>
      <c r="V1485" s="66" t="n">
        <f aca="false">IFERROR($U1485/$R1485,0)</f>
        <v>0.284603486090269</v>
      </c>
      <c r="W1485" s="67" t="str">
        <f aca="false">IF(AND($V1485&gt;=Parametros!$C$8,$R1485&gt;=Parametros!$C$12),"Alta rentabilidad",IF(OR($V1485&lt;Parametros!$C$11,$R1485&lt;Parametros!$C$13),"Revisar","Estandar"))</f>
        <v>Estandar</v>
      </c>
      <c r="X1485" s="67" t="str">
        <f aca="false">IF(AND($J1485="E-commerce",IFERROR($T1485/$R1485,0)&gt;Parametros!$C$14),"Alerta","OK")</f>
        <v>Alerta</v>
      </c>
      <c r="Y1485" s="61" t="str">
        <f aca="false">IF($R1485&gt;=Parametros!$C$12,"Alto",IF($R1485&lt;Parametros!$C$13,"Bajo","Medio"))</f>
        <v>Medio</v>
      </c>
      <c r="Z1485" s="61" t="n">
        <v>978</v>
      </c>
      <c r="AA1485" s="61" t="str">
        <f aca="false">IF(MATCH($A1485,Datos_Origen!$A$2:$A$2459,0)=$Z1485,"OK","REVISAR")</f>
        <v>OK</v>
      </c>
      <c r="AB1485" s="62" t="n">
        <f aca="false">INDEX(Datos_Origen!$B$2:$B$2459,$Z1485)</f>
        <v>45737</v>
      </c>
      <c r="AC1485" s="61" t="n">
        <f aca="false">INDEX(Datos_Origen!$H$2:$H$2459,$Z1485)</f>
        <v>5</v>
      </c>
      <c r="AD1485" s="61" t="str">
        <f aca="false">INDEX(Datos_Origen!$D$2:$D$2459,$Z1485)&amp;""</f>
        <v>Tucuman</v>
      </c>
    </row>
    <row r="1486" customFormat="false" ht="15" hidden="false" customHeight="false" outlineLevel="0" collapsed="false">
      <c r="A1486" s="61" t="n">
        <f aca="false">INDEX(Datos_Origen!$A$2:$A$2459,$Z1486)</f>
        <v>1485</v>
      </c>
      <c r="B1486" s="62" t="n">
        <f aca="false">IF(ISNUMBER($AB1486),$AB1486,IF(MID($AB1486,5,1)="-",DATE(VALUE(LEFT($AB1486,4)),VALUE(MID($AB1486,6,2)),VALUE(RIGHT($AB1486,2))),DATE(VALUE(RIGHT($AB1486,4)),VALUE(MID($AB1486,4,2)),VALUE(LEFT($AB1486,2)))))</f>
        <v>45717</v>
      </c>
      <c r="C1486" s="61" t="n">
        <f aca="false">YEAR($B1486)</f>
        <v>2025</v>
      </c>
      <c r="D1486" s="61" t="str">
        <f aca="false">"Q"&amp;ROUNDUP(MONTH($B1486)/3,0)</f>
        <v>Q1</v>
      </c>
      <c r="E1486" s="61" t="n">
        <f aca="false">MONTH($B1486)</f>
        <v>3</v>
      </c>
      <c r="F1486" s="61" t="str">
        <f aca="false">INDEX(Parametros!$I$5:$I$16,$E1486)</f>
        <v>Mar</v>
      </c>
      <c r="G1486" s="61" t="str">
        <f aca="false">TEXT($C1486,"0000")&amp;"-"&amp;TEXT($E1486,"00")</f>
        <v>2025-03</v>
      </c>
      <c r="H1486" s="61" t="str">
        <f aca="false">INDEX(Parametros!$C$71:$C$91,MATCH(TRIM(INDEX(Datos_Origen!$C$2:$C$2459,$Z1486)),Parametros!$B$71:$B$91,0))</f>
        <v>NOA</v>
      </c>
      <c r="I1486" s="61" t="str">
        <f aca="false">IF(TRIM($AD1486)="",INDEX(Parametros!$I$20:$I$24,MATCH($H1486,Parametros!$H$20:$H$24,0)),TRIM($AD1486))</f>
        <v>Tucuman</v>
      </c>
      <c r="J1486" s="61" t="str">
        <f aca="false">INDEX(Parametros!$C$95:$C$106,MATCH(TRIM(INDEX(Datos_Origen!$E$2:$E$2459,$Z1486)),Parametros!$B$95:$B$106,0))</f>
        <v>Tienda fisica</v>
      </c>
      <c r="K1486" s="61" t="str">
        <f aca="false">INDEX(Parametros!$C$48:$C$67,MATCH(TRIM(INDEX(Datos_Origen!$F$2:$F$2459,$Z1486)),Parametros!$B$48:$B$67,0))</f>
        <v>Computacion</v>
      </c>
      <c r="L1486" s="61" t="str">
        <f aca="false">$K1486&amp;" "&amp;$C1486</f>
        <v>Computacion 2025</v>
      </c>
      <c r="M1486" s="61" t="str">
        <f aca="false">TRIM(INDEX(Datos_Origen!$G$2:$G$2459,$Z1486))</f>
        <v>PC Gamer Ryzen</v>
      </c>
      <c r="N1486" s="61" t="str">
        <f aca="false">$M1486&amp;" "&amp;$C1486</f>
        <v>PC Gamer Ryzen 2025</v>
      </c>
      <c r="O1486" s="63" t="n">
        <f aca="false">IF(ISTEXT($AC1486),VALUE($AC1486),$AC1486)</f>
        <v>6</v>
      </c>
      <c r="P1486" s="64" t="n">
        <f aca="false">INDEX(Datos_Origen!$I$2:$I$2459,$Z1486)</f>
        <v>1588.21</v>
      </c>
      <c r="Q1486" s="64" t="n">
        <f aca="false">INDEX(Datos_Origen!$J$2:$J$2459,$Z1486)</f>
        <v>1155.66</v>
      </c>
      <c r="R1486" s="65" t="n">
        <f aca="false">ROUND($O1486*$P1486,2)</f>
        <v>9529.26</v>
      </c>
      <c r="S1486" s="65" t="n">
        <f aca="false">ROUND($O1486*$Q1486,2)</f>
        <v>6933.96</v>
      </c>
      <c r="T1486" s="65" t="n">
        <f aca="false">ROUND($R1486*SUMIFS(Parametros!$E$28:$E$43,Parametros!$B$28:$B$43,$J1486,Parametros!$C$28:$C$43,$C1486,Parametros!$D$28:$D$43,$D1486),2)</f>
        <v>123.88</v>
      </c>
      <c r="U1486" s="65" t="n">
        <f aca="false">$R1486-$S1486-$T1486</f>
        <v>2471.42</v>
      </c>
      <c r="V1486" s="66" t="n">
        <f aca="false">IFERROR($U1486/$R1486,0)</f>
        <v>0.259350673609493</v>
      </c>
      <c r="W1486" s="67" t="str">
        <f aca="false">IF(AND($V1486&gt;=Parametros!$C$8,$R1486&gt;=Parametros!$C$12),"Alta rentabilidad",IF(OR($V1486&lt;Parametros!$C$11,$R1486&lt;Parametros!$C$13),"Revisar","Estandar"))</f>
        <v>Revisar</v>
      </c>
      <c r="X1486" s="67" t="str">
        <f aca="false">IF(AND($J1486="E-commerce",IFERROR($T1486/$R1486,0)&gt;Parametros!$C$14),"Alerta","OK")</f>
        <v>OK</v>
      </c>
      <c r="Y1486" s="61" t="str">
        <f aca="false">IF($R1486&gt;=Parametros!$C$12,"Alto",IF($R1486&lt;Parametros!$C$13,"Bajo","Medio"))</f>
        <v>Alto</v>
      </c>
      <c r="Z1486" s="61" t="n">
        <v>967</v>
      </c>
      <c r="AA1486" s="61" t="str">
        <f aca="false">IF(MATCH($A1486,Datos_Origen!$A$2:$A$2459,0)=$Z1486,"OK","REVISAR")</f>
        <v>OK</v>
      </c>
      <c r="AB1486" s="62" t="n">
        <f aca="false">INDEX(Datos_Origen!$B$2:$B$2459,$Z1486)</f>
        <v>45717</v>
      </c>
      <c r="AC1486" s="61" t="n">
        <f aca="false">INDEX(Datos_Origen!$H$2:$H$2459,$Z1486)</f>
        <v>6</v>
      </c>
      <c r="AD1486" s="61" t="str">
        <f aca="false">INDEX(Datos_Origen!$D$2:$D$2459,$Z1486)&amp;""</f>
        <v/>
      </c>
    </row>
    <row r="1487" customFormat="false" ht="15" hidden="false" customHeight="false" outlineLevel="0" collapsed="false">
      <c r="A1487" s="61" t="n">
        <f aca="false">INDEX(Datos_Origen!$A$2:$A$2459,$Z1487)</f>
        <v>1486</v>
      </c>
      <c r="B1487" s="62" t="n">
        <f aca="false">IF(ISNUMBER($AB1487),$AB1487,IF(MID($AB1487,5,1)="-",DATE(VALUE(LEFT($AB1487,4)),VALUE(MID($AB1487,6,2)),VALUE(RIGHT($AB1487,2))),DATE(VALUE(RIGHT($AB1487,4)),VALUE(MID($AB1487,4,2)),VALUE(LEFT($AB1487,2)))))</f>
        <v>45724</v>
      </c>
      <c r="C1487" s="61" t="n">
        <f aca="false">YEAR($B1487)</f>
        <v>2025</v>
      </c>
      <c r="D1487" s="61" t="str">
        <f aca="false">"Q"&amp;ROUNDUP(MONTH($B1487)/3,0)</f>
        <v>Q1</v>
      </c>
      <c r="E1487" s="61" t="n">
        <f aca="false">MONTH($B1487)</f>
        <v>3</v>
      </c>
      <c r="F1487" s="61" t="str">
        <f aca="false">INDEX(Parametros!$I$5:$I$16,$E1487)</f>
        <v>Mar</v>
      </c>
      <c r="G1487" s="61" t="str">
        <f aca="false">TEXT($C1487,"0000")&amp;"-"&amp;TEXT($E1487,"00")</f>
        <v>2025-03</v>
      </c>
      <c r="H1487" s="61" t="str">
        <f aca="false">INDEX(Parametros!$C$71:$C$91,MATCH(TRIM(INDEX(Datos_Origen!$C$2:$C$2459,$Z1487)),Parametros!$B$71:$B$91,0))</f>
        <v>NOA</v>
      </c>
      <c r="I1487" s="61" t="str">
        <f aca="false">IF(TRIM($AD1487)="",INDEX(Parametros!$I$20:$I$24,MATCH($H1487,Parametros!$H$20:$H$24,0)),TRIM($AD1487))</f>
        <v>Tucuman</v>
      </c>
      <c r="J1487" s="61" t="str">
        <f aca="false">INDEX(Parametros!$C$95:$C$106,MATCH(TRIM(INDEX(Datos_Origen!$E$2:$E$2459,$Z1487)),Parametros!$B$95:$B$106,0))</f>
        <v>E-commerce</v>
      </c>
      <c r="K1487" s="61" t="str">
        <f aca="false">INDEX(Parametros!$C$48:$C$67,MATCH(TRIM(INDEX(Datos_Origen!$F$2:$F$2459,$Z1487)),Parametros!$B$48:$B$67,0))</f>
        <v>Computacion</v>
      </c>
      <c r="L1487" s="61" t="str">
        <f aca="false">$K1487&amp;" "&amp;$C1487</f>
        <v>Computacion 2025</v>
      </c>
      <c r="M1487" s="61" t="str">
        <f aca="false">TRIM(INDEX(Datos_Origen!$G$2:$G$2459,$Z1487))</f>
        <v>PC Gamer Ryzen</v>
      </c>
      <c r="N1487" s="61" t="str">
        <f aca="false">$M1487&amp;" "&amp;$C1487</f>
        <v>PC Gamer Ryzen 2025</v>
      </c>
      <c r="O1487" s="63" t="n">
        <f aca="false">IF(ISTEXT($AC1487),VALUE($AC1487),$AC1487)</f>
        <v>4</v>
      </c>
      <c r="P1487" s="64" t="n">
        <f aca="false">INDEX(Datos_Origen!$I$2:$I$2459,$Z1487)</f>
        <v>1588.21</v>
      </c>
      <c r="Q1487" s="64" t="n">
        <f aca="false">INDEX(Datos_Origen!$J$2:$J$2459,$Z1487)</f>
        <v>1155.66</v>
      </c>
      <c r="R1487" s="65" t="n">
        <f aca="false">ROUND($O1487*$P1487,2)</f>
        <v>6352.84</v>
      </c>
      <c r="S1487" s="65" t="n">
        <f aca="false">ROUND($O1487*$Q1487,2)</f>
        <v>4622.64</v>
      </c>
      <c r="T1487" s="65" t="n">
        <f aca="false">ROUND($R1487*SUMIFS(Parametros!$E$28:$E$43,Parametros!$B$28:$B$43,$J1487,Parametros!$C$28:$C$43,$C1487,Parametros!$D$28:$D$43,$D1487),2)</f>
        <v>431.99</v>
      </c>
      <c r="U1487" s="65" t="n">
        <f aca="false">$R1487-$S1487-$T1487</f>
        <v>1298.21</v>
      </c>
      <c r="V1487" s="66" t="n">
        <f aca="false">IFERROR($U1487/$R1487,0)</f>
        <v>0.204351124851248</v>
      </c>
      <c r="W1487" s="67" t="str">
        <f aca="false">IF(AND($V1487&gt;=Parametros!$C$8,$R1487&gt;=Parametros!$C$12),"Alta rentabilidad",IF(OR($V1487&lt;Parametros!$C$11,$R1487&lt;Parametros!$C$13),"Revisar","Estandar"))</f>
        <v>Revisar</v>
      </c>
      <c r="X1487" s="67" t="str">
        <f aca="false">IF(AND($J1487="E-commerce",IFERROR($T1487/$R1487,0)&gt;Parametros!$C$14),"Alerta","OK")</f>
        <v>Alerta</v>
      </c>
      <c r="Y1487" s="61" t="str">
        <f aca="false">IF($R1487&gt;=Parametros!$C$12,"Alto",IF($R1487&lt;Parametros!$C$13,"Bajo","Medio"))</f>
        <v>Alto</v>
      </c>
      <c r="Z1487" s="61" t="n">
        <v>1484</v>
      </c>
      <c r="AA1487" s="61" t="str">
        <f aca="false">IF(MATCH($A1487,Datos_Origen!$A$2:$A$2459,0)=$Z1487,"OK","REVISAR")</f>
        <v>OK</v>
      </c>
      <c r="AB1487" s="62" t="n">
        <f aca="false">INDEX(Datos_Origen!$B$2:$B$2459,$Z1487)</f>
        <v>45724</v>
      </c>
      <c r="AC1487" s="61" t="n">
        <f aca="false">INDEX(Datos_Origen!$H$2:$H$2459,$Z1487)</f>
        <v>4</v>
      </c>
      <c r="AD1487" s="61" t="str">
        <f aca="false">INDEX(Datos_Origen!$D$2:$D$2459,$Z1487)&amp;""</f>
        <v>Tucuman</v>
      </c>
    </row>
    <row r="1488" customFormat="false" ht="15" hidden="false" customHeight="false" outlineLevel="0" collapsed="false">
      <c r="A1488" s="61" t="n">
        <f aca="false">INDEX(Datos_Origen!$A$2:$A$2459,$Z1488)</f>
        <v>1487</v>
      </c>
      <c r="B1488" s="62" t="n">
        <f aca="false">IF(ISNUMBER($AB1488),$AB1488,IF(MID($AB1488,5,1)="-",DATE(VALUE(LEFT($AB1488,4)),VALUE(MID($AB1488,6,2)),VALUE(RIGHT($AB1488,2))),DATE(VALUE(RIGHT($AB1488,4)),VALUE(MID($AB1488,4,2)),VALUE(LEFT($AB1488,2)))))</f>
        <v>45731</v>
      </c>
      <c r="C1488" s="61" t="n">
        <f aca="false">YEAR($B1488)</f>
        <v>2025</v>
      </c>
      <c r="D1488" s="61" t="str">
        <f aca="false">"Q"&amp;ROUNDUP(MONTH($B1488)/3,0)</f>
        <v>Q1</v>
      </c>
      <c r="E1488" s="61" t="n">
        <f aca="false">MONTH($B1488)</f>
        <v>3</v>
      </c>
      <c r="F1488" s="61" t="str">
        <f aca="false">INDEX(Parametros!$I$5:$I$16,$E1488)</f>
        <v>Mar</v>
      </c>
      <c r="G1488" s="61" t="str">
        <f aca="false">TEXT($C1488,"0000")&amp;"-"&amp;TEXT($E1488,"00")</f>
        <v>2025-03</v>
      </c>
      <c r="H1488" s="61" t="str">
        <f aca="false">INDEX(Parametros!$C$71:$C$91,MATCH(TRIM(INDEX(Datos_Origen!$C$2:$C$2459,$Z1488)),Parametros!$B$71:$B$91,0))</f>
        <v>NOA</v>
      </c>
      <c r="I1488" s="61" t="str">
        <f aca="false">IF(TRIM($AD1488)="",INDEX(Parametros!$I$20:$I$24,MATCH($H1488,Parametros!$H$20:$H$24,0)),TRIM($AD1488))</f>
        <v>Tucuman</v>
      </c>
      <c r="J1488" s="61" t="str">
        <f aca="false">INDEX(Parametros!$C$95:$C$106,MATCH(TRIM(INDEX(Datos_Origen!$E$2:$E$2459,$Z1488)),Parametros!$B$95:$B$106,0))</f>
        <v>Tienda fisica</v>
      </c>
      <c r="K1488" s="61" t="str">
        <f aca="false">INDEX(Parametros!$C$48:$C$67,MATCH(TRIM(INDEX(Datos_Origen!$F$2:$F$2459,$Z1488)),Parametros!$B$48:$B$67,0))</f>
        <v>Accesorios</v>
      </c>
      <c r="L1488" s="61" t="str">
        <f aca="false">$K1488&amp;" "&amp;$C1488</f>
        <v>Accesorios 2025</v>
      </c>
      <c r="M1488" s="61" t="str">
        <f aca="false">TRIM(INDEX(Datos_Origen!$G$2:$G$2459,$Z1488))</f>
        <v>Mouse Inalambrico</v>
      </c>
      <c r="N1488" s="61" t="str">
        <f aca="false">$M1488&amp;" "&amp;$C1488</f>
        <v>Mouse Inalambrico 2025</v>
      </c>
      <c r="O1488" s="63" t="n">
        <f aca="false">IF(ISTEXT($AC1488),VALUE($AC1488),$AC1488)</f>
        <v>25</v>
      </c>
      <c r="P1488" s="64" t="n">
        <f aca="false">INDEX(Datos_Origen!$I$2:$I$2459,$Z1488)</f>
        <v>27.82</v>
      </c>
      <c r="Q1488" s="64" t="n">
        <f aca="false">INDEX(Datos_Origen!$J$2:$J$2459,$Z1488)</f>
        <v>13.84</v>
      </c>
      <c r="R1488" s="65" t="n">
        <f aca="false">ROUND($O1488*$P1488,2)</f>
        <v>695.5</v>
      </c>
      <c r="S1488" s="65" t="n">
        <f aca="false">ROUND($O1488*$Q1488,2)</f>
        <v>346</v>
      </c>
      <c r="T1488" s="65" t="n">
        <f aca="false">ROUND($R1488*SUMIFS(Parametros!$E$28:$E$43,Parametros!$B$28:$B$43,$J1488,Parametros!$C$28:$C$43,$C1488,Parametros!$D$28:$D$43,$D1488),2)</f>
        <v>9.04</v>
      </c>
      <c r="U1488" s="65" t="n">
        <f aca="false">$R1488-$S1488-$T1488</f>
        <v>340.46</v>
      </c>
      <c r="V1488" s="66" t="n">
        <f aca="false">IFERROR($U1488/$R1488,0)</f>
        <v>0.489518332135155</v>
      </c>
      <c r="W1488" s="67" t="str">
        <f aca="false">IF(AND($V1488&gt;=Parametros!$C$8,$R1488&gt;=Parametros!$C$12),"Alta rentabilidad",IF(OR($V1488&lt;Parametros!$C$11,$R1488&lt;Parametros!$C$13),"Revisar","Estandar"))</f>
        <v>Estandar</v>
      </c>
      <c r="X1488" s="67" t="str">
        <f aca="false">IF(AND($J1488="E-commerce",IFERROR($T1488/$R1488,0)&gt;Parametros!$C$14),"Alerta","OK")</f>
        <v>OK</v>
      </c>
      <c r="Y1488" s="61" t="str">
        <f aca="false">IF($R1488&gt;=Parametros!$C$12,"Alto",IF($R1488&lt;Parametros!$C$13,"Bajo","Medio"))</f>
        <v>Medio</v>
      </c>
      <c r="Z1488" s="61" t="n">
        <v>1380</v>
      </c>
      <c r="AA1488" s="61" t="str">
        <f aca="false">IF(MATCH($A1488,Datos_Origen!$A$2:$A$2459,0)=$Z1488,"OK","REVISAR")</f>
        <v>OK</v>
      </c>
      <c r="AB1488" s="61" t="str">
        <f aca="false">INDEX(Datos_Origen!$B$2:$B$2459,$Z1488)</f>
        <v>15/03/2025</v>
      </c>
      <c r="AC1488" s="61" t="n">
        <f aca="false">INDEX(Datos_Origen!$H$2:$H$2459,$Z1488)</f>
        <v>25</v>
      </c>
      <c r="AD1488" s="61" t="str">
        <f aca="false">INDEX(Datos_Origen!$D$2:$D$2459,$Z1488)&amp;""</f>
        <v>Tucuman</v>
      </c>
    </row>
    <row r="1489" customFormat="false" ht="15" hidden="false" customHeight="false" outlineLevel="0" collapsed="false">
      <c r="A1489" s="61" t="n">
        <f aca="false">INDEX(Datos_Origen!$A$2:$A$2459,$Z1489)</f>
        <v>1488</v>
      </c>
      <c r="B1489" s="62" t="n">
        <f aca="false">IF(ISNUMBER($AB1489),$AB1489,IF(MID($AB1489,5,1)="-",DATE(VALUE(LEFT($AB1489,4)),VALUE(MID($AB1489,6,2)),VALUE(RIGHT($AB1489,2))),DATE(VALUE(RIGHT($AB1489,4)),VALUE(MID($AB1489,4,2)),VALUE(LEFT($AB1489,2)))))</f>
        <v>45738</v>
      </c>
      <c r="C1489" s="61" t="n">
        <f aca="false">YEAR($B1489)</f>
        <v>2025</v>
      </c>
      <c r="D1489" s="61" t="str">
        <f aca="false">"Q"&amp;ROUNDUP(MONTH($B1489)/3,0)</f>
        <v>Q1</v>
      </c>
      <c r="E1489" s="61" t="n">
        <f aca="false">MONTH($B1489)</f>
        <v>3</v>
      </c>
      <c r="F1489" s="61" t="str">
        <f aca="false">INDEX(Parametros!$I$5:$I$16,$E1489)</f>
        <v>Mar</v>
      </c>
      <c r="G1489" s="61" t="str">
        <f aca="false">TEXT($C1489,"0000")&amp;"-"&amp;TEXT($E1489,"00")</f>
        <v>2025-03</v>
      </c>
      <c r="H1489" s="61" t="str">
        <f aca="false">INDEX(Parametros!$C$71:$C$91,MATCH(TRIM(INDEX(Datos_Origen!$C$2:$C$2459,$Z1489)),Parametros!$B$71:$B$91,0))</f>
        <v>NOA</v>
      </c>
      <c r="I1489" s="61" t="str">
        <f aca="false">IF(TRIM($AD1489)="",INDEX(Parametros!$I$20:$I$24,MATCH($H1489,Parametros!$H$20:$H$24,0)),TRIM($AD1489))</f>
        <v>Tucuman</v>
      </c>
      <c r="J1489" s="61" t="str">
        <f aca="false">INDEX(Parametros!$C$95:$C$106,MATCH(TRIM(INDEX(Datos_Origen!$E$2:$E$2459,$Z1489)),Parametros!$B$95:$B$106,0))</f>
        <v>E-commerce</v>
      </c>
      <c r="K1489" s="61" t="str">
        <f aca="false">INDEX(Parametros!$C$48:$C$67,MATCH(TRIM(INDEX(Datos_Origen!$F$2:$F$2459,$Z1489)),Parametros!$B$48:$B$67,0))</f>
        <v>Accesorios</v>
      </c>
      <c r="L1489" s="61" t="str">
        <f aca="false">$K1489&amp;" "&amp;$C1489</f>
        <v>Accesorios 2025</v>
      </c>
      <c r="M1489" s="61" t="str">
        <f aca="false">TRIM(INDEX(Datos_Origen!$G$2:$G$2459,$Z1489))</f>
        <v>Mouse Inalambrico</v>
      </c>
      <c r="N1489" s="61" t="str">
        <f aca="false">$M1489&amp;" "&amp;$C1489</f>
        <v>Mouse Inalambrico 2025</v>
      </c>
      <c r="O1489" s="63" t="n">
        <f aca="false">IF(ISTEXT($AC1489),VALUE($AC1489),$AC1489)</f>
        <v>17</v>
      </c>
      <c r="P1489" s="64" t="n">
        <f aca="false">INDEX(Datos_Origen!$I$2:$I$2459,$Z1489)</f>
        <v>27.82</v>
      </c>
      <c r="Q1489" s="64" t="n">
        <f aca="false">INDEX(Datos_Origen!$J$2:$J$2459,$Z1489)</f>
        <v>13.84</v>
      </c>
      <c r="R1489" s="65" t="n">
        <f aca="false">ROUND($O1489*$P1489,2)</f>
        <v>472.94</v>
      </c>
      <c r="S1489" s="65" t="n">
        <f aca="false">ROUND($O1489*$Q1489,2)</f>
        <v>235.28</v>
      </c>
      <c r="T1489" s="65" t="n">
        <f aca="false">ROUND($R1489*SUMIFS(Parametros!$E$28:$E$43,Parametros!$B$28:$B$43,$J1489,Parametros!$C$28:$C$43,$C1489,Parametros!$D$28:$D$43,$D1489),2)</f>
        <v>32.16</v>
      </c>
      <c r="U1489" s="65" t="n">
        <f aca="false">$R1489-$S1489-$T1489</f>
        <v>205.5</v>
      </c>
      <c r="V1489" s="66" t="n">
        <f aca="false">IFERROR($U1489/$R1489,0)</f>
        <v>0.434516006258722</v>
      </c>
      <c r="W1489" s="67" t="str">
        <f aca="false">IF(AND($V1489&gt;=Parametros!$C$8,$R1489&gt;=Parametros!$C$12),"Alta rentabilidad",IF(OR($V1489&lt;Parametros!$C$11,$R1489&lt;Parametros!$C$13),"Revisar","Estandar"))</f>
        <v>Estandar</v>
      </c>
      <c r="X1489" s="67" t="str">
        <f aca="false">IF(AND($J1489="E-commerce",IFERROR($T1489/$R1489,0)&gt;Parametros!$C$14),"Alerta","OK")</f>
        <v>Alerta</v>
      </c>
      <c r="Y1489" s="61" t="str">
        <f aca="false">IF($R1489&gt;=Parametros!$C$12,"Alto",IF($R1489&lt;Parametros!$C$13,"Bajo","Medio"))</f>
        <v>Medio</v>
      </c>
      <c r="Z1489" s="61" t="n">
        <v>2085</v>
      </c>
      <c r="AA1489" s="61" t="str">
        <f aca="false">IF(MATCH($A1489,Datos_Origen!$A$2:$A$2459,0)=$Z1489,"OK","REVISAR")</f>
        <v>OK</v>
      </c>
      <c r="AB1489" s="61" t="str">
        <f aca="false">INDEX(Datos_Origen!$B$2:$B$2459,$Z1489)</f>
        <v>2025-03-22</v>
      </c>
      <c r="AC1489" s="61" t="n">
        <f aca="false">INDEX(Datos_Origen!$H$2:$H$2459,$Z1489)</f>
        <v>17</v>
      </c>
      <c r="AD1489" s="61" t="str">
        <f aca="false">INDEX(Datos_Origen!$D$2:$D$2459,$Z1489)&amp;""</f>
        <v>Tucuman</v>
      </c>
    </row>
    <row r="1490" customFormat="false" ht="15" hidden="false" customHeight="false" outlineLevel="0" collapsed="false">
      <c r="A1490" s="61" t="n">
        <f aca="false">INDEX(Datos_Origen!$A$2:$A$2459,$Z1490)</f>
        <v>1489</v>
      </c>
      <c r="B1490" s="62" t="n">
        <f aca="false">IF(ISNUMBER($AB1490),$AB1490,IF(MID($AB1490,5,1)="-",DATE(VALUE(LEFT($AB1490,4)),VALUE(MID($AB1490,6,2)),VALUE(RIGHT($AB1490,2))),DATE(VALUE(RIGHT($AB1490,4)),VALUE(MID($AB1490,4,2)),VALUE(LEFT($AB1490,2)))))</f>
        <v>45718</v>
      </c>
      <c r="C1490" s="61" t="n">
        <f aca="false">YEAR($B1490)</f>
        <v>2025</v>
      </c>
      <c r="D1490" s="61" t="str">
        <f aca="false">"Q"&amp;ROUNDUP(MONTH($B1490)/3,0)</f>
        <v>Q1</v>
      </c>
      <c r="E1490" s="61" t="n">
        <f aca="false">MONTH($B1490)</f>
        <v>3</v>
      </c>
      <c r="F1490" s="61" t="str">
        <f aca="false">INDEX(Parametros!$I$5:$I$16,$E1490)</f>
        <v>Mar</v>
      </c>
      <c r="G1490" s="61" t="str">
        <f aca="false">TEXT($C1490,"0000")&amp;"-"&amp;TEXT($E1490,"00")</f>
        <v>2025-03</v>
      </c>
      <c r="H1490" s="61" t="str">
        <f aca="false">INDEX(Parametros!$C$71:$C$91,MATCH(TRIM(INDEX(Datos_Origen!$C$2:$C$2459,$Z1490)),Parametros!$B$71:$B$91,0))</f>
        <v>NOA</v>
      </c>
      <c r="I1490" s="61" t="str">
        <f aca="false">IF(TRIM($AD1490)="",INDEX(Parametros!$I$20:$I$24,MATCH($H1490,Parametros!$H$20:$H$24,0)),TRIM($AD1490))</f>
        <v>Tucuman</v>
      </c>
      <c r="J1490" s="61" t="str">
        <f aca="false">INDEX(Parametros!$C$95:$C$106,MATCH(TRIM(INDEX(Datos_Origen!$E$2:$E$2459,$Z1490)),Parametros!$B$95:$B$106,0))</f>
        <v>Tienda fisica</v>
      </c>
      <c r="K1490" s="61" t="str">
        <f aca="false">INDEX(Parametros!$C$48:$C$67,MATCH(TRIM(INDEX(Datos_Origen!$F$2:$F$2459,$Z1490)),Parametros!$B$48:$B$67,0))</f>
        <v>Accesorios</v>
      </c>
      <c r="L1490" s="61" t="str">
        <f aca="false">$K1490&amp;" "&amp;$C1490</f>
        <v>Accesorios 2025</v>
      </c>
      <c r="M1490" s="61" t="str">
        <f aca="false">TRIM(INDEX(Datos_Origen!$G$2:$G$2459,$Z1490))</f>
        <v>Teclado Mecanico</v>
      </c>
      <c r="N1490" s="61" t="str">
        <f aca="false">$M1490&amp;" "&amp;$C1490</f>
        <v>Teclado Mecanico 2025</v>
      </c>
      <c r="O1490" s="63" t="n">
        <f aca="false">IF(ISTEXT($AC1490),VALUE($AC1490),$AC1490)</f>
        <v>28</v>
      </c>
      <c r="P1490" s="64" t="n">
        <f aca="false">INDEX(Datos_Origen!$I$2:$I$2459,$Z1490)</f>
        <v>94.39</v>
      </c>
      <c r="Q1490" s="64" t="n">
        <f aca="false">INDEX(Datos_Origen!$J$2:$J$2459,$Z1490)</f>
        <v>49.41</v>
      </c>
      <c r="R1490" s="65" t="n">
        <f aca="false">ROUND($O1490*$P1490,2)</f>
        <v>2642.92</v>
      </c>
      <c r="S1490" s="65" t="n">
        <f aca="false">ROUND($O1490*$Q1490,2)</f>
        <v>1383.48</v>
      </c>
      <c r="T1490" s="65" t="n">
        <f aca="false">ROUND($R1490*SUMIFS(Parametros!$E$28:$E$43,Parametros!$B$28:$B$43,$J1490,Parametros!$C$28:$C$43,$C1490,Parametros!$D$28:$D$43,$D1490),2)</f>
        <v>34.36</v>
      </c>
      <c r="U1490" s="65" t="n">
        <f aca="false">$R1490-$S1490-$T1490</f>
        <v>1225.08</v>
      </c>
      <c r="V1490" s="66" t="n">
        <f aca="false">IFERROR($U1490/$R1490,0)</f>
        <v>0.463532759220862</v>
      </c>
      <c r="W1490" s="67" t="str">
        <f aca="false">IF(AND($V1490&gt;=Parametros!$C$8,$R1490&gt;=Parametros!$C$12),"Alta rentabilidad",IF(OR($V1490&lt;Parametros!$C$11,$R1490&lt;Parametros!$C$13),"Revisar","Estandar"))</f>
        <v>Estandar</v>
      </c>
      <c r="X1490" s="67" t="str">
        <f aca="false">IF(AND($J1490="E-commerce",IFERROR($T1490/$R1490,0)&gt;Parametros!$C$14),"Alerta","OK")</f>
        <v>OK</v>
      </c>
      <c r="Y1490" s="61" t="str">
        <f aca="false">IF($R1490&gt;=Parametros!$C$12,"Alto",IF($R1490&lt;Parametros!$C$13,"Bajo","Medio"))</f>
        <v>Medio</v>
      </c>
      <c r="Z1490" s="61" t="n">
        <v>321</v>
      </c>
      <c r="AA1490" s="61" t="str">
        <f aca="false">IF(MATCH($A1490,Datos_Origen!$A$2:$A$2459,0)=$Z1490,"OK","REVISAR")</f>
        <v>OK</v>
      </c>
      <c r="AB1490" s="62" t="n">
        <f aca="false">INDEX(Datos_Origen!$B$2:$B$2459,$Z1490)</f>
        <v>45718</v>
      </c>
      <c r="AC1490" s="61" t="n">
        <f aca="false">INDEX(Datos_Origen!$H$2:$H$2459,$Z1490)</f>
        <v>28</v>
      </c>
      <c r="AD1490" s="61" t="str">
        <f aca="false">INDEX(Datos_Origen!$D$2:$D$2459,$Z1490)&amp;""</f>
        <v>Tucuman</v>
      </c>
    </row>
    <row r="1491" customFormat="false" ht="15" hidden="false" customHeight="false" outlineLevel="0" collapsed="false">
      <c r="A1491" s="61" t="n">
        <f aca="false">INDEX(Datos_Origen!$A$2:$A$2459,$Z1491)</f>
        <v>1490</v>
      </c>
      <c r="B1491" s="62" t="n">
        <f aca="false">IF(ISNUMBER($AB1491),$AB1491,IF(MID($AB1491,5,1)="-",DATE(VALUE(LEFT($AB1491,4)),VALUE(MID($AB1491,6,2)),VALUE(RIGHT($AB1491,2))),DATE(VALUE(RIGHT($AB1491,4)),VALUE(MID($AB1491,4,2)),VALUE(LEFT($AB1491,2)))))</f>
        <v>45725</v>
      </c>
      <c r="C1491" s="61" t="n">
        <f aca="false">YEAR($B1491)</f>
        <v>2025</v>
      </c>
      <c r="D1491" s="61" t="str">
        <f aca="false">"Q"&amp;ROUNDUP(MONTH($B1491)/3,0)</f>
        <v>Q1</v>
      </c>
      <c r="E1491" s="61" t="n">
        <f aca="false">MONTH($B1491)</f>
        <v>3</v>
      </c>
      <c r="F1491" s="61" t="str">
        <f aca="false">INDEX(Parametros!$I$5:$I$16,$E1491)</f>
        <v>Mar</v>
      </c>
      <c r="G1491" s="61" t="str">
        <f aca="false">TEXT($C1491,"0000")&amp;"-"&amp;TEXT($E1491,"00")</f>
        <v>2025-03</v>
      </c>
      <c r="H1491" s="61" t="str">
        <f aca="false">INDEX(Parametros!$C$71:$C$91,MATCH(TRIM(INDEX(Datos_Origen!$C$2:$C$2459,$Z1491)),Parametros!$B$71:$B$91,0))</f>
        <v>NOA</v>
      </c>
      <c r="I1491" s="61" t="str">
        <f aca="false">IF(TRIM($AD1491)="",INDEX(Parametros!$I$20:$I$24,MATCH($H1491,Parametros!$H$20:$H$24,0)),TRIM($AD1491))</f>
        <v>Tucuman</v>
      </c>
      <c r="J1491" s="61" t="str">
        <f aca="false">INDEX(Parametros!$C$95:$C$106,MATCH(TRIM(INDEX(Datos_Origen!$E$2:$E$2459,$Z1491)),Parametros!$B$95:$B$106,0))</f>
        <v>E-commerce</v>
      </c>
      <c r="K1491" s="61" t="str">
        <f aca="false">INDEX(Parametros!$C$48:$C$67,MATCH(TRIM(INDEX(Datos_Origen!$F$2:$F$2459,$Z1491)),Parametros!$B$48:$B$67,0))</f>
        <v>Accesorios</v>
      </c>
      <c r="L1491" s="61" t="str">
        <f aca="false">$K1491&amp;" "&amp;$C1491</f>
        <v>Accesorios 2025</v>
      </c>
      <c r="M1491" s="61" t="str">
        <f aca="false">TRIM(INDEX(Datos_Origen!$G$2:$G$2459,$Z1491))</f>
        <v>Teclado Mecanico</v>
      </c>
      <c r="N1491" s="61" t="str">
        <f aca="false">$M1491&amp;" "&amp;$C1491</f>
        <v>Teclado Mecanico 2025</v>
      </c>
      <c r="O1491" s="63" t="n">
        <f aca="false">IF(ISTEXT($AC1491),VALUE($AC1491),$AC1491)</f>
        <v>19</v>
      </c>
      <c r="P1491" s="64" t="n">
        <f aca="false">INDEX(Datos_Origen!$I$2:$I$2459,$Z1491)</f>
        <v>94.39</v>
      </c>
      <c r="Q1491" s="64" t="n">
        <f aca="false">INDEX(Datos_Origen!$J$2:$J$2459,$Z1491)</f>
        <v>49.41</v>
      </c>
      <c r="R1491" s="65" t="n">
        <f aca="false">ROUND($O1491*$P1491,2)</f>
        <v>1793.41</v>
      </c>
      <c r="S1491" s="65" t="n">
        <f aca="false">ROUND($O1491*$Q1491,2)</f>
        <v>938.79</v>
      </c>
      <c r="T1491" s="65" t="n">
        <f aca="false">ROUND($R1491*SUMIFS(Parametros!$E$28:$E$43,Parametros!$B$28:$B$43,$J1491,Parametros!$C$28:$C$43,$C1491,Parametros!$D$28:$D$43,$D1491),2)</f>
        <v>121.95</v>
      </c>
      <c r="U1491" s="65" t="n">
        <f aca="false">$R1491-$S1491-$T1491</f>
        <v>732.67</v>
      </c>
      <c r="V1491" s="66" t="n">
        <f aca="false">IFERROR($U1491/$R1491,0)</f>
        <v>0.408534579376718</v>
      </c>
      <c r="W1491" s="67" t="str">
        <f aca="false">IF(AND($V1491&gt;=Parametros!$C$8,$R1491&gt;=Parametros!$C$12),"Alta rentabilidad",IF(OR($V1491&lt;Parametros!$C$11,$R1491&lt;Parametros!$C$13),"Revisar","Estandar"))</f>
        <v>Estandar</v>
      </c>
      <c r="X1491" s="67" t="str">
        <f aca="false">IF(AND($J1491="E-commerce",IFERROR($T1491/$R1491,0)&gt;Parametros!$C$14),"Alerta","OK")</f>
        <v>Alerta</v>
      </c>
      <c r="Y1491" s="61" t="str">
        <f aca="false">IF($R1491&gt;=Parametros!$C$12,"Alto",IF($R1491&lt;Parametros!$C$13,"Bajo","Medio"))</f>
        <v>Medio</v>
      </c>
      <c r="Z1491" s="61" t="n">
        <v>2282</v>
      </c>
      <c r="AA1491" s="61" t="str">
        <f aca="false">IF(MATCH($A1491,Datos_Origen!$A$2:$A$2459,0)=$Z1491,"OK","REVISAR")</f>
        <v>OK</v>
      </c>
      <c r="AB1491" s="62" t="n">
        <f aca="false">INDEX(Datos_Origen!$B$2:$B$2459,$Z1491)</f>
        <v>45725</v>
      </c>
      <c r="AC1491" s="61" t="n">
        <f aca="false">INDEX(Datos_Origen!$H$2:$H$2459,$Z1491)</f>
        <v>19</v>
      </c>
      <c r="AD1491" s="61" t="str">
        <f aca="false">INDEX(Datos_Origen!$D$2:$D$2459,$Z1491)&amp;""</f>
        <v>Tucuman</v>
      </c>
    </row>
    <row r="1492" customFormat="false" ht="15" hidden="false" customHeight="false" outlineLevel="0" collapsed="false">
      <c r="A1492" s="61" t="n">
        <f aca="false">INDEX(Datos_Origen!$A$2:$A$2459,$Z1492)</f>
        <v>1491</v>
      </c>
      <c r="B1492" s="62" t="n">
        <f aca="false">IF(ISNUMBER($AB1492),$AB1492,IF(MID($AB1492,5,1)="-",DATE(VALUE(LEFT($AB1492,4)),VALUE(MID($AB1492,6,2)),VALUE(RIGHT($AB1492,2))),DATE(VALUE(RIGHT($AB1492,4)),VALUE(MID($AB1492,4,2)),VALUE(LEFT($AB1492,2)))))</f>
        <v>45732</v>
      </c>
      <c r="C1492" s="61" t="n">
        <f aca="false">YEAR($B1492)</f>
        <v>2025</v>
      </c>
      <c r="D1492" s="61" t="str">
        <f aca="false">"Q"&amp;ROUNDUP(MONTH($B1492)/3,0)</f>
        <v>Q1</v>
      </c>
      <c r="E1492" s="61" t="n">
        <f aca="false">MONTH($B1492)</f>
        <v>3</v>
      </c>
      <c r="F1492" s="61" t="str">
        <f aca="false">INDEX(Parametros!$I$5:$I$16,$E1492)</f>
        <v>Mar</v>
      </c>
      <c r="G1492" s="61" t="str">
        <f aca="false">TEXT($C1492,"0000")&amp;"-"&amp;TEXT($E1492,"00")</f>
        <v>2025-03</v>
      </c>
      <c r="H1492" s="61" t="str">
        <f aca="false">INDEX(Parametros!$C$71:$C$91,MATCH(TRIM(INDEX(Datos_Origen!$C$2:$C$2459,$Z1492)),Parametros!$B$71:$B$91,0))</f>
        <v>NOA</v>
      </c>
      <c r="I1492" s="61" t="str">
        <f aca="false">IF(TRIM($AD1492)="",INDEX(Parametros!$I$20:$I$24,MATCH($H1492,Parametros!$H$20:$H$24,0)),TRIM($AD1492))</f>
        <v>Tucuman</v>
      </c>
      <c r="J1492" s="61" t="str">
        <f aca="false">INDEX(Parametros!$C$95:$C$106,MATCH(TRIM(INDEX(Datos_Origen!$E$2:$E$2459,$Z1492)),Parametros!$B$95:$B$106,0))</f>
        <v>Tienda fisica</v>
      </c>
      <c r="K1492" s="61" t="str">
        <f aca="false">INDEX(Parametros!$C$48:$C$67,MATCH(TRIM(INDEX(Datos_Origen!$F$2:$F$2459,$Z1492)),Parametros!$B$48:$B$67,0))</f>
        <v>Accesorios</v>
      </c>
      <c r="L1492" s="61" t="str">
        <f aca="false">$K1492&amp;" "&amp;$C1492</f>
        <v>Accesorios 2025</v>
      </c>
      <c r="M1492" s="61" t="str">
        <f aca="false">TRIM(INDEX(Datos_Origen!$G$2:$G$2459,$Z1492))</f>
        <v>Webcam Full HD</v>
      </c>
      <c r="N1492" s="61" t="str">
        <f aca="false">$M1492&amp;" "&amp;$C1492</f>
        <v>Webcam Full HD 2025</v>
      </c>
      <c r="O1492" s="63" t="n">
        <f aca="false">IF(ISTEXT($AC1492),VALUE($AC1492),$AC1492)</f>
        <v>30</v>
      </c>
      <c r="P1492" s="64" t="n">
        <f aca="false">INDEX(Datos_Origen!$I$2:$I$2459,$Z1492)</f>
        <v>64.58</v>
      </c>
      <c r="Q1492" s="64" t="n">
        <f aca="false">INDEX(Datos_Origen!$J$2:$J$2459,$Z1492)</f>
        <v>36.49</v>
      </c>
      <c r="R1492" s="65" t="n">
        <f aca="false">ROUND($O1492*$P1492,2)</f>
        <v>1937.4</v>
      </c>
      <c r="S1492" s="65" t="n">
        <f aca="false">ROUND($O1492*$Q1492,2)</f>
        <v>1094.7</v>
      </c>
      <c r="T1492" s="65" t="n">
        <f aca="false">ROUND($R1492*SUMIFS(Parametros!$E$28:$E$43,Parametros!$B$28:$B$43,$J1492,Parametros!$C$28:$C$43,$C1492,Parametros!$D$28:$D$43,$D1492),2)</f>
        <v>25.19</v>
      </c>
      <c r="U1492" s="65" t="n">
        <f aca="false">$R1492-$S1492-$T1492</f>
        <v>817.51</v>
      </c>
      <c r="V1492" s="66" t="n">
        <f aca="false">IFERROR($U1492/$R1492,0)</f>
        <v>0.421962423867038</v>
      </c>
      <c r="W1492" s="67" t="str">
        <f aca="false">IF(AND($V1492&gt;=Parametros!$C$8,$R1492&gt;=Parametros!$C$12),"Alta rentabilidad",IF(OR($V1492&lt;Parametros!$C$11,$R1492&lt;Parametros!$C$13),"Revisar","Estandar"))</f>
        <v>Estandar</v>
      </c>
      <c r="X1492" s="67" t="str">
        <f aca="false">IF(AND($J1492="E-commerce",IFERROR($T1492/$R1492,0)&gt;Parametros!$C$14),"Alerta","OK")</f>
        <v>OK</v>
      </c>
      <c r="Y1492" s="61" t="str">
        <f aca="false">IF($R1492&gt;=Parametros!$C$12,"Alto",IF($R1492&lt;Parametros!$C$13,"Bajo","Medio"))</f>
        <v>Medio</v>
      </c>
      <c r="Z1492" s="61" t="n">
        <v>2051</v>
      </c>
      <c r="AA1492" s="61" t="str">
        <f aca="false">IF(MATCH($A1492,Datos_Origen!$A$2:$A$2459,0)=$Z1492,"OK","REVISAR")</f>
        <v>OK</v>
      </c>
      <c r="AB1492" s="61" t="str">
        <f aca="false">INDEX(Datos_Origen!$B$2:$B$2459,$Z1492)</f>
        <v>2025-03-16</v>
      </c>
      <c r="AC1492" s="61" t="n">
        <f aca="false">INDEX(Datos_Origen!$H$2:$H$2459,$Z1492)</f>
        <v>30</v>
      </c>
      <c r="AD1492" s="61" t="str">
        <f aca="false">INDEX(Datos_Origen!$D$2:$D$2459,$Z1492)&amp;""</f>
        <v>Tucuman</v>
      </c>
    </row>
    <row r="1493" customFormat="false" ht="15" hidden="false" customHeight="false" outlineLevel="0" collapsed="false">
      <c r="A1493" s="61" t="n">
        <f aca="false">INDEX(Datos_Origen!$A$2:$A$2459,$Z1493)</f>
        <v>1492</v>
      </c>
      <c r="B1493" s="62" t="n">
        <f aca="false">IF(ISNUMBER($AB1493),$AB1493,IF(MID($AB1493,5,1)="-",DATE(VALUE(LEFT($AB1493,4)),VALUE(MID($AB1493,6,2)),VALUE(RIGHT($AB1493,2))),DATE(VALUE(RIGHT($AB1493,4)),VALUE(MID($AB1493,4,2)),VALUE(LEFT($AB1493,2)))))</f>
        <v>45739</v>
      </c>
      <c r="C1493" s="61" t="n">
        <f aca="false">YEAR($B1493)</f>
        <v>2025</v>
      </c>
      <c r="D1493" s="61" t="str">
        <f aca="false">"Q"&amp;ROUNDUP(MONTH($B1493)/3,0)</f>
        <v>Q1</v>
      </c>
      <c r="E1493" s="61" t="n">
        <f aca="false">MONTH($B1493)</f>
        <v>3</v>
      </c>
      <c r="F1493" s="61" t="str">
        <f aca="false">INDEX(Parametros!$I$5:$I$16,$E1493)</f>
        <v>Mar</v>
      </c>
      <c r="G1493" s="61" t="str">
        <f aca="false">TEXT($C1493,"0000")&amp;"-"&amp;TEXT($E1493,"00")</f>
        <v>2025-03</v>
      </c>
      <c r="H1493" s="61" t="str">
        <f aca="false">INDEX(Parametros!$C$71:$C$91,MATCH(TRIM(INDEX(Datos_Origen!$C$2:$C$2459,$Z1493)),Parametros!$B$71:$B$91,0))</f>
        <v>NOA</v>
      </c>
      <c r="I1493" s="61" t="str">
        <f aca="false">IF(TRIM($AD1493)="",INDEX(Parametros!$I$20:$I$24,MATCH($H1493,Parametros!$H$20:$H$24,0)),TRIM($AD1493))</f>
        <v>Tucuman</v>
      </c>
      <c r="J1493" s="61" t="str">
        <f aca="false">INDEX(Parametros!$C$95:$C$106,MATCH(TRIM(INDEX(Datos_Origen!$E$2:$E$2459,$Z1493)),Parametros!$B$95:$B$106,0))</f>
        <v>E-commerce</v>
      </c>
      <c r="K1493" s="61" t="str">
        <f aca="false">INDEX(Parametros!$C$48:$C$67,MATCH(TRIM(INDEX(Datos_Origen!$F$2:$F$2459,$Z1493)),Parametros!$B$48:$B$67,0))</f>
        <v>Accesorios</v>
      </c>
      <c r="L1493" s="61" t="str">
        <f aca="false">$K1493&amp;" "&amp;$C1493</f>
        <v>Accesorios 2025</v>
      </c>
      <c r="M1493" s="61" t="str">
        <f aca="false">TRIM(INDEX(Datos_Origen!$G$2:$G$2459,$Z1493))</f>
        <v>Webcam Full HD</v>
      </c>
      <c r="N1493" s="61" t="str">
        <f aca="false">$M1493&amp;" "&amp;$C1493</f>
        <v>Webcam Full HD 2025</v>
      </c>
      <c r="O1493" s="63" t="n">
        <f aca="false">IF(ISTEXT($AC1493),VALUE($AC1493),$AC1493)</f>
        <v>21</v>
      </c>
      <c r="P1493" s="64" t="n">
        <f aca="false">INDEX(Datos_Origen!$I$2:$I$2459,$Z1493)</f>
        <v>64.58</v>
      </c>
      <c r="Q1493" s="64" t="n">
        <f aca="false">INDEX(Datos_Origen!$J$2:$J$2459,$Z1493)</f>
        <v>36.49</v>
      </c>
      <c r="R1493" s="65" t="n">
        <f aca="false">ROUND($O1493*$P1493,2)</f>
        <v>1356.18</v>
      </c>
      <c r="S1493" s="65" t="n">
        <f aca="false">ROUND($O1493*$Q1493,2)</f>
        <v>766.29</v>
      </c>
      <c r="T1493" s="65" t="n">
        <f aca="false">ROUND($R1493*SUMIFS(Parametros!$E$28:$E$43,Parametros!$B$28:$B$43,$J1493,Parametros!$C$28:$C$43,$C1493,Parametros!$D$28:$D$43,$D1493),2)</f>
        <v>92.22</v>
      </c>
      <c r="U1493" s="65" t="n">
        <f aca="false">$R1493-$S1493-$T1493</f>
        <v>497.67</v>
      </c>
      <c r="V1493" s="66" t="n">
        <f aca="false">IFERROR($U1493/$R1493,0)</f>
        <v>0.366964562226253</v>
      </c>
      <c r="W1493" s="67" t="str">
        <f aca="false">IF(AND($V1493&gt;=Parametros!$C$8,$R1493&gt;=Parametros!$C$12),"Alta rentabilidad",IF(OR($V1493&lt;Parametros!$C$11,$R1493&lt;Parametros!$C$13),"Revisar","Estandar"))</f>
        <v>Estandar</v>
      </c>
      <c r="X1493" s="67" t="str">
        <f aca="false">IF(AND($J1493="E-commerce",IFERROR($T1493/$R1493,0)&gt;Parametros!$C$14),"Alerta","OK")</f>
        <v>Alerta</v>
      </c>
      <c r="Y1493" s="61" t="str">
        <f aca="false">IF($R1493&gt;=Parametros!$C$12,"Alto",IF($R1493&lt;Parametros!$C$13,"Bajo","Medio"))</f>
        <v>Medio</v>
      </c>
      <c r="Z1493" s="61" t="n">
        <v>1716</v>
      </c>
      <c r="AA1493" s="61" t="str">
        <f aca="false">IF(MATCH($A1493,Datos_Origen!$A$2:$A$2459,0)=$Z1493,"OK","REVISAR")</f>
        <v>OK</v>
      </c>
      <c r="AB1493" s="62" t="n">
        <f aca="false">INDEX(Datos_Origen!$B$2:$B$2459,$Z1493)</f>
        <v>45739</v>
      </c>
      <c r="AC1493" s="61" t="n">
        <f aca="false">INDEX(Datos_Origen!$H$2:$H$2459,$Z1493)</f>
        <v>21</v>
      </c>
      <c r="AD1493" s="61" t="str">
        <f aca="false">INDEX(Datos_Origen!$D$2:$D$2459,$Z1493)&amp;""</f>
        <v>Tucuman</v>
      </c>
    </row>
    <row r="1494" customFormat="false" ht="15" hidden="false" customHeight="false" outlineLevel="0" collapsed="false">
      <c r="A1494" s="61" t="n">
        <f aca="false">INDEX(Datos_Origen!$A$2:$A$2459,$Z1494)</f>
        <v>1493</v>
      </c>
      <c r="B1494" s="62" t="n">
        <f aca="false">IF(ISNUMBER($AB1494),$AB1494,IF(MID($AB1494,5,1)="-",DATE(VALUE(LEFT($AB1494,4)),VALUE(MID($AB1494,6,2)),VALUE(RIGHT($AB1494,2))),DATE(VALUE(RIGHT($AB1494,4)),VALUE(MID($AB1494,4,2)),VALUE(LEFT($AB1494,2)))))</f>
        <v>45719</v>
      </c>
      <c r="C1494" s="61" t="n">
        <f aca="false">YEAR($B1494)</f>
        <v>2025</v>
      </c>
      <c r="D1494" s="61" t="str">
        <f aca="false">"Q"&amp;ROUNDUP(MONTH($B1494)/3,0)</f>
        <v>Q1</v>
      </c>
      <c r="E1494" s="61" t="n">
        <f aca="false">MONTH($B1494)</f>
        <v>3</v>
      </c>
      <c r="F1494" s="61" t="str">
        <f aca="false">INDEX(Parametros!$I$5:$I$16,$E1494)</f>
        <v>Mar</v>
      </c>
      <c r="G1494" s="61" t="str">
        <f aca="false">TEXT($C1494,"0000")&amp;"-"&amp;TEXT($E1494,"00")</f>
        <v>2025-03</v>
      </c>
      <c r="H1494" s="61" t="str">
        <f aca="false">INDEX(Parametros!$C$71:$C$91,MATCH(TRIM(INDEX(Datos_Origen!$C$2:$C$2459,$Z1494)),Parametros!$B$71:$B$91,0))</f>
        <v>NOA</v>
      </c>
      <c r="I1494" s="61" t="str">
        <f aca="false">IF(TRIM($AD1494)="",INDEX(Parametros!$I$20:$I$24,MATCH($H1494,Parametros!$H$20:$H$24,0)),TRIM($AD1494))</f>
        <v>Tucuman</v>
      </c>
      <c r="J1494" s="61" t="str">
        <f aca="false">INDEX(Parametros!$C$95:$C$106,MATCH(TRIM(INDEX(Datos_Origen!$E$2:$E$2459,$Z1494)),Parametros!$B$95:$B$106,0))</f>
        <v>Tienda fisica</v>
      </c>
      <c r="K1494" s="61" t="str">
        <f aca="false">INDEX(Parametros!$C$48:$C$67,MATCH(TRIM(INDEX(Datos_Origen!$F$2:$F$2459,$Z1494)),Parametros!$B$48:$B$67,0))</f>
        <v>Audio</v>
      </c>
      <c r="L1494" s="61" t="str">
        <f aca="false">$K1494&amp;" "&amp;$C1494</f>
        <v>Audio 2025</v>
      </c>
      <c r="M1494" s="61" t="str">
        <f aca="false">TRIM(INDEX(Datos_Origen!$G$2:$G$2459,$Z1494))</f>
        <v>Auriculares BT Pro</v>
      </c>
      <c r="N1494" s="61" t="str">
        <f aca="false">$M1494&amp;" "&amp;$C1494</f>
        <v>Auriculares BT Pro 2025</v>
      </c>
      <c r="O1494" s="63" t="n">
        <f aca="false">IF(ISTEXT($AC1494),VALUE($AC1494),$AC1494)</f>
        <v>12</v>
      </c>
      <c r="P1494" s="64" t="n">
        <f aca="false">INDEX(Datos_Origen!$I$2:$I$2459,$Z1494)</f>
        <v>119.23</v>
      </c>
      <c r="Q1494" s="64" t="n">
        <f aca="false">INDEX(Datos_Origen!$J$2:$J$2459,$Z1494)</f>
        <v>65.51</v>
      </c>
      <c r="R1494" s="65" t="n">
        <f aca="false">ROUND($O1494*$P1494,2)</f>
        <v>1430.76</v>
      </c>
      <c r="S1494" s="65" t="n">
        <f aca="false">ROUND($O1494*$Q1494,2)</f>
        <v>786.12</v>
      </c>
      <c r="T1494" s="65" t="n">
        <f aca="false">ROUND($R1494*SUMIFS(Parametros!$E$28:$E$43,Parametros!$B$28:$B$43,$J1494,Parametros!$C$28:$C$43,$C1494,Parametros!$D$28:$D$43,$D1494),2)</f>
        <v>18.6</v>
      </c>
      <c r="U1494" s="65" t="n">
        <f aca="false">$R1494-$S1494-$T1494</f>
        <v>626.04</v>
      </c>
      <c r="V1494" s="66" t="n">
        <f aca="false">IFERROR($U1494/$R1494,0)</f>
        <v>0.437557661662333</v>
      </c>
      <c r="W1494" s="67" t="str">
        <f aca="false">IF(AND($V1494&gt;=Parametros!$C$8,$R1494&gt;=Parametros!$C$12),"Alta rentabilidad",IF(OR($V1494&lt;Parametros!$C$11,$R1494&lt;Parametros!$C$13),"Revisar","Estandar"))</f>
        <v>Estandar</v>
      </c>
      <c r="X1494" s="67" t="str">
        <f aca="false">IF(AND($J1494="E-commerce",IFERROR($T1494/$R1494,0)&gt;Parametros!$C$14),"Alerta","OK")</f>
        <v>OK</v>
      </c>
      <c r="Y1494" s="61" t="str">
        <f aca="false">IF($R1494&gt;=Parametros!$C$12,"Alto",IF($R1494&lt;Parametros!$C$13,"Bajo","Medio"))</f>
        <v>Medio</v>
      </c>
      <c r="Z1494" s="61" t="n">
        <v>950</v>
      </c>
      <c r="AA1494" s="61" t="str">
        <f aca="false">IF(MATCH($A1494,Datos_Origen!$A$2:$A$2459,0)=$Z1494,"OK","REVISAR")</f>
        <v>OK</v>
      </c>
      <c r="AB1494" s="62" t="n">
        <f aca="false">INDEX(Datos_Origen!$B$2:$B$2459,$Z1494)</f>
        <v>45719</v>
      </c>
      <c r="AC1494" s="61" t="str">
        <f aca="false">INDEX(Datos_Origen!$H$2:$H$2459,$Z1494)</f>
        <v>12</v>
      </c>
      <c r="AD1494" s="61" t="str">
        <f aca="false">INDEX(Datos_Origen!$D$2:$D$2459,$Z1494)&amp;""</f>
        <v>Tucuman</v>
      </c>
    </row>
    <row r="1495" customFormat="false" ht="15" hidden="false" customHeight="false" outlineLevel="0" collapsed="false">
      <c r="A1495" s="61" t="n">
        <f aca="false">INDEX(Datos_Origen!$A$2:$A$2459,$Z1495)</f>
        <v>1494</v>
      </c>
      <c r="B1495" s="62" t="n">
        <f aca="false">IF(ISNUMBER($AB1495),$AB1495,IF(MID($AB1495,5,1)="-",DATE(VALUE(LEFT($AB1495,4)),VALUE(MID($AB1495,6,2)),VALUE(RIGHT($AB1495,2))),DATE(VALUE(RIGHT($AB1495,4)),VALUE(MID($AB1495,4,2)),VALUE(LEFT($AB1495,2)))))</f>
        <v>45726</v>
      </c>
      <c r="C1495" s="61" t="n">
        <f aca="false">YEAR($B1495)</f>
        <v>2025</v>
      </c>
      <c r="D1495" s="61" t="str">
        <f aca="false">"Q"&amp;ROUNDUP(MONTH($B1495)/3,0)</f>
        <v>Q1</v>
      </c>
      <c r="E1495" s="61" t="n">
        <f aca="false">MONTH($B1495)</f>
        <v>3</v>
      </c>
      <c r="F1495" s="61" t="str">
        <f aca="false">INDEX(Parametros!$I$5:$I$16,$E1495)</f>
        <v>Mar</v>
      </c>
      <c r="G1495" s="61" t="str">
        <f aca="false">TEXT($C1495,"0000")&amp;"-"&amp;TEXT($E1495,"00")</f>
        <v>2025-03</v>
      </c>
      <c r="H1495" s="61" t="str">
        <f aca="false">INDEX(Parametros!$C$71:$C$91,MATCH(TRIM(INDEX(Datos_Origen!$C$2:$C$2459,$Z1495)),Parametros!$B$71:$B$91,0))</f>
        <v>NOA</v>
      </c>
      <c r="I1495" s="61" t="str">
        <f aca="false">IF(TRIM($AD1495)="",INDEX(Parametros!$I$20:$I$24,MATCH($H1495,Parametros!$H$20:$H$24,0)),TRIM($AD1495))</f>
        <v>Tucuman</v>
      </c>
      <c r="J1495" s="61" t="str">
        <f aca="false">INDEX(Parametros!$C$95:$C$106,MATCH(TRIM(INDEX(Datos_Origen!$E$2:$E$2459,$Z1495)),Parametros!$B$95:$B$106,0))</f>
        <v>E-commerce</v>
      </c>
      <c r="K1495" s="61" t="str">
        <f aca="false">INDEX(Parametros!$C$48:$C$67,MATCH(TRIM(INDEX(Datos_Origen!$F$2:$F$2459,$Z1495)),Parametros!$B$48:$B$67,0))</f>
        <v>Audio</v>
      </c>
      <c r="L1495" s="61" t="str">
        <f aca="false">$K1495&amp;" "&amp;$C1495</f>
        <v>Audio 2025</v>
      </c>
      <c r="M1495" s="61" t="str">
        <f aca="false">TRIM(INDEX(Datos_Origen!$G$2:$G$2459,$Z1495))</f>
        <v>Auriculares BT Pro</v>
      </c>
      <c r="N1495" s="61" t="str">
        <f aca="false">$M1495&amp;" "&amp;$C1495</f>
        <v>Auriculares BT Pro 2025</v>
      </c>
      <c r="O1495" s="63" t="n">
        <f aca="false">IF(ISTEXT($AC1495),VALUE($AC1495),$AC1495)</f>
        <v>9</v>
      </c>
      <c r="P1495" s="64" t="n">
        <f aca="false">INDEX(Datos_Origen!$I$2:$I$2459,$Z1495)</f>
        <v>119.23</v>
      </c>
      <c r="Q1495" s="64" t="n">
        <f aca="false">INDEX(Datos_Origen!$J$2:$J$2459,$Z1495)</f>
        <v>65.51</v>
      </c>
      <c r="R1495" s="65" t="n">
        <f aca="false">ROUND($O1495*$P1495,2)</f>
        <v>1073.07</v>
      </c>
      <c r="S1495" s="65" t="n">
        <f aca="false">ROUND($O1495*$Q1495,2)</f>
        <v>589.59</v>
      </c>
      <c r="T1495" s="65" t="n">
        <f aca="false">ROUND($R1495*SUMIFS(Parametros!$E$28:$E$43,Parametros!$B$28:$B$43,$J1495,Parametros!$C$28:$C$43,$C1495,Parametros!$D$28:$D$43,$D1495),2)</f>
        <v>72.97</v>
      </c>
      <c r="U1495" s="65" t="n">
        <f aca="false">$R1495-$S1495-$T1495</f>
        <v>410.51</v>
      </c>
      <c r="V1495" s="66" t="n">
        <f aca="false">IFERROR($U1495/$R1495,0)</f>
        <v>0.382556589970831</v>
      </c>
      <c r="W1495" s="67" t="str">
        <f aca="false">IF(AND($V1495&gt;=Parametros!$C$8,$R1495&gt;=Parametros!$C$12),"Alta rentabilidad",IF(OR($V1495&lt;Parametros!$C$11,$R1495&lt;Parametros!$C$13),"Revisar","Estandar"))</f>
        <v>Estandar</v>
      </c>
      <c r="X1495" s="67" t="str">
        <f aca="false">IF(AND($J1495="E-commerce",IFERROR($T1495/$R1495,0)&gt;Parametros!$C$14),"Alerta","OK")</f>
        <v>Alerta</v>
      </c>
      <c r="Y1495" s="61" t="str">
        <f aca="false">IF($R1495&gt;=Parametros!$C$12,"Alto",IF($R1495&lt;Parametros!$C$13,"Bajo","Medio"))</f>
        <v>Medio</v>
      </c>
      <c r="Z1495" s="61" t="n">
        <v>1977</v>
      </c>
      <c r="AA1495" s="61" t="str">
        <f aca="false">IF(MATCH($A1495,Datos_Origen!$A$2:$A$2459,0)=$Z1495,"OK","REVISAR")</f>
        <v>OK</v>
      </c>
      <c r="AB1495" s="62" t="n">
        <f aca="false">INDEX(Datos_Origen!$B$2:$B$2459,$Z1495)</f>
        <v>45726</v>
      </c>
      <c r="AC1495" s="61" t="n">
        <f aca="false">INDEX(Datos_Origen!$H$2:$H$2459,$Z1495)</f>
        <v>9</v>
      </c>
      <c r="AD1495" s="61" t="str">
        <f aca="false">INDEX(Datos_Origen!$D$2:$D$2459,$Z1495)&amp;""</f>
        <v>Tucuman</v>
      </c>
    </row>
    <row r="1496" customFormat="false" ht="15" hidden="false" customHeight="false" outlineLevel="0" collapsed="false">
      <c r="A1496" s="61" t="n">
        <f aca="false">INDEX(Datos_Origen!$A$2:$A$2459,$Z1496)</f>
        <v>1495</v>
      </c>
      <c r="B1496" s="62" t="n">
        <f aca="false">IF(ISNUMBER($AB1496),$AB1496,IF(MID($AB1496,5,1)="-",DATE(VALUE(LEFT($AB1496,4)),VALUE(MID($AB1496,6,2)),VALUE(RIGHT($AB1496,2))),DATE(VALUE(RIGHT($AB1496,4)),VALUE(MID($AB1496,4,2)),VALUE(LEFT($AB1496,2)))))</f>
        <v>45733</v>
      </c>
      <c r="C1496" s="61" t="n">
        <f aca="false">YEAR($B1496)</f>
        <v>2025</v>
      </c>
      <c r="D1496" s="61" t="str">
        <f aca="false">"Q"&amp;ROUNDUP(MONTH($B1496)/3,0)</f>
        <v>Q1</v>
      </c>
      <c r="E1496" s="61" t="n">
        <f aca="false">MONTH($B1496)</f>
        <v>3</v>
      </c>
      <c r="F1496" s="61" t="str">
        <f aca="false">INDEX(Parametros!$I$5:$I$16,$E1496)</f>
        <v>Mar</v>
      </c>
      <c r="G1496" s="61" t="str">
        <f aca="false">TEXT($C1496,"0000")&amp;"-"&amp;TEXT($E1496,"00")</f>
        <v>2025-03</v>
      </c>
      <c r="H1496" s="61" t="str">
        <f aca="false">INDEX(Parametros!$C$71:$C$91,MATCH(TRIM(INDEX(Datos_Origen!$C$2:$C$2459,$Z1496)),Parametros!$B$71:$B$91,0))</f>
        <v>NOA</v>
      </c>
      <c r="I1496" s="61" t="str">
        <f aca="false">IF(TRIM($AD1496)="",INDEX(Parametros!$I$20:$I$24,MATCH($H1496,Parametros!$H$20:$H$24,0)),TRIM($AD1496))</f>
        <v>Tucuman</v>
      </c>
      <c r="J1496" s="61" t="str">
        <f aca="false">INDEX(Parametros!$C$95:$C$106,MATCH(TRIM(INDEX(Datos_Origen!$E$2:$E$2459,$Z1496)),Parametros!$B$95:$B$106,0))</f>
        <v>Tienda fisica</v>
      </c>
      <c r="K1496" s="61" t="str">
        <f aca="false">INDEX(Parametros!$C$48:$C$67,MATCH(TRIM(INDEX(Datos_Origen!$F$2:$F$2459,$Z1496)),Parametros!$B$48:$B$67,0))</f>
        <v>Audio</v>
      </c>
      <c r="L1496" s="61" t="str">
        <f aca="false">$K1496&amp;" "&amp;$C1496</f>
        <v>Audio 2025</v>
      </c>
      <c r="M1496" s="61" t="str">
        <f aca="false">TRIM(INDEX(Datos_Origen!$G$2:$G$2459,$Z1496))</f>
        <v>Parlante Bluetooth</v>
      </c>
      <c r="N1496" s="61" t="str">
        <f aca="false">$M1496&amp;" "&amp;$C1496</f>
        <v>Parlante Bluetooth 2025</v>
      </c>
      <c r="O1496" s="63" t="n">
        <f aca="false">IF(ISTEXT($AC1496),VALUE($AC1496),$AC1496)</f>
        <v>13</v>
      </c>
      <c r="P1496" s="64" t="n">
        <f aca="false">INDEX(Datos_Origen!$I$2:$I$2459,$Z1496)</f>
        <v>84.46</v>
      </c>
      <c r="Q1496" s="64" t="n">
        <f aca="false">INDEX(Datos_Origen!$J$2:$J$2459,$Z1496)</f>
        <v>49.47</v>
      </c>
      <c r="R1496" s="65" t="n">
        <f aca="false">ROUND($O1496*$P1496,2)</f>
        <v>1097.98</v>
      </c>
      <c r="S1496" s="65" t="n">
        <f aca="false">ROUND($O1496*$Q1496,2)</f>
        <v>643.11</v>
      </c>
      <c r="T1496" s="65" t="n">
        <f aca="false">ROUND($R1496*SUMIFS(Parametros!$E$28:$E$43,Parametros!$B$28:$B$43,$J1496,Parametros!$C$28:$C$43,$C1496,Parametros!$D$28:$D$43,$D1496),2)</f>
        <v>14.27</v>
      </c>
      <c r="U1496" s="65" t="n">
        <f aca="false">$R1496-$S1496-$T1496</f>
        <v>440.6</v>
      </c>
      <c r="V1496" s="66" t="n">
        <f aca="false">IFERROR($U1496/$R1496,0)</f>
        <v>0.401282354869852</v>
      </c>
      <c r="W1496" s="67" t="str">
        <f aca="false">IF(AND($V1496&gt;=Parametros!$C$8,$R1496&gt;=Parametros!$C$12),"Alta rentabilidad",IF(OR($V1496&lt;Parametros!$C$11,$R1496&lt;Parametros!$C$13),"Revisar","Estandar"))</f>
        <v>Estandar</v>
      </c>
      <c r="X1496" s="67" t="str">
        <f aca="false">IF(AND($J1496="E-commerce",IFERROR($T1496/$R1496,0)&gt;Parametros!$C$14),"Alerta","OK")</f>
        <v>OK</v>
      </c>
      <c r="Y1496" s="61" t="str">
        <f aca="false">IF($R1496&gt;=Parametros!$C$12,"Alto",IF($R1496&lt;Parametros!$C$13,"Bajo","Medio"))</f>
        <v>Medio</v>
      </c>
      <c r="Z1496" s="61" t="n">
        <v>59</v>
      </c>
      <c r="AA1496" s="61" t="str">
        <f aca="false">IF(MATCH($A1496,Datos_Origen!$A$2:$A$2459,0)=$Z1496,"OK","REVISAR")</f>
        <v>OK</v>
      </c>
      <c r="AB1496" s="62" t="n">
        <f aca="false">INDEX(Datos_Origen!$B$2:$B$2459,$Z1496)</f>
        <v>45733</v>
      </c>
      <c r="AC1496" s="61" t="n">
        <f aca="false">INDEX(Datos_Origen!$H$2:$H$2459,$Z1496)</f>
        <v>13</v>
      </c>
      <c r="AD1496" s="61" t="str">
        <f aca="false">INDEX(Datos_Origen!$D$2:$D$2459,$Z1496)&amp;""</f>
        <v>Tucuman</v>
      </c>
    </row>
    <row r="1497" customFormat="false" ht="15" hidden="false" customHeight="false" outlineLevel="0" collapsed="false">
      <c r="A1497" s="61" t="n">
        <f aca="false">INDEX(Datos_Origen!$A$2:$A$2459,$Z1497)</f>
        <v>1496</v>
      </c>
      <c r="B1497" s="62" t="n">
        <f aca="false">IF(ISNUMBER($AB1497),$AB1497,IF(MID($AB1497,5,1)="-",DATE(VALUE(LEFT($AB1497,4)),VALUE(MID($AB1497,6,2)),VALUE(RIGHT($AB1497,2))),DATE(VALUE(RIGHT($AB1497,4)),VALUE(MID($AB1497,4,2)),VALUE(LEFT($AB1497,2)))))</f>
        <v>45740</v>
      </c>
      <c r="C1497" s="61" t="n">
        <f aca="false">YEAR($B1497)</f>
        <v>2025</v>
      </c>
      <c r="D1497" s="61" t="str">
        <f aca="false">"Q"&amp;ROUNDUP(MONTH($B1497)/3,0)</f>
        <v>Q1</v>
      </c>
      <c r="E1497" s="61" t="n">
        <f aca="false">MONTH($B1497)</f>
        <v>3</v>
      </c>
      <c r="F1497" s="61" t="str">
        <f aca="false">INDEX(Parametros!$I$5:$I$16,$E1497)</f>
        <v>Mar</v>
      </c>
      <c r="G1497" s="61" t="str">
        <f aca="false">TEXT($C1497,"0000")&amp;"-"&amp;TEXT($E1497,"00")</f>
        <v>2025-03</v>
      </c>
      <c r="H1497" s="61" t="str">
        <f aca="false">INDEX(Parametros!$C$71:$C$91,MATCH(TRIM(INDEX(Datos_Origen!$C$2:$C$2459,$Z1497)),Parametros!$B$71:$B$91,0))</f>
        <v>NOA</v>
      </c>
      <c r="I1497" s="61" t="str">
        <f aca="false">IF(TRIM($AD1497)="",INDEX(Parametros!$I$20:$I$24,MATCH($H1497,Parametros!$H$20:$H$24,0)),TRIM($AD1497))</f>
        <v>Tucuman</v>
      </c>
      <c r="J1497" s="61" t="str">
        <f aca="false">INDEX(Parametros!$C$95:$C$106,MATCH(TRIM(INDEX(Datos_Origen!$E$2:$E$2459,$Z1497)),Parametros!$B$95:$B$106,0))</f>
        <v>E-commerce</v>
      </c>
      <c r="K1497" s="61" t="str">
        <f aca="false">INDEX(Parametros!$C$48:$C$67,MATCH(TRIM(INDEX(Datos_Origen!$F$2:$F$2459,$Z1497)),Parametros!$B$48:$B$67,0))</f>
        <v>Audio</v>
      </c>
      <c r="L1497" s="61" t="str">
        <f aca="false">$K1497&amp;" "&amp;$C1497</f>
        <v>Audio 2025</v>
      </c>
      <c r="M1497" s="61" t="str">
        <f aca="false">TRIM(INDEX(Datos_Origen!$G$2:$G$2459,$Z1497))</f>
        <v>Parlante Bluetooth</v>
      </c>
      <c r="N1497" s="61" t="str">
        <f aca="false">$M1497&amp;" "&amp;$C1497</f>
        <v>Parlante Bluetooth 2025</v>
      </c>
      <c r="O1497" s="63" t="n">
        <f aca="false">IF(ISTEXT($AC1497),VALUE($AC1497),$AC1497)</f>
        <v>8</v>
      </c>
      <c r="P1497" s="64" t="n">
        <f aca="false">INDEX(Datos_Origen!$I$2:$I$2459,$Z1497)</f>
        <v>84.46</v>
      </c>
      <c r="Q1497" s="64" t="n">
        <f aca="false">INDEX(Datos_Origen!$J$2:$J$2459,$Z1497)</f>
        <v>49.47</v>
      </c>
      <c r="R1497" s="65" t="n">
        <f aca="false">ROUND($O1497*$P1497,2)</f>
        <v>675.68</v>
      </c>
      <c r="S1497" s="65" t="n">
        <f aca="false">ROUND($O1497*$Q1497,2)</f>
        <v>395.76</v>
      </c>
      <c r="T1497" s="65" t="n">
        <f aca="false">ROUND($R1497*SUMIFS(Parametros!$E$28:$E$43,Parametros!$B$28:$B$43,$J1497,Parametros!$C$28:$C$43,$C1497,Parametros!$D$28:$D$43,$D1497),2)</f>
        <v>45.95</v>
      </c>
      <c r="U1497" s="65" t="n">
        <f aca="false">$R1497-$S1497-$T1497</f>
        <v>233.97</v>
      </c>
      <c r="V1497" s="66" t="n">
        <f aca="false">IFERROR($U1497/$R1497,0)</f>
        <v>0.346273383850343</v>
      </c>
      <c r="W1497" s="67" t="str">
        <f aca="false">IF(AND($V1497&gt;=Parametros!$C$8,$R1497&gt;=Parametros!$C$12),"Alta rentabilidad",IF(OR($V1497&lt;Parametros!$C$11,$R1497&lt;Parametros!$C$13),"Revisar","Estandar"))</f>
        <v>Estandar</v>
      </c>
      <c r="X1497" s="67" t="str">
        <f aca="false">IF(AND($J1497="E-commerce",IFERROR($T1497/$R1497,0)&gt;Parametros!$C$14),"Alerta","OK")</f>
        <v>Alerta</v>
      </c>
      <c r="Y1497" s="61" t="str">
        <f aca="false">IF($R1497&gt;=Parametros!$C$12,"Alto",IF($R1497&lt;Parametros!$C$13,"Bajo","Medio"))</f>
        <v>Medio</v>
      </c>
      <c r="Z1497" s="61" t="n">
        <v>1263</v>
      </c>
      <c r="AA1497" s="61" t="str">
        <f aca="false">IF(MATCH($A1497,Datos_Origen!$A$2:$A$2459,0)=$Z1497,"OK","REVISAR")</f>
        <v>OK</v>
      </c>
      <c r="AB1497" s="61" t="str">
        <f aca="false">INDEX(Datos_Origen!$B$2:$B$2459,$Z1497)</f>
        <v>24/03/2025</v>
      </c>
      <c r="AC1497" s="61" t="n">
        <f aca="false">INDEX(Datos_Origen!$H$2:$H$2459,$Z1497)</f>
        <v>8</v>
      </c>
      <c r="AD1497" s="61" t="str">
        <f aca="false">INDEX(Datos_Origen!$D$2:$D$2459,$Z1497)&amp;""</f>
        <v>Tucuman</v>
      </c>
    </row>
    <row r="1498" customFormat="false" ht="15" hidden="false" customHeight="false" outlineLevel="0" collapsed="false">
      <c r="A1498" s="61" t="n">
        <f aca="false">INDEX(Datos_Origen!$A$2:$A$2459,$Z1498)</f>
        <v>1497</v>
      </c>
      <c r="B1498" s="62" t="n">
        <f aca="false">IF(ISNUMBER($AB1498),$AB1498,IF(MID($AB1498,5,1)="-",DATE(VALUE(LEFT($AB1498,4)),VALUE(MID($AB1498,6,2)),VALUE(RIGHT($AB1498,2))),DATE(VALUE(RIGHT($AB1498,4)),VALUE(MID($AB1498,4,2)),VALUE(LEFT($AB1498,2)))))</f>
        <v>45720</v>
      </c>
      <c r="C1498" s="61" t="n">
        <f aca="false">YEAR($B1498)</f>
        <v>2025</v>
      </c>
      <c r="D1498" s="61" t="str">
        <f aca="false">"Q"&amp;ROUNDUP(MONTH($B1498)/3,0)</f>
        <v>Q1</v>
      </c>
      <c r="E1498" s="61" t="n">
        <f aca="false">MONTH($B1498)</f>
        <v>3</v>
      </c>
      <c r="F1498" s="61" t="str">
        <f aca="false">INDEX(Parametros!$I$5:$I$16,$E1498)</f>
        <v>Mar</v>
      </c>
      <c r="G1498" s="61" t="str">
        <f aca="false">TEXT($C1498,"0000")&amp;"-"&amp;TEXT($E1498,"00")</f>
        <v>2025-03</v>
      </c>
      <c r="H1498" s="61" t="str">
        <f aca="false">INDEX(Parametros!$C$71:$C$91,MATCH(TRIM(INDEX(Datos_Origen!$C$2:$C$2459,$Z1498)),Parametros!$B$71:$B$91,0))</f>
        <v>NOA</v>
      </c>
      <c r="I1498" s="61" t="str">
        <f aca="false">IF(TRIM($AD1498)="",INDEX(Parametros!$I$20:$I$24,MATCH($H1498,Parametros!$H$20:$H$24,0)),TRIM($AD1498))</f>
        <v>Tucuman</v>
      </c>
      <c r="J1498" s="61" t="str">
        <f aca="false">INDEX(Parametros!$C$95:$C$106,MATCH(TRIM(INDEX(Datos_Origen!$E$2:$E$2459,$Z1498)),Parametros!$B$95:$B$106,0))</f>
        <v>Tienda fisica</v>
      </c>
      <c r="K1498" s="61" t="str">
        <f aca="false">INDEX(Parametros!$C$48:$C$67,MATCH(TRIM(INDEX(Datos_Origen!$F$2:$F$2459,$Z1498)),Parametros!$B$48:$B$67,0))</f>
        <v>Almacenamiento</v>
      </c>
      <c r="L1498" s="61" t="str">
        <f aca="false">$K1498&amp;" "&amp;$C1498</f>
        <v>Almacenamiento 2025</v>
      </c>
      <c r="M1498" s="61" t="str">
        <f aca="false">TRIM(INDEX(Datos_Origen!$G$2:$G$2459,$Z1498))</f>
        <v>SSD Externo 1TB</v>
      </c>
      <c r="N1498" s="61" t="str">
        <f aca="false">$M1498&amp;" "&amp;$C1498</f>
        <v>SSD Externo 1TB 2025</v>
      </c>
      <c r="O1498" s="63" t="n">
        <f aca="false">IF(ISTEXT($AC1498),VALUE($AC1498),$AC1498)</f>
        <v>18</v>
      </c>
      <c r="P1498" s="64" t="n">
        <f aca="false">INDEX(Datos_Origen!$I$2:$I$2459,$Z1498)</f>
        <v>129.17</v>
      </c>
      <c r="Q1498" s="64" t="n">
        <f aca="false">INDEX(Datos_Origen!$J$2:$J$2459,$Z1498)</f>
        <v>78.33</v>
      </c>
      <c r="R1498" s="65" t="n">
        <f aca="false">ROUND($O1498*$P1498,2)</f>
        <v>2325.06</v>
      </c>
      <c r="S1498" s="65" t="n">
        <f aca="false">ROUND($O1498*$Q1498,2)</f>
        <v>1409.94</v>
      </c>
      <c r="T1498" s="65" t="n">
        <f aca="false">ROUND($R1498*SUMIFS(Parametros!$E$28:$E$43,Parametros!$B$28:$B$43,$J1498,Parametros!$C$28:$C$43,$C1498,Parametros!$D$28:$D$43,$D1498),2)</f>
        <v>30.23</v>
      </c>
      <c r="U1498" s="65" t="n">
        <f aca="false">$R1498-$S1498-$T1498</f>
        <v>884.89</v>
      </c>
      <c r="V1498" s="66" t="n">
        <f aca="false">IFERROR($U1498/$R1498,0)</f>
        <v>0.380588027835841</v>
      </c>
      <c r="W1498" s="67" t="str">
        <f aca="false">IF(AND($V1498&gt;=Parametros!$C$8,$R1498&gt;=Parametros!$C$12),"Alta rentabilidad",IF(OR($V1498&lt;Parametros!$C$11,$R1498&lt;Parametros!$C$13),"Revisar","Estandar"))</f>
        <v>Estandar</v>
      </c>
      <c r="X1498" s="67" t="str">
        <f aca="false">IF(AND($J1498="E-commerce",IFERROR($T1498/$R1498,0)&gt;Parametros!$C$14),"Alerta","OK")</f>
        <v>OK</v>
      </c>
      <c r="Y1498" s="61" t="str">
        <f aca="false">IF($R1498&gt;=Parametros!$C$12,"Alto",IF($R1498&lt;Parametros!$C$13,"Bajo","Medio"))</f>
        <v>Medio</v>
      </c>
      <c r="Z1498" s="61" t="n">
        <v>1093</v>
      </c>
      <c r="AA1498" s="61" t="str">
        <f aca="false">IF(MATCH($A1498,Datos_Origen!$A$2:$A$2459,0)=$Z1498,"OK","REVISAR")</f>
        <v>OK</v>
      </c>
      <c r="AB1498" s="62" t="n">
        <f aca="false">INDEX(Datos_Origen!$B$2:$B$2459,$Z1498)</f>
        <v>45720</v>
      </c>
      <c r="AC1498" s="61" t="n">
        <f aca="false">INDEX(Datos_Origen!$H$2:$H$2459,$Z1498)</f>
        <v>18</v>
      </c>
      <c r="AD1498" s="61" t="str">
        <f aca="false">INDEX(Datos_Origen!$D$2:$D$2459,$Z1498)&amp;""</f>
        <v>Tucuman</v>
      </c>
    </row>
    <row r="1499" customFormat="false" ht="15" hidden="false" customHeight="false" outlineLevel="0" collapsed="false">
      <c r="A1499" s="61" t="n">
        <f aca="false">INDEX(Datos_Origen!$A$2:$A$2459,$Z1499)</f>
        <v>1498</v>
      </c>
      <c r="B1499" s="62" t="n">
        <f aca="false">IF(ISNUMBER($AB1499),$AB1499,IF(MID($AB1499,5,1)="-",DATE(VALUE(LEFT($AB1499,4)),VALUE(MID($AB1499,6,2)),VALUE(RIGHT($AB1499,2))),DATE(VALUE(RIGHT($AB1499,4)),VALUE(MID($AB1499,4,2)),VALUE(LEFT($AB1499,2)))))</f>
        <v>45727</v>
      </c>
      <c r="C1499" s="61" t="n">
        <f aca="false">YEAR($B1499)</f>
        <v>2025</v>
      </c>
      <c r="D1499" s="61" t="str">
        <f aca="false">"Q"&amp;ROUNDUP(MONTH($B1499)/3,0)</f>
        <v>Q1</v>
      </c>
      <c r="E1499" s="61" t="n">
        <f aca="false">MONTH($B1499)</f>
        <v>3</v>
      </c>
      <c r="F1499" s="61" t="str">
        <f aca="false">INDEX(Parametros!$I$5:$I$16,$E1499)</f>
        <v>Mar</v>
      </c>
      <c r="G1499" s="61" t="str">
        <f aca="false">TEXT($C1499,"0000")&amp;"-"&amp;TEXT($E1499,"00")</f>
        <v>2025-03</v>
      </c>
      <c r="H1499" s="61" t="str">
        <f aca="false">INDEX(Parametros!$C$71:$C$91,MATCH(TRIM(INDEX(Datos_Origen!$C$2:$C$2459,$Z1499)),Parametros!$B$71:$B$91,0))</f>
        <v>NOA</v>
      </c>
      <c r="I1499" s="61" t="str">
        <f aca="false">IF(TRIM($AD1499)="",INDEX(Parametros!$I$20:$I$24,MATCH($H1499,Parametros!$H$20:$H$24,0)),TRIM($AD1499))</f>
        <v>Tucuman</v>
      </c>
      <c r="J1499" s="61" t="str">
        <f aca="false">INDEX(Parametros!$C$95:$C$106,MATCH(TRIM(INDEX(Datos_Origen!$E$2:$E$2459,$Z1499)),Parametros!$B$95:$B$106,0))</f>
        <v>E-commerce</v>
      </c>
      <c r="K1499" s="61" t="str">
        <f aca="false">INDEX(Parametros!$C$48:$C$67,MATCH(TRIM(INDEX(Datos_Origen!$F$2:$F$2459,$Z1499)),Parametros!$B$48:$B$67,0))</f>
        <v>Almacenamiento</v>
      </c>
      <c r="L1499" s="61" t="str">
        <f aca="false">$K1499&amp;" "&amp;$C1499</f>
        <v>Almacenamiento 2025</v>
      </c>
      <c r="M1499" s="61" t="str">
        <f aca="false">TRIM(INDEX(Datos_Origen!$G$2:$G$2459,$Z1499))</f>
        <v>SSD Externo 1TB</v>
      </c>
      <c r="N1499" s="61" t="str">
        <f aca="false">$M1499&amp;" "&amp;$C1499</f>
        <v>SSD Externo 1TB 2025</v>
      </c>
      <c r="O1499" s="63" t="n">
        <f aca="false">IF(ISTEXT($AC1499),VALUE($AC1499),$AC1499)</f>
        <v>11</v>
      </c>
      <c r="P1499" s="64" t="n">
        <f aca="false">INDEX(Datos_Origen!$I$2:$I$2459,$Z1499)</f>
        <v>129.17</v>
      </c>
      <c r="Q1499" s="64" t="n">
        <f aca="false">INDEX(Datos_Origen!$J$2:$J$2459,$Z1499)</f>
        <v>78.33</v>
      </c>
      <c r="R1499" s="65" t="n">
        <f aca="false">ROUND($O1499*$P1499,2)</f>
        <v>1420.87</v>
      </c>
      <c r="S1499" s="65" t="n">
        <f aca="false">ROUND($O1499*$Q1499,2)</f>
        <v>861.63</v>
      </c>
      <c r="T1499" s="65" t="n">
        <f aca="false">ROUND($R1499*SUMIFS(Parametros!$E$28:$E$43,Parametros!$B$28:$B$43,$J1499,Parametros!$C$28:$C$43,$C1499,Parametros!$D$28:$D$43,$D1499),2)</f>
        <v>96.62</v>
      </c>
      <c r="U1499" s="65" t="n">
        <f aca="false">$R1499-$S1499-$T1499</f>
        <v>462.62</v>
      </c>
      <c r="V1499" s="66" t="n">
        <f aca="false">IFERROR($U1499/$R1499,0)</f>
        <v>0.325589251655676</v>
      </c>
      <c r="W1499" s="67" t="str">
        <f aca="false">IF(AND($V1499&gt;=Parametros!$C$8,$R1499&gt;=Parametros!$C$12),"Alta rentabilidad",IF(OR($V1499&lt;Parametros!$C$11,$R1499&lt;Parametros!$C$13),"Revisar","Estandar"))</f>
        <v>Estandar</v>
      </c>
      <c r="X1499" s="67" t="str">
        <f aca="false">IF(AND($J1499="E-commerce",IFERROR($T1499/$R1499,0)&gt;Parametros!$C$14),"Alerta","OK")</f>
        <v>Alerta</v>
      </c>
      <c r="Y1499" s="61" t="str">
        <f aca="false">IF($R1499&gt;=Parametros!$C$12,"Alto",IF($R1499&lt;Parametros!$C$13,"Bajo","Medio"))</f>
        <v>Medio</v>
      </c>
      <c r="Z1499" s="61" t="n">
        <v>1213</v>
      </c>
      <c r="AA1499" s="61" t="str">
        <f aca="false">IF(MATCH($A1499,Datos_Origen!$A$2:$A$2459,0)=$Z1499,"OK","REVISAR")</f>
        <v>OK</v>
      </c>
      <c r="AB1499" s="62" t="n">
        <f aca="false">INDEX(Datos_Origen!$B$2:$B$2459,$Z1499)</f>
        <v>45727</v>
      </c>
      <c r="AC1499" s="61" t="n">
        <f aca="false">INDEX(Datos_Origen!$H$2:$H$2459,$Z1499)</f>
        <v>11</v>
      </c>
      <c r="AD1499" s="61" t="str">
        <f aca="false">INDEX(Datos_Origen!$D$2:$D$2459,$Z1499)&amp;""</f>
        <v>Tucuman</v>
      </c>
    </row>
    <row r="1500" customFormat="false" ht="15" hidden="false" customHeight="false" outlineLevel="0" collapsed="false">
      <c r="A1500" s="61" t="n">
        <f aca="false">INDEX(Datos_Origen!$A$2:$A$2459,$Z1500)</f>
        <v>1499</v>
      </c>
      <c r="B1500" s="62" t="n">
        <f aca="false">IF(ISNUMBER($AB1500),$AB1500,IF(MID($AB1500,5,1)="-",DATE(VALUE(LEFT($AB1500,4)),VALUE(MID($AB1500,6,2)),VALUE(RIGHT($AB1500,2))),DATE(VALUE(RIGHT($AB1500,4)),VALUE(MID($AB1500,4,2)),VALUE(LEFT($AB1500,2)))))</f>
        <v>45734</v>
      </c>
      <c r="C1500" s="61" t="n">
        <f aca="false">YEAR($B1500)</f>
        <v>2025</v>
      </c>
      <c r="D1500" s="61" t="str">
        <f aca="false">"Q"&amp;ROUNDUP(MONTH($B1500)/3,0)</f>
        <v>Q1</v>
      </c>
      <c r="E1500" s="61" t="n">
        <f aca="false">MONTH($B1500)</f>
        <v>3</v>
      </c>
      <c r="F1500" s="61" t="str">
        <f aca="false">INDEX(Parametros!$I$5:$I$16,$E1500)</f>
        <v>Mar</v>
      </c>
      <c r="G1500" s="61" t="str">
        <f aca="false">TEXT($C1500,"0000")&amp;"-"&amp;TEXT($E1500,"00")</f>
        <v>2025-03</v>
      </c>
      <c r="H1500" s="61" t="str">
        <f aca="false">INDEX(Parametros!$C$71:$C$91,MATCH(TRIM(INDEX(Datos_Origen!$C$2:$C$2459,$Z1500)),Parametros!$B$71:$B$91,0))</f>
        <v>NOA</v>
      </c>
      <c r="I1500" s="61" t="str">
        <f aca="false">IF(TRIM($AD1500)="",INDEX(Parametros!$I$20:$I$24,MATCH($H1500,Parametros!$H$20:$H$24,0)),TRIM($AD1500))</f>
        <v>Tucuman</v>
      </c>
      <c r="J1500" s="61" t="str">
        <f aca="false">INDEX(Parametros!$C$95:$C$106,MATCH(TRIM(INDEX(Datos_Origen!$E$2:$E$2459,$Z1500)),Parametros!$B$95:$B$106,0))</f>
        <v>Tienda fisica</v>
      </c>
      <c r="K1500" s="61" t="str">
        <f aca="false">INDEX(Parametros!$C$48:$C$67,MATCH(TRIM(INDEX(Datos_Origen!$F$2:$F$2459,$Z1500)),Parametros!$B$48:$B$67,0))</f>
        <v>Almacenamiento</v>
      </c>
      <c r="L1500" s="61" t="str">
        <f aca="false">$K1500&amp;" "&amp;$C1500</f>
        <v>Almacenamiento 2025</v>
      </c>
      <c r="M1500" s="61" t="str">
        <f aca="false">TRIM(INDEX(Datos_Origen!$G$2:$G$2459,$Z1500))</f>
        <v>Pendrive 256GB</v>
      </c>
      <c r="N1500" s="61" t="str">
        <f aca="false">$M1500&amp;" "&amp;$C1500</f>
        <v>Pendrive 256GB 2025</v>
      </c>
      <c r="O1500" s="63" t="n">
        <f aca="false">IF(ISTEXT($AC1500),VALUE($AC1500),$AC1500)</f>
        <v>16</v>
      </c>
      <c r="P1500" s="64" t="n">
        <f aca="false">INDEX(Datos_Origen!$I$2:$I$2459,$Z1500)</f>
        <v>34.78</v>
      </c>
      <c r="Q1500" s="64" t="n">
        <f aca="false">INDEX(Datos_Origen!$J$2:$J$2459,$Z1500)</f>
        <v>18.39</v>
      </c>
      <c r="R1500" s="65" t="n">
        <f aca="false">ROUND($O1500*$P1500,2)</f>
        <v>556.48</v>
      </c>
      <c r="S1500" s="65" t="n">
        <f aca="false">ROUND($O1500*$Q1500,2)</f>
        <v>294.24</v>
      </c>
      <c r="T1500" s="65" t="n">
        <f aca="false">ROUND($R1500*SUMIFS(Parametros!$E$28:$E$43,Parametros!$B$28:$B$43,$J1500,Parametros!$C$28:$C$43,$C1500,Parametros!$D$28:$D$43,$D1500),2)</f>
        <v>7.23</v>
      </c>
      <c r="U1500" s="65" t="n">
        <f aca="false">$R1500-$S1500-$T1500</f>
        <v>255.01</v>
      </c>
      <c r="V1500" s="66" t="n">
        <f aca="false">IFERROR($U1500/$R1500,0)</f>
        <v>0.458255462909718</v>
      </c>
      <c r="W1500" s="67" t="str">
        <f aca="false">IF(AND($V1500&gt;=Parametros!$C$8,$R1500&gt;=Parametros!$C$12),"Alta rentabilidad",IF(OR($V1500&lt;Parametros!$C$11,$R1500&lt;Parametros!$C$13),"Revisar","Estandar"))</f>
        <v>Estandar</v>
      </c>
      <c r="X1500" s="67" t="str">
        <f aca="false">IF(AND($J1500="E-commerce",IFERROR($T1500/$R1500,0)&gt;Parametros!$C$14),"Alerta","OK")</f>
        <v>OK</v>
      </c>
      <c r="Y1500" s="61" t="str">
        <f aca="false">IF($R1500&gt;=Parametros!$C$12,"Alto",IF($R1500&lt;Parametros!$C$13,"Bajo","Medio"))</f>
        <v>Medio</v>
      </c>
      <c r="Z1500" s="61" t="n">
        <v>966</v>
      </c>
      <c r="AA1500" s="61" t="str">
        <f aca="false">IF(MATCH($A1500,Datos_Origen!$A$2:$A$2459,0)=$Z1500,"OK","REVISAR")</f>
        <v>OK</v>
      </c>
      <c r="AB1500" s="62" t="n">
        <f aca="false">INDEX(Datos_Origen!$B$2:$B$2459,$Z1500)</f>
        <v>45734</v>
      </c>
      <c r="AC1500" s="61" t="str">
        <f aca="false">INDEX(Datos_Origen!$H$2:$H$2459,$Z1500)</f>
        <v>16</v>
      </c>
      <c r="AD1500" s="61" t="str">
        <f aca="false">INDEX(Datos_Origen!$D$2:$D$2459,$Z1500)&amp;""</f>
        <v/>
      </c>
    </row>
    <row r="1501" customFormat="false" ht="15" hidden="false" customHeight="false" outlineLevel="0" collapsed="false">
      <c r="A1501" s="61" t="n">
        <f aca="false">INDEX(Datos_Origen!$A$2:$A$2459,$Z1501)</f>
        <v>1500</v>
      </c>
      <c r="B1501" s="62" t="n">
        <f aca="false">IF(ISNUMBER($AB1501),$AB1501,IF(MID($AB1501,5,1)="-",DATE(VALUE(LEFT($AB1501,4)),VALUE(MID($AB1501,6,2)),VALUE(RIGHT($AB1501,2))),DATE(VALUE(RIGHT($AB1501,4)),VALUE(MID($AB1501,4,2)),VALUE(LEFT($AB1501,2)))))</f>
        <v>45741</v>
      </c>
      <c r="C1501" s="61" t="n">
        <f aca="false">YEAR($B1501)</f>
        <v>2025</v>
      </c>
      <c r="D1501" s="61" t="str">
        <f aca="false">"Q"&amp;ROUNDUP(MONTH($B1501)/3,0)</f>
        <v>Q1</v>
      </c>
      <c r="E1501" s="61" t="n">
        <f aca="false">MONTH($B1501)</f>
        <v>3</v>
      </c>
      <c r="F1501" s="61" t="str">
        <f aca="false">INDEX(Parametros!$I$5:$I$16,$E1501)</f>
        <v>Mar</v>
      </c>
      <c r="G1501" s="61" t="str">
        <f aca="false">TEXT($C1501,"0000")&amp;"-"&amp;TEXT($E1501,"00")</f>
        <v>2025-03</v>
      </c>
      <c r="H1501" s="61" t="str">
        <f aca="false">INDEX(Parametros!$C$71:$C$91,MATCH(TRIM(INDEX(Datos_Origen!$C$2:$C$2459,$Z1501)),Parametros!$B$71:$B$91,0))</f>
        <v>NOA</v>
      </c>
      <c r="I1501" s="61" t="str">
        <f aca="false">IF(TRIM($AD1501)="",INDEX(Parametros!$I$20:$I$24,MATCH($H1501,Parametros!$H$20:$H$24,0)),TRIM($AD1501))</f>
        <v>Tucuman</v>
      </c>
      <c r="J1501" s="61" t="str">
        <f aca="false">INDEX(Parametros!$C$95:$C$106,MATCH(TRIM(INDEX(Datos_Origen!$E$2:$E$2459,$Z1501)),Parametros!$B$95:$B$106,0))</f>
        <v>E-commerce</v>
      </c>
      <c r="K1501" s="61" t="str">
        <f aca="false">INDEX(Parametros!$C$48:$C$67,MATCH(TRIM(INDEX(Datos_Origen!$F$2:$F$2459,$Z1501)),Parametros!$B$48:$B$67,0))</f>
        <v>Almacenamiento</v>
      </c>
      <c r="L1501" s="61" t="str">
        <f aca="false">$K1501&amp;" "&amp;$C1501</f>
        <v>Almacenamiento 2025</v>
      </c>
      <c r="M1501" s="61" t="str">
        <f aca="false">TRIM(INDEX(Datos_Origen!$G$2:$G$2459,$Z1501))</f>
        <v>Pendrive 256GB</v>
      </c>
      <c r="N1501" s="61" t="str">
        <f aca="false">$M1501&amp;" "&amp;$C1501</f>
        <v>Pendrive 256GB 2025</v>
      </c>
      <c r="O1501" s="63" t="n">
        <f aca="false">IF(ISTEXT($AC1501),VALUE($AC1501),$AC1501)</f>
        <v>10</v>
      </c>
      <c r="P1501" s="64" t="n">
        <f aca="false">INDEX(Datos_Origen!$I$2:$I$2459,$Z1501)</f>
        <v>34.78</v>
      </c>
      <c r="Q1501" s="64" t="n">
        <f aca="false">INDEX(Datos_Origen!$J$2:$J$2459,$Z1501)</f>
        <v>18.39</v>
      </c>
      <c r="R1501" s="65" t="n">
        <f aca="false">ROUND($O1501*$P1501,2)</f>
        <v>347.8</v>
      </c>
      <c r="S1501" s="65" t="n">
        <f aca="false">ROUND($O1501*$Q1501,2)</f>
        <v>183.9</v>
      </c>
      <c r="T1501" s="65" t="n">
        <f aca="false">ROUND($R1501*SUMIFS(Parametros!$E$28:$E$43,Parametros!$B$28:$B$43,$J1501,Parametros!$C$28:$C$43,$C1501,Parametros!$D$28:$D$43,$D1501),2)</f>
        <v>23.65</v>
      </c>
      <c r="U1501" s="65" t="n">
        <f aca="false">$R1501-$S1501-$T1501</f>
        <v>140.25</v>
      </c>
      <c r="V1501" s="66" t="n">
        <f aca="false">IFERROR($U1501/$R1501,0)</f>
        <v>0.403248993674526</v>
      </c>
      <c r="W1501" s="67" t="str">
        <f aca="false">IF(AND($V1501&gt;=Parametros!$C$8,$R1501&gt;=Parametros!$C$12),"Alta rentabilidad",IF(OR($V1501&lt;Parametros!$C$11,$R1501&lt;Parametros!$C$13),"Revisar","Estandar"))</f>
        <v>Estandar</v>
      </c>
      <c r="X1501" s="67" t="str">
        <f aca="false">IF(AND($J1501="E-commerce",IFERROR($T1501/$R1501,0)&gt;Parametros!$C$14),"Alerta","OK")</f>
        <v>Alerta</v>
      </c>
      <c r="Y1501" s="61" t="str">
        <f aca="false">IF($R1501&gt;=Parametros!$C$12,"Alto",IF($R1501&lt;Parametros!$C$13,"Bajo","Medio"))</f>
        <v>Medio</v>
      </c>
      <c r="Z1501" s="61" t="n">
        <v>569</v>
      </c>
      <c r="AA1501" s="61" t="str">
        <f aca="false">IF(MATCH($A1501,Datos_Origen!$A$2:$A$2459,0)=$Z1501,"OK","REVISAR")</f>
        <v>OK</v>
      </c>
      <c r="AB1501" s="61" t="str">
        <f aca="false">INDEX(Datos_Origen!$B$2:$B$2459,$Z1501)</f>
        <v>2025-03-25</v>
      </c>
      <c r="AC1501" s="61" t="n">
        <f aca="false">INDEX(Datos_Origen!$H$2:$H$2459,$Z1501)</f>
        <v>10</v>
      </c>
      <c r="AD1501" s="61" t="str">
        <f aca="false">INDEX(Datos_Origen!$D$2:$D$2459,$Z1501)&amp;""</f>
        <v>Tucuman</v>
      </c>
    </row>
    <row r="1502" customFormat="false" ht="15" hidden="false" customHeight="false" outlineLevel="0" collapsed="false">
      <c r="A1502" s="61" t="n">
        <f aca="false">INDEX(Datos_Origen!$A$2:$A$2459,$Z1502)</f>
        <v>1501</v>
      </c>
      <c r="B1502" s="62" t="n">
        <f aca="false">IF(ISNUMBER($AB1502),$AB1502,IF(MID($AB1502,5,1)="-",DATE(VALUE(LEFT($AB1502,4)),VALUE(MID($AB1502,6,2)),VALUE(RIGHT($AB1502,2))),DATE(VALUE(RIGHT($AB1502,4)),VALUE(MID($AB1502,4,2)),VALUE(LEFT($AB1502,2)))))</f>
        <v>45752</v>
      </c>
      <c r="C1502" s="61" t="n">
        <f aca="false">YEAR($B1502)</f>
        <v>2025</v>
      </c>
      <c r="D1502" s="61" t="str">
        <f aca="false">"Q"&amp;ROUNDUP(MONTH($B1502)/3,0)</f>
        <v>Q2</v>
      </c>
      <c r="E1502" s="61" t="n">
        <f aca="false">MONTH($B1502)</f>
        <v>4</v>
      </c>
      <c r="F1502" s="61" t="str">
        <f aca="false">INDEX(Parametros!$I$5:$I$16,$E1502)</f>
        <v>Abr</v>
      </c>
      <c r="G1502" s="61" t="str">
        <f aca="false">TEXT($C1502,"0000")&amp;"-"&amp;TEXT($E1502,"00")</f>
        <v>2025-04</v>
      </c>
      <c r="H1502" s="61" t="str">
        <f aca="false">INDEX(Parametros!$C$71:$C$91,MATCH(TRIM(INDEX(Datos_Origen!$C$2:$C$2459,$Z1502)),Parametros!$B$71:$B$91,0))</f>
        <v>AMBA</v>
      </c>
      <c r="I1502" s="61" t="str">
        <f aca="false">IF(TRIM($AD1502)="",INDEX(Parametros!$I$20:$I$24,MATCH($H1502,Parametros!$H$20:$H$24,0)),TRIM($AD1502))</f>
        <v>Buenos Aires</v>
      </c>
      <c r="J1502" s="61" t="str">
        <f aca="false">INDEX(Parametros!$C$95:$C$106,MATCH(TRIM(INDEX(Datos_Origen!$E$2:$E$2459,$Z1502)),Parametros!$B$95:$B$106,0))</f>
        <v>Tienda fisica</v>
      </c>
      <c r="K1502" s="61" t="str">
        <f aca="false">INDEX(Parametros!$C$48:$C$67,MATCH(TRIM(INDEX(Datos_Origen!$F$2:$F$2459,$Z1502)),Parametros!$B$48:$B$67,0))</f>
        <v>Computacion</v>
      </c>
      <c r="L1502" s="61" t="str">
        <f aca="false">$K1502&amp;" "&amp;$C1502</f>
        <v>Computacion 2025</v>
      </c>
      <c r="M1502" s="61" t="str">
        <f aca="false">TRIM(INDEX(Datos_Origen!$G$2:$G$2459,$Z1502))</f>
        <v>Laptop Pro 15</v>
      </c>
      <c r="N1502" s="61" t="str">
        <f aca="false">$M1502&amp;" "&amp;$C1502</f>
        <v>Laptop Pro 15 2025</v>
      </c>
      <c r="O1502" s="63" t="n">
        <f aca="false">IF(ISTEXT($AC1502),VALUE($AC1502),$AC1502)</f>
        <v>19</v>
      </c>
      <c r="P1502" s="64" t="n">
        <f aca="false">INDEX(Datos_Origen!$I$2:$I$2459,$Z1502)</f>
        <v>1155.06</v>
      </c>
      <c r="Q1502" s="64" t="n">
        <f aca="false">INDEX(Datos_Origen!$J$2:$J$2459,$Z1502)</f>
        <v>766.32</v>
      </c>
      <c r="R1502" s="65" t="n">
        <f aca="false">ROUND($O1502*$P1502,2)</f>
        <v>21946.14</v>
      </c>
      <c r="S1502" s="65" t="n">
        <f aca="false">ROUND($O1502*$Q1502,2)</f>
        <v>14560.08</v>
      </c>
      <c r="T1502" s="65" t="n">
        <f aca="false">ROUND($R1502*SUMIFS(Parametros!$E$28:$E$43,Parametros!$B$28:$B$43,$J1502,Parametros!$C$28:$C$43,$C1502,Parametros!$D$28:$D$43,$D1502),2)</f>
        <v>307.25</v>
      </c>
      <c r="U1502" s="65" t="n">
        <f aca="false">$R1502-$S1502-$T1502</f>
        <v>7078.81</v>
      </c>
      <c r="V1502" s="66" t="n">
        <f aca="false">IFERROR($U1502/$R1502,0)</f>
        <v>0.322553761162555</v>
      </c>
      <c r="W1502" s="67" t="str">
        <f aca="false">IF(AND($V1502&gt;=Parametros!$C$8,$R1502&gt;=Parametros!$C$12),"Alta rentabilidad",IF(OR($V1502&lt;Parametros!$C$11,$R1502&lt;Parametros!$C$13),"Revisar","Estandar"))</f>
        <v>Estandar</v>
      </c>
      <c r="X1502" s="67" t="str">
        <f aca="false">IF(AND($J1502="E-commerce",IFERROR($T1502/$R1502,0)&gt;Parametros!$C$14),"Alerta","OK")</f>
        <v>OK</v>
      </c>
      <c r="Y1502" s="61" t="str">
        <f aca="false">IF($R1502&gt;=Parametros!$C$12,"Alto",IF($R1502&lt;Parametros!$C$13,"Bajo","Medio"))</f>
        <v>Alto</v>
      </c>
      <c r="Z1502" s="61" t="n">
        <v>852</v>
      </c>
      <c r="AA1502" s="61" t="str">
        <f aca="false">IF(MATCH($A1502,Datos_Origen!$A$2:$A$2459,0)=$Z1502,"OK","REVISAR")</f>
        <v>OK</v>
      </c>
      <c r="AB1502" s="61" t="str">
        <f aca="false">INDEX(Datos_Origen!$B$2:$B$2459,$Z1502)</f>
        <v>05/04/2025</v>
      </c>
      <c r="AC1502" s="61" t="n">
        <f aca="false">INDEX(Datos_Origen!$H$2:$H$2459,$Z1502)</f>
        <v>19</v>
      </c>
      <c r="AD1502" s="61" t="str">
        <f aca="false">INDEX(Datos_Origen!$D$2:$D$2459,$Z1502)&amp;""</f>
        <v>Buenos Aires</v>
      </c>
    </row>
    <row r="1503" customFormat="false" ht="15" hidden="false" customHeight="false" outlineLevel="0" collapsed="false">
      <c r="A1503" s="61" t="n">
        <f aca="false">INDEX(Datos_Origen!$A$2:$A$2459,$Z1503)</f>
        <v>1502</v>
      </c>
      <c r="B1503" s="62" t="n">
        <f aca="false">IF(ISNUMBER($AB1503),$AB1503,IF(MID($AB1503,5,1)="-",DATE(VALUE(LEFT($AB1503,4)),VALUE(MID($AB1503,6,2)),VALUE(RIGHT($AB1503,2))),DATE(VALUE(RIGHT($AB1503,4)),VALUE(MID($AB1503,4,2)),VALUE(LEFT($AB1503,2)))))</f>
        <v>45759</v>
      </c>
      <c r="C1503" s="61" t="n">
        <f aca="false">YEAR($B1503)</f>
        <v>2025</v>
      </c>
      <c r="D1503" s="61" t="str">
        <f aca="false">"Q"&amp;ROUNDUP(MONTH($B1503)/3,0)</f>
        <v>Q2</v>
      </c>
      <c r="E1503" s="61" t="n">
        <f aca="false">MONTH($B1503)</f>
        <v>4</v>
      </c>
      <c r="F1503" s="61" t="str">
        <f aca="false">INDEX(Parametros!$I$5:$I$16,$E1503)</f>
        <v>Abr</v>
      </c>
      <c r="G1503" s="61" t="str">
        <f aca="false">TEXT($C1503,"0000")&amp;"-"&amp;TEXT($E1503,"00")</f>
        <v>2025-04</v>
      </c>
      <c r="H1503" s="61" t="str">
        <f aca="false">INDEX(Parametros!$C$71:$C$91,MATCH(TRIM(INDEX(Datos_Origen!$C$2:$C$2459,$Z1503)),Parametros!$B$71:$B$91,0))</f>
        <v>AMBA</v>
      </c>
      <c r="I1503" s="61" t="str">
        <f aca="false">IF(TRIM($AD1503)="",INDEX(Parametros!$I$20:$I$24,MATCH($H1503,Parametros!$H$20:$H$24,0)),TRIM($AD1503))</f>
        <v>Buenos Aires</v>
      </c>
      <c r="J1503" s="61" t="str">
        <f aca="false">INDEX(Parametros!$C$95:$C$106,MATCH(TRIM(INDEX(Datos_Origen!$E$2:$E$2459,$Z1503)),Parametros!$B$95:$B$106,0))</f>
        <v>E-commerce</v>
      </c>
      <c r="K1503" s="61" t="str">
        <f aca="false">INDEX(Parametros!$C$48:$C$67,MATCH(TRIM(INDEX(Datos_Origen!$F$2:$F$2459,$Z1503)),Parametros!$B$48:$B$67,0))</f>
        <v>Computacion</v>
      </c>
      <c r="L1503" s="61" t="str">
        <f aca="false">$K1503&amp;" "&amp;$C1503</f>
        <v>Computacion 2025</v>
      </c>
      <c r="M1503" s="61" t="str">
        <f aca="false">TRIM(INDEX(Datos_Origen!$G$2:$G$2459,$Z1503))</f>
        <v>Laptop Pro 15</v>
      </c>
      <c r="N1503" s="61" t="str">
        <f aca="false">$M1503&amp;" "&amp;$C1503</f>
        <v>Laptop Pro 15 2025</v>
      </c>
      <c r="O1503" s="63" t="n">
        <f aca="false">IF(ISTEXT($AC1503),VALUE($AC1503),$AC1503)</f>
        <v>11</v>
      </c>
      <c r="P1503" s="64" t="n">
        <f aca="false">INDEX(Datos_Origen!$I$2:$I$2459,$Z1503)</f>
        <v>1155.06</v>
      </c>
      <c r="Q1503" s="64" t="n">
        <f aca="false">INDEX(Datos_Origen!$J$2:$J$2459,$Z1503)</f>
        <v>766.32</v>
      </c>
      <c r="R1503" s="65" t="n">
        <f aca="false">ROUND($O1503*$P1503,2)</f>
        <v>12705.66</v>
      </c>
      <c r="S1503" s="65" t="n">
        <f aca="false">ROUND($O1503*$Q1503,2)</f>
        <v>8429.52</v>
      </c>
      <c r="T1503" s="65" t="n">
        <f aca="false">ROUND($R1503*SUMIFS(Parametros!$E$28:$E$43,Parametros!$B$28:$B$43,$J1503,Parametros!$C$28:$C$43,$C1503,Parametros!$D$28:$D$43,$D1503),2)</f>
        <v>940.22</v>
      </c>
      <c r="U1503" s="65" t="n">
        <f aca="false">$R1503-$S1503-$T1503</f>
        <v>3335.92</v>
      </c>
      <c r="V1503" s="66" t="n">
        <f aca="false">IFERROR($U1503/$R1503,0)</f>
        <v>0.262553853951703</v>
      </c>
      <c r="W1503" s="67" t="str">
        <f aca="false">IF(AND($V1503&gt;=Parametros!$C$8,$R1503&gt;=Parametros!$C$12),"Alta rentabilidad",IF(OR($V1503&lt;Parametros!$C$11,$R1503&lt;Parametros!$C$13),"Revisar","Estandar"))</f>
        <v>Revisar</v>
      </c>
      <c r="X1503" s="67" t="str">
        <f aca="false">IF(AND($J1503="E-commerce",IFERROR($T1503/$R1503,0)&gt;Parametros!$C$14),"Alerta","OK")</f>
        <v>Alerta</v>
      </c>
      <c r="Y1503" s="61" t="str">
        <f aca="false">IF($R1503&gt;=Parametros!$C$12,"Alto",IF($R1503&lt;Parametros!$C$13,"Bajo","Medio"))</f>
        <v>Alto</v>
      </c>
      <c r="Z1503" s="61" t="n">
        <v>379</v>
      </c>
      <c r="AA1503" s="61" t="str">
        <f aca="false">IF(MATCH($A1503,Datos_Origen!$A$2:$A$2459,0)=$Z1503,"OK","REVISAR")</f>
        <v>OK</v>
      </c>
      <c r="AB1503" s="62" t="n">
        <f aca="false">INDEX(Datos_Origen!$B$2:$B$2459,$Z1503)</f>
        <v>45759</v>
      </c>
      <c r="AC1503" s="61" t="n">
        <f aca="false">INDEX(Datos_Origen!$H$2:$H$2459,$Z1503)</f>
        <v>11</v>
      </c>
      <c r="AD1503" s="61" t="str">
        <f aca="false">INDEX(Datos_Origen!$D$2:$D$2459,$Z1503)&amp;""</f>
        <v/>
      </c>
    </row>
    <row r="1504" customFormat="false" ht="15" hidden="false" customHeight="false" outlineLevel="0" collapsed="false">
      <c r="A1504" s="61" t="n">
        <f aca="false">INDEX(Datos_Origen!$A$2:$A$2459,$Z1504)</f>
        <v>1503</v>
      </c>
      <c r="B1504" s="62" t="n">
        <f aca="false">IF(ISNUMBER($AB1504),$AB1504,IF(MID($AB1504,5,1)="-",DATE(VALUE(LEFT($AB1504,4)),VALUE(MID($AB1504,6,2)),VALUE(RIGHT($AB1504,2))),DATE(VALUE(RIGHT($AB1504,4)),VALUE(MID($AB1504,4,2)),VALUE(LEFT($AB1504,2)))))</f>
        <v>45766</v>
      </c>
      <c r="C1504" s="61" t="n">
        <f aca="false">YEAR($B1504)</f>
        <v>2025</v>
      </c>
      <c r="D1504" s="61" t="str">
        <f aca="false">"Q"&amp;ROUNDUP(MONTH($B1504)/3,0)</f>
        <v>Q2</v>
      </c>
      <c r="E1504" s="61" t="n">
        <f aca="false">MONTH($B1504)</f>
        <v>4</v>
      </c>
      <c r="F1504" s="61" t="str">
        <f aca="false">INDEX(Parametros!$I$5:$I$16,$E1504)</f>
        <v>Abr</v>
      </c>
      <c r="G1504" s="61" t="str">
        <f aca="false">TEXT($C1504,"0000")&amp;"-"&amp;TEXT($E1504,"00")</f>
        <v>2025-04</v>
      </c>
      <c r="H1504" s="61" t="str">
        <f aca="false">INDEX(Parametros!$C$71:$C$91,MATCH(TRIM(INDEX(Datos_Origen!$C$2:$C$2459,$Z1504)),Parametros!$B$71:$B$91,0))</f>
        <v>AMBA</v>
      </c>
      <c r="I1504" s="61" t="str">
        <f aca="false">IF(TRIM($AD1504)="",INDEX(Parametros!$I$20:$I$24,MATCH($H1504,Parametros!$H$20:$H$24,0)),TRIM($AD1504))</f>
        <v>Buenos Aires</v>
      </c>
      <c r="J1504" s="61" t="str">
        <f aca="false">INDEX(Parametros!$C$95:$C$106,MATCH(TRIM(INDEX(Datos_Origen!$E$2:$E$2459,$Z1504)),Parametros!$B$95:$B$106,0))</f>
        <v>Tienda fisica</v>
      </c>
      <c r="K1504" s="61" t="str">
        <f aca="false">INDEX(Parametros!$C$48:$C$67,MATCH(TRIM(INDEX(Datos_Origen!$F$2:$F$2459,$Z1504)),Parametros!$B$48:$B$67,0))</f>
        <v>Computacion</v>
      </c>
      <c r="L1504" s="61" t="str">
        <f aca="false">$K1504&amp;" "&amp;$C1504</f>
        <v>Computacion 2025</v>
      </c>
      <c r="M1504" s="61" t="str">
        <f aca="false">TRIM(INDEX(Datos_Origen!$G$2:$G$2459,$Z1504))</f>
        <v>Monitor 4K 27</v>
      </c>
      <c r="N1504" s="61" t="str">
        <f aca="false">$M1504&amp;" "&amp;$C1504</f>
        <v>Monitor 4K 27 2025</v>
      </c>
      <c r="O1504" s="63" t="n">
        <f aca="false">IF(ISTEXT($AC1504),VALUE($AC1504),$AC1504)</f>
        <v>16</v>
      </c>
      <c r="P1504" s="64" t="n">
        <f aca="false">INDEX(Datos_Origen!$I$2:$I$2459,$Z1504)</f>
        <v>433.15</v>
      </c>
      <c r="Q1504" s="64" t="n">
        <f aca="false">INDEX(Datos_Origen!$J$2:$J$2459,$Z1504)</f>
        <v>280.42</v>
      </c>
      <c r="R1504" s="65" t="n">
        <f aca="false">ROUND($O1504*$P1504,2)</f>
        <v>6930.4</v>
      </c>
      <c r="S1504" s="65" t="n">
        <f aca="false">ROUND($O1504*$Q1504,2)</f>
        <v>4486.72</v>
      </c>
      <c r="T1504" s="65" t="n">
        <f aca="false">ROUND($R1504*SUMIFS(Parametros!$E$28:$E$43,Parametros!$B$28:$B$43,$J1504,Parametros!$C$28:$C$43,$C1504,Parametros!$D$28:$D$43,$D1504),2)</f>
        <v>97.03</v>
      </c>
      <c r="U1504" s="65" t="n">
        <f aca="false">$R1504-$S1504-$T1504</f>
        <v>2346.65</v>
      </c>
      <c r="V1504" s="66" t="n">
        <f aca="false">IFERROR($U1504/$R1504,0)</f>
        <v>0.338602389472469</v>
      </c>
      <c r="W1504" s="67" t="str">
        <f aca="false">IF(AND($V1504&gt;=Parametros!$C$8,$R1504&gt;=Parametros!$C$12),"Alta rentabilidad",IF(OR($V1504&lt;Parametros!$C$11,$R1504&lt;Parametros!$C$13),"Revisar","Estandar"))</f>
        <v>Estandar</v>
      </c>
      <c r="X1504" s="67" t="str">
        <f aca="false">IF(AND($J1504="E-commerce",IFERROR($T1504/$R1504,0)&gt;Parametros!$C$14),"Alerta","OK")</f>
        <v>OK</v>
      </c>
      <c r="Y1504" s="61" t="str">
        <f aca="false">IF($R1504&gt;=Parametros!$C$12,"Alto",IF($R1504&lt;Parametros!$C$13,"Bajo","Medio"))</f>
        <v>Alto</v>
      </c>
      <c r="Z1504" s="61" t="n">
        <v>88</v>
      </c>
      <c r="AA1504" s="61" t="str">
        <f aca="false">IF(MATCH($A1504,Datos_Origen!$A$2:$A$2459,0)=$Z1504,"OK","REVISAR")</f>
        <v>OK</v>
      </c>
      <c r="AB1504" s="62" t="n">
        <f aca="false">INDEX(Datos_Origen!$B$2:$B$2459,$Z1504)</f>
        <v>45766</v>
      </c>
      <c r="AC1504" s="61" t="str">
        <f aca="false">INDEX(Datos_Origen!$H$2:$H$2459,$Z1504)</f>
        <v>16</v>
      </c>
      <c r="AD1504" s="61" t="str">
        <f aca="false">INDEX(Datos_Origen!$D$2:$D$2459,$Z1504)&amp;""</f>
        <v>Buenos Aires</v>
      </c>
    </row>
    <row r="1505" customFormat="false" ht="15" hidden="false" customHeight="false" outlineLevel="0" collapsed="false">
      <c r="A1505" s="61" t="n">
        <f aca="false">INDEX(Datos_Origen!$A$2:$A$2459,$Z1505)</f>
        <v>1504</v>
      </c>
      <c r="B1505" s="62" t="n">
        <f aca="false">IF(ISNUMBER($AB1505),$AB1505,IF(MID($AB1505,5,1)="-",DATE(VALUE(LEFT($AB1505,4)),VALUE(MID($AB1505,6,2)),VALUE(RIGHT($AB1505,2))),DATE(VALUE(RIGHT($AB1505,4)),VALUE(MID($AB1505,4,2)),VALUE(LEFT($AB1505,2)))))</f>
        <v>45773</v>
      </c>
      <c r="C1505" s="61" t="n">
        <f aca="false">YEAR($B1505)</f>
        <v>2025</v>
      </c>
      <c r="D1505" s="61" t="str">
        <f aca="false">"Q"&amp;ROUNDUP(MONTH($B1505)/3,0)</f>
        <v>Q2</v>
      </c>
      <c r="E1505" s="61" t="n">
        <f aca="false">MONTH($B1505)</f>
        <v>4</v>
      </c>
      <c r="F1505" s="61" t="str">
        <f aca="false">INDEX(Parametros!$I$5:$I$16,$E1505)</f>
        <v>Abr</v>
      </c>
      <c r="G1505" s="61" t="str">
        <f aca="false">TEXT($C1505,"0000")&amp;"-"&amp;TEXT($E1505,"00")</f>
        <v>2025-04</v>
      </c>
      <c r="H1505" s="61" t="str">
        <f aca="false">INDEX(Parametros!$C$71:$C$91,MATCH(TRIM(INDEX(Datos_Origen!$C$2:$C$2459,$Z1505)),Parametros!$B$71:$B$91,0))</f>
        <v>AMBA</v>
      </c>
      <c r="I1505" s="61" t="str">
        <f aca="false">IF(TRIM($AD1505)="",INDEX(Parametros!$I$20:$I$24,MATCH($H1505,Parametros!$H$20:$H$24,0)),TRIM($AD1505))</f>
        <v>Buenos Aires</v>
      </c>
      <c r="J1505" s="61" t="str">
        <f aca="false">INDEX(Parametros!$C$95:$C$106,MATCH(TRIM(INDEX(Datos_Origen!$E$2:$E$2459,$Z1505)),Parametros!$B$95:$B$106,0))</f>
        <v>E-commerce</v>
      </c>
      <c r="K1505" s="61" t="str">
        <f aca="false">INDEX(Parametros!$C$48:$C$67,MATCH(TRIM(INDEX(Datos_Origen!$F$2:$F$2459,$Z1505)),Parametros!$B$48:$B$67,0))</f>
        <v>Computacion</v>
      </c>
      <c r="L1505" s="61" t="str">
        <f aca="false">$K1505&amp;" "&amp;$C1505</f>
        <v>Computacion 2025</v>
      </c>
      <c r="M1505" s="61" t="str">
        <f aca="false">TRIM(INDEX(Datos_Origen!$G$2:$G$2459,$Z1505))</f>
        <v>Monitor 4K 27</v>
      </c>
      <c r="N1505" s="61" t="str">
        <f aca="false">$M1505&amp;" "&amp;$C1505</f>
        <v>Monitor 4K 27 2025</v>
      </c>
      <c r="O1505" s="63" t="n">
        <f aca="false">IF(ISTEXT($AC1505),VALUE($AC1505),$AC1505)</f>
        <v>12</v>
      </c>
      <c r="P1505" s="64" t="n">
        <f aca="false">INDEX(Datos_Origen!$I$2:$I$2459,$Z1505)</f>
        <v>433.15</v>
      </c>
      <c r="Q1505" s="64" t="n">
        <f aca="false">INDEX(Datos_Origen!$J$2:$J$2459,$Z1505)</f>
        <v>280.42</v>
      </c>
      <c r="R1505" s="65" t="n">
        <f aca="false">ROUND($O1505*$P1505,2)</f>
        <v>5197.8</v>
      </c>
      <c r="S1505" s="65" t="n">
        <f aca="false">ROUND($O1505*$Q1505,2)</f>
        <v>3365.04</v>
      </c>
      <c r="T1505" s="65" t="n">
        <f aca="false">ROUND($R1505*SUMIFS(Parametros!$E$28:$E$43,Parametros!$B$28:$B$43,$J1505,Parametros!$C$28:$C$43,$C1505,Parametros!$D$28:$D$43,$D1505),2)</f>
        <v>384.64</v>
      </c>
      <c r="U1505" s="65" t="n">
        <f aca="false">$R1505-$S1505-$T1505</f>
        <v>1448.12</v>
      </c>
      <c r="V1505" s="66" t="n">
        <f aca="false">IFERROR($U1505/$R1505,0)</f>
        <v>0.278602485667013</v>
      </c>
      <c r="W1505" s="67" t="str">
        <f aca="false">IF(AND($V1505&gt;=Parametros!$C$8,$R1505&gt;=Parametros!$C$12),"Alta rentabilidad",IF(OR($V1505&lt;Parametros!$C$11,$R1505&lt;Parametros!$C$13),"Revisar","Estandar"))</f>
        <v>Revisar</v>
      </c>
      <c r="X1505" s="67" t="str">
        <f aca="false">IF(AND($J1505="E-commerce",IFERROR($T1505/$R1505,0)&gt;Parametros!$C$14),"Alerta","OK")</f>
        <v>Alerta</v>
      </c>
      <c r="Y1505" s="61" t="str">
        <f aca="false">IF($R1505&gt;=Parametros!$C$12,"Alto",IF($R1505&lt;Parametros!$C$13,"Bajo","Medio"))</f>
        <v>Alto</v>
      </c>
      <c r="Z1505" s="61" t="n">
        <v>1959</v>
      </c>
      <c r="AA1505" s="61" t="str">
        <f aca="false">IF(MATCH($A1505,Datos_Origen!$A$2:$A$2459,0)=$Z1505,"OK","REVISAR")</f>
        <v>OK</v>
      </c>
      <c r="AB1505" s="62" t="n">
        <f aca="false">INDEX(Datos_Origen!$B$2:$B$2459,$Z1505)</f>
        <v>45773</v>
      </c>
      <c r="AC1505" s="61" t="n">
        <f aca="false">INDEX(Datos_Origen!$H$2:$H$2459,$Z1505)</f>
        <v>12</v>
      </c>
      <c r="AD1505" s="61" t="str">
        <f aca="false">INDEX(Datos_Origen!$D$2:$D$2459,$Z1505)&amp;""</f>
        <v>Buenos Aires</v>
      </c>
    </row>
    <row r="1506" customFormat="false" ht="15" hidden="false" customHeight="false" outlineLevel="0" collapsed="false">
      <c r="A1506" s="61" t="n">
        <f aca="false">INDEX(Datos_Origen!$A$2:$A$2459,$Z1506)</f>
        <v>1505</v>
      </c>
      <c r="B1506" s="62" t="n">
        <f aca="false">IF(ISNUMBER($AB1506),$AB1506,IF(MID($AB1506,5,1)="-",DATE(VALUE(LEFT($AB1506,4)),VALUE(MID($AB1506,6,2)),VALUE(RIGHT($AB1506,2))),DATE(VALUE(RIGHT($AB1506,4)),VALUE(MID($AB1506,4,2)),VALUE(LEFT($AB1506,2)))))</f>
        <v>45753</v>
      </c>
      <c r="C1506" s="61" t="n">
        <f aca="false">YEAR($B1506)</f>
        <v>2025</v>
      </c>
      <c r="D1506" s="61" t="str">
        <f aca="false">"Q"&amp;ROUNDUP(MONTH($B1506)/3,0)</f>
        <v>Q2</v>
      </c>
      <c r="E1506" s="61" t="n">
        <f aca="false">MONTH($B1506)</f>
        <v>4</v>
      </c>
      <c r="F1506" s="61" t="str">
        <f aca="false">INDEX(Parametros!$I$5:$I$16,$E1506)</f>
        <v>Abr</v>
      </c>
      <c r="G1506" s="61" t="str">
        <f aca="false">TEXT($C1506,"0000")&amp;"-"&amp;TEXT($E1506,"00")</f>
        <v>2025-04</v>
      </c>
      <c r="H1506" s="61" t="str">
        <f aca="false">INDEX(Parametros!$C$71:$C$91,MATCH(TRIM(INDEX(Datos_Origen!$C$2:$C$2459,$Z1506)),Parametros!$B$71:$B$91,0))</f>
        <v>AMBA</v>
      </c>
      <c r="I1506" s="61" t="str">
        <f aca="false">IF(TRIM($AD1506)="",INDEX(Parametros!$I$20:$I$24,MATCH($H1506,Parametros!$H$20:$H$24,0)),TRIM($AD1506))</f>
        <v>Buenos Aires</v>
      </c>
      <c r="J1506" s="61" t="str">
        <f aca="false">INDEX(Parametros!$C$95:$C$106,MATCH(TRIM(INDEX(Datos_Origen!$E$2:$E$2459,$Z1506)),Parametros!$B$95:$B$106,0))</f>
        <v>Tienda fisica</v>
      </c>
      <c r="K1506" s="61" t="str">
        <f aca="false">INDEX(Parametros!$C$48:$C$67,MATCH(TRIM(INDEX(Datos_Origen!$F$2:$F$2459,$Z1506)),Parametros!$B$48:$B$67,0))</f>
        <v>Computacion</v>
      </c>
      <c r="L1506" s="61" t="str">
        <f aca="false">$K1506&amp;" "&amp;$C1506</f>
        <v>Computacion 2025</v>
      </c>
      <c r="M1506" s="61" t="str">
        <f aca="false">TRIM(INDEX(Datos_Origen!$G$2:$G$2459,$Z1506))</f>
        <v>PC Gamer Ryzen</v>
      </c>
      <c r="N1506" s="61" t="str">
        <f aca="false">$M1506&amp;" "&amp;$C1506</f>
        <v>PC Gamer Ryzen 2025</v>
      </c>
      <c r="O1506" s="63" t="n">
        <f aca="false">IF(ISTEXT($AC1506),VALUE($AC1506),$AC1506)</f>
        <v>21</v>
      </c>
      <c r="P1506" s="64" t="n">
        <f aca="false">INDEX(Datos_Origen!$I$2:$I$2459,$Z1506)</f>
        <v>1588.21</v>
      </c>
      <c r="Q1506" s="64" t="n">
        <f aca="false">INDEX(Datos_Origen!$J$2:$J$2459,$Z1506)</f>
        <v>1155.66</v>
      </c>
      <c r="R1506" s="65" t="n">
        <f aca="false">ROUND($O1506*$P1506,2)</f>
        <v>33352.41</v>
      </c>
      <c r="S1506" s="65" t="n">
        <f aca="false">ROUND($O1506*$Q1506,2)</f>
        <v>24268.86</v>
      </c>
      <c r="T1506" s="65" t="n">
        <f aca="false">ROUND($R1506*SUMIFS(Parametros!$E$28:$E$43,Parametros!$B$28:$B$43,$J1506,Parametros!$C$28:$C$43,$C1506,Parametros!$D$28:$D$43,$D1506),2)</f>
        <v>466.93</v>
      </c>
      <c r="U1506" s="65" t="n">
        <f aca="false">$R1506-$S1506-$T1506</f>
        <v>8616.62</v>
      </c>
      <c r="V1506" s="66" t="n">
        <f aca="false">IFERROR($U1506/$R1506,0)</f>
        <v>0.25835074586814</v>
      </c>
      <c r="W1506" s="67" t="str">
        <f aca="false">IF(AND($V1506&gt;=Parametros!$C$8,$R1506&gt;=Parametros!$C$12),"Alta rentabilidad",IF(OR($V1506&lt;Parametros!$C$11,$R1506&lt;Parametros!$C$13),"Revisar","Estandar"))</f>
        <v>Revisar</v>
      </c>
      <c r="X1506" s="67" t="str">
        <f aca="false">IF(AND($J1506="E-commerce",IFERROR($T1506/$R1506,0)&gt;Parametros!$C$14),"Alerta","OK")</f>
        <v>OK</v>
      </c>
      <c r="Y1506" s="61" t="str">
        <f aca="false">IF($R1506&gt;=Parametros!$C$12,"Alto",IF($R1506&lt;Parametros!$C$13,"Bajo","Medio"))</f>
        <v>Alto</v>
      </c>
      <c r="Z1506" s="61" t="n">
        <v>1550</v>
      </c>
      <c r="AA1506" s="61" t="str">
        <f aca="false">IF(MATCH($A1506,Datos_Origen!$A$2:$A$2459,0)=$Z1506,"OK","REVISAR")</f>
        <v>OK</v>
      </c>
      <c r="AB1506" s="61" t="str">
        <f aca="false">INDEX(Datos_Origen!$B$2:$B$2459,$Z1506)</f>
        <v>06/04/2025</v>
      </c>
      <c r="AC1506" s="61" t="n">
        <f aca="false">INDEX(Datos_Origen!$H$2:$H$2459,$Z1506)</f>
        <v>21</v>
      </c>
      <c r="AD1506" s="61" t="str">
        <f aca="false">INDEX(Datos_Origen!$D$2:$D$2459,$Z1506)&amp;""</f>
        <v>Buenos Aires</v>
      </c>
    </row>
    <row r="1507" customFormat="false" ht="15" hidden="false" customHeight="false" outlineLevel="0" collapsed="false">
      <c r="A1507" s="61" t="n">
        <f aca="false">INDEX(Datos_Origen!$A$2:$A$2459,$Z1507)</f>
        <v>1506</v>
      </c>
      <c r="B1507" s="62" t="n">
        <f aca="false">IF(ISNUMBER($AB1507),$AB1507,IF(MID($AB1507,5,1)="-",DATE(VALUE(LEFT($AB1507,4)),VALUE(MID($AB1507,6,2)),VALUE(RIGHT($AB1507,2))),DATE(VALUE(RIGHT($AB1507,4)),VALUE(MID($AB1507,4,2)),VALUE(LEFT($AB1507,2)))))</f>
        <v>45760</v>
      </c>
      <c r="C1507" s="61" t="n">
        <f aca="false">YEAR($B1507)</f>
        <v>2025</v>
      </c>
      <c r="D1507" s="61" t="str">
        <f aca="false">"Q"&amp;ROUNDUP(MONTH($B1507)/3,0)</f>
        <v>Q2</v>
      </c>
      <c r="E1507" s="61" t="n">
        <f aca="false">MONTH($B1507)</f>
        <v>4</v>
      </c>
      <c r="F1507" s="61" t="str">
        <f aca="false">INDEX(Parametros!$I$5:$I$16,$E1507)</f>
        <v>Abr</v>
      </c>
      <c r="G1507" s="61" t="str">
        <f aca="false">TEXT($C1507,"0000")&amp;"-"&amp;TEXT($E1507,"00")</f>
        <v>2025-04</v>
      </c>
      <c r="H1507" s="61" t="str">
        <f aca="false">INDEX(Parametros!$C$71:$C$91,MATCH(TRIM(INDEX(Datos_Origen!$C$2:$C$2459,$Z1507)),Parametros!$B$71:$B$91,0))</f>
        <v>AMBA</v>
      </c>
      <c r="I1507" s="61" t="str">
        <f aca="false">IF(TRIM($AD1507)="",INDEX(Parametros!$I$20:$I$24,MATCH($H1507,Parametros!$H$20:$H$24,0)),TRIM($AD1507))</f>
        <v>Buenos Aires</v>
      </c>
      <c r="J1507" s="61" t="str">
        <f aca="false">INDEX(Parametros!$C$95:$C$106,MATCH(TRIM(INDEX(Datos_Origen!$E$2:$E$2459,$Z1507)),Parametros!$B$95:$B$106,0))</f>
        <v>E-commerce</v>
      </c>
      <c r="K1507" s="61" t="str">
        <f aca="false">INDEX(Parametros!$C$48:$C$67,MATCH(TRIM(INDEX(Datos_Origen!$F$2:$F$2459,$Z1507)),Parametros!$B$48:$B$67,0))</f>
        <v>Computacion</v>
      </c>
      <c r="L1507" s="61" t="str">
        <f aca="false">$K1507&amp;" "&amp;$C1507</f>
        <v>Computacion 2025</v>
      </c>
      <c r="M1507" s="61" t="str">
        <f aca="false">TRIM(INDEX(Datos_Origen!$G$2:$G$2459,$Z1507))</f>
        <v>PC Gamer Ryzen</v>
      </c>
      <c r="N1507" s="61" t="str">
        <f aca="false">$M1507&amp;" "&amp;$C1507</f>
        <v>PC Gamer Ryzen 2025</v>
      </c>
      <c r="O1507" s="63" t="n">
        <f aca="false">IF(ISTEXT($AC1507),VALUE($AC1507),$AC1507)</f>
        <v>11</v>
      </c>
      <c r="P1507" s="64" t="n">
        <f aca="false">INDEX(Datos_Origen!$I$2:$I$2459,$Z1507)</f>
        <v>1588.21</v>
      </c>
      <c r="Q1507" s="64" t="n">
        <f aca="false">INDEX(Datos_Origen!$J$2:$J$2459,$Z1507)</f>
        <v>1155.66</v>
      </c>
      <c r="R1507" s="65" t="n">
        <f aca="false">ROUND($O1507*$P1507,2)</f>
        <v>17470.31</v>
      </c>
      <c r="S1507" s="65" t="n">
        <f aca="false">ROUND($O1507*$Q1507,2)</f>
        <v>12712.26</v>
      </c>
      <c r="T1507" s="65" t="n">
        <f aca="false">ROUND($R1507*SUMIFS(Parametros!$E$28:$E$43,Parametros!$B$28:$B$43,$J1507,Parametros!$C$28:$C$43,$C1507,Parametros!$D$28:$D$43,$D1507),2)</f>
        <v>1292.8</v>
      </c>
      <c r="U1507" s="65" t="n">
        <f aca="false">$R1507-$S1507-$T1507</f>
        <v>3465.25</v>
      </c>
      <c r="V1507" s="66" t="n">
        <f aca="false">IFERROR($U1507/$R1507,0)</f>
        <v>0.198350802017823</v>
      </c>
      <c r="W1507" s="67" t="str">
        <f aca="false">IF(AND($V1507&gt;=Parametros!$C$8,$R1507&gt;=Parametros!$C$12),"Alta rentabilidad",IF(OR($V1507&lt;Parametros!$C$11,$R1507&lt;Parametros!$C$13),"Revisar","Estandar"))</f>
        <v>Revisar</v>
      </c>
      <c r="X1507" s="67" t="str">
        <f aca="false">IF(AND($J1507="E-commerce",IFERROR($T1507/$R1507,0)&gt;Parametros!$C$14),"Alerta","OK")</f>
        <v>Alerta</v>
      </c>
      <c r="Y1507" s="61" t="str">
        <f aca="false">IF($R1507&gt;=Parametros!$C$12,"Alto",IF($R1507&lt;Parametros!$C$13,"Bajo","Medio"))</f>
        <v>Alto</v>
      </c>
      <c r="Z1507" s="61" t="n">
        <v>738</v>
      </c>
      <c r="AA1507" s="61" t="str">
        <f aca="false">IF(MATCH($A1507,Datos_Origen!$A$2:$A$2459,0)=$Z1507,"OK","REVISAR")</f>
        <v>OK</v>
      </c>
      <c r="AB1507" s="61" t="str">
        <f aca="false">INDEX(Datos_Origen!$B$2:$B$2459,$Z1507)</f>
        <v>13/04/2025</v>
      </c>
      <c r="AC1507" s="61" t="n">
        <f aca="false">INDEX(Datos_Origen!$H$2:$H$2459,$Z1507)</f>
        <v>11</v>
      </c>
      <c r="AD1507" s="61" t="str">
        <f aca="false">INDEX(Datos_Origen!$D$2:$D$2459,$Z1507)&amp;""</f>
        <v/>
      </c>
    </row>
    <row r="1508" customFormat="false" ht="15" hidden="false" customHeight="false" outlineLevel="0" collapsed="false">
      <c r="A1508" s="61" t="n">
        <f aca="false">INDEX(Datos_Origen!$A$2:$A$2459,$Z1508)</f>
        <v>1507</v>
      </c>
      <c r="B1508" s="62" t="n">
        <f aca="false">IF(ISNUMBER($AB1508),$AB1508,IF(MID($AB1508,5,1)="-",DATE(VALUE(LEFT($AB1508,4)),VALUE(MID($AB1508,6,2)),VALUE(RIGHT($AB1508,2))),DATE(VALUE(RIGHT($AB1508,4)),VALUE(MID($AB1508,4,2)),VALUE(LEFT($AB1508,2)))))</f>
        <v>45767</v>
      </c>
      <c r="C1508" s="61" t="n">
        <f aca="false">YEAR($B1508)</f>
        <v>2025</v>
      </c>
      <c r="D1508" s="61" t="str">
        <f aca="false">"Q"&amp;ROUNDUP(MONTH($B1508)/3,0)</f>
        <v>Q2</v>
      </c>
      <c r="E1508" s="61" t="n">
        <f aca="false">MONTH($B1508)</f>
        <v>4</v>
      </c>
      <c r="F1508" s="61" t="str">
        <f aca="false">INDEX(Parametros!$I$5:$I$16,$E1508)</f>
        <v>Abr</v>
      </c>
      <c r="G1508" s="61" t="str">
        <f aca="false">TEXT($C1508,"0000")&amp;"-"&amp;TEXT($E1508,"00")</f>
        <v>2025-04</v>
      </c>
      <c r="H1508" s="61" t="str">
        <f aca="false">INDEX(Parametros!$C$71:$C$91,MATCH(TRIM(INDEX(Datos_Origen!$C$2:$C$2459,$Z1508)),Parametros!$B$71:$B$91,0))</f>
        <v>AMBA</v>
      </c>
      <c r="I1508" s="61" t="str">
        <f aca="false">IF(TRIM($AD1508)="",INDEX(Parametros!$I$20:$I$24,MATCH($H1508,Parametros!$H$20:$H$24,0)),TRIM($AD1508))</f>
        <v>Buenos Aires</v>
      </c>
      <c r="J1508" s="61" t="str">
        <f aca="false">INDEX(Parametros!$C$95:$C$106,MATCH(TRIM(INDEX(Datos_Origen!$E$2:$E$2459,$Z1508)),Parametros!$B$95:$B$106,0))</f>
        <v>Tienda fisica</v>
      </c>
      <c r="K1508" s="61" t="str">
        <f aca="false">INDEX(Parametros!$C$48:$C$67,MATCH(TRIM(INDEX(Datos_Origen!$F$2:$F$2459,$Z1508)),Parametros!$B$48:$B$67,0))</f>
        <v>Accesorios</v>
      </c>
      <c r="L1508" s="61" t="str">
        <f aca="false">$K1508&amp;" "&amp;$C1508</f>
        <v>Accesorios 2025</v>
      </c>
      <c r="M1508" s="61" t="str">
        <f aca="false">TRIM(INDEX(Datos_Origen!$G$2:$G$2459,$Z1508))</f>
        <v>Mouse Inalambrico</v>
      </c>
      <c r="N1508" s="61" t="str">
        <f aca="false">$M1508&amp;" "&amp;$C1508</f>
        <v>Mouse Inalambrico 2025</v>
      </c>
      <c r="O1508" s="63" t="n">
        <f aca="false">IF(ISTEXT($AC1508),VALUE($AC1508),$AC1508)</f>
        <v>82</v>
      </c>
      <c r="P1508" s="64" t="n">
        <f aca="false">INDEX(Datos_Origen!$I$2:$I$2459,$Z1508)</f>
        <v>27.82</v>
      </c>
      <c r="Q1508" s="64" t="n">
        <f aca="false">INDEX(Datos_Origen!$J$2:$J$2459,$Z1508)</f>
        <v>13.84</v>
      </c>
      <c r="R1508" s="65" t="n">
        <f aca="false">ROUND($O1508*$P1508,2)</f>
        <v>2281.24</v>
      </c>
      <c r="S1508" s="65" t="n">
        <f aca="false">ROUND($O1508*$Q1508,2)</f>
        <v>1134.88</v>
      </c>
      <c r="T1508" s="65" t="n">
        <f aca="false">ROUND($R1508*SUMIFS(Parametros!$E$28:$E$43,Parametros!$B$28:$B$43,$J1508,Parametros!$C$28:$C$43,$C1508,Parametros!$D$28:$D$43,$D1508),2)</f>
        <v>31.94</v>
      </c>
      <c r="U1508" s="65" t="n">
        <f aca="false">$R1508-$S1508-$T1508</f>
        <v>1114.42</v>
      </c>
      <c r="V1508" s="66" t="n">
        <f aca="false">IFERROR($U1508/$R1508,0)</f>
        <v>0.488515018148025</v>
      </c>
      <c r="W1508" s="67" t="str">
        <f aca="false">IF(AND($V1508&gt;=Parametros!$C$8,$R1508&gt;=Parametros!$C$12),"Alta rentabilidad",IF(OR($V1508&lt;Parametros!$C$11,$R1508&lt;Parametros!$C$13),"Revisar","Estandar"))</f>
        <v>Estandar</v>
      </c>
      <c r="X1508" s="67" t="str">
        <f aca="false">IF(AND($J1508="E-commerce",IFERROR($T1508/$R1508,0)&gt;Parametros!$C$14),"Alerta","OK")</f>
        <v>OK</v>
      </c>
      <c r="Y1508" s="61" t="str">
        <f aca="false">IF($R1508&gt;=Parametros!$C$12,"Alto",IF($R1508&lt;Parametros!$C$13,"Bajo","Medio"))</f>
        <v>Medio</v>
      </c>
      <c r="Z1508" s="61" t="n">
        <v>1954</v>
      </c>
      <c r="AA1508" s="61" t="str">
        <f aca="false">IF(MATCH($A1508,Datos_Origen!$A$2:$A$2459,0)=$Z1508,"OK","REVISAR")</f>
        <v>OK</v>
      </c>
      <c r="AB1508" s="62" t="n">
        <f aca="false">INDEX(Datos_Origen!$B$2:$B$2459,$Z1508)</f>
        <v>45767</v>
      </c>
      <c r="AC1508" s="61" t="n">
        <f aca="false">INDEX(Datos_Origen!$H$2:$H$2459,$Z1508)</f>
        <v>82</v>
      </c>
      <c r="AD1508" s="61" t="str">
        <f aca="false">INDEX(Datos_Origen!$D$2:$D$2459,$Z1508)&amp;""</f>
        <v>Buenos Aires</v>
      </c>
    </row>
    <row r="1509" customFormat="false" ht="15" hidden="false" customHeight="false" outlineLevel="0" collapsed="false">
      <c r="A1509" s="61" t="n">
        <f aca="false">INDEX(Datos_Origen!$A$2:$A$2459,$Z1509)</f>
        <v>1508</v>
      </c>
      <c r="B1509" s="62" t="n">
        <f aca="false">IF(ISNUMBER($AB1509),$AB1509,IF(MID($AB1509,5,1)="-",DATE(VALUE(LEFT($AB1509,4)),VALUE(MID($AB1509,6,2)),VALUE(RIGHT($AB1509,2))),DATE(VALUE(RIGHT($AB1509,4)),VALUE(MID($AB1509,4,2)),VALUE(LEFT($AB1509,2)))))</f>
        <v>45774</v>
      </c>
      <c r="C1509" s="61" t="n">
        <f aca="false">YEAR($B1509)</f>
        <v>2025</v>
      </c>
      <c r="D1509" s="61" t="str">
        <f aca="false">"Q"&amp;ROUNDUP(MONTH($B1509)/3,0)</f>
        <v>Q2</v>
      </c>
      <c r="E1509" s="61" t="n">
        <f aca="false">MONTH($B1509)</f>
        <v>4</v>
      </c>
      <c r="F1509" s="61" t="str">
        <f aca="false">INDEX(Parametros!$I$5:$I$16,$E1509)</f>
        <v>Abr</v>
      </c>
      <c r="G1509" s="61" t="str">
        <f aca="false">TEXT($C1509,"0000")&amp;"-"&amp;TEXT($E1509,"00")</f>
        <v>2025-04</v>
      </c>
      <c r="H1509" s="61" t="str">
        <f aca="false">INDEX(Parametros!$C$71:$C$91,MATCH(TRIM(INDEX(Datos_Origen!$C$2:$C$2459,$Z1509)),Parametros!$B$71:$B$91,0))</f>
        <v>AMBA</v>
      </c>
      <c r="I1509" s="61" t="str">
        <f aca="false">IF(TRIM($AD1509)="",INDEX(Parametros!$I$20:$I$24,MATCH($H1509,Parametros!$H$20:$H$24,0)),TRIM($AD1509))</f>
        <v>Buenos Aires</v>
      </c>
      <c r="J1509" s="61" t="str">
        <f aca="false">INDEX(Parametros!$C$95:$C$106,MATCH(TRIM(INDEX(Datos_Origen!$E$2:$E$2459,$Z1509)),Parametros!$B$95:$B$106,0))</f>
        <v>E-commerce</v>
      </c>
      <c r="K1509" s="61" t="str">
        <f aca="false">INDEX(Parametros!$C$48:$C$67,MATCH(TRIM(INDEX(Datos_Origen!$F$2:$F$2459,$Z1509)),Parametros!$B$48:$B$67,0))</f>
        <v>Accesorios</v>
      </c>
      <c r="L1509" s="61" t="str">
        <f aca="false">$K1509&amp;" "&amp;$C1509</f>
        <v>Accesorios 2025</v>
      </c>
      <c r="M1509" s="61" t="str">
        <f aca="false">TRIM(INDEX(Datos_Origen!$G$2:$G$2459,$Z1509))</f>
        <v>Mouse Inalambrico</v>
      </c>
      <c r="N1509" s="61" t="str">
        <f aca="false">$M1509&amp;" "&amp;$C1509</f>
        <v>Mouse Inalambrico 2025</v>
      </c>
      <c r="O1509" s="63" t="n">
        <f aca="false">IF(ISTEXT($AC1509),VALUE($AC1509),$AC1509)</f>
        <v>57</v>
      </c>
      <c r="P1509" s="64" t="n">
        <f aca="false">INDEX(Datos_Origen!$I$2:$I$2459,$Z1509)</f>
        <v>27.82</v>
      </c>
      <c r="Q1509" s="64" t="n">
        <f aca="false">INDEX(Datos_Origen!$J$2:$J$2459,$Z1509)</f>
        <v>13.84</v>
      </c>
      <c r="R1509" s="65" t="n">
        <f aca="false">ROUND($O1509*$P1509,2)</f>
        <v>1585.74</v>
      </c>
      <c r="S1509" s="65" t="n">
        <f aca="false">ROUND($O1509*$Q1509,2)</f>
        <v>788.88</v>
      </c>
      <c r="T1509" s="65" t="n">
        <f aca="false">ROUND($R1509*SUMIFS(Parametros!$E$28:$E$43,Parametros!$B$28:$B$43,$J1509,Parametros!$C$28:$C$43,$C1509,Parametros!$D$28:$D$43,$D1509),2)</f>
        <v>117.34</v>
      </c>
      <c r="U1509" s="65" t="n">
        <f aca="false">$R1509-$S1509-$T1509</f>
        <v>679.52</v>
      </c>
      <c r="V1509" s="66" t="n">
        <f aca="false">IFERROR($U1509/$R1509,0)</f>
        <v>0.428519177166496</v>
      </c>
      <c r="W1509" s="67" t="str">
        <f aca="false">IF(AND($V1509&gt;=Parametros!$C$8,$R1509&gt;=Parametros!$C$12),"Alta rentabilidad",IF(OR($V1509&lt;Parametros!$C$11,$R1509&lt;Parametros!$C$13),"Revisar","Estandar"))</f>
        <v>Estandar</v>
      </c>
      <c r="X1509" s="67" t="str">
        <f aca="false">IF(AND($J1509="E-commerce",IFERROR($T1509/$R1509,0)&gt;Parametros!$C$14),"Alerta","OK")</f>
        <v>Alerta</v>
      </c>
      <c r="Y1509" s="61" t="str">
        <f aca="false">IF($R1509&gt;=Parametros!$C$12,"Alto",IF($R1509&lt;Parametros!$C$13,"Bajo","Medio"))</f>
        <v>Medio</v>
      </c>
      <c r="Z1509" s="61" t="n">
        <v>627</v>
      </c>
      <c r="AA1509" s="61" t="str">
        <f aca="false">IF(MATCH($A1509,Datos_Origen!$A$2:$A$2459,0)=$Z1509,"OK","REVISAR")</f>
        <v>OK</v>
      </c>
      <c r="AB1509" s="61" t="str">
        <f aca="false">INDEX(Datos_Origen!$B$2:$B$2459,$Z1509)</f>
        <v>27/04/2025</v>
      </c>
      <c r="AC1509" s="61" t="n">
        <f aca="false">INDEX(Datos_Origen!$H$2:$H$2459,$Z1509)</f>
        <v>57</v>
      </c>
      <c r="AD1509" s="61" t="str">
        <f aca="false">INDEX(Datos_Origen!$D$2:$D$2459,$Z1509)&amp;""</f>
        <v/>
      </c>
    </row>
    <row r="1510" customFormat="false" ht="15" hidden="false" customHeight="false" outlineLevel="0" collapsed="false">
      <c r="A1510" s="61" t="n">
        <f aca="false">INDEX(Datos_Origen!$A$2:$A$2459,$Z1510)</f>
        <v>1509</v>
      </c>
      <c r="B1510" s="62" t="n">
        <f aca="false">IF(ISNUMBER($AB1510),$AB1510,IF(MID($AB1510,5,1)="-",DATE(VALUE(LEFT($AB1510,4)),VALUE(MID($AB1510,6,2)),VALUE(RIGHT($AB1510,2))),DATE(VALUE(RIGHT($AB1510,4)),VALUE(MID($AB1510,4,2)),VALUE(LEFT($AB1510,2)))))</f>
        <v>45754</v>
      </c>
      <c r="C1510" s="61" t="n">
        <f aca="false">YEAR($B1510)</f>
        <v>2025</v>
      </c>
      <c r="D1510" s="61" t="str">
        <f aca="false">"Q"&amp;ROUNDUP(MONTH($B1510)/3,0)</f>
        <v>Q2</v>
      </c>
      <c r="E1510" s="61" t="n">
        <f aca="false">MONTH($B1510)</f>
        <v>4</v>
      </c>
      <c r="F1510" s="61" t="str">
        <f aca="false">INDEX(Parametros!$I$5:$I$16,$E1510)</f>
        <v>Abr</v>
      </c>
      <c r="G1510" s="61" t="str">
        <f aca="false">TEXT($C1510,"0000")&amp;"-"&amp;TEXT($E1510,"00")</f>
        <v>2025-04</v>
      </c>
      <c r="H1510" s="61" t="str">
        <f aca="false">INDEX(Parametros!$C$71:$C$91,MATCH(TRIM(INDEX(Datos_Origen!$C$2:$C$2459,$Z1510)),Parametros!$B$71:$B$91,0))</f>
        <v>AMBA</v>
      </c>
      <c r="I1510" s="61" t="str">
        <f aca="false">IF(TRIM($AD1510)="",INDEX(Parametros!$I$20:$I$24,MATCH($H1510,Parametros!$H$20:$H$24,0)),TRIM($AD1510))</f>
        <v>Buenos Aires</v>
      </c>
      <c r="J1510" s="61" t="str">
        <f aca="false">INDEX(Parametros!$C$95:$C$106,MATCH(TRIM(INDEX(Datos_Origen!$E$2:$E$2459,$Z1510)),Parametros!$B$95:$B$106,0))</f>
        <v>Tienda fisica</v>
      </c>
      <c r="K1510" s="61" t="str">
        <f aca="false">INDEX(Parametros!$C$48:$C$67,MATCH(TRIM(INDEX(Datos_Origen!$F$2:$F$2459,$Z1510)),Parametros!$B$48:$B$67,0))</f>
        <v>Accesorios</v>
      </c>
      <c r="L1510" s="61" t="str">
        <f aca="false">$K1510&amp;" "&amp;$C1510</f>
        <v>Accesorios 2025</v>
      </c>
      <c r="M1510" s="61" t="str">
        <f aca="false">TRIM(INDEX(Datos_Origen!$G$2:$G$2459,$Z1510))</f>
        <v>Teclado Mecanico</v>
      </c>
      <c r="N1510" s="61" t="str">
        <f aca="false">$M1510&amp;" "&amp;$C1510</f>
        <v>Teclado Mecanico 2025</v>
      </c>
      <c r="O1510" s="63" t="n">
        <f aca="false">IF(ISTEXT($AC1510),VALUE($AC1510),$AC1510)</f>
        <v>95</v>
      </c>
      <c r="P1510" s="64" t="n">
        <f aca="false">INDEX(Datos_Origen!$I$2:$I$2459,$Z1510)</f>
        <v>94.39</v>
      </c>
      <c r="Q1510" s="64" t="n">
        <f aca="false">INDEX(Datos_Origen!$J$2:$J$2459,$Z1510)</f>
        <v>49.41</v>
      </c>
      <c r="R1510" s="65" t="n">
        <f aca="false">ROUND($O1510*$P1510,2)</f>
        <v>8967.05</v>
      </c>
      <c r="S1510" s="65" t="n">
        <f aca="false">ROUND($O1510*$Q1510,2)</f>
        <v>4693.95</v>
      </c>
      <c r="T1510" s="65" t="n">
        <f aca="false">ROUND($R1510*SUMIFS(Parametros!$E$28:$E$43,Parametros!$B$28:$B$43,$J1510,Parametros!$C$28:$C$43,$C1510,Parametros!$D$28:$D$43,$D1510),2)</f>
        <v>125.54</v>
      </c>
      <c r="U1510" s="65" t="n">
        <f aca="false">$R1510-$S1510-$T1510</f>
        <v>4147.56</v>
      </c>
      <c r="V1510" s="66" t="n">
        <f aca="false">IFERROR($U1510/$R1510,0)</f>
        <v>0.462533386119181</v>
      </c>
      <c r="W1510" s="67" t="str">
        <f aca="false">IF(AND($V1510&gt;=Parametros!$C$8,$R1510&gt;=Parametros!$C$12),"Alta rentabilidad",IF(OR($V1510&lt;Parametros!$C$11,$R1510&lt;Parametros!$C$13),"Revisar","Estandar"))</f>
        <v>Alta rentabilidad</v>
      </c>
      <c r="X1510" s="67" t="str">
        <f aca="false">IF(AND($J1510="E-commerce",IFERROR($T1510/$R1510,0)&gt;Parametros!$C$14),"Alerta","OK")</f>
        <v>OK</v>
      </c>
      <c r="Y1510" s="61" t="str">
        <f aca="false">IF($R1510&gt;=Parametros!$C$12,"Alto",IF($R1510&lt;Parametros!$C$13,"Bajo","Medio"))</f>
        <v>Alto</v>
      </c>
      <c r="Z1510" s="61" t="n">
        <v>2359</v>
      </c>
      <c r="AA1510" s="61" t="str">
        <f aca="false">IF(MATCH($A1510,Datos_Origen!$A$2:$A$2459,0)=$Z1510,"OK","REVISAR")</f>
        <v>OK</v>
      </c>
      <c r="AB1510" s="61" t="str">
        <f aca="false">INDEX(Datos_Origen!$B$2:$B$2459,$Z1510)</f>
        <v>2025-04-07</v>
      </c>
      <c r="AC1510" s="61" t="n">
        <f aca="false">INDEX(Datos_Origen!$H$2:$H$2459,$Z1510)</f>
        <v>95</v>
      </c>
      <c r="AD1510" s="61" t="str">
        <f aca="false">INDEX(Datos_Origen!$D$2:$D$2459,$Z1510)&amp;""</f>
        <v>Buenos Aires</v>
      </c>
    </row>
    <row r="1511" customFormat="false" ht="15" hidden="false" customHeight="false" outlineLevel="0" collapsed="false">
      <c r="A1511" s="61" t="n">
        <f aca="false">INDEX(Datos_Origen!$A$2:$A$2459,$Z1511)</f>
        <v>1510</v>
      </c>
      <c r="B1511" s="62" t="n">
        <f aca="false">IF(ISNUMBER($AB1511),$AB1511,IF(MID($AB1511,5,1)="-",DATE(VALUE(LEFT($AB1511,4)),VALUE(MID($AB1511,6,2)),VALUE(RIGHT($AB1511,2))),DATE(VALUE(RIGHT($AB1511,4)),VALUE(MID($AB1511,4,2)),VALUE(LEFT($AB1511,2)))))</f>
        <v>45761</v>
      </c>
      <c r="C1511" s="61" t="n">
        <f aca="false">YEAR($B1511)</f>
        <v>2025</v>
      </c>
      <c r="D1511" s="61" t="str">
        <f aca="false">"Q"&amp;ROUNDUP(MONTH($B1511)/3,0)</f>
        <v>Q2</v>
      </c>
      <c r="E1511" s="61" t="n">
        <f aca="false">MONTH($B1511)</f>
        <v>4</v>
      </c>
      <c r="F1511" s="61" t="str">
        <f aca="false">INDEX(Parametros!$I$5:$I$16,$E1511)</f>
        <v>Abr</v>
      </c>
      <c r="G1511" s="61" t="str">
        <f aca="false">TEXT($C1511,"0000")&amp;"-"&amp;TEXT($E1511,"00")</f>
        <v>2025-04</v>
      </c>
      <c r="H1511" s="61" t="str">
        <f aca="false">INDEX(Parametros!$C$71:$C$91,MATCH(TRIM(INDEX(Datos_Origen!$C$2:$C$2459,$Z1511)),Parametros!$B$71:$B$91,0))</f>
        <v>AMBA</v>
      </c>
      <c r="I1511" s="61" t="str">
        <f aca="false">IF(TRIM($AD1511)="",INDEX(Parametros!$I$20:$I$24,MATCH($H1511,Parametros!$H$20:$H$24,0)),TRIM($AD1511))</f>
        <v>Buenos Aires</v>
      </c>
      <c r="J1511" s="61" t="str">
        <f aca="false">INDEX(Parametros!$C$95:$C$106,MATCH(TRIM(INDEX(Datos_Origen!$E$2:$E$2459,$Z1511)),Parametros!$B$95:$B$106,0))</f>
        <v>E-commerce</v>
      </c>
      <c r="K1511" s="61" t="str">
        <f aca="false">INDEX(Parametros!$C$48:$C$67,MATCH(TRIM(INDEX(Datos_Origen!$F$2:$F$2459,$Z1511)),Parametros!$B$48:$B$67,0))</f>
        <v>Accesorios</v>
      </c>
      <c r="L1511" s="61" t="str">
        <f aca="false">$K1511&amp;" "&amp;$C1511</f>
        <v>Accesorios 2025</v>
      </c>
      <c r="M1511" s="61" t="str">
        <f aca="false">TRIM(INDEX(Datos_Origen!$G$2:$G$2459,$Z1511))</f>
        <v>Teclado Mecanico</v>
      </c>
      <c r="N1511" s="61" t="str">
        <f aca="false">$M1511&amp;" "&amp;$C1511</f>
        <v>Teclado Mecanico 2025</v>
      </c>
      <c r="O1511" s="63" t="n">
        <f aca="false">IF(ISTEXT($AC1511),VALUE($AC1511),$AC1511)</f>
        <v>70</v>
      </c>
      <c r="P1511" s="64" t="n">
        <f aca="false">INDEX(Datos_Origen!$I$2:$I$2459,$Z1511)</f>
        <v>94.39</v>
      </c>
      <c r="Q1511" s="64" t="n">
        <f aca="false">INDEX(Datos_Origen!$J$2:$J$2459,$Z1511)</f>
        <v>49.41</v>
      </c>
      <c r="R1511" s="65" t="n">
        <f aca="false">ROUND($O1511*$P1511,2)</f>
        <v>6607.3</v>
      </c>
      <c r="S1511" s="65" t="n">
        <f aca="false">ROUND($O1511*$Q1511,2)</f>
        <v>3458.7</v>
      </c>
      <c r="T1511" s="65" t="n">
        <f aca="false">ROUND($R1511*SUMIFS(Parametros!$E$28:$E$43,Parametros!$B$28:$B$43,$J1511,Parametros!$C$28:$C$43,$C1511,Parametros!$D$28:$D$43,$D1511),2)</f>
        <v>488.94</v>
      </c>
      <c r="U1511" s="65" t="n">
        <f aca="false">$R1511-$S1511-$T1511</f>
        <v>2659.66</v>
      </c>
      <c r="V1511" s="66" t="n">
        <f aca="false">IFERROR($U1511/$R1511,0)</f>
        <v>0.402533561363946</v>
      </c>
      <c r="W1511" s="67" t="str">
        <f aca="false">IF(AND($V1511&gt;=Parametros!$C$8,$R1511&gt;=Parametros!$C$12),"Alta rentabilidad",IF(OR($V1511&lt;Parametros!$C$11,$R1511&lt;Parametros!$C$13),"Revisar","Estandar"))</f>
        <v>Alta rentabilidad</v>
      </c>
      <c r="X1511" s="67" t="str">
        <f aca="false">IF(AND($J1511="E-commerce",IFERROR($T1511/$R1511,0)&gt;Parametros!$C$14),"Alerta","OK")</f>
        <v>Alerta</v>
      </c>
      <c r="Y1511" s="61" t="str">
        <f aca="false">IF($R1511&gt;=Parametros!$C$12,"Alto",IF($R1511&lt;Parametros!$C$13,"Bajo","Medio"))</f>
        <v>Alto</v>
      </c>
      <c r="Z1511" s="61" t="n">
        <v>1184</v>
      </c>
      <c r="AA1511" s="61" t="str">
        <f aca="false">IF(MATCH($A1511,Datos_Origen!$A$2:$A$2459,0)=$Z1511,"OK","REVISAR")</f>
        <v>OK</v>
      </c>
      <c r="AB1511" s="61" t="str">
        <f aca="false">INDEX(Datos_Origen!$B$2:$B$2459,$Z1511)</f>
        <v>14/04/2025</v>
      </c>
      <c r="AC1511" s="61" t="n">
        <f aca="false">INDEX(Datos_Origen!$H$2:$H$2459,$Z1511)</f>
        <v>70</v>
      </c>
      <c r="AD1511" s="61" t="str">
        <f aca="false">INDEX(Datos_Origen!$D$2:$D$2459,$Z1511)&amp;""</f>
        <v>Buenos Aires</v>
      </c>
    </row>
    <row r="1512" customFormat="false" ht="15" hidden="false" customHeight="false" outlineLevel="0" collapsed="false">
      <c r="A1512" s="61" t="n">
        <f aca="false">INDEX(Datos_Origen!$A$2:$A$2459,$Z1512)</f>
        <v>1511</v>
      </c>
      <c r="B1512" s="62" t="n">
        <f aca="false">IF(ISNUMBER($AB1512),$AB1512,IF(MID($AB1512,5,1)="-",DATE(VALUE(LEFT($AB1512,4)),VALUE(MID($AB1512,6,2)),VALUE(RIGHT($AB1512,2))),DATE(VALUE(RIGHT($AB1512,4)),VALUE(MID($AB1512,4,2)),VALUE(LEFT($AB1512,2)))))</f>
        <v>45768</v>
      </c>
      <c r="C1512" s="61" t="n">
        <f aca="false">YEAR($B1512)</f>
        <v>2025</v>
      </c>
      <c r="D1512" s="61" t="str">
        <f aca="false">"Q"&amp;ROUNDUP(MONTH($B1512)/3,0)</f>
        <v>Q2</v>
      </c>
      <c r="E1512" s="61" t="n">
        <f aca="false">MONTH($B1512)</f>
        <v>4</v>
      </c>
      <c r="F1512" s="61" t="str">
        <f aca="false">INDEX(Parametros!$I$5:$I$16,$E1512)</f>
        <v>Abr</v>
      </c>
      <c r="G1512" s="61" t="str">
        <f aca="false">TEXT($C1512,"0000")&amp;"-"&amp;TEXT($E1512,"00")</f>
        <v>2025-04</v>
      </c>
      <c r="H1512" s="61" t="str">
        <f aca="false">INDEX(Parametros!$C$71:$C$91,MATCH(TRIM(INDEX(Datos_Origen!$C$2:$C$2459,$Z1512)),Parametros!$B$71:$B$91,0))</f>
        <v>AMBA</v>
      </c>
      <c r="I1512" s="61" t="str">
        <f aca="false">IF(TRIM($AD1512)="",INDEX(Parametros!$I$20:$I$24,MATCH($H1512,Parametros!$H$20:$H$24,0)),TRIM($AD1512))</f>
        <v>Buenos Aires</v>
      </c>
      <c r="J1512" s="61" t="str">
        <f aca="false">INDEX(Parametros!$C$95:$C$106,MATCH(TRIM(INDEX(Datos_Origen!$E$2:$E$2459,$Z1512)),Parametros!$B$95:$B$106,0))</f>
        <v>Tienda fisica</v>
      </c>
      <c r="K1512" s="61" t="str">
        <f aca="false">INDEX(Parametros!$C$48:$C$67,MATCH(TRIM(INDEX(Datos_Origen!$F$2:$F$2459,$Z1512)),Parametros!$B$48:$B$67,0))</f>
        <v>Accesorios</v>
      </c>
      <c r="L1512" s="61" t="str">
        <f aca="false">$K1512&amp;" "&amp;$C1512</f>
        <v>Accesorios 2025</v>
      </c>
      <c r="M1512" s="61" t="str">
        <f aca="false">TRIM(INDEX(Datos_Origen!$G$2:$G$2459,$Z1512))</f>
        <v>Webcam Full HD</v>
      </c>
      <c r="N1512" s="61" t="str">
        <f aca="false">$M1512&amp;" "&amp;$C1512</f>
        <v>Webcam Full HD 2025</v>
      </c>
      <c r="O1512" s="63" t="n">
        <f aca="false">IF(ISTEXT($AC1512),VALUE($AC1512),$AC1512)</f>
        <v>86</v>
      </c>
      <c r="P1512" s="64" t="n">
        <f aca="false">INDEX(Datos_Origen!$I$2:$I$2459,$Z1512)</f>
        <v>64.58</v>
      </c>
      <c r="Q1512" s="64" t="n">
        <f aca="false">INDEX(Datos_Origen!$J$2:$J$2459,$Z1512)</f>
        <v>36.49</v>
      </c>
      <c r="R1512" s="65" t="n">
        <f aca="false">ROUND($O1512*$P1512,2)</f>
        <v>5553.88</v>
      </c>
      <c r="S1512" s="65" t="n">
        <f aca="false">ROUND($O1512*$Q1512,2)</f>
        <v>3138.14</v>
      </c>
      <c r="T1512" s="65" t="n">
        <f aca="false">ROUND($R1512*SUMIFS(Parametros!$E$28:$E$43,Parametros!$B$28:$B$43,$J1512,Parametros!$C$28:$C$43,$C1512,Parametros!$D$28:$D$43,$D1512),2)</f>
        <v>77.75</v>
      </c>
      <c r="U1512" s="65" t="n">
        <f aca="false">$R1512-$S1512-$T1512</f>
        <v>2337.99</v>
      </c>
      <c r="V1512" s="66" t="n">
        <f aca="false">IFERROR($U1512/$R1512,0)</f>
        <v>0.420965163093189</v>
      </c>
      <c r="W1512" s="67" t="str">
        <f aca="false">IF(AND($V1512&gt;=Parametros!$C$8,$R1512&gt;=Parametros!$C$12),"Alta rentabilidad",IF(OR($V1512&lt;Parametros!$C$11,$R1512&lt;Parametros!$C$13),"Revisar","Estandar"))</f>
        <v>Alta rentabilidad</v>
      </c>
      <c r="X1512" s="67" t="str">
        <f aca="false">IF(AND($J1512="E-commerce",IFERROR($T1512/$R1512,0)&gt;Parametros!$C$14),"Alerta","OK")</f>
        <v>OK</v>
      </c>
      <c r="Y1512" s="61" t="str">
        <f aca="false">IF($R1512&gt;=Parametros!$C$12,"Alto",IF($R1512&lt;Parametros!$C$13,"Bajo","Medio"))</f>
        <v>Alto</v>
      </c>
      <c r="Z1512" s="61" t="n">
        <v>5</v>
      </c>
      <c r="AA1512" s="61" t="str">
        <f aca="false">IF(MATCH($A1512,Datos_Origen!$A$2:$A$2459,0)=$Z1512,"OK","REVISAR")</f>
        <v>OK</v>
      </c>
      <c r="AB1512" s="62" t="n">
        <f aca="false">INDEX(Datos_Origen!$B$2:$B$2459,$Z1512)</f>
        <v>45768</v>
      </c>
      <c r="AC1512" s="61" t="n">
        <f aca="false">INDEX(Datos_Origen!$H$2:$H$2459,$Z1512)</f>
        <v>86</v>
      </c>
      <c r="AD1512" s="61" t="str">
        <f aca="false">INDEX(Datos_Origen!$D$2:$D$2459,$Z1512)&amp;""</f>
        <v>Buenos Aires</v>
      </c>
    </row>
    <row r="1513" customFormat="false" ht="15" hidden="false" customHeight="false" outlineLevel="0" collapsed="false">
      <c r="A1513" s="61" t="n">
        <f aca="false">INDEX(Datos_Origen!$A$2:$A$2459,$Z1513)</f>
        <v>1512</v>
      </c>
      <c r="B1513" s="62" t="n">
        <f aca="false">IF(ISNUMBER($AB1513),$AB1513,IF(MID($AB1513,5,1)="-",DATE(VALUE(LEFT($AB1513,4)),VALUE(MID($AB1513,6,2)),VALUE(RIGHT($AB1513,2))),DATE(VALUE(RIGHT($AB1513,4)),VALUE(MID($AB1513,4,2)),VALUE(LEFT($AB1513,2)))))</f>
        <v>45748</v>
      </c>
      <c r="C1513" s="61" t="n">
        <f aca="false">YEAR($B1513)</f>
        <v>2025</v>
      </c>
      <c r="D1513" s="61" t="str">
        <f aca="false">"Q"&amp;ROUNDUP(MONTH($B1513)/3,0)</f>
        <v>Q2</v>
      </c>
      <c r="E1513" s="61" t="n">
        <f aca="false">MONTH($B1513)</f>
        <v>4</v>
      </c>
      <c r="F1513" s="61" t="str">
        <f aca="false">INDEX(Parametros!$I$5:$I$16,$E1513)</f>
        <v>Abr</v>
      </c>
      <c r="G1513" s="61" t="str">
        <f aca="false">TEXT($C1513,"0000")&amp;"-"&amp;TEXT($E1513,"00")</f>
        <v>2025-04</v>
      </c>
      <c r="H1513" s="61" t="str">
        <f aca="false">INDEX(Parametros!$C$71:$C$91,MATCH(TRIM(INDEX(Datos_Origen!$C$2:$C$2459,$Z1513)),Parametros!$B$71:$B$91,0))</f>
        <v>AMBA</v>
      </c>
      <c r="I1513" s="61" t="str">
        <f aca="false">IF(TRIM($AD1513)="",INDEX(Parametros!$I$20:$I$24,MATCH($H1513,Parametros!$H$20:$H$24,0)),TRIM($AD1513))</f>
        <v>Buenos Aires</v>
      </c>
      <c r="J1513" s="61" t="str">
        <f aca="false">INDEX(Parametros!$C$95:$C$106,MATCH(TRIM(INDEX(Datos_Origen!$E$2:$E$2459,$Z1513)),Parametros!$B$95:$B$106,0))</f>
        <v>E-commerce</v>
      </c>
      <c r="K1513" s="61" t="str">
        <f aca="false">INDEX(Parametros!$C$48:$C$67,MATCH(TRIM(INDEX(Datos_Origen!$F$2:$F$2459,$Z1513)),Parametros!$B$48:$B$67,0))</f>
        <v>Accesorios</v>
      </c>
      <c r="L1513" s="61" t="str">
        <f aca="false">$K1513&amp;" "&amp;$C1513</f>
        <v>Accesorios 2025</v>
      </c>
      <c r="M1513" s="61" t="str">
        <f aca="false">TRIM(INDEX(Datos_Origen!$G$2:$G$2459,$Z1513))</f>
        <v>Webcam Full HD</v>
      </c>
      <c r="N1513" s="61" t="str">
        <f aca="false">$M1513&amp;" "&amp;$C1513</f>
        <v>Webcam Full HD 2025</v>
      </c>
      <c r="O1513" s="63" t="n">
        <f aca="false">IF(ISTEXT($AC1513),VALUE($AC1513),$AC1513)</f>
        <v>62</v>
      </c>
      <c r="P1513" s="64" t="n">
        <f aca="false">INDEX(Datos_Origen!$I$2:$I$2459,$Z1513)</f>
        <v>64.58</v>
      </c>
      <c r="Q1513" s="64" t="n">
        <f aca="false">INDEX(Datos_Origen!$J$2:$J$2459,$Z1513)</f>
        <v>36.49</v>
      </c>
      <c r="R1513" s="65" t="n">
        <f aca="false">ROUND($O1513*$P1513,2)</f>
        <v>4003.96</v>
      </c>
      <c r="S1513" s="65" t="n">
        <f aca="false">ROUND($O1513*$Q1513,2)</f>
        <v>2262.38</v>
      </c>
      <c r="T1513" s="65" t="n">
        <f aca="false">ROUND($R1513*SUMIFS(Parametros!$E$28:$E$43,Parametros!$B$28:$B$43,$J1513,Parametros!$C$28:$C$43,$C1513,Parametros!$D$28:$D$43,$D1513),2)</f>
        <v>296.29</v>
      </c>
      <c r="U1513" s="65" t="n">
        <f aca="false">$R1513-$S1513-$T1513</f>
        <v>1445.29</v>
      </c>
      <c r="V1513" s="66" t="n">
        <f aca="false">IFERROR($U1513/$R1513,0)</f>
        <v>0.360965144506938</v>
      </c>
      <c r="W1513" s="67" t="str">
        <f aca="false">IF(AND($V1513&gt;=Parametros!$C$8,$R1513&gt;=Parametros!$C$12),"Alta rentabilidad",IF(OR($V1513&lt;Parametros!$C$11,$R1513&lt;Parametros!$C$13),"Revisar","Estandar"))</f>
        <v>Alta rentabilidad</v>
      </c>
      <c r="X1513" s="67" t="str">
        <f aca="false">IF(AND($J1513="E-commerce",IFERROR($T1513/$R1513,0)&gt;Parametros!$C$14),"Alerta","OK")</f>
        <v>Alerta</v>
      </c>
      <c r="Y1513" s="61" t="str">
        <f aca="false">IF($R1513&gt;=Parametros!$C$12,"Alto",IF($R1513&lt;Parametros!$C$13,"Bajo","Medio"))</f>
        <v>Alto</v>
      </c>
      <c r="Z1513" s="61" t="n">
        <v>931</v>
      </c>
      <c r="AA1513" s="61" t="str">
        <f aca="false">IF(MATCH($A1513,Datos_Origen!$A$2:$A$2459,0)=$Z1513,"OK","REVISAR")</f>
        <v>OK</v>
      </c>
      <c r="AB1513" s="61" t="str">
        <f aca="false">INDEX(Datos_Origen!$B$2:$B$2459,$Z1513)</f>
        <v>2025-04-01</v>
      </c>
      <c r="AC1513" s="61" t="n">
        <f aca="false">INDEX(Datos_Origen!$H$2:$H$2459,$Z1513)</f>
        <v>62</v>
      </c>
      <c r="AD1513" s="61" t="str">
        <f aca="false">INDEX(Datos_Origen!$D$2:$D$2459,$Z1513)&amp;""</f>
        <v>Buenos Aires</v>
      </c>
    </row>
    <row r="1514" customFormat="false" ht="15" hidden="false" customHeight="false" outlineLevel="0" collapsed="false">
      <c r="A1514" s="61" t="n">
        <f aca="false">INDEX(Datos_Origen!$A$2:$A$2459,$Z1514)</f>
        <v>1513</v>
      </c>
      <c r="B1514" s="62" t="n">
        <f aca="false">IF(ISNUMBER($AB1514),$AB1514,IF(MID($AB1514,5,1)="-",DATE(VALUE(LEFT($AB1514,4)),VALUE(MID($AB1514,6,2)),VALUE(RIGHT($AB1514,2))),DATE(VALUE(RIGHT($AB1514,4)),VALUE(MID($AB1514,4,2)),VALUE(LEFT($AB1514,2)))))</f>
        <v>45755</v>
      </c>
      <c r="C1514" s="61" t="n">
        <f aca="false">YEAR($B1514)</f>
        <v>2025</v>
      </c>
      <c r="D1514" s="61" t="str">
        <f aca="false">"Q"&amp;ROUNDUP(MONTH($B1514)/3,0)</f>
        <v>Q2</v>
      </c>
      <c r="E1514" s="61" t="n">
        <f aca="false">MONTH($B1514)</f>
        <v>4</v>
      </c>
      <c r="F1514" s="61" t="str">
        <f aca="false">INDEX(Parametros!$I$5:$I$16,$E1514)</f>
        <v>Abr</v>
      </c>
      <c r="G1514" s="61" t="str">
        <f aca="false">TEXT($C1514,"0000")&amp;"-"&amp;TEXT($E1514,"00")</f>
        <v>2025-04</v>
      </c>
      <c r="H1514" s="61" t="str">
        <f aca="false">INDEX(Parametros!$C$71:$C$91,MATCH(TRIM(INDEX(Datos_Origen!$C$2:$C$2459,$Z1514)),Parametros!$B$71:$B$91,0))</f>
        <v>AMBA</v>
      </c>
      <c r="I1514" s="61" t="str">
        <f aca="false">IF(TRIM($AD1514)="",INDEX(Parametros!$I$20:$I$24,MATCH($H1514,Parametros!$H$20:$H$24,0)),TRIM($AD1514))</f>
        <v>Buenos Aires</v>
      </c>
      <c r="J1514" s="61" t="str">
        <f aca="false">INDEX(Parametros!$C$95:$C$106,MATCH(TRIM(INDEX(Datos_Origen!$E$2:$E$2459,$Z1514)),Parametros!$B$95:$B$106,0))</f>
        <v>Tienda fisica</v>
      </c>
      <c r="K1514" s="61" t="str">
        <f aca="false">INDEX(Parametros!$C$48:$C$67,MATCH(TRIM(INDEX(Datos_Origen!$F$2:$F$2459,$Z1514)),Parametros!$B$48:$B$67,0))</f>
        <v>Audio</v>
      </c>
      <c r="L1514" s="61" t="str">
        <f aca="false">$K1514&amp;" "&amp;$C1514</f>
        <v>Audio 2025</v>
      </c>
      <c r="M1514" s="61" t="str">
        <f aca="false">TRIM(INDEX(Datos_Origen!$G$2:$G$2459,$Z1514))</f>
        <v>Auriculares BT Pro</v>
      </c>
      <c r="N1514" s="61" t="str">
        <f aca="false">$M1514&amp;" "&amp;$C1514</f>
        <v>Auriculares BT Pro 2025</v>
      </c>
      <c r="O1514" s="63" t="n">
        <f aca="false">IF(ISTEXT($AC1514),VALUE($AC1514),$AC1514)</f>
        <v>45</v>
      </c>
      <c r="P1514" s="64" t="n">
        <f aca="false">INDEX(Datos_Origen!$I$2:$I$2459,$Z1514)</f>
        <v>119.23</v>
      </c>
      <c r="Q1514" s="64" t="n">
        <f aca="false">INDEX(Datos_Origen!$J$2:$J$2459,$Z1514)</f>
        <v>65.51</v>
      </c>
      <c r="R1514" s="65" t="n">
        <f aca="false">ROUND($O1514*$P1514,2)</f>
        <v>5365.35</v>
      </c>
      <c r="S1514" s="65" t="n">
        <f aca="false">ROUND($O1514*$Q1514,2)</f>
        <v>2947.95</v>
      </c>
      <c r="T1514" s="65" t="n">
        <f aca="false">ROUND($R1514*SUMIFS(Parametros!$E$28:$E$43,Parametros!$B$28:$B$43,$J1514,Parametros!$C$28:$C$43,$C1514,Parametros!$D$28:$D$43,$D1514),2)</f>
        <v>75.11</v>
      </c>
      <c r="U1514" s="65" t="n">
        <f aca="false">$R1514-$S1514-$T1514</f>
        <v>2342.29</v>
      </c>
      <c r="V1514" s="66" t="n">
        <f aca="false">IFERROR($U1514/$R1514,0)</f>
        <v>0.436558658801383</v>
      </c>
      <c r="W1514" s="67" t="str">
        <f aca="false">IF(AND($V1514&gt;=Parametros!$C$8,$R1514&gt;=Parametros!$C$12),"Alta rentabilidad",IF(OR($V1514&lt;Parametros!$C$11,$R1514&lt;Parametros!$C$13),"Revisar","Estandar"))</f>
        <v>Alta rentabilidad</v>
      </c>
      <c r="X1514" s="67" t="str">
        <f aca="false">IF(AND($J1514="E-commerce",IFERROR($T1514/$R1514,0)&gt;Parametros!$C$14),"Alerta","OK")</f>
        <v>OK</v>
      </c>
      <c r="Y1514" s="61" t="str">
        <f aca="false">IF($R1514&gt;=Parametros!$C$12,"Alto",IF($R1514&lt;Parametros!$C$13,"Bajo","Medio"))</f>
        <v>Alto</v>
      </c>
      <c r="Z1514" s="61" t="n">
        <v>2355</v>
      </c>
      <c r="AA1514" s="61" t="str">
        <f aca="false">IF(MATCH($A1514,Datos_Origen!$A$2:$A$2459,0)=$Z1514,"OK","REVISAR")</f>
        <v>OK</v>
      </c>
      <c r="AB1514" s="61" t="str">
        <f aca="false">INDEX(Datos_Origen!$B$2:$B$2459,$Z1514)</f>
        <v>08/04/2025</v>
      </c>
      <c r="AC1514" s="61" t="n">
        <f aca="false">INDEX(Datos_Origen!$H$2:$H$2459,$Z1514)</f>
        <v>45</v>
      </c>
      <c r="AD1514" s="61" t="str">
        <f aca="false">INDEX(Datos_Origen!$D$2:$D$2459,$Z1514)&amp;""</f>
        <v>Buenos Aires</v>
      </c>
    </row>
    <row r="1515" customFormat="false" ht="15" hidden="false" customHeight="false" outlineLevel="0" collapsed="false">
      <c r="A1515" s="61" t="n">
        <f aca="false">INDEX(Datos_Origen!$A$2:$A$2459,$Z1515)</f>
        <v>1514</v>
      </c>
      <c r="B1515" s="62" t="n">
        <f aca="false">IF(ISNUMBER($AB1515),$AB1515,IF(MID($AB1515,5,1)="-",DATE(VALUE(LEFT($AB1515,4)),VALUE(MID($AB1515,6,2)),VALUE(RIGHT($AB1515,2))),DATE(VALUE(RIGHT($AB1515,4)),VALUE(MID($AB1515,4,2)),VALUE(LEFT($AB1515,2)))))</f>
        <v>45762</v>
      </c>
      <c r="C1515" s="61" t="n">
        <f aca="false">YEAR($B1515)</f>
        <v>2025</v>
      </c>
      <c r="D1515" s="61" t="str">
        <f aca="false">"Q"&amp;ROUNDUP(MONTH($B1515)/3,0)</f>
        <v>Q2</v>
      </c>
      <c r="E1515" s="61" t="n">
        <f aca="false">MONTH($B1515)</f>
        <v>4</v>
      </c>
      <c r="F1515" s="61" t="str">
        <f aca="false">INDEX(Parametros!$I$5:$I$16,$E1515)</f>
        <v>Abr</v>
      </c>
      <c r="G1515" s="61" t="str">
        <f aca="false">TEXT($C1515,"0000")&amp;"-"&amp;TEXT($E1515,"00")</f>
        <v>2025-04</v>
      </c>
      <c r="H1515" s="61" t="str">
        <f aca="false">INDEX(Parametros!$C$71:$C$91,MATCH(TRIM(INDEX(Datos_Origen!$C$2:$C$2459,$Z1515)),Parametros!$B$71:$B$91,0))</f>
        <v>AMBA</v>
      </c>
      <c r="I1515" s="61" t="str">
        <f aca="false">IF(TRIM($AD1515)="",INDEX(Parametros!$I$20:$I$24,MATCH($H1515,Parametros!$H$20:$H$24,0)),TRIM($AD1515))</f>
        <v>Buenos Aires</v>
      </c>
      <c r="J1515" s="61" t="str">
        <f aca="false">INDEX(Parametros!$C$95:$C$106,MATCH(TRIM(INDEX(Datos_Origen!$E$2:$E$2459,$Z1515)),Parametros!$B$95:$B$106,0))</f>
        <v>E-commerce</v>
      </c>
      <c r="K1515" s="61" t="str">
        <f aca="false">INDEX(Parametros!$C$48:$C$67,MATCH(TRIM(INDEX(Datos_Origen!$F$2:$F$2459,$Z1515)),Parametros!$B$48:$B$67,0))</f>
        <v>Audio</v>
      </c>
      <c r="L1515" s="61" t="str">
        <f aca="false">$K1515&amp;" "&amp;$C1515</f>
        <v>Audio 2025</v>
      </c>
      <c r="M1515" s="61" t="str">
        <f aca="false">TRIM(INDEX(Datos_Origen!$G$2:$G$2459,$Z1515))</f>
        <v>Auriculares BT Pro</v>
      </c>
      <c r="N1515" s="61" t="str">
        <f aca="false">$M1515&amp;" "&amp;$C1515</f>
        <v>Auriculares BT Pro 2025</v>
      </c>
      <c r="O1515" s="63" t="n">
        <f aca="false">IF(ISTEXT($AC1515),VALUE($AC1515),$AC1515)</f>
        <v>26</v>
      </c>
      <c r="P1515" s="64" t="n">
        <f aca="false">INDEX(Datos_Origen!$I$2:$I$2459,$Z1515)</f>
        <v>119.23</v>
      </c>
      <c r="Q1515" s="64" t="n">
        <f aca="false">INDEX(Datos_Origen!$J$2:$J$2459,$Z1515)</f>
        <v>65.51</v>
      </c>
      <c r="R1515" s="65" t="n">
        <f aca="false">ROUND($O1515*$P1515,2)</f>
        <v>3099.98</v>
      </c>
      <c r="S1515" s="65" t="n">
        <f aca="false">ROUND($O1515*$Q1515,2)</f>
        <v>1703.26</v>
      </c>
      <c r="T1515" s="65" t="n">
        <f aca="false">ROUND($R1515*SUMIFS(Parametros!$E$28:$E$43,Parametros!$B$28:$B$43,$J1515,Parametros!$C$28:$C$43,$C1515,Parametros!$D$28:$D$43,$D1515),2)</f>
        <v>229.4</v>
      </c>
      <c r="U1515" s="65" t="n">
        <f aca="false">$R1515-$S1515-$T1515</f>
        <v>1167.32</v>
      </c>
      <c r="V1515" s="66" t="n">
        <f aca="false">IFERROR($U1515/$R1515,0)</f>
        <v>0.376557268111407</v>
      </c>
      <c r="W1515" s="67" t="str">
        <f aca="false">IF(AND($V1515&gt;=Parametros!$C$8,$R1515&gt;=Parametros!$C$12),"Alta rentabilidad",IF(OR($V1515&lt;Parametros!$C$11,$R1515&lt;Parametros!$C$13),"Revisar","Estandar"))</f>
        <v>Alta rentabilidad</v>
      </c>
      <c r="X1515" s="67" t="str">
        <f aca="false">IF(AND($J1515="E-commerce",IFERROR($T1515/$R1515,0)&gt;Parametros!$C$14),"Alerta","OK")</f>
        <v>Alerta</v>
      </c>
      <c r="Y1515" s="61" t="str">
        <f aca="false">IF($R1515&gt;=Parametros!$C$12,"Alto",IF($R1515&lt;Parametros!$C$13,"Bajo","Medio"))</f>
        <v>Alto</v>
      </c>
      <c r="Z1515" s="61" t="n">
        <v>264</v>
      </c>
      <c r="AA1515" s="61" t="str">
        <f aca="false">IF(MATCH($A1515,Datos_Origen!$A$2:$A$2459,0)=$Z1515,"OK","REVISAR")</f>
        <v>OK</v>
      </c>
      <c r="AB1515" s="62" t="n">
        <f aca="false">INDEX(Datos_Origen!$B$2:$B$2459,$Z1515)</f>
        <v>45762</v>
      </c>
      <c r="AC1515" s="61" t="n">
        <f aca="false">INDEX(Datos_Origen!$H$2:$H$2459,$Z1515)</f>
        <v>26</v>
      </c>
      <c r="AD1515" s="61" t="str">
        <f aca="false">INDEX(Datos_Origen!$D$2:$D$2459,$Z1515)&amp;""</f>
        <v>Buenos Aires</v>
      </c>
    </row>
    <row r="1516" customFormat="false" ht="15" hidden="false" customHeight="false" outlineLevel="0" collapsed="false">
      <c r="A1516" s="61" t="n">
        <f aca="false">INDEX(Datos_Origen!$A$2:$A$2459,$Z1516)</f>
        <v>1515</v>
      </c>
      <c r="B1516" s="62" t="n">
        <f aca="false">IF(ISNUMBER($AB1516),$AB1516,IF(MID($AB1516,5,1)="-",DATE(VALUE(LEFT($AB1516,4)),VALUE(MID($AB1516,6,2)),VALUE(RIGHT($AB1516,2))),DATE(VALUE(RIGHT($AB1516,4)),VALUE(MID($AB1516,4,2)),VALUE(LEFT($AB1516,2)))))</f>
        <v>45769</v>
      </c>
      <c r="C1516" s="61" t="n">
        <f aca="false">YEAR($B1516)</f>
        <v>2025</v>
      </c>
      <c r="D1516" s="61" t="str">
        <f aca="false">"Q"&amp;ROUNDUP(MONTH($B1516)/3,0)</f>
        <v>Q2</v>
      </c>
      <c r="E1516" s="61" t="n">
        <f aca="false">MONTH($B1516)</f>
        <v>4</v>
      </c>
      <c r="F1516" s="61" t="str">
        <f aca="false">INDEX(Parametros!$I$5:$I$16,$E1516)</f>
        <v>Abr</v>
      </c>
      <c r="G1516" s="61" t="str">
        <f aca="false">TEXT($C1516,"0000")&amp;"-"&amp;TEXT($E1516,"00")</f>
        <v>2025-04</v>
      </c>
      <c r="H1516" s="61" t="str">
        <f aca="false">INDEX(Parametros!$C$71:$C$91,MATCH(TRIM(INDEX(Datos_Origen!$C$2:$C$2459,$Z1516)),Parametros!$B$71:$B$91,0))</f>
        <v>AMBA</v>
      </c>
      <c r="I1516" s="61" t="str">
        <f aca="false">IF(TRIM($AD1516)="",INDEX(Parametros!$I$20:$I$24,MATCH($H1516,Parametros!$H$20:$H$24,0)),TRIM($AD1516))</f>
        <v>Buenos Aires</v>
      </c>
      <c r="J1516" s="61" t="str">
        <f aca="false">INDEX(Parametros!$C$95:$C$106,MATCH(TRIM(INDEX(Datos_Origen!$E$2:$E$2459,$Z1516)),Parametros!$B$95:$B$106,0))</f>
        <v>Tienda fisica</v>
      </c>
      <c r="K1516" s="61" t="str">
        <f aca="false">INDEX(Parametros!$C$48:$C$67,MATCH(TRIM(INDEX(Datos_Origen!$F$2:$F$2459,$Z1516)),Parametros!$B$48:$B$67,0))</f>
        <v>Audio</v>
      </c>
      <c r="L1516" s="61" t="str">
        <f aca="false">$K1516&amp;" "&amp;$C1516</f>
        <v>Audio 2025</v>
      </c>
      <c r="M1516" s="61" t="str">
        <f aca="false">TRIM(INDEX(Datos_Origen!$G$2:$G$2459,$Z1516))</f>
        <v>Parlante Bluetooth</v>
      </c>
      <c r="N1516" s="61" t="str">
        <f aca="false">$M1516&amp;" "&amp;$C1516</f>
        <v>Parlante Bluetooth 2025</v>
      </c>
      <c r="O1516" s="63" t="n">
        <f aca="false">IF(ISTEXT($AC1516),VALUE($AC1516),$AC1516)</f>
        <v>44</v>
      </c>
      <c r="P1516" s="64" t="n">
        <f aca="false">INDEX(Datos_Origen!$I$2:$I$2459,$Z1516)</f>
        <v>84.46</v>
      </c>
      <c r="Q1516" s="64" t="n">
        <f aca="false">INDEX(Datos_Origen!$J$2:$J$2459,$Z1516)</f>
        <v>49.47</v>
      </c>
      <c r="R1516" s="65" t="n">
        <f aca="false">ROUND($O1516*$P1516,2)</f>
        <v>3716.24</v>
      </c>
      <c r="S1516" s="65" t="n">
        <f aca="false">ROUND($O1516*$Q1516,2)</f>
        <v>2176.68</v>
      </c>
      <c r="T1516" s="65" t="n">
        <f aca="false">ROUND($R1516*SUMIFS(Parametros!$E$28:$E$43,Parametros!$B$28:$B$43,$J1516,Parametros!$C$28:$C$43,$C1516,Parametros!$D$28:$D$43,$D1516),2)</f>
        <v>52.03</v>
      </c>
      <c r="U1516" s="65" t="n">
        <f aca="false">$R1516-$S1516-$T1516</f>
        <v>1487.53</v>
      </c>
      <c r="V1516" s="66" t="n">
        <f aca="false">IFERROR($U1516/$R1516,0)</f>
        <v>0.400278238219275</v>
      </c>
      <c r="W1516" s="67" t="str">
        <f aca="false">IF(AND($V1516&gt;=Parametros!$C$8,$R1516&gt;=Parametros!$C$12),"Alta rentabilidad",IF(OR($V1516&lt;Parametros!$C$11,$R1516&lt;Parametros!$C$13),"Revisar","Estandar"))</f>
        <v>Alta rentabilidad</v>
      </c>
      <c r="X1516" s="67" t="str">
        <f aca="false">IF(AND($J1516="E-commerce",IFERROR($T1516/$R1516,0)&gt;Parametros!$C$14),"Alerta","OK")</f>
        <v>OK</v>
      </c>
      <c r="Y1516" s="61" t="str">
        <f aca="false">IF($R1516&gt;=Parametros!$C$12,"Alto",IF($R1516&lt;Parametros!$C$13,"Bajo","Medio"))</f>
        <v>Alto</v>
      </c>
      <c r="Z1516" s="61" t="n">
        <v>200</v>
      </c>
      <c r="AA1516" s="61" t="str">
        <f aca="false">IF(MATCH($A1516,Datos_Origen!$A$2:$A$2459,0)=$Z1516,"OK","REVISAR")</f>
        <v>OK</v>
      </c>
      <c r="AB1516" s="62" t="n">
        <f aca="false">INDEX(Datos_Origen!$B$2:$B$2459,$Z1516)</f>
        <v>45769</v>
      </c>
      <c r="AC1516" s="61" t="n">
        <f aca="false">INDEX(Datos_Origen!$H$2:$H$2459,$Z1516)</f>
        <v>44</v>
      </c>
      <c r="AD1516" s="61" t="str">
        <f aca="false">INDEX(Datos_Origen!$D$2:$D$2459,$Z1516)&amp;""</f>
        <v>Buenos Aires</v>
      </c>
    </row>
    <row r="1517" customFormat="false" ht="15" hidden="false" customHeight="false" outlineLevel="0" collapsed="false">
      <c r="A1517" s="61" t="n">
        <f aca="false">INDEX(Datos_Origen!$A$2:$A$2459,$Z1517)</f>
        <v>1516</v>
      </c>
      <c r="B1517" s="62" t="n">
        <f aca="false">IF(ISNUMBER($AB1517),$AB1517,IF(MID($AB1517,5,1)="-",DATE(VALUE(LEFT($AB1517,4)),VALUE(MID($AB1517,6,2)),VALUE(RIGHT($AB1517,2))),DATE(VALUE(RIGHT($AB1517,4)),VALUE(MID($AB1517,4,2)),VALUE(LEFT($AB1517,2)))))</f>
        <v>45749</v>
      </c>
      <c r="C1517" s="61" t="n">
        <f aca="false">YEAR($B1517)</f>
        <v>2025</v>
      </c>
      <c r="D1517" s="61" t="str">
        <f aca="false">"Q"&amp;ROUNDUP(MONTH($B1517)/3,0)</f>
        <v>Q2</v>
      </c>
      <c r="E1517" s="61" t="n">
        <f aca="false">MONTH($B1517)</f>
        <v>4</v>
      </c>
      <c r="F1517" s="61" t="str">
        <f aca="false">INDEX(Parametros!$I$5:$I$16,$E1517)</f>
        <v>Abr</v>
      </c>
      <c r="G1517" s="61" t="str">
        <f aca="false">TEXT($C1517,"0000")&amp;"-"&amp;TEXT($E1517,"00")</f>
        <v>2025-04</v>
      </c>
      <c r="H1517" s="61" t="str">
        <f aca="false">INDEX(Parametros!$C$71:$C$91,MATCH(TRIM(INDEX(Datos_Origen!$C$2:$C$2459,$Z1517)),Parametros!$B$71:$B$91,0))</f>
        <v>AMBA</v>
      </c>
      <c r="I1517" s="61" t="str">
        <f aca="false">IF(TRIM($AD1517)="",INDEX(Parametros!$I$20:$I$24,MATCH($H1517,Parametros!$H$20:$H$24,0)),TRIM($AD1517))</f>
        <v>Buenos Aires</v>
      </c>
      <c r="J1517" s="61" t="str">
        <f aca="false">INDEX(Parametros!$C$95:$C$106,MATCH(TRIM(INDEX(Datos_Origen!$E$2:$E$2459,$Z1517)),Parametros!$B$95:$B$106,0))</f>
        <v>E-commerce</v>
      </c>
      <c r="K1517" s="61" t="str">
        <f aca="false">INDEX(Parametros!$C$48:$C$67,MATCH(TRIM(INDEX(Datos_Origen!$F$2:$F$2459,$Z1517)),Parametros!$B$48:$B$67,0))</f>
        <v>Audio</v>
      </c>
      <c r="L1517" s="61" t="str">
        <f aca="false">$K1517&amp;" "&amp;$C1517</f>
        <v>Audio 2025</v>
      </c>
      <c r="M1517" s="61" t="str">
        <f aca="false">TRIM(INDEX(Datos_Origen!$G$2:$G$2459,$Z1517))</f>
        <v>Parlante Bluetooth</v>
      </c>
      <c r="N1517" s="61" t="str">
        <f aca="false">$M1517&amp;" "&amp;$C1517</f>
        <v>Parlante Bluetooth 2025</v>
      </c>
      <c r="O1517" s="63" t="n">
        <f aca="false">IF(ISTEXT($AC1517),VALUE($AC1517),$AC1517)</f>
        <v>26</v>
      </c>
      <c r="P1517" s="64" t="n">
        <f aca="false">INDEX(Datos_Origen!$I$2:$I$2459,$Z1517)</f>
        <v>84.46</v>
      </c>
      <c r="Q1517" s="64" t="n">
        <f aca="false">INDEX(Datos_Origen!$J$2:$J$2459,$Z1517)</f>
        <v>49.47</v>
      </c>
      <c r="R1517" s="65" t="n">
        <f aca="false">ROUND($O1517*$P1517,2)</f>
        <v>2195.96</v>
      </c>
      <c r="S1517" s="65" t="n">
        <f aca="false">ROUND($O1517*$Q1517,2)</f>
        <v>1286.22</v>
      </c>
      <c r="T1517" s="65" t="n">
        <f aca="false">ROUND($R1517*SUMIFS(Parametros!$E$28:$E$43,Parametros!$B$28:$B$43,$J1517,Parametros!$C$28:$C$43,$C1517,Parametros!$D$28:$D$43,$D1517),2)</f>
        <v>162.5</v>
      </c>
      <c r="U1517" s="65" t="n">
        <f aca="false">$R1517-$S1517-$T1517</f>
        <v>747.24</v>
      </c>
      <c r="V1517" s="66" t="n">
        <f aca="false">IFERROR($U1517/$R1517,0)</f>
        <v>0.340279422211698</v>
      </c>
      <c r="W1517" s="67" t="str">
        <f aca="false">IF(AND($V1517&gt;=Parametros!$C$8,$R1517&gt;=Parametros!$C$12),"Alta rentabilidad",IF(OR($V1517&lt;Parametros!$C$11,$R1517&lt;Parametros!$C$13),"Revisar","Estandar"))</f>
        <v>Estandar</v>
      </c>
      <c r="X1517" s="67" t="str">
        <f aca="false">IF(AND($J1517="E-commerce",IFERROR($T1517/$R1517,0)&gt;Parametros!$C$14),"Alerta","OK")</f>
        <v>Alerta</v>
      </c>
      <c r="Y1517" s="61" t="str">
        <f aca="false">IF($R1517&gt;=Parametros!$C$12,"Alto",IF($R1517&lt;Parametros!$C$13,"Bajo","Medio"))</f>
        <v>Medio</v>
      </c>
      <c r="Z1517" s="61" t="n">
        <v>1451</v>
      </c>
      <c r="AA1517" s="61" t="str">
        <f aca="false">IF(MATCH($A1517,Datos_Origen!$A$2:$A$2459,0)=$Z1517,"OK","REVISAR")</f>
        <v>OK</v>
      </c>
      <c r="AB1517" s="61" t="str">
        <f aca="false">INDEX(Datos_Origen!$B$2:$B$2459,$Z1517)</f>
        <v>02/04/2025</v>
      </c>
      <c r="AC1517" s="61" t="n">
        <f aca="false">INDEX(Datos_Origen!$H$2:$H$2459,$Z1517)</f>
        <v>26</v>
      </c>
      <c r="AD1517" s="61" t="str">
        <f aca="false">INDEX(Datos_Origen!$D$2:$D$2459,$Z1517)&amp;""</f>
        <v>Buenos Aires</v>
      </c>
    </row>
    <row r="1518" customFormat="false" ht="15" hidden="false" customHeight="false" outlineLevel="0" collapsed="false">
      <c r="A1518" s="61" t="n">
        <f aca="false">INDEX(Datos_Origen!$A$2:$A$2459,$Z1518)</f>
        <v>1517</v>
      </c>
      <c r="B1518" s="62" t="n">
        <f aca="false">IF(ISNUMBER($AB1518),$AB1518,IF(MID($AB1518,5,1)="-",DATE(VALUE(LEFT($AB1518,4)),VALUE(MID($AB1518,6,2)),VALUE(RIGHT($AB1518,2))),DATE(VALUE(RIGHT($AB1518,4)),VALUE(MID($AB1518,4,2)),VALUE(LEFT($AB1518,2)))))</f>
        <v>45756</v>
      </c>
      <c r="C1518" s="61" t="n">
        <f aca="false">YEAR($B1518)</f>
        <v>2025</v>
      </c>
      <c r="D1518" s="61" t="str">
        <f aca="false">"Q"&amp;ROUNDUP(MONTH($B1518)/3,0)</f>
        <v>Q2</v>
      </c>
      <c r="E1518" s="61" t="n">
        <f aca="false">MONTH($B1518)</f>
        <v>4</v>
      </c>
      <c r="F1518" s="61" t="str">
        <f aca="false">INDEX(Parametros!$I$5:$I$16,$E1518)</f>
        <v>Abr</v>
      </c>
      <c r="G1518" s="61" t="str">
        <f aca="false">TEXT($C1518,"0000")&amp;"-"&amp;TEXT($E1518,"00")</f>
        <v>2025-04</v>
      </c>
      <c r="H1518" s="61" t="str">
        <f aca="false">INDEX(Parametros!$C$71:$C$91,MATCH(TRIM(INDEX(Datos_Origen!$C$2:$C$2459,$Z1518)),Parametros!$B$71:$B$91,0))</f>
        <v>AMBA</v>
      </c>
      <c r="I1518" s="61" t="str">
        <f aca="false">IF(TRIM($AD1518)="",INDEX(Parametros!$I$20:$I$24,MATCH($H1518,Parametros!$H$20:$H$24,0)),TRIM($AD1518))</f>
        <v>Buenos Aires</v>
      </c>
      <c r="J1518" s="61" t="str">
        <f aca="false">INDEX(Parametros!$C$95:$C$106,MATCH(TRIM(INDEX(Datos_Origen!$E$2:$E$2459,$Z1518)),Parametros!$B$95:$B$106,0))</f>
        <v>Tienda fisica</v>
      </c>
      <c r="K1518" s="61" t="str">
        <f aca="false">INDEX(Parametros!$C$48:$C$67,MATCH(TRIM(INDEX(Datos_Origen!$F$2:$F$2459,$Z1518)),Parametros!$B$48:$B$67,0))</f>
        <v>Almacenamiento</v>
      </c>
      <c r="L1518" s="61" t="str">
        <f aca="false">$K1518&amp;" "&amp;$C1518</f>
        <v>Almacenamiento 2025</v>
      </c>
      <c r="M1518" s="61" t="str">
        <f aca="false">TRIM(INDEX(Datos_Origen!$G$2:$G$2459,$Z1518))</f>
        <v>SSD Externo 1TB</v>
      </c>
      <c r="N1518" s="61" t="str">
        <f aca="false">$M1518&amp;" "&amp;$C1518</f>
        <v>SSD Externo 1TB 2025</v>
      </c>
      <c r="O1518" s="63" t="n">
        <f aca="false">IF(ISTEXT($AC1518),VALUE($AC1518),$AC1518)</f>
        <v>45</v>
      </c>
      <c r="P1518" s="64" t="n">
        <f aca="false">INDEX(Datos_Origen!$I$2:$I$2459,$Z1518)</f>
        <v>129.17</v>
      </c>
      <c r="Q1518" s="64" t="n">
        <f aca="false">INDEX(Datos_Origen!$J$2:$J$2459,$Z1518)</f>
        <v>78.33</v>
      </c>
      <c r="R1518" s="65" t="n">
        <f aca="false">ROUND($O1518*$P1518,2)</f>
        <v>5812.65</v>
      </c>
      <c r="S1518" s="65" t="n">
        <f aca="false">ROUND($O1518*$Q1518,2)</f>
        <v>3524.85</v>
      </c>
      <c r="T1518" s="65" t="n">
        <f aca="false">ROUND($R1518*SUMIFS(Parametros!$E$28:$E$43,Parametros!$B$28:$B$43,$J1518,Parametros!$C$28:$C$43,$C1518,Parametros!$D$28:$D$43,$D1518),2)</f>
        <v>81.38</v>
      </c>
      <c r="U1518" s="65" t="n">
        <f aca="false">$R1518-$S1518-$T1518</f>
        <v>2206.42</v>
      </c>
      <c r="V1518" s="66" t="n">
        <f aca="false">IFERROR($U1518/$R1518,0)</f>
        <v>0.379589343930909</v>
      </c>
      <c r="W1518" s="67" t="str">
        <f aca="false">IF(AND($V1518&gt;=Parametros!$C$8,$R1518&gt;=Parametros!$C$12),"Alta rentabilidad",IF(OR($V1518&lt;Parametros!$C$11,$R1518&lt;Parametros!$C$13),"Revisar","Estandar"))</f>
        <v>Alta rentabilidad</v>
      </c>
      <c r="X1518" s="67" t="str">
        <f aca="false">IF(AND($J1518="E-commerce",IFERROR($T1518/$R1518,0)&gt;Parametros!$C$14),"Alerta","OK")</f>
        <v>OK</v>
      </c>
      <c r="Y1518" s="61" t="str">
        <f aca="false">IF($R1518&gt;=Parametros!$C$12,"Alto",IF($R1518&lt;Parametros!$C$13,"Bajo","Medio"))</f>
        <v>Alto</v>
      </c>
      <c r="Z1518" s="61" t="n">
        <v>826</v>
      </c>
      <c r="AA1518" s="61" t="str">
        <f aca="false">IF(MATCH($A1518,Datos_Origen!$A$2:$A$2459,0)=$Z1518,"OK","REVISAR")</f>
        <v>OK</v>
      </c>
      <c r="AB1518" s="61" t="str">
        <f aca="false">INDEX(Datos_Origen!$B$2:$B$2459,$Z1518)</f>
        <v>09/04/2025</v>
      </c>
      <c r="AC1518" s="61" t="n">
        <f aca="false">INDEX(Datos_Origen!$H$2:$H$2459,$Z1518)</f>
        <v>45</v>
      </c>
      <c r="AD1518" s="61" t="str">
        <f aca="false">INDEX(Datos_Origen!$D$2:$D$2459,$Z1518)&amp;""</f>
        <v>Buenos Aires</v>
      </c>
    </row>
    <row r="1519" customFormat="false" ht="15" hidden="false" customHeight="false" outlineLevel="0" collapsed="false">
      <c r="A1519" s="61" t="n">
        <f aca="false">INDEX(Datos_Origen!$A$2:$A$2459,$Z1519)</f>
        <v>1518</v>
      </c>
      <c r="B1519" s="62" t="n">
        <f aca="false">IF(ISNUMBER($AB1519),$AB1519,IF(MID($AB1519,5,1)="-",DATE(VALUE(LEFT($AB1519,4)),VALUE(MID($AB1519,6,2)),VALUE(RIGHT($AB1519,2))),DATE(VALUE(RIGHT($AB1519,4)),VALUE(MID($AB1519,4,2)),VALUE(LEFT($AB1519,2)))))</f>
        <v>45763</v>
      </c>
      <c r="C1519" s="61" t="n">
        <f aca="false">YEAR($B1519)</f>
        <v>2025</v>
      </c>
      <c r="D1519" s="61" t="str">
        <f aca="false">"Q"&amp;ROUNDUP(MONTH($B1519)/3,0)</f>
        <v>Q2</v>
      </c>
      <c r="E1519" s="61" t="n">
        <f aca="false">MONTH($B1519)</f>
        <v>4</v>
      </c>
      <c r="F1519" s="61" t="str">
        <f aca="false">INDEX(Parametros!$I$5:$I$16,$E1519)</f>
        <v>Abr</v>
      </c>
      <c r="G1519" s="61" t="str">
        <f aca="false">TEXT($C1519,"0000")&amp;"-"&amp;TEXT($E1519,"00")</f>
        <v>2025-04</v>
      </c>
      <c r="H1519" s="61" t="str">
        <f aca="false">INDEX(Parametros!$C$71:$C$91,MATCH(TRIM(INDEX(Datos_Origen!$C$2:$C$2459,$Z1519)),Parametros!$B$71:$B$91,0))</f>
        <v>AMBA</v>
      </c>
      <c r="I1519" s="61" t="str">
        <f aca="false">IF(TRIM($AD1519)="",INDEX(Parametros!$I$20:$I$24,MATCH($H1519,Parametros!$H$20:$H$24,0)),TRIM($AD1519))</f>
        <v>Buenos Aires</v>
      </c>
      <c r="J1519" s="61" t="str">
        <f aca="false">INDEX(Parametros!$C$95:$C$106,MATCH(TRIM(INDEX(Datos_Origen!$E$2:$E$2459,$Z1519)),Parametros!$B$95:$B$106,0))</f>
        <v>E-commerce</v>
      </c>
      <c r="K1519" s="61" t="str">
        <f aca="false">INDEX(Parametros!$C$48:$C$67,MATCH(TRIM(INDEX(Datos_Origen!$F$2:$F$2459,$Z1519)),Parametros!$B$48:$B$67,0))</f>
        <v>Almacenamiento</v>
      </c>
      <c r="L1519" s="61" t="str">
        <f aca="false">$K1519&amp;" "&amp;$C1519</f>
        <v>Almacenamiento 2025</v>
      </c>
      <c r="M1519" s="61" t="str">
        <f aca="false">TRIM(INDEX(Datos_Origen!$G$2:$G$2459,$Z1519))</f>
        <v>SSD Externo 1TB</v>
      </c>
      <c r="N1519" s="61" t="str">
        <f aca="false">$M1519&amp;" "&amp;$C1519</f>
        <v>SSD Externo 1TB 2025</v>
      </c>
      <c r="O1519" s="63" t="n">
        <f aca="false">IF(ISTEXT($AC1519),VALUE($AC1519),$AC1519)</f>
        <v>38</v>
      </c>
      <c r="P1519" s="64" t="n">
        <f aca="false">INDEX(Datos_Origen!$I$2:$I$2459,$Z1519)</f>
        <v>129.17</v>
      </c>
      <c r="Q1519" s="64" t="n">
        <f aca="false">INDEX(Datos_Origen!$J$2:$J$2459,$Z1519)</f>
        <v>78.33</v>
      </c>
      <c r="R1519" s="65" t="n">
        <f aca="false">ROUND($O1519*$P1519,2)</f>
        <v>4908.46</v>
      </c>
      <c r="S1519" s="65" t="n">
        <f aca="false">ROUND($O1519*$Q1519,2)</f>
        <v>2976.54</v>
      </c>
      <c r="T1519" s="65" t="n">
        <f aca="false">ROUND($R1519*SUMIFS(Parametros!$E$28:$E$43,Parametros!$B$28:$B$43,$J1519,Parametros!$C$28:$C$43,$C1519,Parametros!$D$28:$D$43,$D1519),2)</f>
        <v>363.23</v>
      </c>
      <c r="U1519" s="65" t="n">
        <f aca="false">$R1519-$S1519-$T1519</f>
        <v>1568.69</v>
      </c>
      <c r="V1519" s="66" t="n">
        <f aca="false">IFERROR($U1519/$R1519,0)</f>
        <v>0.319589036072414</v>
      </c>
      <c r="W1519" s="67" t="str">
        <f aca="false">IF(AND($V1519&gt;=Parametros!$C$8,$R1519&gt;=Parametros!$C$12),"Alta rentabilidad",IF(OR($V1519&lt;Parametros!$C$11,$R1519&lt;Parametros!$C$13),"Revisar","Estandar"))</f>
        <v>Estandar</v>
      </c>
      <c r="X1519" s="67" t="str">
        <f aca="false">IF(AND($J1519="E-commerce",IFERROR($T1519/$R1519,0)&gt;Parametros!$C$14),"Alerta","OK")</f>
        <v>Alerta</v>
      </c>
      <c r="Y1519" s="61" t="str">
        <f aca="false">IF($R1519&gt;=Parametros!$C$12,"Alto",IF($R1519&lt;Parametros!$C$13,"Bajo","Medio"))</f>
        <v>Alto</v>
      </c>
      <c r="Z1519" s="61" t="n">
        <v>1115</v>
      </c>
      <c r="AA1519" s="61" t="str">
        <f aca="false">IF(MATCH($A1519,Datos_Origen!$A$2:$A$2459,0)=$Z1519,"OK","REVISAR")</f>
        <v>OK</v>
      </c>
      <c r="AB1519" s="62" t="n">
        <f aca="false">INDEX(Datos_Origen!$B$2:$B$2459,$Z1519)</f>
        <v>45763</v>
      </c>
      <c r="AC1519" s="61" t="n">
        <f aca="false">INDEX(Datos_Origen!$H$2:$H$2459,$Z1519)</f>
        <v>38</v>
      </c>
      <c r="AD1519" s="61" t="str">
        <f aca="false">INDEX(Datos_Origen!$D$2:$D$2459,$Z1519)&amp;""</f>
        <v>Buenos Aires</v>
      </c>
    </row>
    <row r="1520" customFormat="false" ht="15" hidden="false" customHeight="false" outlineLevel="0" collapsed="false">
      <c r="A1520" s="61" t="n">
        <f aca="false">INDEX(Datos_Origen!$A$2:$A$2459,$Z1520)</f>
        <v>1519</v>
      </c>
      <c r="B1520" s="62" t="n">
        <f aca="false">IF(ISNUMBER($AB1520),$AB1520,IF(MID($AB1520,5,1)="-",DATE(VALUE(LEFT($AB1520,4)),VALUE(MID($AB1520,6,2)),VALUE(RIGHT($AB1520,2))),DATE(VALUE(RIGHT($AB1520,4)),VALUE(MID($AB1520,4,2)),VALUE(LEFT($AB1520,2)))))</f>
        <v>45770</v>
      </c>
      <c r="C1520" s="61" t="n">
        <f aca="false">YEAR($B1520)</f>
        <v>2025</v>
      </c>
      <c r="D1520" s="61" t="str">
        <f aca="false">"Q"&amp;ROUNDUP(MONTH($B1520)/3,0)</f>
        <v>Q2</v>
      </c>
      <c r="E1520" s="61" t="n">
        <f aca="false">MONTH($B1520)</f>
        <v>4</v>
      </c>
      <c r="F1520" s="61" t="str">
        <f aca="false">INDEX(Parametros!$I$5:$I$16,$E1520)</f>
        <v>Abr</v>
      </c>
      <c r="G1520" s="61" t="str">
        <f aca="false">TEXT($C1520,"0000")&amp;"-"&amp;TEXT($E1520,"00")</f>
        <v>2025-04</v>
      </c>
      <c r="H1520" s="61" t="str">
        <f aca="false">INDEX(Parametros!$C$71:$C$91,MATCH(TRIM(INDEX(Datos_Origen!$C$2:$C$2459,$Z1520)),Parametros!$B$71:$B$91,0))</f>
        <v>AMBA</v>
      </c>
      <c r="I1520" s="61" t="str">
        <f aca="false">IF(TRIM($AD1520)="",INDEX(Parametros!$I$20:$I$24,MATCH($H1520,Parametros!$H$20:$H$24,0)),TRIM($AD1520))</f>
        <v>Buenos Aires</v>
      </c>
      <c r="J1520" s="61" t="str">
        <f aca="false">INDEX(Parametros!$C$95:$C$106,MATCH(TRIM(INDEX(Datos_Origen!$E$2:$E$2459,$Z1520)),Parametros!$B$95:$B$106,0))</f>
        <v>Tienda fisica</v>
      </c>
      <c r="K1520" s="61" t="str">
        <f aca="false">INDEX(Parametros!$C$48:$C$67,MATCH(TRIM(INDEX(Datos_Origen!$F$2:$F$2459,$Z1520)),Parametros!$B$48:$B$67,0))</f>
        <v>Almacenamiento</v>
      </c>
      <c r="L1520" s="61" t="str">
        <f aca="false">$K1520&amp;" "&amp;$C1520</f>
        <v>Almacenamiento 2025</v>
      </c>
      <c r="M1520" s="61" t="str">
        <f aca="false">TRIM(INDEX(Datos_Origen!$G$2:$G$2459,$Z1520))</f>
        <v>Pendrive 256GB</v>
      </c>
      <c r="N1520" s="61" t="str">
        <f aca="false">$M1520&amp;" "&amp;$C1520</f>
        <v>Pendrive 256GB 2025</v>
      </c>
      <c r="O1520" s="63" t="n">
        <f aca="false">IF(ISTEXT($AC1520),VALUE($AC1520),$AC1520)</f>
        <v>47</v>
      </c>
      <c r="P1520" s="64" t="n">
        <f aca="false">INDEX(Datos_Origen!$I$2:$I$2459,$Z1520)</f>
        <v>34.78</v>
      </c>
      <c r="Q1520" s="64" t="n">
        <f aca="false">INDEX(Datos_Origen!$J$2:$J$2459,$Z1520)</f>
        <v>18.39</v>
      </c>
      <c r="R1520" s="65" t="n">
        <f aca="false">ROUND($O1520*$P1520,2)</f>
        <v>1634.66</v>
      </c>
      <c r="S1520" s="65" t="n">
        <f aca="false">ROUND($O1520*$Q1520,2)</f>
        <v>864.33</v>
      </c>
      <c r="T1520" s="65" t="n">
        <f aca="false">ROUND($R1520*SUMIFS(Parametros!$E$28:$E$43,Parametros!$B$28:$B$43,$J1520,Parametros!$C$28:$C$43,$C1520,Parametros!$D$28:$D$43,$D1520),2)</f>
        <v>22.89</v>
      </c>
      <c r="U1520" s="65" t="n">
        <f aca="false">$R1520-$S1520-$T1520</f>
        <v>747.44</v>
      </c>
      <c r="V1520" s="66" t="n">
        <f aca="false">IFERROR($U1520/$R1520,0)</f>
        <v>0.457244931667747</v>
      </c>
      <c r="W1520" s="67" t="str">
        <f aca="false">IF(AND($V1520&gt;=Parametros!$C$8,$R1520&gt;=Parametros!$C$12),"Alta rentabilidad",IF(OR($V1520&lt;Parametros!$C$11,$R1520&lt;Parametros!$C$13),"Revisar","Estandar"))</f>
        <v>Estandar</v>
      </c>
      <c r="X1520" s="67" t="str">
        <f aca="false">IF(AND($J1520="E-commerce",IFERROR($T1520/$R1520,0)&gt;Parametros!$C$14),"Alerta","OK")</f>
        <v>OK</v>
      </c>
      <c r="Y1520" s="61" t="str">
        <f aca="false">IF($R1520&gt;=Parametros!$C$12,"Alto",IF($R1520&lt;Parametros!$C$13,"Bajo","Medio"))</f>
        <v>Medio</v>
      </c>
      <c r="Z1520" s="61" t="n">
        <v>1648</v>
      </c>
      <c r="AA1520" s="61" t="str">
        <f aca="false">IF(MATCH($A1520,Datos_Origen!$A$2:$A$2459,0)=$Z1520,"OK","REVISAR")</f>
        <v>OK</v>
      </c>
      <c r="AB1520" s="62" t="n">
        <f aca="false">INDEX(Datos_Origen!$B$2:$B$2459,$Z1520)</f>
        <v>45770</v>
      </c>
      <c r="AC1520" s="61" t="n">
        <f aca="false">INDEX(Datos_Origen!$H$2:$H$2459,$Z1520)</f>
        <v>47</v>
      </c>
      <c r="AD1520" s="61" t="str">
        <f aca="false">INDEX(Datos_Origen!$D$2:$D$2459,$Z1520)&amp;""</f>
        <v>Buenos Aires</v>
      </c>
    </row>
    <row r="1521" customFormat="false" ht="15" hidden="false" customHeight="false" outlineLevel="0" collapsed="false">
      <c r="A1521" s="61" t="n">
        <f aca="false">INDEX(Datos_Origen!$A$2:$A$2459,$Z1521)</f>
        <v>1520</v>
      </c>
      <c r="B1521" s="62" t="n">
        <f aca="false">IF(ISNUMBER($AB1521),$AB1521,IF(MID($AB1521,5,1)="-",DATE(VALUE(LEFT($AB1521,4)),VALUE(MID($AB1521,6,2)),VALUE(RIGHT($AB1521,2))),DATE(VALUE(RIGHT($AB1521,4)),VALUE(MID($AB1521,4,2)),VALUE(LEFT($AB1521,2)))))</f>
        <v>45750</v>
      </c>
      <c r="C1521" s="61" t="n">
        <f aca="false">YEAR($B1521)</f>
        <v>2025</v>
      </c>
      <c r="D1521" s="61" t="str">
        <f aca="false">"Q"&amp;ROUNDUP(MONTH($B1521)/3,0)</f>
        <v>Q2</v>
      </c>
      <c r="E1521" s="61" t="n">
        <f aca="false">MONTH($B1521)</f>
        <v>4</v>
      </c>
      <c r="F1521" s="61" t="str">
        <f aca="false">INDEX(Parametros!$I$5:$I$16,$E1521)</f>
        <v>Abr</v>
      </c>
      <c r="G1521" s="61" t="str">
        <f aca="false">TEXT($C1521,"0000")&amp;"-"&amp;TEXT($E1521,"00")</f>
        <v>2025-04</v>
      </c>
      <c r="H1521" s="61" t="str">
        <f aca="false">INDEX(Parametros!$C$71:$C$91,MATCH(TRIM(INDEX(Datos_Origen!$C$2:$C$2459,$Z1521)),Parametros!$B$71:$B$91,0))</f>
        <v>AMBA</v>
      </c>
      <c r="I1521" s="61" t="str">
        <f aca="false">IF(TRIM($AD1521)="",INDEX(Parametros!$I$20:$I$24,MATCH($H1521,Parametros!$H$20:$H$24,0)),TRIM($AD1521))</f>
        <v>Buenos Aires</v>
      </c>
      <c r="J1521" s="61" t="str">
        <f aca="false">INDEX(Parametros!$C$95:$C$106,MATCH(TRIM(INDEX(Datos_Origen!$E$2:$E$2459,$Z1521)),Parametros!$B$95:$B$106,0))</f>
        <v>E-commerce</v>
      </c>
      <c r="K1521" s="61" t="str">
        <f aca="false">INDEX(Parametros!$C$48:$C$67,MATCH(TRIM(INDEX(Datos_Origen!$F$2:$F$2459,$Z1521)),Parametros!$B$48:$B$67,0))</f>
        <v>Almacenamiento</v>
      </c>
      <c r="L1521" s="61" t="str">
        <f aca="false">$K1521&amp;" "&amp;$C1521</f>
        <v>Almacenamiento 2025</v>
      </c>
      <c r="M1521" s="61" t="str">
        <f aca="false">TRIM(INDEX(Datos_Origen!$G$2:$G$2459,$Z1521))</f>
        <v>Pendrive 256GB</v>
      </c>
      <c r="N1521" s="61" t="str">
        <f aca="false">$M1521&amp;" "&amp;$C1521</f>
        <v>Pendrive 256GB 2025</v>
      </c>
      <c r="O1521" s="63" t="n">
        <f aca="false">IF(ISTEXT($AC1521),VALUE($AC1521),$AC1521)</f>
        <v>38</v>
      </c>
      <c r="P1521" s="64" t="n">
        <f aca="false">INDEX(Datos_Origen!$I$2:$I$2459,$Z1521)</f>
        <v>34.78</v>
      </c>
      <c r="Q1521" s="64" t="n">
        <f aca="false">INDEX(Datos_Origen!$J$2:$J$2459,$Z1521)</f>
        <v>18.39</v>
      </c>
      <c r="R1521" s="65" t="n">
        <f aca="false">ROUND($O1521*$P1521,2)</f>
        <v>1321.64</v>
      </c>
      <c r="S1521" s="65" t="n">
        <f aca="false">ROUND($O1521*$Q1521,2)</f>
        <v>698.82</v>
      </c>
      <c r="T1521" s="65" t="n">
        <f aca="false">ROUND($R1521*SUMIFS(Parametros!$E$28:$E$43,Parametros!$B$28:$B$43,$J1521,Parametros!$C$28:$C$43,$C1521,Parametros!$D$28:$D$43,$D1521),2)</f>
        <v>97.8</v>
      </c>
      <c r="U1521" s="65" t="n">
        <f aca="false">$R1521-$S1521-$T1521</f>
        <v>525.02</v>
      </c>
      <c r="V1521" s="66" t="n">
        <f aca="false">IFERROR($U1521/$R1521,0)</f>
        <v>0.397248872612814</v>
      </c>
      <c r="W1521" s="67" t="str">
        <f aca="false">IF(AND($V1521&gt;=Parametros!$C$8,$R1521&gt;=Parametros!$C$12),"Alta rentabilidad",IF(OR($V1521&lt;Parametros!$C$11,$R1521&lt;Parametros!$C$13),"Revisar","Estandar"))</f>
        <v>Estandar</v>
      </c>
      <c r="X1521" s="67" t="str">
        <f aca="false">IF(AND($J1521="E-commerce",IFERROR($T1521/$R1521,0)&gt;Parametros!$C$14),"Alerta","OK")</f>
        <v>Alerta</v>
      </c>
      <c r="Y1521" s="61" t="str">
        <f aca="false">IF($R1521&gt;=Parametros!$C$12,"Alto",IF($R1521&lt;Parametros!$C$13,"Bajo","Medio"))</f>
        <v>Medio</v>
      </c>
      <c r="Z1521" s="61" t="n">
        <v>1713</v>
      </c>
      <c r="AA1521" s="61" t="str">
        <f aca="false">IF(MATCH($A1521,Datos_Origen!$A$2:$A$2459,0)=$Z1521,"OK","REVISAR")</f>
        <v>OK</v>
      </c>
      <c r="AB1521" s="62" t="n">
        <f aca="false">INDEX(Datos_Origen!$B$2:$B$2459,$Z1521)</f>
        <v>45750</v>
      </c>
      <c r="AC1521" s="61" t="n">
        <f aca="false">INDEX(Datos_Origen!$H$2:$H$2459,$Z1521)</f>
        <v>38</v>
      </c>
      <c r="AD1521" s="61" t="str">
        <f aca="false">INDEX(Datos_Origen!$D$2:$D$2459,$Z1521)&amp;""</f>
        <v>Buenos Aires</v>
      </c>
    </row>
    <row r="1522" customFormat="false" ht="15" hidden="false" customHeight="false" outlineLevel="0" collapsed="false">
      <c r="A1522" s="61" t="n">
        <f aca="false">INDEX(Datos_Origen!$A$2:$A$2459,$Z1522)</f>
        <v>1521</v>
      </c>
      <c r="B1522" s="62" t="n">
        <f aca="false">IF(ISNUMBER($AB1522),$AB1522,IF(MID($AB1522,5,1)="-",DATE(VALUE(LEFT($AB1522,4)),VALUE(MID($AB1522,6,2)),VALUE(RIGHT($AB1522,2))),DATE(VALUE(RIGHT($AB1522,4)),VALUE(MID($AB1522,4,2)),VALUE(LEFT($AB1522,2)))))</f>
        <v>45757</v>
      </c>
      <c r="C1522" s="61" t="n">
        <f aca="false">YEAR($B1522)</f>
        <v>2025</v>
      </c>
      <c r="D1522" s="61" t="str">
        <f aca="false">"Q"&amp;ROUNDUP(MONTH($B1522)/3,0)</f>
        <v>Q2</v>
      </c>
      <c r="E1522" s="61" t="n">
        <f aca="false">MONTH($B1522)</f>
        <v>4</v>
      </c>
      <c r="F1522" s="61" t="str">
        <f aca="false">INDEX(Parametros!$I$5:$I$16,$E1522)</f>
        <v>Abr</v>
      </c>
      <c r="G1522" s="61" t="str">
        <f aca="false">TEXT($C1522,"0000")&amp;"-"&amp;TEXT($E1522,"00")</f>
        <v>2025-04</v>
      </c>
      <c r="H1522" s="61" t="str">
        <f aca="false">INDEX(Parametros!$C$71:$C$91,MATCH(TRIM(INDEX(Datos_Origen!$C$2:$C$2459,$Z1522)),Parametros!$B$71:$B$91,0))</f>
        <v>Centro</v>
      </c>
      <c r="I1522" s="61" t="str">
        <f aca="false">IF(TRIM($AD1522)="",INDEX(Parametros!$I$20:$I$24,MATCH($H1522,Parametros!$H$20:$H$24,0)),TRIM($AD1522))</f>
        <v>Cordoba</v>
      </c>
      <c r="J1522" s="61" t="str">
        <f aca="false">INDEX(Parametros!$C$95:$C$106,MATCH(TRIM(INDEX(Datos_Origen!$E$2:$E$2459,$Z1522)),Parametros!$B$95:$B$106,0))</f>
        <v>Tienda fisica</v>
      </c>
      <c r="K1522" s="61" t="str">
        <f aca="false">INDEX(Parametros!$C$48:$C$67,MATCH(TRIM(INDEX(Datos_Origen!$F$2:$F$2459,$Z1522)),Parametros!$B$48:$B$67,0))</f>
        <v>Computacion</v>
      </c>
      <c r="L1522" s="61" t="str">
        <f aca="false">$K1522&amp;" "&amp;$C1522</f>
        <v>Computacion 2025</v>
      </c>
      <c r="M1522" s="61" t="str">
        <f aca="false">TRIM(INDEX(Datos_Origen!$G$2:$G$2459,$Z1522))</f>
        <v>Laptop Pro 15</v>
      </c>
      <c r="N1522" s="61" t="str">
        <f aca="false">$M1522&amp;" "&amp;$C1522</f>
        <v>Laptop Pro 15 2025</v>
      </c>
      <c r="O1522" s="63" t="n">
        <f aca="false">IF(ISTEXT($AC1522),VALUE($AC1522),$AC1522)</f>
        <v>11</v>
      </c>
      <c r="P1522" s="64" t="n">
        <f aca="false">INDEX(Datos_Origen!$I$2:$I$2459,$Z1522)</f>
        <v>1155.06</v>
      </c>
      <c r="Q1522" s="64" t="n">
        <f aca="false">INDEX(Datos_Origen!$J$2:$J$2459,$Z1522)</f>
        <v>766.32</v>
      </c>
      <c r="R1522" s="65" t="n">
        <f aca="false">ROUND($O1522*$P1522,2)</f>
        <v>12705.66</v>
      </c>
      <c r="S1522" s="65" t="n">
        <f aca="false">ROUND($O1522*$Q1522,2)</f>
        <v>8429.52</v>
      </c>
      <c r="T1522" s="65" t="n">
        <f aca="false">ROUND($R1522*SUMIFS(Parametros!$E$28:$E$43,Parametros!$B$28:$B$43,$J1522,Parametros!$C$28:$C$43,$C1522,Parametros!$D$28:$D$43,$D1522),2)</f>
        <v>177.88</v>
      </c>
      <c r="U1522" s="65" t="n">
        <f aca="false">$R1522-$S1522-$T1522</f>
        <v>4098.26</v>
      </c>
      <c r="V1522" s="66" t="n">
        <f aca="false">IFERROR($U1522/$R1522,0)</f>
        <v>0.322553885433736</v>
      </c>
      <c r="W1522" s="67" t="str">
        <f aca="false">IF(AND($V1522&gt;=Parametros!$C$8,$R1522&gt;=Parametros!$C$12),"Alta rentabilidad",IF(OR($V1522&lt;Parametros!$C$11,$R1522&lt;Parametros!$C$13),"Revisar","Estandar"))</f>
        <v>Estandar</v>
      </c>
      <c r="X1522" s="67" t="str">
        <f aca="false">IF(AND($J1522="E-commerce",IFERROR($T1522/$R1522,0)&gt;Parametros!$C$14),"Alerta","OK")</f>
        <v>OK</v>
      </c>
      <c r="Y1522" s="61" t="str">
        <f aca="false">IF($R1522&gt;=Parametros!$C$12,"Alto",IF($R1522&lt;Parametros!$C$13,"Bajo","Medio"))</f>
        <v>Alto</v>
      </c>
      <c r="Z1522" s="61" t="n">
        <v>382</v>
      </c>
      <c r="AA1522" s="61" t="str">
        <f aca="false">IF(MATCH($A1522,Datos_Origen!$A$2:$A$2459,0)=$Z1522,"OK","REVISAR")</f>
        <v>OK</v>
      </c>
      <c r="AB1522" s="62" t="n">
        <f aca="false">INDEX(Datos_Origen!$B$2:$B$2459,$Z1522)</f>
        <v>45757</v>
      </c>
      <c r="AC1522" s="61" t="n">
        <f aca="false">INDEX(Datos_Origen!$H$2:$H$2459,$Z1522)</f>
        <v>11</v>
      </c>
      <c r="AD1522" s="61" t="str">
        <f aca="false">INDEX(Datos_Origen!$D$2:$D$2459,$Z1522)&amp;""</f>
        <v>Cordoba</v>
      </c>
    </row>
    <row r="1523" customFormat="false" ht="15" hidden="false" customHeight="false" outlineLevel="0" collapsed="false">
      <c r="A1523" s="61" t="n">
        <f aca="false">INDEX(Datos_Origen!$A$2:$A$2459,$Z1523)</f>
        <v>1522</v>
      </c>
      <c r="B1523" s="62" t="n">
        <f aca="false">IF(ISNUMBER($AB1523),$AB1523,IF(MID($AB1523,5,1)="-",DATE(VALUE(LEFT($AB1523,4)),VALUE(MID($AB1523,6,2)),VALUE(RIGHT($AB1523,2))),DATE(VALUE(RIGHT($AB1523,4)),VALUE(MID($AB1523,4,2)),VALUE(LEFT($AB1523,2)))))</f>
        <v>45764</v>
      </c>
      <c r="C1523" s="61" t="n">
        <f aca="false">YEAR($B1523)</f>
        <v>2025</v>
      </c>
      <c r="D1523" s="61" t="str">
        <f aca="false">"Q"&amp;ROUNDUP(MONTH($B1523)/3,0)</f>
        <v>Q2</v>
      </c>
      <c r="E1523" s="61" t="n">
        <f aca="false">MONTH($B1523)</f>
        <v>4</v>
      </c>
      <c r="F1523" s="61" t="str">
        <f aca="false">INDEX(Parametros!$I$5:$I$16,$E1523)</f>
        <v>Abr</v>
      </c>
      <c r="G1523" s="61" t="str">
        <f aca="false">TEXT($C1523,"0000")&amp;"-"&amp;TEXT($E1523,"00")</f>
        <v>2025-04</v>
      </c>
      <c r="H1523" s="61" t="str">
        <f aca="false">INDEX(Parametros!$C$71:$C$91,MATCH(TRIM(INDEX(Datos_Origen!$C$2:$C$2459,$Z1523)),Parametros!$B$71:$B$91,0))</f>
        <v>Centro</v>
      </c>
      <c r="I1523" s="61" t="str">
        <f aca="false">IF(TRIM($AD1523)="",INDEX(Parametros!$I$20:$I$24,MATCH($H1523,Parametros!$H$20:$H$24,0)),TRIM($AD1523))</f>
        <v>Cordoba</v>
      </c>
      <c r="J1523" s="61" t="str">
        <f aca="false">INDEX(Parametros!$C$95:$C$106,MATCH(TRIM(INDEX(Datos_Origen!$E$2:$E$2459,$Z1523)),Parametros!$B$95:$B$106,0))</f>
        <v>E-commerce</v>
      </c>
      <c r="K1523" s="61" t="str">
        <f aca="false">INDEX(Parametros!$C$48:$C$67,MATCH(TRIM(INDEX(Datos_Origen!$F$2:$F$2459,$Z1523)),Parametros!$B$48:$B$67,0))</f>
        <v>Computacion</v>
      </c>
      <c r="L1523" s="61" t="str">
        <f aca="false">$K1523&amp;" "&amp;$C1523</f>
        <v>Computacion 2025</v>
      </c>
      <c r="M1523" s="61" t="str">
        <f aca="false">TRIM(INDEX(Datos_Origen!$G$2:$G$2459,$Z1523))</f>
        <v>Laptop Pro 15</v>
      </c>
      <c r="N1523" s="61" t="str">
        <f aca="false">$M1523&amp;" "&amp;$C1523</f>
        <v>Laptop Pro 15 2025</v>
      </c>
      <c r="O1523" s="63" t="n">
        <f aca="false">IF(ISTEXT($AC1523),VALUE($AC1523),$AC1523)</f>
        <v>7</v>
      </c>
      <c r="P1523" s="64" t="n">
        <f aca="false">INDEX(Datos_Origen!$I$2:$I$2459,$Z1523)</f>
        <v>1155.06</v>
      </c>
      <c r="Q1523" s="64" t="n">
        <f aca="false">INDEX(Datos_Origen!$J$2:$J$2459,$Z1523)</f>
        <v>766.32</v>
      </c>
      <c r="R1523" s="65" t="n">
        <f aca="false">ROUND($O1523*$P1523,2)</f>
        <v>8085.42</v>
      </c>
      <c r="S1523" s="65" t="n">
        <f aca="false">ROUND($O1523*$Q1523,2)</f>
        <v>5364.24</v>
      </c>
      <c r="T1523" s="65" t="n">
        <f aca="false">ROUND($R1523*SUMIFS(Parametros!$E$28:$E$43,Parametros!$B$28:$B$43,$J1523,Parametros!$C$28:$C$43,$C1523,Parametros!$D$28:$D$43,$D1523),2)</f>
        <v>598.32</v>
      </c>
      <c r="U1523" s="65" t="n">
        <f aca="false">$R1523-$S1523-$T1523</f>
        <v>2122.86</v>
      </c>
      <c r="V1523" s="66" t="n">
        <f aca="false">IFERROR($U1523/$R1523,0)</f>
        <v>0.262554078823364</v>
      </c>
      <c r="W1523" s="67" t="str">
        <f aca="false">IF(AND($V1523&gt;=Parametros!$C$8,$R1523&gt;=Parametros!$C$12),"Alta rentabilidad",IF(OR($V1523&lt;Parametros!$C$11,$R1523&lt;Parametros!$C$13),"Revisar","Estandar"))</f>
        <v>Revisar</v>
      </c>
      <c r="X1523" s="67" t="str">
        <f aca="false">IF(AND($J1523="E-commerce",IFERROR($T1523/$R1523,0)&gt;Parametros!$C$14),"Alerta","OK")</f>
        <v>Alerta</v>
      </c>
      <c r="Y1523" s="61" t="str">
        <f aca="false">IF($R1523&gt;=Parametros!$C$12,"Alto",IF($R1523&lt;Parametros!$C$13,"Bajo","Medio"))</f>
        <v>Alto</v>
      </c>
      <c r="Z1523" s="61" t="n">
        <v>1806</v>
      </c>
      <c r="AA1523" s="61" t="str">
        <f aca="false">IF(MATCH($A1523,Datos_Origen!$A$2:$A$2459,0)=$Z1523,"OK","REVISAR")</f>
        <v>OK</v>
      </c>
      <c r="AB1523" s="61" t="str">
        <f aca="false">INDEX(Datos_Origen!$B$2:$B$2459,$Z1523)</f>
        <v>2025-04-17</v>
      </c>
      <c r="AC1523" s="61" t="n">
        <f aca="false">INDEX(Datos_Origen!$H$2:$H$2459,$Z1523)</f>
        <v>7</v>
      </c>
      <c r="AD1523" s="61" t="str">
        <f aca="false">INDEX(Datos_Origen!$D$2:$D$2459,$Z1523)&amp;""</f>
        <v>Cordoba</v>
      </c>
    </row>
    <row r="1524" customFormat="false" ht="15" hidden="false" customHeight="false" outlineLevel="0" collapsed="false">
      <c r="A1524" s="61" t="n">
        <f aca="false">INDEX(Datos_Origen!$A$2:$A$2459,$Z1524)</f>
        <v>1523</v>
      </c>
      <c r="B1524" s="62" t="n">
        <f aca="false">IF(ISNUMBER($AB1524),$AB1524,IF(MID($AB1524,5,1)="-",DATE(VALUE(LEFT($AB1524,4)),VALUE(MID($AB1524,6,2)),VALUE(RIGHT($AB1524,2))),DATE(VALUE(RIGHT($AB1524,4)),VALUE(MID($AB1524,4,2)),VALUE(LEFT($AB1524,2)))))</f>
        <v>45771</v>
      </c>
      <c r="C1524" s="61" t="n">
        <f aca="false">YEAR($B1524)</f>
        <v>2025</v>
      </c>
      <c r="D1524" s="61" t="str">
        <f aca="false">"Q"&amp;ROUNDUP(MONTH($B1524)/3,0)</f>
        <v>Q2</v>
      </c>
      <c r="E1524" s="61" t="n">
        <f aca="false">MONTH($B1524)</f>
        <v>4</v>
      </c>
      <c r="F1524" s="61" t="str">
        <f aca="false">INDEX(Parametros!$I$5:$I$16,$E1524)</f>
        <v>Abr</v>
      </c>
      <c r="G1524" s="61" t="str">
        <f aca="false">TEXT($C1524,"0000")&amp;"-"&amp;TEXT($E1524,"00")</f>
        <v>2025-04</v>
      </c>
      <c r="H1524" s="61" t="str">
        <f aca="false">INDEX(Parametros!$C$71:$C$91,MATCH(TRIM(INDEX(Datos_Origen!$C$2:$C$2459,$Z1524)),Parametros!$B$71:$B$91,0))</f>
        <v>Centro</v>
      </c>
      <c r="I1524" s="61" t="str">
        <f aca="false">IF(TRIM($AD1524)="",INDEX(Parametros!$I$20:$I$24,MATCH($H1524,Parametros!$H$20:$H$24,0)),TRIM($AD1524))</f>
        <v>Cordoba</v>
      </c>
      <c r="J1524" s="61" t="str">
        <f aca="false">INDEX(Parametros!$C$95:$C$106,MATCH(TRIM(INDEX(Datos_Origen!$E$2:$E$2459,$Z1524)),Parametros!$B$95:$B$106,0))</f>
        <v>Tienda fisica</v>
      </c>
      <c r="K1524" s="61" t="str">
        <f aca="false">INDEX(Parametros!$C$48:$C$67,MATCH(TRIM(INDEX(Datos_Origen!$F$2:$F$2459,$Z1524)),Parametros!$B$48:$B$67,0))</f>
        <v>Computacion</v>
      </c>
      <c r="L1524" s="61" t="str">
        <f aca="false">$K1524&amp;" "&amp;$C1524</f>
        <v>Computacion 2025</v>
      </c>
      <c r="M1524" s="61" t="str">
        <f aca="false">TRIM(INDEX(Datos_Origen!$G$2:$G$2459,$Z1524))</f>
        <v>Monitor 4K 27</v>
      </c>
      <c r="N1524" s="61" t="str">
        <f aca="false">$M1524&amp;" "&amp;$C1524</f>
        <v>Monitor 4K 27 2025</v>
      </c>
      <c r="O1524" s="63" t="n">
        <f aca="false">IF(ISTEXT($AC1524),VALUE($AC1524),$AC1524)</f>
        <v>9</v>
      </c>
      <c r="P1524" s="64" t="n">
        <f aca="false">INDEX(Datos_Origen!$I$2:$I$2459,$Z1524)</f>
        <v>433.15</v>
      </c>
      <c r="Q1524" s="64" t="n">
        <f aca="false">INDEX(Datos_Origen!$J$2:$J$2459,$Z1524)</f>
        <v>280.42</v>
      </c>
      <c r="R1524" s="65" t="n">
        <f aca="false">ROUND($O1524*$P1524,2)</f>
        <v>3898.35</v>
      </c>
      <c r="S1524" s="65" t="n">
        <f aca="false">ROUND($O1524*$Q1524,2)</f>
        <v>2523.78</v>
      </c>
      <c r="T1524" s="65" t="n">
        <f aca="false">ROUND($R1524*SUMIFS(Parametros!$E$28:$E$43,Parametros!$B$28:$B$43,$J1524,Parametros!$C$28:$C$43,$C1524,Parametros!$D$28:$D$43,$D1524),2)</f>
        <v>54.58</v>
      </c>
      <c r="U1524" s="65" t="n">
        <f aca="false">$R1524-$S1524-$T1524</f>
        <v>1319.99</v>
      </c>
      <c r="V1524" s="66" t="n">
        <f aca="false">IFERROR($U1524/$R1524,0)</f>
        <v>0.338602229148229</v>
      </c>
      <c r="W1524" s="67" t="str">
        <f aca="false">IF(AND($V1524&gt;=Parametros!$C$8,$R1524&gt;=Parametros!$C$12),"Alta rentabilidad",IF(OR($V1524&lt;Parametros!$C$11,$R1524&lt;Parametros!$C$13),"Revisar","Estandar"))</f>
        <v>Estandar</v>
      </c>
      <c r="X1524" s="67" t="str">
        <f aca="false">IF(AND($J1524="E-commerce",IFERROR($T1524/$R1524,0)&gt;Parametros!$C$14),"Alerta","OK")</f>
        <v>OK</v>
      </c>
      <c r="Y1524" s="61" t="str">
        <f aca="false">IF($R1524&gt;=Parametros!$C$12,"Alto",IF($R1524&lt;Parametros!$C$13,"Bajo","Medio"))</f>
        <v>Alto</v>
      </c>
      <c r="Z1524" s="61" t="n">
        <v>2139</v>
      </c>
      <c r="AA1524" s="61" t="str">
        <f aca="false">IF(MATCH($A1524,Datos_Origen!$A$2:$A$2459,0)=$Z1524,"OK","REVISAR")</f>
        <v>OK</v>
      </c>
      <c r="AB1524" s="61" t="str">
        <f aca="false">INDEX(Datos_Origen!$B$2:$B$2459,$Z1524)</f>
        <v>2025-04-24</v>
      </c>
      <c r="AC1524" s="61" t="n">
        <f aca="false">INDEX(Datos_Origen!$H$2:$H$2459,$Z1524)</f>
        <v>9</v>
      </c>
      <c r="AD1524" s="61" t="str">
        <f aca="false">INDEX(Datos_Origen!$D$2:$D$2459,$Z1524)&amp;""</f>
        <v>Cordoba</v>
      </c>
    </row>
    <row r="1525" customFormat="false" ht="15" hidden="false" customHeight="false" outlineLevel="0" collapsed="false">
      <c r="A1525" s="61" t="n">
        <f aca="false">INDEX(Datos_Origen!$A$2:$A$2459,$Z1525)</f>
        <v>1524</v>
      </c>
      <c r="B1525" s="62" t="n">
        <f aca="false">IF(ISNUMBER($AB1525),$AB1525,IF(MID($AB1525,5,1)="-",DATE(VALUE(LEFT($AB1525,4)),VALUE(MID($AB1525,6,2)),VALUE(RIGHT($AB1525,2))),DATE(VALUE(RIGHT($AB1525,4)),VALUE(MID($AB1525,4,2)),VALUE(LEFT($AB1525,2)))))</f>
        <v>45751</v>
      </c>
      <c r="C1525" s="61" t="n">
        <f aca="false">YEAR($B1525)</f>
        <v>2025</v>
      </c>
      <c r="D1525" s="61" t="str">
        <f aca="false">"Q"&amp;ROUNDUP(MONTH($B1525)/3,0)</f>
        <v>Q2</v>
      </c>
      <c r="E1525" s="61" t="n">
        <f aca="false">MONTH($B1525)</f>
        <v>4</v>
      </c>
      <c r="F1525" s="61" t="str">
        <f aca="false">INDEX(Parametros!$I$5:$I$16,$E1525)</f>
        <v>Abr</v>
      </c>
      <c r="G1525" s="61" t="str">
        <f aca="false">TEXT($C1525,"0000")&amp;"-"&amp;TEXT($E1525,"00")</f>
        <v>2025-04</v>
      </c>
      <c r="H1525" s="61" t="str">
        <f aca="false">INDEX(Parametros!$C$71:$C$91,MATCH(TRIM(INDEX(Datos_Origen!$C$2:$C$2459,$Z1525)),Parametros!$B$71:$B$91,0))</f>
        <v>Centro</v>
      </c>
      <c r="I1525" s="61" t="str">
        <f aca="false">IF(TRIM($AD1525)="",INDEX(Parametros!$I$20:$I$24,MATCH($H1525,Parametros!$H$20:$H$24,0)),TRIM($AD1525))</f>
        <v>Cordoba</v>
      </c>
      <c r="J1525" s="61" t="str">
        <f aca="false">INDEX(Parametros!$C$95:$C$106,MATCH(TRIM(INDEX(Datos_Origen!$E$2:$E$2459,$Z1525)),Parametros!$B$95:$B$106,0))</f>
        <v>E-commerce</v>
      </c>
      <c r="K1525" s="61" t="str">
        <f aca="false">INDEX(Parametros!$C$48:$C$67,MATCH(TRIM(INDEX(Datos_Origen!$F$2:$F$2459,$Z1525)),Parametros!$B$48:$B$67,0))</f>
        <v>Computacion</v>
      </c>
      <c r="L1525" s="61" t="str">
        <f aca="false">$K1525&amp;" "&amp;$C1525</f>
        <v>Computacion 2025</v>
      </c>
      <c r="M1525" s="61" t="str">
        <f aca="false">TRIM(INDEX(Datos_Origen!$G$2:$G$2459,$Z1525))</f>
        <v>Monitor 4K 27</v>
      </c>
      <c r="N1525" s="61" t="str">
        <f aca="false">$M1525&amp;" "&amp;$C1525</f>
        <v>Monitor 4K 27 2025</v>
      </c>
      <c r="O1525" s="63" t="n">
        <f aca="false">IF(ISTEXT($AC1525),VALUE($AC1525),$AC1525)</f>
        <v>8</v>
      </c>
      <c r="P1525" s="64" t="n">
        <f aca="false">INDEX(Datos_Origen!$I$2:$I$2459,$Z1525)</f>
        <v>433.15</v>
      </c>
      <c r="Q1525" s="64" t="n">
        <f aca="false">INDEX(Datos_Origen!$J$2:$J$2459,$Z1525)</f>
        <v>280.42</v>
      </c>
      <c r="R1525" s="65" t="n">
        <f aca="false">ROUND($O1525*$P1525,2)</f>
        <v>3465.2</v>
      </c>
      <c r="S1525" s="65" t="n">
        <f aca="false">ROUND($O1525*$Q1525,2)</f>
        <v>2243.36</v>
      </c>
      <c r="T1525" s="65" t="n">
        <f aca="false">ROUND($R1525*SUMIFS(Parametros!$E$28:$E$43,Parametros!$B$28:$B$43,$J1525,Parametros!$C$28:$C$43,$C1525,Parametros!$D$28:$D$43,$D1525),2)</f>
        <v>256.42</v>
      </c>
      <c r="U1525" s="65" t="n">
        <f aca="false">$R1525-$S1525-$T1525</f>
        <v>965.42</v>
      </c>
      <c r="V1525" s="66" t="n">
        <f aca="false">IFERROR($U1525/$R1525,0)</f>
        <v>0.27860440955789</v>
      </c>
      <c r="W1525" s="67" t="str">
        <f aca="false">IF(AND($V1525&gt;=Parametros!$C$8,$R1525&gt;=Parametros!$C$12),"Alta rentabilidad",IF(OR($V1525&lt;Parametros!$C$11,$R1525&lt;Parametros!$C$13),"Revisar","Estandar"))</f>
        <v>Revisar</v>
      </c>
      <c r="X1525" s="67" t="str">
        <f aca="false">IF(AND($J1525="E-commerce",IFERROR($T1525/$R1525,0)&gt;Parametros!$C$14),"Alerta","OK")</f>
        <v>Alerta</v>
      </c>
      <c r="Y1525" s="61" t="str">
        <f aca="false">IF($R1525&gt;=Parametros!$C$12,"Alto",IF($R1525&lt;Parametros!$C$13,"Bajo","Medio"))</f>
        <v>Alto</v>
      </c>
      <c r="Z1525" s="61" t="n">
        <v>1006</v>
      </c>
      <c r="AA1525" s="61" t="str">
        <f aca="false">IF(MATCH($A1525,Datos_Origen!$A$2:$A$2459,0)=$Z1525,"OK","REVISAR")</f>
        <v>OK</v>
      </c>
      <c r="AB1525" s="62" t="n">
        <f aca="false">INDEX(Datos_Origen!$B$2:$B$2459,$Z1525)</f>
        <v>45751</v>
      </c>
      <c r="AC1525" s="61" t="n">
        <f aca="false">INDEX(Datos_Origen!$H$2:$H$2459,$Z1525)</f>
        <v>8</v>
      </c>
      <c r="AD1525" s="61" t="str">
        <f aca="false">INDEX(Datos_Origen!$D$2:$D$2459,$Z1525)&amp;""</f>
        <v>Cordoba</v>
      </c>
    </row>
    <row r="1526" customFormat="false" ht="15" hidden="false" customHeight="false" outlineLevel="0" collapsed="false">
      <c r="A1526" s="61" t="n">
        <f aca="false">INDEX(Datos_Origen!$A$2:$A$2459,$Z1526)</f>
        <v>1525</v>
      </c>
      <c r="B1526" s="62" t="n">
        <f aca="false">IF(ISNUMBER($AB1526),$AB1526,IF(MID($AB1526,5,1)="-",DATE(VALUE(LEFT($AB1526,4)),VALUE(MID($AB1526,6,2)),VALUE(RIGHT($AB1526,2))),DATE(VALUE(RIGHT($AB1526,4)),VALUE(MID($AB1526,4,2)),VALUE(LEFT($AB1526,2)))))</f>
        <v>45758</v>
      </c>
      <c r="C1526" s="61" t="n">
        <f aca="false">YEAR($B1526)</f>
        <v>2025</v>
      </c>
      <c r="D1526" s="61" t="str">
        <f aca="false">"Q"&amp;ROUNDUP(MONTH($B1526)/3,0)</f>
        <v>Q2</v>
      </c>
      <c r="E1526" s="61" t="n">
        <f aca="false">MONTH($B1526)</f>
        <v>4</v>
      </c>
      <c r="F1526" s="61" t="str">
        <f aca="false">INDEX(Parametros!$I$5:$I$16,$E1526)</f>
        <v>Abr</v>
      </c>
      <c r="G1526" s="61" t="str">
        <f aca="false">TEXT($C1526,"0000")&amp;"-"&amp;TEXT($E1526,"00")</f>
        <v>2025-04</v>
      </c>
      <c r="H1526" s="61" t="str">
        <f aca="false">INDEX(Parametros!$C$71:$C$91,MATCH(TRIM(INDEX(Datos_Origen!$C$2:$C$2459,$Z1526)),Parametros!$B$71:$B$91,0))</f>
        <v>Centro</v>
      </c>
      <c r="I1526" s="61" t="str">
        <f aca="false">IF(TRIM($AD1526)="",INDEX(Parametros!$I$20:$I$24,MATCH($H1526,Parametros!$H$20:$H$24,0)),TRIM($AD1526))</f>
        <v>Cordoba</v>
      </c>
      <c r="J1526" s="61" t="str">
        <f aca="false">INDEX(Parametros!$C$95:$C$106,MATCH(TRIM(INDEX(Datos_Origen!$E$2:$E$2459,$Z1526)),Parametros!$B$95:$B$106,0))</f>
        <v>Tienda fisica</v>
      </c>
      <c r="K1526" s="61" t="str">
        <f aca="false">INDEX(Parametros!$C$48:$C$67,MATCH(TRIM(INDEX(Datos_Origen!$F$2:$F$2459,$Z1526)),Parametros!$B$48:$B$67,0))</f>
        <v>Computacion</v>
      </c>
      <c r="L1526" s="61" t="str">
        <f aca="false">$K1526&amp;" "&amp;$C1526</f>
        <v>Computacion 2025</v>
      </c>
      <c r="M1526" s="61" t="str">
        <f aca="false">TRIM(INDEX(Datos_Origen!$G$2:$G$2459,$Z1526))</f>
        <v>PC Gamer Ryzen</v>
      </c>
      <c r="N1526" s="61" t="str">
        <f aca="false">$M1526&amp;" "&amp;$C1526</f>
        <v>PC Gamer Ryzen 2025</v>
      </c>
      <c r="O1526" s="63" t="n">
        <f aca="false">IF(ISTEXT($AC1526),VALUE($AC1526),$AC1526)</f>
        <v>10</v>
      </c>
      <c r="P1526" s="64" t="n">
        <f aca="false">INDEX(Datos_Origen!$I$2:$I$2459,$Z1526)</f>
        <v>1588.21</v>
      </c>
      <c r="Q1526" s="64" t="n">
        <f aca="false">INDEX(Datos_Origen!$J$2:$J$2459,$Z1526)</f>
        <v>1155.66</v>
      </c>
      <c r="R1526" s="65" t="n">
        <f aca="false">ROUND($O1526*$P1526,2)</f>
        <v>15882.1</v>
      </c>
      <c r="S1526" s="65" t="n">
        <f aca="false">ROUND($O1526*$Q1526,2)</f>
        <v>11556.6</v>
      </c>
      <c r="T1526" s="65" t="n">
        <f aca="false">ROUND($R1526*SUMIFS(Parametros!$E$28:$E$43,Parametros!$B$28:$B$43,$J1526,Parametros!$C$28:$C$43,$C1526,Parametros!$D$28:$D$43,$D1526),2)</f>
        <v>222.35</v>
      </c>
      <c r="U1526" s="65" t="n">
        <f aca="false">$R1526-$S1526-$T1526</f>
        <v>4103.15</v>
      </c>
      <c r="V1526" s="66" t="n">
        <f aca="false">IFERROR($U1526/$R1526,0)</f>
        <v>0.258350595953936</v>
      </c>
      <c r="W1526" s="67" t="str">
        <f aca="false">IF(AND($V1526&gt;=Parametros!$C$8,$R1526&gt;=Parametros!$C$12),"Alta rentabilidad",IF(OR($V1526&lt;Parametros!$C$11,$R1526&lt;Parametros!$C$13),"Revisar","Estandar"))</f>
        <v>Revisar</v>
      </c>
      <c r="X1526" s="67" t="str">
        <f aca="false">IF(AND($J1526="E-commerce",IFERROR($T1526/$R1526,0)&gt;Parametros!$C$14),"Alerta","OK")</f>
        <v>OK</v>
      </c>
      <c r="Y1526" s="61" t="str">
        <f aca="false">IF($R1526&gt;=Parametros!$C$12,"Alto",IF($R1526&lt;Parametros!$C$13,"Bajo","Medio"))</f>
        <v>Alto</v>
      </c>
      <c r="Z1526" s="61" t="n">
        <v>963</v>
      </c>
      <c r="AA1526" s="61" t="str">
        <f aca="false">IF(MATCH($A1526,Datos_Origen!$A$2:$A$2459,0)=$Z1526,"OK","REVISAR")</f>
        <v>OK</v>
      </c>
      <c r="AB1526" s="62" t="n">
        <f aca="false">INDEX(Datos_Origen!$B$2:$B$2459,$Z1526)</f>
        <v>45758</v>
      </c>
      <c r="AC1526" s="61" t="n">
        <f aca="false">INDEX(Datos_Origen!$H$2:$H$2459,$Z1526)</f>
        <v>10</v>
      </c>
      <c r="AD1526" s="61" t="str">
        <f aca="false">INDEX(Datos_Origen!$D$2:$D$2459,$Z1526)&amp;""</f>
        <v>Cordoba</v>
      </c>
    </row>
    <row r="1527" customFormat="false" ht="15" hidden="false" customHeight="false" outlineLevel="0" collapsed="false">
      <c r="A1527" s="61" t="n">
        <f aca="false">INDEX(Datos_Origen!$A$2:$A$2459,$Z1527)</f>
        <v>1526</v>
      </c>
      <c r="B1527" s="62" t="n">
        <f aca="false">IF(ISNUMBER($AB1527),$AB1527,IF(MID($AB1527,5,1)="-",DATE(VALUE(LEFT($AB1527,4)),VALUE(MID($AB1527,6,2)),VALUE(RIGHT($AB1527,2))),DATE(VALUE(RIGHT($AB1527,4)),VALUE(MID($AB1527,4,2)),VALUE(LEFT($AB1527,2)))))</f>
        <v>45765</v>
      </c>
      <c r="C1527" s="61" t="n">
        <f aca="false">YEAR($B1527)</f>
        <v>2025</v>
      </c>
      <c r="D1527" s="61" t="str">
        <f aca="false">"Q"&amp;ROUNDUP(MONTH($B1527)/3,0)</f>
        <v>Q2</v>
      </c>
      <c r="E1527" s="61" t="n">
        <f aca="false">MONTH($B1527)</f>
        <v>4</v>
      </c>
      <c r="F1527" s="61" t="str">
        <f aca="false">INDEX(Parametros!$I$5:$I$16,$E1527)</f>
        <v>Abr</v>
      </c>
      <c r="G1527" s="61" t="str">
        <f aca="false">TEXT($C1527,"0000")&amp;"-"&amp;TEXT($E1527,"00")</f>
        <v>2025-04</v>
      </c>
      <c r="H1527" s="61" t="str">
        <f aca="false">INDEX(Parametros!$C$71:$C$91,MATCH(TRIM(INDEX(Datos_Origen!$C$2:$C$2459,$Z1527)),Parametros!$B$71:$B$91,0))</f>
        <v>Centro</v>
      </c>
      <c r="I1527" s="61" t="str">
        <f aca="false">IF(TRIM($AD1527)="",INDEX(Parametros!$I$20:$I$24,MATCH($H1527,Parametros!$H$20:$H$24,0)),TRIM($AD1527))</f>
        <v>Cordoba</v>
      </c>
      <c r="J1527" s="61" t="str">
        <f aca="false">INDEX(Parametros!$C$95:$C$106,MATCH(TRIM(INDEX(Datos_Origen!$E$2:$E$2459,$Z1527)),Parametros!$B$95:$B$106,0))</f>
        <v>E-commerce</v>
      </c>
      <c r="K1527" s="61" t="str">
        <f aca="false">INDEX(Parametros!$C$48:$C$67,MATCH(TRIM(INDEX(Datos_Origen!$F$2:$F$2459,$Z1527)),Parametros!$B$48:$B$67,0))</f>
        <v>Computacion</v>
      </c>
      <c r="L1527" s="61" t="str">
        <f aca="false">$K1527&amp;" "&amp;$C1527</f>
        <v>Computacion 2025</v>
      </c>
      <c r="M1527" s="61" t="str">
        <f aca="false">TRIM(INDEX(Datos_Origen!$G$2:$G$2459,$Z1527))</f>
        <v>PC Gamer Ryzen</v>
      </c>
      <c r="N1527" s="61" t="str">
        <f aca="false">$M1527&amp;" "&amp;$C1527</f>
        <v>PC Gamer Ryzen 2025</v>
      </c>
      <c r="O1527" s="63" t="n">
        <f aca="false">IF(ISTEXT($AC1527),VALUE($AC1527),$AC1527)</f>
        <v>8</v>
      </c>
      <c r="P1527" s="64" t="n">
        <f aca="false">INDEX(Datos_Origen!$I$2:$I$2459,$Z1527)</f>
        <v>1588.21</v>
      </c>
      <c r="Q1527" s="64" t="n">
        <f aca="false">INDEX(Datos_Origen!$J$2:$J$2459,$Z1527)</f>
        <v>1155.66</v>
      </c>
      <c r="R1527" s="65" t="n">
        <f aca="false">ROUND($O1527*$P1527,2)</f>
        <v>12705.68</v>
      </c>
      <c r="S1527" s="65" t="n">
        <f aca="false">ROUND($O1527*$Q1527,2)</f>
        <v>9245.28</v>
      </c>
      <c r="T1527" s="65" t="n">
        <f aca="false">ROUND($R1527*SUMIFS(Parametros!$E$28:$E$43,Parametros!$B$28:$B$43,$J1527,Parametros!$C$28:$C$43,$C1527,Parametros!$D$28:$D$43,$D1527),2)</f>
        <v>940.22</v>
      </c>
      <c r="U1527" s="65" t="n">
        <f aca="false">$R1527-$S1527-$T1527</f>
        <v>2520.18</v>
      </c>
      <c r="V1527" s="66" t="n">
        <f aca="false">IFERROR($U1527/$R1527,0)</f>
        <v>0.198350658917901</v>
      </c>
      <c r="W1527" s="67" t="str">
        <f aca="false">IF(AND($V1527&gt;=Parametros!$C$8,$R1527&gt;=Parametros!$C$12),"Alta rentabilidad",IF(OR($V1527&lt;Parametros!$C$11,$R1527&lt;Parametros!$C$13),"Revisar","Estandar"))</f>
        <v>Revisar</v>
      </c>
      <c r="X1527" s="67" t="str">
        <f aca="false">IF(AND($J1527="E-commerce",IFERROR($T1527/$R1527,0)&gt;Parametros!$C$14),"Alerta","OK")</f>
        <v>Alerta</v>
      </c>
      <c r="Y1527" s="61" t="str">
        <f aca="false">IF($R1527&gt;=Parametros!$C$12,"Alto",IF($R1527&lt;Parametros!$C$13,"Bajo","Medio"))</f>
        <v>Alto</v>
      </c>
      <c r="Z1527" s="61" t="n">
        <v>2178</v>
      </c>
      <c r="AA1527" s="61" t="str">
        <f aca="false">IF(MATCH($A1527,Datos_Origen!$A$2:$A$2459,0)=$Z1527,"OK","REVISAR")</f>
        <v>OK</v>
      </c>
      <c r="AB1527" s="62" t="n">
        <f aca="false">INDEX(Datos_Origen!$B$2:$B$2459,$Z1527)</f>
        <v>45765</v>
      </c>
      <c r="AC1527" s="61" t="n">
        <f aca="false">INDEX(Datos_Origen!$H$2:$H$2459,$Z1527)</f>
        <v>8</v>
      </c>
      <c r="AD1527" s="61" t="str">
        <f aca="false">INDEX(Datos_Origen!$D$2:$D$2459,$Z1527)&amp;""</f>
        <v>Cordoba</v>
      </c>
    </row>
    <row r="1528" customFormat="false" ht="15" hidden="false" customHeight="false" outlineLevel="0" collapsed="false">
      <c r="A1528" s="61" t="n">
        <f aca="false">INDEX(Datos_Origen!$A$2:$A$2459,$Z1528)</f>
        <v>1527</v>
      </c>
      <c r="B1528" s="62" t="n">
        <f aca="false">IF(ISNUMBER($AB1528),$AB1528,IF(MID($AB1528,5,1)="-",DATE(VALUE(LEFT($AB1528,4)),VALUE(MID($AB1528,6,2)),VALUE(RIGHT($AB1528,2))),DATE(VALUE(RIGHT($AB1528,4)),VALUE(MID($AB1528,4,2)),VALUE(LEFT($AB1528,2)))))</f>
        <v>45772</v>
      </c>
      <c r="C1528" s="61" t="n">
        <f aca="false">YEAR($B1528)</f>
        <v>2025</v>
      </c>
      <c r="D1528" s="61" t="str">
        <f aca="false">"Q"&amp;ROUNDUP(MONTH($B1528)/3,0)</f>
        <v>Q2</v>
      </c>
      <c r="E1528" s="61" t="n">
        <f aca="false">MONTH($B1528)</f>
        <v>4</v>
      </c>
      <c r="F1528" s="61" t="str">
        <f aca="false">INDEX(Parametros!$I$5:$I$16,$E1528)</f>
        <v>Abr</v>
      </c>
      <c r="G1528" s="61" t="str">
        <f aca="false">TEXT($C1528,"0000")&amp;"-"&amp;TEXT($E1528,"00")</f>
        <v>2025-04</v>
      </c>
      <c r="H1528" s="61" t="str">
        <f aca="false">INDEX(Parametros!$C$71:$C$91,MATCH(TRIM(INDEX(Datos_Origen!$C$2:$C$2459,$Z1528)),Parametros!$B$71:$B$91,0))</f>
        <v>Centro</v>
      </c>
      <c r="I1528" s="61" t="str">
        <f aca="false">IF(TRIM($AD1528)="",INDEX(Parametros!$I$20:$I$24,MATCH($H1528,Parametros!$H$20:$H$24,0)),TRIM($AD1528))</f>
        <v>Cordoba</v>
      </c>
      <c r="J1528" s="61" t="str">
        <f aca="false">INDEX(Parametros!$C$95:$C$106,MATCH(TRIM(INDEX(Datos_Origen!$E$2:$E$2459,$Z1528)),Parametros!$B$95:$B$106,0))</f>
        <v>Tienda fisica</v>
      </c>
      <c r="K1528" s="61" t="str">
        <f aca="false">INDEX(Parametros!$C$48:$C$67,MATCH(TRIM(INDEX(Datos_Origen!$F$2:$F$2459,$Z1528)),Parametros!$B$48:$B$67,0))</f>
        <v>Accesorios</v>
      </c>
      <c r="L1528" s="61" t="str">
        <f aca="false">$K1528&amp;" "&amp;$C1528</f>
        <v>Accesorios 2025</v>
      </c>
      <c r="M1528" s="61" t="str">
        <f aca="false">TRIM(INDEX(Datos_Origen!$G$2:$G$2459,$Z1528))</f>
        <v>Mouse Inalambrico</v>
      </c>
      <c r="N1528" s="61" t="str">
        <f aca="false">$M1528&amp;" "&amp;$C1528</f>
        <v>Mouse Inalambrico 2025</v>
      </c>
      <c r="O1528" s="63" t="n">
        <f aca="false">IF(ISTEXT($AC1528),VALUE($AC1528),$AC1528)</f>
        <v>50</v>
      </c>
      <c r="P1528" s="64" t="n">
        <f aca="false">INDEX(Datos_Origen!$I$2:$I$2459,$Z1528)</f>
        <v>27.82</v>
      </c>
      <c r="Q1528" s="64" t="n">
        <f aca="false">INDEX(Datos_Origen!$J$2:$J$2459,$Z1528)</f>
        <v>13.84</v>
      </c>
      <c r="R1528" s="65" t="n">
        <f aca="false">ROUND($O1528*$P1528,2)</f>
        <v>1391</v>
      </c>
      <c r="S1528" s="65" t="n">
        <f aca="false">ROUND($O1528*$Q1528,2)</f>
        <v>692</v>
      </c>
      <c r="T1528" s="65" t="n">
        <f aca="false">ROUND($R1528*SUMIFS(Parametros!$E$28:$E$43,Parametros!$B$28:$B$43,$J1528,Parametros!$C$28:$C$43,$C1528,Parametros!$D$28:$D$43,$D1528),2)</f>
        <v>19.47</v>
      </c>
      <c r="U1528" s="65" t="n">
        <f aca="false">$R1528-$S1528-$T1528</f>
        <v>679.53</v>
      </c>
      <c r="V1528" s="66" t="n">
        <f aca="false">IFERROR($U1528/$R1528,0)</f>
        <v>0.488519051042416</v>
      </c>
      <c r="W1528" s="67" t="str">
        <f aca="false">IF(AND($V1528&gt;=Parametros!$C$8,$R1528&gt;=Parametros!$C$12),"Alta rentabilidad",IF(OR($V1528&lt;Parametros!$C$11,$R1528&lt;Parametros!$C$13),"Revisar","Estandar"))</f>
        <v>Estandar</v>
      </c>
      <c r="X1528" s="67" t="str">
        <f aca="false">IF(AND($J1528="E-commerce",IFERROR($T1528/$R1528,0)&gt;Parametros!$C$14),"Alerta","OK")</f>
        <v>OK</v>
      </c>
      <c r="Y1528" s="61" t="str">
        <f aca="false">IF($R1528&gt;=Parametros!$C$12,"Alto",IF($R1528&lt;Parametros!$C$13,"Bajo","Medio"))</f>
        <v>Medio</v>
      </c>
      <c r="Z1528" s="61" t="n">
        <v>762</v>
      </c>
      <c r="AA1528" s="61" t="str">
        <f aca="false">IF(MATCH($A1528,Datos_Origen!$A$2:$A$2459,0)=$Z1528,"OK","REVISAR")</f>
        <v>OK</v>
      </c>
      <c r="AB1528" s="61" t="str">
        <f aca="false">INDEX(Datos_Origen!$B$2:$B$2459,$Z1528)</f>
        <v>2025-04-25</v>
      </c>
      <c r="AC1528" s="61" t="n">
        <f aca="false">INDEX(Datos_Origen!$H$2:$H$2459,$Z1528)</f>
        <v>50</v>
      </c>
      <c r="AD1528" s="61" t="str">
        <f aca="false">INDEX(Datos_Origen!$D$2:$D$2459,$Z1528)&amp;""</f>
        <v>Cordoba</v>
      </c>
    </row>
    <row r="1529" customFormat="false" ht="15" hidden="false" customHeight="false" outlineLevel="0" collapsed="false">
      <c r="A1529" s="61" t="n">
        <f aca="false">INDEX(Datos_Origen!$A$2:$A$2459,$Z1529)</f>
        <v>1528</v>
      </c>
      <c r="B1529" s="62" t="n">
        <f aca="false">IF(ISNUMBER($AB1529),$AB1529,IF(MID($AB1529,5,1)="-",DATE(VALUE(LEFT($AB1529,4)),VALUE(MID($AB1529,6,2)),VALUE(RIGHT($AB1529,2))),DATE(VALUE(RIGHT($AB1529,4)),VALUE(MID($AB1529,4,2)),VALUE(LEFT($AB1529,2)))))</f>
        <v>45752</v>
      </c>
      <c r="C1529" s="61" t="n">
        <f aca="false">YEAR($B1529)</f>
        <v>2025</v>
      </c>
      <c r="D1529" s="61" t="str">
        <f aca="false">"Q"&amp;ROUNDUP(MONTH($B1529)/3,0)</f>
        <v>Q2</v>
      </c>
      <c r="E1529" s="61" t="n">
        <f aca="false">MONTH($B1529)</f>
        <v>4</v>
      </c>
      <c r="F1529" s="61" t="str">
        <f aca="false">INDEX(Parametros!$I$5:$I$16,$E1529)</f>
        <v>Abr</v>
      </c>
      <c r="G1529" s="61" t="str">
        <f aca="false">TEXT($C1529,"0000")&amp;"-"&amp;TEXT($E1529,"00")</f>
        <v>2025-04</v>
      </c>
      <c r="H1529" s="61" t="str">
        <f aca="false">INDEX(Parametros!$C$71:$C$91,MATCH(TRIM(INDEX(Datos_Origen!$C$2:$C$2459,$Z1529)),Parametros!$B$71:$B$91,0))</f>
        <v>Centro</v>
      </c>
      <c r="I1529" s="61" t="str">
        <f aca="false">IF(TRIM($AD1529)="",INDEX(Parametros!$I$20:$I$24,MATCH($H1529,Parametros!$H$20:$H$24,0)),TRIM($AD1529))</f>
        <v>Cordoba</v>
      </c>
      <c r="J1529" s="61" t="str">
        <f aca="false">INDEX(Parametros!$C$95:$C$106,MATCH(TRIM(INDEX(Datos_Origen!$E$2:$E$2459,$Z1529)),Parametros!$B$95:$B$106,0))</f>
        <v>E-commerce</v>
      </c>
      <c r="K1529" s="61" t="str">
        <f aca="false">INDEX(Parametros!$C$48:$C$67,MATCH(TRIM(INDEX(Datos_Origen!$F$2:$F$2459,$Z1529)),Parametros!$B$48:$B$67,0))</f>
        <v>Accesorios</v>
      </c>
      <c r="L1529" s="61" t="str">
        <f aca="false">$K1529&amp;" "&amp;$C1529</f>
        <v>Accesorios 2025</v>
      </c>
      <c r="M1529" s="61" t="str">
        <f aca="false">TRIM(INDEX(Datos_Origen!$G$2:$G$2459,$Z1529))</f>
        <v>Mouse Inalambrico</v>
      </c>
      <c r="N1529" s="61" t="str">
        <f aca="false">$M1529&amp;" "&amp;$C1529</f>
        <v>Mouse Inalambrico 2025</v>
      </c>
      <c r="O1529" s="63" t="n">
        <f aca="false">IF(ISTEXT($AC1529),VALUE($AC1529),$AC1529)</f>
        <v>32</v>
      </c>
      <c r="P1529" s="64" t="n">
        <f aca="false">INDEX(Datos_Origen!$I$2:$I$2459,$Z1529)</f>
        <v>27.82</v>
      </c>
      <c r="Q1529" s="64" t="n">
        <f aca="false">INDEX(Datos_Origen!$J$2:$J$2459,$Z1529)</f>
        <v>13.84</v>
      </c>
      <c r="R1529" s="65" t="n">
        <f aca="false">ROUND($O1529*$P1529,2)</f>
        <v>890.24</v>
      </c>
      <c r="S1529" s="65" t="n">
        <f aca="false">ROUND($O1529*$Q1529,2)</f>
        <v>442.88</v>
      </c>
      <c r="T1529" s="65" t="n">
        <f aca="false">ROUND($R1529*SUMIFS(Parametros!$E$28:$E$43,Parametros!$B$28:$B$43,$J1529,Parametros!$C$28:$C$43,$C1529,Parametros!$D$28:$D$43,$D1529),2)</f>
        <v>65.88</v>
      </c>
      <c r="U1529" s="65" t="n">
        <f aca="false">$R1529-$S1529-$T1529</f>
        <v>381.48</v>
      </c>
      <c r="V1529" s="66" t="n">
        <f aca="false">IFERROR($U1529/$R1529,0)</f>
        <v>0.428513659237958</v>
      </c>
      <c r="W1529" s="67" t="str">
        <f aca="false">IF(AND($V1529&gt;=Parametros!$C$8,$R1529&gt;=Parametros!$C$12),"Alta rentabilidad",IF(OR($V1529&lt;Parametros!$C$11,$R1529&lt;Parametros!$C$13),"Revisar","Estandar"))</f>
        <v>Estandar</v>
      </c>
      <c r="X1529" s="67" t="str">
        <f aca="false">IF(AND($J1529="E-commerce",IFERROR($T1529/$R1529,0)&gt;Parametros!$C$14),"Alerta","OK")</f>
        <v>Alerta</v>
      </c>
      <c r="Y1529" s="61" t="str">
        <f aca="false">IF($R1529&gt;=Parametros!$C$12,"Alto",IF($R1529&lt;Parametros!$C$13,"Bajo","Medio"))</f>
        <v>Medio</v>
      </c>
      <c r="Z1529" s="61" t="n">
        <v>1826</v>
      </c>
      <c r="AA1529" s="61" t="str">
        <f aca="false">IF(MATCH($A1529,Datos_Origen!$A$2:$A$2459,0)=$Z1529,"OK","REVISAR")</f>
        <v>OK</v>
      </c>
      <c r="AB1529" s="62" t="n">
        <f aca="false">INDEX(Datos_Origen!$B$2:$B$2459,$Z1529)</f>
        <v>45752</v>
      </c>
      <c r="AC1529" s="61" t="n">
        <f aca="false">INDEX(Datos_Origen!$H$2:$H$2459,$Z1529)</f>
        <v>32</v>
      </c>
      <c r="AD1529" s="61" t="str">
        <f aca="false">INDEX(Datos_Origen!$D$2:$D$2459,$Z1529)&amp;""</f>
        <v>Cordoba</v>
      </c>
    </row>
    <row r="1530" customFormat="false" ht="15" hidden="false" customHeight="false" outlineLevel="0" collapsed="false">
      <c r="A1530" s="61" t="n">
        <f aca="false">INDEX(Datos_Origen!$A$2:$A$2459,$Z1530)</f>
        <v>1529</v>
      </c>
      <c r="B1530" s="62" t="n">
        <f aca="false">IF(ISNUMBER($AB1530),$AB1530,IF(MID($AB1530,5,1)="-",DATE(VALUE(LEFT($AB1530,4)),VALUE(MID($AB1530,6,2)),VALUE(RIGHT($AB1530,2))),DATE(VALUE(RIGHT($AB1530,4)),VALUE(MID($AB1530,4,2)),VALUE(LEFT($AB1530,2)))))</f>
        <v>45759</v>
      </c>
      <c r="C1530" s="61" t="n">
        <f aca="false">YEAR($B1530)</f>
        <v>2025</v>
      </c>
      <c r="D1530" s="61" t="str">
        <f aca="false">"Q"&amp;ROUNDUP(MONTH($B1530)/3,0)</f>
        <v>Q2</v>
      </c>
      <c r="E1530" s="61" t="n">
        <f aca="false">MONTH($B1530)</f>
        <v>4</v>
      </c>
      <c r="F1530" s="61" t="str">
        <f aca="false">INDEX(Parametros!$I$5:$I$16,$E1530)</f>
        <v>Abr</v>
      </c>
      <c r="G1530" s="61" t="str">
        <f aca="false">TEXT($C1530,"0000")&amp;"-"&amp;TEXT($E1530,"00")</f>
        <v>2025-04</v>
      </c>
      <c r="H1530" s="61" t="str">
        <f aca="false">INDEX(Parametros!$C$71:$C$91,MATCH(TRIM(INDEX(Datos_Origen!$C$2:$C$2459,$Z1530)),Parametros!$B$71:$B$91,0))</f>
        <v>Centro</v>
      </c>
      <c r="I1530" s="61" t="str">
        <f aca="false">IF(TRIM($AD1530)="",INDEX(Parametros!$I$20:$I$24,MATCH($H1530,Parametros!$H$20:$H$24,0)),TRIM($AD1530))</f>
        <v>Cordoba</v>
      </c>
      <c r="J1530" s="61" t="str">
        <f aca="false">INDEX(Parametros!$C$95:$C$106,MATCH(TRIM(INDEX(Datos_Origen!$E$2:$E$2459,$Z1530)),Parametros!$B$95:$B$106,0))</f>
        <v>Tienda fisica</v>
      </c>
      <c r="K1530" s="61" t="str">
        <f aca="false">INDEX(Parametros!$C$48:$C$67,MATCH(TRIM(INDEX(Datos_Origen!$F$2:$F$2459,$Z1530)),Parametros!$B$48:$B$67,0))</f>
        <v>Accesorios</v>
      </c>
      <c r="L1530" s="61" t="str">
        <f aca="false">$K1530&amp;" "&amp;$C1530</f>
        <v>Accesorios 2025</v>
      </c>
      <c r="M1530" s="61" t="str">
        <f aca="false">TRIM(INDEX(Datos_Origen!$G$2:$G$2459,$Z1530))</f>
        <v>Teclado Mecanico</v>
      </c>
      <c r="N1530" s="61" t="str">
        <f aca="false">$M1530&amp;" "&amp;$C1530</f>
        <v>Teclado Mecanico 2025</v>
      </c>
      <c r="O1530" s="63" t="n">
        <f aca="false">IF(ISTEXT($AC1530),VALUE($AC1530),$AC1530)</f>
        <v>54</v>
      </c>
      <c r="P1530" s="64" t="n">
        <f aca="false">INDEX(Datos_Origen!$I$2:$I$2459,$Z1530)</f>
        <v>94.39</v>
      </c>
      <c r="Q1530" s="64" t="n">
        <f aca="false">INDEX(Datos_Origen!$J$2:$J$2459,$Z1530)</f>
        <v>49.41</v>
      </c>
      <c r="R1530" s="65" t="n">
        <f aca="false">ROUND($O1530*$P1530,2)</f>
        <v>5097.06</v>
      </c>
      <c r="S1530" s="65" t="n">
        <f aca="false">ROUND($O1530*$Q1530,2)</f>
        <v>2668.14</v>
      </c>
      <c r="T1530" s="65" t="n">
        <f aca="false">ROUND($R1530*SUMIFS(Parametros!$E$28:$E$43,Parametros!$B$28:$B$43,$J1530,Parametros!$C$28:$C$43,$C1530,Parametros!$D$28:$D$43,$D1530),2)</f>
        <v>71.36</v>
      </c>
      <c r="U1530" s="65" t="n">
        <f aca="false">$R1530-$S1530-$T1530</f>
        <v>2357.56</v>
      </c>
      <c r="V1530" s="66" t="n">
        <f aca="false">IFERROR($U1530/$R1530,0)</f>
        <v>0.462533303512221</v>
      </c>
      <c r="W1530" s="67" t="str">
        <f aca="false">IF(AND($V1530&gt;=Parametros!$C$8,$R1530&gt;=Parametros!$C$12),"Alta rentabilidad",IF(OR($V1530&lt;Parametros!$C$11,$R1530&lt;Parametros!$C$13),"Revisar","Estandar"))</f>
        <v>Alta rentabilidad</v>
      </c>
      <c r="X1530" s="67" t="str">
        <f aca="false">IF(AND($J1530="E-commerce",IFERROR($T1530/$R1530,0)&gt;Parametros!$C$14),"Alerta","OK")</f>
        <v>OK</v>
      </c>
      <c r="Y1530" s="61" t="str">
        <f aca="false">IF($R1530&gt;=Parametros!$C$12,"Alto",IF($R1530&lt;Parametros!$C$13,"Bajo","Medio"))</f>
        <v>Alto</v>
      </c>
      <c r="Z1530" s="61" t="n">
        <v>2109</v>
      </c>
      <c r="AA1530" s="61" t="str">
        <f aca="false">IF(MATCH($A1530,Datos_Origen!$A$2:$A$2459,0)=$Z1530,"OK","REVISAR")</f>
        <v>OK</v>
      </c>
      <c r="AB1530" s="61" t="str">
        <f aca="false">INDEX(Datos_Origen!$B$2:$B$2459,$Z1530)</f>
        <v>2025-04-12</v>
      </c>
      <c r="AC1530" s="61" t="n">
        <f aca="false">INDEX(Datos_Origen!$H$2:$H$2459,$Z1530)</f>
        <v>54</v>
      </c>
      <c r="AD1530" s="61" t="str">
        <f aca="false">INDEX(Datos_Origen!$D$2:$D$2459,$Z1530)&amp;""</f>
        <v>Cordoba</v>
      </c>
    </row>
    <row r="1531" customFormat="false" ht="15" hidden="false" customHeight="false" outlineLevel="0" collapsed="false">
      <c r="A1531" s="61" t="n">
        <f aca="false">INDEX(Datos_Origen!$A$2:$A$2459,$Z1531)</f>
        <v>1530</v>
      </c>
      <c r="B1531" s="62" t="n">
        <f aca="false">IF(ISNUMBER($AB1531),$AB1531,IF(MID($AB1531,5,1)="-",DATE(VALUE(LEFT($AB1531,4)),VALUE(MID($AB1531,6,2)),VALUE(RIGHT($AB1531,2))),DATE(VALUE(RIGHT($AB1531,4)),VALUE(MID($AB1531,4,2)),VALUE(LEFT($AB1531,2)))))</f>
        <v>45766</v>
      </c>
      <c r="C1531" s="61" t="n">
        <f aca="false">YEAR($B1531)</f>
        <v>2025</v>
      </c>
      <c r="D1531" s="61" t="str">
        <f aca="false">"Q"&amp;ROUNDUP(MONTH($B1531)/3,0)</f>
        <v>Q2</v>
      </c>
      <c r="E1531" s="61" t="n">
        <f aca="false">MONTH($B1531)</f>
        <v>4</v>
      </c>
      <c r="F1531" s="61" t="str">
        <f aca="false">INDEX(Parametros!$I$5:$I$16,$E1531)</f>
        <v>Abr</v>
      </c>
      <c r="G1531" s="61" t="str">
        <f aca="false">TEXT($C1531,"0000")&amp;"-"&amp;TEXT($E1531,"00")</f>
        <v>2025-04</v>
      </c>
      <c r="H1531" s="61" t="str">
        <f aca="false">INDEX(Parametros!$C$71:$C$91,MATCH(TRIM(INDEX(Datos_Origen!$C$2:$C$2459,$Z1531)),Parametros!$B$71:$B$91,0))</f>
        <v>Centro</v>
      </c>
      <c r="I1531" s="61" t="str">
        <f aca="false">IF(TRIM($AD1531)="",INDEX(Parametros!$I$20:$I$24,MATCH($H1531,Parametros!$H$20:$H$24,0)),TRIM($AD1531))</f>
        <v>Cordoba</v>
      </c>
      <c r="J1531" s="61" t="str">
        <f aca="false">INDEX(Parametros!$C$95:$C$106,MATCH(TRIM(INDEX(Datos_Origen!$E$2:$E$2459,$Z1531)),Parametros!$B$95:$B$106,0))</f>
        <v>E-commerce</v>
      </c>
      <c r="K1531" s="61" t="str">
        <f aca="false">INDEX(Parametros!$C$48:$C$67,MATCH(TRIM(INDEX(Datos_Origen!$F$2:$F$2459,$Z1531)),Parametros!$B$48:$B$67,0))</f>
        <v>Accesorios</v>
      </c>
      <c r="L1531" s="61" t="str">
        <f aca="false">$K1531&amp;" "&amp;$C1531</f>
        <v>Accesorios 2025</v>
      </c>
      <c r="M1531" s="61" t="str">
        <f aca="false">TRIM(INDEX(Datos_Origen!$G$2:$G$2459,$Z1531))</f>
        <v>Teclado Mecanico</v>
      </c>
      <c r="N1531" s="61" t="str">
        <f aca="false">$M1531&amp;" "&amp;$C1531</f>
        <v>Teclado Mecanico 2025</v>
      </c>
      <c r="O1531" s="63" t="n">
        <f aca="false">IF(ISTEXT($AC1531),VALUE($AC1531),$AC1531)</f>
        <v>40</v>
      </c>
      <c r="P1531" s="64" t="n">
        <f aca="false">INDEX(Datos_Origen!$I$2:$I$2459,$Z1531)</f>
        <v>94.39</v>
      </c>
      <c r="Q1531" s="64" t="n">
        <f aca="false">INDEX(Datos_Origen!$J$2:$J$2459,$Z1531)</f>
        <v>49.41</v>
      </c>
      <c r="R1531" s="65" t="n">
        <f aca="false">ROUND($O1531*$P1531,2)</f>
        <v>3775.6</v>
      </c>
      <c r="S1531" s="65" t="n">
        <f aca="false">ROUND($O1531*$Q1531,2)</f>
        <v>1976.4</v>
      </c>
      <c r="T1531" s="65" t="n">
        <f aca="false">ROUND($R1531*SUMIFS(Parametros!$E$28:$E$43,Parametros!$B$28:$B$43,$J1531,Parametros!$C$28:$C$43,$C1531,Parametros!$D$28:$D$43,$D1531),2)</f>
        <v>279.39</v>
      </c>
      <c r="U1531" s="65" t="n">
        <f aca="false">$R1531-$S1531-$T1531</f>
        <v>1519.81</v>
      </c>
      <c r="V1531" s="66" t="n">
        <f aca="false">IFERROR($U1531/$R1531,0)</f>
        <v>0.402534696472084</v>
      </c>
      <c r="W1531" s="67" t="str">
        <f aca="false">IF(AND($V1531&gt;=Parametros!$C$8,$R1531&gt;=Parametros!$C$12),"Alta rentabilidad",IF(OR($V1531&lt;Parametros!$C$11,$R1531&lt;Parametros!$C$13),"Revisar","Estandar"))</f>
        <v>Alta rentabilidad</v>
      </c>
      <c r="X1531" s="67" t="str">
        <f aca="false">IF(AND($J1531="E-commerce",IFERROR($T1531/$R1531,0)&gt;Parametros!$C$14),"Alerta","OK")</f>
        <v>Alerta</v>
      </c>
      <c r="Y1531" s="61" t="str">
        <f aca="false">IF($R1531&gt;=Parametros!$C$12,"Alto",IF($R1531&lt;Parametros!$C$13,"Bajo","Medio"))</f>
        <v>Alto</v>
      </c>
      <c r="Z1531" s="61" t="n">
        <v>1836</v>
      </c>
      <c r="AA1531" s="61" t="str">
        <f aca="false">IF(MATCH($A1531,Datos_Origen!$A$2:$A$2459,0)=$Z1531,"OK","REVISAR")</f>
        <v>OK</v>
      </c>
      <c r="AB1531" s="61" t="str">
        <f aca="false">INDEX(Datos_Origen!$B$2:$B$2459,$Z1531)</f>
        <v>2025-04-19</v>
      </c>
      <c r="AC1531" s="61" t="n">
        <f aca="false">INDEX(Datos_Origen!$H$2:$H$2459,$Z1531)</f>
        <v>40</v>
      </c>
      <c r="AD1531" s="61" t="str">
        <f aca="false">INDEX(Datos_Origen!$D$2:$D$2459,$Z1531)&amp;""</f>
        <v/>
      </c>
    </row>
    <row r="1532" customFormat="false" ht="15" hidden="false" customHeight="false" outlineLevel="0" collapsed="false">
      <c r="A1532" s="61" t="n">
        <f aca="false">INDEX(Datos_Origen!$A$2:$A$2459,$Z1532)</f>
        <v>1531</v>
      </c>
      <c r="B1532" s="62" t="n">
        <f aca="false">IF(ISNUMBER($AB1532),$AB1532,IF(MID($AB1532,5,1)="-",DATE(VALUE(LEFT($AB1532,4)),VALUE(MID($AB1532,6,2)),VALUE(RIGHT($AB1532,2))),DATE(VALUE(RIGHT($AB1532,4)),VALUE(MID($AB1532,4,2)),VALUE(LEFT($AB1532,2)))))</f>
        <v>45773</v>
      </c>
      <c r="C1532" s="61" t="n">
        <f aca="false">YEAR($B1532)</f>
        <v>2025</v>
      </c>
      <c r="D1532" s="61" t="str">
        <f aca="false">"Q"&amp;ROUNDUP(MONTH($B1532)/3,0)</f>
        <v>Q2</v>
      </c>
      <c r="E1532" s="61" t="n">
        <f aca="false">MONTH($B1532)</f>
        <v>4</v>
      </c>
      <c r="F1532" s="61" t="str">
        <f aca="false">INDEX(Parametros!$I$5:$I$16,$E1532)</f>
        <v>Abr</v>
      </c>
      <c r="G1532" s="61" t="str">
        <f aca="false">TEXT($C1532,"0000")&amp;"-"&amp;TEXT($E1532,"00")</f>
        <v>2025-04</v>
      </c>
      <c r="H1532" s="61" t="str">
        <f aca="false">INDEX(Parametros!$C$71:$C$91,MATCH(TRIM(INDEX(Datos_Origen!$C$2:$C$2459,$Z1532)),Parametros!$B$71:$B$91,0))</f>
        <v>Centro</v>
      </c>
      <c r="I1532" s="61" t="str">
        <f aca="false">IF(TRIM($AD1532)="",INDEX(Parametros!$I$20:$I$24,MATCH($H1532,Parametros!$H$20:$H$24,0)),TRIM($AD1532))</f>
        <v>Cordoba</v>
      </c>
      <c r="J1532" s="61" t="str">
        <f aca="false">INDEX(Parametros!$C$95:$C$106,MATCH(TRIM(INDEX(Datos_Origen!$E$2:$E$2459,$Z1532)),Parametros!$B$95:$B$106,0))</f>
        <v>Tienda fisica</v>
      </c>
      <c r="K1532" s="61" t="str">
        <f aca="false">INDEX(Parametros!$C$48:$C$67,MATCH(TRIM(INDEX(Datos_Origen!$F$2:$F$2459,$Z1532)),Parametros!$B$48:$B$67,0))</f>
        <v>Accesorios</v>
      </c>
      <c r="L1532" s="61" t="str">
        <f aca="false">$K1532&amp;" "&amp;$C1532</f>
        <v>Accesorios 2025</v>
      </c>
      <c r="M1532" s="61" t="str">
        <f aca="false">TRIM(INDEX(Datos_Origen!$G$2:$G$2459,$Z1532))</f>
        <v>Webcam Full HD</v>
      </c>
      <c r="N1532" s="61" t="str">
        <f aca="false">$M1532&amp;" "&amp;$C1532</f>
        <v>Webcam Full HD 2025</v>
      </c>
      <c r="O1532" s="63" t="n">
        <f aca="false">IF(ISTEXT($AC1532),VALUE($AC1532),$AC1532)</f>
        <v>54</v>
      </c>
      <c r="P1532" s="64" t="n">
        <f aca="false">INDEX(Datos_Origen!$I$2:$I$2459,$Z1532)</f>
        <v>64.58</v>
      </c>
      <c r="Q1532" s="64" t="n">
        <f aca="false">INDEX(Datos_Origen!$J$2:$J$2459,$Z1532)</f>
        <v>36.49</v>
      </c>
      <c r="R1532" s="65" t="n">
        <f aca="false">ROUND($O1532*$P1532,2)</f>
        <v>3487.32</v>
      </c>
      <c r="S1532" s="65" t="n">
        <f aca="false">ROUND($O1532*$Q1532,2)</f>
        <v>1970.46</v>
      </c>
      <c r="T1532" s="65" t="n">
        <f aca="false">ROUND($R1532*SUMIFS(Parametros!$E$28:$E$43,Parametros!$B$28:$B$43,$J1532,Parametros!$C$28:$C$43,$C1532,Parametros!$D$28:$D$43,$D1532),2)</f>
        <v>48.82</v>
      </c>
      <c r="U1532" s="65" t="n">
        <f aca="false">$R1532-$S1532-$T1532</f>
        <v>1468.04</v>
      </c>
      <c r="V1532" s="66" t="n">
        <f aca="false">IFERROR($U1532/$R1532,0)</f>
        <v>0.42096509640641</v>
      </c>
      <c r="W1532" s="67" t="str">
        <f aca="false">IF(AND($V1532&gt;=Parametros!$C$8,$R1532&gt;=Parametros!$C$12),"Alta rentabilidad",IF(OR($V1532&lt;Parametros!$C$11,$R1532&lt;Parametros!$C$13),"Revisar","Estandar"))</f>
        <v>Alta rentabilidad</v>
      </c>
      <c r="X1532" s="67" t="str">
        <f aca="false">IF(AND($J1532="E-commerce",IFERROR($T1532/$R1532,0)&gt;Parametros!$C$14),"Alerta","OK")</f>
        <v>OK</v>
      </c>
      <c r="Y1532" s="61" t="str">
        <f aca="false">IF($R1532&gt;=Parametros!$C$12,"Alto",IF($R1532&lt;Parametros!$C$13,"Bajo","Medio"))</f>
        <v>Alto</v>
      </c>
      <c r="Z1532" s="61" t="n">
        <v>465</v>
      </c>
      <c r="AA1532" s="61" t="str">
        <f aca="false">IF(MATCH($A1532,Datos_Origen!$A$2:$A$2459,0)=$Z1532,"OK","REVISAR")</f>
        <v>OK</v>
      </c>
      <c r="AB1532" s="62" t="n">
        <f aca="false">INDEX(Datos_Origen!$B$2:$B$2459,$Z1532)</f>
        <v>45773</v>
      </c>
      <c r="AC1532" s="61" t="n">
        <f aca="false">INDEX(Datos_Origen!$H$2:$H$2459,$Z1532)</f>
        <v>54</v>
      </c>
      <c r="AD1532" s="61" t="str">
        <f aca="false">INDEX(Datos_Origen!$D$2:$D$2459,$Z1532)&amp;""</f>
        <v>Cordoba</v>
      </c>
    </row>
    <row r="1533" customFormat="false" ht="15" hidden="false" customHeight="false" outlineLevel="0" collapsed="false">
      <c r="A1533" s="61" t="n">
        <f aca="false">INDEX(Datos_Origen!$A$2:$A$2459,$Z1533)</f>
        <v>1532</v>
      </c>
      <c r="B1533" s="62" t="n">
        <f aca="false">IF(ISNUMBER($AB1533),$AB1533,IF(MID($AB1533,5,1)="-",DATE(VALUE(LEFT($AB1533,4)),VALUE(MID($AB1533,6,2)),VALUE(RIGHT($AB1533,2))),DATE(VALUE(RIGHT($AB1533,4)),VALUE(MID($AB1533,4,2)),VALUE(LEFT($AB1533,2)))))</f>
        <v>45753</v>
      </c>
      <c r="C1533" s="61" t="n">
        <f aca="false">YEAR($B1533)</f>
        <v>2025</v>
      </c>
      <c r="D1533" s="61" t="str">
        <f aca="false">"Q"&amp;ROUNDUP(MONTH($B1533)/3,0)</f>
        <v>Q2</v>
      </c>
      <c r="E1533" s="61" t="n">
        <f aca="false">MONTH($B1533)</f>
        <v>4</v>
      </c>
      <c r="F1533" s="61" t="str">
        <f aca="false">INDEX(Parametros!$I$5:$I$16,$E1533)</f>
        <v>Abr</v>
      </c>
      <c r="G1533" s="61" t="str">
        <f aca="false">TEXT($C1533,"0000")&amp;"-"&amp;TEXT($E1533,"00")</f>
        <v>2025-04</v>
      </c>
      <c r="H1533" s="61" t="str">
        <f aca="false">INDEX(Parametros!$C$71:$C$91,MATCH(TRIM(INDEX(Datos_Origen!$C$2:$C$2459,$Z1533)),Parametros!$B$71:$B$91,0))</f>
        <v>Centro</v>
      </c>
      <c r="I1533" s="61" t="str">
        <f aca="false">IF(TRIM($AD1533)="",INDEX(Parametros!$I$20:$I$24,MATCH($H1533,Parametros!$H$20:$H$24,0)),TRIM($AD1533))</f>
        <v>Cordoba</v>
      </c>
      <c r="J1533" s="61" t="str">
        <f aca="false">INDEX(Parametros!$C$95:$C$106,MATCH(TRIM(INDEX(Datos_Origen!$E$2:$E$2459,$Z1533)),Parametros!$B$95:$B$106,0))</f>
        <v>E-commerce</v>
      </c>
      <c r="K1533" s="61" t="str">
        <f aca="false">INDEX(Parametros!$C$48:$C$67,MATCH(TRIM(INDEX(Datos_Origen!$F$2:$F$2459,$Z1533)),Parametros!$B$48:$B$67,0))</f>
        <v>Accesorios</v>
      </c>
      <c r="L1533" s="61" t="str">
        <f aca="false">$K1533&amp;" "&amp;$C1533</f>
        <v>Accesorios 2025</v>
      </c>
      <c r="M1533" s="61" t="str">
        <f aca="false">TRIM(INDEX(Datos_Origen!$G$2:$G$2459,$Z1533))</f>
        <v>Webcam Full HD</v>
      </c>
      <c r="N1533" s="61" t="str">
        <f aca="false">$M1533&amp;" "&amp;$C1533</f>
        <v>Webcam Full HD 2025</v>
      </c>
      <c r="O1533" s="63" t="n">
        <f aca="false">IF(ISTEXT($AC1533),VALUE($AC1533),$AC1533)</f>
        <v>31</v>
      </c>
      <c r="P1533" s="64" t="n">
        <f aca="false">INDEX(Datos_Origen!$I$2:$I$2459,$Z1533)</f>
        <v>64.58</v>
      </c>
      <c r="Q1533" s="64" t="n">
        <f aca="false">INDEX(Datos_Origen!$J$2:$J$2459,$Z1533)</f>
        <v>36.49</v>
      </c>
      <c r="R1533" s="65" t="n">
        <f aca="false">ROUND($O1533*$P1533,2)</f>
        <v>2001.98</v>
      </c>
      <c r="S1533" s="65" t="n">
        <f aca="false">ROUND($O1533*$Q1533,2)</f>
        <v>1131.19</v>
      </c>
      <c r="T1533" s="65" t="n">
        <f aca="false">ROUND($R1533*SUMIFS(Parametros!$E$28:$E$43,Parametros!$B$28:$B$43,$J1533,Parametros!$C$28:$C$43,$C1533,Parametros!$D$28:$D$43,$D1533),2)</f>
        <v>148.15</v>
      </c>
      <c r="U1533" s="65" t="n">
        <f aca="false">$R1533-$S1533-$T1533</f>
        <v>722.64</v>
      </c>
      <c r="V1533" s="66" t="n">
        <f aca="false">IFERROR($U1533/$R1533,0)</f>
        <v>0.36096264697949</v>
      </c>
      <c r="W1533" s="67" t="str">
        <f aca="false">IF(AND($V1533&gt;=Parametros!$C$8,$R1533&gt;=Parametros!$C$12),"Alta rentabilidad",IF(OR($V1533&lt;Parametros!$C$11,$R1533&lt;Parametros!$C$13),"Revisar","Estandar"))</f>
        <v>Estandar</v>
      </c>
      <c r="X1533" s="67" t="str">
        <f aca="false">IF(AND($J1533="E-commerce",IFERROR($T1533/$R1533,0)&gt;Parametros!$C$14),"Alerta","OK")</f>
        <v>Alerta</v>
      </c>
      <c r="Y1533" s="61" t="str">
        <f aca="false">IF($R1533&gt;=Parametros!$C$12,"Alto",IF($R1533&lt;Parametros!$C$13,"Bajo","Medio"))</f>
        <v>Medio</v>
      </c>
      <c r="Z1533" s="61" t="n">
        <v>1114</v>
      </c>
      <c r="AA1533" s="61" t="str">
        <f aca="false">IF(MATCH($A1533,Datos_Origen!$A$2:$A$2459,0)=$Z1533,"OK","REVISAR")</f>
        <v>OK</v>
      </c>
      <c r="AB1533" s="61" t="str">
        <f aca="false">INDEX(Datos_Origen!$B$2:$B$2459,$Z1533)</f>
        <v>06/04/2025</v>
      </c>
      <c r="AC1533" s="61" t="n">
        <f aca="false">INDEX(Datos_Origen!$H$2:$H$2459,$Z1533)</f>
        <v>31</v>
      </c>
      <c r="AD1533" s="61" t="str">
        <f aca="false">INDEX(Datos_Origen!$D$2:$D$2459,$Z1533)&amp;""</f>
        <v>Cordoba</v>
      </c>
    </row>
    <row r="1534" customFormat="false" ht="15" hidden="false" customHeight="false" outlineLevel="0" collapsed="false">
      <c r="A1534" s="61" t="n">
        <f aca="false">INDEX(Datos_Origen!$A$2:$A$2459,$Z1534)</f>
        <v>1533</v>
      </c>
      <c r="B1534" s="62" t="n">
        <f aca="false">IF(ISNUMBER($AB1534),$AB1534,IF(MID($AB1534,5,1)="-",DATE(VALUE(LEFT($AB1534,4)),VALUE(MID($AB1534,6,2)),VALUE(RIGHT($AB1534,2))),DATE(VALUE(RIGHT($AB1534,4)),VALUE(MID($AB1534,4,2)),VALUE(LEFT($AB1534,2)))))</f>
        <v>45760</v>
      </c>
      <c r="C1534" s="61" t="n">
        <f aca="false">YEAR($B1534)</f>
        <v>2025</v>
      </c>
      <c r="D1534" s="61" t="str">
        <f aca="false">"Q"&amp;ROUNDUP(MONTH($B1534)/3,0)</f>
        <v>Q2</v>
      </c>
      <c r="E1534" s="61" t="n">
        <f aca="false">MONTH($B1534)</f>
        <v>4</v>
      </c>
      <c r="F1534" s="61" t="str">
        <f aca="false">INDEX(Parametros!$I$5:$I$16,$E1534)</f>
        <v>Abr</v>
      </c>
      <c r="G1534" s="61" t="str">
        <f aca="false">TEXT($C1534,"0000")&amp;"-"&amp;TEXT($E1534,"00")</f>
        <v>2025-04</v>
      </c>
      <c r="H1534" s="61" t="str">
        <f aca="false">INDEX(Parametros!$C$71:$C$91,MATCH(TRIM(INDEX(Datos_Origen!$C$2:$C$2459,$Z1534)),Parametros!$B$71:$B$91,0))</f>
        <v>Centro</v>
      </c>
      <c r="I1534" s="61" t="str">
        <f aca="false">IF(TRIM($AD1534)="",INDEX(Parametros!$I$20:$I$24,MATCH($H1534,Parametros!$H$20:$H$24,0)),TRIM($AD1534))</f>
        <v>Cordoba</v>
      </c>
      <c r="J1534" s="61" t="str">
        <f aca="false">INDEX(Parametros!$C$95:$C$106,MATCH(TRIM(INDEX(Datos_Origen!$E$2:$E$2459,$Z1534)),Parametros!$B$95:$B$106,0))</f>
        <v>Tienda fisica</v>
      </c>
      <c r="K1534" s="61" t="str">
        <f aca="false">INDEX(Parametros!$C$48:$C$67,MATCH(TRIM(INDEX(Datos_Origen!$F$2:$F$2459,$Z1534)),Parametros!$B$48:$B$67,0))</f>
        <v>Audio</v>
      </c>
      <c r="L1534" s="61" t="str">
        <f aca="false">$K1534&amp;" "&amp;$C1534</f>
        <v>Audio 2025</v>
      </c>
      <c r="M1534" s="61" t="str">
        <f aca="false">TRIM(INDEX(Datos_Origen!$G$2:$G$2459,$Z1534))</f>
        <v>Auriculares BT Pro</v>
      </c>
      <c r="N1534" s="61" t="str">
        <f aca="false">$M1534&amp;" "&amp;$C1534</f>
        <v>Auriculares BT Pro 2025</v>
      </c>
      <c r="O1534" s="63" t="n">
        <f aca="false">IF(ISTEXT($AC1534),VALUE($AC1534),$AC1534)</f>
        <v>20</v>
      </c>
      <c r="P1534" s="64" t="n">
        <f aca="false">INDEX(Datos_Origen!$I$2:$I$2459,$Z1534)</f>
        <v>119.23</v>
      </c>
      <c r="Q1534" s="64" t="n">
        <f aca="false">INDEX(Datos_Origen!$J$2:$J$2459,$Z1534)</f>
        <v>65.51</v>
      </c>
      <c r="R1534" s="65" t="n">
        <f aca="false">ROUND($O1534*$P1534,2)</f>
        <v>2384.6</v>
      </c>
      <c r="S1534" s="65" t="n">
        <f aca="false">ROUND($O1534*$Q1534,2)</f>
        <v>1310.2</v>
      </c>
      <c r="T1534" s="65" t="n">
        <f aca="false">ROUND($R1534*SUMIFS(Parametros!$E$28:$E$43,Parametros!$B$28:$B$43,$J1534,Parametros!$C$28:$C$43,$C1534,Parametros!$D$28:$D$43,$D1534),2)</f>
        <v>33.38</v>
      </c>
      <c r="U1534" s="65" t="n">
        <f aca="false">$R1534-$S1534-$T1534</f>
        <v>1041.02</v>
      </c>
      <c r="V1534" s="66" t="n">
        <f aca="false">IFERROR($U1534/$R1534,0)</f>
        <v>0.436559590707037</v>
      </c>
      <c r="W1534" s="67" t="str">
        <f aca="false">IF(AND($V1534&gt;=Parametros!$C$8,$R1534&gt;=Parametros!$C$12),"Alta rentabilidad",IF(OR($V1534&lt;Parametros!$C$11,$R1534&lt;Parametros!$C$13),"Revisar","Estandar"))</f>
        <v>Estandar</v>
      </c>
      <c r="X1534" s="67" t="str">
        <f aca="false">IF(AND($J1534="E-commerce",IFERROR($T1534/$R1534,0)&gt;Parametros!$C$14),"Alerta","OK")</f>
        <v>OK</v>
      </c>
      <c r="Y1534" s="61" t="str">
        <f aca="false">IF($R1534&gt;=Parametros!$C$12,"Alto",IF($R1534&lt;Parametros!$C$13,"Bajo","Medio"))</f>
        <v>Medio</v>
      </c>
      <c r="Z1534" s="61" t="n">
        <v>117</v>
      </c>
      <c r="AA1534" s="61" t="str">
        <f aca="false">IF(MATCH($A1534,Datos_Origen!$A$2:$A$2459,0)=$Z1534,"OK","REVISAR")</f>
        <v>OK</v>
      </c>
      <c r="AB1534" s="61" t="str">
        <f aca="false">INDEX(Datos_Origen!$B$2:$B$2459,$Z1534)</f>
        <v>13/04/2025</v>
      </c>
      <c r="AC1534" s="61" t="n">
        <f aca="false">INDEX(Datos_Origen!$H$2:$H$2459,$Z1534)</f>
        <v>20</v>
      </c>
      <c r="AD1534" s="61" t="str">
        <f aca="false">INDEX(Datos_Origen!$D$2:$D$2459,$Z1534)&amp;""</f>
        <v>Cordoba</v>
      </c>
    </row>
    <row r="1535" customFormat="false" ht="15" hidden="false" customHeight="false" outlineLevel="0" collapsed="false">
      <c r="A1535" s="61" t="n">
        <f aca="false">INDEX(Datos_Origen!$A$2:$A$2459,$Z1535)</f>
        <v>1534</v>
      </c>
      <c r="B1535" s="62" t="n">
        <f aca="false">IF(ISNUMBER($AB1535),$AB1535,IF(MID($AB1535,5,1)="-",DATE(VALUE(LEFT($AB1535,4)),VALUE(MID($AB1535,6,2)),VALUE(RIGHT($AB1535,2))),DATE(VALUE(RIGHT($AB1535,4)),VALUE(MID($AB1535,4,2)),VALUE(LEFT($AB1535,2)))))</f>
        <v>45767</v>
      </c>
      <c r="C1535" s="61" t="n">
        <f aca="false">YEAR($B1535)</f>
        <v>2025</v>
      </c>
      <c r="D1535" s="61" t="str">
        <f aca="false">"Q"&amp;ROUNDUP(MONTH($B1535)/3,0)</f>
        <v>Q2</v>
      </c>
      <c r="E1535" s="61" t="n">
        <f aca="false">MONTH($B1535)</f>
        <v>4</v>
      </c>
      <c r="F1535" s="61" t="str">
        <f aca="false">INDEX(Parametros!$I$5:$I$16,$E1535)</f>
        <v>Abr</v>
      </c>
      <c r="G1535" s="61" t="str">
        <f aca="false">TEXT($C1535,"0000")&amp;"-"&amp;TEXT($E1535,"00")</f>
        <v>2025-04</v>
      </c>
      <c r="H1535" s="61" t="str">
        <f aca="false">INDEX(Parametros!$C$71:$C$91,MATCH(TRIM(INDEX(Datos_Origen!$C$2:$C$2459,$Z1535)),Parametros!$B$71:$B$91,0))</f>
        <v>Centro</v>
      </c>
      <c r="I1535" s="61" t="str">
        <f aca="false">IF(TRIM($AD1535)="",INDEX(Parametros!$I$20:$I$24,MATCH($H1535,Parametros!$H$20:$H$24,0)),TRIM($AD1535))</f>
        <v>Cordoba</v>
      </c>
      <c r="J1535" s="61" t="str">
        <f aca="false">INDEX(Parametros!$C$95:$C$106,MATCH(TRIM(INDEX(Datos_Origen!$E$2:$E$2459,$Z1535)),Parametros!$B$95:$B$106,0))</f>
        <v>E-commerce</v>
      </c>
      <c r="K1535" s="61" t="str">
        <f aca="false">INDEX(Parametros!$C$48:$C$67,MATCH(TRIM(INDEX(Datos_Origen!$F$2:$F$2459,$Z1535)),Parametros!$B$48:$B$67,0))</f>
        <v>Audio</v>
      </c>
      <c r="L1535" s="61" t="str">
        <f aca="false">$K1535&amp;" "&amp;$C1535</f>
        <v>Audio 2025</v>
      </c>
      <c r="M1535" s="61" t="str">
        <f aca="false">TRIM(INDEX(Datos_Origen!$G$2:$G$2459,$Z1535))</f>
        <v>Auriculares BT Pro</v>
      </c>
      <c r="N1535" s="61" t="str">
        <f aca="false">$M1535&amp;" "&amp;$C1535</f>
        <v>Auriculares BT Pro 2025</v>
      </c>
      <c r="O1535" s="63" t="n">
        <f aca="false">IF(ISTEXT($AC1535),VALUE($AC1535),$AC1535)</f>
        <v>14</v>
      </c>
      <c r="P1535" s="64" t="n">
        <f aca="false">INDEX(Datos_Origen!$I$2:$I$2459,$Z1535)</f>
        <v>119.23</v>
      </c>
      <c r="Q1535" s="64" t="n">
        <f aca="false">INDEX(Datos_Origen!$J$2:$J$2459,$Z1535)</f>
        <v>65.51</v>
      </c>
      <c r="R1535" s="65" t="n">
        <f aca="false">ROUND($O1535*$P1535,2)</f>
        <v>1669.22</v>
      </c>
      <c r="S1535" s="65" t="n">
        <f aca="false">ROUND($O1535*$Q1535,2)</f>
        <v>917.14</v>
      </c>
      <c r="T1535" s="65" t="n">
        <f aca="false">ROUND($R1535*SUMIFS(Parametros!$E$28:$E$43,Parametros!$B$28:$B$43,$J1535,Parametros!$C$28:$C$43,$C1535,Parametros!$D$28:$D$43,$D1535),2)</f>
        <v>123.52</v>
      </c>
      <c r="U1535" s="65" t="n">
        <f aca="false">$R1535-$S1535-$T1535</f>
        <v>628.56</v>
      </c>
      <c r="V1535" s="66" t="n">
        <f aca="false">IFERROR($U1535/$R1535,0)</f>
        <v>0.376559111441272</v>
      </c>
      <c r="W1535" s="67" t="str">
        <f aca="false">IF(AND($V1535&gt;=Parametros!$C$8,$R1535&gt;=Parametros!$C$12),"Alta rentabilidad",IF(OR($V1535&lt;Parametros!$C$11,$R1535&lt;Parametros!$C$13),"Revisar","Estandar"))</f>
        <v>Estandar</v>
      </c>
      <c r="X1535" s="67" t="str">
        <f aca="false">IF(AND($J1535="E-commerce",IFERROR($T1535/$R1535,0)&gt;Parametros!$C$14),"Alerta","OK")</f>
        <v>Alerta</v>
      </c>
      <c r="Y1535" s="61" t="str">
        <f aca="false">IF($R1535&gt;=Parametros!$C$12,"Alto",IF($R1535&lt;Parametros!$C$13,"Bajo","Medio"))</f>
        <v>Medio</v>
      </c>
      <c r="Z1535" s="61" t="n">
        <v>1629</v>
      </c>
      <c r="AA1535" s="61" t="str">
        <f aca="false">IF(MATCH($A1535,Datos_Origen!$A$2:$A$2459,0)=$Z1535,"OK","REVISAR")</f>
        <v>OK</v>
      </c>
      <c r="AB1535" s="62" t="n">
        <f aca="false">INDEX(Datos_Origen!$B$2:$B$2459,$Z1535)</f>
        <v>45767</v>
      </c>
      <c r="AC1535" s="61" t="n">
        <f aca="false">INDEX(Datos_Origen!$H$2:$H$2459,$Z1535)</f>
        <v>14</v>
      </c>
      <c r="AD1535" s="61" t="str">
        <f aca="false">INDEX(Datos_Origen!$D$2:$D$2459,$Z1535)&amp;""</f>
        <v>Cordoba</v>
      </c>
    </row>
    <row r="1536" customFormat="false" ht="15" hidden="false" customHeight="false" outlineLevel="0" collapsed="false">
      <c r="A1536" s="61" t="n">
        <f aca="false">INDEX(Datos_Origen!$A$2:$A$2459,$Z1536)</f>
        <v>1535</v>
      </c>
      <c r="B1536" s="62" t="n">
        <f aca="false">IF(ISNUMBER($AB1536),$AB1536,IF(MID($AB1536,5,1)="-",DATE(VALUE(LEFT($AB1536,4)),VALUE(MID($AB1536,6,2)),VALUE(RIGHT($AB1536,2))),DATE(VALUE(RIGHT($AB1536,4)),VALUE(MID($AB1536,4,2)),VALUE(LEFT($AB1536,2)))))</f>
        <v>45774</v>
      </c>
      <c r="C1536" s="61" t="n">
        <f aca="false">YEAR($B1536)</f>
        <v>2025</v>
      </c>
      <c r="D1536" s="61" t="str">
        <f aca="false">"Q"&amp;ROUNDUP(MONTH($B1536)/3,0)</f>
        <v>Q2</v>
      </c>
      <c r="E1536" s="61" t="n">
        <f aca="false">MONTH($B1536)</f>
        <v>4</v>
      </c>
      <c r="F1536" s="61" t="str">
        <f aca="false">INDEX(Parametros!$I$5:$I$16,$E1536)</f>
        <v>Abr</v>
      </c>
      <c r="G1536" s="61" t="str">
        <f aca="false">TEXT($C1536,"0000")&amp;"-"&amp;TEXT($E1536,"00")</f>
        <v>2025-04</v>
      </c>
      <c r="H1536" s="61" t="str">
        <f aca="false">INDEX(Parametros!$C$71:$C$91,MATCH(TRIM(INDEX(Datos_Origen!$C$2:$C$2459,$Z1536)),Parametros!$B$71:$B$91,0))</f>
        <v>Centro</v>
      </c>
      <c r="I1536" s="61" t="str">
        <f aca="false">IF(TRIM($AD1536)="",INDEX(Parametros!$I$20:$I$24,MATCH($H1536,Parametros!$H$20:$H$24,0)),TRIM($AD1536))</f>
        <v>Cordoba</v>
      </c>
      <c r="J1536" s="61" t="str">
        <f aca="false">INDEX(Parametros!$C$95:$C$106,MATCH(TRIM(INDEX(Datos_Origen!$E$2:$E$2459,$Z1536)),Parametros!$B$95:$B$106,0))</f>
        <v>Tienda fisica</v>
      </c>
      <c r="K1536" s="61" t="str">
        <f aca="false">INDEX(Parametros!$C$48:$C$67,MATCH(TRIM(INDEX(Datos_Origen!$F$2:$F$2459,$Z1536)),Parametros!$B$48:$B$67,0))</f>
        <v>Audio</v>
      </c>
      <c r="L1536" s="61" t="str">
        <f aca="false">$K1536&amp;" "&amp;$C1536</f>
        <v>Audio 2025</v>
      </c>
      <c r="M1536" s="61" t="str">
        <f aca="false">TRIM(INDEX(Datos_Origen!$G$2:$G$2459,$Z1536))</f>
        <v>Parlante Bluetooth</v>
      </c>
      <c r="N1536" s="61" t="str">
        <f aca="false">$M1536&amp;" "&amp;$C1536</f>
        <v>Parlante Bluetooth 2025</v>
      </c>
      <c r="O1536" s="63" t="n">
        <f aca="false">IF(ISTEXT($AC1536),VALUE($AC1536),$AC1536)</f>
        <v>21</v>
      </c>
      <c r="P1536" s="64" t="n">
        <f aca="false">INDEX(Datos_Origen!$I$2:$I$2459,$Z1536)</f>
        <v>84.46</v>
      </c>
      <c r="Q1536" s="64" t="n">
        <f aca="false">INDEX(Datos_Origen!$J$2:$J$2459,$Z1536)</f>
        <v>49.47</v>
      </c>
      <c r="R1536" s="65" t="n">
        <f aca="false">ROUND($O1536*$P1536,2)</f>
        <v>1773.66</v>
      </c>
      <c r="S1536" s="65" t="n">
        <f aca="false">ROUND($O1536*$Q1536,2)</f>
        <v>1038.87</v>
      </c>
      <c r="T1536" s="65" t="n">
        <f aca="false">ROUND($R1536*SUMIFS(Parametros!$E$28:$E$43,Parametros!$B$28:$B$43,$J1536,Parametros!$C$28:$C$43,$C1536,Parametros!$D$28:$D$43,$D1536),2)</f>
        <v>24.83</v>
      </c>
      <c r="U1536" s="65" t="n">
        <f aca="false">$R1536-$S1536-$T1536</f>
        <v>709.96</v>
      </c>
      <c r="V1536" s="66" t="n">
        <f aca="false">IFERROR($U1536/$R1536,0)</f>
        <v>0.400279647734064</v>
      </c>
      <c r="W1536" s="67" t="str">
        <f aca="false">IF(AND($V1536&gt;=Parametros!$C$8,$R1536&gt;=Parametros!$C$12),"Alta rentabilidad",IF(OR($V1536&lt;Parametros!$C$11,$R1536&lt;Parametros!$C$13),"Revisar","Estandar"))</f>
        <v>Estandar</v>
      </c>
      <c r="X1536" s="67" t="str">
        <f aca="false">IF(AND($J1536="E-commerce",IFERROR($T1536/$R1536,0)&gt;Parametros!$C$14),"Alerta","OK")</f>
        <v>OK</v>
      </c>
      <c r="Y1536" s="61" t="str">
        <f aca="false">IF($R1536&gt;=Parametros!$C$12,"Alto",IF($R1536&lt;Parametros!$C$13,"Bajo","Medio"))</f>
        <v>Medio</v>
      </c>
      <c r="Z1536" s="61" t="n">
        <v>93</v>
      </c>
      <c r="AA1536" s="61" t="str">
        <f aca="false">IF(MATCH($A1536,Datos_Origen!$A$2:$A$2459,0)=$Z1536,"OK","REVISAR")</f>
        <v>OK</v>
      </c>
      <c r="AB1536" s="61" t="str">
        <f aca="false">INDEX(Datos_Origen!$B$2:$B$2459,$Z1536)</f>
        <v>27/04/2025</v>
      </c>
      <c r="AC1536" s="61" t="str">
        <f aca="false">INDEX(Datos_Origen!$H$2:$H$2459,$Z1536)</f>
        <v>21</v>
      </c>
      <c r="AD1536" s="61" t="str">
        <f aca="false">INDEX(Datos_Origen!$D$2:$D$2459,$Z1536)&amp;""</f>
        <v>Cordoba</v>
      </c>
    </row>
    <row r="1537" customFormat="false" ht="15" hidden="false" customHeight="false" outlineLevel="0" collapsed="false">
      <c r="A1537" s="61" t="n">
        <f aca="false">INDEX(Datos_Origen!$A$2:$A$2459,$Z1537)</f>
        <v>1536</v>
      </c>
      <c r="B1537" s="62" t="n">
        <f aca="false">IF(ISNUMBER($AB1537),$AB1537,IF(MID($AB1537,5,1)="-",DATE(VALUE(LEFT($AB1537,4)),VALUE(MID($AB1537,6,2)),VALUE(RIGHT($AB1537,2))),DATE(VALUE(RIGHT($AB1537,4)),VALUE(MID($AB1537,4,2)),VALUE(LEFT($AB1537,2)))))</f>
        <v>45754</v>
      </c>
      <c r="C1537" s="61" t="n">
        <f aca="false">YEAR($B1537)</f>
        <v>2025</v>
      </c>
      <c r="D1537" s="61" t="str">
        <f aca="false">"Q"&amp;ROUNDUP(MONTH($B1537)/3,0)</f>
        <v>Q2</v>
      </c>
      <c r="E1537" s="61" t="n">
        <f aca="false">MONTH($B1537)</f>
        <v>4</v>
      </c>
      <c r="F1537" s="61" t="str">
        <f aca="false">INDEX(Parametros!$I$5:$I$16,$E1537)</f>
        <v>Abr</v>
      </c>
      <c r="G1537" s="61" t="str">
        <f aca="false">TEXT($C1537,"0000")&amp;"-"&amp;TEXT($E1537,"00")</f>
        <v>2025-04</v>
      </c>
      <c r="H1537" s="61" t="str">
        <f aca="false">INDEX(Parametros!$C$71:$C$91,MATCH(TRIM(INDEX(Datos_Origen!$C$2:$C$2459,$Z1537)),Parametros!$B$71:$B$91,0))</f>
        <v>Centro</v>
      </c>
      <c r="I1537" s="61" t="str">
        <f aca="false">IF(TRIM($AD1537)="",INDEX(Parametros!$I$20:$I$24,MATCH($H1537,Parametros!$H$20:$H$24,0)),TRIM($AD1537))</f>
        <v>Cordoba</v>
      </c>
      <c r="J1537" s="61" t="str">
        <f aca="false">INDEX(Parametros!$C$95:$C$106,MATCH(TRIM(INDEX(Datos_Origen!$E$2:$E$2459,$Z1537)),Parametros!$B$95:$B$106,0))</f>
        <v>E-commerce</v>
      </c>
      <c r="K1537" s="61" t="str">
        <f aca="false">INDEX(Parametros!$C$48:$C$67,MATCH(TRIM(INDEX(Datos_Origen!$F$2:$F$2459,$Z1537)),Parametros!$B$48:$B$67,0))</f>
        <v>Audio</v>
      </c>
      <c r="L1537" s="61" t="str">
        <f aca="false">$K1537&amp;" "&amp;$C1537</f>
        <v>Audio 2025</v>
      </c>
      <c r="M1537" s="61" t="str">
        <f aca="false">TRIM(INDEX(Datos_Origen!$G$2:$G$2459,$Z1537))</f>
        <v>Parlante Bluetooth</v>
      </c>
      <c r="N1537" s="61" t="str">
        <f aca="false">$M1537&amp;" "&amp;$C1537</f>
        <v>Parlante Bluetooth 2025</v>
      </c>
      <c r="O1537" s="63" t="n">
        <f aca="false">IF(ISTEXT($AC1537),VALUE($AC1537),$AC1537)</f>
        <v>13</v>
      </c>
      <c r="P1537" s="64" t="n">
        <f aca="false">INDEX(Datos_Origen!$I$2:$I$2459,$Z1537)</f>
        <v>84.46</v>
      </c>
      <c r="Q1537" s="64" t="n">
        <f aca="false">INDEX(Datos_Origen!$J$2:$J$2459,$Z1537)</f>
        <v>49.47</v>
      </c>
      <c r="R1537" s="65" t="n">
        <f aca="false">ROUND($O1537*$P1537,2)</f>
        <v>1097.98</v>
      </c>
      <c r="S1537" s="65" t="n">
        <f aca="false">ROUND($O1537*$Q1537,2)</f>
        <v>643.11</v>
      </c>
      <c r="T1537" s="65" t="n">
        <f aca="false">ROUND($R1537*SUMIFS(Parametros!$E$28:$E$43,Parametros!$B$28:$B$43,$J1537,Parametros!$C$28:$C$43,$C1537,Parametros!$D$28:$D$43,$D1537),2)</f>
        <v>81.25</v>
      </c>
      <c r="U1537" s="65" t="n">
        <f aca="false">$R1537-$S1537-$T1537</f>
        <v>373.62</v>
      </c>
      <c r="V1537" s="66" t="n">
        <f aca="false">IFERROR($U1537/$R1537,0)</f>
        <v>0.340279422211698</v>
      </c>
      <c r="W1537" s="67" t="str">
        <f aca="false">IF(AND($V1537&gt;=Parametros!$C$8,$R1537&gt;=Parametros!$C$12),"Alta rentabilidad",IF(OR($V1537&lt;Parametros!$C$11,$R1537&lt;Parametros!$C$13),"Revisar","Estandar"))</f>
        <v>Estandar</v>
      </c>
      <c r="X1537" s="67" t="str">
        <f aca="false">IF(AND($J1537="E-commerce",IFERROR($T1537/$R1537,0)&gt;Parametros!$C$14),"Alerta","OK")</f>
        <v>Alerta</v>
      </c>
      <c r="Y1537" s="61" t="str">
        <f aca="false">IF($R1537&gt;=Parametros!$C$12,"Alto",IF($R1537&lt;Parametros!$C$13,"Bajo","Medio"))</f>
        <v>Medio</v>
      </c>
      <c r="Z1537" s="61" t="n">
        <v>2343</v>
      </c>
      <c r="AA1537" s="61" t="str">
        <f aca="false">IF(MATCH($A1537,Datos_Origen!$A$2:$A$2459,0)=$Z1537,"OK","REVISAR")</f>
        <v>OK</v>
      </c>
      <c r="AB1537" s="61" t="str">
        <f aca="false">INDEX(Datos_Origen!$B$2:$B$2459,$Z1537)</f>
        <v>07/04/2025</v>
      </c>
      <c r="AC1537" s="61" t="n">
        <f aca="false">INDEX(Datos_Origen!$H$2:$H$2459,$Z1537)</f>
        <v>13</v>
      </c>
      <c r="AD1537" s="61" t="str">
        <f aca="false">INDEX(Datos_Origen!$D$2:$D$2459,$Z1537)&amp;""</f>
        <v/>
      </c>
    </row>
    <row r="1538" customFormat="false" ht="15" hidden="false" customHeight="false" outlineLevel="0" collapsed="false">
      <c r="A1538" s="61" t="n">
        <f aca="false">INDEX(Datos_Origen!$A$2:$A$2459,$Z1538)</f>
        <v>1537</v>
      </c>
      <c r="B1538" s="62" t="n">
        <f aca="false">IF(ISNUMBER($AB1538),$AB1538,IF(MID($AB1538,5,1)="-",DATE(VALUE(LEFT($AB1538,4)),VALUE(MID($AB1538,6,2)),VALUE(RIGHT($AB1538,2))),DATE(VALUE(RIGHT($AB1538,4)),VALUE(MID($AB1538,4,2)),VALUE(LEFT($AB1538,2)))))</f>
        <v>45761</v>
      </c>
      <c r="C1538" s="61" t="n">
        <f aca="false">YEAR($B1538)</f>
        <v>2025</v>
      </c>
      <c r="D1538" s="61" t="str">
        <f aca="false">"Q"&amp;ROUNDUP(MONTH($B1538)/3,0)</f>
        <v>Q2</v>
      </c>
      <c r="E1538" s="61" t="n">
        <f aca="false">MONTH($B1538)</f>
        <v>4</v>
      </c>
      <c r="F1538" s="61" t="str">
        <f aca="false">INDEX(Parametros!$I$5:$I$16,$E1538)</f>
        <v>Abr</v>
      </c>
      <c r="G1538" s="61" t="str">
        <f aca="false">TEXT($C1538,"0000")&amp;"-"&amp;TEXT($E1538,"00")</f>
        <v>2025-04</v>
      </c>
      <c r="H1538" s="61" t="str">
        <f aca="false">INDEX(Parametros!$C$71:$C$91,MATCH(TRIM(INDEX(Datos_Origen!$C$2:$C$2459,$Z1538)),Parametros!$B$71:$B$91,0))</f>
        <v>Centro</v>
      </c>
      <c r="I1538" s="61" t="str">
        <f aca="false">IF(TRIM($AD1538)="",INDEX(Parametros!$I$20:$I$24,MATCH($H1538,Parametros!$H$20:$H$24,0)),TRIM($AD1538))</f>
        <v>Cordoba</v>
      </c>
      <c r="J1538" s="61" t="str">
        <f aca="false">INDEX(Parametros!$C$95:$C$106,MATCH(TRIM(INDEX(Datos_Origen!$E$2:$E$2459,$Z1538)),Parametros!$B$95:$B$106,0))</f>
        <v>Tienda fisica</v>
      </c>
      <c r="K1538" s="61" t="str">
        <f aca="false">INDEX(Parametros!$C$48:$C$67,MATCH(TRIM(INDEX(Datos_Origen!$F$2:$F$2459,$Z1538)),Parametros!$B$48:$B$67,0))</f>
        <v>Almacenamiento</v>
      </c>
      <c r="L1538" s="61" t="str">
        <f aca="false">$K1538&amp;" "&amp;$C1538</f>
        <v>Almacenamiento 2025</v>
      </c>
      <c r="M1538" s="61" t="str">
        <f aca="false">TRIM(INDEX(Datos_Origen!$G$2:$G$2459,$Z1538))</f>
        <v>SSD Externo 1TB</v>
      </c>
      <c r="N1538" s="61" t="str">
        <f aca="false">$M1538&amp;" "&amp;$C1538</f>
        <v>SSD Externo 1TB 2025</v>
      </c>
      <c r="O1538" s="63" t="n">
        <f aca="false">IF(ISTEXT($AC1538),VALUE($AC1538),$AC1538)</f>
        <v>27</v>
      </c>
      <c r="P1538" s="64" t="n">
        <f aca="false">INDEX(Datos_Origen!$I$2:$I$2459,$Z1538)</f>
        <v>129.17</v>
      </c>
      <c r="Q1538" s="64" t="n">
        <f aca="false">INDEX(Datos_Origen!$J$2:$J$2459,$Z1538)</f>
        <v>78.33</v>
      </c>
      <c r="R1538" s="65" t="n">
        <f aca="false">ROUND($O1538*$P1538,2)</f>
        <v>3487.59</v>
      </c>
      <c r="S1538" s="65" t="n">
        <f aca="false">ROUND($O1538*$Q1538,2)</f>
        <v>2114.91</v>
      </c>
      <c r="T1538" s="65" t="n">
        <f aca="false">ROUND($R1538*SUMIFS(Parametros!$E$28:$E$43,Parametros!$B$28:$B$43,$J1538,Parametros!$C$28:$C$43,$C1538,Parametros!$D$28:$D$43,$D1538),2)</f>
        <v>48.83</v>
      </c>
      <c r="U1538" s="65" t="n">
        <f aca="false">$R1538-$S1538-$T1538</f>
        <v>1323.85</v>
      </c>
      <c r="V1538" s="66" t="n">
        <f aca="false">IFERROR($U1538/$R1538,0)</f>
        <v>0.379588770469006</v>
      </c>
      <c r="W1538" s="67" t="str">
        <f aca="false">IF(AND($V1538&gt;=Parametros!$C$8,$R1538&gt;=Parametros!$C$12),"Alta rentabilidad",IF(OR($V1538&lt;Parametros!$C$11,$R1538&lt;Parametros!$C$13),"Revisar","Estandar"))</f>
        <v>Alta rentabilidad</v>
      </c>
      <c r="X1538" s="67" t="str">
        <f aca="false">IF(AND($J1538="E-commerce",IFERROR($T1538/$R1538,0)&gt;Parametros!$C$14),"Alerta","OK")</f>
        <v>OK</v>
      </c>
      <c r="Y1538" s="61" t="str">
        <f aca="false">IF($R1538&gt;=Parametros!$C$12,"Alto",IF($R1538&lt;Parametros!$C$13,"Bajo","Medio"))</f>
        <v>Alto</v>
      </c>
      <c r="Z1538" s="61" t="n">
        <v>1975</v>
      </c>
      <c r="AA1538" s="61" t="str">
        <f aca="false">IF(MATCH($A1538,Datos_Origen!$A$2:$A$2459,0)=$Z1538,"OK","REVISAR")</f>
        <v>OK</v>
      </c>
      <c r="AB1538" s="62" t="n">
        <f aca="false">INDEX(Datos_Origen!$B$2:$B$2459,$Z1538)</f>
        <v>45761</v>
      </c>
      <c r="AC1538" s="61" t="n">
        <f aca="false">INDEX(Datos_Origen!$H$2:$H$2459,$Z1538)</f>
        <v>27</v>
      </c>
      <c r="AD1538" s="61" t="str">
        <f aca="false">INDEX(Datos_Origen!$D$2:$D$2459,$Z1538)&amp;""</f>
        <v>Cordoba</v>
      </c>
    </row>
    <row r="1539" customFormat="false" ht="15" hidden="false" customHeight="false" outlineLevel="0" collapsed="false">
      <c r="A1539" s="61" t="n">
        <f aca="false">INDEX(Datos_Origen!$A$2:$A$2459,$Z1539)</f>
        <v>1538</v>
      </c>
      <c r="B1539" s="62" t="n">
        <f aca="false">IF(ISNUMBER($AB1539),$AB1539,IF(MID($AB1539,5,1)="-",DATE(VALUE(LEFT($AB1539,4)),VALUE(MID($AB1539,6,2)),VALUE(RIGHT($AB1539,2))),DATE(VALUE(RIGHT($AB1539,4)),VALUE(MID($AB1539,4,2)),VALUE(LEFT($AB1539,2)))))</f>
        <v>45768</v>
      </c>
      <c r="C1539" s="61" t="n">
        <f aca="false">YEAR($B1539)</f>
        <v>2025</v>
      </c>
      <c r="D1539" s="61" t="str">
        <f aca="false">"Q"&amp;ROUNDUP(MONTH($B1539)/3,0)</f>
        <v>Q2</v>
      </c>
      <c r="E1539" s="61" t="n">
        <f aca="false">MONTH($B1539)</f>
        <v>4</v>
      </c>
      <c r="F1539" s="61" t="str">
        <f aca="false">INDEX(Parametros!$I$5:$I$16,$E1539)</f>
        <v>Abr</v>
      </c>
      <c r="G1539" s="61" t="str">
        <f aca="false">TEXT($C1539,"0000")&amp;"-"&amp;TEXT($E1539,"00")</f>
        <v>2025-04</v>
      </c>
      <c r="H1539" s="61" t="str">
        <f aca="false">INDEX(Parametros!$C$71:$C$91,MATCH(TRIM(INDEX(Datos_Origen!$C$2:$C$2459,$Z1539)),Parametros!$B$71:$B$91,0))</f>
        <v>Centro</v>
      </c>
      <c r="I1539" s="61" t="str">
        <f aca="false">IF(TRIM($AD1539)="",INDEX(Parametros!$I$20:$I$24,MATCH($H1539,Parametros!$H$20:$H$24,0)),TRIM($AD1539))</f>
        <v>Cordoba</v>
      </c>
      <c r="J1539" s="61" t="str">
        <f aca="false">INDEX(Parametros!$C$95:$C$106,MATCH(TRIM(INDEX(Datos_Origen!$E$2:$E$2459,$Z1539)),Parametros!$B$95:$B$106,0))</f>
        <v>E-commerce</v>
      </c>
      <c r="K1539" s="61" t="str">
        <f aca="false">INDEX(Parametros!$C$48:$C$67,MATCH(TRIM(INDEX(Datos_Origen!$F$2:$F$2459,$Z1539)),Parametros!$B$48:$B$67,0))</f>
        <v>Almacenamiento</v>
      </c>
      <c r="L1539" s="61" t="str">
        <f aca="false">$K1539&amp;" "&amp;$C1539</f>
        <v>Almacenamiento 2025</v>
      </c>
      <c r="M1539" s="61" t="str">
        <f aca="false">TRIM(INDEX(Datos_Origen!$G$2:$G$2459,$Z1539))</f>
        <v>SSD Externo 1TB</v>
      </c>
      <c r="N1539" s="61" t="str">
        <f aca="false">$M1539&amp;" "&amp;$C1539</f>
        <v>SSD Externo 1TB 2025</v>
      </c>
      <c r="O1539" s="63" t="n">
        <f aca="false">IF(ISTEXT($AC1539),VALUE($AC1539),$AC1539)</f>
        <v>24</v>
      </c>
      <c r="P1539" s="64" t="n">
        <f aca="false">INDEX(Datos_Origen!$I$2:$I$2459,$Z1539)</f>
        <v>129.17</v>
      </c>
      <c r="Q1539" s="64" t="n">
        <f aca="false">INDEX(Datos_Origen!$J$2:$J$2459,$Z1539)</f>
        <v>78.33</v>
      </c>
      <c r="R1539" s="65" t="n">
        <f aca="false">ROUND($O1539*$P1539,2)</f>
        <v>3100.08</v>
      </c>
      <c r="S1539" s="65" t="n">
        <f aca="false">ROUND($O1539*$Q1539,2)</f>
        <v>1879.92</v>
      </c>
      <c r="T1539" s="65" t="n">
        <f aca="false">ROUND($R1539*SUMIFS(Parametros!$E$28:$E$43,Parametros!$B$28:$B$43,$J1539,Parametros!$C$28:$C$43,$C1539,Parametros!$D$28:$D$43,$D1539),2)</f>
        <v>229.41</v>
      </c>
      <c r="U1539" s="65" t="n">
        <f aca="false">$R1539-$S1539-$T1539</f>
        <v>990.75</v>
      </c>
      <c r="V1539" s="66" t="n">
        <f aca="false">IFERROR($U1539/$R1539,0)</f>
        <v>0.319588526747697</v>
      </c>
      <c r="W1539" s="67" t="str">
        <f aca="false">IF(AND($V1539&gt;=Parametros!$C$8,$R1539&gt;=Parametros!$C$12),"Alta rentabilidad",IF(OR($V1539&lt;Parametros!$C$11,$R1539&lt;Parametros!$C$13),"Revisar","Estandar"))</f>
        <v>Estandar</v>
      </c>
      <c r="X1539" s="67" t="str">
        <f aca="false">IF(AND($J1539="E-commerce",IFERROR($T1539/$R1539,0)&gt;Parametros!$C$14),"Alerta","OK")</f>
        <v>Alerta</v>
      </c>
      <c r="Y1539" s="61" t="str">
        <f aca="false">IF($R1539&gt;=Parametros!$C$12,"Alto",IF($R1539&lt;Parametros!$C$13,"Bajo","Medio"))</f>
        <v>Alto</v>
      </c>
      <c r="Z1539" s="61" t="n">
        <v>1761</v>
      </c>
      <c r="AA1539" s="61" t="str">
        <f aca="false">IF(MATCH($A1539,Datos_Origen!$A$2:$A$2459,0)=$Z1539,"OK","REVISAR")</f>
        <v>OK</v>
      </c>
      <c r="AB1539" s="62" t="n">
        <f aca="false">INDEX(Datos_Origen!$B$2:$B$2459,$Z1539)</f>
        <v>45768</v>
      </c>
      <c r="AC1539" s="61" t="n">
        <f aca="false">INDEX(Datos_Origen!$H$2:$H$2459,$Z1539)</f>
        <v>24</v>
      </c>
      <c r="AD1539" s="61" t="str">
        <f aca="false">INDEX(Datos_Origen!$D$2:$D$2459,$Z1539)&amp;""</f>
        <v>Cordoba</v>
      </c>
    </row>
    <row r="1540" customFormat="false" ht="15" hidden="false" customHeight="false" outlineLevel="0" collapsed="false">
      <c r="A1540" s="61" t="n">
        <f aca="false">INDEX(Datos_Origen!$A$2:$A$2459,$Z1540)</f>
        <v>1539</v>
      </c>
      <c r="B1540" s="62" t="n">
        <f aca="false">IF(ISNUMBER($AB1540),$AB1540,IF(MID($AB1540,5,1)="-",DATE(VALUE(LEFT($AB1540,4)),VALUE(MID($AB1540,6,2)),VALUE(RIGHT($AB1540,2))),DATE(VALUE(RIGHT($AB1540,4)),VALUE(MID($AB1540,4,2)),VALUE(LEFT($AB1540,2)))))</f>
        <v>45748</v>
      </c>
      <c r="C1540" s="61" t="n">
        <f aca="false">YEAR($B1540)</f>
        <v>2025</v>
      </c>
      <c r="D1540" s="61" t="str">
        <f aca="false">"Q"&amp;ROUNDUP(MONTH($B1540)/3,0)</f>
        <v>Q2</v>
      </c>
      <c r="E1540" s="61" t="n">
        <f aca="false">MONTH($B1540)</f>
        <v>4</v>
      </c>
      <c r="F1540" s="61" t="str">
        <f aca="false">INDEX(Parametros!$I$5:$I$16,$E1540)</f>
        <v>Abr</v>
      </c>
      <c r="G1540" s="61" t="str">
        <f aca="false">TEXT($C1540,"0000")&amp;"-"&amp;TEXT($E1540,"00")</f>
        <v>2025-04</v>
      </c>
      <c r="H1540" s="61" t="str">
        <f aca="false">INDEX(Parametros!$C$71:$C$91,MATCH(TRIM(INDEX(Datos_Origen!$C$2:$C$2459,$Z1540)),Parametros!$B$71:$B$91,0))</f>
        <v>Centro</v>
      </c>
      <c r="I1540" s="61" t="str">
        <f aca="false">IF(TRIM($AD1540)="",INDEX(Parametros!$I$20:$I$24,MATCH($H1540,Parametros!$H$20:$H$24,0)),TRIM($AD1540))</f>
        <v>Cordoba</v>
      </c>
      <c r="J1540" s="61" t="str">
        <f aca="false">INDEX(Parametros!$C$95:$C$106,MATCH(TRIM(INDEX(Datos_Origen!$E$2:$E$2459,$Z1540)),Parametros!$B$95:$B$106,0))</f>
        <v>Tienda fisica</v>
      </c>
      <c r="K1540" s="61" t="str">
        <f aca="false">INDEX(Parametros!$C$48:$C$67,MATCH(TRIM(INDEX(Datos_Origen!$F$2:$F$2459,$Z1540)),Parametros!$B$48:$B$67,0))</f>
        <v>Almacenamiento</v>
      </c>
      <c r="L1540" s="61" t="str">
        <f aca="false">$K1540&amp;" "&amp;$C1540</f>
        <v>Almacenamiento 2025</v>
      </c>
      <c r="M1540" s="61" t="str">
        <f aca="false">TRIM(INDEX(Datos_Origen!$G$2:$G$2459,$Z1540))</f>
        <v>Pendrive 256GB</v>
      </c>
      <c r="N1540" s="61" t="str">
        <f aca="false">$M1540&amp;" "&amp;$C1540</f>
        <v>Pendrive 256GB 2025</v>
      </c>
      <c r="O1540" s="63" t="n">
        <f aca="false">IF(ISTEXT($AC1540),VALUE($AC1540),$AC1540)</f>
        <v>29</v>
      </c>
      <c r="P1540" s="64" t="n">
        <f aca="false">INDEX(Datos_Origen!$I$2:$I$2459,$Z1540)</f>
        <v>34.78</v>
      </c>
      <c r="Q1540" s="64" t="n">
        <f aca="false">INDEX(Datos_Origen!$J$2:$J$2459,$Z1540)</f>
        <v>18.39</v>
      </c>
      <c r="R1540" s="65" t="n">
        <f aca="false">ROUND($O1540*$P1540,2)</f>
        <v>1008.62</v>
      </c>
      <c r="S1540" s="65" t="n">
        <f aca="false">ROUND($O1540*$Q1540,2)</f>
        <v>533.31</v>
      </c>
      <c r="T1540" s="65" t="n">
        <f aca="false">ROUND($R1540*SUMIFS(Parametros!$E$28:$E$43,Parametros!$B$28:$B$43,$J1540,Parametros!$C$28:$C$43,$C1540,Parametros!$D$28:$D$43,$D1540),2)</f>
        <v>14.12</v>
      </c>
      <c r="U1540" s="65" t="n">
        <f aca="false">$R1540-$S1540-$T1540</f>
        <v>461.19</v>
      </c>
      <c r="V1540" s="66" t="n">
        <f aca="false">IFERROR($U1540/$R1540,0)</f>
        <v>0.457248517776764</v>
      </c>
      <c r="W1540" s="67" t="str">
        <f aca="false">IF(AND($V1540&gt;=Parametros!$C$8,$R1540&gt;=Parametros!$C$12),"Alta rentabilidad",IF(OR($V1540&lt;Parametros!$C$11,$R1540&lt;Parametros!$C$13),"Revisar","Estandar"))</f>
        <v>Estandar</v>
      </c>
      <c r="X1540" s="67" t="str">
        <f aca="false">IF(AND($J1540="E-commerce",IFERROR($T1540/$R1540,0)&gt;Parametros!$C$14),"Alerta","OK")</f>
        <v>OK</v>
      </c>
      <c r="Y1540" s="61" t="str">
        <f aca="false">IF($R1540&gt;=Parametros!$C$12,"Alto",IF($R1540&lt;Parametros!$C$13,"Bajo","Medio"))</f>
        <v>Medio</v>
      </c>
      <c r="Z1540" s="61" t="n">
        <v>473</v>
      </c>
      <c r="AA1540" s="61" t="str">
        <f aca="false">IF(MATCH($A1540,Datos_Origen!$A$2:$A$2459,0)=$Z1540,"OK","REVISAR")</f>
        <v>OK</v>
      </c>
      <c r="AB1540" s="62" t="n">
        <f aca="false">INDEX(Datos_Origen!$B$2:$B$2459,$Z1540)</f>
        <v>45748</v>
      </c>
      <c r="AC1540" s="61" t="str">
        <f aca="false">INDEX(Datos_Origen!$H$2:$H$2459,$Z1540)</f>
        <v>29</v>
      </c>
      <c r="AD1540" s="61" t="str">
        <f aca="false">INDEX(Datos_Origen!$D$2:$D$2459,$Z1540)&amp;""</f>
        <v>Cordoba</v>
      </c>
    </row>
    <row r="1541" customFormat="false" ht="15" hidden="false" customHeight="false" outlineLevel="0" collapsed="false">
      <c r="A1541" s="61" t="n">
        <f aca="false">INDEX(Datos_Origen!$A$2:$A$2459,$Z1541)</f>
        <v>1540</v>
      </c>
      <c r="B1541" s="62" t="n">
        <f aca="false">IF(ISNUMBER($AB1541),$AB1541,IF(MID($AB1541,5,1)="-",DATE(VALUE(LEFT($AB1541,4)),VALUE(MID($AB1541,6,2)),VALUE(RIGHT($AB1541,2))),DATE(VALUE(RIGHT($AB1541,4)),VALUE(MID($AB1541,4,2)),VALUE(LEFT($AB1541,2)))))</f>
        <v>45755</v>
      </c>
      <c r="C1541" s="61" t="n">
        <f aca="false">YEAR($B1541)</f>
        <v>2025</v>
      </c>
      <c r="D1541" s="61" t="str">
        <f aca="false">"Q"&amp;ROUNDUP(MONTH($B1541)/3,0)</f>
        <v>Q2</v>
      </c>
      <c r="E1541" s="61" t="n">
        <f aca="false">MONTH($B1541)</f>
        <v>4</v>
      </c>
      <c r="F1541" s="61" t="str">
        <f aca="false">INDEX(Parametros!$I$5:$I$16,$E1541)</f>
        <v>Abr</v>
      </c>
      <c r="G1541" s="61" t="str">
        <f aca="false">TEXT($C1541,"0000")&amp;"-"&amp;TEXT($E1541,"00")</f>
        <v>2025-04</v>
      </c>
      <c r="H1541" s="61" t="str">
        <f aca="false">INDEX(Parametros!$C$71:$C$91,MATCH(TRIM(INDEX(Datos_Origen!$C$2:$C$2459,$Z1541)),Parametros!$B$71:$B$91,0))</f>
        <v>Centro</v>
      </c>
      <c r="I1541" s="61" t="str">
        <f aca="false">IF(TRIM($AD1541)="",INDEX(Parametros!$I$20:$I$24,MATCH($H1541,Parametros!$H$20:$H$24,0)),TRIM($AD1541))</f>
        <v>Cordoba</v>
      </c>
      <c r="J1541" s="61" t="str">
        <f aca="false">INDEX(Parametros!$C$95:$C$106,MATCH(TRIM(INDEX(Datos_Origen!$E$2:$E$2459,$Z1541)),Parametros!$B$95:$B$106,0))</f>
        <v>E-commerce</v>
      </c>
      <c r="K1541" s="61" t="str">
        <f aca="false">INDEX(Parametros!$C$48:$C$67,MATCH(TRIM(INDEX(Datos_Origen!$F$2:$F$2459,$Z1541)),Parametros!$B$48:$B$67,0))</f>
        <v>Almacenamiento</v>
      </c>
      <c r="L1541" s="61" t="str">
        <f aca="false">$K1541&amp;" "&amp;$C1541</f>
        <v>Almacenamiento 2025</v>
      </c>
      <c r="M1541" s="61" t="str">
        <f aca="false">TRIM(INDEX(Datos_Origen!$G$2:$G$2459,$Z1541))</f>
        <v>Pendrive 256GB</v>
      </c>
      <c r="N1541" s="61" t="str">
        <f aca="false">$M1541&amp;" "&amp;$C1541</f>
        <v>Pendrive 256GB 2025</v>
      </c>
      <c r="O1541" s="63" t="n">
        <f aca="false">IF(ISTEXT($AC1541),VALUE($AC1541),$AC1541)</f>
        <v>23</v>
      </c>
      <c r="P1541" s="64" t="n">
        <f aca="false">INDEX(Datos_Origen!$I$2:$I$2459,$Z1541)</f>
        <v>34.78</v>
      </c>
      <c r="Q1541" s="64" t="n">
        <f aca="false">INDEX(Datos_Origen!$J$2:$J$2459,$Z1541)</f>
        <v>18.39</v>
      </c>
      <c r="R1541" s="65" t="n">
        <f aca="false">ROUND($O1541*$P1541,2)</f>
        <v>799.94</v>
      </c>
      <c r="S1541" s="65" t="n">
        <f aca="false">ROUND($O1541*$Q1541,2)</f>
        <v>422.97</v>
      </c>
      <c r="T1541" s="65" t="n">
        <f aca="false">ROUND($R1541*SUMIFS(Parametros!$E$28:$E$43,Parametros!$B$28:$B$43,$J1541,Parametros!$C$28:$C$43,$C1541,Parametros!$D$28:$D$43,$D1541),2)</f>
        <v>59.2</v>
      </c>
      <c r="U1541" s="65" t="n">
        <f aca="false">$R1541-$S1541-$T1541</f>
        <v>317.77</v>
      </c>
      <c r="V1541" s="66" t="n">
        <f aca="false">IFERROR($U1541/$R1541,0)</f>
        <v>0.397242293171988</v>
      </c>
      <c r="W1541" s="67" t="str">
        <f aca="false">IF(AND($V1541&gt;=Parametros!$C$8,$R1541&gt;=Parametros!$C$12),"Alta rentabilidad",IF(OR($V1541&lt;Parametros!$C$11,$R1541&lt;Parametros!$C$13),"Revisar","Estandar"))</f>
        <v>Estandar</v>
      </c>
      <c r="X1541" s="67" t="str">
        <f aca="false">IF(AND($J1541="E-commerce",IFERROR($T1541/$R1541,0)&gt;Parametros!$C$14),"Alerta","OK")</f>
        <v>Alerta</v>
      </c>
      <c r="Y1541" s="61" t="str">
        <f aca="false">IF($R1541&gt;=Parametros!$C$12,"Alto",IF($R1541&lt;Parametros!$C$13,"Bajo","Medio"))</f>
        <v>Medio</v>
      </c>
      <c r="Z1541" s="61" t="n">
        <v>272</v>
      </c>
      <c r="AA1541" s="61" t="str">
        <f aca="false">IF(MATCH($A1541,Datos_Origen!$A$2:$A$2459,0)=$Z1541,"OK","REVISAR")</f>
        <v>OK</v>
      </c>
      <c r="AB1541" s="61" t="str">
        <f aca="false">INDEX(Datos_Origen!$B$2:$B$2459,$Z1541)</f>
        <v>08/04/2025</v>
      </c>
      <c r="AC1541" s="61" t="str">
        <f aca="false">INDEX(Datos_Origen!$H$2:$H$2459,$Z1541)</f>
        <v>23</v>
      </c>
      <c r="AD1541" s="61" t="str">
        <f aca="false">INDEX(Datos_Origen!$D$2:$D$2459,$Z1541)&amp;""</f>
        <v>Cordoba</v>
      </c>
    </row>
    <row r="1542" customFormat="false" ht="15" hidden="false" customHeight="false" outlineLevel="0" collapsed="false">
      <c r="A1542" s="61" t="n">
        <f aca="false">INDEX(Datos_Origen!$A$2:$A$2459,$Z1542)</f>
        <v>1541</v>
      </c>
      <c r="B1542" s="62" t="n">
        <f aca="false">IF(ISNUMBER($AB1542),$AB1542,IF(MID($AB1542,5,1)="-",DATE(VALUE(LEFT($AB1542,4)),VALUE(MID($AB1542,6,2)),VALUE(RIGHT($AB1542,2))),DATE(VALUE(RIGHT($AB1542,4)),VALUE(MID($AB1542,4,2)),VALUE(LEFT($AB1542,2)))))</f>
        <v>45762</v>
      </c>
      <c r="C1542" s="61" t="n">
        <f aca="false">YEAR($B1542)</f>
        <v>2025</v>
      </c>
      <c r="D1542" s="61" t="str">
        <f aca="false">"Q"&amp;ROUNDUP(MONTH($B1542)/3,0)</f>
        <v>Q2</v>
      </c>
      <c r="E1542" s="61" t="n">
        <f aca="false">MONTH($B1542)</f>
        <v>4</v>
      </c>
      <c r="F1542" s="61" t="str">
        <f aca="false">INDEX(Parametros!$I$5:$I$16,$E1542)</f>
        <v>Abr</v>
      </c>
      <c r="G1542" s="61" t="str">
        <f aca="false">TEXT($C1542,"0000")&amp;"-"&amp;TEXT($E1542,"00")</f>
        <v>2025-04</v>
      </c>
      <c r="H1542" s="61" t="str">
        <f aca="false">INDEX(Parametros!$C$71:$C$91,MATCH(TRIM(INDEX(Datos_Origen!$C$2:$C$2459,$Z1542)),Parametros!$B$71:$B$91,0))</f>
        <v>Litoral</v>
      </c>
      <c r="I1542" s="61" t="str">
        <f aca="false">IF(TRIM($AD1542)="",INDEX(Parametros!$I$20:$I$24,MATCH($H1542,Parametros!$H$20:$H$24,0)),TRIM($AD1542))</f>
        <v>Rosario</v>
      </c>
      <c r="J1542" s="61" t="str">
        <f aca="false">INDEX(Parametros!$C$95:$C$106,MATCH(TRIM(INDEX(Datos_Origen!$E$2:$E$2459,$Z1542)),Parametros!$B$95:$B$106,0))</f>
        <v>Tienda fisica</v>
      </c>
      <c r="K1542" s="61" t="str">
        <f aca="false">INDEX(Parametros!$C$48:$C$67,MATCH(TRIM(INDEX(Datos_Origen!$F$2:$F$2459,$Z1542)),Parametros!$B$48:$B$67,0))</f>
        <v>Computacion</v>
      </c>
      <c r="L1542" s="61" t="str">
        <f aca="false">$K1542&amp;" "&amp;$C1542</f>
        <v>Computacion 2025</v>
      </c>
      <c r="M1542" s="61" t="str">
        <f aca="false">TRIM(INDEX(Datos_Origen!$G$2:$G$2459,$Z1542))</f>
        <v>Laptop Pro 15</v>
      </c>
      <c r="N1542" s="61" t="str">
        <f aca="false">$M1542&amp;" "&amp;$C1542</f>
        <v>Laptop Pro 15 2025</v>
      </c>
      <c r="O1542" s="63" t="n">
        <f aca="false">IF(ISTEXT($AC1542),VALUE($AC1542),$AC1542)</f>
        <v>7</v>
      </c>
      <c r="P1542" s="64" t="n">
        <f aca="false">INDEX(Datos_Origen!$I$2:$I$2459,$Z1542)</f>
        <v>1155.06</v>
      </c>
      <c r="Q1542" s="64" t="n">
        <f aca="false">INDEX(Datos_Origen!$J$2:$J$2459,$Z1542)</f>
        <v>766.32</v>
      </c>
      <c r="R1542" s="65" t="n">
        <f aca="false">ROUND($O1542*$P1542,2)</f>
        <v>8085.42</v>
      </c>
      <c r="S1542" s="65" t="n">
        <f aca="false">ROUND($O1542*$Q1542,2)</f>
        <v>5364.24</v>
      </c>
      <c r="T1542" s="65" t="n">
        <f aca="false">ROUND($R1542*SUMIFS(Parametros!$E$28:$E$43,Parametros!$B$28:$B$43,$J1542,Parametros!$C$28:$C$43,$C1542,Parametros!$D$28:$D$43,$D1542),2)</f>
        <v>113.2</v>
      </c>
      <c r="U1542" s="65" t="n">
        <f aca="false">$R1542-$S1542-$T1542</f>
        <v>2607.98</v>
      </c>
      <c r="V1542" s="66" t="n">
        <f aca="false">IFERROR($U1542/$R1542,0)</f>
        <v>0.322553435690416</v>
      </c>
      <c r="W1542" s="67" t="str">
        <f aca="false">IF(AND($V1542&gt;=Parametros!$C$8,$R1542&gt;=Parametros!$C$12),"Alta rentabilidad",IF(OR($V1542&lt;Parametros!$C$11,$R1542&lt;Parametros!$C$13),"Revisar","Estandar"))</f>
        <v>Estandar</v>
      </c>
      <c r="X1542" s="67" t="str">
        <f aca="false">IF(AND($J1542="E-commerce",IFERROR($T1542/$R1542,0)&gt;Parametros!$C$14),"Alerta","OK")</f>
        <v>OK</v>
      </c>
      <c r="Y1542" s="61" t="str">
        <f aca="false">IF($R1542&gt;=Parametros!$C$12,"Alto",IF($R1542&lt;Parametros!$C$13,"Bajo","Medio"))</f>
        <v>Alto</v>
      </c>
      <c r="Z1542" s="61" t="n">
        <v>505</v>
      </c>
      <c r="AA1542" s="61" t="str">
        <f aca="false">IF(MATCH($A1542,Datos_Origen!$A$2:$A$2459,0)=$Z1542,"OK","REVISAR")</f>
        <v>OK</v>
      </c>
      <c r="AB1542" s="62" t="n">
        <f aca="false">INDEX(Datos_Origen!$B$2:$B$2459,$Z1542)</f>
        <v>45762</v>
      </c>
      <c r="AC1542" s="61" t="n">
        <f aca="false">INDEX(Datos_Origen!$H$2:$H$2459,$Z1542)</f>
        <v>7</v>
      </c>
      <c r="AD1542" s="61" t="str">
        <f aca="false">INDEX(Datos_Origen!$D$2:$D$2459,$Z1542)&amp;""</f>
        <v/>
      </c>
    </row>
    <row r="1543" customFormat="false" ht="15" hidden="false" customHeight="false" outlineLevel="0" collapsed="false">
      <c r="A1543" s="61" t="n">
        <f aca="false">INDEX(Datos_Origen!$A$2:$A$2459,$Z1543)</f>
        <v>1542</v>
      </c>
      <c r="B1543" s="62" t="n">
        <f aca="false">IF(ISNUMBER($AB1543),$AB1543,IF(MID($AB1543,5,1)="-",DATE(VALUE(LEFT($AB1543,4)),VALUE(MID($AB1543,6,2)),VALUE(RIGHT($AB1543,2))),DATE(VALUE(RIGHT($AB1543,4)),VALUE(MID($AB1543,4,2)),VALUE(LEFT($AB1543,2)))))</f>
        <v>45769</v>
      </c>
      <c r="C1543" s="61" t="n">
        <f aca="false">YEAR($B1543)</f>
        <v>2025</v>
      </c>
      <c r="D1543" s="61" t="str">
        <f aca="false">"Q"&amp;ROUNDUP(MONTH($B1543)/3,0)</f>
        <v>Q2</v>
      </c>
      <c r="E1543" s="61" t="n">
        <f aca="false">MONTH($B1543)</f>
        <v>4</v>
      </c>
      <c r="F1543" s="61" t="str">
        <f aca="false">INDEX(Parametros!$I$5:$I$16,$E1543)</f>
        <v>Abr</v>
      </c>
      <c r="G1543" s="61" t="str">
        <f aca="false">TEXT($C1543,"0000")&amp;"-"&amp;TEXT($E1543,"00")</f>
        <v>2025-04</v>
      </c>
      <c r="H1543" s="61" t="str">
        <f aca="false">INDEX(Parametros!$C$71:$C$91,MATCH(TRIM(INDEX(Datos_Origen!$C$2:$C$2459,$Z1543)),Parametros!$B$71:$B$91,0))</f>
        <v>Litoral</v>
      </c>
      <c r="I1543" s="61" t="str">
        <f aca="false">IF(TRIM($AD1543)="",INDEX(Parametros!$I$20:$I$24,MATCH($H1543,Parametros!$H$20:$H$24,0)),TRIM($AD1543))</f>
        <v>Rosario</v>
      </c>
      <c r="J1543" s="61" t="str">
        <f aca="false">INDEX(Parametros!$C$95:$C$106,MATCH(TRIM(INDEX(Datos_Origen!$E$2:$E$2459,$Z1543)),Parametros!$B$95:$B$106,0))</f>
        <v>E-commerce</v>
      </c>
      <c r="K1543" s="61" t="str">
        <f aca="false">INDEX(Parametros!$C$48:$C$67,MATCH(TRIM(INDEX(Datos_Origen!$F$2:$F$2459,$Z1543)),Parametros!$B$48:$B$67,0))</f>
        <v>Computacion</v>
      </c>
      <c r="L1543" s="61" t="str">
        <f aca="false">$K1543&amp;" "&amp;$C1543</f>
        <v>Computacion 2025</v>
      </c>
      <c r="M1543" s="61" t="str">
        <f aca="false">TRIM(INDEX(Datos_Origen!$G$2:$G$2459,$Z1543))</f>
        <v>Laptop Pro 15</v>
      </c>
      <c r="N1543" s="61" t="str">
        <f aca="false">$M1543&amp;" "&amp;$C1543</f>
        <v>Laptop Pro 15 2025</v>
      </c>
      <c r="O1543" s="63" t="n">
        <f aca="false">IF(ISTEXT($AC1543),VALUE($AC1543),$AC1543)</f>
        <v>6</v>
      </c>
      <c r="P1543" s="64" t="n">
        <f aca="false">INDEX(Datos_Origen!$I$2:$I$2459,$Z1543)</f>
        <v>1155.06</v>
      </c>
      <c r="Q1543" s="64" t="n">
        <f aca="false">INDEX(Datos_Origen!$J$2:$J$2459,$Z1543)</f>
        <v>766.32</v>
      </c>
      <c r="R1543" s="65" t="n">
        <f aca="false">ROUND($O1543*$P1543,2)</f>
        <v>6930.36</v>
      </c>
      <c r="S1543" s="65" t="n">
        <f aca="false">ROUND($O1543*$Q1543,2)</f>
        <v>4597.92</v>
      </c>
      <c r="T1543" s="65" t="n">
        <f aca="false">ROUND($R1543*SUMIFS(Parametros!$E$28:$E$43,Parametros!$B$28:$B$43,$J1543,Parametros!$C$28:$C$43,$C1543,Parametros!$D$28:$D$43,$D1543),2)</f>
        <v>512.85</v>
      </c>
      <c r="U1543" s="65" t="n">
        <f aca="false">$R1543-$S1543-$T1543</f>
        <v>1819.59</v>
      </c>
      <c r="V1543" s="66" t="n">
        <f aca="false">IFERROR($U1543/$R1543,0)</f>
        <v>0.262553460426298</v>
      </c>
      <c r="W1543" s="67" t="str">
        <f aca="false">IF(AND($V1543&gt;=Parametros!$C$8,$R1543&gt;=Parametros!$C$12),"Alta rentabilidad",IF(OR($V1543&lt;Parametros!$C$11,$R1543&lt;Parametros!$C$13),"Revisar","Estandar"))</f>
        <v>Revisar</v>
      </c>
      <c r="X1543" s="67" t="str">
        <f aca="false">IF(AND($J1543="E-commerce",IFERROR($T1543/$R1543,0)&gt;Parametros!$C$14),"Alerta","OK")</f>
        <v>Alerta</v>
      </c>
      <c r="Y1543" s="61" t="str">
        <f aca="false">IF($R1543&gt;=Parametros!$C$12,"Alto",IF($R1543&lt;Parametros!$C$13,"Bajo","Medio"))</f>
        <v>Alto</v>
      </c>
      <c r="Z1543" s="61" t="n">
        <v>302</v>
      </c>
      <c r="AA1543" s="61" t="str">
        <f aca="false">IF(MATCH($A1543,Datos_Origen!$A$2:$A$2459,0)=$Z1543,"OK","REVISAR")</f>
        <v>OK</v>
      </c>
      <c r="AB1543" s="62" t="n">
        <f aca="false">INDEX(Datos_Origen!$B$2:$B$2459,$Z1543)</f>
        <v>45769</v>
      </c>
      <c r="AC1543" s="61" t="n">
        <f aca="false">INDEX(Datos_Origen!$H$2:$H$2459,$Z1543)</f>
        <v>6</v>
      </c>
      <c r="AD1543" s="61" t="str">
        <f aca="false">INDEX(Datos_Origen!$D$2:$D$2459,$Z1543)&amp;""</f>
        <v>Rosario</v>
      </c>
    </row>
    <row r="1544" customFormat="false" ht="15" hidden="false" customHeight="false" outlineLevel="0" collapsed="false">
      <c r="A1544" s="61" t="n">
        <f aca="false">INDEX(Datos_Origen!$A$2:$A$2459,$Z1544)</f>
        <v>1543</v>
      </c>
      <c r="B1544" s="62" t="n">
        <f aca="false">IF(ISNUMBER($AB1544),$AB1544,IF(MID($AB1544,5,1)="-",DATE(VALUE(LEFT($AB1544,4)),VALUE(MID($AB1544,6,2)),VALUE(RIGHT($AB1544,2))),DATE(VALUE(RIGHT($AB1544,4)),VALUE(MID($AB1544,4,2)),VALUE(LEFT($AB1544,2)))))</f>
        <v>45749</v>
      </c>
      <c r="C1544" s="61" t="n">
        <f aca="false">YEAR($B1544)</f>
        <v>2025</v>
      </c>
      <c r="D1544" s="61" t="str">
        <f aca="false">"Q"&amp;ROUNDUP(MONTH($B1544)/3,0)</f>
        <v>Q2</v>
      </c>
      <c r="E1544" s="61" t="n">
        <f aca="false">MONTH($B1544)</f>
        <v>4</v>
      </c>
      <c r="F1544" s="61" t="str">
        <f aca="false">INDEX(Parametros!$I$5:$I$16,$E1544)</f>
        <v>Abr</v>
      </c>
      <c r="G1544" s="61" t="str">
        <f aca="false">TEXT($C1544,"0000")&amp;"-"&amp;TEXT($E1544,"00")</f>
        <v>2025-04</v>
      </c>
      <c r="H1544" s="61" t="str">
        <f aca="false">INDEX(Parametros!$C$71:$C$91,MATCH(TRIM(INDEX(Datos_Origen!$C$2:$C$2459,$Z1544)),Parametros!$B$71:$B$91,0))</f>
        <v>Litoral</v>
      </c>
      <c r="I1544" s="61" t="str">
        <f aca="false">IF(TRIM($AD1544)="",INDEX(Parametros!$I$20:$I$24,MATCH($H1544,Parametros!$H$20:$H$24,0)),TRIM($AD1544))</f>
        <v>Rosario</v>
      </c>
      <c r="J1544" s="61" t="str">
        <f aca="false">INDEX(Parametros!$C$95:$C$106,MATCH(TRIM(INDEX(Datos_Origen!$E$2:$E$2459,$Z1544)),Parametros!$B$95:$B$106,0))</f>
        <v>Tienda fisica</v>
      </c>
      <c r="K1544" s="61" t="str">
        <f aca="false">INDEX(Parametros!$C$48:$C$67,MATCH(TRIM(INDEX(Datos_Origen!$F$2:$F$2459,$Z1544)),Parametros!$B$48:$B$67,0))</f>
        <v>Computacion</v>
      </c>
      <c r="L1544" s="61" t="str">
        <f aca="false">$K1544&amp;" "&amp;$C1544</f>
        <v>Computacion 2025</v>
      </c>
      <c r="M1544" s="61" t="str">
        <f aca="false">TRIM(INDEX(Datos_Origen!$G$2:$G$2459,$Z1544))</f>
        <v>Monitor 4K 27</v>
      </c>
      <c r="N1544" s="61" t="str">
        <f aca="false">$M1544&amp;" "&amp;$C1544</f>
        <v>Monitor 4K 27 2025</v>
      </c>
      <c r="O1544" s="63" t="n">
        <f aca="false">IF(ISTEXT($AC1544),VALUE($AC1544),$AC1544)</f>
        <v>6</v>
      </c>
      <c r="P1544" s="64" t="n">
        <f aca="false">INDEX(Datos_Origen!$I$2:$I$2459,$Z1544)</f>
        <v>433.15</v>
      </c>
      <c r="Q1544" s="64" t="n">
        <f aca="false">INDEX(Datos_Origen!$J$2:$J$2459,$Z1544)</f>
        <v>280.42</v>
      </c>
      <c r="R1544" s="65" t="n">
        <f aca="false">ROUND($O1544*$P1544,2)</f>
        <v>2598.9</v>
      </c>
      <c r="S1544" s="65" t="n">
        <f aca="false">ROUND($O1544*$Q1544,2)</f>
        <v>1682.52</v>
      </c>
      <c r="T1544" s="65" t="n">
        <f aca="false">ROUND($R1544*SUMIFS(Parametros!$E$28:$E$43,Parametros!$B$28:$B$43,$J1544,Parametros!$C$28:$C$43,$C1544,Parametros!$D$28:$D$43,$D1544),2)</f>
        <v>36.38</v>
      </c>
      <c r="U1544" s="65" t="n">
        <f aca="false">$R1544-$S1544-$T1544</f>
        <v>880</v>
      </c>
      <c r="V1544" s="66" t="n">
        <f aca="false">IFERROR($U1544/$R1544,0)</f>
        <v>0.338604794336065</v>
      </c>
      <c r="W1544" s="67" t="str">
        <f aca="false">IF(AND($V1544&gt;=Parametros!$C$8,$R1544&gt;=Parametros!$C$12),"Alta rentabilidad",IF(OR($V1544&lt;Parametros!$C$11,$R1544&lt;Parametros!$C$13),"Revisar","Estandar"))</f>
        <v>Estandar</v>
      </c>
      <c r="X1544" s="67" t="str">
        <f aca="false">IF(AND($J1544="E-commerce",IFERROR($T1544/$R1544,0)&gt;Parametros!$C$14),"Alerta","OK")</f>
        <v>OK</v>
      </c>
      <c r="Y1544" s="61" t="str">
        <f aca="false">IF($R1544&gt;=Parametros!$C$12,"Alto",IF($R1544&lt;Parametros!$C$13,"Bajo","Medio"))</f>
        <v>Medio</v>
      </c>
      <c r="Z1544" s="61" t="n">
        <v>1388</v>
      </c>
      <c r="AA1544" s="61" t="str">
        <f aca="false">IF(MATCH($A1544,Datos_Origen!$A$2:$A$2459,0)=$Z1544,"OK","REVISAR")</f>
        <v>OK</v>
      </c>
      <c r="AB1544" s="62" t="n">
        <f aca="false">INDEX(Datos_Origen!$B$2:$B$2459,$Z1544)</f>
        <v>45749</v>
      </c>
      <c r="AC1544" s="61" t="n">
        <f aca="false">INDEX(Datos_Origen!$H$2:$H$2459,$Z1544)</f>
        <v>6</v>
      </c>
      <c r="AD1544" s="61" t="str">
        <f aca="false">INDEX(Datos_Origen!$D$2:$D$2459,$Z1544)&amp;""</f>
        <v>Rosario</v>
      </c>
    </row>
    <row r="1545" customFormat="false" ht="15" hidden="false" customHeight="false" outlineLevel="0" collapsed="false">
      <c r="A1545" s="61" t="n">
        <f aca="false">INDEX(Datos_Origen!$A$2:$A$2459,$Z1545)</f>
        <v>1544</v>
      </c>
      <c r="B1545" s="62" t="n">
        <f aca="false">IF(ISNUMBER($AB1545),$AB1545,IF(MID($AB1545,5,1)="-",DATE(VALUE(LEFT($AB1545,4)),VALUE(MID($AB1545,6,2)),VALUE(RIGHT($AB1545,2))),DATE(VALUE(RIGHT($AB1545,4)),VALUE(MID($AB1545,4,2)),VALUE(LEFT($AB1545,2)))))</f>
        <v>45756</v>
      </c>
      <c r="C1545" s="61" t="n">
        <f aca="false">YEAR($B1545)</f>
        <v>2025</v>
      </c>
      <c r="D1545" s="61" t="str">
        <f aca="false">"Q"&amp;ROUNDUP(MONTH($B1545)/3,0)</f>
        <v>Q2</v>
      </c>
      <c r="E1545" s="61" t="n">
        <f aca="false">MONTH($B1545)</f>
        <v>4</v>
      </c>
      <c r="F1545" s="61" t="str">
        <f aca="false">INDEX(Parametros!$I$5:$I$16,$E1545)</f>
        <v>Abr</v>
      </c>
      <c r="G1545" s="61" t="str">
        <f aca="false">TEXT($C1545,"0000")&amp;"-"&amp;TEXT($E1545,"00")</f>
        <v>2025-04</v>
      </c>
      <c r="H1545" s="61" t="str">
        <f aca="false">INDEX(Parametros!$C$71:$C$91,MATCH(TRIM(INDEX(Datos_Origen!$C$2:$C$2459,$Z1545)),Parametros!$B$71:$B$91,0))</f>
        <v>Litoral</v>
      </c>
      <c r="I1545" s="61" t="str">
        <f aca="false">IF(TRIM($AD1545)="",INDEX(Parametros!$I$20:$I$24,MATCH($H1545,Parametros!$H$20:$H$24,0)),TRIM($AD1545))</f>
        <v>Rosario</v>
      </c>
      <c r="J1545" s="61" t="str">
        <f aca="false">INDEX(Parametros!$C$95:$C$106,MATCH(TRIM(INDEX(Datos_Origen!$E$2:$E$2459,$Z1545)),Parametros!$B$95:$B$106,0))</f>
        <v>E-commerce</v>
      </c>
      <c r="K1545" s="61" t="str">
        <f aca="false">INDEX(Parametros!$C$48:$C$67,MATCH(TRIM(INDEX(Datos_Origen!$F$2:$F$2459,$Z1545)),Parametros!$B$48:$B$67,0))</f>
        <v>Computacion</v>
      </c>
      <c r="L1545" s="61" t="str">
        <f aca="false">$K1545&amp;" "&amp;$C1545</f>
        <v>Computacion 2025</v>
      </c>
      <c r="M1545" s="61" t="str">
        <f aca="false">TRIM(INDEX(Datos_Origen!$G$2:$G$2459,$Z1545))</f>
        <v>Monitor 4K 27</v>
      </c>
      <c r="N1545" s="61" t="str">
        <f aca="false">$M1545&amp;" "&amp;$C1545</f>
        <v>Monitor 4K 27 2025</v>
      </c>
      <c r="O1545" s="63" t="n">
        <f aca="false">IF(ISTEXT($AC1545),VALUE($AC1545),$AC1545)</f>
        <v>6</v>
      </c>
      <c r="P1545" s="64" t="n">
        <f aca="false">INDEX(Datos_Origen!$I$2:$I$2459,$Z1545)</f>
        <v>433.15</v>
      </c>
      <c r="Q1545" s="64" t="n">
        <f aca="false">INDEX(Datos_Origen!$J$2:$J$2459,$Z1545)</f>
        <v>280.42</v>
      </c>
      <c r="R1545" s="65" t="n">
        <f aca="false">ROUND($O1545*$P1545,2)</f>
        <v>2598.9</v>
      </c>
      <c r="S1545" s="65" t="n">
        <f aca="false">ROUND($O1545*$Q1545,2)</f>
        <v>1682.52</v>
      </c>
      <c r="T1545" s="65" t="n">
        <f aca="false">ROUND($R1545*SUMIFS(Parametros!$E$28:$E$43,Parametros!$B$28:$B$43,$J1545,Parametros!$C$28:$C$43,$C1545,Parametros!$D$28:$D$43,$D1545),2)</f>
        <v>192.32</v>
      </c>
      <c r="U1545" s="65" t="n">
        <f aca="false">$R1545-$S1545-$T1545</f>
        <v>724.06</v>
      </c>
      <c r="V1545" s="66" t="n">
        <f aca="false">IFERROR($U1545/$R1545,0)</f>
        <v>0.278602485667013</v>
      </c>
      <c r="W1545" s="67" t="str">
        <f aca="false">IF(AND($V1545&gt;=Parametros!$C$8,$R1545&gt;=Parametros!$C$12),"Alta rentabilidad",IF(OR($V1545&lt;Parametros!$C$11,$R1545&lt;Parametros!$C$13),"Revisar","Estandar"))</f>
        <v>Revisar</v>
      </c>
      <c r="X1545" s="67" t="str">
        <f aca="false">IF(AND($J1545="E-commerce",IFERROR($T1545/$R1545,0)&gt;Parametros!$C$14),"Alerta","OK")</f>
        <v>Alerta</v>
      </c>
      <c r="Y1545" s="61" t="str">
        <f aca="false">IF($R1545&gt;=Parametros!$C$12,"Alto",IF($R1545&lt;Parametros!$C$13,"Bajo","Medio"))</f>
        <v>Medio</v>
      </c>
      <c r="Z1545" s="61" t="n">
        <v>1821</v>
      </c>
      <c r="AA1545" s="61" t="str">
        <f aca="false">IF(MATCH($A1545,Datos_Origen!$A$2:$A$2459,0)=$Z1545,"OK","REVISAR")</f>
        <v>OK</v>
      </c>
      <c r="AB1545" s="62" t="n">
        <f aca="false">INDEX(Datos_Origen!$B$2:$B$2459,$Z1545)</f>
        <v>45756</v>
      </c>
      <c r="AC1545" s="61" t="n">
        <f aca="false">INDEX(Datos_Origen!$H$2:$H$2459,$Z1545)</f>
        <v>6</v>
      </c>
      <c r="AD1545" s="61" t="str">
        <f aca="false">INDEX(Datos_Origen!$D$2:$D$2459,$Z1545)&amp;""</f>
        <v>Rosario</v>
      </c>
    </row>
    <row r="1546" customFormat="false" ht="15" hidden="false" customHeight="false" outlineLevel="0" collapsed="false">
      <c r="A1546" s="61" t="n">
        <f aca="false">INDEX(Datos_Origen!$A$2:$A$2459,$Z1546)</f>
        <v>1545</v>
      </c>
      <c r="B1546" s="62" t="n">
        <f aca="false">IF(ISNUMBER($AB1546),$AB1546,IF(MID($AB1546,5,1)="-",DATE(VALUE(LEFT($AB1546,4)),VALUE(MID($AB1546,6,2)),VALUE(RIGHT($AB1546,2))),DATE(VALUE(RIGHT($AB1546,4)),VALUE(MID($AB1546,4,2)),VALUE(LEFT($AB1546,2)))))</f>
        <v>45763</v>
      </c>
      <c r="C1546" s="61" t="n">
        <f aca="false">YEAR($B1546)</f>
        <v>2025</v>
      </c>
      <c r="D1546" s="61" t="str">
        <f aca="false">"Q"&amp;ROUNDUP(MONTH($B1546)/3,0)</f>
        <v>Q2</v>
      </c>
      <c r="E1546" s="61" t="n">
        <f aca="false">MONTH($B1546)</f>
        <v>4</v>
      </c>
      <c r="F1546" s="61" t="str">
        <f aca="false">INDEX(Parametros!$I$5:$I$16,$E1546)</f>
        <v>Abr</v>
      </c>
      <c r="G1546" s="61" t="str">
        <f aca="false">TEXT($C1546,"0000")&amp;"-"&amp;TEXT($E1546,"00")</f>
        <v>2025-04</v>
      </c>
      <c r="H1546" s="61" t="str">
        <f aca="false">INDEX(Parametros!$C$71:$C$91,MATCH(TRIM(INDEX(Datos_Origen!$C$2:$C$2459,$Z1546)),Parametros!$B$71:$B$91,0))</f>
        <v>Litoral</v>
      </c>
      <c r="I1546" s="61" t="str">
        <f aca="false">IF(TRIM($AD1546)="",INDEX(Parametros!$I$20:$I$24,MATCH($H1546,Parametros!$H$20:$H$24,0)),TRIM($AD1546))</f>
        <v>Rosario</v>
      </c>
      <c r="J1546" s="61" t="str">
        <f aca="false">INDEX(Parametros!$C$95:$C$106,MATCH(TRIM(INDEX(Datos_Origen!$E$2:$E$2459,$Z1546)),Parametros!$B$95:$B$106,0))</f>
        <v>Tienda fisica</v>
      </c>
      <c r="K1546" s="61" t="str">
        <f aca="false">INDEX(Parametros!$C$48:$C$67,MATCH(TRIM(INDEX(Datos_Origen!$F$2:$F$2459,$Z1546)),Parametros!$B$48:$B$67,0))</f>
        <v>Computacion</v>
      </c>
      <c r="L1546" s="61" t="str">
        <f aca="false">$K1546&amp;" "&amp;$C1546</f>
        <v>Computacion 2025</v>
      </c>
      <c r="M1546" s="61" t="str">
        <f aca="false">TRIM(INDEX(Datos_Origen!$G$2:$G$2459,$Z1546))</f>
        <v>PC Gamer Ryzen</v>
      </c>
      <c r="N1546" s="61" t="str">
        <f aca="false">$M1546&amp;" "&amp;$C1546</f>
        <v>PC Gamer Ryzen 2025</v>
      </c>
      <c r="O1546" s="63" t="n">
        <f aca="false">IF(ISTEXT($AC1546),VALUE($AC1546),$AC1546)</f>
        <v>8</v>
      </c>
      <c r="P1546" s="64" t="n">
        <f aca="false">INDEX(Datos_Origen!$I$2:$I$2459,$Z1546)</f>
        <v>1588.21</v>
      </c>
      <c r="Q1546" s="64" t="n">
        <f aca="false">INDEX(Datos_Origen!$J$2:$J$2459,$Z1546)</f>
        <v>1155.66</v>
      </c>
      <c r="R1546" s="65" t="n">
        <f aca="false">ROUND($O1546*$P1546,2)</f>
        <v>12705.68</v>
      </c>
      <c r="S1546" s="65" t="n">
        <f aca="false">ROUND($O1546*$Q1546,2)</f>
        <v>9245.28</v>
      </c>
      <c r="T1546" s="65" t="n">
        <f aca="false">ROUND($R1546*SUMIFS(Parametros!$E$28:$E$43,Parametros!$B$28:$B$43,$J1546,Parametros!$C$28:$C$43,$C1546,Parametros!$D$28:$D$43,$D1546),2)</f>
        <v>177.88</v>
      </c>
      <c r="U1546" s="65" t="n">
        <f aca="false">$R1546-$S1546-$T1546</f>
        <v>3282.52</v>
      </c>
      <c r="V1546" s="66" t="n">
        <f aca="false">IFERROR($U1546/$R1546,0)</f>
        <v>0.258350595953936</v>
      </c>
      <c r="W1546" s="67" t="str">
        <f aca="false">IF(AND($V1546&gt;=Parametros!$C$8,$R1546&gt;=Parametros!$C$12),"Alta rentabilidad",IF(OR($V1546&lt;Parametros!$C$11,$R1546&lt;Parametros!$C$13),"Revisar","Estandar"))</f>
        <v>Revisar</v>
      </c>
      <c r="X1546" s="67" t="str">
        <f aca="false">IF(AND($J1546="E-commerce",IFERROR($T1546/$R1546,0)&gt;Parametros!$C$14),"Alerta","OK")</f>
        <v>OK</v>
      </c>
      <c r="Y1546" s="61" t="str">
        <f aca="false">IF($R1546&gt;=Parametros!$C$12,"Alto",IF($R1546&lt;Parametros!$C$13,"Bajo","Medio"))</f>
        <v>Alto</v>
      </c>
      <c r="Z1546" s="61" t="n">
        <v>1244</v>
      </c>
      <c r="AA1546" s="61" t="str">
        <f aca="false">IF(MATCH($A1546,Datos_Origen!$A$2:$A$2459,0)=$Z1546,"OK","REVISAR")</f>
        <v>OK</v>
      </c>
      <c r="AB1546" s="62" t="n">
        <f aca="false">INDEX(Datos_Origen!$B$2:$B$2459,$Z1546)</f>
        <v>45763</v>
      </c>
      <c r="AC1546" s="61" t="n">
        <f aca="false">INDEX(Datos_Origen!$H$2:$H$2459,$Z1546)</f>
        <v>8</v>
      </c>
      <c r="AD1546" s="61" t="str">
        <f aca="false">INDEX(Datos_Origen!$D$2:$D$2459,$Z1546)&amp;""</f>
        <v>Rosario</v>
      </c>
    </row>
    <row r="1547" customFormat="false" ht="15" hidden="false" customHeight="false" outlineLevel="0" collapsed="false">
      <c r="A1547" s="61" t="n">
        <f aca="false">INDEX(Datos_Origen!$A$2:$A$2459,$Z1547)</f>
        <v>1546</v>
      </c>
      <c r="B1547" s="62" t="n">
        <f aca="false">IF(ISNUMBER($AB1547),$AB1547,IF(MID($AB1547,5,1)="-",DATE(VALUE(LEFT($AB1547,4)),VALUE(MID($AB1547,6,2)),VALUE(RIGHT($AB1547,2))),DATE(VALUE(RIGHT($AB1547,4)),VALUE(MID($AB1547,4,2)),VALUE(LEFT($AB1547,2)))))</f>
        <v>45770</v>
      </c>
      <c r="C1547" s="61" t="n">
        <f aca="false">YEAR($B1547)</f>
        <v>2025</v>
      </c>
      <c r="D1547" s="61" t="str">
        <f aca="false">"Q"&amp;ROUNDUP(MONTH($B1547)/3,0)</f>
        <v>Q2</v>
      </c>
      <c r="E1547" s="61" t="n">
        <f aca="false">MONTH($B1547)</f>
        <v>4</v>
      </c>
      <c r="F1547" s="61" t="str">
        <f aca="false">INDEX(Parametros!$I$5:$I$16,$E1547)</f>
        <v>Abr</v>
      </c>
      <c r="G1547" s="61" t="str">
        <f aca="false">TEXT($C1547,"0000")&amp;"-"&amp;TEXT($E1547,"00")</f>
        <v>2025-04</v>
      </c>
      <c r="H1547" s="61" t="str">
        <f aca="false">INDEX(Parametros!$C$71:$C$91,MATCH(TRIM(INDEX(Datos_Origen!$C$2:$C$2459,$Z1547)),Parametros!$B$71:$B$91,0))</f>
        <v>Litoral</v>
      </c>
      <c r="I1547" s="61" t="str">
        <f aca="false">IF(TRIM($AD1547)="",INDEX(Parametros!$I$20:$I$24,MATCH($H1547,Parametros!$H$20:$H$24,0)),TRIM($AD1547))</f>
        <v>Rosario</v>
      </c>
      <c r="J1547" s="61" t="str">
        <f aca="false">INDEX(Parametros!$C$95:$C$106,MATCH(TRIM(INDEX(Datos_Origen!$E$2:$E$2459,$Z1547)),Parametros!$B$95:$B$106,0))</f>
        <v>E-commerce</v>
      </c>
      <c r="K1547" s="61" t="str">
        <f aca="false">INDEX(Parametros!$C$48:$C$67,MATCH(TRIM(INDEX(Datos_Origen!$F$2:$F$2459,$Z1547)),Parametros!$B$48:$B$67,0))</f>
        <v>Computacion</v>
      </c>
      <c r="L1547" s="61" t="str">
        <f aca="false">$K1547&amp;" "&amp;$C1547</f>
        <v>Computacion 2025</v>
      </c>
      <c r="M1547" s="61" t="str">
        <f aca="false">TRIM(INDEX(Datos_Origen!$G$2:$G$2459,$Z1547))</f>
        <v>PC Gamer Ryzen</v>
      </c>
      <c r="N1547" s="61" t="str">
        <f aca="false">$M1547&amp;" "&amp;$C1547</f>
        <v>PC Gamer Ryzen 2025</v>
      </c>
      <c r="O1547" s="63" t="n">
        <f aca="false">IF(ISTEXT($AC1547),VALUE($AC1547),$AC1547)</f>
        <v>5</v>
      </c>
      <c r="P1547" s="64" t="n">
        <f aca="false">INDEX(Datos_Origen!$I$2:$I$2459,$Z1547)</f>
        <v>1588.21</v>
      </c>
      <c r="Q1547" s="64" t="n">
        <f aca="false">INDEX(Datos_Origen!$J$2:$J$2459,$Z1547)</f>
        <v>1155.66</v>
      </c>
      <c r="R1547" s="65" t="n">
        <f aca="false">ROUND($O1547*$P1547,2)</f>
        <v>7941.05</v>
      </c>
      <c r="S1547" s="65" t="n">
        <f aca="false">ROUND($O1547*$Q1547,2)</f>
        <v>5778.3</v>
      </c>
      <c r="T1547" s="65" t="n">
        <f aca="false">ROUND($R1547*SUMIFS(Parametros!$E$28:$E$43,Parametros!$B$28:$B$43,$J1547,Parametros!$C$28:$C$43,$C1547,Parametros!$D$28:$D$43,$D1547),2)</f>
        <v>587.64</v>
      </c>
      <c r="U1547" s="65" t="n">
        <f aca="false">$R1547-$S1547-$T1547</f>
        <v>1575.11</v>
      </c>
      <c r="V1547" s="66" t="n">
        <f aca="false">IFERROR($U1547/$R1547,0)</f>
        <v>0.198350344098073</v>
      </c>
      <c r="W1547" s="67" t="str">
        <f aca="false">IF(AND($V1547&gt;=Parametros!$C$8,$R1547&gt;=Parametros!$C$12),"Alta rentabilidad",IF(OR($V1547&lt;Parametros!$C$11,$R1547&lt;Parametros!$C$13),"Revisar","Estandar"))</f>
        <v>Revisar</v>
      </c>
      <c r="X1547" s="67" t="str">
        <f aca="false">IF(AND($J1547="E-commerce",IFERROR($T1547/$R1547,0)&gt;Parametros!$C$14),"Alerta","OK")</f>
        <v>Alerta</v>
      </c>
      <c r="Y1547" s="61" t="str">
        <f aca="false">IF($R1547&gt;=Parametros!$C$12,"Alto",IF($R1547&lt;Parametros!$C$13,"Bajo","Medio"))</f>
        <v>Alto</v>
      </c>
      <c r="Z1547" s="61" t="n">
        <v>2320</v>
      </c>
      <c r="AA1547" s="61" t="str">
        <f aca="false">IF(MATCH($A1547,Datos_Origen!$A$2:$A$2459,0)=$Z1547,"OK","REVISAR")</f>
        <v>OK</v>
      </c>
      <c r="AB1547" s="62" t="n">
        <f aca="false">INDEX(Datos_Origen!$B$2:$B$2459,$Z1547)</f>
        <v>45770</v>
      </c>
      <c r="AC1547" s="61" t="n">
        <f aca="false">INDEX(Datos_Origen!$H$2:$H$2459,$Z1547)</f>
        <v>5</v>
      </c>
      <c r="AD1547" s="61" t="str">
        <f aca="false">INDEX(Datos_Origen!$D$2:$D$2459,$Z1547)&amp;""</f>
        <v>Rosario</v>
      </c>
    </row>
    <row r="1548" customFormat="false" ht="15" hidden="false" customHeight="false" outlineLevel="0" collapsed="false">
      <c r="A1548" s="61" t="n">
        <f aca="false">INDEX(Datos_Origen!$A$2:$A$2459,$Z1548)</f>
        <v>1547</v>
      </c>
      <c r="B1548" s="62" t="n">
        <f aca="false">IF(ISNUMBER($AB1548),$AB1548,IF(MID($AB1548,5,1)="-",DATE(VALUE(LEFT($AB1548,4)),VALUE(MID($AB1548,6,2)),VALUE(RIGHT($AB1548,2))),DATE(VALUE(RIGHT($AB1548,4)),VALUE(MID($AB1548,4,2)),VALUE(LEFT($AB1548,2)))))</f>
        <v>45750</v>
      </c>
      <c r="C1548" s="61" t="n">
        <f aca="false">YEAR($B1548)</f>
        <v>2025</v>
      </c>
      <c r="D1548" s="61" t="str">
        <f aca="false">"Q"&amp;ROUNDUP(MONTH($B1548)/3,0)</f>
        <v>Q2</v>
      </c>
      <c r="E1548" s="61" t="n">
        <f aca="false">MONTH($B1548)</f>
        <v>4</v>
      </c>
      <c r="F1548" s="61" t="str">
        <f aca="false">INDEX(Parametros!$I$5:$I$16,$E1548)</f>
        <v>Abr</v>
      </c>
      <c r="G1548" s="61" t="str">
        <f aca="false">TEXT($C1548,"0000")&amp;"-"&amp;TEXT($E1548,"00")</f>
        <v>2025-04</v>
      </c>
      <c r="H1548" s="61" t="str">
        <f aca="false">INDEX(Parametros!$C$71:$C$91,MATCH(TRIM(INDEX(Datos_Origen!$C$2:$C$2459,$Z1548)),Parametros!$B$71:$B$91,0))</f>
        <v>Litoral</v>
      </c>
      <c r="I1548" s="61" t="str">
        <f aca="false">IF(TRIM($AD1548)="",INDEX(Parametros!$I$20:$I$24,MATCH($H1548,Parametros!$H$20:$H$24,0)),TRIM($AD1548))</f>
        <v>Rosario</v>
      </c>
      <c r="J1548" s="61" t="str">
        <f aca="false">INDEX(Parametros!$C$95:$C$106,MATCH(TRIM(INDEX(Datos_Origen!$E$2:$E$2459,$Z1548)),Parametros!$B$95:$B$106,0))</f>
        <v>Tienda fisica</v>
      </c>
      <c r="K1548" s="61" t="str">
        <f aca="false">INDEX(Parametros!$C$48:$C$67,MATCH(TRIM(INDEX(Datos_Origen!$F$2:$F$2459,$Z1548)),Parametros!$B$48:$B$67,0))</f>
        <v>Accesorios</v>
      </c>
      <c r="L1548" s="61" t="str">
        <f aca="false">$K1548&amp;" "&amp;$C1548</f>
        <v>Accesorios 2025</v>
      </c>
      <c r="M1548" s="61" t="str">
        <f aca="false">TRIM(INDEX(Datos_Origen!$G$2:$G$2459,$Z1548))</f>
        <v>Mouse Inalambrico</v>
      </c>
      <c r="N1548" s="61" t="str">
        <f aca="false">$M1548&amp;" "&amp;$C1548</f>
        <v>Mouse Inalambrico 2025</v>
      </c>
      <c r="O1548" s="63" t="n">
        <f aca="false">IF(ISTEXT($AC1548),VALUE($AC1548),$AC1548)</f>
        <v>36</v>
      </c>
      <c r="P1548" s="64" t="n">
        <f aca="false">INDEX(Datos_Origen!$I$2:$I$2459,$Z1548)</f>
        <v>27.82</v>
      </c>
      <c r="Q1548" s="64" t="n">
        <f aca="false">INDEX(Datos_Origen!$J$2:$J$2459,$Z1548)</f>
        <v>13.84</v>
      </c>
      <c r="R1548" s="65" t="n">
        <f aca="false">ROUND($O1548*$P1548,2)</f>
        <v>1001.52</v>
      </c>
      <c r="S1548" s="65" t="n">
        <f aca="false">ROUND($O1548*$Q1548,2)</f>
        <v>498.24</v>
      </c>
      <c r="T1548" s="65" t="n">
        <f aca="false">ROUND($R1548*SUMIFS(Parametros!$E$28:$E$43,Parametros!$B$28:$B$43,$J1548,Parametros!$C$28:$C$43,$C1548,Parametros!$D$28:$D$43,$D1548),2)</f>
        <v>14.02</v>
      </c>
      <c r="U1548" s="65" t="n">
        <f aca="false">$R1548-$S1548-$T1548</f>
        <v>489.26</v>
      </c>
      <c r="V1548" s="66" t="n">
        <f aca="false">IFERROR($U1548/$R1548,0)</f>
        <v>0.488517453470725</v>
      </c>
      <c r="W1548" s="67" t="str">
        <f aca="false">IF(AND($V1548&gt;=Parametros!$C$8,$R1548&gt;=Parametros!$C$12),"Alta rentabilidad",IF(OR($V1548&lt;Parametros!$C$11,$R1548&lt;Parametros!$C$13),"Revisar","Estandar"))</f>
        <v>Estandar</v>
      </c>
      <c r="X1548" s="67" t="str">
        <f aca="false">IF(AND($J1548="E-commerce",IFERROR($T1548/$R1548,0)&gt;Parametros!$C$14),"Alerta","OK")</f>
        <v>OK</v>
      </c>
      <c r="Y1548" s="61" t="str">
        <f aca="false">IF($R1548&gt;=Parametros!$C$12,"Alto",IF($R1548&lt;Parametros!$C$13,"Bajo","Medio"))</f>
        <v>Medio</v>
      </c>
      <c r="Z1548" s="61" t="n">
        <v>2294</v>
      </c>
      <c r="AA1548" s="61" t="str">
        <f aca="false">IF(MATCH($A1548,Datos_Origen!$A$2:$A$2459,0)=$Z1548,"OK","REVISAR")</f>
        <v>OK</v>
      </c>
      <c r="AB1548" s="62" t="n">
        <f aca="false">INDEX(Datos_Origen!$B$2:$B$2459,$Z1548)</f>
        <v>45750</v>
      </c>
      <c r="AC1548" s="61" t="n">
        <f aca="false">INDEX(Datos_Origen!$H$2:$H$2459,$Z1548)</f>
        <v>36</v>
      </c>
      <c r="AD1548" s="61" t="str">
        <f aca="false">INDEX(Datos_Origen!$D$2:$D$2459,$Z1548)&amp;""</f>
        <v>Rosario</v>
      </c>
    </row>
    <row r="1549" customFormat="false" ht="15" hidden="false" customHeight="false" outlineLevel="0" collapsed="false">
      <c r="A1549" s="61" t="n">
        <f aca="false">INDEX(Datos_Origen!$A$2:$A$2459,$Z1549)</f>
        <v>1548</v>
      </c>
      <c r="B1549" s="62" t="n">
        <f aca="false">IF(ISNUMBER($AB1549),$AB1549,IF(MID($AB1549,5,1)="-",DATE(VALUE(LEFT($AB1549,4)),VALUE(MID($AB1549,6,2)),VALUE(RIGHT($AB1549,2))),DATE(VALUE(RIGHT($AB1549,4)),VALUE(MID($AB1549,4,2)),VALUE(LEFT($AB1549,2)))))</f>
        <v>45757</v>
      </c>
      <c r="C1549" s="61" t="n">
        <f aca="false">YEAR($B1549)</f>
        <v>2025</v>
      </c>
      <c r="D1549" s="61" t="str">
        <f aca="false">"Q"&amp;ROUNDUP(MONTH($B1549)/3,0)</f>
        <v>Q2</v>
      </c>
      <c r="E1549" s="61" t="n">
        <f aca="false">MONTH($B1549)</f>
        <v>4</v>
      </c>
      <c r="F1549" s="61" t="str">
        <f aca="false">INDEX(Parametros!$I$5:$I$16,$E1549)</f>
        <v>Abr</v>
      </c>
      <c r="G1549" s="61" t="str">
        <f aca="false">TEXT($C1549,"0000")&amp;"-"&amp;TEXT($E1549,"00")</f>
        <v>2025-04</v>
      </c>
      <c r="H1549" s="61" t="str">
        <f aca="false">INDEX(Parametros!$C$71:$C$91,MATCH(TRIM(INDEX(Datos_Origen!$C$2:$C$2459,$Z1549)),Parametros!$B$71:$B$91,0))</f>
        <v>Litoral</v>
      </c>
      <c r="I1549" s="61" t="str">
        <f aca="false">IF(TRIM($AD1549)="",INDEX(Parametros!$I$20:$I$24,MATCH($H1549,Parametros!$H$20:$H$24,0)),TRIM($AD1549))</f>
        <v>Rosario</v>
      </c>
      <c r="J1549" s="61" t="str">
        <f aca="false">INDEX(Parametros!$C$95:$C$106,MATCH(TRIM(INDEX(Datos_Origen!$E$2:$E$2459,$Z1549)),Parametros!$B$95:$B$106,0))</f>
        <v>E-commerce</v>
      </c>
      <c r="K1549" s="61" t="str">
        <f aca="false">INDEX(Parametros!$C$48:$C$67,MATCH(TRIM(INDEX(Datos_Origen!$F$2:$F$2459,$Z1549)),Parametros!$B$48:$B$67,0))</f>
        <v>Accesorios</v>
      </c>
      <c r="L1549" s="61" t="str">
        <f aca="false">$K1549&amp;" "&amp;$C1549</f>
        <v>Accesorios 2025</v>
      </c>
      <c r="M1549" s="61" t="str">
        <f aca="false">TRIM(INDEX(Datos_Origen!$G$2:$G$2459,$Z1549))</f>
        <v>Mouse Inalambrico</v>
      </c>
      <c r="N1549" s="61" t="str">
        <f aca="false">$M1549&amp;" "&amp;$C1549</f>
        <v>Mouse Inalambrico 2025</v>
      </c>
      <c r="O1549" s="63" t="n">
        <f aca="false">IF(ISTEXT($AC1549),VALUE($AC1549),$AC1549)</f>
        <v>25</v>
      </c>
      <c r="P1549" s="64" t="n">
        <f aca="false">INDEX(Datos_Origen!$I$2:$I$2459,$Z1549)</f>
        <v>27.82</v>
      </c>
      <c r="Q1549" s="64" t="n">
        <f aca="false">INDEX(Datos_Origen!$J$2:$J$2459,$Z1549)</f>
        <v>13.84</v>
      </c>
      <c r="R1549" s="65" t="n">
        <f aca="false">ROUND($O1549*$P1549,2)</f>
        <v>695.5</v>
      </c>
      <c r="S1549" s="65" t="n">
        <f aca="false">ROUND($O1549*$Q1549,2)</f>
        <v>346</v>
      </c>
      <c r="T1549" s="65" t="n">
        <f aca="false">ROUND($R1549*SUMIFS(Parametros!$E$28:$E$43,Parametros!$B$28:$B$43,$J1549,Parametros!$C$28:$C$43,$C1549,Parametros!$D$28:$D$43,$D1549),2)</f>
        <v>51.47</v>
      </c>
      <c r="U1549" s="65" t="n">
        <f aca="false">$R1549-$S1549-$T1549</f>
        <v>298.03</v>
      </c>
      <c r="V1549" s="66" t="n">
        <f aca="false">IFERROR($U1549/$R1549,0)</f>
        <v>0.428511861969806</v>
      </c>
      <c r="W1549" s="67" t="str">
        <f aca="false">IF(AND($V1549&gt;=Parametros!$C$8,$R1549&gt;=Parametros!$C$12),"Alta rentabilidad",IF(OR($V1549&lt;Parametros!$C$11,$R1549&lt;Parametros!$C$13),"Revisar","Estandar"))</f>
        <v>Estandar</v>
      </c>
      <c r="X1549" s="67" t="str">
        <f aca="false">IF(AND($J1549="E-commerce",IFERROR($T1549/$R1549,0)&gt;Parametros!$C$14),"Alerta","OK")</f>
        <v>Alerta</v>
      </c>
      <c r="Y1549" s="61" t="str">
        <f aca="false">IF($R1549&gt;=Parametros!$C$12,"Alto",IF($R1549&lt;Parametros!$C$13,"Bajo","Medio"))</f>
        <v>Medio</v>
      </c>
      <c r="Z1549" s="61" t="n">
        <v>380</v>
      </c>
      <c r="AA1549" s="61" t="str">
        <f aca="false">IF(MATCH($A1549,Datos_Origen!$A$2:$A$2459,0)=$Z1549,"OK","REVISAR")</f>
        <v>OK</v>
      </c>
      <c r="AB1549" s="62" t="n">
        <f aca="false">INDEX(Datos_Origen!$B$2:$B$2459,$Z1549)</f>
        <v>45757</v>
      </c>
      <c r="AC1549" s="61" t="n">
        <f aca="false">INDEX(Datos_Origen!$H$2:$H$2459,$Z1549)</f>
        <v>25</v>
      </c>
      <c r="AD1549" s="61" t="str">
        <f aca="false">INDEX(Datos_Origen!$D$2:$D$2459,$Z1549)&amp;""</f>
        <v>Rosario</v>
      </c>
    </row>
    <row r="1550" customFormat="false" ht="15" hidden="false" customHeight="false" outlineLevel="0" collapsed="false">
      <c r="A1550" s="61" t="n">
        <f aca="false">INDEX(Datos_Origen!$A$2:$A$2459,$Z1550)</f>
        <v>1549</v>
      </c>
      <c r="B1550" s="62" t="n">
        <f aca="false">IF(ISNUMBER($AB1550),$AB1550,IF(MID($AB1550,5,1)="-",DATE(VALUE(LEFT($AB1550,4)),VALUE(MID($AB1550,6,2)),VALUE(RIGHT($AB1550,2))),DATE(VALUE(RIGHT($AB1550,4)),VALUE(MID($AB1550,4,2)),VALUE(LEFT($AB1550,2)))))</f>
        <v>45764</v>
      </c>
      <c r="C1550" s="61" t="n">
        <f aca="false">YEAR($B1550)</f>
        <v>2025</v>
      </c>
      <c r="D1550" s="61" t="str">
        <f aca="false">"Q"&amp;ROUNDUP(MONTH($B1550)/3,0)</f>
        <v>Q2</v>
      </c>
      <c r="E1550" s="61" t="n">
        <f aca="false">MONTH($B1550)</f>
        <v>4</v>
      </c>
      <c r="F1550" s="61" t="str">
        <f aca="false">INDEX(Parametros!$I$5:$I$16,$E1550)</f>
        <v>Abr</v>
      </c>
      <c r="G1550" s="61" t="str">
        <f aca="false">TEXT($C1550,"0000")&amp;"-"&amp;TEXT($E1550,"00")</f>
        <v>2025-04</v>
      </c>
      <c r="H1550" s="61" t="str">
        <f aca="false">INDEX(Parametros!$C$71:$C$91,MATCH(TRIM(INDEX(Datos_Origen!$C$2:$C$2459,$Z1550)),Parametros!$B$71:$B$91,0))</f>
        <v>Litoral</v>
      </c>
      <c r="I1550" s="61" t="str">
        <f aca="false">IF(TRIM($AD1550)="",INDEX(Parametros!$I$20:$I$24,MATCH($H1550,Parametros!$H$20:$H$24,0)),TRIM($AD1550))</f>
        <v>Rosario</v>
      </c>
      <c r="J1550" s="61" t="str">
        <f aca="false">INDEX(Parametros!$C$95:$C$106,MATCH(TRIM(INDEX(Datos_Origen!$E$2:$E$2459,$Z1550)),Parametros!$B$95:$B$106,0))</f>
        <v>Tienda fisica</v>
      </c>
      <c r="K1550" s="61" t="str">
        <f aca="false">INDEX(Parametros!$C$48:$C$67,MATCH(TRIM(INDEX(Datos_Origen!$F$2:$F$2459,$Z1550)),Parametros!$B$48:$B$67,0))</f>
        <v>Accesorios</v>
      </c>
      <c r="L1550" s="61" t="str">
        <f aca="false">$K1550&amp;" "&amp;$C1550</f>
        <v>Accesorios 2025</v>
      </c>
      <c r="M1550" s="61" t="str">
        <f aca="false">TRIM(INDEX(Datos_Origen!$G$2:$G$2459,$Z1550))</f>
        <v>Teclado Mecanico</v>
      </c>
      <c r="N1550" s="61" t="str">
        <f aca="false">$M1550&amp;" "&amp;$C1550</f>
        <v>Teclado Mecanico 2025</v>
      </c>
      <c r="O1550" s="63" t="n">
        <f aca="false">IF(ISTEXT($AC1550),VALUE($AC1550),$AC1550)</f>
        <v>34</v>
      </c>
      <c r="P1550" s="64" t="n">
        <f aca="false">INDEX(Datos_Origen!$I$2:$I$2459,$Z1550)</f>
        <v>94.39</v>
      </c>
      <c r="Q1550" s="64" t="n">
        <f aca="false">INDEX(Datos_Origen!$J$2:$J$2459,$Z1550)</f>
        <v>49.41</v>
      </c>
      <c r="R1550" s="65" t="n">
        <f aca="false">ROUND($O1550*$P1550,2)</f>
        <v>3209.26</v>
      </c>
      <c r="S1550" s="65" t="n">
        <f aca="false">ROUND($O1550*$Q1550,2)</f>
        <v>1679.94</v>
      </c>
      <c r="T1550" s="65" t="n">
        <f aca="false">ROUND($R1550*SUMIFS(Parametros!$E$28:$E$43,Parametros!$B$28:$B$43,$J1550,Parametros!$C$28:$C$43,$C1550,Parametros!$D$28:$D$43,$D1550),2)</f>
        <v>44.93</v>
      </c>
      <c r="U1550" s="65" t="n">
        <f aca="false">$R1550-$S1550-$T1550</f>
        <v>1484.39</v>
      </c>
      <c r="V1550" s="66" t="n">
        <f aca="false">IFERROR($U1550/$R1550,0)</f>
        <v>0.462533418919003</v>
      </c>
      <c r="W1550" s="67" t="str">
        <f aca="false">IF(AND($V1550&gt;=Parametros!$C$8,$R1550&gt;=Parametros!$C$12),"Alta rentabilidad",IF(OR($V1550&lt;Parametros!$C$11,$R1550&lt;Parametros!$C$13),"Revisar","Estandar"))</f>
        <v>Alta rentabilidad</v>
      </c>
      <c r="X1550" s="67" t="str">
        <f aca="false">IF(AND($J1550="E-commerce",IFERROR($T1550/$R1550,0)&gt;Parametros!$C$14),"Alerta","OK")</f>
        <v>OK</v>
      </c>
      <c r="Y1550" s="61" t="str">
        <f aca="false">IF($R1550&gt;=Parametros!$C$12,"Alto",IF($R1550&lt;Parametros!$C$13,"Bajo","Medio"))</f>
        <v>Alto</v>
      </c>
      <c r="Z1550" s="61" t="n">
        <v>2309</v>
      </c>
      <c r="AA1550" s="61" t="str">
        <f aca="false">IF(MATCH($A1550,Datos_Origen!$A$2:$A$2459,0)=$Z1550,"OK","REVISAR")</f>
        <v>OK</v>
      </c>
      <c r="AB1550" s="62" t="n">
        <f aca="false">INDEX(Datos_Origen!$B$2:$B$2459,$Z1550)</f>
        <v>45764</v>
      </c>
      <c r="AC1550" s="61" t="n">
        <f aca="false">INDEX(Datos_Origen!$H$2:$H$2459,$Z1550)</f>
        <v>34</v>
      </c>
      <c r="AD1550" s="61" t="str">
        <f aca="false">INDEX(Datos_Origen!$D$2:$D$2459,$Z1550)&amp;""</f>
        <v>Rosario</v>
      </c>
    </row>
    <row r="1551" customFormat="false" ht="15" hidden="false" customHeight="false" outlineLevel="0" collapsed="false">
      <c r="A1551" s="61" t="n">
        <f aca="false">INDEX(Datos_Origen!$A$2:$A$2459,$Z1551)</f>
        <v>1550</v>
      </c>
      <c r="B1551" s="62" t="n">
        <f aca="false">IF(ISNUMBER($AB1551),$AB1551,IF(MID($AB1551,5,1)="-",DATE(VALUE(LEFT($AB1551,4)),VALUE(MID($AB1551,6,2)),VALUE(RIGHT($AB1551,2))),DATE(VALUE(RIGHT($AB1551,4)),VALUE(MID($AB1551,4,2)),VALUE(LEFT($AB1551,2)))))</f>
        <v>45771</v>
      </c>
      <c r="C1551" s="61" t="n">
        <f aca="false">YEAR($B1551)</f>
        <v>2025</v>
      </c>
      <c r="D1551" s="61" t="str">
        <f aca="false">"Q"&amp;ROUNDUP(MONTH($B1551)/3,0)</f>
        <v>Q2</v>
      </c>
      <c r="E1551" s="61" t="n">
        <f aca="false">MONTH($B1551)</f>
        <v>4</v>
      </c>
      <c r="F1551" s="61" t="str">
        <f aca="false">INDEX(Parametros!$I$5:$I$16,$E1551)</f>
        <v>Abr</v>
      </c>
      <c r="G1551" s="61" t="str">
        <f aca="false">TEXT($C1551,"0000")&amp;"-"&amp;TEXT($E1551,"00")</f>
        <v>2025-04</v>
      </c>
      <c r="H1551" s="61" t="str">
        <f aca="false">INDEX(Parametros!$C$71:$C$91,MATCH(TRIM(INDEX(Datos_Origen!$C$2:$C$2459,$Z1551)),Parametros!$B$71:$B$91,0))</f>
        <v>Litoral</v>
      </c>
      <c r="I1551" s="61" t="str">
        <f aca="false">IF(TRIM($AD1551)="",INDEX(Parametros!$I$20:$I$24,MATCH($H1551,Parametros!$H$20:$H$24,0)),TRIM($AD1551))</f>
        <v>Rosario</v>
      </c>
      <c r="J1551" s="61" t="str">
        <f aca="false">INDEX(Parametros!$C$95:$C$106,MATCH(TRIM(INDEX(Datos_Origen!$E$2:$E$2459,$Z1551)),Parametros!$B$95:$B$106,0))</f>
        <v>E-commerce</v>
      </c>
      <c r="K1551" s="61" t="str">
        <f aca="false">INDEX(Parametros!$C$48:$C$67,MATCH(TRIM(INDEX(Datos_Origen!$F$2:$F$2459,$Z1551)),Parametros!$B$48:$B$67,0))</f>
        <v>Accesorios</v>
      </c>
      <c r="L1551" s="61" t="str">
        <f aca="false">$K1551&amp;" "&amp;$C1551</f>
        <v>Accesorios 2025</v>
      </c>
      <c r="M1551" s="61" t="str">
        <f aca="false">TRIM(INDEX(Datos_Origen!$G$2:$G$2459,$Z1551))</f>
        <v>Teclado Mecanico</v>
      </c>
      <c r="N1551" s="61" t="str">
        <f aca="false">$M1551&amp;" "&amp;$C1551</f>
        <v>Teclado Mecanico 2025</v>
      </c>
      <c r="O1551" s="63" t="n">
        <f aca="false">IF(ISTEXT($AC1551),VALUE($AC1551),$AC1551)</f>
        <v>28</v>
      </c>
      <c r="P1551" s="64" t="n">
        <f aca="false">INDEX(Datos_Origen!$I$2:$I$2459,$Z1551)</f>
        <v>94.39</v>
      </c>
      <c r="Q1551" s="64" t="n">
        <f aca="false">INDEX(Datos_Origen!$J$2:$J$2459,$Z1551)</f>
        <v>49.41</v>
      </c>
      <c r="R1551" s="65" t="n">
        <f aca="false">ROUND($O1551*$P1551,2)</f>
        <v>2642.92</v>
      </c>
      <c r="S1551" s="65" t="n">
        <f aca="false">ROUND($O1551*$Q1551,2)</f>
        <v>1383.48</v>
      </c>
      <c r="T1551" s="65" t="n">
        <f aca="false">ROUND($R1551*SUMIFS(Parametros!$E$28:$E$43,Parametros!$B$28:$B$43,$J1551,Parametros!$C$28:$C$43,$C1551,Parametros!$D$28:$D$43,$D1551),2)</f>
        <v>195.58</v>
      </c>
      <c r="U1551" s="65" t="n">
        <f aca="false">$R1551-$S1551-$T1551</f>
        <v>1063.86</v>
      </c>
      <c r="V1551" s="66" t="n">
        <f aca="false">IFERROR($U1551/$R1551,0)</f>
        <v>0.402532047886429</v>
      </c>
      <c r="W1551" s="67" t="str">
        <f aca="false">IF(AND($V1551&gt;=Parametros!$C$8,$R1551&gt;=Parametros!$C$12),"Alta rentabilidad",IF(OR($V1551&lt;Parametros!$C$11,$R1551&lt;Parametros!$C$13),"Revisar","Estandar"))</f>
        <v>Estandar</v>
      </c>
      <c r="X1551" s="67" t="str">
        <f aca="false">IF(AND($J1551="E-commerce",IFERROR($T1551/$R1551,0)&gt;Parametros!$C$14),"Alerta","OK")</f>
        <v>Alerta</v>
      </c>
      <c r="Y1551" s="61" t="str">
        <f aca="false">IF($R1551&gt;=Parametros!$C$12,"Alto",IF($R1551&lt;Parametros!$C$13,"Bajo","Medio"))</f>
        <v>Medio</v>
      </c>
      <c r="Z1551" s="61" t="n">
        <v>1003</v>
      </c>
      <c r="AA1551" s="61" t="str">
        <f aca="false">IF(MATCH($A1551,Datos_Origen!$A$2:$A$2459,0)=$Z1551,"OK","REVISAR")</f>
        <v>OK</v>
      </c>
      <c r="AB1551" s="62" t="n">
        <f aca="false">INDEX(Datos_Origen!$B$2:$B$2459,$Z1551)</f>
        <v>45771</v>
      </c>
      <c r="AC1551" s="61" t="n">
        <f aca="false">INDEX(Datos_Origen!$H$2:$H$2459,$Z1551)</f>
        <v>28</v>
      </c>
      <c r="AD1551" s="61" t="str">
        <f aca="false">INDEX(Datos_Origen!$D$2:$D$2459,$Z1551)&amp;""</f>
        <v>Rosario</v>
      </c>
    </row>
    <row r="1552" customFormat="false" ht="15" hidden="false" customHeight="false" outlineLevel="0" collapsed="false">
      <c r="A1552" s="61" t="n">
        <f aca="false">INDEX(Datos_Origen!$A$2:$A$2459,$Z1552)</f>
        <v>1551</v>
      </c>
      <c r="B1552" s="62" t="n">
        <f aca="false">IF(ISNUMBER($AB1552),$AB1552,IF(MID($AB1552,5,1)="-",DATE(VALUE(LEFT($AB1552,4)),VALUE(MID($AB1552,6,2)),VALUE(RIGHT($AB1552,2))),DATE(VALUE(RIGHT($AB1552,4)),VALUE(MID($AB1552,4,2)),VALUE(LEFT($AB1552,2)))))</f>
        <v>45751</v>
      </c>
      <c r="C1552" s="61" t="n">
        <f aca="false">YEAR($B1552)</f>
        <v>2025</v>
      </c>
      <c r="D1552" s="61" t="str">
        <f aca="false">"Q"&amp;ROUNDUP(MONTH($B1552)/3,0)</f>
        <v>Q2</v>
      </c>
      <c r="E1552" s="61" t="n">
        <f aca="false">MONTH($B1552)</f>
        <v>4</v>
      </c>
      <c r="F1552" s="61" t="str">
        <f aca="false">INDEX(Parametros!$I$5:$I$16,$E1552)</f>
        <v>Abr</v>
      </c>
      <c r="G1552" s="61" t="str">
        <f aca="false">TEXT($C1552,"0000")&amp;"-"&amp;TEXT($E1552,"00")</f>
        <v>2025-04</v>
      </c>
      <c r="H1552" s="61" t="str">
        <f aca="false">INDEX(Parametros!$C$71:$C$91,MATCH(TRIM(INDEX(Datos_Origen!$C$2:$C$2459,$Z1552)),Parametros!$B$71:$B$91,0))</f>
        <v>Litoral</v>
      </c>
      <c r="I1552" s="61" t="str">
        <f aca="false">IF(TRIM($AD1552)="",INDEX(Parametros!$I$20:$I$24,MATCH($H1552,Parametros!$H$20:$H$24,0)),TRIM($AD1552))</f>
        <v>Rosario</v>
      </c>
      <c r="J1552" s="61" t="str">
        <f aca="false">INDEX(Parametros!$C$95:$C$106,MATCH(TRIM(INDEX(Datos_Origen!$E$2:$E$2459,$Z1552)),Parametros!$B$95:$B$106,0))</f>
        <v>Tienda fisica</v>
      </c>
      <c r="K1552" s="61" t="str">
        <f aca="false">INDEX(Parametros!$C$48:$C$67,MATCH(TRIM(INDEX(Datos_Origen!$F$2:$F$2459,$Z1552)),Parametros!$B$48:$B$67,0))</f>
        <v>Accesorios</v>
      </c>
      <c r="L1552" s="61" t="str">
        <f aca="false">$K1552&amp;" "&amp;$C1552</f>
        <v>Accesorios 2025</v>
      </c>
      <c r="M1552" s="61" t="str">
        <f aca="false">TRIM(INDEX(Datos_Origen!$G$2:$G$2459,$Z1552))</f>
        <v>Webcam Full HD</v>
      </c>
      <c r="N1552" s="61" t="str">
        <f aca="false">$M1552&amp;" "&amp;$C1552</f>
        <v>Webcam Full HD 2025</v>
      </c>
      <c r="O1552" s="63" t="n">
        <f aca="false">IF(ISTEXT($AC1552),VALUE($AC1552),$AC1552)</f>
        <v>35</v>
      </c>
      <c r="P1552" s="64" t="n">
        <f aca="false">INDEX(Datos_Origen!$I$2:$I$2459,$Z1552)</f>
        <v>64.58</v>
      </c>
      <c r="Q1552" s="64" t="n">
        <f aca="false">INDEX(Datos_Origen!$J$2:$J$2459,$Z1552)</f>
        <v>36.49</v>
      </c>
      <c r="R1552" s="65" t="n">
        <f aca="false">ROUND($O1552*$P1552,2)</f>
        <v>2260.3</v>
      </c>
      <c r="S1552" s="65" t="n">
        <f aca="false">ROUND($O1552*$Q1552,2)</f>
        <v>1277.15</v>
      </c>
      <c r="T1552" s="65" t="n">
        <f aca="false">ROUND($R1552*SUMIFS(Parametros!$E$28:$E$43,Parametros!$B$28:$B$43,$J1552,Parametros!$C$28:$C$43,$C1552,Parametros!$D$28:$D$43,$D1552),2)</f>
        <v>31.64</v>
      </c>
      <c r="U1552" s="65" t="n">
        <f aca="false">$R1552-$S1552-$T1552</f>
        <v>951.51</v>
      </c>
      <c r="V1552" s="66" t="n">
        <f aca="false">IFERROR($U1552/$R1552,0)</f>
        <v>0.420966243419015</v>
      </c>
      <c r="W1552" s="67" t="str">
        <f aca="false">IF(AND($V1552&gt;=Parametros!$C$8,$R1552&gt;=Parametros!$C$12),"Alta rentabilidad",IF(OR($V1552&lt;Parametros!$C$11,$R1552&lt;Parametros!$C$13),"Revisar","Estandar"))</f>
        <v>Estandar</v>
      </c>
      <c r="X1552" s="67" t="str">
        <f aca="false">IF(AND($J1552="E-commerce",IFERROR($T1552/$R1552,0)&gt;Parametros!$C$14),"Alerta","OK")</f>
        <v>OK</v>
      </c>
      <c r="Y1552" s="61" t="str">
        <f aca="false">IF($R1552&gt;=Parametros!$C$12,"Alto",IF($R1552&lt;Parametros!$C$13,"Bajo","Medio"))</f>
        <v>Medio</v>
      </c>
      <c r="Z1552" s="61" t="n">
        <v>1613</v>
      </c>
      <c r="AA1552" s="61" t="str">
        <f aca="false">IF(MATCH($A1552,Datos_Origen!$A$2:$A$2459,0)=$Z1552,"OK","REVISAR")</f>
        <v>OK</v>
      </c>
      <c r="AB1552" s="61" t="str">
        <f aca="false">INDEX(Datos_Origen!$B$2:$B$2459,$Z1552)</f>
        <v>04/04/2025</v>
      </c>
      <c r="AC1552" s="61" t="n">
        <f aca="false">INDEX(Datos_Origen!$H$2:$H$2459,$Z1552)</f>
        <v>35</v>
      </c>
      <c r="AD1552" s="61" t="str">
        <f aca="false">INDEX(Datos_Origen!$D$2:$D$2459,$Z1552)&amp;""</f>
        <v>Rosario</v>
      </c>
    </row>
    <row r="1553" customFormat="false" ht="15" hidden="false" customHeight="false" outlineLevel="0" collapsed="false">
      <c r="A1553" s="61" t="n">
        <f aca="false">INDEX(Datos_Origen!$A$2:$A$2459,$Z1553)</f>
        <v>1552</v>
      </c>
      <c r="B1553" s="62" t="n">
        <f aca="false">IF(ISNUMBER($AB1553),$AB1553,IF(MID($AB1553,5,1)="-",DATE(VALUE(LEFT($AB1553,4)),VALUE(MID($AB1553,6,2)),VALUE(RIGHT($AB1553,2))),DATE(VALUE(RIGHT($AB1553,4)),VALUE(MID($AB1553,4,2)),VALUE(LEFT($AB1553,2)))))</f>
        <v>45758</v>
      </c>
      <c r="C1553" s="61" t="n">
        <f aca="false">YEAR($B1553)</f>
        <v>2025</v>
      </c>
      <c r="D1553" s="61" t="str">
        <f aca="false">"Q"&amp;ROUNDUP(MONTH($B1553)/3,0)</f>
        <v>Q2</v>
      </c>
      <c r="E1553" s="61" t="n">
        <f aca="false">MONTH($B1553)</f>
        <v>4</v>
      </c>
      <c r="F1553" s="61" t="str">
        <f aca="false">INDEX(Parametros!$I$5:$I$16,$E1553)</f>
        <v>Abr</v>
      </c>
      <c r="G1553" s="61" t="str">
        <f aca="false">TEXT($C1553,"0000")&amp;"-"&amp;TEXT($E1553,"00")</f>
        <v>2025-04</v>
      </c>
      <c r="H1553" s="61" t="str">
        <f aca="false">INDEX(Parametros!$C$71:$C$91,MATCH(TRIM(INDEX(Datos_Origen!$C$2:$C$2459,$Z1553)),Parametros!$B$71:$B$91,0))</f>
        <v>Litoral</v>
      </c>
      <c r="I1553" s="61" t="str">
        <f aca="false">IF(TRIM($AD1553)="",INDEX(Parametros!$I$20:$I$24,MATCH($H1553,Parametros!$H$20:$H$24,0)),TRIM($AD1553))</f>
        <v>Rosario</v>
      </c>
      <c r="J1553" s="61" t="str">
        <f aca="false">INDEX(Parametros!$C$95:$C$106,MATCH(TRIM(INDEX(Datos_Origen!$E$2:$E$2459,$Z1553)),Parametros!$B$95:$B$106,0))</f>
        <v>E-commerce</v>
      </c>
      <c r="K1553" s="61" t="str">
        <f aca="false">INDEX(Parametros!$C$48:$C$67,MATCH(TRIM(INDEX(Datos_Origen!$F$2:$F$2459,$Z1553)),Parametros!$B$48:$B$67,0))</f>
        <v>Accesorios</v>
      </c>
      <c r="L1553" s="61" t="str">
        <f aca="false">$K1553&amp;" "&amp;$C1553</f>
        <v>Accesorios 2025</v>
      </c>
      <c r="M1553" s="61" t="str">
        <f aca="false">TRIM(INDEX(Datos_Origen!$G$2:$G$2459,$Z1553))</f>
        <v>Webcam Full HD</v>
      </c>
      <c r="N1553" s="61" t="str">
        <f aca="false">$M1553&amp;" "&amp;$C1553</f>
        <v>Webcam Full HD 2025</v>
      </c>
      <c r="O1553" s="63" t="n">
        <f aca="false">IF(ISTEXT($AC1553),VALUE($AC1553),$AC1553)</f>
        <v>21</v>
      </c>
      <c r="P1553" s="64" t="n">
        <f aca="false">INDEX(Datos_Origen!$I$2:$I$2459,$Z1553)</f>
        <v>64.58</v>
      </c>
      <c r="Q1553" s="64" t="n">
        <f aca="false">INDEX(Datos_Origen!$J$2:$J$2459,$Z1553)</f>
        <v>36.49</v>
      </c>
      <c r="R1553" s="65" t="n">
        <f aca="false">ROUND($O1553*$P1553,2)</f>
        <v>1356.18</v>
      </c>
      <c r="S1553" s="65" t="n">
        <f aca="false">ROUND($O1553*$Q1553,2)</f>
        <v>766.29</v>
      </c>
      <c r="T1553" s="65" t="n">
        <f aca="false">ROUND($R1553*SUMIFS(Parametros!$E$28:$E$43,Parametros!$B$28:$B$43,$J1553,Parametros!$C$28:$C$43,$C1553,Parametros!$D$28:$D$43,$D1553),2)</f>
        <v>100.36</v>
      </c>
      <c r="U1553" s="65" t="n">
        <f aca="false">$R1553-$S1553-$T1553</f>
        <v>489.53</v>
      </c>
      <c r="V1553" s="66" t="n">
        <f aca="false">IFERROR($U1553/$R1553,0)</f>
        <v>0.360962409119733</v>
      </c>
      <c r="W1553" s="67" t="str">
        <f aca="false">IF(AND($V1553&gt;=Parametros!$C$8,$R1553&gt;=Parametros!$C$12),"Alta rentabilidad",IF(OR($V1553&lt;Parametros!$C$11,$R1553&lt;Parametros!$C$13),"Revisar","Estandar"))</f>
        <v>Estandar</v>
      </c>
      <c r="X1553" s="67" t="str">
        <f aca="false">IF(AND($J1553="E-commerce",IFERROR($T1553/$R1553,0)&gt;Parametros!$C$14),"Alerta","OK")</f>
        <v>Alerta</v>
      </c>
      <c r="Y1553" s="61" t="str">
        <f aca="false">IF($R1553&gt;=Parametros!$C$12,"Alto",IF($R1553&lt;Parametros!$C$13,"Bajo","Medio"))</f>
        <v>Medio</v>
      </c>
      <c r="Z1553" s="61" t="n">
        <v>1540</v>
      </c>
      <c r="AA1553" s="61" t="str">
        <f aca="false">IF(MATCH($A1553,Datos_Origen!$A$2:$A$2459,0)=$Z1553,"OK","REVISAR")</f>
        <v>OK</v>
      </c>
      <c r="AB1553" s="61" t="str">
        <f aca="false">INDEX(Datos_Origen!$B$2:$B$2459,$Z1553)</f>
        <v>11/04/2025</v>
      </c>
      <c r="AC1553" s="61" t="n">
        <f aca="false">INDEX(Datos_Origen!$H$2:$H$2459,$Z1553)</f>
        <v>21</v>
      </c>
      <c r="AD1553" s="61" t="str">
        <f aca="false">INDEX(Datos_Origen!$D$2:$D$2459,$Z1553)&amp;""</f>
        <v>Rosario</v>
      </c>
    </row>
    <row r="1554" customFormat="false" ht="15" hidden="false" customHeight="false" outlineLevel="0" collapsed="false">
      <c r="A1554" s="61" t="n">
        <f aca="false">INDEX(Datos_Origen!$A$2:$A$2459,$Z1554)</f>
        <v>1553</v>
      </c>
      <c r="B1554" s="62" t="n">
        <f aca="false">IF(ISNUMBER($AB1554),$AB1554,IF(MID($AB1554,5,1)="-",DATE(VALUE(LEFT($AB1554,4)),VALUE(MID($AB1554,6,2)),VALUE(RIGHT($AB1554,2))),DATE(VALUE(RIGHT($AB1554,4)),VALUE(MID($AB1554,4,2)),VALUE(LEFT($AB1554,2)))))</f>
        <v>45765</v>
      </c>
      <c r="C1554" s="61" t="n">
        <f aca="false">YEAR($B1554)</f>
        <v>2025</v>
      </c>
      <c r="D1554" s="61" t="str">
        <f aca="false">"Q"&amp;ROUNDUP(MONTH($B1554)/3,0)</f>
        <v>Q2</v>
      </c>
      <c r="E1554" s="61" t="n">
        <f aca="false">MONTH($B1554)</f>
        <v>4</v>
      </c>
      <c r="F1554" s="61" t="str">
        <f aca="false">INDEX(Parametros!$I$5:$I$16,$E1554)</f>
        <v>Abr</v>
      </c>
      <c r="G1554" s="61" t="str">
        <f aca="false">TEXT($C1554,"0000")&amp;"-"&amp;TEXT($E1554,"00")</f>
        <v>2025-04</v>
      </c>
      <c r="H1554" s="61" t="str">
        <f aca="false">INDEX(Parametros!$C$71:$C$91,MATCH(TRIM(INDEX(Datos_Origen!$C$2:$C$2459,$Z1554)),Parametros!$B$71:$B$91,0))</f>
        <v>Litoral</v>
      </c>
      <c r="I1554" s="61" t="str">
        <f aca="false">IF(TRIM($AD1554)="",INDEX(Parametros!$I$20:$I$24,MATCH($H1554,Parametros!$H$20:$H$24,0)),TRIM($AD1554))</f>
        <v>Rosario</v>
      </c>
      <c r="J1554" s="61" t="str">
        <f aca="false">INDEX(Parametros!$C$95:$C$106,MATCH(TRIM(INDEX(Datos_Origen!$E$2:$E$2459,$Z1554)),Parametros!$B$95:$B$106,0))</f>
        <v>Tienda fisica</v>
      </c>
      <c r="K1554" s="61" t="str">
        <f aca="false">INDEX(Parametros!$C$48:$C$67,MATCH(TRIM(INDEX(Datos_Origen!$F$2:$F$2459,$Z1554)),Parametros!$B$48:$B$67,0))</f>
        <v>Audio</v>
      </c>
      <c r="L1554" s="61" t="str">
        <f aca="false">$K1554&amp;" "&amp;$C1554</f>
        <v>Audio 2025</v>
      </c>
      <c r="M1554" s="61" t="str">
        <f aca="false">TRIM(INDEX(Datos_Origen!$G$2:$G$2459,$Z1554))</f>
        <v>Auriculares BT Pro</v>
      </c>
      <c r="N1554" s="61" t="str">
        <f aca="false">$M1554&amp;" "&amp;$C1554</f>
        <v>Auriculares BT Pro 2025</v>
      </c>
      <c r="O1554" s="63" t="n">
        <f aca="false">IF(ISTEXT($AC1554),VALUE($AC1554),$AC1554)</f>
        <v>20</v>
      </c>
      <c r="P1554" s="64" t="n">
        <f aca="false">INDEX(Datos_Origen!$I$2:$I$2459,$Z1554)</f>
        <v>119.23</v>
      </c>
      <c r="Q1554" s="64" t="n">
        <f aca="false">INDEX(Datos_Origen!$J$2:$J$2459,$Z1554)</f>
        <v>65.51</v>
      </c>
      <c r="R1554" s="65" t="n">
        <f aca="false">ROUND($O1554*$P1554,2)</f>
        <v>2384.6</v>
      </c>
      <c r="S1554" s="65" t="n">
        <f aca="false">ROUND($O1554*$Q1554,2)</f>
        <v>1310.2</v>
      </c>
      <c r="T1554" s="65" t="n">
        <f aca="false">ROUND($R1554*SUMIFS(Parametros!$E$28:$E$43,Parametros!$B$28:$B$43,$J1554,Parametros!$C$28:$C$43,$C1554,Parametros!$D$28:$D$43,$D1554),2)</f>
        <v>33.38</v>
      </c>
      <c r="U1554" s="65" t="n">
        <f aca="false">$R1554-$S1554-$T1554</f>
        <v>1041.02</v>
      </c>
      <c r="V1554" s="66" t="n">
        <f aca="false">IFERROR($U1554/$R1554,0)</f>
        <v>0.436559590707037</v>
      </c>
      <c r="W1554" s="67" t="str">
        <f aca="false">IF(AND($V1554&gt;=Parametros!$C$8,$R1554&gt;=Parametros!$C$12),"Alta rentabilidad",IF(OR($V1554&lt;Parametros!$C$11,$R1554&lt;Parametros!$C$13),"Revisar","Estandar"))</f>
        <v>Estandar</v>
      </c>
      <c r="X1554" s="67" t="str">
        <f aca="false">IF(AND($J1554="E-commerce",IFERROR($T1554/$R1554,0)&gt;Parametros!$C$14),"Alerta","OK")</f>
        <v>OK</v>
      </c>
      <c r="Y1554" s="61" t="str">
        <f aca="false">IF($R1554&gt;=Parametros!$C$12,"Alto",IF($R1554&lt;Parametros!$C$13,"Bajo","Medio"))</f>
        <v>Medio</v>
      </c>
      <c r="Z1554" s="61" t="n">
        <v>1456</v>
      </c>
      <c r="AA1554" s="61" t="str">
        <f aca="false">IF(MATCH($A1554,Datos_Origen!$A$2:$A$2459,0)=$Z1554,"OK","REVISAR")</f>
        <v>OK</v>
      </c>
      <c r="AB1554" s="62" t="n">
        <f aca="false">INDEX(Datos_Origen!$B$2:$B$2459,$Z1554)</f>
        <v>45765</v>
      </c>
      <c r="AC1554" s="61" t="n">
        <f aca="false">INDEX(Datos_Origen!$H$2:$H$2459,$Z1554)</f>
        <v>20</v>
      </c>
      <c r="AD1554" s="61" t="str">
        <f aca="false">INDEX(Datos_Origen!$D$2:$D$2459,$Z1554)&amp;""</f>
        <v>Rosario</v>
      </c>
    </row>
    <row r="1555" customFormat="false" ht="15" hidden="false" customHeight="false" outlineLevel="0" collapsed="false">
      <c r="A1555" s="61" t="n">
        <f aca="false">INDEX(Datos_Origen!$A$2:$A$2459,$Z1555)</f>
        <v>1554</v>
      </c>
      <c r="B1555" s="62" t="n">
        <f aca="false">IF(ISNUMBER($AB1555),$AB1555,IF(MID($AB1555,5,1)="-",DATE(VALUE(LEFT($AB1555,4)),VALUE(MID($AB1555,6,2)),VALUE(RIGHT($AB1555,2))),DATE(VALUE(RIGHT($AB1555,4)),VALUE(MID($AB1555,4,2)),VALUE(LEFT($AB1555,2)))))</f>
        <v>45772</v>
      </c>
      <c r="C1555" s="61" t="n">
        <f aca="false">YEAR($B1555)</f>
        <v>2025</v>
      </c>
      <c r="D1555" s="61" t="str">
        <f aca="false">"Q"&amp;ROUNDUP(MONTH($B1555)/3,0)</f>
        <v>Q2</v>
      </c>
      <c r="E1555" s="61" t="n">
        <f aca="false">MONTH($B1555)</f>
        <v>4</v>
      </c>
      <c r="F1555" s="61" t="str">
        <f aca="false">INDEX(Parametros!$I$5:$I$16,$E1555)</f>
        <v>Abr</v>
      </c>
      <c r="G1555" s="61" t="str">
        <f aca="false">TEXT($C1555,"0000")&amp;"-"&amp;TEXT($E1555,"00")</f>
        <v>2025-04</v>
      </c>
      <c r="H1555" s="61" t="str">
        <f aca="false">INDEX(Parametros!$C$71:$C$91,MATCH(TRIM(INDEX(Datos_Origen!$C$2:$C$2459,$Z1555)),Parametros!$B$71:$B$91,0))</f>
        <v>Litoral</v>
      </c>
      <c r="I1555" s="61" t="str">
        <f aca="false">IF(TRIM($AD1555)="",INDEX(Parametros!$I$20:$I$24,MATCH($H1555,Parametros!$H$20:$H$24,0)),TRIM($AD1555))</f>
        <v>Rosario</v>
      </c>
      <c r="J1555" s="61" t="str">
        <f aca="false">INDEX(Parametros!$C$95:$C$106,MATCH(TRIM(INDEX(Datos_Origen!$E$2:$E$2459,$Z1555)),Parametros!$B$95:$B$106,0))</f>
        <v>E-commerce</v>
      </c>
      <c r="K1555" s="61" t="str">
        <f aca="false">INDEX(Parametros!$C$48:$C$67,MATCH(TRIM(INDEX(Datos_Origen!$F$2:$F$2459,$Z1555)),Parametros!$B$48:$B$67,0))</f>
        <v>Audio</v>
      </c>
      <c r="L1555" s="61" t="str">
        <f aca="false">$K1555&amp;" "&amp;$C1555</f>
        <v>Audio 2025</v>
      </c>
      <c r="M1555" s="61" t="str">
        <f aca="false">TRIM(INDEX(Datos_Origen!$G$2:$G$2459,$Z1555))</f>
        <v>Auriculares BT Pro</v>
      </c>
      <c r="N1555" s="61" t="str">
        <f aca="false">$M1555&amp;" "&amp;$C1555</f>
        <v>Auriculares BT Pro 2025</v>
      </c>
      <c r="O1555" s="63" t="n">
        <f aca="false">IF(ISTEXT($AC1555),VALUE($AC1555),$AC1555)</f>
        <v>12</v>
      </c>
      <c r="P1555" s="64" t="n">
        <f aca="false">INDEX(Datos_Origen!$I$2:$I$2459,$Z1555)</f>
        <v>119.23</v>
      </c>
      <c r="Q1555" s="64" t="n">
        <f aca="false">INDEX(Datos_Origen!$J$2:$J$2459,$Z1555)</f>
        <v>65.51</v>
      </c>
      <c r="R1555" s="65" t="n">
        <f aca="false">ROUND($O1555*$P1555,2)</f>
        <v>1430.76</v>
      </c>
      <c r="S1555" s="65" t="n">
        <f aca="false">ROUND($O1555*$Q1555,2)</f>
        <v>786.12</v>
      </c>
      <c r="T1555" s="65" t="n">
        <f aca="false">ROUND($R1555*SUMIFS(Parametros!$E$28:$E$43,Parametros!$B$28:$B$43,$J1555,Parametros!$C$28:$C$43,$C1555,Parametros!$D$28:$D$43,$D1555),2)</f>
        <v>105.88</v>
      </c>
      <c r="U1555" s="65" t="n">
        <f aca="false">$R1555-$S1555-$T1555</f>
        <v>538.76</v>
      </c>
      <c r="V1555" s="66" t="n">
        <f aca="false">IFERROR($U1555/$R1555,0)</f>
        <v>0.376555117559898</v>
      </c>
      <c r="W1555" s="67" t="str">
        <f aca="false">IF(AND($V1555&gt;=Parametros!$C$8,$R1555&gt;=Parametros!$C$12),"Alta rentabilidad",IF(OR($V1555&lt;Parametros!$C$11,$R1555&lt;Parametros!$C$13),"Revisar","Estandar"))</f>
        <v>Estandar</v>
      </c>
      <c r="X1555" s="67" t="str">
        <f aca="false">IF(AND($J1555="E-commerce",IFERROR($T1555/$R1555,0)&gt;Parametros!$C$14),"Alerta","OK")</f>
        <v>Alerta</v>
      </c>
      <c r="Y1555" s="61" t="str">
        <f aca="false">IF($R1555&gt;=Parametros!$C$12,"Alto",IF($R1555&lt;Parametros!$C$13,"Bajo","Medio"))</f>
        <v>Medio</v>
      </c>
      <c r="Z1555" s="61" t="n">
        <v>65</v>
      </c>
      <c r="AA1555" s="61" t="str">
        <f aca="false">IF(MATCH($A1555,Datos_Origen!$A$2:$A$2459,0)=$Z1555,"OK","REVISAR")</f>
        <v>OK</v>
      </c>
      <c r="AB1555" s="62" t="n">
        <f aca="false">INDEX(Datos_Origen!$B$2:$B$2459,$Z1555)</f>
        <v>45772</v>
      </c>
      <c r="AC1555" s="61" t="n">
        <f aca="false">INDEX(Datos_Origen!$H$2:$H$2459,$Z1555)</f>
        <v>12</v>
      </c>
      <c r="AD1555" s="61" t="str">
        <f aca="false">INDEX(Datos_Origen!$D$2:$D$2459,$Z1555)&amp;""</f>
        <v>Rosario</v>
      </c>
    </row>
    <row r="1556" customFormat="false" ht="15" hidden="false" customHeight="false" outlineLevel="0" collapsed="false">
      <c r="A1556" s="61" t="n">
        <f aca="false">INDEX(Datos_Origen!$A$2:$A$2459,$Z1556)</f>
        <v>1555</v>
      </c>
      <c r="B1556" s="62" t="n">
        <f aca="false">IF(ISNUMBER($AB1556),$AB1556,IF(MID($AB1556,5,1)="-",DATE(VALUE(LEFT($AB1556,4)),VALUE(MID($AB1556,6,2)),VALUE(RIGHT($AB1556,2))),DATE(VALUE(RIGHT($AB1556,4)),VALUE(MID($AB1556,4,2)),VALUE(LEFT($AB1556,2)))))</f>
        <v>45752</v>
      </c>
      <c r="C1556" s="61" t="n">
        <f aca="false">YEAR($B1556)</f>
        <v>2025</v>
      </c>
      <c r="D1556" s="61" t="str">
        <f aca="false">"Q"&amp;ROUNDUP(MONTH($B1556)/3,0)</f>
        <v>Q2</v>
      </c>
      <c r="E1556" s="61" t="n">
        <f aca="false">MONTH($B1556)</f>
        <v>4</v>
      </c>
      <c r="F1556" s="61" t="str">
        <f aca="false">INDEX(Parametros!$I$5:$I$16,$E1556)</f>
        <v>Abr</v>
      </c>
      <c r="G1556" s="61" t="str">
        <f aca="false">TEXT($C1556,"0000")&amp;"-"&amp;TEXT($E1556,"00")</f>
        <v>2025-04</v>
      </c>
      <c r="H1556" s="61" t="str">
        <f aca="false">INDEX(Parametros!$C$71:$C$91,MATCH(TRIM(INDEX(Datos_Origen!$C$2:$C$2459,$Z1556)),Parametros!$B$71:$B$91,0))</f>
        <v>Litoral</v>
      </c>
      <c r="I1556" s="61" t="str">
        <f aca="false">IF(TRIM($AD1556)="",INDEX(Parametros!$I$20:$I$24,MATCH($H1556,Parametros!$H$20:$H$24,0)),TRIM($AD1556))</f>
        <v>Rosario</v>
      </c>
      <c r="J1556" s="61" t="str">
        <f aca="false">INDEX(Parametros!$C$95:$C$106,MATCH(TRIM(INDEX(Datos_Origen!$E$2:$E$2459,$Z1556)),Parametros!$B$95:$B$106,0))</f>
        <v>Tienda fisica</v>
      </c>
      <c r="K1556" s="61" t="str">
        <f aca="false">INDEX(Parametros!$C$48:$C$67,MATCH(TRIM(INDEX(Datos_Origen!$F$2:$F$2459,$Z1556)),Parametros!$B$48:$B$67,0))</f>
        <v>Audio</v>
      </c>
      <c r="L1556" s="61" t="str">
        <f aca="false">$K1556&amp;" "&amp;$C1556</f>
        <v>Audio 2025</v>
      </c>
      <c r="M1556" s="61" t="str">
        <f aca="false">TRIM(INDEX(Datos_Origen!$G$2:$G$2459,$Z1556))</f>
        <v>Parlante Bluetooth</v>
      </c>
      <c r="N1556" s="61" t="str">
        <f aca="false">$M1556&amp;" "&amp;$C1556</f>
        <v>Parlante Bluetooth 2025</v>
      </c>
      <c r="O1556" s="63" t="n">
        <f aca="false">IF(ISTEXT($AC1556),VALUE($AC1556),$AC1556)</f>
        <v>15</v>
      </c>
      <c r="P1556" s="64" t="n">
        <f aca="false">INDEX(Datos_Origen!$I$2:$I$2459,$Z1556)</f>
        <v>84.46</v>
      </c>
      <c r="Q1556" s="64" t="n">
        <f aca="false">INDEX(Datos_Origen!$J$2:$J$2459,$Z1556)</f>
        <v>49.47</v>
      </c>
      <c r="R1556" s="65" t="n">
        <f aca="false">ROUND($O1556*$P1556,2)</f>
        <v>1266.9</v>
      </c>
      <c r="S1556" s="65" t="n">
        <f aca="false">ROUND($O1556*$Q1556,2)</f>
        <v>742.05</v>
      </c>
      <c r="T1556" s="65" t="n">
        <f aca="false">ROUND($R1556*SUMIFS(Parametros!$E$28:$E$43,Parametros!$B$28:$B$43,$J1556,Parametros!$C$28:$C$43,$C1556,Parametros!$D$28:$D$43,$D1556),2)</f>
        <v>17.74</v>
      </c>
      <c r="U1556" s="65" t="n">
        <f aca="false">$R1556-$S1556-$T1556</f>
        <v>507.11</v>
      </c>
      <c r="V1556" s="66" t="n">
        <f aca="false">IFERROR($U1556/$R1556,0)</f>
        <v>0.400276264898571</v>
      </c>
      <c r="W1556" s="67" t="str">
        <f aca="false">IF(AND($V1556&gt;=Parametros!$C$8,$R1556&gt;=Parametros!$C$12),"Alta rentabilidad",IF(OR($V1556&lt;Parametros!$C$11,$R1556&lt;Parametros!$C$13),"Revisar","Estandar"))</f>
        <v>Estandar</v>
      </c>
      <c r="X1556" s="67" t="str">
        <f aca="false">IF(AND($J1556="E-commerce",IFERROR($T1556/$R1556,0)&gt;Parametros!$C$14),"Alerta","OK")</f>
        <v>OK</v>
      </c>
      <c r="Y1556" s="61" t="str">
        <f aca="false">IF($R1556&gt;=Parametros!$C$12,"Alto",IF($R1556&lt;Parametros!$C$13,"Bajo","Medio"))</f>
        <v>Medio</v>
      </c>
      <c r="Z1556" s="61" t="n">
        <v>1435</v>
      </c>
      <c r="AA1556" s="61" t="str">
        <f aca="false">IF(MATCH($A1556,Datos_Origen!$A$2:$A$2459,0)=$Z1556,"OK","REVISAR")</f>
        <v>OK</v>
      </c>
      <c r="AB1556" s="61" t="str">
        <f aca="false">INDEX(Datos_Origen!$B$2:$B$2459,$Z1556)</f>
        <v>05/04/2025</v>
      </c>
      <c r="AC1556" s="61" t="n">
        <f aca="false">INDEX(Datos_Origen!$H$2:$H$2459,$Z1556)</f>
        <v>15</v>
      </c>
      <c r="AD1556" s="61" t="str">
        <f aca="false">INDEX(Datos_Origen!$D$2:$D$2459,$Z1556)&amp;""</f>
        <v>Rosario</v>
      </c>
    </row>
    <row r="1557" customFormat="false" ht="15" hidden="false" customHeight="false" outlineLevel="0" collapsed="false">
      <c r="A1557" s="61" t="n">
        <f aca="false">INDEX(Datos_Origen!$A$2:$A$2459,$Z1557)</f>
        <v>1556</v>
      </c>
      <c r="B1557" s="62" t="n">
        <f aca="false">IF(ISNUMBER($AB1557),$AB1557,IF(MID($AB1557,5,1)="-",DATE(VALUE(LEFT($AB1557,4)),VALUE(MID($AB1557,6,2)),VALUE(RIGHT($AB1557,2))),DATE(VALUE(RIGHT($AB1557,4)),VALUE(MID($AB1557,4,2)),VALUE(LEFT($AB1557,2)))))</f>
        <v>45759</v>
      </c>
      <c r="C1557" s="61" t="n">
        <f aca="false">YEAR($B1557)</f>
        <v>2025</v>
      </c>
      <c r="D1557" s="61" t="str">
        <f aca="false">"Q"&amp;ROUNDUP(MONTH($B1557)/3,0)</f>
        <v>Q2</v>
      </c>
      <c r="E1557" s="61" t="n">
        <f aca="false">MONTH($B1557)</f>
        <v>4</v>
      </c>
      <c r="F1557" s="61" t="str">
        <f aca="false">INDEX(Parametros!$I$5:$I$16,$E1557)</f>
        <v>Abr</v>
      </c>
      <c r="G1557" s="61" t="str">
        <f aca="false">TEXT($C1557,"0000")&amp;"-"&amp;TEXT($E1557,"00")</f>
        <v>2025-04</v>
      </c>
      <c r="H1557" s="61" t="str">
        <f aca="false">INDEX(Parametros!$C$71:$C$91,MATCH(TRIM(INDEX(Datos_Origen!$C$2:$C$2459,$Z1557)),Parametros!$B$71:$B$91,0))</f>
        <v>Litoral</v>
      </c>
      <c r="I1557" s="61" t="str">
        <f aca="false">IF(TRIM($AD1557)="",INDEX(Parametros!$I$20:$I$24,MATCH($H1557,Parametros!$H$20:$H$24,0)),TRIM($AD1557))</f>
        <v>Rosario</v>
      </c>
      <c r="J1557" s="61" t="str">
        <f aca="false">INDEX(Parametros!$C$95:$C$106,MATCH(TRIM(INDEX(Datos_Origen!$E$2:$E$2459,$Z1557)),Parametros!$B$95:$B$106,0))</f>
        <v>E-commerce</v>
      </c>
      <c r="K1557" s="61" t="str">
        <f aca="false">INDEX(Parametros!$C$48:$C$67,MATCH(TRIM(INDEX(Datos_Origen!$F$2:$F$2459,$Z1557)),Parametros!$B$48:$B$67,0))</f>
        <v>Audio</v>
      </c>
      <c r="L1557" s="61" t="str">
        <f aca="false">$K1557&amp;" "&amp;$C1557</f>
        <v>Audio 2025</v>
      </c>
      <c r="M1557" s="61" t="str">
        <f aca="false">TRIM(INDEX(Datos_Origen!$G$2:$G$2459,$Z1557))</f>
        <v>Parlante Bluetooth</v>
      </c>
      <c r="N1557" s="61" t="str">
        <f aca="false">$M1557&amp;" "&amp;$C1557</f>
        <v>Parlante Bluetooth 2025</v>
      </c>
      <c r="O1557" s="63" t="n">
        <f aca="false">IF(ISTEXT($AC1557),VALUE($AC1557),$AC1557)</f>
        <v>11</v>
      </c>
      <c r="P1557" s="64" t="n">
        <f aca="false">INDEX(Datos_Origen!$I$2:$I$2459,$Z1557)</f>
        <v>84.46</v>
      </c>
      <c r="Q1557" s="64" t="n">
        <f aca="false">INDEX(Datos_Origen!$J$2:$J$2459,$Z1557)</f>
        <v>49.47</v>
      </c>
      <c r="R1557" s="65" t="n">
        <f aca="false">ROUND($O1557*$P1557,2)</f>
        <v>929.06</v>
      </c>
      <c r="S1557" s="65" t="n">
        <f aca="false">ROUND($O1557*$Q1557,2)</f>
        <v>544.17</v>
      </c>
      <c r="T1557" s="65" t="n">
        <f aca="false">ROUND($R1557*SUMIFS(Parametros!$E$28:$E$43,Parametros!$B$28:$B$43,$J1557,Parametros!$C$28:$C$43,$C1557,Parametros!$D$28:$D$43,$D1557),2)</f>
        <v>68.75</v>
      </c>
      <c r="U1557" s="65" t="n">
        <f aca="false">$R1557-$S1557-$T1557</f>
        <v>316.14</v>
      </c>
      <c r="V1557" s="66" t="n">
        <f aca="false">IFERROR($U1557/$R1557,0)</f>
        <v>0.340279422211698</v>
      </c>
      <c r="W1557" s="67" t="str">
        <f aca="false">IF(AND($V1557&gt;=Parametros!$C$8,$R1557&gt;=Parametros!$C$12),"Alta rentabilidad",IF(OR($V1557&lt;Parametros!$C$11,$R1557&lt;Parametros!$C$13),"Revisar","Estandar"))</f>
        <v>Estandar</v>
      </c>
      <c r="X1557" s="67" t="str">
        <f aca="false">IF(AND($J1557="E-commerce",IFERROR($T1557/$R1557,0)&gt;Parametros!$C$14),"Alerta","OK")</f>
        <v>Alerta</v>
      </c>
      <c r="Y1557" s="61" t="str">
        <f aca="false">IF($R1557&gt;=Parametros!$C$12,"Alto",IF($R1557&lt;Parametros!$C$13,"Bajo","Medio"))</f>
        <v>Medio</v>
      </c>
      <c r="Z1557" s="61" t="n">
        <v>94</v>
      </c>
      <c r="AA1557" s="61" t="str">
        <f aca="false">IF(MATCH($A1557,Datos_Origen!$A$2:$A$2459,0)=$Z1557,"OK","REVISAR")</f>
        <v>OK</v>
      </c>
      <c r="AB1557" s="61" t="str">
        <f aca="false">INDEX(Datos_Origen!$B$2:$B$2459,$Z1557)</f>
        <v>12/04/2025</v>
      </c>
      <c r="AC1557" s="61" t="n">
        <f aca="false">INDEX(Datos_Origen!$H$2:$H$2459,$Z1557)</f>
        <v>11</v>
      </c>
      <c r="AD1557" s="61" t="str">
        <f aca="false">INDEX(Datos_Origen!$D$2:$D$2459,$Z1557)&amp;""</f>
        <v>Rosario</v>
      </c>
    </row>
    <row r="1558" customFormat="false" ht="15" hidden="false" customHeight="false" outlineLevel="0" collapsed="false">
      <c r="A1558" s="61" t="n">
        <f aca="false">INDEX(Datos_Origen!$A$2:$A$2459,$Z1558)</f>
        <v>1557</v>
      </c>
      <c r="B1558" s="62" t="n">
        <f aca="false">IF(ISNUMBER($AB1558),$AB1558,IF(MID($AB1558,5,1)="-",DATE(VALUE(LEFT($AB1558,4)),VALUE(MID($AB1558,6,2)),VALUE(RIGHT($AB1558,2))),DATE(VALUE(RIGHT($AB1558,4)),VALUE(MID($AB1558,4,2)),VALUE(LEFT($AB1558,2)))))</f>
        <v>45766</v>
      </c>
      <c r="C1558" s="61" t="n">
        <f aca="false">YEAR($B1558)</f>
        <v>2025</v>
      </c>
      <c r="D1558" s="61" t="str">
        <f aca="false">"Q"&amp;ROUNDUP(MONTH($B1558)/3,0)</f>
        <v>Q2</v>
      </c>
      <c r="E1558" s="61" t="n">
        <f aca="false">MONTH($B1558)</f>
        <v>4</v>
      </c>
      <c r="F1558" s="61" t="str">
        <f aca="false">INDEX(Parametros!$I$5:$I$16,$E1558)</f>
        <v>Abr</v>
      </c>
      <c r="G1558" s="61" t="str">
        <f aca="false">TEXT($C1558,"0000")&amp;"-"&amp;TEXT($E1558,"00")</f>
        <v>2025-04</v>
      </c>
      <c r="H1558" s="61" t="str">
        <f aca="false">INDEX(Parametros!$C$71:$C$91,MATCH(TRIM(INDEX(Datos_Origen!$C$2:$C$2459,$Z1558)),Parametros!$B$71:$B$91,0))</f>
        <v>Litoral</v>
      </c>
      <c r="I1558" s="61" t="str">
        <f aca="false">IF(TRIM($AD1558)="",INDEX(Parametros!$I$20:$I$24,MATCH($H1558,Parametros!$H$20:$H$24,0)),TRIM($AD1558))</f>
        <v>Rosario</v>
      </c>
      <c r="J1558" s="61" t="str">
        <f aca="false">INDEX(Parametros!$C$95:$C$106,MATCH(TRIM(INDEX(Datos_Origen!$E$2:$E$2459,$Z1558)),Parametros!$B$95:$B$106,0))</f>
        <v>Tienda fisica</v>
      </c>
      <c r="K1558" s="61" t="str">
        <f aca="false">INDEX(Parametros!$C$48:$C$67,MATCH(TRIM(INDEX(Datos_Origen!$F$2:$F$2459,$Z1558)),Parametros!$B$48:$B$67,0))</f>
        <v>Almacenamiento</v>
      </c>
      <c r="L1558" s="61" t="str">
        <f aca="false">$K1558&amp;" "&amp;$C1558</f>
        <v>Almacenamiento 2025</v>
      </c>
      <c r="M1558" s="61" t="str">
        <f aca="false">TRIM(INDEX(Datos_Origen!$G$2:$G$2459,$Z1558))</f>
        <v>SSD Externo 1TB</v>
      </c>
      <c r="N1558" s="61" t="str">
        <f aca="false">$M1558&amp;" "&amp;$C1558</f>
        <v>SSD Externo 1TB 2025</v>
      </c>
      <c r="O1558" s="63" t="n">
        <f aca="false">IF(ISTEXT($AC1558),VALUE($AC1558),$AC1558)</f>
        <v>20</v>
      </c>
      <c r="P1558" s="64" t="n">
        <f aca="false">INDEX(Datos_Origen!$I$2:$I$2459,$Z1558)</f>
        <v>129.17</v>
      </c>
      <c r="Q1558" s="64" t="n">
        <f aca="false">INDEX(Datos_Origen!$J$2:$J$2459,$Z1558)</f>
        <v>78.33</v>
      </c>
      <c r="R1558" s="65" t="n">
        <f aca="false">ROUND($O1558*$P1558,2)</f>
        <v>2583.4</v>
      </c>
      <c r="S1558" s="65" t="n">
        <f aca="false">ROUND($O1558*$Q1558,2)</f>
        <v>1566.6</v>
      </c>
      <c r="T1558" s="65" t="n">
        <f aca="false">ROUND($R1558*SUMIFS(Parametros!$E$28:$E$43,Parametros!$B$28:$B$43,$J1558,Parametros!$C$28:$C$43,$C1558,Parametros!$D$28:$D$43,$D1558),2)</f>
        <v>36.17</v>
      </c>
      <c r="U1558" s="65" t="n">
        <f aca="false">$R1558-$S1558-$T1558</f>
        <v>980.63</v>
      </c>
      <c r="V1558" s="66" t="n">
        <f aca="false">IFERROR($U1558/$R1558,0)</f>
        <v>0.379588913834482</v>
      </c>
      <c r="W1558" s="67" t="str">
        <f aca="false">IF(AND($V1558&gt;=Parametros!$C$8,$R1558&gt;=Parametros!$C$12),"Alta rentabilidad",IF(OR($V1558&lt;Parametros!$C$11,$R1558&lt;Parametros!$C$13),"Revisar","Estandar"))</f>
        <v>Estandar</v>
      </c>
      <c r="X1558" s="67" t="str">
        <f aca="false">IF(AND($J1558="E-commerce",IFERROR($T1558/$R1558,0)&gt;Parametros!$C$14),"Alerta","OK")</f>
        <v>OK</v>
      </c>
      <c r="Y1558" s="61" t="str">
        <f aca="false">IF($R1558&gt;=Parametros!$C$12,"Alto",IF($R1558&lt;Parametros!$C$13,"Bajo","Medio"))</f>
        <v>Medio</v>
      </c>
      <c r="Z1558" s="61" t="n">
        <v>930</v>
      </c>
      <c r="AA1558" s="61" t="str">
        <f aca="false">IF(MATCH($A1558,Datos_Origen!$A$2:$A$2459,0)=$Z1558,"OK","REVISAR")</f>
        <v>OK</v>
      </c>
      <c r="AB1558" s="62" t="n">
        <f aca="false">INDEX(Datos_Origen!$B$2:$B$2459,$Z1558)</f>
        <v>45766</v>
      </c>
      <c r="AC1558" s="61" t="n">
        <f aca="false">INDEX(Datos_Origen!$H$2:$H$2459,$Z1558)</f>
        <v>20</v>
      </c>
      <c r="AD1558" s="61" t="str">
        <f aca="false">INDEX(Datos_Origen!$D$2:$D$2459,$Z1558)&amp;""</f>
        <v>Rosario</v>
      </c>
    </row>
    <row r="1559" customFormat="false" ht="15" hidden="false" customHeight="false" outlineLevel="0" collapsed="false">
      <c r="A1559" s="61" t="n">
        <f aca="false">INDEX(Datos_Origen!$A$2:$A$2459,$Z1559)</f>
        <v>1558</v>
      </c>
      <c r="B1559" s="62" t="n">
        <f aca="false">IF(ISNUMBER($AB1559),$AB1559,IF(MID($AB1559,5,1)="-",DATE(VALUE(LEFT($AB1559,4)),VALUE(MID($AB1559,6,2)),VALUE(RIGHT($AB1559,2))),DATE(VALUE(RIGHT($AB1559,4)),VALUE(MID($AB1559,4,2)),VALUE(LEFT($AB1559,2)))))</f>
        <v>45773</v>
      </c>
      <c r="C1559" s="61" t="n">
        <f aca="false">YEAR($B1559)</f>
        <v>2025</v>
      </c>
      <c r="D1559" s="61" t="str">
        <f aca="false">"Q"&amp;ROUNDUP(MONTH($B1559)/3,0)</f>
        <v>Q2</v>
      </c>
      <c r="E1559" s="61" t="n">
        <f aca="false">MONTH($B1559)</f>
        <v>4</v>
      </c>
      <c r="F1559" s="61" t="str">
        <f aca="false">INDEX(Parametros!$I$5:$I$16,$E1559)</f>
        <v>Abr</v>
      </c>
      <c r="G1559" s="61" t="str">
        <f aca="false">TEXT($C1559,"0000")&amp;"-"&amp;TEXT($E1559,"00")</f>
        <v>2025-04</v>
      </c>
      <c r="H1559" s="61" t="str">
        <f aca="false">INDEX(Parametros!$C$71:$C$91,MATCH(TRIM(INDEX(Datos_Origen!$C$2:$C$2459,$Z1559)),Parametros!$B$71:$B$91,0))</f>
        <v>Litoral</v>
      </c>
      <c r="I1559" s="61" t="str">
        <f aca="false">IF(TRIM($AD1559)="",INDEX(Parametros!$I$20:$I$24,MATCH($H1559,Parametros!$H$20:$H$24,0)),TRIM($AD1559))</f>
        <v>Rosario</v>
      </c>
      <c r="J1559" s="61" t="str">
        <f aca="false">INDEX(Parametros!$C$95:$C$106,MATCH(TRIM(INDEX(Datos_Origen!$E$2:$E$2459,$Z1559)),Parametros!$B$95:$B$106,0))</f>
        <v>E-commerce</v>
      </c>
      <c r="K1559" s="61" t="str">
        <f aca="false">INDEX(Parametros!$C$48:$C$67,MATCH(TRIM(INDEX(Datos_Origen!$F$2:$F$2459,$Z1559)),Parametros!$B$48:$B$67,0))</f>
        <v>Almacenamiento</v>
      </c>
      <c r="L1559" s="61" t="str">
        <f aca="false">$K1559&amp;" "&amp;$C1559</f>
        <v>Almacenamiento 2025</v>
      </c>
      <c r="M1559" s="61" t="str">
        <f aca="false">TRIM(INDEX(Datos_Origen!$G$2:$G$2459,$Z1559))</f>
        <v>SSD Externo 1TB</v>
      </c>
      <c r="N1559" s="61" t="str">
        <f aca="false">$M1559&amp;" "&amp;$C1559</f>
        <v>SSD Externo 1TB 2025</v>
      </c>
      <c r="O1559" s="63" t="n">
        <f aca="false">IF(ISTEXT($AC1559),VALUE($AC1559),$AC1559)</f>
        <v>14</v>
      </c>
      <c r="P1559" s="64" t="n">
        <f aca="false">INDEX(Datos_Origen!$I$2:$I$2459,$Z1559)</f>
        <v>129.17</v>
      </c>
      <c r="Q1559" s="64" t="n">
        <f aca="false">INDEX(Datos_Origen!$J$2:$J$2459,$Z1559)</f>
        <v>78.33</v>
      </c>
      <c r="R1559" s="65" t="n">
        <f aca="false">ROUND($O1559*$P1559,2)</f>
        <v>1808.38</v>
      </c>
      <c r="S1559" s="65" t="n">
        <f aca="false">ROUND($O1559*$Q1559,2)</f>
        <v>1096.62</v>
      </c>
      <c r="T1559" s="65" t="n">
        <f aca="false">ROUND($R1559*SUMIFS(Parametros!$E$28:$E$43,Parametros!$B$28:$B$43,$J1559,Parametros!$C$28:$C$43,$C1559,Parametros!$D$28:$D$43,$D1559),2)</f>
        <v>133.82</v>
      </c>
      <c r="U1559" s="65" t="n">
        <f aca="false">$R1559-$S1559-$T1559</f>
        <v>577.94</v>
      </c>
      <c r="V1559" s="66" t="n">
        <f aca="false">IFERROR($U1559/$R1559,0)</f>
        <v>0.3195899092005</v>
      </c>
      <c r="W1559" s="67" t="str">
        <f aca="false">IF(AND($V1559&gt;=Parametros!$C$8,$R1559&gt;=Parametros!$C$12),"Alta rentabilidad",IF(OR($V1559&lt;Parametros!$C$11,$R1559&lt;Parametros!$C$13),"Revisar","Estandar"))</f>
        <v>Estandar</v>
      </c>
      <c r="X1559" s="67" t="str">
        <f aca="false">IF(AND($J1559="E-commerce",IFERROR($T1559/$R1559,0)&gt;Parametros!$C$14),"Alerta","OK")</f>
        <v>Alerta</v>
      </c>
      <c r="Y1559" s="61" t="str">
        <f aca="false">IF($R1559&gt;=Parametros!$C$12,"Alto",IF($R1559&lt;Parametros!$C$13,"Bajo","Medio"))</f>
        <v>Medio</v>
      </c>
      <c r="Z1559" s="61" t="n">
        <v>1777</v>
      </c>
      <c r="AA1559" s="61" t="str">
        <f aca="false">IF(MATCH($A1559,Datos_Origen!$A$2:$A$2459,0)=$Z1559,"OK","REVISAR")</f>
        <v>OK</v>
      </c>
      <c r="AB1559" s="62" t="n">
        <f aca="false">INDEX(Datos_Origen!$B$2:$B$2459,$Z1559)</f>
        <v>45773</v>
      </c>
      <c r="AC1559" s="61" t="n">
        <f aca="false">INDEX(Datos_Origen!$H$2:$H$2459,$Z1559)</f>
        <v>14</v>
      </c>
      <c r="AD1559" s="61" t="str">
        <f aca="false">INDEX(Datos_Origen!$D$2:$D$2459,$Z1559)&amp;""</f>
        <v>Rosario</v>
      </c>
    </row>
    <row r="1560" customFormat="false" ht="15" hidden="false" customHeight="false" outlineLevel="0" collapsed="false">
      <c r="A1560" s="61" t="n">
        <f aca="false">INDEX(Datos_Origen!$A$2:$A$2459,$Z1560)</f>
        <v>1559</v>
      </c>
      <c r="B1560" s="62" t="n">
        <f aca="false">IF(ISNUMBER($AB1560),$AB1560,IF(MID($AB1560,5,1)="-",DATE(VALUE(LEFT($AB1560,4)),VALUE(MID($AB1560,6,2)),VALUE(RIGHT($AB1560,2))),DATE(VALUE(RIGHT($AB1560,4)),VALUE(MID($AB1560,4,2)),VALUE(LEFT($AB1560,2)))))</f>
        <v>45753</v>
      </c>
      <c r="C1560" s="61" t="n">
        <f aca="false">YEAR($B1560)</f>
        <v>2025</v>
      </c>
      <c r="D1560" s="61" t="str">
        <f aca="false">"Q"&amp;ROUNDUP(MONTH($B1560)/3,0)</f>
        <v>Q2</v>
      </c>
      <c r="E1560" s="61" t="n">
        <f aca="false">MONTH($B1560)</f>
        <v>4</v>
      </c>
      <c r="F1560" s="61" t="str">
        <f aca="false">INDEX(Parametros!$I$5:$I$16,$E1560)</f>
        <v>Abr</v>
      </c>
      <c r="G1560" s="61" t="str">
        <f aca="false">TEXT($C1560,"0000")&amp;"-"&amp;TEXT($E1560,"00")</f>
        <v>2025-04</v>
      </c>
      <c r="H1560" s="61" t="str">
        <f aca="false">INDEX(Parametros!$C$71:$C$91,MATCH(TRIM(INDEX(Datos_Origen!$C$2:$C$2459,$Z1560)),Parametros!$B$71:$B$91,0))</f>
        <v>Litoral</v>
      </c>
      <c r="I1560" s="61" t="str">
        <f aca="false">IF(TRIM($AD1560)="",INDEX(Parametros!$I$20:$I$24,MATCH($H1560,Parametros!$H$20:$H$24,0)),TRIM($AD1560))</f>
        <v>Rosario</v>
      </c>
      <c r="J1560" s="61" t="str">
        <f aca="false">INDEX(Parametros!$C$95:$C$106,MATCH(TRIM(INDEX(Datos_Origen!$E$2:$E$2459,$Z1560)),Parametros!$B$95:$B$106,0))</f>
        <v>Tienda fisica</v>
      </c>
      <c r="K1560" s="61" t="str">
        <f aca="false">INDEX(Parametros!$C$48:$C$67,MATCH(TRIM(INDEX(Datos_Origen!$F$2:$F$2459,$Z1560)),Parametros!$B$48:$B$67,0))</f>
        <v>Almacenamiento</v>
      </c>
      <c r="L1560" s="61" t="str">
        <f aca="false">$K1560&amp;" "&amp;$C1560</f>
        <v>Almacenamiento 2025</v>
      </c>
      <c r="M1560" s="61" t="str">
        <f aca="false">TRIM(INDEX(Datos_Origen!$G$2:$G$2459,$Z1560))</f>
        <v>Pendrive 256GB</v>
      </c>
      <c r="N1560" s="61" t="str">
        <f aca="false">$M1560&amp;" "&amp;$C1560</f>
        <v>Pendrive 256GB 2025</v>
      </c>
      <c r="O1560" s="63" t="n">
        <f aca="false">IF(ISTEXT($AC1560),VALUE($AC1560),$AC1560)</f>
        <v>23</v>
      </c>
      <c r="P1560" s="64" t="n">
        <f aca="false">INDEX(Datos_Origen!$I$2:$I$2459,$Z1560)</f>
        <v>34.78</v>
      </c>
      <c r="Q1560" s="64" t="n">
        <f aca="false">INDEX(Datos_Origen!$J$2:$J$2459,$Z1560)</f>
        <v>18.39</v>
      </c>
      <c r="R1560" s="65" t="n">
        <f aca="false">ROUND($O1560*$P1560,2)</f>
        <v>799.94</v>
      </c>
      <c r="S1560" s="65" t="n">
        <f aca="false">ROUND($O1560*$Q1560,2)</f>
        <v>422.97</v>
      </c>
      <c r="T1560" s="65" t="n">
        <f aca="false">ROUND($R1560*SUMIFS(Parametros!$E$28:$E$43,Parametros!$B$28:$B$43,$J1560,Parametros!$C$28:$C$43,$C1560,Parametros!$D$28:$D$43,$D1560),2)</f>
        <v>11.2</v>
      </c>
      <c r="U1560" s="65" t="n">
        <f aca="false">$R1560-$S1560-$T1560</f>
        <v>365.77</v>
      </c>
      <c r="V1560" s="66" t="n">
        <f aca="false">IFERROR($U1560/$R1560,0)</f>
        <v>0.457246793509513</v>
      </c>
      <c r="W1560" s="67" t="str">
        <f aca="false">IF(AND($V1560&gt;=Parametros!$C$8,$R1560&gt;=Parametros!$C$12),"Alta rentabilidad",IF(OR($V1560&lt;Parametros!$C$11,$R1560&lt;Parametros!$C$13),"Revisar","Estandar"))</f>
        <v>Estandar</v>
      </c>
      <c r="X1560" s="67" t="str">
        <f aca="false">IF(AND($J1560="E-commerce",IFERROR($T1560/$R1560,0)&gt;Parametros!$C$14),"Alerta","OK")</f>
        <v>OK</v>
      </c>
      <c r="Y1560" s="61" t="str">
        <f aca="false">IF($R1560&gt;=Parametros!$C$12,"Alto",IF($R1560&lt;Parametros!$C$13,"Bajo","Medio"))</f>
        <v>Medio</v>
      </c>
      <c r="Z1560" s="61" t="n">
        <v>836</v>
      </c>
      <c r="AA1560" s="61" t="str">
        <f aca="false">IF(MATCH($A1560,Datos_Origen!$A$2:$A$2459,0)=$Z1560,"OK","REVISAR")</f>
        <v>OK</v>
      </c>
      <c r="AB1560" s="61" t="str">
        <f aca="false">INDEX(Datos_Origen!$B$2:$B$2459,$Z1560)</f>
        <v>06/04/2025</v>
      </c>
      <c r="AC1560" s="61" t="n">
        <f aca="false">INDEX(Datos_Origen!$H$2:$H$2459,$Z1560)</f>
        <v>23</v>
      </c>
      <c r="AD1560" s="61" t="str">
        <f aca="false">INDEX(Datos_Origen!$D$2:$D$2459,$Z1560)&amp;""</f>
        <v>Rosario</v>
      </c>
    </row>
    <row r="1561" customFormat="false" ht="15" hidden="false" customHeight="false" outlineLevel="0" collapsed="false">
      <c r="A1561" s="61" t="n">
        <f aca="false">INDEX(Datos_Origen!$A$2:$A$2459,$Z1561)</f>
        <v>1560</v>
      </c>
      <c r="B1561" s="62" t="n">
        <f aca="false">IF(ISNUMBER($AB1561),$AB1561,IF(MID($AB1561,5,1)="-",DATE(VALUE(LEFT($AB1561,4)),VALUE(MID($AB1561,6,2)),VALUE(RIGHT($AB1561,2))),DATE(VALUE(RIGHT($AB1561,4)),VALUE(MID($AB1561,4,2)),VALUE(LEFT($AB1561,2)))))</f>
        <v>45760</v>
      </c>
      <c r="C1561" s="61" t="n">
        <f aca="false">YEAR($B1561)</f>
        <v>2025</v>
      </c>
      <c r="D1561" s="61" t="str">
        <f aca="false">"Q"&amp;ROUNDUP(MONTH($B1561)/3,0)</f>
        <v>Q2</v>
      </c>
      <c r="E1561" s="61" t="n">
        <f aca="false">MONTH($B1561)</f>
        <v>4</v>
      </c>
      <c r="F1561" s="61" t="str">
        <f aca="false">INDEX(Parametros!$I$5:$I$16,$E1561)</f>
        <v>Abr</v>
      </c>
      <c r="G1561" s="61" t="str">
        <f aca="false">TEXT($C1561,"0000")&amp;"-"&amp;TEXT($E1561,"00")</f>
        <v>2025-04</v>
      </c>
      <c r="H1561" s="61" t="str">
        <f aca="false">INDEX(Parametros!$C$71:$C$91,MATCH(TRIM(INDEX(Datos_Origen!$C$2:$C$2459,$Z1561)),Parametros!$B$71:$B$91,0))</f>
        <v>Litoral</v>
      </c>
      <c r="I1561" s="61" t="str">
        <f aca="false">IF(TRIM($AD1561)="",INDEX(Parametros!$I$20:$I$24,MATCH($H1561,Parametros!$H$20:$H$24,0)),TRIM($AD1561))</f>
        <v>Rosario</v>
      </c>
      <c r="J1561" s="61" t="str">
        <f aca="false">INDEX(Parametros!$C$95:$C$106,MATCH(TRIM(INDEX(Datos_Origen!$E$2:$E$2459,$Z1561)),Parametros!$B$95:$B$106,0))</f>
        <v>E-commerce</v>
      </c>
      <c r="K1561" s="61" t="str">
        <f aca="false">INDEX(Parametros!$C$48:$C$67,MATCH(TRIM(INDEX(Datos_Origen!$F$2:$F$2459,$Z1561)),Parametros!$B$48:$B$67,0))</f>
        <v>Almacenamiento</v>
      </c>
      <c r="L1561" s="61" t="str">
        <f aca="false">$K1561&amp;" "&amp;$C1561</f>
        <v>Almacenamiento 2025</v>
      </c>
      <c r="M1561" s="61" t="str">
        <f aca="false">TRIM(INDEX(Datos_Origen!$G$2:$G$2459,$Z1561))</f>
        <v>Pendrive 256GB</v>
      </c>
      <c r="N1561" s="61" t="str">
        <f aca="false">$M1561&amp;" "&amp;$C1561</f>
        <v>Pendrive 256GB 2025</v>
      </c>
      <c r="O1561" s="63" t="n">
        <f aca="false">IF(ISTEXT($AC1561),VALUE($AC1561),$AC1561)</f>
        <v>17</v>
      </c>
      <c r="P1561" s="64" t="n">
        <f aca="false">INDEX(Datos_Origen!$I$2:$I$2459,$Z1561)</f>
        <v>34.78</v>
      </c>
      <c r="Q1561" s="64" t="n">
        <f aca="false">INDEX(Datos_Origen!$J$2:$J$2459,$Z1561)</f>
        <v>18.39</v>
      </c>
      <c r="R1561" s="65" t="n">
        <f aca="false">ROUND($O1561*$P1561,2)</f>
        <v>591.26</v>
      </c>
      <c r="S1561" s="65" t="n">
        <f aca="false">ROUND($O1561*$Q1561,2)</f>
        <v>312.63</v>
      </c>
      <c r="T1561" s="65" t="n">
        <f aca="false">ROUND($R1561*SUMIFS(Parametros!$E$28:$E$43,Parametros!$B$28:$B$43,$J1561,Parametros!$C$28:$C$43,$C1561,Parametros!$D$28:$D$43,$D1561),2)</f>
        <v>43.75</v>
      </c>
      <c r="U1561" s="65" t="n">
        <f aca="false">$R1561-$S1561-$T1561</f>
        <v>234.88</v>
      </c>
      <c r="V1561" s="66" t="n">
        <f aca="false">IFERROR($U1561/$R1561,0)</f>
        <v>0.397253323411021</v>
      </c>
      <c r="W1561" s="67" t="str">
        <f aca="false">IF(AND($V1561&gt;=Parametros!$C$8,$R1561&gt;=Parametros!$C$12),"Alta rentabilidad",IF(OR($V1561&lt;Parametros!$C$11,$R1561&lt;Parametros!$C$13),"Revisar","Estandar"))</f>
        <v>Estandar</v>
      </c>
      <c r="X1561" s="67" t="str">
        <f aca="false">IF(AND($J1561="E-commerce",IFERROR($T1561/$R1561,0)&gt;Parametros!$C$14),"Alerta","OK")</f>
        <v>Alerta</v>
      </c>
      <c r="Y1561" s="61" t="str">
        <f aca="false">IF($R1561&gt;=Parametros!$C$12,"Alto",IF($R1561&lt;Parametros!$C$13,"Bajo","Medio"))</f>
        <v>Medio</v>
      </c>
      <c r="Z1561" s="61" t="n">
        <v>801</v>
      </c>
      <c r="AA1561" s="61" t="str">
        <f aca="false">IF(MATCH($A1561,Datos_Origen!$A$2:$A$2459,0)=$Z1561,"OK","REVISAR")</f>
        <v>OK</v>
      </c>
      <c r="AB1561" s="62" t="n">
        <f aca="false">INDEX(Datos_Origen!$B$2:$B$2459,$Z1561)</f>
        <v>45760</v>
      </c>
      <c r="AC1561" s="61" t="n">
        <f aca="false">INDEX(Datos_Origen!$H$2:$H$2459,$Z1561)</f>
        <v>17</v>
      </c>
      <c r="AD1561" s="61" t="str">
        <f aca="false">INDEX(Datos_Origen!$D$2:$D$2459,$Z1561)&amp;""</f>
        <v>Rosario</v>
      </c>
    </row>
    <row r="1562" customFormat="false" ht="15" hidden="false" customHeight="false" outlineLevel="0" collapsed="false">
      <c r="A1562" s="61" t="n">
        <f aca="false">INDEX(Datos_Origen!$A$2:$A$2459,$Z1562)</f>
        <v>1561</v>
      </c>
      <c r="B1562" s="62" t="n">
        <f aca="false">IF(ISNUMBER($AB1562),$AB1562,IF(MID($AB1562,5,1)="-",DATE(VALUE(LEFT($AB1562,4)),VALUE(MID($AB1562,6,2)),VALUE(RIGHT($AB1562,2))),DATE(VALUE(RIGHT($AB1562,4)),VALUE(MID($AB1562,4,2)),VALUE(LEFT($AB1562,2)))))</f>
        <v>45767</v>
      </c>
      <c r="C1562" s="61" t="n">
        <f aca="false">YEAR($B1562)</f>
        <v>2025</v>
      </c>
      <c r="D1562" s="61" t="str">
        <f aca="false">"Q"&amp;ROUNDUP(MONTH($B1562)/3,0)</f>
        <v>Q2</v>
      </c>
      <c r="E1562" s="61" t="n">
        <f aca="false">MONTH($B1562)</f>
        <v>4</v>
      </c>
      <c r="F1562" s="61" t="str">
        <f aca="false">INDEX(Parametros!$I$5:$I$16,$E1562)</f>
        <v>Abr</v>
      </c>
      <c r="G1562" s="61" t="str">
        <f aca="false">TEXT($C1562,"0000")&amp;"-"&amp;TEXT($E1562,"00")</f>
        <v>2025-04</v>
      </c>
      <c r="H1562" s="61" t="str">
        <f aca="false">INDEX(Parametros!$C$71:$C$91,MATCH(TRIM(INDEX(Datos_Origen!$C$2:$C$2459,$Z1562)),Parametros!$B$71:$B$91,0))</f>
        <v>Cuyo</v>
      </c>
      <c r="I1562" s="61" t="str">
        <f aca="false">IF(TRIM($AD1562)="",INDEX(Parametros!$I$20:$I$24,MATCH($H1562,Parametros!$H$20:$H$24,0)),TRIM($AD1562))</f>
        <v>Mendoza</v>
      </c>
      <c r="J1562" s="61" t="str">
        <f aca="false">INDEX(Parametros!$C$95:$C$106,MATCH(TRIM(INDEX(Datos_Origen!$E$2:$E$2459,$Z1562)),Parametros!$B$95:$B$106,0))</f>
        <v>Tienda fisica</v>
      </c>
      <c r="K1562" s="61" t="str">
        <f aca="false">INDEX(Parametros!$C$48:$C$67,MATCH(TRIM(INDEX(Datos_Origen!$F$2:$F$2459,$Z1562)),Parametros!$B$48:$B$67,0))</f>
        <v>Computacion</v>
      </c>
      <c r="L1562" s="61" t="str">
        <f aca="false">$K1562&amp;" "&amp;$C1562</f>
        <v>Computacion 2025</v>
      </c>
      <c r="M1562" s="61" t="str">
        <f aca="false">TRIM(INDEX(Datos_Origen!$G$2:$G$2459,$Z1562))</f>
        <v>Laptop Pro 15</v>
      </c>
      <c r="N1562" s="61" t="str">
        <f aca="false">$M1562&amp;" "&amp;$C1562</f>
        <v>Laptop Pro 15 2025</v>
      </c>
      <c r="O1562" s="63" t="n">
        <f aca="false">IF(ISTEXT($AC1562),VALUE($AC1562),$AC1562)</f>
        <v>5</v>
      </c>
      <c r="P1562" s="64" t="n">
        <f aca="false">INDEX(Datos_Origen!$I$2:$I$2459,$Z1562)</f>
        <v>1155.06</v>
      </c>
      <c r="Q1562" s="64" t="n">
        <f aca="false">INDEX(Datos_Origen!$J$2:$J$2459,$Z1562)</f>
        <v>766.32</v>
      </c>
      <c r="R1562" s="65" t="n">
        <f aca="false">ROUND($O1562*$P1562,2)</f>
        <v>5775.3</v>
      </c>
      <c r="S1562" s="65" t="n">
        <f aca="false">ROUND($O1562*$Q1562,2)</f>
        <v>3831.6</v>
      </c>
      <c r="T1562" s="65" t="n">
        <f aca="false">ROUND($R1562*SUMIFS(Parametros!$E$28:$E$43,Parametros!$B$28:$B$43,$J1562,Parametros!$C$28:$C$43,$C1562,Parametros!$D$28:$D$43,$D1562),2)</f>
        <v>80.85</v>
      </c>
      <c r="U1562" s="65" t="n">
        <f aca="false">$R1562-$S1562-$T1562</f>
        <v>1862.85</v>
      </c>
      <c r="V1562" s="66" t="n">
        <f aca="false">IFERROR($U1562/$R1562,0)</f>
        <v>0.322554672484546</v>
      </c>
      <c r="W1562" s="67" t="str">
        <f aca="false">IF(AND($V1562&gt;=Parametros!$C$8,$R1562&gt;=Parametros!$C$12),"Alta rentabilidad",IF(OR($V1562&lt;Parametros!$C$11,$R1562&lt;Parametros!$C$13),"Revisar","Estandar"))</f>
        <v>Estandar</v>
      </c>
      <c r="X1562" s="67" t="str">
        <f aca="false">IF(AND($J1562="E-commerce",IFERROR($T1562/$R1562,0)&gt;Parametros!$C$14),"Alerta","OK")</f>
        <v>OK</v>
      </c>
      <c r="Y1562" s="61" t="str">
        <f aca="false">IF($R1562&gt;=Parametros!$C$12,"Alto",IF($R1562&lt;Parametros!$C$13,"Bajo","Medio"))</f>
        <v>Alto</v>
      </c>
      <c r="Z1562" s="61" t="n">
        <v>399</v>
      </c>
      <c r="AA1562" s="61" t="str">
        <f aca="false">IF(MATCH($A1562,Datos_Origen!$A$2:$A$2459,0)=$Z1562,"OK","REVISAR")</f>
        <v>OK</v>
      </c>
      <c r="AB1562" s="62" t="n">
        <f aca="false">INDEX(Datos_Origen!$B$2:$B$2459,$Z1562)</f>
        <v>45767</v>
      </c>
      <c r="AC1562" s="61" t="n">
        <f aca="false">INDEX(Datos_Origen!$H$2:$H$2459,$Z1562)</f>
        <v>5</v>
      </c>
      <c r="AD1562" s="61" t="str">
        <f aca="false">INDEX(Datos_Origen!$D$2:$D$2459,$Z1562)&amp;""</f>
        <v>Mendoza</v>
      </c>
    </row>
    <row r="1563" customFormat="false" ht="15" hidden="false" customHeight="false" outlineLevel="0" collapsed="false">
      <c r="A1563" s="61" t="n">
        <f aca="false">INDEX(Datos_Origen!$A$2:$A$2459,$Z1563)</f>
        <v>1562</v>
      </c>
      <c r="B1563" s="62" t="n">
        <f aca="false">IF(ISNUMBER($AB1563),$AB1563,IF(MID($AB1563,5,1)="-",DATE(VALUE(LEFT($AB1563,4)),VALUE(MID($AB1563,6,2)),VALUE(RIGHT($AB1563,2))),DATE(VALUE(RIGHT($AB1563,4)),VALUE(MID($AB1563,4,2)),VALUE(LEFT($AB1563,2)))))</f>
        <v>45774</v>
      </c>
      <c r="C1563" s="61" t="n">
        <f aca="false">YEAR($B1563)</f>
        <v>2025</v>
      </c>
      <c r="D1563" s="61" t="str">
        <f aca="false">"Q"&amp;ROUNDUP(MONTH($B1563)/3,0)</f>
        <v>Q2</v>
      </c>
      <c r="E1563" s="61" t="n">
        <f aca="false">MONTH($B1563)</f>
        <v>4</v>
      </c>
      <c r="F1563" s="61" t="str">
        <f aca="false">INDEX(Parametros!$I$5:$I$16,$E1563)</f>
        <v>Abr</v>
      </c>
      <c r="G1563" s="61" t="str">
        <f aca="false">TEXT($C1563,"0000")&amp;"-"&amp;TEXT($E1563,"00")</f>
        <v>2025-04</v>
      </c>
      <c r="H1563" s="61" t="str">
        <f aca="false">INDEX(Parametros!$C$71:$C$91,MATCH(TRIM(INDEX(Datos_Origen!$C$2:$C$2459,$Z1563)),Parametros!$B$71:$B$91,0))</f>
        <v>Cuyo</v>
      </c>
      <c r="I1563" s="61" t="str">
        <f aca="false">IF(TRIM($AD1563)="",INDEX(Parametros!$I$20:$I$24,MATCH($H1563,Parametros!$H$20:$H$24,0)),TRIM($AD1563))</f>
        <v>Mendoza</v>
      </c>
      <c r="J1563" s="61" t="str">
        <f aca="false">INDEX(Parametros!$C$95:$C$106,MATCH(TRIM(INDEX(Datos_Origen!$E$2:$E$2459,$Z1563)),Parametros!$B$95:$B$106,0))</f>
        <v>E-commerce</v>
      </c>
      <c r="K1563" s="61" t="str">
        <f aca="false">INDEX(Parametros!$C$48:$C$67,MATCH(TRIM(INDEX(Datos_Origen!$F$2:$F$2459,$Z1563)),Parametros!$B$48:$B$67,0))</f>
        <v>Computacion</v>
      </c>
      <c r="L1563" s="61" t="str">
        <f aca="false">$K1563&amp;" "&amp;$C1563</f>
        <v>Computacion 2025</v>
      </c>
      <c r="M1563" s="61" t="str">
        <f aca="false">TRIM(INDEX(Datos_Origen!$G$2:$G$2459,$Z1563))</f>
        <v>Laptop Pro 15</v>
      </c>
      <c r="N1563" s="61" t="str">
        <f aca="false">$M1563&amp;" "&amp;$C1563</f>
        <v>Laptop Pro 15 2025</v>
      </c>
      <c r="O1563" s="63" t="n">
        <f aca="false">IF(ISTEXT($AC1563),VALUE($AC1563),$AC1563)</f>
        <v>4</v>
      </c>
      <c r="P1563" s="64" t="n">
        <f aca="false">INDEX(Datos_Origen!$I$2:$I$2459,$Z1563)</f>
        <v>1155.06</v>
      </c>
      <c r="Q1563" s="64" t="n">
        <f aca="false">INDEX(Datos_Origen!$J$2:$J$2459,$Z1563)</f>
        <v>766.32</v>
      </c>
      <c r="R1563" s="65" t="n">
        <f aca="false">ROUND($O1563*$P1563,2)</f>
        <v>4620.24</v>
      </c>
      <c r="S1563" s="65" t="n">
        <f aca="false">ROUND($O1563*$Q1563,2)</f>
        <v>3065.28</v>
      </c>
      <c r="T1563" s="65" t="n">
        <f aca="false">ROUND($R1563*SUMIFS(Parametros!$E$28:$E$43,Parametros!$B$28:$B$43,$J1563,Parametros!$C$28:$C$43,$C1563,Parametros!$D$28:$D$43,$D1563),2)</f>
        <v>341.9</v>
      </c>
      <c r="U1563" s="65" t="n">
        <f aca="false">$R1563-$S1563-$T1563</f>
        <v>1213.06</v>
      </c>
      <c r="V1563" s="66" t="n">
        <f aca="false">IFERROR($U1563/$R1563,0)</f>
        <v>0.262553460426298</v>
      </c>
      <c r="W1563" s="67" t="str">
        <f aca="false">IF(AND($V1563&gt;=Parametros!$C$8,$R1563&gt;=Parametros!$C$12),"Alta rentabilidad",IF(OR($V1563&lt;Parametros!$C$11,$R1563&lt;Parametros!$C$13),"Revisar","Estandar"))</f>
        <v>Revisar</v>
      </c>
      <c r="X1563" s="67" t="str">
        <f aca="false">IF(AND($J1563="E-commerce",IFERROR($T1563/$R1563,0)&gt;Parametros!$C$14),"Alerta","OK")</f>
        <v>Alerta</v>
      </c>
      <c r="Y1563" s="61" t="str">
        <f aca="false">IF($R1563&gt;=Parametros!$C$12,"Alto",IF($R1563&lt;Parametros!$C$13,"Bajo","Medio"))</f>
        <v>Alto</v>
      </c>
      <c r="Z1563" s="61" t="n">
        <v>1272</v>
      </c>
      <c r="AA1563" s="61" t="str">
        <f aca="false">IF(MATCH($A1563,Datos_Origen!$A$2:$A$2459,0)=$Z1563,"OK","REVISAR")</f>
        <v>OK</v>
      </c>
      <c r="AB1563" s="62" t="n">
        <f aca="false">INDEX(Datos_Origen!$B$2:$B$2459,$Z1563)</f>
        <v>45774</v>
      </c>
      <c r="AC1563" s="61" t="n">
        <f aca="false">INDEX(Datos_Origen!$H$2:$H$2459,$Z1563)</f>
        <v>4</v>
      </c>
      <c r="AD1563" s="61" t="str">
        <f aca="false">INDEX(Datos_Origen!$D$2:$D$2459,$Z1563)&amp;""</f>
        <v>Mendoza</v>
      </c>
    </row>
    <row r="1564" customFormat="false" ht="15" hidden="false" customHeight="false" outlineLevel="0" collapsed="false">
      <c r="A1564" s="61" t="n">
        <f aca="false">INDEX(Datos_Origen!$A$2:$A$2459,$Z1564)</f>
        <v>1563</v>
      </c>
      <c r="B1564" s="62" t="n">
        <f aca="false">IF(ISNUMBER($AB1564),$AB1564,IF(MID($AB1564,5,1)="-",DATE(VALUE(LEFT($AB1564,4)),VALUE(MID($AB1564,6,2)),VALUE(RIGHT($AB1564,2))),DATE(VALUE(RIGHT($AB1564,4)),VALUE(MID($AB1564,4,2)),VALUE(LEFT($AB1564,2)))))</f>
        <v>45754</v>
      </c>
      <c r="C1564" s="61" t="n">
        <f aca="false">YEAR($B1564)</f>
        <v>2025</v>
      </c>
      <c r="D1564" s="61" t="str">
        <f aca="false">"Q"&amp;ROUNDUP(MONTH($B1564)/3,0)</f>
        <v>Q2</v>
      </c>
      <c r="E1564" s="61" t="n">
        <f aca="false">MONTH($B1564)</f>
        <v>4</v>
      </c>
      <c r="F1564" s="61" t="str">
        <f aca="false">INDEX(Parametros!$I$5:$I$16,$E1564)</f>
        <v>Abr</v>
      </c>
      <c r="G1564" s="61" t="str">
        <f aca="false">TEXT($C1564,"0000")&amp;"-"&amp;TEXT($E1564,"00")</f>
        <v>2025-04</v>
      </c>
      <c r="H1564" s="61" t="str">
        <f aca="false">INDEX(Parametros!$C$71:$C$91,MATCH(TRIM(INDEX(Datos_Origen!$C$2:$C$2459,$Z1564)),Parametros!$B$71:$B$91,0))</f>
        <v>Cuyo</v>
      </c>
      <c r="I1564" s="61" t="str">
        <f aca="false">IF(TRIM($AD1564)="",INDEX(Parametros!$I$20:$I$24,MATCH($H1564,Parametros!$H$20:$H$24,0)),TRIM($AD1564))</f>
        <v>Mendoza</v>
      </c>
      <c r="J1564" s="61" t="str">
        <f aca="false">INDEX(Parametros!$C$95:$C$106,MATCH(TRIM(INDEX(Datos_Origen!$E$2:$E$2459,$Z1564)),Parametros!$B$95:$B$106,0))</f>
        <v>Tienda fisica</v>
      </c>
      <c r="K1564" s="61" t="str">
        <f aca="false">INDEX(Parametros!$C$48:$C$67,MATCH(TRIM(INDEX(Datos_Origen!$F$2:$F$2459,$Z1564)),Parametros!$B$48:$B$67,0))</f>
        <v>Computacion</v>
      </c>
      <c r="L1564" s="61" t="str">
        <f aca="false">$K1564&amp;" "&amp;$C1564</f>
        <v>Computacion 2025</v>
      </c>
      <c r="M1564" s="61" t="str">
        <f aca="false">TRIM(INDEX(Datos_Origen!$G$2:$G$2459,$Z1564))</f>
        <v>Monitor 4K 27</v>
      </c>
      <c r="N1564" s="61" t="str">
        <f aca="false">$M1564&amp;" "&amp;$C1564</f>
        <v>Monitor 4K 27 2025</v>
      </c>
      <c r="O1564" s="63" t="n">
        <f aca="false">IF(ISTEXT($AC1564),VALUE($AC1564),$AC1564)</f>
        <v>5</v>
      </c>
      <c r="P1564" s="64" t="n">
        <f aca="false">INDEX(Datos_Origen!$I$2:$I$2459,$Z1564)</f>
        <v>433.15</v>
      </c>
      <c r="Q1564" s="64" t="n">
        <f aca="false">INDEX(Datos_Origen!$J$2:$J$2459,$Z1564)</f>
        <v>280.42</v>
      </c>
      <c r="R1564" s="65" t="n">
        <f aca="false">ROUND($O1564*$P1564,2)</f>
        <v>2165.75</v>
      </c>
      <c r="S1564" s="65" t="n">
        <f aca="false">ROUND($O1564*$Q1564,2)</f>
        <v>1402.1</v>
      </c>
      <c r="T1564" s="65" t="n">
        <f aca="false">ROUND($R1564*SUMIFS(Parametros!$E$28:$E$43,Parametros!$B$28:$B$43,$J1564,Parametros!$C$28:$C$43,$C1564,Parametros!$D$28:$D$43,$D1564),2)</f>
        <v>30.32</v>
      </c>
      <c r="U1564" s="65" t="n">
        <f aca="false">$R1564-$S1564-$T1564</f>
        <v>733.33</v>
      </c>
      <c r="V1564" s="66" t="n">
        <f aca="false">IFERROR($U1564/$R1564,0)</f>
        <v>0.338603255223364</v>
      </c>
      <c r="W1564" s="67" t="str">
        <f aca="false">IF(AND($V1564&gt;=Parametros!$C$8,$R1564&gt;=Parametros!$C$12),"Alta rentabilidad",IF(OR($V1564&lt;Parametros!$C$11,$R1564&lt;Parametros!$C$13),"Revisar","Estandar"))</f>
        <v>Estandar</v>
      </c>
      <c r="X1564" s="67" t="str">
        <f aca="false">IF(AND($J1564="E-commerce",IFERROR($T1564/$R1564,0)&gt;Parametros!$C$14),"Alerta","OK")</f>
        <v>OK</v>
      </c>
      <c r="Y1564" s="61" t="str">
        <f aca="false">IF($R1564&gt;=Parametros!$C$12,"Alto",IF($R1564&lt;Parametros!$C$13,"Bajo","Medio"))</f>
        <v>Medio</v>
      </c>
      <c r="Z1564" s="61" t="n">
        <v>1390</v>
      </c>
      <c r="AA1564" s="61" t="str">
        <f aca="false">IF(MATCH($A1564,Datos_Origen!$A$2:$A$2459,0)=$Z1564,"OK","REVISAR")</f>
        <v>OK</v>
      </c>
      <c r="AB1564" s="62" t="n">
        <f aca="false">INDEX(Datos_Origen!$B$2:$B$2459,$Z1564)</f>
        <v>45754</v>
      </c>
      <c r="AC1564" s="61" t="str">
        <f aca="false">INDEX(Datos_Origen!$H$2:$H$2459,$Z1564)</f>
        <v>5</v>
      </c>
      <c r="AD1564" s="61" t="str">
        <f aca="false">INDEX(Datos_Origen!$D$2:$D$2459,$Z1564)&amp;""</f>
        <v>Mendoza</v>
      </c>
    </row>
    <row r="1565" customFormat="false" ht="15" hidden="false" customHeight="false" outlineLevel="0" collapsed="false">
      <c r="A1565" s="61" t="n">
        <f aca="false">INDEX(Datos_Origen!$A$2:$A$2459,$Z1565)</f>
        <v>1564</v>
      </c>
      <c r="B1565" s="62" t="n">
        <f aca="false">IF(ISNUMBER($AB1565),$AB1565,IF(MID($AB1565,5,1)="-",DATE(VALUE(LEFT($AB1565,4)),VALUE(MID($AB1565,6,2)),VALUE(RIGHT($AB1565,2))),DATE(VALUE(RIGHT($AB1565,4)),VALUE(MID($AB1565,4,2)),VALUE(LEFT($AB1565,2)))))</f>
        <v>45761</v>
      </c>
      <c r="C1565" s="61" t="n">
        <f aca="false">YEAR($B1565)</f>
        <v>2025</v>
      </c>
      <c r="D1565" s="61" t="str">
        <f aca="false">"Q"&amp;ROUNDUP(MONTH($B1565)/3,0)</f>
        <v>Q2</v>
      </c>
      <c r="E1565" s="61" t="n">
        <f aca="false">MONTH($B1565)</f>
        <v>4</v>
      </c>
      <c r="F1565" s="61" t="str">
        <f aca="false">INDEX(Parametros!$I$5:$I$16,$E1565)</f>
        <v>Abr</v>
      </c>
      <c r="G1565" s="61" t="str">
        <f aca="false">TEXT($C1565,"0000")&amp;"-"&amp;TEXT($E1565,"00")</f>
        <v>2025-04</v>
      </c>
      <c r="H1565" s="61" t="str">
        <f aca="false">INDEX(Parametros!$C$71:$C$91,MATCH(TRIM(INDEX(Datos_Origen!$C$2:$C$2459,$Z1565)),Parametros!$B$71:$B$91,0))</f>
        <v>Cuyo</v>
      </c>
      <c r="I1565" s="61" t="str">
        <f aca="false">IF(TRIM($AD1565)="",INDEX(Parametros!$I$20:$I$24,MATCH($H1565,Parametros!$H$20:$H$24,0)),TRIM($AD1565))</f>
        <v>Mendoza</v>
      </c>
      <c r="J1565" s="61" t="str">
        <f aca="false">INDEX(Parametros!$C$95:$C$106,MATCH(TRIM(INDEX(Datos_Origen!$E$2:$E$2459,$Z1565)),Parametros!$B$95:$B$106,0))</f>
        <v>E-commerce</v>
      </c>
      <c r="K1565" s="61" t="str">
        <f aca="false">INDEX(Parametros!$C$48:$C$67,MATCH(TRIM(INDEX(Datos_Origen!$F$2:$F$2459,$Z1565)),Parametros!$B$48:$B$67,0))</f>
        <v>Computacion</v>
      </c>
      <c r="L1565" s="61" t="str">
        <f aca="false">$K1565&amp;" "&amp;$C1565</f>
        <v>Computacion 2025</v>
      </c>
      <c r="M1565" s="61" t="str">
        <f aca="false">TRIM(INDEX(Datos_Origen!$G$2:$G$2459,$Z1565))</f>
        <v>Monitor 4K 27</v>
      </c>
      <c r="N1565" s="61" t="str">
        <f aca="false">$M1565&amp;" "&amp;$C1565</f>
        <v>Monitor 4K 27 2025</v>
      </c>
      <c r="O1565" s="63" t="n">
        <f aca="false">IF(ISTEXT($AC1565),VALUE($AC1565),$AC1565)</f>
        <v>4</v>
      </c>
      <c r="P1565" s="64" t="n">
        <f aca="false">INDEX(Datos_Origen!$I$2:$I$2459,$Z1565)</f>
        <v>433.15</v>
      </c>
      <c r="Q1565" s="64" t="n">
        <f aca="false">INDEX(Datos_Origen!$J$2:$J$2459,$Z1565)</f>
        <v>280.42</v>
      </c>
      <c r="R1565" s="65" t="n">
        <f aca="false">ROUND($O1565*$P1565,2)</f>
        <v>1732.6</v>
      </c>
      <c r="S1565" s="65" t="n">
        <f aca="false">ROUND($O1565*$Q1565,2)</f>
        <v>1121.68</v>
      </c>
      <c r="T1565" s="65" t="n">
        <f aca="false">ROUND($R1565*SUMIFS(Parametros!$E$28:$E$43,Parametros!$B$28:$B$43,$J1565,Parametros!$C$28:$C$43,$C1565,Parametros!$D$28:$D$43,$D1565),2)</f>
        <v>128.21</v>
      </c>
      <c r="U1565" s="65" t="n">
        <f aca="false">$R1565-$S1565-$T1565</f>
        <v>482.71</v>
      </c>
      <c r="V1565" s="66" t="n">
        <f aca="false">IFERROR($U1565/$R1565,0)</f>
        <v>0.27860440955789</v>
      </c>
      <c r="W1565" s="67" t="str">
        <f aca="false">IF(AND($V1565&gt;=Parametros!$C$8,$R1565&gt;=Parametros!$C$12),"Alta rentabilidad",IF(OR($V1565&lt;Parametros!$C$11,$R1565&lt;Parametros!$C$13),"Revisar","Estandar"))</f>
        <v>Revisar</v>
      </c>
      <c r="X1565" s="67" t="str">
        <f aca="false">IF(AND($J1565="E-commerce",IFERROR($T1565/$R1565,0)&gt;Parametros!$C$14),"Alerta","OK")</f>
        <v>Alerta</v>
      </c>
      <c r="Y1565" s="61" t="str">
        <f aca="false">IF($R1565&gt;=Parametros!$C$12,"Alto",IF($R1565&lt;Parametros!$C$13,"Bajo","Medio"))</f>
        <v>Medio</v>
      </c>
      <c r="Z1565" s="61" t="n">
        <v>1900</v>
      </c>
      <c r="AA1565" s="61" t="str">
        <f aca="false">IF(MATCH($A1565,Datos_Origen!$A$2:$A$2459,0)=$Z1565,"OK","REVISAR")</f>
        <v>OK</v>
      </c>
      <c r="AB1565" s="62" t="n">
        <f aca="false">INDEX(Datos_Origen!$B$2:$B$2459,$Z1565)</f>
        <v>45761</v>
      </c>
      <c r="AC1565" s="61" t="n">
        <f aca="false">INDEX(Datos_Origen!$H$2:$H$2459,$Z1565)</f>
        <v>4</v>
      </c>
      <c r="AD1565" s="61" t="str">
        <f aca="false">INDEX(Datos_Origen!$D$2:$D$2459,$Z1565)&amp;""</f>
        <v>Mendoza</v>
      </c>
    </row>
    <row r="1566" customFormat="false" ht="15" hidden="false" customHeight="false" outlineLevel="0" collapsed="false">
      <c r="A1566" s="61" t="n">
        <f aca="false">INDEX(Datos_Origen!$A$2:$A$2459,$Z1566)</f>
        <v>1565</v>
      </c>
      <c r="B1566" s="62" t="n">
        <f aca="false">IF(ISNUMBER($AB1566),$AB1566,IF(MID($AB1566,5,1)="-",DATE(VALUE(LEFT($AB1566,4)),VALUE(MID($AB1566,6,2)),VALUE(RIGHT($AB1566,2))),DATE(VALUE(RIGHT($AB1566,4)),VALUE(MID($AB1566,4,2)),VALUE(LEFT($AB1566,2)))))</f>
        <v>45768</v>
      </c>
      <c r="C1566" s="61" t="n">
        <f aca="false">YEAR($B1566)</f>
        <v>2025</v>
      </c>
      <c r="D1566" s="61" t="str">
        <f aca="false">"Q"&amp;ROUNDUP(MONTH($B1566)/3,0)</f>
        <v>Q2</v>
      </c>
      <c r="E1566" s="61" t="n">
        <f aca="false">MONTH($B1566)</f>
        <v>4</v>
      </c>
      <c r="F1566" s="61" t="str">
        <f aca="false">INDEX(Parametros!$I$5:$I$16,$E1566)</f>
        <v>Abr</v>
      </c>
      <c r="G1566" s="61" t="str">
        <f aca="false">TEXT($C1566,"0000")&amp;"-"&amp;TEXT($E1566,"00")</f>
        <v>2025-04</v>
      </c>
      <c r="H1566" s="61" t="str">
        <f aca="false">INDEX(Parametros!$C$71:$C$91,MATCH(TRIM(INDEX(Datos_Origen!$C$2:$C$2459,$Z1566)),Parametros!$B$71:$B$91,0))</f>
        <v>Cuyo</v>
      </c>
      <c r="I1566" s="61" t="str">
        <f aca="false">IF(TRIM($AD1566)="",INDEX(Parametros!$I$20:$I$24,MATCH($H1566,Parametros!$H$20:$H$24,0)),TRIM($AD1566))</f>
        <v>Mendoza</v>
      </c>
      <c r="J1566" s="61" t="str">
        <f aca="false">INDEX(Parametros!$C$95:$C$106,MATCH(TRIM(INDEX(Datos_Origen!$E$2:$E$2459,$Z1566)),Parametros!$B$95:$B$106,0))</f>
        <v>Tienda fisica</v>
      </c>
      <c r="K1566" s="61" t="str">
        <f aca="false">INDEX(Parametros!$C$48:$C$67,MATCH(TRIM(INDEX(Datos_Origen!$F$2:$F$2459,$Z1566)),Parametros!$B$48:$B$67,0))</f>
        <v>Computacion</v>
      </c>
      <c r="L1566" s="61" t="str">
        <f aca="false">$K1566&amp;" "&amp;$C1566</f>
        <v>Computacion 2025</v>
      </c>
      <c r="M1566" s="61" t="str">
        <f aca="false">TRIM(INDEX(Datos_Origen!$G$2:$G$2459,$Z1566))</f>
        <v>PC Gamer Ryzen</v>
      </c>
      <c r="N1566" s="61" t="str">
        <f aca="false">$M1566&amp;" "&amp;$C1566</f>
        <v>PC Gamer Ryzen 2025</v>
      </c>
      <c r="O1566" s="63" t="n">
        <f aca="false">IF(ISTEXT($AC1566),VALUE($AC1566),$AC1566)</f>
        <v>5</v>
      </c>
      <c r="P1566" s="64" t="n">
        <f aca="false">INDEX(Datos_Origen!$I$2:$I$2459,$Z1566)</f>
        <v>1588.21</v>
      </c>
      <c r="Q1566" s="64" t="n">
        <f aca="false">INDEX(Datos_Origen!$J$2:$J$2459,$Z1566)</f>
        <v>1155.66</v>
      </c>
      <c r="R1566" s="65" t="n">
        <f aca="false">ROUND($O1566*$P1566,2)</f>
        <v>7941.05</v>
      </c>
      <c r="S1566" s="65" t="n">
        <f aca="false">ROUND($O1566*$Q1566,2)</f>
        <v>5778.3</v>
      </c>
      <c r="T1566" s="65" t="n">
        <f aca="false">ROUND($R1566*SUMIFS(Parametros!$E$28:$E$43,Parametros!$B$28:$B$43,$J1566,Parametros!$C$28:$C$43,$C1566,Parametros!$D$28:$D$43,$D1566),2)</f>
        <v>111.17</v>
      </c>
      <c r="U1566" s="65" t="n">
        <f aca="false">$R1566-$S1566-$T1566</f>
        <v>2051.58</v>
      </c>
      <c r="V1566" s="66" t="n">
        <f aca="false">IFERROR($U1566/$R1566,0)</f>
        <v>0.258351225593593</v>
      </c>
      <c r="W1566" s="67" t="str">
        <f aca="false">IF(AND($V1566&gt;=Parametros!$C$8,$R1566&gt;=Parametros!$C$12),"Alta rentabilidad",IF(OR($V1566&lt;Parametros!$C$11,$R1566&lt;Parametros!$C$13),"Revisar","Estandar"))</f>
        <v>Revisar</v>
      </c>
      <c r="X1566" s="67" t="str">
        <f aca="false">IF(AND($J1566="E-commerce",IFERROR($T1566/$R1566,0)&gt;Parametros!$C$14),"Alerta","OK")</f>
        <v>OK</v>
      </c>
      <c r="Y1566" s="61" t="str">
        <f aca="false">IF($R1566&gt;=Parametros!$C$12,"Alto",IF($R1566&lt;Parametros!$C$13,"Bajo","Medio"))</f>
        <v>Alto</v>
      </c>
      <c r="Z1566" s="61" t="n">
        <v>226</v>
      </c>
      <c r="AA1566" s="61" t="str">
        <f aca="false">IF(MATCH($A1566,Datos_Origen!$A$2:$A$2459,0)=$Z1566,"OK","REVISAR")</f>
        <v>OK</v>
      </c>
      <c r="AB1566" s="61" t="str">
        <f aca="false">INDEX(Datos_Origen!$B$2:$B$2459,$Z1566)</f>
        <v>21/04/2025</v>
      </c>
      <c r="AC1566" s="61" t="n">
        <f aca="false">INDEX(Datos_Origen!$H$2:$H$2459,$Z1566)</f>
        <v>5</v>
      </c>
      <c r="AD1566" s="61" t="str">
        <f aca="false">INDEX(Datos_Origen!$D$2:$D$2459,$Z1566)&amp;""</f>
        <v>Mendoza</v>
      </c>
    </row>
    <row r="1567" customFormat="false" ht="15" hidden="false" customHeight="false" outlineLevel="0" collapsed="false">
      <c r="A1567" s="61" t="n">
        <f aca="false">INDEX(Datos_Origen!$A$2:$A$2459,$Z1567)</f>
        <v>1566</v>
      </c>
      <c r="B1567" s="62" t="n">
        <f aca="false">IF(ISNUMBER($AB1567),$AB1567,IF(MID($AB1567,5,1)="-",DATE(VALUE(LEFT($AB1567,4)),VALUE(MID($AB1567,6,2)),VALUE(RIGHT($AB1567,2))),DATE(VALUE(RIGHT($AB1567,4)),VALUE(MID($AB1567,4,2)),VALUE(LEFT($AB1567,2)))))</f>
        <v>45748</v>
      </c>
      <c r="C1567" s="61" t="n">
        <f aca="false">YEAR($B1567)</f>
        <v>2025</v>
      </c>
      <c r="D1567" s="61" t="str">
        <f aca="false">"Q"&amp;ROUNDUP(MONTH($B1567)/3,0)</f>
        <v>Q2</v>
      </c>
      <c r="E1567" s="61" t="n">
        <f aca="false">MONTH($B1567)</f>
        <v>4</v>
      </c>
      <c r="F1567" s="61" t="str">
        <f aca="false">INDEX(Parametros!$I$5:$I$16,$E1567)</f>
        <v>Abr</v>
      </c>
      <c r="G1567" s="61" t="str">
        <f aca="false">TEXT($C1567,"0000")&amp;"-"&amp;TEXT($E1567,"00")</f>
        <v>2025-04</v>
      </c>
      <c r="H1567" s="61" t="str">
        <f aca="false">INDEX(Parametros!$C$71:$C$91,MATCH(TRIM(INDEX(Datos_Origen!$C$2:$C$2459,$Z1567)),Parametros!$B$71:$B$91,0))</f>
        <v>Cuyo</v>
      </c>
      <c r="I1567" s="61" t="str">
        <f aca="false">IF(TRIM($AD1567)="",INDEX(Parametros!$I$20:$I$24,MATCH($H1567,Parametros!$H$20:$H$24,0)),TRIM($AD1567))</f>
        <v>Mendoza</v>
      </c>
      <c r="J1567" s="61" t="str">
        <f aca="false">INDEX(Parametros!$C$95:$C$106,MATCH(TRIM(INDEX(Datos_Origen!$E$2:$E$2459,$Z1567)),Parametros!$B$95:$B$106,0))</f>
        <v>E-commerce</v>
      </c>
      <c r="K1567" s="61" t="str">
        <f aca="false">INDEX(Parametros!$C$48:$C$67,MATCH(TRIM(INDEX(Datos_Origen!$F$2:$F$2459,$Z1567)),Parametros!$B$48:$B$67,0))</f>
        <v>Computacion</v>
      </c>
      <c r="L1567" s="61" t="str">
        <f aca="false">$K1567&amp;" "&amp;$C1567</f>
        <v>Computacion 2025</v>
      </c>
      <c r="M1567" s="61" t="str">
        <f aca="false">TRIM(INDEX(Datos_Origen!$G$2:$G$2459,$Z1567))</f>
        <v>PC Gamer Ryzen</v>
      </c>
      <c r="N1567" s="61" t="str">
        <f aca="false">$M1567&amp;" "&amp;$C1567</f>
        <v>PC Gamer Ryzen 2025</v>
      </c>
      <c r="O1567" s="63" t="n">
        <f aca="false">IF(ISTEXT($AC1567),VALUE($AC1567),$AC1567)</f>
        <v>5</v>
      </c>
      <c r="P1567" s="64" t="n">
        <f aca="false">INDEX(Datos_Origen!$I$2:$I$2459,$Z1567)</f>
        <v>1588.21</v>
      </c>
      <c r="Q1567" s="64" t="n">
        <f aca="false">INDEX(Datos_Origen!$J$2:$J$2459,$Z1567)</f>
        <v>1155.66</v>
      </c>
      <c r="R1567" s="65" t="n">
        <f aca="false">ROUND($O1567*$P1567,2)</f>
        <v>7941.05</v>
      </c>
      <c r="S1567" s="65" t="n">
        <f aca="false">ROUND($O1567*$Q1567,2)</f>
        <v>5778.3</v>
      </c>
      <c r="T1567" s="65" t="n">
        <f aca="false">ROUND($R1567*SUMIFS(Parametros!$E$28:$E$43,Parametros!$B$28:$B$43,$J1567,Parametros!$C$28:$C$43,$C1567,Parametros!$D$28:$D$43,$D1567),2)</f>
        <v>587.64</v>
      </c>
      <c r="U1567" s="65" t="n">
        <f aca="false">$R1567-$S1567-$T1567</f>
        <v>1575.11</v>
      </c>
      <c r="V1567" s="66" t="n">
        <f aca="false">IFERROR($U1567/$R1567,0)</f>
        <v>0.198350344098073</v>
      </c>
      <c r="W1567" s="67" t="str">
        <f aca="false">IF(AND($V1567&gt;=Parametros!$C$8,$R1567&gt;=Parametros!$C$12),"Alta rentabilidad",IF(OR($V1567&lt;Parametros!$C$11,$R1567&lt;Parametros!$C$13),"Revisar","Estandar"))</f>
        <v>Revisar</v>
      </c>
      <c r="X1567" s="67" t="str">
        <f aca="false">IF(AND($J1567="E-commerce",IFERROR($T1567/$R1567,0)&gt;Parametros!$C$14),"Alerta","OK")</f>
        <v>Alerta</v>
      </c>
      <c r="Y1567" s="61" t="str">
        <f aca="false">IF($R1567&gt;=Parametros!$C$12,"Alto",IF($R1567&lt;Parametros!$C$13,"Bajo","Medio"))</f>
        <v>Alto</v>
      </c>
      <c r="Z1567" s="61" t="n">
        <v>1694</v>
      </c>
      <c r="AA1567" s="61" t="str">
        <f aca="false">IF(MATCH($A1567,Datos_Origen!$A$2:$A$2459,0)=$Z1567,"OK","REVISAR")</f>
        <v>OK</v>
      </c>
      <c r="AB1567" s="61" t="str">
        <f aca="false">INDEX(Datos_Origen!$B$2:$B$2459,$Z1567)</f>
        <v>01/04/2025</v>
      </c>
      <c r="AC1567" s="61" t="n">
        <f aca="false">INDEX(Datos_Origen!$H$2:$H$2459,$Z1567)</f>
        <v>5</v>
      </c>
      <c r="AD1567" s="61" t="str">
        <f aca="false">INDEX(Datos_Origen!$D$2:$D$2459,$Z1567)&amp;""</f>
        <v>Mendoza</v>
      </c>
    </row>
    <row r="1568" customFormat="false" ht="15" hidden="false" customHeight="false" outlineLevel="0" collapsed="false">
      <c r="A1568" s="61" t="n">
        <f aca="false">INDEX(Datos_Origen!$A$2:$A$2459,$Z1568)</f>
        <v>1567</v>
      </c>
      <c r="B1568" s="62" t="n">
        <f aca="false">IF(ISNUMBER($AB1568),$AB1568,IF(MID($AB1568,5,1)="-",DATE(VALUE(LEFT($AB1568,4)),VALUE(MID($AB1568,6,2)),VALUE(RIGHT($AB1568,2))),DATE(VALUE(RIGHT($AB1568,4)),VALUE(MID($AB1568,4,2)),VALUE(LEFT($AB1568,2)))))</f>
        <v>45755</v>
      </c>
      <c r="C1568" s="61" t="n">
        <f aca="false">YEAR($B1568)</f>
        <v>2025</v>
      </c>
      <c r="D1568" s="61" t="str">
        <f aca="false">"Q"&amp;ROUNDUP(MONTH($B1568)/3,0)</f>
        <v>Q2</v>
      </c>
      <c r="E1568" s="61" t="n">
        <f aca="false">MONTH($B1568)</f>
        <v>4</v>
      </c>
      <c r="F1568" s="61" t="str">
        <f aca="false">INDEX(Parametros!$I$5:$I$16,$E1568)</f>
        <v>Abr</v>
      </c>
      <c r="G1568" s="61" t="str">
        <f aca="false">TEXT($C1568,"0000")&amp;"-"&amp;TEXT($E1568,"00")</f>
        <v>2025-04</v>
      </c>
      <c r="H1568" s="61" t="str">
        <f aca="false">INDEX(Parametros!$C$71:$C$91,MATCH(TRIM(INDEX(Datos_Origen!$C$2:$C$2459,$Z1568)),Parametros!$B$71:$B$91,0))</f>
        <v>Cuyo</v>
      </c>
      <c r="I1568" s="61" t="str">
        <f aca="false">IF(TRIM($AD1568)="",INDEX(Parametros!$I$20:$I$24,MATCH($H1568,Parametros!$H$20:$H$24,0)),TRIM($AD1568))</f>
        <v>Mendoza</v>
      </c>
      <c r="J1568" s="61" t="str">
        <f aca="false">INDEX(Parametros!$C$95:$C$106,MATCH(TRIM(INDEX(Datos_Origen!$E$2:$E$2459,$Z1568)),Parametros!$B$95:$B$106,0))</f>
        <v>Tienda fisica</v>
      </c>
      <c r="K1568" s="61" t="str">
        <f aca="false">INDEX(Parametros!$C$48:$C$67,MATCH(TRIM(INDEX(Datos_Origen!$F$2:$F$2459,$Z1568)),Parametros!$B$48:$B$67,0))</f>
        <v>Accesorios</v>
      </c>
      <c r="L1568" s="61" t="str">
        <f aca="false">$K1568&amp;" "&amp;$C1568</f>
        <v>Accesorios 2025</v>
      </c>
      <c r="M1568" s="61" t="str">
        <f aca="false">TRIM(INDEX(Datos_Origen!$G$2:$G$2459,$Z1568))</f>
        <v>Mouse Inalambrico</v>
      </c>
      <c r="N1568" s="61" t="str">
        <f aca="false">$M1568&amp;" "&amp;$C1568</f>
        <v>Mouse Inalambrico 2025</v>
      </c>
      <c r="O1568" s="63" t="n">
        <f aca="false">IF(ISTEXT($AC1568),VALUE($AC1568),$AC1568)</f>
        <v>30</v>
      </c>
      <c r="P1568" s="64" t="n">
        <f aca="false">INDEX(Datos_Origen!$I$2:$I$2459,$Z1568)</f>
        <v>27.82</v>
      </c>
      <c r="Q1568" s="64" t="n">
        <f aca="false">INDEX(Datos_Origen!$J$2:$J$2459,$Z1568)</f>
        <v>13.84</v>
      </c>
      <c r="R1568" s="65" t="n">
        <f aca="false">ROUND($O1568*$P1568,2)</f>
        <v>834.6</v>
      </c>
      <c r="S1568" s="65" t="n">
        <f aca="false">ROUND($O1568*$Q1568,2)</f>
        <v>415.2</v>
      </c>
      <c r="T1568" s="65" t="n">
        <f aca="false">ROUND($R1568*SUMIFS(Parametros!$E$28:$E$43,Parametros!$B$28:$B$43,$J1568,Parametros!$C$28:$C$43,$C1568,Parametros!$D$28:$D$43,$D1568),2)</f>
        <v>11.68</v>
      </c>
      <c r="U1568" s="65" t="n">
        <f aca="false">$R1568-$S1568-$T1568</f>
        <v>407.72</v>
      </c>
      <c r="V1568" s="66" t="n">
        <f aca="false">IFERROR($U1568/$R1568,0)</f>
        <v>0.488521447399952</v>
      </c>
      <c r="W1568" s="67" t="str">
        <f aca="false">IF(AND($V1568&gt;=Parametros!$C$8,$R1568&gt;=Parametros!$C$12),"Alta rentabilidad",IF(OR($V1568&lt;Parametros!$C$11,$R1568&lt;Parametros!$C$13),"Revisar","Estandar"))</f>
        <v>Estandar</v>
      </c>
      <c r="X1568" s="67" t="str">
        <f aca="false">IF(AND($J1568="E-commerce",IFERROR($T1568/$R1568,0)&gt;Parametros!$C$14),"Alerta","OK")</f>
        <v>OK</v>
      </c>
      <c r="Y1568" s="61" t="str">
        <f aca="false">IF($R1568&gt;=Parametros!$C$12,"Alto",IF($R1568&lt;Parametros!$C$13,"Bajo","Medio"))</f>
        <v>Medio</v>
      </c>
      <c r="Z1568" s="61" t="n">
        <v>2352</v>
      </c>
      <c r="AA1568" s="61" t="str">
        <f aca="false">IF(MATCH($A1568,Datos_Origen!$A$2:$A$2459,0)=$Z1568,"OK","REVISAR")</f>
        <v>OK</v>
      </c>
      <c r="AB1568" s="61" t="str">
        <f aca="false">INDEX(Datos_Origen!$B$2:$B$2459,$Z1568)</f>
        <v>2025-04-08</v>
      </c>
      <c r="AC1568" s="61" t="n">
        <f aca="false">INDEX(Datos_Origen!$H$2:$H$2459,$Z1568)</f>
        <v>30</v>
      </c>
      <c r="AD1568" s="61" t="str">
        <f aca="false">INDEX(Datos_Origen!$D$2:$D$2459,$Z1568)&amp;""</f>
        <v>Mendoza</v>
      </c>
    </row>
    <row r="1569" customFormat="false" ht="15" hidden="false" customHeight="false" outlineLevel="0" collapsed="false">
      <c r="A1569" s="61" t="n">
        <f aca="false">INDEX(Datos_Origen!$A$2:$A$2459,$Z1569)</f>
        <v>1568</v>
      </c>
      <c r="B1569" s="62" t="n">
        <f aca="false">IF(ISNUMBER($AB1569),$AB1569,IF(MID($AB1569,5,1)="-",DATE(VALUE(LEFT($AB1569,4)),VALUE(MID($AB1569,6,2)),VALUE(RIGHT($AB1569,2))),DATE(VALUE(RIGHT($AB1569,4)),VALUE(MID($AB1569,4,2)),VALUE(LEFT($AB1569,2)))))</f>
        <v>45762</v>
      </c>
      <c r="C1569" s="61" t="n">
        <f aca="false">YEAR($B1569)</f>
        <v>2025</v>
      </c>
      <c r="D1569" s="61" t="str">
        <f aca="false">"Q"&amp;ROUNDUP(MONTH($B1569)/3,0)</f>
        <v>Q2</v>
      </c>
      <c r="E1569" s="61" t="n">
        <f aca="false">MONTH($B1569)</f>
        <v>4</v>
      </c>
      <c r="F1569" s="61" t="str">
        <f aca="false">INDEX(Parametros!$I$5:$I$16,$E1569)</f>
        <v>Abr</v>
      </c>
      <c r="G1569" s="61" t="str">
        <f aca="false">TEXT($C1569,"0000")&amp;"-"&amp;TEXT($E1569,"00")</f>
        <v>2025-04</v>
      </c>
      <c r="H1569" s="61" t="str">
        <f aca="false">INDEX(Parametros!$C$71:$C$91,MATCH(TRIM(INDEX(Datos_Origen!$C$2:$C$2459,$Z1569)),Parametros!$B$71:$B$91,0))</f>
        <v>Cuyo</v>
      </c>
      <c r="I1569" s="61" t="str">
        <f aca="false">IF(TRIM($AD1569)="",INDEX(Parametros!$I$20:$I$24,MATCH($H1569,Parametros!$H$20:$H$24,0)),TRIM($AD1569))</f>
        <v>Mendoza</v>
      </c>
      <c r="J1569" s="61" t="str">
        <f aca="false">INDEX(Parametros!$C$95:$C$106,MATCH(TRIM(INDEX(Datos_Origen!$E$2:$E$2459,$Z1569)),Parametros!$B$95:$B$106,0))</f>
        <v>E-commerce</v>
      </c>
      <c r="K1569" s="61" t="str">
        <f aca="false">INDEX(Parametros!$C$48:$C$67,MATCH(TRIM(INDEX(Datos_Origen!$F$2:$F$2459,$Z1569)),Parametros!$B$48:$B$67,0))</f>
        <v>Accesorios</v>
      </c>
      <c r="L1569" s="61" t="str">
        <f aca="false">$K1569&amp;" "&amp;$C1569</f>
        <v>Accesorios 2025</v>
      </c>
      <c r="M1569" s="61" t="str">
        <f aca="false">TRIM(INDEX(Datos_Origen!$G$2:$G$2459,$Z1569))</f>
        <v>Mouse Inalambrico</v>
      </c>
      <c r="N1569" s="61" t="str">
        <f aca="false">$M1569&amp;" "&amp;$C1569</f>
        <v>Mouse Inalambrico 2025</v>
      </c>
      <c r="O1569" s="63" t="n">
        <f aca="false">IF(ISTEXT($AC1569),VALUE($AC1569),$AC1569)</f>
        <v>18</v>
      </c>
      <c r="P1569" s="64" t="n">
        <f aca="false">INDEX(Datos_Origen!$I$2:$I$2459,$Z1569)</f>
        <v>27.82</v>
      </c>
      <c r="Q1569" s="64" t="n">
        <f aca="false">INDEX(Datos_Origen!$J$2:$J$2459,$Z1569)</f>
        <v>13.84</v>
      </c>
      <c r="R1569" s="65" t="n">
        <f aca="false">ROUND($O1569*$P1569,2)</f>
        <v>500.76</v>
      </c>
      <c r="S1569" s="65" t="n">
        <f aca="false">ROUND($O1569*$Q1569,2)</f>
        <v>249.12</v>
      </c>
      <c r="T1569" s="65" t="n">
        <f aca="false">ROUND($R1569*SUMIFS(Parametros!$E$28:$E$43,Parametros!$B$28:$B$43,$J1569,Parametros!$C$28:$C$43,$C1569,Parametros!$D$28:$D$43,$D1569),2)</f>
        <v>37.06</v>
      </c>
      <c r="U1569" s="65" t="n">
        <f aca="false">$R1569-$S1569-$T1569</f>
        <v>214.58</v>
      </c>
      <c r="V1569" s="66" t="n">
        <f aca="false">IFERROR($U1569/$R1569,0)</f>
        <v>0.428508666826424</v>
      </c>
      <c r="W1569" s="67" t="str">
        <f aca="false">IF(AND($V1569&gt;=Parametros!$C$8,$R1569&gt;=Parametros!$C$12),"Alta rentabilidad",IF(OR($V1569&lt;Parametros!$C$11,$R1569&lt;Parametros!$C$13),"Revisar","Estandar"))</f>
        <v>Estandar</v>
      </c>
      <c r="X1569" s="67" t="str">
        <f aca="false">IF(AND($J1569="E-commerce",IFERROR($T1569/$R1569,0)&gt;Parametros!$C$14),"Alerta","OK")</f>
        <v>Alerta</v>
      </c>
      <c r="Y1569" s="61" t="str">
        <f aca="false">IF($R1569&gt;=Parametros!$C$12,"Alto",IF($R1569&lt;Parametros!$C$13,"Bajo","Medio"))</f>
        <v>Medio</v>
      </c>
      <c r="Z1569" s="61" t="n">
        <v>1278</v>
      </c>
      <c r="AA1569" s="61" t="str">
        <f aca="false">IF(MATCH($A1569,Datos_Origen!$A$2:$A$2459,0)=$Z1569,"OK","REVISAR")</f>
        <v>OK</v>
      </c>
      <c r="AB1569" s="62" t="n">
        <f aca="false">INDEX(Datos_Origen!$B$2:$B$2459,$Z1569)</f>
        <v>45762</v>
      </c>
      <c r="AC1569" s="61" t="str">
        <f aca="false">INDEX(Datos_Origen!$H$2:$H$2459,$Z1569)</f>
        <v>18</v>
      </c>
      <c r="AD1569" s="61" t="str">
        <f aca="false">INDEX(Datos_Origen!$D$2:$D$2459,$Z1569)&amp;""</f>
        <v>Mendoza</v>
      </c>
    </row>
    <row r="1570" customFormat="false" ht="15" hidden="false" customHeight="false" outlineLevel="0" collapsed="false">
      <c r="A1570" s="61" t="n">
        <f aca="false">INDEX(Datos_Origen!$A$2:$A$2459,$Z1570)</f>
        <v>1569</v>
      </c>
      <c r="B1570" s="62" t="n">
        <f aca="false">IF(ISNUMBER($AB1570),$AB1570,IF(MID($AB1570,5,1)="-",DATE(VALUE(LEFT($AB1570,4)),VALUE(MID($AB1570,6,2)),VALUE(RIGHT($AB1570,2))),DATE(VALUE(RIGHT($AB1570,4)),VALUE(MID($AB1570,4,2)),VALUE(LEFT($AB1570,2)))))</f>
        <v>45769</v>
      </c>
      <c r="C1570" s="61" t="n">
        <f aca="false">YEAR($B1570)</f>
        <v>2025</v>
      </c>
      <c r="D1570" s="61" t="str">
        <f aca="false">"Q"&amp;ROUNDUP(MONTH($B1570)/3,0)</f>
        <v>Q2</v>
      </c>
      <c r="E1570" s="61" t="n">
        <f aca="false">MONTH($B1570)</f>
        <v>4</v>
      </c>
      <c r="F1570" s="61" t="str">
        <f aca="false">INDEX(Parametros!$I$5:$I$16,$E1570)</f>
        <v>Abr</v>
      </c>
      <c r="G1570" s="61" t="str">
        <f aca="false">TEXT($C1570,"0000")&amp;"-"&amp;TEXT($E1570,"00")</f>
        <v>2025-04</v>
      </c>
      <c r="H1570" s="61" t="str">
        <f aca="false">INDEX(Parametros!$C$71:$C$91,MATCH(TRIM(INDEX(Datos_Origen!$C$2:$C$2459,$Z1570)),Parametros!$B$71:$B$91,0))</f>
        <v>Cuyo</v>
      </c>
      <c r="I1570" s="61" t="str">
        <f aca="false">IF(TRIM($AD1570)="",INDEX(Parametros!$I$20:$I$24,MATCH($H1570,Parametros!$H$20:$H$24,0)),TRIM($AD1570))</f>
        <v>Mendoza</v>
      </c>
      <c r="J1570" s="61" t="str">
        <f aca="false">INDEX(Parametros!$C$95:$C$106,MATCH(TRIM(INDEX(Datos_Origen!$E$2:$E$2459,$Z1570)),Parametros!$B$95:$B$106,0))</f>
        <v>Tienda fisica</v>
      </c>
      <c r="K1570" s="61" t="str">
        <f aca="false">INDEX(Parametros!$C$48:$C$67,MATCH(TRIM(INDEX(Datos_Origen!$F$2:$F$2459,$Z1570)),Parametros!$B$48:$B$67,0))</f>
        <v>Accesorios</v>
      </c>
      <c r="L1570" s="61" t="str">
        <f aca="false">$K1570&amp;" "&amp;$C1570</f>
        <v>Accesorios 2025</v>
      </c>
      <c r="M1570" s="61" t="str">
        <f aca="false">TRIM(INDEX(Datos_Origen!$G$2:$G$2459,$Z1570))</f>
        <v>Teclado Mecanico</v>
      </c>
      <c r="N1570" s="61" t="str">
        <f aca="false">$M1570&amp;" "&amp;$C1570</f>
        <v>Teclado Mecanico 2025</v>
      </c>
      <c r="O1570" s="63" t="n">
        <f aca="false">IF(ISTEXT($AC1570),VALUE($AC1570),$AC1570)</f>
        <v>24</v>
      </c>
      <c r="P1570" s="64" t="n">
        <f aca="false">INDEX(Datos_Origen!$I$2:$I$2459,$Z1570)</f>
        <v>94.39</v>
      </c>
      <c r="Q1570" s="64" t="n">
        <f aca="false">INDEX(Datos_Origen!$J$2:$J$2459,$Z1570)</f>
        <v>49.41</v>
      </c>
      <c r="R1570" s="65" t="n">
        <f aca="false">ROUND($O1570*$P1570,2)</f>
        <v>2265.36</v>
      </c>
      <c r="S1570" s="65" t="n">
        <f aca="false">ROUND($O1570*$Q1570,2)</f>
        <v>1185.84</v>
      </c>
      <c r="T1570" s="65" t="n">
        <f aca="false">ROUND($R1570*SUMIFS(Parametros!$E$28:$E$43,Parametros!$B$28:$B$43,$J1570,Parametros!$C$28:$C$43,$C1570,Parametros!$D$28:$D$43,$D1570),2)</f>
        <v>31.72</v>
      </c>
      <c r="U1570" s="65" t="n">
        <f aca="false">$R1570-$S1570-$T1570</f>
        <v>1047.8</v>
      </c>
      <c r="V1570" s="66" t="n">
        <f aca="false">IFERROR($U1570/$R1570,0)</f>
        <v>0.462531341596921</v>
      </c>
      <c r="W1570" s="67" t="str">
        <f aca="false">IF(AND($V1570&gt;=Parametros!$C$8,$R1570&gt;=Parametros!$C$12),"Alta rentabilidad",IF(OR($V1570&lt;Parametros!$C$11,$R1570&lt;Parametros!$C$13),"Revisar","Estandar"))</f>
        <v>Estandar</v>
      </c>
      <c r="X1570" s="67" t="str">
        <f aca="false">IF(AND($J1570="E-commerce",IFERROR($T1570/$R1570,0)&gt;Parametros!$C$14),"Alerta","OK")</f>
        <v>OK</v>
      </c>
      <c r="Y1570" s="61" t="str">
        <f aca="false">IF($R1570&gt;=Parametros!$C$12,"Alto",IF($R1570&lt;Parametros!$C$13,"Bajo","Medio"))</f>
        <v>Medio</v>
      </c>
      <c r="Z1570" s="61" t="n">
        <v>902</v>
      </c>
      <c r="AA1570" s="61" t="str">
        <f aca="false">IF(MATCH($A1570,Datos_Origen!$A$2:$A$2459,0)=$Z1570,"OK","REVISAR")</f>
        <v>OK</v>
      </c>
      <c r="AB1570" s="62" t="n">
        <f aca="false">INDEX(Datos_Origen!$B$2:$B$2459,$Z1570)</f>
        <v>45769</v>
      </c>
      <c r="AC1570" s="61" t="n">
        <f aca="false">INDEX(Datos_Origen!$H$2:$H$2459,$Z1570)</f>
        <v>24</v>
      </c>
      <c r="AD1570" s="61" t="str">
        <f aca="false">INDEX(Datos_Origen!$D$2:$D$2459,$Z1570)&amp;""</f>
        <v>Mendoza</v>
      </c>
    </row>
    <row r="1571" customFormat="false" ht="15" hidden="false" customHeight="false" outlineLevel="0" collapsed="false">
      <c r="A1571" s="61" t="n">
        <f aca="false">INDEX(Datos_Origen!$A$2:$A$2459,$Z1571)</f>
        <v>1570</v>
      </c>
      <c r="B1571" s="62" t="n">
        <f aca="false">IF(ISNUMBER($AB1571),$AB1571,IF(MID($AB1571,5,1)="-",DATE(VALUE(LEFT($AB1571,4)),VALUE(MID($AB1571,6,2)),VALUE(RIGHT($AB1571,2))),DATE(VALUE(RIGHT($AB1571,4)),VALUE(MID($AB1571,4,2)),VALUE(LEFT($AB1571,2)))))</f>
        <v>45749</v>
      </c>
      <c r="C1571" s="61" t="n">
        <f aca="false">YEAR($B1571)</f>
        <v>2025</v>
      </c>
      <c r="D1571" s="61" t="str">
        <f aca="false">"Q"&amp;ROUNDUP(MONTH($B1571)/3,0)</f>
        <v>Q2</v>
      </c>
      <c r="E1571" s="61" t="n">
        <f aca="false">MONTH($B1571)</f>
        <v>4</v>
      </c>
      <c r="F1571" s="61" t="str">
        <f aca="false">INDEX(Parametros!$I$5:$I$16,$E1571)</f>
        <v>Abr</v>
      </c>
      <c r="G1571" s="61" t="str">
        <f aca="false">TEXT($C1571,"0000")&amp;"-"&amp;TEXT($E1571,"00")</f>
        <v>2025-04</v>
      </c>
      <c r="H1571" s="61" t="str">
        <f aca="false">INDEX(Parametros!$C$71:$C$91,MATCH(TRIM(INDEX(Datos_Origen!$C$2:$C$2459,$Z1571)),Parametros!$B$71:$B$91,0))</f>
        <v>Cuyo</v>
      </c>
      <c r="I1571" s="61" t="str">
        <f aca="false">IF(TRIM($AD1571)="",INDEX(Parametros!$I$20:$I$24,MATCH($H1571,Parametros!$H$20:$H$24,0)),TRIM($AD1571))</f>
        <v>Mendoza</v>
      </c>
      <c r="J1571" s="61" t="str">
        <f aca="false">INDEX(Parametros!$C$95:$C$106,MATCH(TRIM(INDEX(Datos_Origen!$E$2:$E$2459,$Z1571)),Parametros!$B$95:$B$106,0))</f>
        <v>E-commerce</v>
      </c>
      <c r="K1571" s="61" t="str">
        <f aca="false">INDEX(Parametros!$C$48:$C$67,MATCH(TRIM(INDEX(Datos_Origen!$F$2:$F$2459,$Z1571)),Parametros!$B$48:$B$67,0))</f>
        <v>Accesorios</v>
      </c>
      <c r="L1571" s="61" t="str">
        <f aca="false">$K1571&amp;" "&amp;$C1571</f>
        <v>Accesorios 2025</v>
      </c>
      <c r="M1571" s="61" t="str">
        <f aca="false">TRIM(INDEX(Datos_Origen!$G$2:$G$2459,$Z1571))</f>
        <v>Teclado Mecanico</v>
      </c>
      <c r="N1571" s="61" t="str">
        <f aca="false">$M1571&amp;" "&amp;$C1571</f>
        <v>Teclado Mecanico 2025</v>
      </c>
      <c r="O1571" s="63" t="n">
        <f aca="false">IF(ISTEXT($AC1571),VALUE($AC1571),$AC1571)</f>
        <v>17</v>
      </c>
      <c r="P1571" s="64" t="n">
        <f aca="false">INDEX(Datos_Origen!$I$2:$I$2459,$Z1571)</f>
        <v>94.39</v>
      </c>
      <c r="Q1571" s="64" t="n">
        <f aca="false">INDEX(Datos_Origen!$J$2:$J$2459,$Z1571)</f>
        <v>49.41</v>
      </c>
      <c r="R1571" s="65" t="n">
        <f aca="false">ROUND($O1571*$P1571,2)</f>
        <v>1604.63</v>
      </c>
      <c r="S1571" s="65" t="n">
        <f aca="false">ROUND($O1571*$Q1571,2)</f>
        <v>839.97</v>
      </c>
      <c r="T1571" s="65" t="n">
        <f aca="false">ROUND($R1571*SUMIFS(Parametros!$E$28:$E$43,Parametros!$B$28:$B$43,$J1571,Parametros!$C$28:$C$43,$C1571,Parametros!$D$28:$D$43,$D1571),2)</f>
        <v>118.74</v>
      </c>
      <c r="U1571" s="65" t="n">
        <f aca="false">$R1571-$S1571-$T1571</f>
        <v>645.92</v>
      </c>
      <c r="V1571" s="66" t="n">
        <f aca="false">IFERROR($U1571/$R1571,0)</f>
        <v>0.402535163869553</v>
      </c>
      <c r="W1571" s="67" t="str">
        <f aca="false">IF(AND($V1571&gt;=Parametros!$C$8,$R1571&gt;=Parametros!$C$12),"Alta rentabilidad",IF(OR($V1571&lt;Parametros!$C$11,$R1571&lt;Parametros!$C$13),"Revisar","Estandar"))</f>
        <v>Estandar</v>
      </c>
      <c r="X1571" s="67" t="str">
        <f aca="false">IF(AND($J1571="E-commerce",IFERROR($T1571/$R1571,0)&gt;Parametros!$C$14),"Alerta","OK")</f>
        <v>Alerta</v>
      </c>
      <c r="Y1571" s="61" t="str">
        <f aca="false">IF($R1571&gt;=Parametros!$C$12,"Alto",IF($R1571&lt;Parametros!$C$13,"Bajo","Medio"))</f>
        <v>Medio</v>
      </c>
      <c r="Z1571" s="61" t="n">
        <v>511</v>
      </c>
      <c r="AA1571" s="61" t="str">
        <f aca="false">IF(MATCH($A1571,Datos_Origen!$A$2:$A$2459,0)=$Z1571,"OK","REVISAR")</f>
        <v>OK</v>
      </c>
      <c r="AB1571" s="61" t="str">
        <f aca="false">INDEX(Datos_Origen!$B$2:$B$2459,$Z1571)</f>
        <v>02/04/2025</v>
      </c>
      <c r="AC1571" s="61" t="n">
        <f aca="false">INDEX(Datos_Origen!$H$2:$H$2459,$Z1571)</f>
        <v>17</v>
      </c>
      <c r="AD1571" s="61" t="str">
        <f aca="false">INDEX(Datos_Origen!$D$2:$D$2459,$Z1571)&amp;""</f>
        <v>Mendoza</v>
      </c>
    </row>
    <row r="1572" customFormat="false" ht="15" hidden="false" customHeight="false" outlineLevel="0" collapsed="false">
      <c r="A1572" s="61" t="n">
        <f aca="false">INDEX(Datos_Origen!$A$2:$A$2459,$Z1572)</f>
        <v>1571</v>
      </c>
      <c r="B1572" s="62" t="n">
        <f aca="false">IF(ISNUMBER($AB1572),$AB1572,IF(MID($AB1572,5,1)="-",DATE(VALUE(LEFT($AB1572,4)),VALUE(MID($AB1572,6,2)),VALUE(RIGHT($AB1572,2))),DATE(VALUE(RIGHT($AB1572,4)),VALUE(MID($AB1572,4,2)),VALUE(LEFT($AB1572,2)))))</f>
        <v>45756</v>
      </c>
      <c r="C1572" s="61" t="n">
        <f aca="false">YEAR($B1572)</f>
        <v>2025</v>
      </c>
      <c r="D1572" s="61" t="str">
        <f aca="false">"Q"&amp;ROUNDUP(MONTH($B1572)/3,0)</f>
        <v>Q2</v>
      </c>
      <c r="E1572" s="61" t="n">
        <f aca="false">MONTH($B1572)</f>
        <v>4</v>
      </c>
      <c r="F1572" s="61" t="str">
        <f aca="false">INDEX(Parametros!$I$5:$I$16,$E1572)</f>
        <v>Abr</v>
      </c>
      <c r="G1572" s="61" t="str">
        <f aca="false">TEXT($C1572,"0000")&amp;"-"&amp;TEXT($E1572,"00")</f>
        <v>2025-04</v>
      </c>
      <c r="H1572" s="61" t="str">
        <f aca="false">INDEX(Parametros!$C$71:$C$91,MATCH(TRIM(INDEX(Datos_Origen!$C$2:$C$2459,$Z1572)),Parametros!$B$71:$B$91,0))</f>
        <v>Cuyo</v>
      </c>
      <c r="I1572" s="61" t="str">
        <f aca="false">IF(TRIM($AD1572)="",INDEX(Parametros!$I$20:$I$24,MATCH($H1572,Parametros!$H$20:$H$24,0)),TRIM($AD1572))</f>
        <v>Mendoza</v>
      </c>
      <c r="J1572" s="61" t="str">
        <f aca="false">INDEX(Parametros!$C$95:$C$106,MATCH(TRIM(INDEX(Datos_Origen!$E$2:$E$2459,$Z1572)),Parametros!$B$95:$B$106,0))</f>
        <v>Tienda fisica</v>
      </c>
      <c r="K1572" s="61" t="str">
        <f aca="false">INDEX(Parametros!$C$48:$C$67,MATCH(TRIM(INDEX(Datos_Origen!$F$2:$F$2459,$Z1572)),Parametros!$B$48:$B$67,0))</f>
        <v>Accesorios</v>
      </c>
      <c r="L1572" s="61" t="str">
        <f aca="false">$K1572&amp;" "&amp;$C1572</f>
        <v>Accesorios 2025</v>
      </c>
      <c r="M1572" s="61" t="str">
        <f aca="false">TRIM(INDEX(Datos_Origen!$G$2:$G$2459,$Z1572))</f>
        <v>Webcam Full HD</v>
      </c>
      <c r="N1572" s="61" t="str">
        <f aca="false">$M1572&amp;" "&amp;$C1572</f>
        <v>Webcam Full HD 2025</v>
      </c>
      <c r="O1572" s="63" t="n">
        <f aca="false">IF(ISTEXT($AC1572),VALUE($AC1572),$AC1572)</f>
        <v>29</v>
      </c>
      <c r="P1572" s="64" t="n">
        <f aca="false">INDEX(Datos_Origen!$I$2:$I$2459,$Z1572)</f>
        <v>64.58</v>
      </c>
      <c r="Q1572" s="64" t="n">
        <f aca="false">INDEX(Datos_Origen!$J$2:$J$2459,$Z1572)</f>
        <v>36.49</v>
      </c>
      <c r="R1572" s="65" t="n">
        <f aca="false">ROUND($O1572*$P1572,2)</f>
        <v>1872.82</v>
      </c>
      <c r="S1572" s="65" t="n">
        <f aca="false">ROUND($O1572*$Q1572,2)</f>
        <v>1058.21</v>
      </c>
      <c r="T1572" s="65" t="n">
        <f aca="false">ROUND($R1572*SUMIFS(Parametros!$E$28:$E$43,Parametros!$B$28:$B$43,$J1572,Parametros!$C$28:$C$43,$C1572,Parametros!$D$28:$D$43,$D1572),2)</f>
        <v>26.22</v>
      </c>
      <c r="U1572" s="65" t="n">
        <f aca="false">$R1572-$S1572-$T1572</f>
        <v>788.39</v>
      </c>
      <c r="V1572" s="66" t="n">
        <f aca="false">IFERROR($U1572/$R1572,0)</f>
        <v>0.420964107602439</v>
      </c>
      <c r="W1572" s="67" t="str">
        <f aca="false">IF(AND($V1572&gt;=Parametros!$C$8,$R1572&gt;=Parametros!$C$12),"Alta rentabilidad",IF(OR($V1572&lt;Parametros!$C$11,$R1572&lt;Parametros!$C$13),"Revisar","Estandar"))</f>
        <v>Estandar</v>
      </c>
      <c r="X1572" s="67" t="str">
        <f aca="false">IF(AND($J1572="E-commerce",IFERROR($T1572/$R1572,0)&gt;Parametros!$C$14),"Alerta","OK")</f>
        <v>OK</v>
      </c>
      <c r="Y1572" s="61" t="str">
        <f aca="false">IF($R1572&gt;=Parametros!$C$12,"Alto",IF($R1572&lt;Parametros!$C$13,"Bajo","Medio"))</f>
        <v>Medio</v>
      </c>
      <c r="Z1572" s="61" t="n">
        <v>1913</v>
      </c>
      <c r="AA1572" s="61" t="str">
        <f aca="false">IF(MATCH($A1572,Datos_Origen!$A$2:$A$2459,0)=$Z1572,"OK","REVISAR")</f>
        <v>OK</v>
      </c>
      <c r="AB1572" s="62" t="n">
        <f aca="false">INDEX(Datos_Origen!$B$2:$B$2459,$Z1572)</f>
        <v>45756</v>
      </c>
      <c r="AC1572" s="61" t="n">
        <f aca="false">INDEX(Datos_Origen!$H$2:$H$2459,$Z1572)</f>
        <v>29</v>
      </c>
      <c r="AD1572" s="61" t="str">
        <f aca="false">INDEX(Datos_Origen!$D$2:$D$2459,$Z1572)&amp;""</f>
        <v>Mendoza</v>
      </c>
    </row>
    <row r="1573" customFormat="false" ht="15" hidden="false" customHeight="false" outlineLevel="0" collapsed="false">
      <c r="A1573" s="61" t="n">
        <f aca="false">INDEX(Datos_Origen!$A$2:$A$2459,$Z1573)</f>
        <v>1572</v>
      </c>
      <c r="B1573" s="62" t="n">
        <f aca="false">IF(ISNUMBER($AB1573),$AB1573,IF(MID($AB1573,5,1)="-",DATE(VALUE(LEFT($AB1573,4)),VALUE(MID($AB1573,6,2)),VALUE(RIGHT($AB1573,2))),DATE(VALUE(RIGHT($AB1573,4)),VALUE(MID($AB1573,4,2)),VALUE(LEFT($AB1573,2)))))</f>
        <v>45763</v>
      </c>
      <c r="C1573" s="61" t="n">
        <f aca="false">YEAR($B1573)</f>
        <v>2025</v>
      </c>
      <c r="D1573" s="61" t="str">
        <f aca="false">"Q"&amp;ROUNDUP(MONTH($B1573)/3,0)</f>
        <v>Q2</v>
      </c>
      <c r="E1573" s="61" t="n">
        <f aca="false">MONTH($B1573)</f>
        <v>4</v>
      </c>
      <c r="F1573" s="61" t="str">
        <f aca="false">INDEX(Parametros!$I$5:$I$16,$E1573)</f>
        <v>Abr</v>
      </c>
      <c r="G1573" s="61" t="str">
        <f aca="false">TEXT($C1573,"0000")&amp;"-"&amp;TEXT($E1573,"00")</f>
        <v>2025-04</v>
      </c>
      <c r="H1573" s="61" t="str">
        <f aca="false">INDEX(Parametros!$C$71:$C$91,MATCH(TRIM(INDEX(Datos_Origen!$C$2:$C$2459,$Z1573)),Parametros!$B$71:$B$91,0))</f>
        <v>Cuyo</v>
      </c>
      <c r="I1573" s="61" t="str">
        <f aca="false">IF(TRIM($AD1573)="",INDEX(Parametros!$I$20:$I$24,MATCH($H1573,Parametros!$H$20:$H$24,0)),TRIM($AD1573))</f>
        <v>Mendoza</v>
      </c>
      <c r="J1573" s="61" t="str">
        <f aca="false">INDEX(Parametros!$C$95:$C$106,MATCH(TRIM(INDEX(Datos_Origen!$E$2:$E$2459,$Z1573)),Parametros!$B$95:$B$106,0))</f>
        <v>E-commerce</v>
      </c>
      <c r="K1573" s="61" t="str">
        <f aca="false">INDEX(Parametros!$C$48:$C$67,MATCH(TRIM(INDEX(Datos_Origen!$F$2:$F$2459,$Z1573)),Parametros!$B$48:$B$67,0))</f>
        <v>Accesorios</v>
      </c>
      <c r="L1573" s="61" t="str">
        <f aca="false">$K1573&amp;" "&amp;$C1573</f>
        <v>Accesorios 2025</v>
      </c>
      <c r="M1573" s="61" t="str">
        <f aca="false">TRIM(INDEX(Datos_Origen!$G$2:$G$2459,$Z1573))</f>
        <v>Webcam Full HD</v>
      </c>
      <c r="N1573" s="61" t="str">
        <f aca="false">$M1573&amp;" "&amp;$C1573</f>
        <v>Webcam Full HD 2025</v>
      </c>
      <c r="O1573" s="63" t="n">
        <f aca="false">IF(ISTEXT($AC1573),VALUE($AC1573),$AC1573)</f>
        <v>21</v>
      </c>
      <c r="P1573" s="64" t="n">
        <f aca="false">INDEX(Datos_Origen!$I$2:$I$2459,$Z1573)</f>
        <v>64.58</v>
      </c>
      <c r="Q1573" s="64" t="n">
        <f aca="false">INDEX(Datos_Origen!$J$2:$J$2459,$Z1573)</f>
        <v>36.49</v>
      </c>
      <c r="R1573" s="65" t="n">
        <f aca="false">ROUND($O1573*$P1573,2)</f>
        <v>1356.18</v>
      </c>
      <c r="S1573" s="65" t="n">
        <f aca="false">ROUND($O1573*$Q1573,2)</f>
        <v>766.29</v>
      </c>
      <c r="T1573" s="65" t="n">
        <f aca="false">ROUND($R1573*SUMIFS(Parametros!$E$28:$E$43,Parametros!$B$28:$B$43,$J1573,Parametros!$C$28:$C$43,$C1573,Parametros!$D$28:$D$43,$D1573),2)</f>
        <v>100.36</v>
      </c>
      <c r="U1573" s="65" t="n">
        <f aca="false">$R1573-$S1573-$T1573</f>
        <v>489.53</v>
      </c>
      <c r="V1573" s="66" t="n">
        <f aca="false">IFERROR($U1573/$R1573,0)</f>
        <v>0.360962409119733</v>
      </c>
      <c r="W1573" s="67" t="str">
        <f aca="false">IF(AND($V1573&gt;=Parametros!$C$8,$R1573&gt;=Parametros!$C$12),"Alta rentabilidad",IF(OR($V1573&lt;Parametros!$C$11,$R1573&lt;Parametros!$C$13),"Revisar","Estandar"))</f>
        <v>Estandar</v>
      </c>
      <c r="X1573" s="67" t="str">
        <f aca="false">IF(AND($J1573="E-commerce",IFERROR($T1573/$R1573,0)&gt;Parametros!$C$14),"Alerta","OK")</f>
        <v>Alerta</v>
      </c>
      <c r="Y1573" s="61" t="str">
        <f aca="false">IF($R1573&gt;=Parametros!$C$12,"Alto",IF($R1573&lt;Parametros!$C$13,"Bajo","Medio"))</f>
        <v>Medio</v>
      </c>
      <c r="Z1573" s="61" t="n">
        <v>352</v>
      </c>
      <c r="AA1573" s="61" t="str">
        <f aca="false">IF(MATCH($A1573,Datos_Origen!$A$2:$A$2459,0)=$Z1573,"OK","REVISAR")</f>
        <v>OK</v>
      </c>
      <c r="AB1573" s="61" t="str">
        <f aca="false">INDEX(Datos_Origen!$B$2:$B$2459,$Z1573)</f>
        <v>2025-04-16</v>
      </c>
      <c r="AC1573" s="61" t="n">
        <f aca="false">INDEX(Datos_Origen!$H$2:$H$2459,$Z1573)</f>
        <v>21</v>
      </c>
      <c r="AD1573" s="61" t="str">
        <f aca="false">INDEX(Datos_Origen!$D$2:$D$2459,$Z1573)&amp;""</f>
        <v>Mendoza</v>
      </c>
    </row>
    <row r="1574" customFormat="false" ht="15" hidden="false" customHeight="false" outlineLevel="0" collapsed="false">
      <c r="A1574" s="61" t="n">
        <f aca="false">INDEX(Datos_Origen!$A$2:$A$2459,$Z1574)</f>
        <v>1573</v>
      </c>
      <c r="B1574" s="62" t="n">
        <f aca="false">IF(ISNUMBER($AB1574),$AB1574,IF(MID($AB1574,5,1)="-",DATE(VALUE(LEFT($AB1574,4)),VALUE(MID($AB1574,6,2)),VALUE(RIGHT($AB1574,2))),DATE(VALUE(RIGHT($AB1574,4)),VALUE(MID($AB1574,4,2)),VALUE(LEFT($AB1574,2)))))</f>
        <v>45770</v>
      </c>
      <c r="C1574" s="61" t="n">
        <f aca="false">YEAR($B1574)</f>
        <v>2025</v>
      </c>
      <c r="D1574" s="61" t="str">
        <f aca="false">"Q"&amp;ROUNDUP(MONTH($B1574)/3,0)</f>
        <v>Q2</v>
      </c>
      <c r="E1574" s="61" t="n">
        <f aca="false">MONTH($B1574)</f>
        <v>4</v>
      </c>
      <c r="F1574" s="61" t="str">
        <f aca="false">INDEX(Parametros!$I$5:$I$16,$E1574)</f>
        <v>Abr</v>
      </c>
      <c r="G1574" s="61" t="str">
        <f aca="false">TEXT($C1574,"0000")&amp;"-"&amp;TEXT($E1574,"00")</f>
        <v>2025-04</v>
      </c>
      <c r="H1574" s="61" t="str">
        <f aca="false">INDEX(Parametros!$C$71:$C$91,MATCH(TRIM(INDEX(Datos_Origen!$C$2:$C$2459,$Z1574)),Parametros!$B$71:$B$91,0))</f>
        <v>Cuyo</v>
      </c>
      <c r="I1574" s="61" t="str">
        <f aca="false">IF(TRIM($AD1574)="",INDEX(Parametros!$I$20:$I$24,MATCH($H1574,Parametros!$H$20:$H$24,0)),TRIM($AD1574))</f>
        <v>Mendoza</v>
      </c>
      <c r="J1574" s="61" t="str">
        <f aca="false">INDEX(Parametros!$C$95:$C$106,MATCH(TRIM(INDEX(Datos_Origen!$E$2:$E$2459,$Z1574)),Parametros!$B$95:$B$106,0))</f>
        <v>Tienda fisica</v>
      </c>
      <c r="K1574" s="61" t="str">
        <f aca="false">INDEX(Parametros!$C$48:$C$67,MATCH(TRIM(INDEX(Datos_Origen!$F$2:$F$2459,$Z1574)),Parametros!$B$48:$B$67,0))</f>
        <v>Audio</v>
      </c>
      <c r="L1574" s="61" t="str">
        <f aca="false">$K1574&amp;" "&amp;$C1574</f>
        <v>Audio 2025</v>
      </c>
      <c r="M1574" s="61" t="str">
        <f aca="false">TRIM(INDEX(Datos_Origen!$G$2:$G$2459,$Z1574))</f>
        <v>Auriculares BT Pro</v>
      </c>
      <c r="N1574" s="61" t="str">
        <f aca="false">$M1574&amp;" "&amp;$C1574</f>
        <v>Auriculares BT Pro 2025</v>
      </c>
      <c r="O1574" s="63" t="n">
        <f aca="false">IF(ISTEXT($AC1574),VALUE($AC1574),$AC1574)</f>
        <v>13</v>
      </c>
      <c r="P1574" s="64" t="n">
        <f aca="false">INDEX(Datos_Origen!$I$2:$I$2459,$Z1574)</f>
        <v>119.23</v>
      </c>
      <c r="Q1574" s="64" t="n">
        <f aca="false">INDEX(Datos_Origen!$J$2:$J$2459,$Z1574)</f>
        <v>65.51</v>
      </c>
      <c r="R1574" s="65" t="n">
        <f aca="false">ROUND($O1574*$P1574,2)</f>
        <v>1549.99</v>
      </c>
      <c r="S1574" s="65" t="n">
        <f aca="false">ROUND($O1574*$Q1574,2)</f>
        <v>851.63</v>
      </c>
      <c r="T1574" s="65" t="n">
        <f aca="false">ROUND($R1574*SUMIFS(Parametros!$E$28:$E$43,Parametros!$B$28:$B$43,$J1574,Parametros!$C$28:$C$43,$C1574,Parametros!$D$28:$D$43,$D1574),2)</f>
        <v>21.7</v>
      </c>
      <c r="U1574" s="65" t="n">
        <f aca="false">$R1574-$S1574-$T1574</f>
        <v>676.66</v>
      </c>
      <c r="V1574" s="66" t="n">
        <f aca="false">IFERROR($U1574/$R1574,0)</f>
        <v>0.436557655210679</v>
      </c>
      <c r="W1574" s="67" t="str">
        <f aca="false">IF(AND($V1574&gt;=Parametros!$C$8,$R1574&gt;=Parametros!$C$12),"Alta rentabilidad",IF(OR($V1574&lt;Parametros!$C$11,$R1574&lt;Parametros!$C$13),"Revisar","Estandar"))</f>
        <v>Estandar</v>
      </c>
      <c r="X1574" s="67" t="str">
        <f aca="false">IF(AND($J1574="E-commerce",IFERROR($T1574/$R1574,0)&gt;Parametros!$C$14),"Alerta","OK")</f>
        <v>OK</v>
      </c>
      <c r="Y1574" s="61" t="str">
        <f aca="false">IF($R1574&gt;=Parametros!$C$12,"Alto",IF($R1574&lt;Parametros!$C$13,"Bajo","Medio"))</f>
        <v>Medio</v>
      </c>
      <c r="Z1574" s="61" t="n">
        <v>54</v>
      </c>
      <c r="AA1574" s="61" t="str">
        <f aca="false">IF(MATCH($A1574,Datos_Origen!$A$2:$A$2459,0)=$Z1574,"OK","REVISAR")</f>
        <v>OK</v>
      </c>
      <c r="AB1574" s="62" t="n">
        <f aca="false">INDEX(Datos_Origen!$B$2:$B$2459,$Z1574)</f>
        <v>45770</v>
      </c>
      <c r="AC1574" s="61" t="n">
        <f aca="false">INDEX(Datos_Origen!$H$2:$H$2459,$Z1574)</f>
        <v>13</v>
      </c>
      <c r="AD1574" s="61" t="str">
        <f aca="false">INDEX(Datos_Origen!$D$2:$D$2459,$Z1574)&amp;""</f>
        <v>Mendoza</v>
      </c>
    </row>
    <row r="1575" customFormat="false" ht="15" hidden="false" customHeight="false" outlineLevel="0" collapsed="false">
      <c r="A1575" s="61" t="n">
        <f aca="false">INDEX(Datos_Origen!$A$2:$A$2459,$Z1575)</f>
        <v>1574</v>
      </c>
      <c r="B1575" s="62" t="n">
        <f aca="false">IF(ISNUMBER($AB1575),$AB1575,IF(MID($AB1575,5,1)="-",DATE(VALUE(LEFT($AB1575,4)),VALUE(MID($AB1575,6,2)),VALUE(RIGHT($AB1575,2))),DATE(VALUE(RIGHT($AB1575,4)),VALUE(MID($AB1575,4,2)),VALUE(LEFT($AB1575,2)))))</f>
        <v>45750</v>
      </c>
      <c r="C1575" s="61" t="n">
        <f aca="false">YEAR($B1575)</f>
        <v>2025</v>
      </c>
      <c r="D1575" s="61" t="str">
        <f aca="false">"Q"&amp;ROUNDUP(MONTH($B1575)/3,0)</f>
        <v>Q2</v>
      </c>
      <c r="E1575" s="61" t="n">
        <f aca="false">MONTH($B1575)</f>
        <v>4</v>
      </c>
      <c r="F1575" s="61" t="str">
        <f aca="false">INDEX(Parametros!$I$5:$I$16,$E1575)</f>
        <v>Abr</v>
      </c>
      <c r="G1575" s="61" t="str">
        <f aca="false">TEXT($C1575,"0000")&amp;"-"&amp;TEXT($E1575,"00")</f>
        <v>2025-04</v>
      </c>
      <c r="H1575" s="61" t="str">
        <f aca="false">INDEX(Parametros!$C$71:$C$91,MATCH(TRIM(INDEX(Datos_Origen!$C$2:$C$2459,$Z1575)),Parametros!$B$71:$B$91,0))</f>
        <v>Cuyo</v>
      </c>
      <c r="I1575" s="61" t="str">
        <f aca="false">IF(TRIM($AD1575)="",INDEX(Parametros!$I$20:$I$24,MATCH($H1575,Parametros!$H$20:$H$24,0)),TRIM($AD1575))</f>
        <v>Mendoza</v>
      </c>
      <c r="J1575" s="61" t="str">
        <f aca="false">INDEX(Parametros!$C$95:$C$106,MATCH(TRIM(INDEX(Datos_Origen!$E$2:$E$2459,$Z1575)),Parametros!$B$95:$B$106,0))</f>
        <v>E-commerce</v>
      </c>
      <c r="K1575" s="61" t="str">
        <f aca="false">INDEX(Parametros!$C$48:$C$67,MATCH(TRIM(INDEX(Datos_Origen!$F$2:$F$2459,$Z1575)),Parametros!$B$48:$B$67,0))</f>
        <v>Audio</v>
      </c>
      <c r="L1575" s="61" t="str">
        <f aca="false">$K1575&amp;" "&amp;$C1575</f>
        <v>Audio 2025</v>
      </c>
      <c r="M1575" s="61" t="str">
        <f aca="false">TRIM(INDEX(Datos_Origen!$G$2:$G$2459,$Z1575))</f>
        <v>Auriculares BT Pro</v>
      </c>
      <c r="N1575" s="61" t="str">
        <f aca="false">$M1575&amp;" "&amp;$C1575</f>
        <v>Auriculares BT Pro 2025</v>
      </c>
      <c r="O1575" s="63" t="n">
        <f aca="false">IF(ISTEXT($AC1575),VALUE($AC1575),$AC1575)</f>
        <v>10</v>
      </c>
      <c r="P1575" s="64" t="n">
        <f aca="false">INDEX(Datos_Origen!$I$2:$I$2459,$Z1575)</f>
        <v>119.23</v>
      </c>
      <c r="Q1575" s="64" t="n">
        <f aca="false">INDEX(Datos_Origen!$J$2:$J$2459,$Z1575)</f>
        <v>65.51</v>
      </c>
      <c r="R1575" s="65" t="n">
        <f aca="false">ROUND($O1575*$P1575,2)</f>
        <v>1192.3</v>
      </c>
      <c r="S1575" s="65" t="n">
        <f aca="false">ROUND($O1575*$Q1575,2)</f>
        <v>655.1</v>
      </c>
      <c r="T1575" s="65" t="n">
        <f aca="false">ROUND($R1575*SUMIFS(Parametros!$E$28:$E$43,Parametros!$B$28:$B$43,$J1575,Parametros!$C$28:$C$43,$C1575,Parametros!$D$28:$D$43,$D1575),2)</f>
        <v>88.23</v>
      </c>
      <c r="U1575" s="65" t="n">
        <f aca="false">$R1575-$S1575-$T1575</f>
        <v>448.97</v>
      </c>
      <c r="V1575" s="66" t="n">
        <f aca="false">IFERROR($U1575/$R1575,0)</f>
        <v>0.37655791327686</v>
      </c>
      <c r="W1575" s="67" t="str">
        <f aca="false">IF(AND($V1575&gt;=Parametros!$C$8,$R1575&gt;=Parametros!$C$12),"Alta rentabilidad",IF(OR($V1575&lt;Parametros!$C$11,$R1575&lt;Parametros!$C$13),"Revisar","Estandar"))</f>
        <v>Estandar</v>
      </c>
      <c r="X1575" s="67" t="str">
        <f aca="false">IF(AND($J1575="E-commerce",IFERROR($T1575/$R1575,0)&gt;Parametros!$C$14),"Alerta","OK")</f>
        <v>Alerta</v>
      </c>
      <c r="Y1575" s="61" t="str">
        <f aca="false">IF($R1575&gt;=Parametros!$C$12,"Alto",IF($R1575&lt;Parametros!$C$13,"Bajo","Medio"))</f>
        <v>Medio</v>
      </c>
      <c r="Z1575" s="61" t="n">
        <v>1333</v>
      </c>
      <c r="AA1575" s="61" t="str">
        <f aca="false">IF(MATCH($A1575,Datos_Origen!$A$2:$A$2459,0)=$Z1575,"OK","REVISAR")</f>
        <v>OK</v>
      </c>
      <c r="AB1575" s="62" t="n">
        <f aca="false">INDEX(Datos_Origen!$B$2:$B$2459,$Z1575)</f>
        <v>45750</v>
      </c>
      <c r="AC1575" s="61" t="n">
        <f aca="false">INDEX(Datos_Origen!$H$2:$H$2459,$Z1575)</f>
        <v>10</v>
      </c>
      <c r="AD1575" s="61" t="str">
        <f aca="false">INDEX(Datos_Origen!$D$2:$D$2459,$Z1575)&amp;""</f>
        <v>Mendoza</v>
      </c>
    </row>
    <row r="1576" customFormat="false" ht="15" hidden="false" customHeight="false" outlineLevel="0" collapsed="false">
      <c r="A1576" s="61" t="n">
        <f aca="false">INDEX(Datos_Origen!$A$2:$A$2459,$Z1576)</f>
        <v>1575</v>
      </c>
      <c r="B1576" s="62" t="n">
        <f aca="false">IF(ISNUMBER($AB1576),$AB1576,IF(MID($AB1576,5,1)="-",DATE(VALUE(LEFT($AB1576,4)),VALUE(MID($AB1576,6,2)),VALUE(RIGHT($AB1576,2))),DATE(VALUE(RIGHT($AB1576,4)),VALUE(MID($AB1576,4,2)),VALUE(LEFT($AB1576,2)))))</f>
        <v>45757</v>
      </c>
      <c r="C1576" s="61" t="n">
        <f aca="false">YEAR($B1576)</f>
        <v>2025</v>
      </c>
      <c r="D1576" s="61" t="str">
        <f aca="false">"Q"&amp;ROUNDUP(MONTH($B1576)/3,0)</f>
        <v>Q2</v>
      </c>
      <c r="E1576" s="61" t="n">
        <f aca="false">MONTH($B1576)</f>
        <v>4</v>
      </c>
      <c r="F1576" s="61" t="str">
        <f aca="false">INDEX(Parametros!$I$5:$I$16,$E1576)</f>
        <v>Abr</v>
      </c>
      <c r="G1576" s="61" t="str">
        <f aca="false">TEXT($C1576,"0000")&amp;"-"&amp;TEXT($E1576,"00")</f>
        <v>2025-04</v>
      </c>
      <c r="H1576" s="61" t="str">
        <f aca="false">INDEX(Parametros!$C$71:$C$91,MATCH(TRIM(INDEX(Datos_Origen!$C$2:$C$2459,$Z1576)),Parametros!$B$71:$B$91,0))</f>
        <v>Cuyo</v>
      </c>
      <c r="I1576" s="61" t="str">
        <f aca="false">IF(TRIM($AD1576)="",INDEX(Parametros!$I$20:$I$24,MATCH($H1576,Parametros!$H$20:$H$24,0)),TRIM($AD1576))</f>
        <v>Mendoza</v>
      </c>
      <c r="J1576" s="61" t="str">
        <f aca="false">INDEX(Parametros!$C$95:$C$106,MATCH(TRIM(INDEX(Datos_Origen!$E$2:$E$2459,$Z1576)),Parametros!$B$95:$B$106,0))</f>
        <v>Tienda fisica</v>
      </c>
      <c r="K1576" s="61" t="str">
        <f aca="false">INDEX(Parametros!$C$48:$C$67,MATCH(TRIM(INDEX(Datos_Origen!$F$2:$F$2459,$Z1576)),Parametros!$B$48:$B$67,0))</f>
        <v>Audio</v>
      </c>
      <c r="L1576" s="61" t="str">
        <f aca="false">$K1576&amp;" "&amp;$C1576</f>
        <v>Audio 2025</v>
      </c>
      <c r="M1576" s="61" t="str">
        <f aca="false">TRIM(INDEX(Datos_Origen!$G$2:$G$2459,$Z1576))</f>
        <v>Parlante Bluetooth</v>
      </c>
      <c r="N1576" s="61" t="str">
        <f aca="false">$M1576&amp;" "&amp;$C1576</f>
        <v>Parlante Bluetooth 2025</v>
      </c>
      <c r="O1576" s="63" t="n">
        <f aca="false">IF(ISTEXT($AC1576),VALUE($AC1576),$AC1576)</f>
        <v>12</v>
      </c>
      <c r="P1576" s="64" t="n">
        <f aca="false">INDEX(Datos_Origen!$I$2:$I$2459,$Z1576)</f>
        <v>84.46</v>
      </c>
      <c r="Q1576" s="64" t="n">
        <f aca="false">INDEX(Datos_Origen!$J$2:$J$2459,$Z1576)</f>
        <v>49.47</v>
      </c>
      <c r="R1576" s="65" t="n">
        <f aca="false">ROUND($O1576*$P1576,2)</f>
        <v>1013.52</v>
      </c>
      <c r="S1576" s="65" t="n">
        <f aca="false">ROUND($O1576*$Q1576,2)</f>
        <v>593.64</v>
      </c>
      <c r="T1576" s="65" t="n">
        <f aca="false">ROUND($R1576*SUMIFS(Parametros!$E$28:$E$43,Parametros!$B$28:$B$43,$J1576,Parametros!$C$28:$C$43,$C1576,Parametros!$D$28:$D$43,$D1576),2)</f>
        <v>14.19</v>
      </c>
      <c r="U1576" s="65" t="n">
        <f aca="false">$R1576-$S1576-$T1576</f>
        <v>405.69</v>
      </c>
      <c r="V1576" s="66" t="n">
        <f aca="false">IFERROR($U1576/$R1576,0)</f>
        <v>0.400278238219275</v>
      </c>
      <c r="W1576" s="67" t="str">
        <f aca="false">IF(AND($V1576&gt;=Parametros!$C$8,$R1576&gt;=Parametros!$C$12),"Alta rentabilidad",IF(OR($V1576&lt;Parametros!$C$11,$R1576&lt;Parametros!$C$13),"Revisar","Estandar"))</f>
        <v>Estandar</v>
      </c>
      <c r="X1576" s="67" t="str">
        <f aca="false">IF(AND($J1576="E-commerce",IFERROR($T1576/$R1576,0)&gt;Parametros!$C$14),"Alerta","OK")</f>
        <v>OK</v>
      </c>
      <c r="Y1576" s="61" t="str">
        <f aca="false">IF($R1576&gt;=Parametros!$C$12,"Alto",IF($R1576&lt;Parametros!$C$13,"Bajo","Medio"))</f>
        <v>Medio</v>
      </c>
      <c r="Z1576" s="61" t="n">
        <v>1023</v>
      </c>
      <c r="AA1576" s="61" t="str">
        <f aca="false">IF(MATCH($A1576,Datos_Origen!$A$2:$A$2459,0)=$Z1576,"OK","REVISAR")</f>
        <v>OK</v>
      </c>
      <c r="AB1576" s="61" t="str">
        <f aca="false">INDEX(Datos_Origen!$B$2:$B$2459,$Z1576)</f>
        <v>10/04/2025</v>
      </c>
      <c r="AC1576" s="61" t="n">
        <f aca="false">INDEX(Datos_Origen!$H$2:$H$2459,$Z1576)</f>
        <v>12</v>
      </c>
      <c r="AD1576" s="61" t="str">
        <f aca="false">INDEX(Datos_Origen!$D$2:$D$2459,$Z1576)&amp;""</f>
        <v>Mendoza</v>
      </c>
    </row>
    <row r="1577" customFormat="false" ht="15" hidden="false" customHeight="false" outlineLevel="0" collapsed="false">
      <c r="A1577" s="61" t="n">
        <f aca="false">INDEX(Datos_Origen!$A$2:$A$2459,$Z1577)</f>
        <v>1576</v>
      </c>
      <c r="B1577" s="62" t="n">
        <f aca="false">IF(ISNUMBER($AB1577),$AB1577,IF(MID($AB1577,5,1)="-",DATE(VALUE(LEFT($AB1577,4)),VALUE(MID($AB1577,6,2)),VALUE(RIGHT($AB1577,2))),DATE(VALUE(RIGHT($AB1577,4)),VALUE(MID($AB1577,4,2)),VALUE(LEFT($AB1577,2)))))</f>
        <v>45764</v>
      </c>
      <c r="C1577" s="61" t="n">
        <f aca="false">YEAR($B1577)</f>
        <v>2025</v>
      </c>
      <c r="D1577" s="61" t="str">
        <f aca="false">"Q"&amp;ROUNDUP(MONTH($B1577)/3,0)</f>
        <v>Q2</v>
      </c>
      <c r="E1577" s="61" t="n">
        <f aca="false">MONTH($B1577)</f>
        <v>4</v>
      </c>
      <c r="F1577" s="61" t="str">
        <f aca="false">INDEX(Parametros!$I$5:$I$16,$E1577)</f>
        <v>Abr</v>
      </c>
      <c r="G1577" s="61" t="str">
        <f aca="false">TEXT($C1577,"0000")&amp;"-"&amp;TEXT($E1577,"00")</f>
        <v>2025-04</v>
      </c>
      <c r="H1577" s="61" t="str">
        <f aca="false">INDEX(Parametros!$C$71:$C$91,MATCH(TRIM(INDEX(Datos_Origen!$C$2:$C$2459,$Z1577)),Parametros!$B$71:$B$91,0))</f>
        <v>Cuyo</v>
      </c>
      <c r="I1577" s="61" t="str">
        <f aca="false">IF(TRIM($AD1577)="",INDEX(Parametros!$I$20:$I$24,MATCH($H1577,Parametros!$H$20:$H$24,0)),TRIM($AD1577))</f>
        <v>Mendoza</v>
      </c>
      <c r="J1577" s="61" t="str">
        <f aca="false">INDEX(Parametros!$C$95:$C$106,MATCH(TRIM(INDEX(Datos_Origen!$E$2:$E$2459,$Z1577)),Parametros!$B$95:$B$106,0))</f>
        <v>E-commerce</v>
      </c>
      <c r="K1577" s="61" t="str">
        <f aca="false">INDEX(Parametros!$C$48:$C$67,MATCH(TRIM(INDEX(Datos_Origen!$F$2:$F$2459,$Z1577)),Parametros!$B$48:$B$67,0))</f>
        <v>Audio</v>
      </c>
      <c r="L1577" s="61" t="str">
        <f aca="false">$K1577&amp;" "&amp;$C1577</f>
        <v>Audio 2025</v>
      </c>
      <c r="M1577" s="61" t="str">
        <f aca="false">TRIM(INDEX(Datos_Origen!$G$2:$G$2459,$Z1577))</f>
        <v>Parlante Bluetooth</v>
      </c>
      <c r="N1577" s="61" t="str">
        <f aca="false">$M1577&amp;" "&amp;$C1577</f>
        <v>Parlante Bluetooth 2025</v>
      </c>
      <c r="O1577" s="63" t="n">
        <f aca="false">IF(ISTEXT($AC1577),VALUE($AC1577),$AC1577)</f>
        <v>9</v>
      </c>
      <c r="P1577" s="64" t="n">
        <f aca="false">INDEX(Datos_Origen!$I$2:$I$2459,$Z1577)</f>
        <v>84.46</v>
      </c>
      <c r="Q1577" s="64" t="n">
        <f aca="false">INDEX(Datos_Origen!$J$2:$J$2459,$Z1577)</f>
        <v>49.47</v>
      </c>
      <c r="R1577" s="65" t="n">
        <f aca="false">ROUND($O1577*$P1577,2)</f>
        <v>760.14</v>
      </c>
      <c r="S1577" s="65" t="n">
        <f aca="false">ROUND($O1577*$Q1577,2)</f>
        <v>445.23</v>
      </c>
      <c r="T1577" s="65" t="n">
        <f aca="false">ROUND($R1577*SUMIFS(Parametros!$E$28:$E$43,Parametros!$B$28:$B$43,$J1577,Parametros!$C$28:$C$43,$C1577,Parametros!$D$28:$D$43,$D1577),2)</f>
        <v>56.25</v>
      </c>
      <c r="U1577" s="65" t="n">
        <f aca="false">$R1577-$S1577-$T1577</f>
        <v>258.66</v>
      </c>
      <c r="V1577" s="66" t="n">
        <f aca="false">IFERROR($U1577/$R1577,0)</f>
        <v>0.340279422211698</v>
      </c>
      <c r="W1577" s="67" t="str">
        <f aca="false">IF(AND($V1577&gt;=Parametros!$C$8,$R1577&gt;=Parametros!$C$12),"Alta rentabilidad",IF(OR($V1577&lt;Parametros!$C$11,$R1577&lt;Parametros!$C$13),"Revisar","Estandar"))</f>
        <v>Estandar</v>
      </c>
      <c r="X1577" s="67" t="str">
        <f aca="false">IF(AND($J1577="E-commerce",IFERROR($T1577/$R1577,0)&gt;Parametros!$C$14),"Alerta","OK")</f>
        <v>Alerta</v>
      </c>
      <c r="Y1577" s="61" t="str">
        <f aca="false">IF($R1577&gt;=Parametros!$C$12,"Alto",IF($R1577&lt;Parametros!$C$13,"Bajo","Medio"))</f>
        <v>Medio</v>
      </c>
      <c r="Z1577" s="61" t="n">
        <v>136</v>
      </c>
      <c r="AA1577" s="61" t="str">
        <f aca="false">IF(MATCH($A1577,Datos_Origen!$A$2:$A$2459,0)=$Z1577,"OK","REVISAR")</f>
        <v>OK</v>
      </c>
      <c r="AB1577" s="62" t="n">
        <f aca="false">INDEX(Datos_Origen!$B$2:$B$2459,$Z1577)</f>
        <v>45764</v>
      </c>
      <c r="AC1577" s="61" t="n">
        <f aca="false">INDEX(Datos_Origen!$H$2:$H$2459,$Z1577)</f>
        <v>9</v>
      </c>
      <c r="AD1577" s="61" t="str">
        <f aca="false">INDEX(Datos_Origen!$D$2:$D$2459,$Z1577)&amp;""</f>
        <v>Mendoza</v>
      </c>
    </row>
    <row r="1578" customFormat="false" ht="15" hidden="false" customHeight="false" outlineLevel="0" collapsed="false">
      <c r="A1578" s="61" t="n">
        <f aca="false">INDEX(Datos_Origen!$A$2:$A$2459,$Z1578)</f>
        <v>1577</v>
      </c>
      <c r="B1578" s="62" t="n">
        <f aca="false">IF(ISNUMBER($AB1578),$AB1578,IF(MID($AB1578,5,1)="-",DATE(VALUE(LEFT($AB1578,4)),VALUE(MID($AB1578,6,2)),VALUE(RIGHT($AB1578,2))),DATE(VALUE(RIGHT($AB1578,4)),VALUE(MID($AB1578,4,2)),VALUE(LEFT($AB1578,2)))))</f>
        <v>45771</v>
      </c>
      <c r="C1578" s="61" t="n">
        <f aca="false">YEAR($B1578)</f>
        <v>2025</v>
      </c>
      <c r="D1578" s="61" t="str">
        <f aca="false">"Q"&amp;ROUNDUP(MONTH($B1578)/3,0)</f>
        <v>Q2</v>
      </c>
      <c r="E1578" s="61" t="n">
        <f aca="false">MONTH($B1578)</f>
        <v>4</v>
      </c>
      <c r="F1578" s="61" t="str">
        <f aca="false">INDEX(Parametros!$I$5:$I$16,$E1578)</f>
        <v>Abr</v>
      </c>
      <c r="G1578" s="61" t="str">
        <f aca="false">TEXT($C1578,"0000")&amp;"-"&amp;TEXT($E1578,"00")</f>
        <v>2025-04</v>
      </c>
      <c r="H1578" s="61" t="str">
        <f aca="false">INDEX(Parametros!$C$71:$C$91,MATCH(TRIM(INDEX(Datos_Origen!$C$2:$C$2459,$Z1578)),Parametros!$B$71:$B$91,0))</f>
        <v>Cuyo</v>
      </c>
      <c r="I1578" s="61" t="str">
        <f aca="false">IF(TRIM($AD1578)="",INDEX(Parametros!$I$20:$I$24,MATCH($H1578,Parametros!$H$20:$H$24,0)),TRIM($AD1578))</f>
        <v>Mendoza</v>
      </c>
      <c r="J1578" s="61" t="str">
        <f aca="false">INDEX(Parametros!$C$95:$C$106,MATCH(TRIM(INDEX(Datos_Origen!$E$2:$E$2459,$Z1578)),Parametros!$B$95:$B$106,0))</f>
        <v>Tienda fisica</v>
      </c>
      <c r="K1578" s="61" t="str">
        <f aca="false">INDEX(Parametros!$C$48:$C$67,MATCH(TRIM(INDEX(Datos_Origen!$F$2:$F$2459,$Z1578)),Parametros!$B$48:$B$67,0))</f>
        <v>Almacenamiento</v>
      </c>
      <c r="L1578" s="61" t="str">
        <f aca="false">$K1578&amp;" "&amp;$C1578</f>
        <v>Almacenamiento 2025</v>
      </c>
      <c r="M1578" s="61" t="str">
        <f aca="false">TRIM(INDEX(Datos_Origen!$G$2:$G$2459,$Z1578))</f>
        <v>SSD Externo 1TB</v>
      </c>
      <c r="N1578" s="61" t="str">
        <f aca="false">$M1578&amp;" "&amp;$C1578</f>
        <v>SSD Externo 1TB 2025</v>
      </c>
      <c r="O1578" s="63" t="n">
        <f aca="false">IF(ISTEXT($AC1578),VALUE($AC1578),$AC1578)</f>
        <v>17</v>
      </c>
      <c r="P1578" s="64" t="n">
        <f aca="false">INDEX(Datos_Origen!$I$2:$I$2459,$Z1578)</f>
        <v>129.17</v>
      </c>
      <c r="Q1578" s="64" t="n">
        <f aca="false">INDEX(Datos_Origen!$J$2:$J$2459,$Z1578)</f>
        <v>78.33</v>
      </c>
      <c r="R1578" s="65" t="n">
        <f aca="false">ROUND($O1578*$P1578,2)</f>
        <v>2195.89</v>
      </c>
      <c r="S1578" s="65" t="n">
        <f aca="false">ROUND($O1578*$Q1578,2)</f>
        <v>1331.61</v>
      </c>
      <c r="T1578" s="65" t="n">
        <f aca="false">ROUND($R1578*SUMIFS(Parametros!$E$28:$E$43,Parametros!$B$28:$B$43,$J1578,Parametros!$C$28:$C$43,$C1578,Parametros!$D$28:$D$43,$D1578),2)</f>
        <v>30.74</v>
      </c>
      <c r="U1578" s="65" t="n">
        <f aca="false">$R1578-$S1578-$T1578</f>
        <v>833.54</v>
      </c>
      <c r="V1578" s="66" t="n">
        <f aca="false">IFERROR($U1578/$R1578,0)</f>
        <v>0.37959096311746</v>
      </c>
      <c r="W1578" s="67" t="str">
        <f aca="false">IF(AND($V1578&gt;=Parametros!$C$8,$R1578&gt;=Parametros!$C$12),"Alta rentabilidad",IF(OR($V1578&lt;Parametros!$C$11,$R1578&lt;Parametros!$C$13),"Revisar","Estandar"))</f>
        <v>Estandar</v>
      </c>
      <c r="X1578" s="67" t="str">
        <f aca="false">IF(AND($J1578="E-commerce",IFERROR($T1578/$R1578,0)&gt;Parametros!$C$14),"Alerta","OK")</f>
        <v>OK</v>
      </c>
      <c r="Y1578" s="61" t="str">
        <f aca="false">IF($R1578&gt;=Parametros!$C$12,"Alto",IF($R1578&lt;Parametros!$C$13,"Bajo","Medio"))</f>
        <v>Medio</v>
      </c>
      <c r="Z1578" s="61" t="n">
        <v>915</v>
      </c>
      <c r="AA1578" s="61" t="str">
        <f aca="false">IF(MATCH($A1578,Datos_Origen!$A$2:$A$2459,0)=$Z1578,"OK","REVISAR")</f>
        <v>OK</v>
      </c>
      <c r="AB1578" s="62" t="n">
        <f aca="false">INDEX(Datos_Origen!$B$2:$B$2459,$Z1578)</f>
        <v>45771</v>
      </c>
      <c r="AC1578" s="61" t="n">
        <f aca="false">INDEX(Datos_Origen!$H$2:$H$2459,$Z1578)</f>
        <v>17</v>
      </c>
      <c r="AD1578" s="61" t="str">
        <f aca="false">INDEX(Datos_Origen!$D$2:$D$2459,$Z1578)&amp;""</f>
        <v>Mendoza</v>
      </c>
    </row>
    <row r="1579" customFormat="false" ht="15" hidden="false" customHeight="false" outlineLevel="0" collapsed="false">
      <c r="A1579" s="61" t="n">
        <f aca="false">INDEX(Datos_Origen!$A$2:$A$2459,$Z1579)</f>
        <v>1578</v>
      </c>
      <c r="B1579" s="62" t="n">
        <f aca="false">IF(ISNUMBER($AB1579),$AB1579,IF(MID($AB1579,5,1)="-",DATE(VALUE(LEFT($AB1579,4)),VALUE(MID($AB1579,6,2)),VALUE(RIGHT($AB1579,2))),DATE(VALUE(RIGHT($AB1579,4)),VALUE(MID($AB1579,4,2)),VALUE(LEFT($AB1579,2)))))</f>
        <v>45751</v>
      </c>
      <c r="C1579" s="61" t="n">
        <f aca="false">YEAR($B1579)</f>
        <v>2025</v>
      </c>
      <c r="D1579" s="61" t="str">
        <f aca="false">"Q"&amp;ROUNDUP(MONTH($B1579)/3,0)</f>
        <v>Q2</v>
      </c>
      <c r="E1579" s="61" t="n">
        <f aca="false">MONTH($B1579)</f>
        <v>4</v>
      </c>
      <c r="F1579" s="61" t="str">
        <f aca="false">INDEX(Parametros!$I$5:$I$16,$E1579)</f>
        <v>Abr</v>
      </c>
      <c r="G1579" s="61" t="str">
        <f aca="false">TEXT($C1579,"0000")&amp;"-"&amp;TEXT($E1579,"00")</f>
        <v>2025-04</v>
      </c>
      <c r="H1579" s="61" t="str">
        <f aca="false">INDEX(Parametros!$C$71:$C$91,MATCH(TRIM(INDEX(Datos_Origen!$C$2:$C$2459,$Z1579)),Parametros!$B$71:$B$91,0))</f>
        <v>Cuyo</v>
      </c>
      <c r="I1579" s="61" t="str">
        <f aca="false">IF(TRIM($AD1579)="",INDEX(Parametros!$I$20:$I$24,MATCH($H1579,Parametros!$H$20:$H$24,0)),TRIM($AD1579))</f>
        <v>Mendoza</v>
      </c>
      <c r="J1579" s="61" t="str">
        <f aca="false">INDEX(Parametros!$C$95:$C$106,MATCH(TRIM(INDEX(Datos_Origen!$E$2:$E$2459,$Z1579)),Parametros!$B$95:$B$106,0))</f>
        <v>E-commerce</v>
      </c>
      <c r="K1579" s="61" t="str">
        <f aca="false">INDEX(Parametros!$C$48:$C$67,MATCH(TRIM(INDEX(Datos_Origen!$F$2:$F$2459,$Z1579)),Parametros!$B$48:$B$67,0))</f>
        <v>Almacenamiento</v>
      </c>
      <c r="L1579" s="61" t="str">
        <f aca="false">$K1579&amp;" "&amp;$C1579</f>
        <v>Almacenamiento 2025</v>
      </c>
      <c r="M1579" s="61" t="str">
        <f aca="false">TRIM(INDEX(Datos_Origen!$G$2:$G$2459,$Z1579))</f>
        <v>SSD Externo 1TB</v>
      </c>
      <c r="N1579" s="61" t="str">
        <f aca="false">$M1579&amp;" "&amp;$C1579</f>
        <v>SSD Externo 1TB 2025</v>
      </c>
      <c r="O1579" s="63" t="n">
        <f aca="false">IF(ISTEXT($AC1579),VALUE($AC1579),$AC1579)</f>
        <v>13</v>
      </c>
      <c r="P1579" s="64" t="n">
        <f aca="false">INDEX(Datos_Origen!$I$2:$I$2459,$Z1579)</f>
        <v>129.17</v>
      </c>
      <c r="Q1579" s="64" t="n">
        <f aca="false">INDEX(Datos_Origen!$J$2:$J$2459,$Z1579)</f>
        <v>78.33</v>
      </c>
      <c r="R1579" s="65" t="n">
        <f aca="false">ROUND($O1579*$P1579,2)</f>
        <v>1679.21</v>
      </c>
      <c r="S1579" s="65" t="n">
        <f aca="false">ROUND($O1579*$Q1579,2)</f>
        <v>1018.29</v>
      </c>
      <c r="T1579" s="65" t="n">
        <f aca="false">ROUND($R1579*SUMIFS(Parametros!$E$28:$E$43,Parametros!$B$28:$B$43,$J1579,Parametros!$C$28:$C$43,$C1579,Parametros!$D$28:$D$43,$D1579),2)</f>
        <v>124.26</v>
      </c>
      <c r="U1579" s="65" t="n">
        <f aca="false">$R1579-$S1579-$T1579</f>
        <v>536.66</v>
      </c>
      <c r="V1579" s="66" t="n">
        <f aca="false">IFERROR($U1579/$R1579,0)</f>
        <v>0.319590759940686</v>
      </c>
      <c r="W1579" s="67" t="str">
        <f aca="false">IF(AND($V1579&gt;=Parametros!$C$8,$R1579&gt;=Parametros!$C$12),"Alta rentabilidad",IF(OR($V1579&lt;Parametros!$C$11,$R1579&lt;Parametros!$C$13),"Revisar","Estandar"))</f>
        <v>Estandar</v>
      </c>
      <c r="X1579" s="67" t="str">
        <f aca="false">IF(AND($J1579="E-commerce",IFERROR($T1579/$R1579,0)&gt;Parametros!$C$14),"Alerta","OK")</f>
        <v>Alerta</v>
      </c>
      <c r="Y1579" s="61" t="str">
        <f aca="false">IF($R1579&gt;=Parametros!$C$12,"Alto",IF($R1579&lt;Parametros!$C$13,"Bajo","Medio"))</f>
        <v>Medio</v>
      </c>
      <c r="Z1579" s="61" t="n">
        <v>881</v>
      </c>
      <c r="AA1579" s="61" t="str">
        <f aca="false">IF(MATCH($A1579,Datos_Origen!$A$2:$A$2459,0)=$Z1579,"OK","REVISAR")</f>
        <v>OK</v>
      </c>
      <c r="AB1579" s="62" t="n">
        <f aca="false">INDEX(Datos_Origen!$B$2:$B$2459,$Z1579)</f>
        <v>45751</v>
      </c>
      <c r="AC1579" s="61" t="n">
        <f aca="false">INDEX(Datos_Origen!$H$2:$H$2459,$Z1579)</f>
        <v>13</v>
      </c>
      <c r="AD1579" s="61" t="str">
        <f aca="false">INDEX(Datos_Origen!$D$2:$D$2459,$Z1579)&amp;""</f>
        <v>Mendoza</v>
      </c>
    </row>
    <row r="1580" customFormat="false" ht="15" hidden="false" customHeight="false" outlineLevel="0" collapsed="false">
      <c r="A1580" s="61" t="n">
        <f aca="false">INDEX(Datos_Origen!$A$2:$A$2459,$Z1580)</f>
        <v>1579</v>
      </c>
      <c r="B1580" s="62" t="n">
        <f aca="false">IF(ISNUMBER($AB1580),$AB1580,IF(MID($AB1580,5,1)="-",DATE(VALUE(LEFT($AB1580,4)),VALUE(MID($AB1580,6,2)),VALUE(RIGHT($AB1580,2))),DATE(VALUE(RIGHT($AB1580,4)),VALUE(MID($AB1580,4,2)),VALUE(LEFT($AB1580,2)))))</f>
        <v>45758</v>
      </c>
      <c r="C1580" s="61" t="n">
        <f aca="false">YEAR($B1580)</f>
        <v>2025</v>
      </c>
      <c r="D1580" s="61" t="str">
        <f aca="false">"Q"&amp;ROUNDUP(MONTH($B1580)/3,0)</f>
        <v>Q2</v>
      </c>
      <c r="E1580" s="61" t="n">
        <f aca="false">MONTH($B1580)</f>
        <v>4</v>
      </c>
      <c r="F1580" s="61" t="str">
        <f aca="false">INDEX(Parametros!$I$5:$I$16,$E1580)</f>
        <v>Abr</v>
      </c>
      <c r="G1580" s="61" t="str">
        <f aca="false">TEXT($C1580,"0000")&amp;"-"&amp;TEXT($E1580,"00")</f>
        <v>2025-04</v>
      </c>
      <c r="H1580" s="61" t="str">
        <f aca="false">INDEX(Parametros!$C$71:$C$91,MATCH(TRIM(INDEX(Datos_Origen!$C$2:$C$2459,$Z1580)),Parametros!$B$71:$B$91,0))</f>
        <v>Cuyo</v>
      </c>
      <c r="I1580" s="61" t="str">
        <f aca="false">IF(TRIM($AD1580)="",INDEX(Parametros!$I$20:$I$24,MATCH($H1580,Parametros!$H$20:$H$24,0)),TRIM($AD1580))</f>
        <v>Mendoza</v>
      </c>
      <c r="J1580" s="61" t="str">
        <f aca="false">INDEX(Parametros!$C$95:$C$106,MATCH(TRIM(INDEX(Datos_Origen!$E$2:$E$2459,$Z1580)),Parametros!$B$95:$B$106,0))</f>
        <v>Tienda fisica</v>
      </c>
      <c r="K1580" s="61" t="str">
        <f aca="false">INDEX(Parametros!$C$48:$C$67,MATCH(TRIM(INDEX(Datos_Origen!$F$2:$F$2459,$Z1580)),Parametros!$B$48:$B$67,0))</f>
        <v>Almacenamiento</v>
      </c>
      <c r="L1580" s="61" t="str">
        <f aca="false">$K1580&amp;" "&amp;$C1580</f>
        <v>Almacenamiento 2025</v>
      </c>
      <c r="M1580" s="61" t="str">
        <f aca="false">TRIM(INDEX(Datos_Origen!$G$2:$G$2459,$Z1580))</f>
        <v>Pendrive 256GB</v>
      </c>
      <c r="N1580" s="61" t="str">
        <f aca="false">$M1580&amp;" "&amp;$C1580</f>
        <v>Pendrive 256GB 2025</v>
      </c>
      <c r="O1580" s="63" t="n">
        <f aca="false">IF(ISTEXT($AC1580),VALUE($AC1580),$AC1580)</f>
        <v>18</v>
      </c>
      <c r="P1580" s="64" t="n">
        <f aca="false">INDEX(Datos_Origen!$I$2:$I$2459,$Z1580)</f>
        <v>34.78</v>
      </c>
      <c r="Q1580" s="64" t="n">
        <f aca="false">INDEX(Datos_Origen!$J$2:$J$2459,$Z1580)</f>
        <v>18.39</v>
      </c>
      <c r="R1580" s="65" t="n">
        <f aca="false">ROUND($O1580*$P1580,2)</f>
        <v>626.04</v>
      </c>
      <c r="S1580" s="65" t="n">
        <f aca="false">ROUND($O1580*$Q1580,2)</f>
        <v>331.02</v>
      </c>
      <c r="T1580" s="65" t="n">
        <f aca="false">ROUND($R1580*SUMIFS(Parametros!$E$28:$E$43,Parametros!$B$28:$B$43,$J1580,Parametros!$C$28:$C$43,$C1580,Parametros!$D$28:$D$43,$D1580),2)</f>
        <v>8.76</v>
      </c>
      <c r="U1580" s="65" t="n">
        <f aca="false">$R1580-$S1580-$T1580</f>
        <v>286.26</v>
      </c>
      <c r="V1580" s="66" t="n">
        <f aca="false">IFERROR($U1580/$R1580,0)</f>
        <v>0.457255127467893</v>
      </c>
      <c r="W1580" s="67" t="str">
        <f aca="false">IF(AND($V1580&gt;=Parametros!$C$8,$R1580&gt;=Parametros!$C$12),"Alta rentabilidad",IF(OR($V1580&lt;Parametros!$C$11,$R1580&lt;Parametros!$C$13),"Revisar","Estandar"))</f>
        <v>Estandar</v>
      </c>
      <c r="X1580" s="67" t="str">
        <f aca="false">IF(AND($J1580="E-commerce",IFERROR($T1580/$R1580,0)&gt;Parametros!$C$14),"Alerta","OK")</f>
        <v>OK</v>
      </c>
      <c r="Y1580" s="61" t="str">
        <f aca="false">IF($R1580&gt;=Parametros!$C$12,"Alto",IF($R1580&lt;Parametros!$C$13,"Bajo","Medio"))</f>
        <v>Medio</v>
      </c>
      <c r="Z1580" s="61" t="n">
        <v>1030</v>
      </c>
      <c r="AA1580" s="61" t="str">
        <f aca="false">IF(MATCH($A1580,Datos_Origen!$A$2:$A$2459,0)=$Z1580,"OK","REVISAR")</f>
        <v>OK</v>
      </c>
      <c r="AB1580" s="62" t="n">
        <f aca="false">INDEX(Datos_Origen!$B$2:$B$2459,$Z1580)</f>
        <v>45758</v>
      </c>
      <c r="AC1580" s="61" t="n">
        <f aca="false">INDEX(Datos_Origen!$H$2:$H$2459,$Z1580)</f>
        <v>18</v>
      </c>
      <c r="AD1580" s="61" t="str">
        <f aca="false">INDEX(Datos_Origen!$D$2:$D$2459,$Z1580)&amp;""</f>
        <v>Mendoza</v>
      </c>
    </row>
    <row r="1581" customFormat="false" ht="15" hidden="false" customHeight="false" outlineLevel="0" collapsed="false">
      <c r="A1581" s="61" t="n">
        <f aca="false">INDEX(Datos_Origen!$A$2:$A$2459,$Z1581)</f>
        <v>1580</v>
      </c>
      <c r="B1581" s="62" t="n">
        <f aca="false">IF(ISNUMBER($AB1581),$AB1581,IF(MID($AB1581,5,1)="-",DATE(VALUE(LEFT($AB1581,4)),VALUE(MID($AB1581,6,2)),VALUE(RIGHT($AB1581,2))),DATE(VALUE(RIGHT($AB1581,4)),VALUE(MID($AB1581,4,2)),VALUE(LEFT($AB1581,2)))))</f>
        <v>45765</v>
      </c>
      <c r="C1581" s="61" t="n">
        <f aca="false">YEAR($B1581)</f>
        <v>2025</v>
      </c>
      <c r="D1581" s="61" t="str">
        <f aca="false">"Q"&amp;ROUNDUP(MONTH($B1581)/3,0)</f>
        <v>Q2</v>
      </c>
      <c r="E1581" s="61" t="n">
        <f aca="false">MONTH($B1581)</f>
        <v>4</v>
      </c>
      <c r="F1581" s="61" t="str">
        <f aca="false">INDEX(Parametros!$I$5:$I$16,$E1581)</f>
        <v>Abr</v>
      </c>
      <c r="G1581" s="61" t="str">
        <f aca="false">TEXT($C1581,"0000")&amp;"-"&amp;TEXT($E1581,"00")</f>
        <v>2025-04</v>
      </c>
      <c r="H1581" s="61" t="str">
        <f aca="false">INDEX(Parametros!$C$71:$C$91,MATCH(TRIM(INDEX(Datos_Origen!$C$2:$C$2459,$Z1581)),Parametros!$B$71:$B$91,0))</f>
        <v>Cuyo</v>
      </c>
      <c r="I1581" s="61" t="str">
        <f aca="false">IF(TRIM($AD1581)="",INDEX(Parametros!$I$20:$I$24,MATCH($H1581,Parametros!$H$20:$H$24,0)),TRIM($AD1581))</f>
        <v>Mendoza</v>
      </c>
      <c r="J1581" s="61" t="str">
        <f aca="false">INDEX(Parametros!$C$95:$C$106,MATCH(TRIM(INDEX(Datos_Origen!$E$2:$E$2459,$Z1581)),Parametros!$B$95:$B$106,0))</f>
        <v>E-commerce</v>
      </c>
      <c r="K1581" s="61" t="str">
        <f aca="false">INDEX(Parametros!$C$48:$C$67,MATCH(TRIM(INDEX(Datos_Origen!$F$2:$F$2459,$Z1581)),Parametros!$B$48:$B$67,0))</f>
        <v>Almacenamiento</v>
      </c>
      <c r="L1581" s="61" t="str">
        <f aca="false">$K1581&amp;" "&amp;$C1581</f>
        <v>Almacenamiento 2025</v>
      </c>
      <c r="M1581" s="61" t="str">
        <f aca="false">TRIM(INDEX(Datos_Origen!$G$2:$G$2459,$Z1581))</f>
        <v>Pendrive 256GB</v>
      </c>
      <c r="N1581" s="61" t="str">
        <f aca="false">$M1581&amp;" "&amp;$C1581</f>
        <v>Pendrive 256GB 2025</v>
      </c>
      <c r="O1581" s="63" t="n">
        <f aca="false">IF(ISTEXT($AC1581),VALUE($AC1581),$AC1581)</f>
        <v>10</v>
      </c>
      <c r="P1581" s="64" t="n">
        <f aca="false">INDEX(Datos_Origen!$I$2:$I$2459,$Z1581)</f>
        <v>34.78</v>
      </c>
      <c r="Q1581" s="64" t="n">
        <f aca="false">INDEX(Datos_Origen!$J$2:$J$2459,$Z1581)</f>
        <v>18.39</v>
      </c>
      <c r="R1581" s="65" t="n">
        <f aca="false">ROUND($O1581*$P1581,2)</f>
        <v>347.8</v>
      </c>
      <c r="S1581" s="65" t="n">
        <f aca="false">ROUND($O1581*$Q1581,2)</f>
        <v>183.9</v>
      </c>
      <c r="T1581" s="65" t="n">
        <f aca="false">ROUND($R1581*SUMIFS(Parametros!$E$28:$E$43,Parametros!$B$28:$B$43,$J1581,Parametros!$C$28:$C$43,$C1581,Parametros!$D$28:$D$43,$D1581),2)</f>
        <v>25.74</v>
      </c>
      <c r="U1581" s="65" t="n">
        <f aca="false">$R1581-$S1581-$T1581</f>
        <v>138.16</v>
      </c>
      <c r="V1581" s="66" t="n">
        <f aca="false">IFERROR($U1581/$R1581,0)</f>
        <v>0.397239792984474</v>
      </c>
      <c r="W1581" s="67" t="str">
        <f aca="false">IF(AND($V1581&gt;=Parametros!$C$8,$R1581&gt;=Parametros!$C$12),"Alta rentabilidad",IF(OR($V1581&lt;Parametros!$C$11,$R1581&lt;Parametros!$C$13),"Revisar","Estandar"))</f>
        <v>Estandar</v>
      </c>
      <c r="X1581" s="67" t="str">
        <f aca="false">IF(AND($J1581="E-commerce",IFERROR($T1581/$R1581,0)&gt;Parametros!$C$14),"Alerta","OK")</f>
        <v>Alerta</v>
      </c>
      <c r="Y1581" s="61" t="str">
        <f aca="false">IF($R1581&gt;=Parametros!$C$12,"Alto",IF($R1581&lt;Parametros!$C$13,"Bajo","Medio"))</f>
        <v>Medio</v>
      </c>
      <c r="Z1581" s="61" t="n">
        <v>1631</v>
      </c>
      <c r="AA1581" s="61" t="str">
        <f aca="false">IF(MATCH($A1581,Datos_Origen!$A$2:$A$2459,0)=$Z1581,"OK","REVISAR")</f>
        <v>OK</v>
      </c>
      <c r="AB1581" s="61" t="str">
        <f aca="false">INDEX(Datos_Origen!$B$2:$B$2459,$Z1581)</f>
        <v>18/04/2025</v>
      </c>
      <c r="AC1581" s="61" t="n">
        <f aca="false">INDEX(Datos_Origen!$H$2:$H$2459,$Z1581)</f>
        <v>10</v>
      </c>
      <c r="AD1581" s="61" t="str">
        <f aca="false">INDEX(Datos_Origen!$D$2:$D$2459,$Z1581)&amp;""</f>
        <v>Mendoza</v>
      </c>
    </row>
    <row r="1582" customFormat="false" ht="15" hidden="false" customHeight="false" outlineLevel="0" collapsed="false">
      <c r="A1582" s="61" t="n">
        <f aca="false">INDEX(Datos_Origen!$A$2:$A$2459,$Z1582)</f>
        <v>1581</v>
      </c>
      <c r="B1582" s="62" t="n">
        <f aca="false">IF(ISNUMBER($AB1582),$AB1582,IF(MID($AB1582,5,1)="-",DATE(VALUE(LEFT($AB1582,4)),VALUE(MID($AB1582,6,2)),VALUE(RIGHT($AB1582,2))),DATE(VALUE(RIGHT($AB1582,4)),VALUE(MID($AB1582,4,2)),VALUE(LEFT($AB1582,2)))))</f>
        <v>45772</v>
      </c>
      <c r="C1582" s="61" t="n">
        <f aca="false">YEAR($B1582)</f>
        <v>2025</v>
      </c>
      <c r="D1582" s="61" t="str">
        <f aca="false">"Q"&amp;ROUNDUP(MONTH($B1582)/3,0)</f>
        <v>Q2</v>
      </c>
      <c r="E1582" s="61" t="n">
        <f aca="false">MONTH($B1582)</f>
        <v>4</v>
      </c>
      <c r="F1582" s="61" t="str">
        <f aca="false">INDEX(Parametros!$I$5:$I$16,$E1582)</f>
        <v>Abr</v>
      </c>
      <c r="G1582" s="61" t="str">
        <f aca="false">TEXT($C1582,"0000")&amp;"-"&amp;TEXT($E1582,"00")</f>
        <v>2025-04</v>
      </c>
      <c r="H1582" s="61" t="str">
        <f aca="false">INDEX(Parametros!$C$71:$C$91,MATCH(TRIM(INDEX(Datos_Origen!$C$2:$C$2459,$Z1582)),Parametros!$B$71:$B$91,0))</f>
        <v>NOA</v>
      </c>
      <c r="I1582" s="61" t="str">
        <f aca="false">IF(TRIM($AD1582)="",INDEX(Parametros!$I$20:$I$24,MATCH($H1582,Parametros!$H$20:$H$24,0)),TRIM($AD1582))</f>
        <v>Tucuman</v>
      </c>
      <c r="J1582" s="61" t="str">
        <f aca="false">INDEX(Parametros!$C$95:$C$106,MATCH(TRIM(INDEX(Datos_Origen!$E$2:$E$2459,$Z1582)),Parametros!$B$95:$B$106,0))</f>
        <v>Tienda fisica</v>
      </c>
      <c r="K1582" s="61" t="str">
        <f aca="false">INDEX(Parametros!$C$48:$C$67,MATCH(TRIM(INDEX(Datos_Origen!$F$2:$F$2459,$Z1582)),Parametros!$B$48:$B$67,0))</f>
        <v>Computacion</v>
      </c>
      <c r="L1582" s="61" t="str">
        <f aca="false">$K1582&amp;" "&amp;$C1582</f>
        <v>Computacion 2025</v>
      </c>
      <c r="M1582" s="61" t="str">
        <f aca="false">TRIM(INDEX(Datos_Origen!$G$2:$G$2459,$Z1582))</f>
        <v>Laptop Pro 15</v>
      </c>
      <c r="N1582" s="61" t="str">
        <f aca="false">$M1582&amp;" "&amp;$C1582</f>
        <v>Laptop Pro 15 2025</v>
      </c>
      <c r="O1582" s="63" t="n">
        <f aca="false">IF(ISTEXT($AC1582),VALUE($AC1582),$AC1582)</f>
        <v>5</v>
      </c>
      <c r="P1582" s="64" t="n">
        <f aca="false">INDEX(Datos_Origen!$I$2:$I$2459,$Z1582)</f>
        <v>1155.06</v>
      </c>
      <c r="Q1582" s="64" t="n">
        <f aca="false">INDEX(Datos_Origen!$J$2:$J$2459,$Z1582)</f>
        <v>766.32</v>
      </c>
      <c r="R1582" s="65" t="n">
        <f aca="false">ROUND($O1582*$P1582,2)</f>
        <v>5775.3</v>
      </c>
      <c r="S1582" s="65" t="n">
        <f aca="false">ROUND($O1582*$Q1582,2)</f>
        <v>3831.6</v>
      </c>
      <c r="T1582" s="65" t="n">
        <f aca="false">ROUND($R1582*SUMIFS(Parametros!$E$28:$E$43,Parametros!$B$28:$B$43,$J1582,Parametros!$C$28:$C$43,$C1582,Parametros!$D$28:$D$43,$D1582),2)</f>
        <v>80.85</v>
      </c>
      <c r="U1582" s="65" t="n">
        <f aca="false">$R1582-$S1582-$T1582</f>
        <v>1862.85</v>
      </c>
      <c r="V1582" s="66" t="n">
        <f aca="false">IFERROR($U1582/$R1582,0)</f>
        <v>0.322554672484546</v>
      </c>
      <c r="W1582" s="67" t="str">
        <f aca="false">IF(AND($V1582&gt;=Parametros!$C$8,$R1582&gt;=Parametros!$C$12),"Alta rentabilidad",IF(OR($V1582&lt;Parametros!$C$11,$R1582&lt;Parametros!$C$13),"Revisar","Estandar"))</f>
        <v>Estandar</v>
      </c>
      <c r="X1582" s="67" t="str">
        <f aca="false">IF(AND($J1582="E-commerce",IFERROR($T1582/$R1582,0)&gt;Parametros!$C$14),"Alerta","OK")</f>
        <v>OK</v>
      </c>
      <c r="Y1582" s="61" t="str">
        <f aca="false">IF($R1582&gt;=Parametros!$C$12,"Alto",IF($R1582&lt;Parametros!$C$13,"Bajo","Medio"))</f>
        <v>Alto</v>
      </c>
      <c r="Z1582" s="61" t="n">
        <v>2439</v>
      </c>
      <c r="AA1582" s="61" t="str">
        <f aca="false">IF(MATCH($A1582,Datos_Origen!$A$2:$A$2459,0)=$Z1582,"OK","REVISAR")</f>
        <v>OK</v>
      </c>
      <c r="AB1582" s="62" t="n">
        <f aca="false">INDEX(Datos_Origen!$B$2:$B$2459,$Z1582)</f>
        <v>45772</v>
      </c>
      <c r="AC1582" s="61" t="n">
        <f aca="false">INDEX(Datos_Origen!$H$2:$H$2459,$Z1582)</f>
        <v>5</v>
      </c>
      <c r="AD1582" s="61" t="str">
        <f aca="false">INDEX(Datos_Origen!$D$2:$D$2459,$Z1582)&amp;""</f>
        <v>Tucuman</v>
      </c>
    </row>
    <row r="1583" customFormat="false" ht="15" hidden="false" customHeight="false" outlineLevel="0" collapsed="false">
      <c r="A1583" s="61" t="n">
        <f aca="false">INDEX(Datos_Origen!$A$2:$A$2459,$Z1583)</f>
        <v>1582</v>
      </c>
      <c r="B1583" s="62" t="n">
        <f aca="false">IF(ISNUMBER($AB1583),$AB1583,IF(MID($AB1583,5,1)="-",DATE(VALUE(LEFT($AB1583,4)),VALUE(MID($AB1583,6,2)),VALUE(RIGHT($AB1583,2))),DATE(VALUE(RIGHT($AB1583,4)),VALUE(MID($AB1583,4,2)),VALUE(LEFT($AB1583,2)))))</f>
        <v>45752</v>
      </c>
      <c r="C1583" s="61" t="n">
        <f aca="false">YEAR($B1583)</f>
        <v>2025</v>
      </c>
      <c r="D1583" s="61" t="str">
        <f aca="false">"Q"&amp;ROUNDUP(MONTH($B1583)/3,0)</f>
        <v>Q2</v>
      </c>
      <c r="E1583" s="61" t="n">
        <f aca="false">MONTH($B1583)</f>
        <v>4</v>
      </c>
      <c r="F1583" s="61" t="str">
        <f aca="false">INDEX(Parametros!$I$5:$I$16,$E1583)</f>
        <v>Abr</v>
      </c>
      <c r="G1583" s="61" t="str">
        <f aca="false">TEXT($C1583,"0000")&amp;"-"&amp;TEXT($E1583,"00")</f>
        <v>2025-04</v>
      </c>
      <c r="H1583" s="61" t="str">
        <f aca="false">INDEX(Parametros!$C$71:$C$91,MATCH(TRIM(INDEX(Datos_Origen!$C$2:$C$2459,$Z1583)),Parametros!$B$71:$B$91,0))</f>
        <v>NOA</v>
      </c>
      <c r="I1583" s="61" t="str">
        <f aca="false">IF(TRIM($AD1583)="",INDEX(Parametros!$I$20:$I$24,MATCH($H1583,Parametros!$H$20:$H$24,0)),TRIM($AD1583))</f>
        <v>Tucuman</v>
      </c>
      <c r="J1583" s="61" t="str">
        <f aca="false">INDEX(Parametros!$C$95:$C$106,MATCH(TRIM(INDEX(Datos_Origen!$E$2:$E$2459,$Z1583)),Parametros!$B$95:$B$106,0))</f>
        <v>E-commerce</v>
      </c>
      <c r="K1583" s="61" t="str">
        <f aca="false">INDEX(Parametros!$C$48:$C$67,MATCH(TRIM(INDEX(Datos_Origen!$F$2:$F$2459,$Z1583)),Parametros!$B$48:$B$67,0))</f>
        <v>Computacion</v>
      </c>
      <c r="L1583" s="61" t="str">
        <f aca="false">$K1583&amp;" "&amp;$C1583</f>
        <v>Computacion 2025</v>
      </c>
      <c r="M1583" s="61" t="str">
        <f aca="false">TRIM(INDEX(Datos_Origen!$G$2:$G$2459,$Z1583))</f>
        <v>Laptop Pro 15</v>
      </c>
      <c r="N1583" s="61" t="str">
        <f aca="false">$M1583&amp;" "&amp;$C1583</f>
        <v>Laptop Pro 15 2025</v>
      </c>
      <c r="O1583" s="63" t="n">
        <f aca="false">IF(ISTEXT($AC1583),VALUE($AC1583),$AC1583)</f>
        <v>3</v>
      </c>
      <c r="P1583" s="64" t="n">
        <f aca="false">INDEX(Datos_Origen!$I$2:$I$2459,$Z1583)</f>
        <v>1155.06</v>
      </c>
      <c r="Q1583" s="64" t="n">
        <f aca="false">INDEX(Datos_Origen!$J$2:$J$2459,$Z1583)</f>
        <v>766.32</v>
      </c>
      <c r="R1583" s="65" t="n">
        <f aca="false">ROUND($O1583*$P1583,2)</f>
        <v>3465.18</v>
      </c>
      <c r="S1583" s="65" t="n">
        <f aca="false">ROUND($O1583*$Q1583,2)</f>
        <v>2298.96</v>
      </c>
      <c r="T1583" s="65" t="n">
        <f aca="false">ROUND($R1583*SUMIFS(Parametros!$E$28:$E$43,Parametros!$B$28:$B$43,$J1583,Parametros!$C$28:$C$43,$C1583,Parametros!$D$28:$D$43,$D1583),2)</f>
        <v>256.42</v>
      </c>
      <c r="U1583" s="65" t="n">
        <f aca="false">$R1583-$S1583-$T1583</f>
        <v>909.8</v>
      </c>
      <c r="V1583" s="66" t="n">
        <f aca="false">IFERROR($U1583/$R1583,0)</f>
        <v>0.262554903352784</v>
      </c>
      <c r="W1583" s="67" t="str">
        <f aca="false">IF(AND($V1583&gt;=Parametros!$C$8,$R1583&gt;=Parametros!$C$12),"Alta rentabilidad",IF(OR($V1583&lt;Parametros!$C$11,$R1583&lt;Parametros!$C$13),"Revisar","Estandar"))</f>
        <v>Revisar</v>
      </c>
      <c r="X1583" s="67" t="str">
        <f aca="false">IF(AND($J1583="E-commerce",IFERROR($T1583/$R1583,0)&gt;Parametros!$C$14),"Alerta","OK")</f>
        <v>Alerta</v>
      </c>
      <c r="Y1583" s="61" t="str">
        <f aca="false">IF($R1583&gt;=Parametros!$C$12,"Alto",IF($R1583&lt;Parametros!$C$13,"Bajo","Medio"))</f>
        <v>Alto</v>
      </c>
      <c r="Z1583" s="61" t="n">
        <v>353</v>
      </c>
      <c r="AA1583" s="61" t="str">
        <f aca="false">IF(MATCH($A1583,Datos_Origen!$A$2:$A$2459,0)=$Z1583,"OK","REVISAR")</f>
        <v>OK</v>
      </c>
      <c r="AB1583" s="61" t="str">
        <f aca="false">INDEX(Datos_Origen!$B$2:$B$2459,$Z1583)</f>
        <v>05/04/2025</v>
      </c>
      <c r="AC1583" s="61" t="n">
        <f aca="false">INDEX(Datos_Origen!$H$2:$H$2459,$Z1583)</f>
        <v>3</v>
      </c>
      <c r="AD1583" s="61" t="str">
        <f aca="false">INDEX(Datos_Origen!$D$2:$D$2459,$Z1583)&amp;""</f>
        <v>Tucuman</v>
      </c>
    </row>
    <row r="1584" customFormat="false" ht="15" hidden="false" customHeight="false" outlineLevel="0" collapsed="false">
      <c r="A1584" s="61" t="n">
        <f aca="false">INDEX(Datos_Origen!$A$2:$A$2459,$Z1584)</f>
        <v>1583</v>
      </c>
      <c r="B1584" s="62" t="n">
        <f aca="false">IF(ISNUMBER($AB1584),$AB1584,IF(MID($AB1584,5,1)="-",DATE(VALUE(LEFT($AB1584,4)),VALUE(MID($AB1584,6,2)),VALUE(RIGHT($AB1584,2))),DATE(VALUE(RIGHT($AB1584,4)),VALUE(MID($AB1584,4,2)),VALUE(LEFT($AB1584,2)))))</f>
        <v>45759</v>
      </c>
      <c r="C1584" s="61" t="n">
        <f aca="false">YEAR($B1584)</f>
        <v>2025</v>
      </c>
      <c r="D1584" s="61" t="str">
        <f aca="false">"Q"&amp;ROUNDUP(MONTH($B1584)/3,0)</f>
        <v>Q2</v>
      </c>
      <c r="E1584" s="61" t="n">
        <f aca="false">MONTH($B1584)</f>
        <v>4</v>
      </c>
      <c r="F1584" s="61" t="str">
        <f aca="false">INDEX(Parametros!$I$5:$I$16,$E1584)</f>
        <v>Abr</v>
      </c>
      <c r="G1584" s="61" t="str">
        <f aca="false">TEXT($C1584,"0000")&amp;"-"&amp;TEXT($E1584,"00")</f>
        <v>2025-04</v>
      </c>
      <c r="H1584" s="61" t="str">
        <f aca="false">INDEX(Parametros!$C$71:$C$91,MATCH(TRIM(INDEX(Datos_Origen!$C$2:$C$2459,$Z1584)),Parametros!$B$71:$B$91,0))</f>
        <v>NOA</v>
      </c>
      <c r="I1584" s="61" t="str">
        <f aca="false">IF(TRIM($AD1584)="",INDEX(Parametros!$I$20:$I$24,MATCH($H1584,Parametros!$H$20:$H$24,0)),TRIM($AD1584))</f>
        <v>Tucuman</v>
      </c>
      <c r="J1584" s="61" t="str">
        <f aca="false">INDEX(Parametros!$C$95:$C$106,MATCH(TRIM(INDEX(Datos_Origen!$E$2:$E$2459,$Z1584)),Parametros!$B$95:$B$106,0))</f>
        <v>Tienda fisica</v>
      </c>
      <c r="K1584" s="61" t="str">
        <f aca="false">INDEX(Parametros!$C$48:$C$67,MATCH(TRIM(INDEX(Datos_Origen!$F$2:$F$2459,$Z1584)),Parametros!$B$48:$B$67,0))</f>
        <v>Computacion</v>
      </c>
      <c r="L1584" s="61" t="str">
        <f aca="false">$K1584&amp;" "&amp;$C1584</f>
        <v>Computacion 2025</v>
      </c>
      <c r="M1584" s="61" t="str">
        <f aca="false">TRIM(INDEX(Datos_Origen!$G$2:$G$2459,$Z1584))</f>
        <v>Monitor 4K 27</v>
      </c>
      <c r="N1584" s="61" t="str">
        <f aca="false">$M1584&amp;" "&amp;$C1584</f>
        <v>Monitor 4K 27 2025</v>
      </c>
      <c r="O1584" s="63" t="n">
        <f aca="false">IF(ISTEXT($AC1584),VALUE($AC1584),$AC1584)</f>
        <v>6</v>
      </c>
      <c r="P1584" s="64" t="n">
        <f aca="false">INDEX(Datos_Origen!$I$2:$I$2459,$Z1584)</f>
        <v>433.15</v>
      </c>
      <c r="Q1584" s="64" t="n">
        <f aca="false">INDEX(Datos_Origen!$J$2:$J$2459,$Z1584)</f>
        <v>280.42</v>
      </c>
      <c r="R1584" s="65" t="n">
        <f aca="false">ROUND($O1584*$P1584,2)</f>
        <v>2598.9</v>
      </c>
      <c r="S1584" s="65" t="n">
        <f aca="false">ROUND($O1584*$Q1584,2)</f>
        <v>1682.52</v>
      </c>
      <c r="T1584" s="65" t="n">
        <f aca="false">ROUND($R1584*SUMIFS(Parametros!$E$28:$E$43,Parametros!$B$28:$B$43,$J1584,Parametros!$C$28:$C$43,$C1584,Parametros!$D$28:$D$43,$D1584),2)</f>
        <v>36.38</v>
      </c>
      <c r="U1584" s="65" t="n">
        <f aca="false">$R1584-$S1584-$T1584</f>
        <v>880</v>
      </c>
      <c r="V1584" s="66" t="n">
        <f aca="false">IFERROR($U1584/$R1584,0)</f>
        <v>0.338604794336065</v>
      </c>
      <c r="W1584" s="67" t="str">
        <f aca="false">IF(AND($V1584&gt;=Parametros!$C$8,$R1584&gt;=Parametros!$C$12),"Alta rentabilidad",IF(OR($V1584&lt;Parametros!$C$11,$R1584&lt;Parametros!$C$13),"Revisar","Estandar"))</f>
        <v>Estandar</v>
      </c>
      <c r="X1584" s="67" t="str">
        <f aca="false">IF(AND($J1584="E-commerce",IFERROR($T1584/$R1584,0)&gt;Parametros!$C$14),"Alerta","OK")</f>
        <v>OK</v>
      </c>
      <c r="Y1584" s="61" t="str">
        <f aca="false">IF($R1584&gt;=Parametros!$C$12,"Alto",IF($R1584&lt;Parametros!$C$13,"Bajo","Medio"))</f>
        <v>Medio</v>
      </c>
      <c r="Z1584" s="61" t="n">
        <v>1846</v>
      </c>
      <c r="AA1584" s="61" t="str">
        <f aca="false">IF(MATCH($A1584,Datos_Origen!$A$2:$A$2459,0)=$Z1584,"OK","REVISAR")</f>
        <v>OK</v>
      </c>
      <c r="AB1584" s="62" t="n">
        <f aca="false">INDEX(Datos_Origen!$B$2:$B$2459,$Z1584)</f>
        <v>45759</v>
      </c>
      <c r="AC1584" s="61" t="n">
        <f aca="false">INDEX(Datos_Origen!$H$2:$H$2459,$Z1584)</f>
        <v>6</v>
      </c>
      <c r="AD1584" s="61" t="str">
        <f aca="false">INDEX(Datos_Origen!$D$2:$D$2459,$Z1584)&amp;""</f>
        <v>Tucuman</v>
      </c>
    </row>
    <row r="1585" customFormat="false" ht="15" hidden="false" customHeight="false" outlineLevel="0" collapsed="false">
      <c r="A1585" s="61" t="n">
        <f aca="false">INDEX(Datos_Origen!$A$2:$A$2459,$Z1585)</f>
        <v>1584</v>
      </c>
      <c r="B1585" s="62" t="n">
        <f aca="false">IF(ISNUMBER($AB1585),$AB1585,IF(MID($AB1585,5,1)="-",DATE(VALUE(LEFT($AB1585,4)),VALUE(MID($AB1585,6,2)),VALUE(RIGHT($AB1585,2))),DATE(VALUE(RIGHT($AB1585,4)),VALUE(MID($AB1585,4,2)),VALUE(LEFT($AB1585,2)))))</f>
        <v>45766</v>
      </c>
      <c r="C1585" s="61" t="n">
        <f aca="false">YEAR($B1585)</f>
        <v>2025</v>
      </c>
      <c r="D1585" s="61" t="str">
        <f aca="false">"Q"&amp;ROUNDUP(MONTH($B1585)/3,0)</f>
        <v>Q2</v>
      </c>
      <c r="E1585" s="61" t="n">
        <f aca="false">MONTH($B1585)</f>
        <v>4</v>
      </c>
      <c r="F1585" s="61" t="str">
        <f aca="false">INDEX(Parametros!$I$5:$I$16,$E1585)</f>
        <v>Abr</v>
      </c>
      <c r="G1585" s="61" t="str">
        <f aca="false">TEXT($C1585,"0000")&amp;"-"&amp;TEXT($E1585,"00")</f>
        <v>2025-04</v>
      </c>
      <c r="H1585" s="61" t="str">
        <f aca="false">INDEX(Parametros!$C$71:$C$91,MATCH(TRIM(INDEX(Datos_Origen!$C$2:$C$2459,$Z1585)),Parametros!$B$71:$B$91,0))</f>
        <v>NOA</v>
      </c>
      <c r="I1585" s="61" t="str">
        <f aca="false">IF(TRIM($AD1585)="",INDEX(Parametros!$I$20:$I$24,MATCH($H1585,Parametros!$H$20:$H$24,0)),TRIM($AD1585))</f>
        <v>Tucuman</v>
      </c>
      <c r="J1585" s="61" t="str">
        <f aca="false">INDEX(Parametros!$C$95:$C$106,MATCH(TRIM(INDEX(Datos_Origen!$E$2:$E$2459,$Z1585)),Parametros!$B$95:$B$106,0))</f>
        <v>E-commerce</v>
      </c>
      <c r="K1585" s="61" t="str">
        <f aca="false">INDEX(Parametros!$C$48:$C$67,MATCH(TRIM(INDEX(Datos_Origen!$F$2:$F$2459,$Z1585)),Parametros!$B$48:$B$67,0))</f>
        <v>Computacion</v>
      </c>
      <c r="L1585" s="61" t="str">
        <f aca="false">$K1585&amp;" "&amp;$C1585</f>
        <v>Computacion 2025</v>
      </c>
      <c r="M1585" s="61" t="str">
        <f aca="false">TRIM(INDEX(Datos_Origen!$G$2:$G$2459,$Z1585))</f>
        <v>Monitor 4K 27</v>
      </c>
      <c r="N1585" s="61" t="str">
        <f aca="false">$M1585&amp;" "&amp;$C1585</f>
        <v>Monitor 4K 27 2025</v>
      </c>
      <c r="O1585" s="63" t="n">
        <f aca="false">IF(ISTEXT($AC1585),VALUE($AC1585),$AC1585)</f>
        <v>4</v>
      </c>
      <c r="P1585" s="64" t="n">
        <f aca="false">INDEX(Datos_Origen!$I$2:$I$2459,$Z1585)</f>
        <v>433.15</v>
      </c>
      <c r="Q1585" s="64" t="n">
        <f aca="false">INDEX(Datos_Origen!$J$2:$J$2459,$Z1585)</f>
        <v>280.42</v>
      </c>
      <c r="R1585" s="65" t="n">
        <f aca="false">ROUND($O1585*$P1585,2)</f>
        <v>1732.6</v>
      </c>
      <c r="S1585" s="65" t="n">
        <f aca="false">ROUND($O1585*$Q1585,2)</f>
        <v>1121.68</v>
      </c>
      <c r="T1585" s="65" t="n">
        <f aca="false">ROUND($R1585*SUMIFS(Parametros!$E$28:$E$43,Parametros!$B$28:$B$43,$J1585,Parametros!$C$28:$C$43,$C1585,Parametros!$D$28:$D$43,$D1585),2)</f>
        <v>128.21</v>
      </c>
      <c r="U1585" s="65" t="n">
        <f aca="false">$R1585-$S1585-$T1585</f>
        <v>482.71</v>
      </c>
      <c r="V1585" s="66" t="n">
        <f aca="false">IFERROR($U1585/$R1585,0)</f>
        <v>0.27860440955789</v>
      </c>
      <c r="W1585" s="67" t="str">
        <f aca="false">IF(AND($V1585&gt;=Parametros!$C$8,$R1585&gt;=Parametros!$C$12),"Alta rentabilidad",IF(OR($V1585&lt;Parametros!$C$11,$R1585&lt;Parametros!$C$13),"Revisar","Estandar"))</f>
        <v>Revisar</v>
      </c>
      <c r="X1585" s="67" t="str">
        <f aca="false">IF(AND($J1585="E-commerce",IFERROR($T1585/$R1585,0)&gt;Parametros!$C$14),"Alerta","OK")</f>
        <v>Alerta</v>
      </c>
      <c r="Y1585" s="61" t="str">
        <f aca="false">IF($R1585&gt;=Parametros!$C$12,"Alto",IF($R1585&lt;Parametros!$C$13,"Bajo","Medio"))</f>
        <v>Medio</v>
      </c>
      <c r="Z1585" s="61" t="n">
        <v>246</v>
      </c>
      <c r="AA1585" s="61" t="str">
        <f aca="false">IF(MATCH($A1585,Datos_Origen!$A$2:$A$2459,0)=$Z1585,"OK","REVISAR")</f>
        <v>OK</v>
      </c>
      <c r="AB1585" s="62" t="n">
        <f aca="false">INDEX(Datos_Origen!$B$2:$B$2459,$Z1585)</f>
        <v>45766</v>
      </c>
      <c r="AC1585" s="61" t="n">
        <f aca="false">INDEX(Datos_Origen!$H$2:$H$2459,$Z1585)</f>
        <v>4</v>
      </c>
      <c r="AD1585" s="61" t="str">
        <f aca="false">INDEX(Datos_Origen!$D$2:$D$2459,$Z1585)&amp;""</f>
        <v>Tucuman</v>
      </c>
    </row>
    <row r="1586" customFormat="false" ht="15" hidden="false" customHeight="false" outlineLevel="0" collapsed="false">
      <c r="A1586" s="61" t="n">
        <f aca="false">INDEX(Datos_Origen!$A$2:$A$2459,$Z1586)</f>
        <v>1585</v>
      </c>
      <c r="B1586" s="62" t="n">
        <f aca="false">IF(ISNUMBER($AB1586),$AB1586,IF(MID($AB1586,5,1)="-",DATE(VALUE(LEFT($AB1586,4)),VALUE(MID($AB1586,6,2)),VALUE(RIGHT($AB1586,2))),DATE(VALUE(RIGHT($AB1586,4)),VALUE(MID($AB1586,4,2)),VALUE(LEFT($AB1586,2)))))</f>
        <v>45773</v>
      </c>
      <c r="C1586" s="61" t="n">
        <f aca="false">YEAR($B1586)</f>
        <v>2025</v>
      </c>
      <c r="D1586" s="61" t="str">
        <f aca="false">"Q"&amp;ROUNDUP(MONTH($B1586)/3,0)</f>
        <v>Q2</v>
      </c>
      <c r="E1586" s="61" t="n">
        <f aca="false">MONTH($B1586)</f>
        <v>4</v>
      </c>
      <c r="F1586" s="61" t="str">
        <f aca="false">INDEX(Parametros!$I$5:$I$16,$E1586)</f>
        <v>Abr</v>
      </c>
      <c r="G1586" s="61" t="str">
        <f aca="false">TEXT($C1586,"0000")&amp;"-"&amp;TEXT($E1586,"00")</f>
        <v>2025-04</v>
      </c>
      <c r="H1586" s="61" t="str">
        <f aca="false">INDEX(Parametros!$C$71:$C$91,MATCH(TRIM(INDEX(Datos_Origen!$C$2:$C$2459,$Z1586)),Parametros!$B$71:$B$91,0))</f>
        <v>NOA</v>
      </c>
      <c r="I1586" s="61" t="str">
        <f aca="false">IF(TRIM($AD1586)="",INDEX(Parametros!$I$20:$I$24,MATCH($H1586,Parametros!$H$20:$H$24,0)),TRIM($AD1586))</f>
        <v>Tucuman</v>
      </c>
      <c r="J1586" s="61" t="str">
        <f aca="false">INDEX(Parametros!$C$95:$C$106,MATCH(TRIM(INDEX(Datos_Origen!$E$2:$E$2459,$Z1586)),Parametros!$B$95:$B$106,0))</f>
        <v>Tienda fisica</v>
      </c>
      <c r="K1586" s="61" t="str">
        <f aca="false">INDEX(Parametros!$C$48:$C$67,MATCH(TRIM(INDEX(Datos_Origen!$F$2:$F$2459,$Z1586)),Parametros!$B$48:$B$67,0))</f>
        <v>Computacion</v>
      </c>
      <c r="L1586" s="61" t="str">
        <f aca="false">$K1586&amp;" "&amp;$C1586</f>
        <v>Computacion 2025</v>
      </c>
      <c r="M1586" s="61" t="str">
        <f aca="false">TRIM(INDEX(Datos_Origen!$G$2:$G$2459,$Z1586))</f>
        <v>PC Gamer Ryzen</v>
      </c>
      <c r="N1586" s="61" t="str">
        <f aca="false">$M1586&amp;" "&amp;$C1586</f>
        <v>PC Gamer Ryzen 2025</v>
      </c>
      <c r="O1586" s="63" t="n">
        <f aca="false">IF(ISTEXT($AC1586),VALUE($AC1586),$AC1586)</f>
        <v>5</v>
      </c>
      <c r="P1586" s="64" t="n">
        <f aca="false">INDEX(Datos_Origen!$I$2:$I$2459,$Z1586)</f>
        <v>1588.21</v>
      </c>
      <c r="Q1586" s="64" t="n">
        <f aca="false">INDEX(Datos_Origen!$J$2:$J$2459,$Z1586)</f>
        <v>1155.66</v>
      </c>
      <c r="R1586" s="65" t="n">
        <f aca="false">ROUND($O1586*$P1586,2)</f>
        <v>7941.05</v>
      </c>
      <c r="S1586" s="65" t="n">
        <f aca="false">ROUND($O1586*$Q1586,2)</f>
        <v>5778.3</v>
      </c>
      <c r="T1586" s="65" t="n">
        <f aca="false">ROUND($R1586*SUMIFS(Parametros!$E$28:$E$43,Parametros!$B$28:$B$43,$J1586,Parametros!$C$28:$C$43,$C1586,Parametros!$D$28:$D$43,$D1586),2)</f>
        <v>111.17</v>
      </c>
      <c r="U1586" s="65" t="n">
        <f aca="false">$R1586-$S1586-$T1586</f>
        <v>2051.58</v>
      </c>
      <c r="V1586" s="66" t="n">
        <f aca="false">IFERROR($U1586/$R1586,0)</f>
        <v>0.258351225593593</v>
      </c>
      <c r="W1586" s="67" t="str">
        <f aca="false">IF(AND($V1586&gt;=Parametros!$C$8,$R1586&gt;=Parametros!$C$12),"Alta rentabilidad",IF(OR($V1586&lt;Parametros!$C$11,$R1586&lt;Parametros!$C$13),"Revisar","Estandar"))</f>
        <v>Revisar</v>
      </c>
      <c r="X1586" s="67" t="str">
        <f aca="false">IF(AND($J1586="E-commerce",IFERROR($T1586/$R1586,0)&gt;Parametros!$C$14),"Alerta","OK")</f>
        <v>OK</v>
      </c>
      <c r="Y1586" s="61" t="str">
        <f aca="false">IF($R1586&gt;=Parametros!$C$12,"Alto",IF($R1586&lt;Parametros!$C$13,"Bajo","Medio"))</f>
        <v>Alto</v>
      </c>
      <c r="Z1586" s="61" t="n">
        <v>1574</v>
      </c>
      <c r="AA1586" s="61" t="str">
        <f aca="false">IF(MATCH($A1586,Datos_Origen!$A$2:$A$2459,0)=$Z1586,"OK","REVISAR")</f>
        <v>OK</v>
      </c>
      <c r="AB1586" s="61" t="str">
        <f aca="false">INDEX(Datos_Origen!$B$2:$B$2459,$Z1586)</f>
        <v>26/04/2025</v>
      </c>
      <c r="AC1586" s="61" t="n">
        <f aca="false">INDEX(Datos_Origen!$H$2:$H$2459,$Z1586)</f>
        <v>5</v>
      </c>
      <c r="AD1586" s="61" t="str">
        <f aca="false">INDEX(Datos_Origen!$D$2:$D$2459,$Z1586)&amp;""</f>
        <v>Tucuman</v>
      </c>
    </row>
    <row r="1587" customFormat="false" ht="15" hidden="false" customHeight="false" outlineLevel="0" collapsed="false">
      <c r="A1587" s="61" t="n">
        <f aca="false">INDEX(Datos_Origen!$A$2:$A$2459,$Z1587)</f>
        <v>1586</v>
      </c>
      <c r="B1587" s="62" t="n">
        <f aca="false">IF(ISNUMBER($AB1587),$AB1587,IF(MID($AB1587,5,1)="-",DATE(VALUE(LEFT($AB1587,4)),VALUE(MID($AB1587,6,2)),VALUE(RIGHT($AB1587,2))),DATE(VALUE(RIGHT($AB1587,4)),VALUE(MID($AB1587,4,2)),VALUE(LEFT($AB1587,2)))))</f>
        <v>45753</v>
      </c>
      <c r="C1587" s="61" t="n">
        <f aca="false">YEAR($B1587)</f>
        <v>2025</v>
      </c>
      <c r="D1587" s="61" t="str">
        <f aca="false">"Q"&amp;ROUNDUP(MONTH($B1587)/3,0)</f>
        <v>Q2</v>
      </c>
      <c r="E1587" s="61" t="n">
        <f aca="false">MONTH($B1587)</f>
        <v>4</v>
      </c>
      <c r="F1587" s="61" t="str">
        <f aca="false">INDEX(Parametros!$I$5:$I$16,$E1587)</f>
        <v>Abr</v>
      </c>
      <c r="G1587" s="61" t="str">
        <f aca="false">TEXT($C1587,"0000")&amp;"-"&amp;TEXT($E1587,"00")</f>
        <v>2025-04</v>
      </c>
      <c r="H1587" s="61" t="str">
        <f aca="false">INDEX(Parametros!$C$71:$C$91,MATCH(TRIM(INDEX(Datos_Origen!$C$2:$C$2459,$Z1587)),Parametros!$B$71:$B$91,0))</f>
        <v>NOA</v>
      </c>
      <c r="I1587" s="61" t="str">
        <f aca="false">IF(TRIM($AD1587)="",INDEX(Parametros!$I$20:$I$24,MATCH($H1587,Parametros!$H$20:$H$24,0)),TRIM($AD1587))</f>
        <v>Tucuman</v>
      </c>
      <c r="J1587" s="61" t="str">
        <f aca="false">INDEX(Parametros!$C$95:$C$106,MATCH(TRIM(INDEX(Datos_Origen!$E$2:$E$2459,$Z1587)),Parametros!$B$95:$B$106,0))</f>
        <v>E-commerce</v>
      </c>
      <c r="K1587" s="61" t="str">
        <f aca="false">INDEX(Parametros!$C$48:$C$67,MATCH(TRIM(INDEX(Datos_Origen!$F$2:$F$2459,$Z1587)),Parametros!$B$48:$B$67,0))</f>
        <v>Computacion</v>
      </c>
      <c r="L1587" s="61" t="str">
        <f aca="false">$K1587&amp;" "&amp;$C1587</f>
        <v>Computacion 2025</v>
      </c>
      <c r="M1587" s="61" t="str">
        <f aca="false">TRIM(INDEX(Datos_Origen!$G$2:$G$2459,$Z1587))</f>
        <v>PC Gamer Ryzen</v>
      </c>
      <c r="N1587" s="61" t="str">
        <f aca="false">$M1587&amp;" "&amp;$C1587</f>
        <v>PC Gamer Ryzen 2025</v>
      </c>
      <c r="O1587" s="63" t="n">
        <f aca="false">IF(ISTEXT($AC1587),VALUE($AC1587),$AC1587)</f>
        <v>4</v>
      </c>
      <c r="P1587" s="64" t="n">
        <f aca="false">INDEX(Datos_Origen!$I$2:$I$2459,$Z1587)</f>
        <v>1588.21</v>
      </c>
      <c r="Q1587" s="64" t="n">
        <f aca="false">INDEX(Datos_Origen!$J$2:$J$2459,$Z1587)</f>
        <v>1155.66</v>
      </c>
      <c r="R1587" s="65" t="n">
        <f aca="false">ROUND($O1587*$P1587,2)</f>
        <v>6352.84</v>
      </c>
      <c r="S1587" s="65" t="n">
        <f aca="false">ROUND($O1587*$Q1587,2)</f>
        <v>4622.64</v>
      </c>
      <c r="T1587" s="65" t="n">
        <f aca="false">ROUND($R1587*SUMIFS(Parametros!$E$28:$E$43,Parametros!$B$28:$B$43,$J1587,Parametros!$C$28:$C$43,$C1587,Parametros!$D$28:$D$43,$D1587),2)</f>
        <v>470.11</v>
      </c>
      <c r="U1587" s="65" t="n">
        <f aca="false">$R1587-$S1587-$T1587</f>
        <v>1260.09</v>
      </c>
      <c r="V1587" s="66" t="n">
        <f aca="false">IFERROR($U1587/$R1587,0)</f>
        <v>0.198350658917901</v>
      </c>
      <c r="W1587" s="67" t="str">
        <f aca="false">IF(AND($V1587&gt;=Parametros!$C$8,$R1587&gt;=Parametros!$C$12),"Alta rentabilidad",IF(OR($V1587&lt;Parametros!$C$11,$R1587&lt;Parametros!$C$13),"Revisar","Estandar"))</f>
        <v>Revisar</v>
      </c>
      <c r="X1587" s="67" t="str">
        <f aca="false">IF(AND($J1587="E-commerce",IFERROR($T1587/$R1587,0)&gt;Parametros!$C$14),"Alerta","OK")</f>
        <v>Alerta</v>
      </c>
      <c r="Y1587" s="61" t="str">
        <f aca="false">IF($R1587&gt;=Parametros!$C$12,"Alto",IF($R1587&lt;Parametros!$C$13,"Bajo","Medio"))</f>
        <v>Alto</v>
      </c>
      <c r="Z1587" s="61" t="n">
        <v>954</v>
      </c>
      <c r="AA1587" s="61" t="str">
        <f aca="false">IF(MATCH($A1587,Datos_Origen!$A$2:$A$2459,0)=$Z1587,"OK","REVISAR")</f>
        <v>OK</v>
      </c>
      <c r="AB1587" s="61" t="str">
        <f aca="false">INDEX(Datos_Origen!$B$2:$B$2459,$Z1587)</f>
        <v>06/04/2025</v>
      </c>
      <c r="AC1587" s="61" t="n">
        <f aca="false">INDEX(Datos_Origen!$H$2:$H$2459,$Z1587)</f>
        <v>4</v>
      </c>
      <c r="AD1587" s="61" t="str">
        <f aca="false">INDEX(Datos_Origen!$D$2:$D$2459,$Z1587)&amp;""</f>
        <v>Tucuman</v>
      </c>
    </row>
    <row r="1588" customFormat="false" ht="15" hidden="false" customHeight="false" outlineLevel="0" collapsed="false">
      <c r="A1588" s="61" t="n">
        <f aca="false">INDEX(Datos_Origen!$A$2:$A$2459,$Z1588)</f>
        <v>1587</v>
      </c>
      <c r="B1588" s="62" t="n">
        <f aca="false">IF(ISNUMBER($AB1588),$AB1588,IF(MID($AB1588,5,1)="-",DATE(VALUE(LEFT($AB1588,4)),VALUE(MID($AB1588,6,2)),VALUE(RIGHT($AB1588,2))),DATE(VALUE(RIGHT($AB1588,4)),VALUE(MID($AB1588,4,2)),VALUE(LEFT($AB1588,2)))))</f>
        <v>45760</v>
      </c>
      <c r="C1588" s="61" t="n">
        <f aca="false">YEAR($B1588)</f>
        <v>2025</v>
      </c>
      <c r="D1588" s="61" t="str">
        <f aca="false">"Q"&amp;ROUNDUP(MONTH($B1588)/3,0)</f>
        <v>Q2</v>
      </c>
      <c r="E1588" s="61" t="n">
        <f aca="false">MONTH($B1588)</f>
        <v>4</v>
      </c>
      <c r="F1588" s="61" t="str">
        <f aca="false">INDEX(Parametros!$I$5:$I$16,$E1588)</f>
        <v>Abr</v>
      </c>
      <c r="G1588" s="61" t="str">
        <f aca="false">TEXT($C1588,"0000")&amp;"-"&amp;TEXT($E1588,"00")</f>
        <v>2025-04</v>
      </c>
      <c r="H1588" s="61" t="str">
        <f aca="false">INDEX(Parametros!$C$71:$C$91,MATCH(TRIM(INDEX(Datos_Origen!$C$2:$C$2459,$Z1588)),Parametros!$B$71:$B$91,0))</f>
        <v>NOA</v>
      </c>
      <c r="I1588" s="61" t="str">
        <f aca="false">IF(TRIM($AD1588)="",INDEX(Parametros!$I$20:$I$24,MATCH($H1588,Parametros!$H$20:$H$24,0)),TRIM($AD1588))</f>
        <v>Tucuman</v>
      </c>
      <c r="J1588" s="61" t="str">
        <f aca="false">INDEX(Parametros!$C$95:$C$106,MATCH(TRIM(INDEX(Datos_Origen!$E$2:$E$2459,$Z1588)),Parametros!$B$95:$B$106,0))</f>
        <v>Tienda fisica</v>
      </c>
      <c r="K1588" s="61" t="str">
        <f aca="false">INDEX(Parametros!$C$48:$C$67,MATCH(TRIM(INDEX(Datos_Origen!$F$2:$F$2459,$Z1588)),Parametros!$B$48:$B$67,0))</f>
        <v>Accesorios</v>
      </c>
      <c r="L1588" s="61" t="str">
        <f aca="false">$K1588&amp;" "&amp;$C1588</f>
        <v>Accesorios 2025</v>
      </c>
      <c r="M1588" s="61" t="str">
        <f aca="false">TRIM(INDEX(Datos_Origen!$G$2:$G$2459,$Z1588))</f>
        <v>Mouse Inalambrico</v>
      </c>
      <c r="N1588" s="61" t="str">
        <f aca="false">$M1588&amp;" "&amp;$C1588</f>
        <v>Mouse Inalambrico 2025</v>
      </c>
      <c r="O1588" s="63" t="n">
        <f aca="false">IF(ISTEXT($AC1588),VALUE($AC1588),$AC1588)</f>
        <v>28</v>
      </c>
      <c r="P1588" s="64" t="n">
        <f aca="false">INDEX(Datos_Origen!$I$2:$I$2459,$Z1588)</f>
        <v>27.82</v>
      </c>
      <c r="Q1588" s="64" t="n">
        <f aca="false">INDEX(Datos_Origen!$J$2:$J$2459,$Z1588)</f>
        <v>13.84</v>
      </c>
      <c r="R1588" s="65" t="n">
        <f aca="false">ROUND($O1588*$P1588,2)</f>
        <v>778.96</v>
      </c>
      <c r="S1588" s="65" t="n">
        <f aca="false">ROUND($O1588*$Q1588,2)</f>
        <v>387.52</v>
      </c>
      <c r="T1588" s="65" t="n">
        <f aca="false">ROUND($R1588*SUMIFS(Parametros!$E$28:$E$43,Parametros!$B$28:$B$43,$J1588,Parametros!$C$28:$C$43,$C1588,Parametros!$D$28:$D$43,$D1588),2)</f>
        <v>10.91</v>
      </c>
      <c r="U1588" s="65" t="n">
        <f aca="false">$R1588-$S1588-$T1588</f>
        <v>380.53</v>
      </c>
      <c r="V1588" s="66" t="n">
        <f aca="false">IFERROR($U1588/$R1588,0)</f>
        <v>0.488510321454247</v>
      </c>
      <c r="W1588" s="67" t="str">
        <f aca="false">IF(AND($V1588&gt;=Parametros!$C$8,$R1588&gt;=Parametros!$C$12),"Alta rentabilidad",IF(OR($V1588&lt;Parametros!$C$11,$R1588&lt;Parametros!$C$13),"Revisar","Estandar"))</f>
        <v>Estandar</v>
      </c>
      <c r="X1588" s="67" t="str">
        <f aca="false">IF(AND($J1588="E-commerce",IFERROR($T1588/$R1588,0)&gt;Parametros!$C$14),"Alerta","OK")</f>
        <v>OK</v>
      </c>
      <c r="Y1588" s="61" t="str">
        <f aca="false">IF($R1588&gt;=Parametros!$C$12,"Alto",IF($R1588&lt;Parametros!$C$13,"Bajo","Medio"))</f>
        <v>Medio</v>
      </c>
      <c r="Z1588" s="61" t="n">
        <v>772</v>
      </c>
      <c r="AA1588" s="61" t="str">
        <f aca="false">IF(MATCH($A1588,Datos_Origen!$A$2:$A$2459,0)=$Z1588,"OK","REVISAR")</f>
        <v>OK</v>
      </c>
      <c r="AB1588" s="62" t="n">
        <f aca="false">INDEX(Datos_Origen!$B$2:$B$2459,$Z1588)</f>
        <v>45760</v>
      </c>
      <c r="AC1588" s="61" t="n">
        <f aca="false">INDEX(Datos_Origen!$H$2:$H$2459,$Z1588)</f>
        <v>28</v>
      </c>
      <c r="AD1588" s="61" t="str">
        <f aca="false">INDEX(Datos_Origen!$D$2:$D$2459,$Z1588)&amp;""</f>
        <v>Tucuman</v>
      </c>
    </row>
    <row r="1589" customFormat="false" ht="15" hidden="false" customHeight="false" outlineLevel="0" collapsed="false">
      <c r="A1589" s="61" t="n">
        <f aca="false">INDEX(Datos_Origen!$A$2:$A$2459,$Z1589)</f>
        <v>1588</v>
      </c>
      <c r="B1589" s="62" t="n">
        <f aca="false">IF(ISNUMBER($AB1589),$AB1589,IF(MID($AB1589,5,1)="-",DATE(VALUE(LEFT($AB1589,4)),VALUE(MID($AB1589,6,2)),VALUE(RIGHT($AB1589,2))),DATE(VALUE(RIGHT($AB1589,4)),VALUE(MID($AB1589,4,2)),VALUE(LEFT($AB1589,2)))))</f>
        <v>45767</v>
      </c>
      <c r="C1589" s="61" t="n">
        <f aca="false">YEAR($B1589)</f>
        <v>2025</v>
      </c>
      <c r="D1589" s="61" t="str">
        <f aca="false">"Q"&amp;ROUNDUP(MONTH($B1589)/3,0)</f>
        <v>Q2</v>
      </c>
      <c r="E1589" s="61" t="n">
        <f aca="false">MONTH($B1589)</f>
        <v>4</v>
      </c>
      <c r="F1589" s="61" t="str">
        <f aca="false">INDEX(Parametros!$I$5:$I$16,$E1589)</f>
        <v>Abr</v>
      </c>
      <c r="G1589" s="61" t="str">
        <f aca="false">TEXT($C1589,"0000")&amp;"-"&amp;TEXT($E1589,"00")</f>
        <v>2025-04</v>
      </c>
      <c r="H1589" s="61" t="str">
        <f aca="false">INDEX(Parametros!$C$71:$C$91,MATCH(TRIM(INDEX(Datos_Origen!$C$2:$C$2459,$Z1589)),Parametros!$B$71:$B$91,0))</f>
        <v>NOA</v>
      </c>
      <c r="I1589" s="61" t="str">
        <f aca="false">IF(TRIM($AD1589)="",INDEX(Parametros!$I$20:$I$24,MATCH($H1589,Parametros!$H$20:$H$24,0)),TRIM($AD1589))</f>
        <v>Tucuman</v>
      </c>
      <c r="J1589" s="61" t="str">
        <f aca="false">INDEX(Parametros!$C$95:$C$106,MATCH(TRIM(INDEX(Datos_Origen!$E$2:$E$2459,$Z1589)),Parametros!$B$95:$B$106,0))</f>
        <v>E-commerce</v>
      </c>
      <c r="K1589" s="61" t="str">
        <f aca="false">INDEX(Parametros!$C$48:$C$67,MATCH(TRIM(INDEX(Datos_Origen!$F$2:$F$2459,$Z1589)),Parametros!$B$48:$B$67,0))</f>
        <v>Accesorios</v>
      </c>
      <c r="L1589" s="61" t="str">
        <f aca="false">$K1589&amp;" "&amp;$C1589</f>
        <v>Accesorios 2025</v>
      </c>
      <c r="M1589" s="61" t="str">
        <f aca="false">TRIM(INDEX(Datos_Origen!$G$2:$G$2459,$Z1589))</f>
        <v>Mouse Inalambrico</v>
      </c>
      <c r="N1589" s="61" t="str">
        <f aca="false">$M1589&amp;" "&amp;$C1589</f>
        <v>Mouse Inalambrico 2025</v>
      </c>
      <c r="O1589" s="63" t="n">
        <f aca="false">IF(ISTEXT($AC1589),VALUE($AC1589),$AC1589)</f>
        <v>16</v>
      </c>
      <c r="P1589" s="64" t="n">
        <f aca="false">INDEX(Datos_Origen!$I$2:$I$2459,$Z1589)</f>
        <v>27.82</v>
      </c>
      <c r="Q1589" s="64" t="n">
        <f aca="false">INDEX(Datos_Origen!$J$2:$J$2459,$Z1589)</f>
        <v>13.84</v>
      </c>
      <c r="R1589" s="65" t="n">
        <f aca="false">ROUND($O1589*$P1589,2)</f>
        <v>445.12</v>
      </c>
      <c r="S1589" s="65" t="n">
        <f aca="false">ROUND($O1589*$Q1589,2)</f>
        <v>221.44</v>
      </c>
      <c r="T1589" s="65" t="n">
        <f aca="false">ROUND($R1589*SUMIFS(Parametros!$E$28:$E$43,Parametros!$B$28:$B$43,$J1589,Parametros!$C$28:$C$43,$C1589,Parametros!$D$28:$D$43,$D1589),2)</f>
        <v>32.94</v>
      </c>
      <c r="U1589" s="65" t="n">
        <f aca="false">$R1589-$S1589-$T1589</f>
        <v>190.74</v>
      </c>
      <c r="V1589" s="66" t="n">
        <f aca="false">IFERROR($U1589/$R1589,0)</f>
        <v>0.428513659237958</v>
      </c>
      <c r="W1589" s="67" t="str">
        <f aca="false">IF(AND($V1589&gt;=Parametros!$C$8,$R1589&gt;=Parametros!$C$12),"Alta rentabilidad",IF(OR($V1589&lt;Parametros!$C$11,$R1589&lt;Parametros!$C$13),"Revisar","Estandar"))</f>
        <v>Estandar</v>
      </c>
      <c r="X1589" s="67" t="str">
        <f aca="false">IF(AND($J1589="E-commerce",IFERROR($T1589/$R1589,0)&gt;Parametros!$C$14),"Alerta","OK")</f>
        <v>Alerta</v>
      </c>
      <c r="Y1589" s="61" t="str">
        <f aca="false">IF($R1589&gt;=Parametros!$C$12,"Alto",IF($R1589&lt;Parametros!$C$13,"Bajo","Medio"))</f>
        <v>Medio</v>
      </c>
      <c r="Z1589" s="61" t="n">
        <v>1775</v>
      </c>
      <c r="AA1589" s="61" t="str">
        <f aca="false">IF(MATCH($A1589,Datos_Origen!$A$2:$A$2459,0)=$Z1589,"OK","REVISAR")</f>
        <v>OK</v>
      </c>
      <c r="AB1589" s="62" t="n">
        <f aca="false">INDEX(Datos_Origen!$B$2:$B$2459,$Z1589)</f>
        <v>45767</v>
      </c>
      <c r="AC1589" s="61" t="n">
        <f aca="false">INDEX(Datos_Origen!$H$2:$H$2459,$Z1589)</f>
        <v>16</v>
      </c>
      <c r="AD1589" s="61" t="str">
        <f aca="false">INDEX(Datos_Origen!$D$2:$D$2459,$Z1589)&amp;""</f>
        <v>Tucuman</v>
      </c>
    </row>
    <row r="1590" customFormat="false" ht="15" hidden="false" customHeight="false" outlineLevel="0" collapsed="false">
      <c r="A1590" s="61" t="n">
        <f aca="false">INDEX(Datos_Origen!$A$2:$A$2459,$Z1590)</f>
        <v>1589</v>
      </c>
      <c r="B1590" s="62" t="n">
        <f aca="false">IF(ISNUMBER($AB1590),$AB1590,IF(MID($AB1590,5,1)="-",DATE(VALUE(LEFT($AB1590,4)),VALUE(MID($AB1590,6,2)),VALUE(RIGHT($AB1590,2))),DATE(VALUE(RIGHT($AB1590,4)),VALUE(MID($AB1590,4,2)),VALUE(LEFT($AB1590,2)))))</f>
        <v>45774</v>
      </c>
      <c r="C1590" s="61" t="n">
        <f aca="false">YEAR($B1590)</f>
        <v>2025</v>
      </c>
      <c r="D1590" s="61" t="str">
        <f aca="false">"Q"&amp;ROUNDUP(MONTH($B1590)/3,0)</f>
        <v>Q2</v>
      </c>
      <c r="E1590" s="61" t="n">
        <f aca="false">MONTH($B1590)</f>
        <v>4</v>
      </c>
      <c r="F1590" s="61" t="str">
        <f aca="false">INDEX(Parametros!$I$5:$I$16,$E1590)</f>
        <v>Abr</v>
      </c>
      <c r="G1590" s="61" t="str">
        <f aca="false">TEXT($C1590,"0000")&amp;"-"&amp;TEXT($E1590,"00")</f>
        <v>2025-04</v>
      </c>
      <c r="H1590" s="61" t="str">
        <f aca="false">INDEX(Parametros!$C$71:$C$91,MATCH(TRIM(INDEX(Datos_Origen!$C$2:$C$2459,$Z1590)),Parametros!$B$71:$B$91,0))</f>
        <v>NOA</v>
      </c>
      <c r="I1590" s="61" t="str">
        <f aca="false">IF(TRIM($AD1590)="",INDEX(Parametros!$I$20:$I$24,MATCH($H1590,Parametros!$H$20:$H$24,0)),TRIM($AD1590))</f>
        <v>Tucuman</v>
      </c>
      <c r="J1590" s="61" t="str">
        <f aca="false">INDEX(Parametros!$C$95:$C$106,MATCH(TRIM(INDEX(Datos_Origen!$E$2:$E$2459,$Z1590)),Parametros!$B$95:$B$106,0))</f>
        <v>Tienda fisica</v>
      </c>
      <c r="K1590" s="61" t="str">
        <f aca="false">INDEX(Parametros!$C$48:$C$67,MATCH(TRIM(INDEX(Datos_Origen!$F$2:$F$2459,$Z1590)),Parametros!$B$48:$B$67,0))</f>
        <v>Accesorios</v>
      </c>
      <c r="L1590" s="61" t="str">
        <f aca="false">$K1590&amp;" "&amp;$C1590</f>
        <v>Accesorios 2025</v>
      </c>
      <c r="M1590" s="61" t="str">
        <f aca="false">TRIM(INDEX(Datos_Origen!$G$2:$G$2459,$Z1590))</f>
        <v>Teclado Mecanico</v>
      </c>
      <c r="N1590" s="61" t="str">
        <f aca="false">$M1590&amp;" "&amp;$C1590</f>
        <v>Teclado Mecanico 2025</v>
      </c>
      <c r="O1590" s="63" t="n">
        <f aca="false">IF(ISTEXT($AC1590),VALUE($AC1590),$AC1590)</f>
        <v>30</v>
      </c>
      <c r="P1590" s="64" t="n">
        <f aca="false">INDEX(Datos_Origen!$I$2:$I$2459,$Z1590)</f>
        <v>94.39</v>
      </c>
      <c r="Q1590" s="64" t="n">
        <f aca="false">INDEX(Datos_Origen!$J$2:$J$2459,$Z1590)</f>
        <v>49.41</v>
      </c>
      <c r="R1590" s="65" t="n">
        <f aca="false">ROUND($O1590*$P1590,2)</f>
        <v>2831.7</v>
      </c>
      <c r="S1590" s="65" t="n">
        <f aca="false">ROUND($O1590*$Q1590,2)</f>
        <v>1482.3</v>
      </c>
      <c r="T1590" s="65" t="n">
        <f aca="false">ROUND($R1590*SUMIFS(Parametros!$E$28:$E$43,Parametros!$B$28:$B$43,$J1590,Parametros!$C$28:$C$43,$C1590,Parametros!$D$28:$D$43,$D1590),2)</f>
        <v>39.64</v>
      </c>
      <c r="U1590" s="65" t="n">
        <f aca="false">$R1590-$S1590-$T1590</f>
        <v>1309.76</v>
      </c>
      <c r="V1590" s="66" t="n">
        <f aca="false">IFERROR($U1590/$R1590,0)</f>
        <v>0.462534873044461</v>
      </c>
      <c r="W1590" s="67" t="str">
        <f aca="false">IF(AND($V1590&gt;=Parametros!$C$8,$R1590&gt;=Parametros!$C$12),"Alta rentabilidad",IF(OR($V1590&lt;Parametros!$C$11,$R1590&lt;Parametros!$C$13),"Revisar","Estandar"))</f>
        <v>Estandar</v>
      </c>
      <c r="X1590" s="67" t="str">
        <f aca="false">IF(AND($J1590="E-commerce",IFERROR($T1590/$R1590,0)&gt;Parametros!$C$14),"Alerta","OK")</f>
        <v>OK</v>
      </c>
      <c r="Y1590" s="61" t="str">
        <f aca="false">IF($R1590&gt;=Parametros!$C$12,"Alto",IF($R1590&lt;Parametros!$C$13,"Bajo","Medio"))</f>
        <v>Medio</v>
      </c>
      <c r="Z1590" s="61" t="n">
        <v>1007</v>
      </c>
      <c r="AA1590" s="61" t="str">
        <f aca="false">IF(MATCH($A1590,Datos_Origen!$A$2:$A$2459,0)=$Z1590,"OK","REVISAR")</f>
        <v>OK</v>
      </c>
      <c r="AB1590" s="62" t="n">
        <f aca="false">INDEX(Datos_Origen!$B$2:$B$2459,$Z1590)</f>
        <v>45774</v>
      </c>
      <c r="AC1590" s="61" t="str">
        <f aca="false">INDEX(Datos_Origen!$H$2:$H$2459,$Z1590)</f>
        <v>30</v>
      </c>
      <c r="AD1590" s="61" t="str">
        <f aca="false">INDEX(Datos_Origen!$D$2:$D$2459,$Z1590)&amp;""</f>
        <v>Tucuman</v>
      </c>
    </row>
    <row r="1591" customFormat="false" ht="15" hidden="false" customHeight="false" outlineLevel="0" collapsed="false">
      <c r="A1591" s="61" t="n">
        <f aca="false">INDEX(Datos_Origen!$A$2:$A$2459,$Z1591)</f>
        <v>1590</v>
      </c>
      <c r="B1591" s="62" t="n">
        <f aca="false">IF(ISNUMBER($AB1591),$AB1591,IF(MID($AB1591,5,1)="-",DATE(VALUE(LEFT($AB1591,4)),VALUE(MID($AB1591,6,2)),VALUE(RIGHT($AB1591,2))),DATE(VALUE(RIGHT($AB1591,4)),VALUE(MID($AB1591,4,2)),VALUE(LEFT($AB1591,2)))))</f>
        <v>45754</v>
      </c>
      <c r="C1591" s="61" t="n">
        <f aca="false">YEAR($B1591)</f>
        <v>2025</v>
      </c>
      <c r="D1591" s="61" t="str">
        <f aca="false">"Q"&amp;ROUNDUP(MONTH($B1591)/3,0)</f>
        <v>Q2</v>
      </c>
      <c r="E1591" s="61" t="n">
        <f aca="false">MONTH($B1591)</f>
        <v>4</v>
      </c>
      <c r="F1591" s="61" t="str">
        <f aca="false">INDEX(Parametros!$I$5:$I$16,$E1591)</f>
        <v>Abr</v>
      </c>
      <c r="G1591" s="61" t="str">
        <f aca="false">TEXT($C1591,"0000")&amp;"-"&amp;TEXT($E1591,"00")</f>
        <v>2025-04</v>
      </c>
      <c r="H1591" s="61" t="str">
        <f aca="false">INDEX(Parametros!$C$71:$C$91,MATCH(TRIM(INDEX(Datos_Origen!$C$2:$C$2459,$Z1591)),Parametros!$B$71:$B$91,0))</f>
        <v>NOA</v>
      </c>
      <c r="I1591" s="61" t="str">
        <f aca="false">IF(TRIM($AD1591)="",INDEX(Parametros!$I$20:$I$24,MATCH($H1591,Parametros!$H$20:$H$24,0)),TRIM($AD1591))</f>
        <v>Tucuman</v>
      </c>
      <c r="J1591" s="61" t="str">
        <f aca="false">INDEX(Parametros!$C$95:$C$106,MATCH(TRIM(INDEX(Datos_Origen!$E$2:$E$2459,$Z1591)),Parametros!$B$95:$B$106,0))</f>
        <v>E-commerce</v>
      </c>
      <c r="K1591" s="61" t="str">
        <f aca="false">INDEX(Parametros!$C$48:$C$67,MATCH(TRIM(INDEX(Datos_Origen!$F$2:$F$2459,$Z1591)),Parametros!$B$48:$B$67,0))</f>
        <v>Accesorios</v>
      </c>
      <c r="L1591" s="61" t="str">
        <f aca="false">$K1591&amp;" "&amp;$C1591</f>
        <v>Accesorios 2025</v>
      </c>
      <c r="M1591" s="61" t="str">
        <f aca="false">TRIM(INDEX(Datos_Origen!$G$2:$G$2459,$Z1591))</f>
        <v>Teclado Mecanico</v>
      </c>
      <c r="N1591" s="61" t="str">
        <f aca="false">$M1591&amp;" "&amp;$C1591</f>
        <v>Teclado Mecanico 2025</v>
      </c>
      <c r="O1591" s="63" t="n">
        <f aca="false">IF(ISTEXT($AC1591),VALUE($AC1591),$AC1591)</f>
        <v>22</v>
      </c>
      <c r="P1591" s="64" t="n">
        <f aca="false">INDEX(Datos_Origen!$I$2:$I$2459,$Z1591)</f>
        <v>94.39</v>
      </c>
      <c r="Q1591" s="64" t="n">
        <f aca="false">INDEX(Datos_Origen!$J$2:$J$2459,$Z1591)</f>
        <v>49.41</v>
      </c>
      <c r="R1591" s="65" t="n">
        <f aca="false">ROUND($O1591*$P1591,2)</f>
        <v>2076.58</v>
      </c>
      <c r="S1591" s="65" t="n">
        <f aca="false">ROUND($O1591*$Q1591,2)</f>
        <v>1087.02</v>
      </c>
      <c r="T1591" s="65" t="n">
        <f aca="false">ROUND($R1591*SUMIFS(Parametros!$E$28:$E$43,Parametros!$B$28:$B$43,$J1591,Parametros!$C$28:$C$43,$C1591,Parametros!$D$28:$D$43,$D1591),2)</f>
        <v>153.67</v>
      </c>
      <c r="U1591" s="65" t="n">
        <f aca="false">$R1591-$S1591-$T1591</f>
        <v>835.89</v>
      </c>
      <c r="V1591" s="66" t="n">
        <f aca="false">IFERROR($U1591/$R1591,0)</f>
        <v>0.402532047886429</v>
      </c>
      <c r="W1591" s="67" t="str">
        <f aca="false">IF(AND($V1591&gt;=Parametros!$C$8,$R1591&gt;=Parametros!$C$12),"Alta rentabilidad",IF(OR($V1591&lt;Parametros!$C$11,$R1591&lt;Parametros!$C$13),"Revisar","Estandar"))</f>
        <v>Estandar</v>
      </c>
      <c r="X1591" s="67" t="str">
        <f aca="false">IF(AND($J1591="E-commerce",IFERROR($T1591/$R1591,0)&gt;Parametros!$C$14),"Alerta","OK")</f>
        <v>Alerta</v>
      </c>
      <c r="Y1591" s="61" t="str">
        <f aca="false">IF($R1591&gt;=Parametros!$C$12,"Alto",IF($R1591&lt;Parametros!$C$13,"Bajo","Medio"))</f>
        <v>Medio</v>
      </c>
      <c r="Z1591" s="61" t="n">
        <v>145</v>
      </c>
      <c r="AA1591" s="61" t="str">
        <f aca="false">IF(MATCH($A1591,Datos_Origen!$A$2:$A$2459,0)=$Z1591,"OK","REVISAR")</f>
        <v>OK</v>
      </c>
      <c r="AB1591" s="62" t="n">
        <f aca="false">INDEX(Datos_Origen!$B$2:$B$2459,$Z1591)</f>
        <v>45754</v>
      </c>
      <c r="AC1591" s="61" t="n">
        <f aca="false">INDEX(Datos_Origen!$H$2:$H$2459,$Z1591)</f>
        <v>22</v>
      </c>
      <c r="AD1591" s="61" t="str">
        <f aca="false">INDEX(Datos_Origen!$D$2:$D$2459,$Z1591)&amp;""</f>
        <v>Tucuman</v>
      </c>
    </row>
    <row r="1592" customFormat="false" ht="15" hidden="false" customHeight="false" outlineLevel="0" collapsed="false">
      <c r="A1592" s="61" t="n">
        <f aca="false">INDEX(Datos_Origen!$A$2:$A$2459,$Z1592)</f>
        <v>1591</v>
      </c>
      <c r="B1592" s="62" t="n">
        <f aca="false">IF(ISNUMBER($AB1592),$AB1592,IF(MID($AB1592,5,1)="-",DATE(VALUE(LEFT($AB1592,4)),VALUE(MID($AB1592,6,2)),VALUE(RIGHT($AB1592,2))),DATE(VALUE(RIGHT($AB1592,4)),VALUE(MID($AB1592,4,2)),VALUE(LEFT($AB1592,2)))))</f>
        <v>45761</v>
      </c>
      <c r="C1592" s="61" t="n">
        <f aca="false">YEAR($B1592)</f>
        <v>2025</v>
      </c>
      <c r="D1592" s="61" t="str">
        <f aca="false">"Q"&amp;ROUNDUP(MONTH($B1592)/3,0)</f>
        <v>Q2</v>
      </c>
      <c r="E1592" s="61" t="n">
        <f aca="false">MONTH($B1592)</f>
        <v>4</v>
      </c>
      <c r="F1592" s="61" t="str">
        <f aca="false">INDEX(Parametros!$I$5:$I$16,$E1592)</f>
        <v>Abr</v>
      </c>
      <c r="G1592" s="61" t="str">
        <f aca="false">TEXT($C1592,"0000")&amp;"-"&amp;TEXT($E1592,"00")</f>
        <v>2025-04</v>
      </c>
      <c r="H1592" s="61" t="str">
        <f aca="false">INDEX(Parametros!$C$71:$C$91,MATCH(TRIM(INDEX(Datos_Origen!$C$2:$C$2459,$Z1592)),Parametros!$B$71:$B$91,0))</f>
        <v>NOA</v>
      </c>
      <c r="I1592" s="61" t="str">
        <f aca="false">IF(TRIM($AD1592)="",INDEX(Parametros!$I$20:$I$24,MATCH($H1592,Parametros!$H$20:$H$24,0)),TRIM($AD1592))</f>
        <v>Tucuman</v>
      </c>
      <c r="J1592" s="61" t="str">
        <f aca="false">INDEX(Parametros!$C$95:$C$106,MATCH(TRIM(INDEX(Datos_Origen!$E$2:$E$2459,$Z1592)),Parametros!$B$95:$B$106,0))</f>
        <v>Tienda fisica</v>
      </c>
      <c r="K1592" s="61" t="str">
        <f aca="false">INDEX(Parametros!$C$48:$C$67,MATCH(TRIM(INDEX(Datos_Origen!$F$2:$F$2459,$Z1592)),Parametros!$B$48:$B$67,0))</f>
        <v>Accesorios</v>
      </c>
      <c r="L1592" s="61" t="str">
        <f aca="false">$K1592&amp;" "&amp;$C1592</f>
        <v>Accesorios 2025</v>
      </c>
      <c r="M1592" s="61" t="str">
        <f aca="false">TRIM(INDEX(Datos_Origen!$G$2:$G$2459,$Z1592))</f>
        <v>Webcam Full HD</v>
      </c>
      <c r="N1592" s="61" t="str">
        <f aca="false">$M1592&amp;" "&amp;$C1592</f>
        <v>Webcam Full HD 2025</v>
      </c>
      <c r="O1592" s="63" t="n">
        <f aca="false">IF(ISTEXT($AC1592),VALUE($AC1592),$AC1592)</f>
        <v>31</v>
      </c>
      <c r="P1592" s="64" t="n">
        <f aca="false">INDEX(Datos_Origen!$I$2:$I$2459,$Z1592)</f>
        <v>64.58</v>
      </c>
      <c r="Q1592" s="64" t="n">
        <f aca="false">INDEX(Datos_Origen!$J$2:$J$2459,$Z1592)</f>
        <v>36.49</v>
      </c>
      <c r="R1592" s="65" t="n">
        <f aca="false">ROUND($O1592*$P1592,2)</f>
        <v>2001.98</v>
      </c>
      <c r="S1592" s="65" t="n">
        <f aca="false">ROUND($O1592*$Q1592,2)</f>
        <v>1131.19</v>
      </c>
      <c r="T1592" s="65" t="n">
        <f aca="false">ROUND($R1592*SUMIFS(Parametros!$E$28:$E$43,Parametros!$B$28:$B$43,$J1592,Parametros!$C$28:$C$43,$C1592,Parametros!$D$28:$D$43,$D1592),2)</f>
        <v>28.03</v>
      </c>
      <c r="U1592" s="65" t="n">
        <f aca="false">$R1592-$S1592-$T1592</f>
        <v>842.76</v>
      </c>
      <c r="V1592" s="66" t="n">
        <f aca="false">IFERROR($U1592/$R1592,0)</f>
        <v>0.420963246386078</v>
      </c>
      <c r="W1592" s="67" t="str">
        <f aca="false">IF(AND($V1592&gt;=Parametros!$C$8,$R1592&gt;=Parametros!$C$12),"Alta rentabilidad",IF(OR($V1592&lt;Parametros!$C$11,$R1592&lt;Parametros!$C$13),"Revisar","Estandar"))</f>
        <v>Estandar</v>
      </c>
      <c r="X1592" s="67" t="str">
        <f aca="false">IF(AND($J1592="E-commerce",IFERROR($T1592/$R1592,0)&gt;Parametros!$C$14),"Alerta","OK")</f>
        <v>OK</v>
      </c>
      <c r="Y1592" s="61" t="str">
        <f aca="false">IF($R1592&gt;=Parametros!$C$12,"Alto",IF($R1592&lt;Parametros!$C$13,"Bajo","Medio"))</f>
        <v>Medio</v>
      </c>
      <c r="Z1592" s="61" t="n">
        <v>168</v>
      </c>
      <c r="AA1592" s="61" t="str">
        <f aca="false">IF(MATCH($A1592,Datos_Origen!$A$2:$A$2459,0)=$Z1592,"OK","REVISAR")</f>
        <v>OK</v>
      </c>
      <c r="AB1592" s="61" t="str">
        <f aca="false">INDEX(Datos_Origen!$B$2:$B$2459,$Z1592)</f>
        <v>14/04/2025</v>
      </c>
      <c r="AC1592" s="61" t="n">
        <f aca="false">INDEX(Datos_Origen!$H$2:$H$2459,$Z1592)</f>
        <v>31</v>
      </c>
      <c r="AD1592" s="61" t="str">
        <f aca="false">INDEX(Datos_Origen!$D$2:$D$2459,$Z1592)&amp;""</f>
        <v>Tucuman</v>
      </c>
    </row>
    <row r="1593" customFormat="false" ht="15" hidden="false" customHeight="false" outlineLevel="0" collapsed="false">
      <c r="A1593" s="61" t="n">
        <f aca="false">INDEX(Datos_Origen!$A$2:$A$2459,$Z1593)</f>
        <v>1592</v>
      </c>
      <c r="B1593" s="62" t="n">
        <f aca="false">IF(ISNUMBER($AB1593),$AB1593,IF(MID($AB1593,5,1)="-",DATE(VALUE(LEFT($AB1593,4)),VALUE(MID($AB1593,6,2)),VALUE(RIGHT($AB1593,2))),DATE(VALUE(RIGHT($AB1593,4)),VALUE(MID($AB1593,4,2)),VALUE(LEFT($AB1593,2)))))</f>
        <v>45768</v>
      </c>
      <c r="C1593" s="61" t="n">
        <f aca="false">YEAR($B1593)</f>
        <v>2025</v>
      </c>
      <c r="D1593" s="61" t="str">
        <f aca="false">"Q"&amp;ROUNDUP(MONTH($B1593)/3,0)</f>
        <v>Q2</v>
      </c>
      <c r="E1593" s="61" t="n">
        <f aca="false">MONTH($B1593)</f>
        <v>4</v>
      </c>
      <c r="F1593" s="61" t="str">
        <f aca="false">INDEX(Parametros!$I$5:$I$16,$E1593)</f>
        <v>Abr</v>
      </c>
      <c r="G1593" s="61" t="str">
        <f aca="false">TEXT($C1593,"0000")&amp;"-"&amp;TEXT($E1593,"00")</f>
        <v>2025-04</v>
      </c>
      <c r="H1593" s="61" t="str">
        <f aca="false">INDEX(Parametros!$C$71:$C$91,MATCH(TRIM(INDEX(Datos_Origen!$C$2:$C$2459,$Z1593)),Parametros!$B$71:$B$91,0))</f>
        <v>NOA</v>
      </c>
      <c r="I1593" s="61" t="str">
        <f aca="false">IF(TRIM($AD1593)="",INDEX(Parametros!$I$20:$I$24,MATCH($H1593,Parametros!$H$20:$H$24,0)),TRIM($AD1593))</f>
        <v>Tucuman</v>
      </c>
      <c r="J1593" s="61" t="str">
        <f aca="false">INDEX(Parametros!$C$95:$C$106,MATCH(TRIM(INDEX(Datos_Origen!$E$2:$E$2459,$Z1593)),Parametros!$B$95:$B$106,0))</f>
        <v>E-commerce</v>
      </c>
      <c r="K1593" s="61" t="str">
        <f aca="false">INDEX(Parametros!$C$48:$C$67,MATCH(TRIM(INDEX(Datos_Origen!$F$2:$F$2459,$Z1593)),Parametros!$B$48:$B$67,0))</f>
        <v>Accesorios</v>
      </c>
      <c r="L1593" s="61" t="str">
        <f aca="false">$K1593&amp;" "&amp;$C1593</f>
        <v>Accesorios 2025</v>
      </c>
      <c r="M1593" s="61" t="str">
        <f aca="false">TRIM(INDEX(Datos_Origen!$G$2:$G$2459,$Z1593))</f>
        <v>Webcam Full HD</v>
      </c>
      <c r="N1593" s="61" t="str">
        <f aca="false">$M1593&amp;" "&amp;$C1593</f>
        <v>Webcam Full HD 2025</v>
      </c>
      <c r="O1593" s="63" t="n">
        <f aca="false">IF(ISTEXT($AC1593),VALUE($AC1593),$AC1593)</f>
        <v>21</v>
      </c>
      <c r="P1593" s="64" t="n">
        <f aca="false">INDEX(Datos_Origen!$I$2:$I$2459,$Z1593)</f>
        <v>64.58</v>
      </c>
      <c r="Q1593" s="64" t="n">
        <f aca="false">INDEX(Datos_Origen!$J$2:$J$2459,$Z1593)</f>
        <v>36.49</v>
      </c>
      <c r="R1593" s="65" t="n">
        <f aca="false">ROUND($O1593*$P1593,2)</f>
        <v>1356.18</v>
      </c>
      <c r="S1593" s="65" t="n">
        <f aca="false">ROUND($O1593*$Q1593,2)</f>
        <v>766.29</v>
      </c>
      <c r="T1593" s="65" t="n">
        <f aca="false">ROUND($R1593*SUMIFS(Parametros!$E$28:$E$43,Parametros!$B$28:$B$43,$J1593,Parametros!$C$28:$C$43,$C1593,Parametros!$D$28:$D$43,$D1593),2)</f>
        <v>100.36</v>
      </c>
      <c r="U1593" s="65" t="n">
        <f aca="false">$R1593-$S1593-$T1593</f>
        <v>489.53</v>
      </c>
      <c r="V1593" s="66" t="n">
        <f aca="false">IFERROR($U1593/$R1593,0)</f>
        <v>0.360962409119733</v>
      </c>
      <c r="W1593" s="67" t="str">
        <f aca="false">IF(AND($V1593&gt;=Parametros!$C$8,$R1593&gt;=Parametros!$C$12),"Alta rentabilidad",IF(OR($V1593&lt;Parametros!$C$11,$R1593&lt;Parametros!$C$13),"Revisar","Estandar"))</f>
        <v>Estandar</v>
      </c>
      <c r="X1593" s="67" t="str">
        <f aca="false">IF(AND($J1593="E-commerce",IFERROR($T1593/$R1593,0)&gt;Parametros!$C$14),"Alerta","OK")</f>
        <v>Alerta</v>
      </c>
      <c r="Y1593" s="61" t="str">
        <f aca="false">IF($R1593&gt;=Parametros!$C$12,"Alto",IF($R1593&lt;Parametros!$C$13,"Bajo","Medio"))</f>
        <v>Medio</v>
      </c>
      <c r="Z1593" s="61" t="n">
        <v>1526</v>
      </c>
      <c r="AA1593" s="61" t="str">
        <f aca="false">IF(MATCH($A1593,Datos_Origen!$A$2:$A$2459,0)=$Z1593,"OK","REVISAR")</f>
        <v>OK</v>
      </c>
      <c r="AB1593" s="62" t="n">
        <f aca="false">INDEX(Datos_Origen!$B$2:$B$2459,$Z1593)</f>
        <v>45768</v>
      </c>
      <c r="AC1593" s="61" t="n">
        <f aca="false">INDEX(Datos_Origen!$H$2:$H$2459,$Z1593)</f>
        <v>21</v>
      </c>
      <c r="AD1593" s="61" t="str">
        <f aca="false">INDEX(Datos_Origen!$D$2:$D$2459,$Z1593)&amp;""</f>
        <v>Tucuman</v>
      </c>
    </row>
    <row r="1594" customFormat="false" ht="15" hidden="false" customHeight="false" outlineLevel="0" collapsed="false">
      <c r="A1594" s="61" t="n">
        <f aca="false">INDEX(Datos_Origen!$A$2:$A$2459,$Z1594)</f>
        <v>1593</v>
      </c>
      <c r="B1594" s="62" t="n">
        <f aca="false">IF(ISNUMBER($AB1594),$AB1594,IF(MID($AB1594,5,1)="-",DATE(VALUE(LEFT($AB1594,4)),VALUE(MID($AB1594,6,2)),VALUE(RIGHT($AB1594,2))),DATE(VALUE(RIGHT($AB1594,4)),VALUE(MID($AB1594,4,2)),VALUE(LEFT($AB1594,2)))))</f>
        <v>45748</v>
      </c>
      <c r="C1594" s="61" t="n">
        <f aca="false">YEAR($B1594)</f>
        <v>2025</v>
      </c>
      <c r="D1594" s="61" t="str">
        <f aca="false">"Q"&amp;ROUNDUP(MONTH($B1594)/3,0)</f>
        <v>Q2</v>
      </c>
      <c r="E1594" s="61" t="n">
        <f aca="false">MONTH($B1594)</f>
        <v>4</v>
      </c>
      <c r="F1594" s="61" t="str">
        <f aca="false">INDEX(Parametros!$I$5:$I$16,$E1594)</f>
        <v>Abr</v>
      </c>
      <c r="G1594" s="61" t="str">
        <f aca="false">TEXT($C1594,"0000")&amp;"-"&amp;TEXT($E1594,"00")</f>
        <v>2025-04</v>
      </c>
      <c r="H1594" s="61" t="str">
        <f aca="false">INDEX(Parametros!$C$71:$C$91,MATCH(TRIM(INDEX(Datos_Origen!$C$2:$C$2459,$Z1594)),Parametros!$B$71:$B$91,0))</f>
        <v>NOA</v>
      </c>
      <c r="I1594" s="61" t="str">
        <f aca="false">IF(TRIM($AD1594)="",INDEX(Parametros!$I$20:$I$24,MATCH($H1594,Parametros!$H$20:$H$24,0)),TRIM($AD1594))</f>
        <v>Tucuman</v>
      </c>
      <c r="J1594" s="61" t="str">
        <f aca="false">INDEX(Parametros!$C$95:$C$106,MATCH(TRIM(INDEX(Datos_Origen!$E$2:$E$2459,$Z1594)),Parametros!$B$95:$B$106,0))</f>
        <v>Tienda fisica</v>
      </c>
      <c r="K1594" s="61" t="str">
        <f aca="false">INDEX(Parametros!$C$48:$C$67,MATCH(TRIM(INDEX(Datos_Origen!$F$2:$F$2459,$Z1594)),Parametros!$B$48:$B$67,0))</f>
        <v>Audio</v>
      </c>
      <c r="L1594" s="61" t="str">
        <f aca="false">$K1594&amp;" "&amp;$C1594</f>
        <v>Audio 2025</v>
      </c>
      <c r="M1594" s="61" t="str">
        <f aca="false">TRIM(INDEX(Datos_Origen!$G$2:$G$2459,$Z1594))</f>
        <v>Auriculares BT Pro</v>
      </c>
      <c r="N1594" s="61" t="str">
        <f aca="false">$M1594&amp;" "&amp;$C1594</f>
        <v>Auriculares BT Pro 2025</v>
      </c>
      <c r="O1594" s="63" t="n">
        <f aca="false">IF(ISTEXT($AC1594),VALUE($AC1594),$AC1594)</f>
        <v>14</v>
      </c>
      <c r="P1594" s="64" t="n">
        <f aca="false">INDEX(Datos_Origen!$I$2:$I$2459,$Z1594)</f>
        <v>119.23</v>
      </c>
      <c r="Q1594" s="64" t="n">
        <f aca="false">INDEX(Datos_Origen!$J$2:$J$2459,$Z1594)</f>
        <v>65.51</v>
      </c>
      <c r="R1594" s="65" t="n">
        <f aca="false">ROUND($O1594*$P1594,2)</f>
        <v>1669.22</v>
      </c>
      <c r="S1594" s="65" t="n">
        <f aca="false">ROUND($O1594*$Q1594,2)</f>
        <v>917.14</v>
      </c>
      <c r="T1594" s="65" t="n">
        <f aca="false">ROUND($R1594*SUMIFS(Parametros!$E$28:$E$43,Parametros!$B$28:$B$43,$J1594,Parametros!$C$28:$C$43,$C1594,Parametros!$D$28:$D$43,$D1594),2)</f>
        <v>23.37</v>
      </c>
      <c r="U1594" s="65" t="n">
        <f aca="false">$R1594-$S1594-$T1594</f>
        <v>728.71</v>
      </c>
      <c r="V1594" s="66" t="n">
        <f aca="false">IFERROR($U1594/$R1594,0)</f>
        <v>0.436557194378213</v>
      </c>
      <c r="W1594" s="67" t="str">
        <f aca="false">IF(AND($V1594&gt;=Parametros!$C$8,$R1594&gt;=Parametros!$C$12),"Alta rentabilidad",IF(OR($V1594&lt;Parametros!$C$11,$R1594&lt;Parametros!$C$13),"Revisar","Estandar"))</f>
        <v>Estandar</v>
      </c>
      <c r="X1594" s="67" t="str">
        <f aca="false">IF(AND($J1594="E-commerce",IFERROR($T1594/$R1594,0)&gt;Parametros!$C$14),"Alerta","OK")</f>
        <v>OK</v>
      </c>
      <c r="Y1594" s="61" t="str">
        <f aca="false">IF($R1594&gt;=Parametros!$C$12,"Alto",IF($R1594&lt;Parametros!$C$13,"Bajo","Medio"))</f>
        <v>Medio</v>
      </c>
      <c r="Z1594" s="61" t="n">
        <v>973</v>
      </c>
      <c r="AA1594" s="61" t="str">
        <f aca="false">IF(MATCH($A1594,Datos_Origen!$A$2:$A$2459,0)=$Z1594,"OK","REVISAR")</f>
        <v>OK</v>
      </c>
      <c r="AB1594" s="61" t="str">
        <f aca="false">INDEX(Datos_Origen!$B$2:$B$2459,$Z1594)</f>
        <v>01/04/2025</v>
      </c>
      <c r="AC1594" s="61" t="n">
        <f aca="false">INDEX(Datos_Origen!$H$2:$H$2459,$Z1594)</f>
        <v>14</v>
      </c>
      <c r="AD1594" s="61" t="str">
        <f aca="false">INDEX(Datos_Origen!$D$2:$D$2459,$Z1594)&amp;""</f>
        <v>Tucuman</v>
      </c>
    </row>
    <row r="1595" customFormat="false" ht="15" hidden="false" customHeight="false" outlineLevel="0" collapsed="false">
      <c r="A1595" s="61" t="n">
        <f aca="false">INDEX(Datos_Origen!$A$2:$A$2459,$Z1595)</f>
        <v>1594</v>
      </c>
      <c r="B1595" s="62" t="n">
        <f aca="false">IF(ISNUMBER($AB1595),$AB1595,IF(MID($AB1595,5,1)="-",DATE(VALUE(LEFT($AB1595,4)),VALUE(MID($AB1595,6,2)),VALUE(RIGHT($AB1595,2))),DATE(VALUE(RIGHT($AB1595,4)),VALUE(MID($AB1595,4,2)),VALUE(LEFT($AB1595,2)))))</f>
        <v>45755</v>
      </c>
      <c r="C1595" s="61" t="n">
        <f aca="false">YEAR($B1595)</f>
        <v>2025</v>
      </c>
      <c r="D1595" s="61" t="str">
        <f aca="false">"Q"&amp;ROUNDUP(MONTH($B1595)/3,0)</f>
        <v>Q2</v>
      </c>
      <c r="E1595" s="61" t="n">
        <f aca="false">MONTH($B1595)</f>
        <v>4</v>
      </c>
      <c r="F1595" s="61" t="str">
        <f aca="false">INDEX(Parametros!$I$5:$I$16,$E1595)</f>
        <v>Abr</v>
      </c>
      <c r="G1595" s="61" t="str">
        <f aca="false">TEXT($C1595,"0000")&amp;"-"&amp;TEXT($E1595,"00")</f>
        <v>2025-04</v>
      </c>
      <c r="H1595" s="61" t="str">
        <f aca="false">INDEX(Parametros!$C$71:$C$91,MATCH(TRIM(INDEX(Datos_Origen!$C$2:$C$2459,$Z1595)),Parametros!$B$71:$B$91,0))</f>
        <v>NOA</v>
      </c>
      <c r="I1595" s="61" t="str">
        <f aca="false">IF(TRIM($AD1595)="",INDEX(Parametros!$I$20:$I$24,MATCH($H1595,Parametros!$H$20:$H$24,0)),TRIM($AD1595))</f>
        <v>Tucuman</v>
      </c>
      <c r="J1595" s="61" t="str">
        <f aca="false">INDEX(Parametros!$C$95:$C$106,MATCH(TRIM(INDEX(Datos_Origen!$E$2:$E$2459,$Z1595)),Parametros!$B$95:$B$106,0))</f>
        <v>E-commerce</v>
      </c>
      <c r="K1595" s="61" t="str">
        <f aca="false">INDEX(Parametros!$C$48:$C$67,MATCH(TRIM(INDEX(Datos_Origen!$F$2:$F$2459,$Z1595)),Parametros!$B$48:$B$67,0))</f>
        <v>Audio</v>
      </c>
      <c r="L1595" s="61" t="str">
        <f aca="false">$K1595&amp;" "&amp;$C1595</f>
        <v>Audio 2025</v>
      </c>
      <c r="M1595" s="61" t="str">
        <f aca="false">TRIM(INDEX(Datos_Origen!$G$2:$G$2459,$Z1595))</f>
        <v>Auriculares BT Pro</v>
      </c>
      <c r="N1595" s="61" t="str">
        <f aca="false">$M1595&amp;" "&amp;$C1595</f>
        <v>Auriculares BT Pro 2025</v>
      </c>
      <c r="O1595" s="63" t="n">
        <f aca="false">IF(ISTEXT($AC1595),VALUE($AC1595),$AC1595)</f>
        <v>8</v>
      </c>
      <c r="P1595" s="64" t="n">
        <f aca="false">INDEX(Datos_Origen!$I$2:$I$2459,$Z1595)</f>
        <v>119.23</v>
      </c>
      <c r="Q1595" s="64" t="n">
        <f aca="false">INDEX(Datos_Origen!$J$2:$J$2459,$Z1595)</f>
        <v>65.51</v>
      </c>
      <c r="R1595" s="65" t="n">
        <f aca="false">ROUND($O1595*$P1595,2)</f>
        <v>953.84</v>
      </c>
      <c r="S1595" s="65" t="n">
        <f aca="false">ROUND($O1595*$Q1595,2)</f>
        <v>524.08</v>
      </c>
      <c r="T1595" s="65" t="n">
        <f aca="false">ROUND($R1595*SUMIFS(Parametros!$E$28:$E$43,Parametros!$B$28:$B$43,$J1595,Parametros!$C$28:$C$43,$C1595,Parametros!$D$28:$D$43,$D1595),2)</f>
        <v>70.58</v>
      </c>
      <c r="U1595" s="65" t="n">
        <f aca="false">$R1595-$S1595-$T1595</f>
        <v>359.18</v>
      </c>
      <c r="V1595" s="66" t="n">
        <f aca="false">IFERROR($U1595/$R1595,0)</f>
        <v>0.376562106852302</v>
      </c>
      <c r="W1595" s="67" t="str">
        <f aca="false">IF(AND($V1595&gt;=Parametros!$C$8,$R1595&gt;=Parametros!$C$12),"Alta rentabilidad",IF(OR($V1595&lt;Parametros!$C$11,$R1595&lt;Parametros!$C$13),"Revisar","Estandar"))</f>
        <v>Estandar</v>
      </c>
      <c r="X1595" s="67" t="str">
        <f aca="false">IF(AND($J1595="E-commerce",IFERROR($T1595/$R1595,0)&gt;Parametros!$C$14),"Alerta","OK")</f>
        <v>Alerta</v>
      </c>
      <c r="Y1595" s="61" t="str">
        <f aca="false">IF($R1595&gt;=Parametros!$C$12,"Alto",IF($R1595&lt;Parametros!$C$13,"Bajo","Medio"))</f>
        <v>Medio</v>
      </c>
      <c r="Z1595" s="61" t="n">
        <v>1677</v>
      </c>
      <c r="AA1595" s="61" t="str">
        <f aca="false">IF(MATCH($A1595,Datos_Origen!$A$2:$A$2459,0)=$Z1595,"OK","REVISAR")</f>
        <v>OK</v>
      </c>
      <c r="AB1595" s="62" t="n">
        <f aca="false">INDEX(Datos_Origen!$B$2:$B$2459,$Z1595)</f>
        <v>45755</v>
      </c>
      <c r="AC1595" s="61" t="n">
        <f aca="false">INDEX(Datos_Origen!$H$2:$H$2459,$Z1595)</f>
        <v>8</v>
      </c>
      <c r="AD1595" s="61" t="str">
        <f aca="false">INDEX(Datos_Origen!$D$2:$D$2459,$Z1595)&amp;""</f>
        <v>Tucuman</v>
      </c>
    </row>
    <row r="1596" customFormat="false" ht="15" hidden="false" customHeight="false" outlineLevel="0" collapsed="false">
      <c r="A1596" s="61" t="n">
        <f aca="false">INDEX(Datos_Origen!$A$2:$A$2459,$Z1596)</f>
        <v>1595</v>
      </c>
      <c r="B1596" s="62" t="n">
        <f aca="false">IF(ISNUMBER($AB1596),$AB1596,IF(MID($AB1596,5,1)="-",DATE(VALUE(LEFT($AB1596,4)),VALUE(MID($AB1596,6,2)),VALUE(RIGHT($AB1596,2))),DATE(VALUE(RIGHT($AB1596,4)),VALUE(MID($AB1596,4,2)),VALUE(LEFT($AB1596,2)))))</f>
        <v>45762</v>
      </c>
      <c r="C1596" s="61" t="n">
        <f aca="false">YEAR($B1596)</f>
        <v>2025</v>
      </c>
      <c r="D1596" s="61" t="str">
        <f aca="false">"Q"&amp;ROUNDUP(MONTH($B1596)/3,0)</f>
        <v>Q2</v>
      </c>
      <c r="E1596" s="61" t="n">
        <f aca="false">MONTH($B1596)</f>
        <v>4</v>
      </c>
      <c r="F1596" s="61" t="str">
        <f aca="false">INDEX(Parametros!$I$5:$I$16,$E1596)</f>
        <v>Abr</v>
      </c>
      <c r="G1596" s="61" t="str">
        <f aca="false">TEXT($C1596,"0000")&amp;"-"&amp;TEXT($E1596,"00")</f>
        <v>2025-04</v>
      </c>
      <c r="H1596" s="61" t="str">
        <f aca="false">INDEX(Parametros!$C$71:$C$91,MATCH(TRIM(INDEX(Datos_Origen!$C$2:$C$2459,$Z1596)),Parametros!$B$71:$B$91,0))</f>
        <v>NOA</v>
      </c>
      <c r="I1596" s="61" t="str">
        <f aca="false">IF(TRIM($AD1596)="",INDEX(Parametros!$I$20:$I$24,MATCH($H1596,Parametros!$H$20:$H$24,0)),TRIM($AD1596))</f>
        <v>Tucuman</v>
      </c>
      <c r="J1596" s="61" t="str">
        <f aca="false">INDEX(Parametros!$C$95:$C$106,MATCH(TRIM(INDEX(Datos_Origen!$E$2:$E$2459,$Z1596)),Parametros!$B$95:$B$106,0))</f>
        <v>Tienda fisica</v>
      </c>
      <c r="K1596" s="61" t="str">
        <f aca="false">INDEX(Parametros!$C$48:$C$67,MATCH(TRIM(INDEX(Datos_Origen!$F$2:$F$2459,$Z1596)),Parametros!$B$48:$B$67,0))</f>
        <v>Audio</v>
      </c>
      <c r="L1596" s="61" t="str">
        <f aca="false">$K1596&amp;" "&amp;$C1596</f>
        <v>Audio 2025</v>
      </c>
      <c r="M1596" s="61" t="str">
        <f aca="false">TRIM(INDEX(Datos_Origen!$G$2:$G$2459,$Z1596))</f>
        <v>Parlante Bluetooth</v>
      </c>
      <c r="N1596" s="61" t="str">
        <f aca="false">$M1596&amp;" "&amp;$C1596</f>
        <v>Parlante Bluetooth 2025</v>
      </c>
      <c r="O1596" s="63" t="n">
        <f aca="false">IF(ISTEXT($AC1596),VALUE($AC1596),$AC1596)</f>
        <v>13</v>
      </c>
      <c r="P1596" s="64" t="n">
        <f aca="false">INDEX(Datos_Origen!$I$2:$I$2459,$Z1596)</f>
        <v>84.46</v>
      </c>
      <c r="Q1596" s="64" t="n">
        <f aca="false">INDEX(Datos_Origen!$J$2:$J$2459,$Z1596)</f>
        <v>49.47</v>
      </c>
      <c r="R1596" s="65" t="n">
        <f aca="false">ROUND($O1596*$P1596,2)</f>
        <v>1097.98</v>
      </c>
      <c r="S1596" s="65" t="n">
        <f aca="false">ROUND($O1596*$Q1596,2)</f>
        <v>643.11</v>
      </c>
      <c r="T1596" s="65" t="n">
        <f aca="false">ROUND($R1596*SUMIFS(Parametros!$E$28:$E$43,Parametros!$B$28:$B$43,$J1596,Parametros!$C$28:$C$43,$C1596,Parametros!$D$28:$D$43,$D1596),2)</f>
        <v>15.37</v>
      </c>
      <c r="U1596" s="65" t="n">
        <f aca="false">$R1596-$S1596-$T1596</f>
        <v>439.5</v>
      </c>
      <c r="V1596" s="66" t="n">
        <f aca="false">IFERROR($U1596/$R1596,0)</f>
        <v>0.40028051512778</v>
      </c>
      <c r="W1596" s="67" t="str">
        <f aca="false">IF(AND($V1596&gt;=Parametros!$C$8,$R1596&gt;=Parametros!$C$12),"Alta rentabilidad",IF(OR($V1596&lt;Parametros!$C$11,$R1596&lt;Parametros!$C$13),"Revisar","Estandar"))</f>
        <v>Estandar</v>
      </c>
      <c r="X1596" s="67" t="str">
        <f aca="false">IF(AND($J1596="E-commerce",IFERROR($T1596/$R1596,0)&gt;Parametros!$C$14),"Alerta","OK")</f>
        <v>OK</v>
      </c>
      <c r="Y1596" s="61" t="str">
        <f aca="false">IF($R1596&gt;=Parametros!$C$12,"Alto",IF($R1596&lt;Parametros!$C$13,"Bajo","Medio"))</f>
        <v>Medio</v>
      </c>
      <c r="Z1596" s="61" t="n">
        <v>980</v>
      </c>
      <c r="AA1596" s="61" t="str">
        <f aca="false">IF(MATCH($A1596,Datos_Origen!$A$2:$A$2459,0)=$Z1596,"OK","REVISAR")</f>
        <v>OK</v>
      </c>
      <c r="AB1596" s="62" t="n">
        <f aca="false">INDEX(Datos_Origen!$B$2:$B$2459,$Z1596)</f>
        <v>45762</v>
      </c>
      <c r="AC1596" s="61" t="n">
        <f aca="false">INDEX(Datos_Origen!$H$2:$H$2459,$Z1596)</f>
        <v>13</v>
      </c>
      <c r="AD1596" s="61" t="str">
        <f aca="false">INDEX(Datos_Origen!$D$2:$D$2459,$Z1596)&amp;""</f>
        <v>Tucuman</v>
      </c>
    </row>
    <row r="1597" customFormat="false" ht="15" hidden="false" customHeight="false" outlineLevel="0" collapsed="false">
      <c r="A1597" s="61" t="n">
        <f aca="false">INDEX(Datos_Origen!$A$2:$A$2459,$Z1597)</f>
        <v>1596</v>
      </c>
      <c r="B1597" s="62" t="n">
        <f aca="false">IF(ISNUMBER($AB1597),$AB1597,IF(MID($AB1597,5,1)="-",DATE(VALUE(LEFT($AB1597,4)),VALUE(MID($AB1597,6,2)),VALUE(RIGHT($AB1597,2))),DATE(VALUE(RIGHT($AB1597,4)),VALUE(MID($AB1597,4,2)),VALUE(LEFT($AB1597,2)))))</f>
        <v>45769</v>
      </c>
      <c r="C1597" s="61" t="n">
        <f aca="false">YEAR($B1597)</f>
        <v>2025</v>
      </c>
      <c r="D1597" s="61" t="str">
        <f aca="false">"Q"&amp;ROUNDUP(MONTH($B1597)/3,0)</f>
        <v>Q2</v>
      </c>
      <c r="E1597" s="61" t="n">
        <f aca="false">MONTH($B1597)</f>
        <v>4</v>
      </c>
      <c r="F1597" s="61" t="str">
        <f aca="false">INDEX(Parametros!$I$5:$I$16,$E1597)</f>
        <v>Abr</v>
      </c>
      <c r="G1597" s="61" t="str">
        <f aca="false">TEXT($C1597,"0000")&amp;"-"&amp;TEXT($E1597,"00")</f>
        <v>2025-04</v>
      </c>
      <c r="H1597" s="61" t="str">
        <f aca="false">INDEX(Parametros!$C$71:$C$91,MATCH(TRIM(INDEX(Datos_Origen!$C$2:$C$2459,$Z1597)),Parametros!$B$71:$B$91,0))</f>
        <v>NOA</v>
      </c>
      <c r="I1597" s="61" t="str">
        <f aca="false">IF(TRIM($AD1597)="",INDEX(Parametros!$I$20:$I$24,MATCH($H1597,Parametros!$H$20:$H$24,0)),TRIM($AD1597))</f>
        <v>Tucuman</v>
      </c>
      <c r="J1597" s="61" t="str">
        <f aca="false">INDEX(Parametros!$C$95:$C$106,MATCH(TRIM(INDEX(Datos_Origen!$E$2:$E$2459,$Z1597)),Parametros!$B$95:$B$106,0))</f>
        <v>E-commerce</v>
      </c>
      <c r="K1597" s="61" t="str">
        <f aca="false">INDEX(Parametros!$C$48:$C$67,MATCH(TRIM(INDEX(Datos_Origen!$F$2:$F$2459,$Z1597)),Parametros!$B$48:$B$67,0))</f>
        <v>Audio</v>
      </c>
      <c r="L1597" s="61" t="str">
        <f aca="false">$K1597&amp;" "&amp;$C1597</f>
        <v>Audio 2025</v>
      </c>
      <c r="M1597" s="61" t="str">
        <f aca="false">TRIM(INDEX(Datos_Origen!$G$2:$G$2459,$Z1597))</f>
        <v>Parlante Bluetooth</v>
      </c>
      <c r="N1597" s="61" t="str">
        <f aca="false">$M1597&amp;" "&amp;$C1597</f>
        <v>Parlante Bluetooth 2025</v>
      </c>
      <c r="O1597" s="63" t="n">
        <f aca="false">IF(ISTEXT($AC1597),VALUE($AC1597),$AC1597)</f>
        <v>8</v>
      </c>
      <c r="P1597" s="64" t="n">
        <f aca="false">INDEX(Datos_Origen!$I$2:$I$2459,$Z1597)</f>
        <v>84.46</v>
      </c>
      <c r="Q1597" s="64" t="n">
        <f aca="false">INDEX(Datos_Origen!$J$2:$J$2459,$Z1597)</f>
        <v>49.47</v>
      </c>
      <c r="R1597" s="65" t="n">
        <f aca="false">ROUND($O1597*$P1597,2)</f>
        <v>675.68</v>
      </c>
      <c r="S1597" s="65" t="n">
        <f aca="false">ROUND($O1597*$Q1597,2)</f>
        <v>395.76</v>
      </c>
      <c r="T1597" s="65" t="n">
        <f aca="false">ROUND($R1597*SUMIFS(Parametros!$E$28:$E$43,Parametros!$B$28:$B$43,$J1597,Parametros!$C$28:$C$43,$C1597,Parametros!$D$28:$D$43,$D1597),2)</f>
        <v>50</v>
      </c>
      <c r="U1597" s="65" t="n">
        <f aca="false">$R1597-$S1597-$T1597</f>
        <v>229.92</v>
      </c>
      <c r="V1597" s="66" t="n">
        <f aca="false">IFERROR($U1597/$R1597,0)</f>
        <v>0.340279422211698</v>
      </c>
      <c r="W1597" s="67" t="str">
        <f aca="false">IF(AND($V1597&gt;=Parametros!$C$8,$R1597&gt;=Parametros!$C$12),"Alta rentabilidad",IF(OR($V1597&lt;Parametros!$C$11,$R1597&lt;Parametros!$C$13),"Revisar","Estandar"))</f>
        <v>Estandar</v>
      </c>
      <c r="X1597" s="67" t="str">
        <f aca="false">IF(AND($J1597="E-commerce",IFERROR($T1597/$R1597,0)&gt;Parametros!$C$14),"Alerta","OK")</f>
        <v>Alerta</v>
      </c>
      <c r="Y1597" s="61" t="str">
        <f aca="false">IF($R1597&gt;=Parametros!$C$12,"Alto",IF($R1597&lt;Parametros!$C$13,"Bajo","Medio"))</f>
        <v>Medio</v>
      </c>
      <c r="Z1597" s="61" t="n">
        <v>2233</v>
      </c>
      <c r="AA1597" s="61" t="str">
        <f aca="false">IF(MATCH($A1597,Datos_Origen!$A$2:$A$2459,0)=$Z1597,"OK","REVISAR")</f>
        <v>OK</v>
      </c>
      <c r="AB1597" s="62" t="n">
        <f aca="false">INDEX(Datos_Origen!$B$2:$B$2459,$Z1597)</f>
        <v>45769</v>
      </c>
      <c r="AC1597" s="61" t="n">
        <f aca="false">INDEX(Datos_Origen!$H$2:$H$2459,$Z1597)</f>
        <v>8</v>
      </c>
      <c r="AD1597" s="61" t="str">
        <f aca="false">INDEX(Datos_Origen!$D$2:$D$2459,$Z1597)&amp;""</f>
        <v>Tucuman</v>
      </c>
    </row>
    <row r="1598" customFormat="false" ht="15" hidden="false" customHeight="false" outlineLevel="0" collapsed="false">
      <c r="A1598" s="61" t="n">
        <f aca="false">INDEX(Datos_Origen!$A$2:$A$2459,$Z1598)</f>
        <v>1597</v>
      </c>
      <c r="B1598" s="62" t="n">
        <f aca="false">IF(ISNUMBER($AB1598),$AB1598,IF(MID($AB1598,5,1)="-",DATE(VALUE(LEFT($AB1598,4)),VALUE(MID($AB1598,6,2)),VALUE(RIGHT($AB1598,2))),DATE(VALUE(RIGHT($AB1598,4)),VALUE(MID($AB1598,4,2)),VALUE(LEFT($AB1598,2)))))</f>
        <v>45749</v>
      </c>
      <c r="C1598" s="61" t="n">
        <f aca="false">YEAR($B1598)</f>
        <v>2025</v>
      </c>
      <c r="D1598" s="61" t="str">
        <f aca="false">"Q"&amp;ROUNDUP(MONTH($B1598)/3,0)</f>
        <v>Q2</v>
      </c>
      <c r="E1598" s="61" t="n">
        <f aca="false">MONTH($B1598)</f>
        <v>4</v>
      </c>
      <c r="F1598" s="61" t="str">
        <f aca="false">INDEX(Parametros!$I$5:$I$16,$E1598)</f>
        <v>Abr</v>
      </c>
      <c r="G1598" s="61" t="str">
        <f aca="false">TEXT($C1598,"0000")&amp;"-"&amp;TEXT($E1598,"00")</f>
        <v>2025-04</v>
      </c>
      <c r="H1598" s="61" t="str">
        <f aca="false">INDEX(Parametros!$C$71:$C$91,MATCH(TRIM(INDEX(Datos_Origen!$C$2:$C$2459,$Z1598)),Parametros!$B$71:$B$91,0))</f>
        <v>NOA</v>
      </c>
      <c r="I1598" s="61" t="str">
        <f aca="false">IF(TRIM($AD1598)="",INDEX(Parametros!$I$20:$I$24,MATCH($H1598,Parametros!$H$20:$H$24,0)),TRIM($AD1598))</f>
        <v>Tucuman</v>
      </c>
      <c r="J1598" s="61" t="str">
        <f aca="false">INDEX(Parametros!$C$95:$C$106,MATCH(TRIM(INDEX(Datos_Origen!$E$2:$E$2459,$Z1598)),Parametros!$B$95:$B$106,0))</f>
        <v>Tienda fisica</v>
      </c>
      <c r="K1598" s="61" t="str">
        <f aca="false">INDEX(Parametros!$C$48:$C$67,MATCH(TRIM(INDEX(Datos_Origen!$F$2:$F$2459,$Z1598)),Parametros!$B$48:$B$67,0))</f>
        <v>Almacenamiento</v>
      </c>
      <c r="L1598" s="61" t="str">
        <f aca="false">$K1598&amp;" "&amp;$C1598</f>
        <v>Almacenamiento 2025</v>
      </c>
      <c r="M1598" s="61" t="str">
        <f aca="false">TRIM(INDEX(Datos_Origen!$G$2:$G$2459,$Z1598))</f>
        <v>SSD Externo 1TB</v>
      </c>
      <c r="N1598" s="61" t="str">
        <f aca="false">$M1598&amp;" "&amp;$C1598</f>
        <v>SSD Externo 1TB 2025</v>
      </c>
      <c r="O1598" s="63" t="n">
        <f aca="false">IF(ISTEXT($AC1598),VALUE($AC1598),$AC1598)</f>
        <v>14</v>
      </c>
      <c r="P1598" s="64" t="n">
        <f aca="false">INDEX(Datos_Origen!$I$2:$I$2459,$Z1598)</f>
        <v>129.17</v>
      </c>
      <c r="Q1598" s="64" t="n">
        <f aca="false">INDEX(Datos_Origen!$J$2:$J$2459,$Z1598)</f>
        <v>78.33</v>
      </c>
      <c r="R1598" s="65" t="n">
        <f aca="false">ROUND($O1598*$P1598,2)</f>
        <v>1808.38</v>
      </c>
      <c r="S1598" s="65" t="n">
        <f aca="false">ROUND($O1598*$Q1598,2)</f>
        <v>1096.62</v>
      </c>
      <c r="T1598" s="65" t="n">
        <f aca="false">ROUND($R1598*SUMIFS(Parametros!$E$28:$E$43,Parametros!$B$28:$B$43,$J1598,Parametros!$C$28:$C$43,$C1598,Parametros!$D$28:$D$43,$D1598),2)</f>
        <v>25.32</v>
      </c>
      <c r="U1598" s="65" t="n">
        <f aca="false">$R1598-$S1598-$T1598</f>
        <v>686.44</v>
      </c>
      <c r="V1598" s="66" t="n">
        <f aca="false">IFERROR($U1598/$R1598,0)</f>
        <v>0.379588360853361</v>
      </c>
      <c r="W1598" s="67" t="str">
        <f aca="false">IF(AND($V1598&gt;=Parametros!$C$8,$R1598&gt;=Parametros!$C$12),"Alta rentabilidad",IF(OR($V1598&lt;Parametros!$C$11,$R1598&lt;Parametros!$C$13),"Revisar","Estandar"))</f>
        <v>Estandar</v>
      </c>
      <c r="X1598" s="67" t="str">
        <f aca="false">IF(AND($J1598="E-commerce",IFERROR($T1598/$R1598,0)&gt;Parametros!$C$14),"Alerta","OK")</f>
        <v>OK</v>
      </c>
      <c r="Y1598" s="61" t="str">
        <f aca="false">IF($R1598&gt;=Parametros!$C$12,"Alto",IF($R1598&lt;Parametros!$C$13,"Bajo","Medio"))</f>
        <v>Medio</v>
      </c>
      <c r="Z1598" s="61" t="n">
        <v>1255</v>
      </c>
      <c r="AA1598" s="61" t="str">
        <f aca="false">IF(MATCH($A1598,Datos_Origen!$A$2:$A$2459,0)=$Z1598,"OK","REVISAR")</f>
        <v>OK</v>
      </c>
      <c r="AB1598" s="62" t="n">
        <f aca="false">INDEX(Datos_Origen!$B$2:$B$2459,$Z1598)</f>
        <v>45749</v>
      </c>
      <c r="AC1598" s="61" t="n">
        <f aca="false">INDEX(Datos_Origen!$H$2:$H$2459,$Z1598)</f>
        <v>14</v>
      </c>
      <c r="AD1598" s="61" t="str">
        <f aca="false">INDEX(Datos_Origen!$D$2:$D$2459,$Z1598)&amp;""</f>
        <v>Tucuman</v>
      </c>
    </row>
    <row r="1599" customFormat="false" ht="15" hidden="false" customHeight="false" outlineLevel="0" collapsed="false">
      <c r="A1599" s="61" t="n">
        <f aca="false">INDEX(Datos_Origen!$A$2:$A$2459,$Z1599)</f>
        <v>1598</v>
      </c>
      <c r="B1599" s="62" t="n">
        <f aca="false">IF(ISNUMBER($AB1599),$AB1599,IF(MID($AB1599,5,1)="-",DATE(VALUE(LEFT($AB1599,4)),VALUE(MID($AB1599,6,2)),VALUE(RIGHT($AB1599,2))),DATE(VALUE(RIGHT($AB1599,4)),VALUE(MID($AB1599,4,2)),VALUE(LEFT($AB1599,2)))))</f>
        <v>45756</v>
      </c>
      <c r="C1599" s="61" t="n">
        <f aca="false">YEAR($B1599)</f>
        <v>2025</v>
      </c>
      <c r="D1599" s="61" t="str">
        <f aca="false">"Q"&amp;ROUNDUP(MONTH($B1599)/3,0)</f>
        <v>Q2</v>
      </c>
      <c r="E1599" s="61" t="n">
        <f aca="false">MONTH($B1599)</f>
        <v>4</v>
      </c>
      <c r="F1599" s="61" t="str">
        <f aca="false">INDEX(Parametros!$I$5:$I$16,$E1599)</f>
        <v>Abr</v>
      </c>
      <c r="G1599" s="61" t="str">
        <f aca="false">TEXT($C1599,"0000")&amp;"-"&amp;TEXT($E1599,"00")</f>
        <v>2025-04</v>
      </c>
      <c r="H1599" s="61" t="str">
        <f aca="false">INDEX(Parametros!$C$71:$C$91,MATCH(TRIM(INDEX(Datos_Origen!$C$2:$C$2459,$Z1599)),Parametros!$B$71:$B$91,0))</f>
        <v>NOA</v>
      </c>
      <c r="I1599" s="61" t="str">
        <f aca="false">IF(TRIM($AD1599)="",INDEX(Parametros!$I$20:$I$24,MATCH($H1599,Parametros!$H$20:$H$24,0)),TRIM($AD1599))</f>
        <v>Tucuman</v>
      </c>
      <c r="J1599" s="61" t="str">
        <f aca="false">INDEX(Parametros!$C$95:$C$106,MATCH(TRIM(INDEX(Datos_Origen!$E$2:$E$2459,$Z1599)),Parametros!$B$95:$B$106,0))</f>
        <v>E-commerce</v>
      </c>
      <c r="K1599" s="61" t="str">
        <f aca="false">INDEX(Parametros!$C$48:$C$67,MATCH(TRIM(INDEX(Datos_Origen!$F$2:$F$2459,$Z1599)),Parametros!$B$48:$B$67,0))</f>
        <v>Almacenamiento</v>
      </c>
      <c r="L1599" s="61" t="str">
        <f aca="false">$K1599&amp;" "&amp;$C1599</f>
        <v>Almacenamiento 2025</v>
      </c>
      <c r="M1599" s="61" t="str">
        <f aca="false">TRIM(INDEX(Datos_Origen!$G$2:$G$2459,$Z1599))</f>
        <v>SSD Externo 1TB</v>
      </c>
      <c r="N1599" s="61" t="str">
        <f aca="false">$M1599&amp;" "&amp;$C1599</f>
        <v>SSD Externo 1TB 2025</v>
      </c>
      <c r="O1599" s="63" t="n">
        <f aca="false">IF(ISTEXT($AC1599),VALUE($AC1599),$AC1599)</f>
        <v>11</v>
      </c>
      <c r="P1599" s="64" t="n">
        <f aca="false">INDEX(Datos_Origen!$I$2:$I$2459,$Z1599)</f>
        <v>129.17</v>
      </c>
      <c r="Q1599" s="64" t="n">
        <f aca="false">INDEX(Datos_Origen!$J$2:$J$2459,$Z1599)</f>
        <v>78.33</v>
      </c>
      <c r="R1599" s="65" t="n">
        <f aca="false">ROUND($O1599*$P1599,2)</f>
        <v>1420.87</v>
      </c>
      <c r="S1599" s="65" t="n">
        <f aca="false">ROUND($O1599*$Q1599,2)</f>
        <v>861.63</v>
      </c>
      <c r="T1599" s="65" t="n">
        <f aca="false">ROUND($R1599*SUMIFS(Parametros!$E$28:$E$43,Parametros!$B$28:$B$43,$J1599,Parametros!$C$28:$C$43,$C1599,Parametros!$D$28:$D$43,$D1599),2)</f>
        <v>105.14</v>
      </c>
      <c r="U1599" s="65" t="n">
        <f aca="false">$R1599-$S1599-$T1599</f>
        <v>454.1</v>
      </c>
      <c r="V1599" s="66" t="n">
        <f aca="false">IFERROR($U1599/$R1599,0)</f>
        <v>0.319592925461161</v>
      </c>
      <c r="W1599" s="67" t="str">
        <f aca="false">IF(AND($V1599&gt;=Parametros!$C$8,$R1599&gt;=Parametros!$C$12),"Alta rentabilidad",IF(OR($V1599&lt;Parametros!$C$11,$R1599&lt;Parametros!$C$13),"Revisar","Estandar"))</f>
        <v>Estandar</v>
      </c>
      <c r="X1599" s="67" t="str">
        <f aca="false">IF(AND($J1599="E-commerce",IFERROR($T1599/$R1599,0)&gt;Parametros!$C$14),"Alerta","OK")</f>
        <v>Alerta</v>
      </c>
      <c r="Y1599" s="61" t="str">
        <f aca="false">IF($R1599&gt;=Parametros!$C$12,"Alto",IF($R1599&lt;Parametros!$C$13,"Bajo","Medio"))</f>
        <v>Medio</v>
      </c>
      <c r="Z1599" s="61" t="n">
        <v>1025</v>
      </c>
      <c r="AA1599" s="61" t="str">
        <f aca="false">IF(MATCH($A1599,Datos_Origen!$A$2:$A$2459,0)=$Z1599,"OK","REVISAR")</f>
        <v>OK</v>
      </c>
      <c r="AB1599" s="62" t="n">
        <f aca="false">INDEX(Datos_Origen!$B$2:$B$2459,$Z1599)</f>
        <v>45756</v>
      </c>
      <c r="AC1599" s="61" t="n">
        <f aca="false">INDEX(Datos_Origen!$H$2:$H$2459,$Z1599)</f>
        <v>11</v>
      </c>
      <c r="AD1599" s="61" t="str">
        <f aca="false">INDEX(Datos_Origen!$D$2:$D$2459,$Z1599)&amp;""</f>
        <v>Tucuman</v>
      </c>
    </row>
    <row r="1600" customFormat="false" ht="15" hidden="false" customHeight="false" outlineLevel="0" collapsed="false">
      <c r="A1600" s="61" t="n">
        <f aca="false">INDEX(Datos_Origen!$A$2:$A$2459,$Z1600)</f>
        <v>1599</v>
      </c>
      <c r="B1600" s="62" t="n">
        <f aca="false">IF(ISNUMBER($AB1600),$AB1600,IF(MID($AB1600,5,1)="-",DATE(VALUE(LEFT($AB1600,4)),VALUE(MID($AB1600,6,2)),VALUE(RIGHT($AB1600,2))),DATE(VALUE(RIGHT($AB1600,4)),VALUE(MID($AB1600,4,2)),VALUE(LEFT($AB1600,2)))))</f>
        <v>45763</v>
      </c>
      <c r="C1600" s="61" t="n">
        <f aca="false">YEAR($B1600)</f>
        <v>2025</v>
      </c>
      <c r="D1600" s="61" t="str">
        <f aca="false">"Q"&amp;ROUNDUP(MONTH($B1600)/3,0)</f>
        <v>Q2</v>
      </c>
      <c r="E1600" s="61" t="n">
        <f aca="false">MONTH($B1600)</f>
        <v>4</v>
      </c>
      <c r="F1600" s="61" t="str">
        <f aca="false">INDEX(Parametros!$I$5:$I$16,$E1600)</f>
        <v>Abr</v>
      </c>
      <c r="G1600" s="61" t="str">
        <f aca="false">TEXT($C1600,"0000")&amp;"-"&amp;TEXT($E1600,"00")</f>
        <v>2025-04</v>
      </c>
      <c r="H1600" s="61" t="str">
        <f aca="false">INDEX(Parametros!$C$71:$C$91,MATCH(TRIM(INDEX(Datos_Origen!$C$2:$C$2459,$Z1600)),Parametros!$B$71:$B$91,0))</f>
        <v>NOA</v>
      </c>
      <c r="I1600" s="61" t="str">
        <f aca="false">IF(TRIM($AD1600)="",INDEX(Parametros!$I$20:$I$24,MATCH($H1600,Parametros!$H$20:$H$24,0)),TRIM($AD1600))</f>
        <v>Tucuman</v>
      </c>
      <c r="J1600" s="61" t="str">
        <f aca="false">INDEX(Parametros!$C$95:$C$106,MATCH(TRIM(INDEX(Datos_Origen!$E$2:$E$2459,$Z1600)),Parametros!$B$95:$B$106,0))</f>
        <v>Tienda fisica</v>
      </c>
      <c r="K1600" s="61" t="str">
        <f aca="false">INDEX(Parametros!$C$48:$C$67,MATCH(TRIM(INDEX(Datos_Origen!$F$2:$F$2459,$Z1600)),Parametros!$B$48:$B$67,0))</f>
        <v>Almacenamiento</v>
      </c>
      <c r="L1600" s="61" t="str">
        <f aca="false">$K1600&amp;" "&amp;$C1600</f>
        <v>Almacenamiento 2025</v>
      </c>
      <c r="M1600" s="61" t="str">
        <f aca="false">TRIM(INDEX(Datos_Origen!$G$2:$G$2459,$Z1600))</f>
        <v>Pendrive 256GB</v>
      </c>
      <c r="N1600" s="61" t="str">
        <f aca="false">$M1600&amp;" "&amp;$C1600</f>
        <v>Pendrive 256GB 2025</v>
      </c>
      <c r="O1600" s="63" t="n">
        <f aca="false">IF(ISTEXT($AC1600),VALUE($AC1600),$AC1600)</f>
        <v>16</v>
      </c>
      <c r="P1600" s="64" t="n">
        <f aca="false">INDEX(Datos_Origen!$I$2:$I$2459,$Z1600)</f>
        <v>34.78</v>
      </c>
      <c r="Q1600" s="64" t="n">
        <f aca="false">INDEX(Datos_Origen!$J$2:$J$2459,$Z1600)</f>
        <v>18.39</v>
      </c>
      <c r="R1600" s="65" t="n">
        <f aca="false">ROUND($O1600*$P1600,2)</f>
        <v>556.48</v>
      </c>
      <c r="S1600" s="65" t="n">
        <f aca="false">ROUND($O1600*$Q1600,2)</f>
        <v>294.24</v>
      </c>
      <c r="T1600" s="65" t="n">
        <f aca="false">ROUND($R1600*SUMIFS(Parametros!$E$28:$E$43,Parametros!$B$28:$B$43,$J1600,Parametros!$C$28:$C$43,$C1600,Parametros!$D$28:$D$43,$D1600),2)</f>
        <v>7.79</v>
      </c>
      <c r="U1600" s="65" t="n">
        <f aca="false">$R1600-$S1600-$T1600</f>
        <v>254.45</v>
      </c>
      <c r="V1600" s="66" t="n">
        <f aca="false">IFERROR($U1600/$R1600,0)</f>
        <v>0.457249137435308</v>
      </c>
      <c r="W1600" s="67" t="str">
        <f aca="false">IF(AND($V1600&gt;=Parametros!$C$8,$R1600&gt;=Parametros!$C$12),"Alta rentabilidad",IF(OR($V1600&lt;Parametros!$C$11,$R1600&lt;Parametros!$C$13),"Revisar","Estandar"))</f>
        <v>Estandar</v>
      </c>
      <c r="X1600" s="67" t="str">
        <f aca="false">IF(AND($J1600="E-commerce",IFERROR($T1600/$R1600,0)&gt;Parametros!$C$14),"Alerta","OK")</f>
        <v>OK</v>
      </c>
      <c r="Y1600" s="61" t="str">
        <f aca="false">IF($R1600&gt;=Parametros!$C$12,"Alto",IF($R1600&lt;Parametros!$C$13,"Bajo","Medio"))</f>
        <v>Medio</v>
      </c>
      <c r="Z1600" s="61" t="n">
        <v>810</v>
      </c>
      <c r="AA1600" s="61" t="str">
        <f aca="false">IF(MATCH($A1600,Datos_Origen!$A$2:$A$2459,0)=$Z1600,"OK","REVISAR")</f>
        <v>OK</v>
      </c>
      <c r="AB1600" s="62" t="n">
        <f aca="false">INDEX(Datos_Origen!$B$2:$B$2459,$Z1600)</f>
        <v>45763</v>
      </c>
      <c r="AC1600" s="61" t="n">
        <f aca="false">INDEX(Datos_Origen!$H$2:$H$2459,$Z1600)</f>
        <v>16</v>
      </c>
      <c r="AD1600" s="61" t="str">
        <f aca="false">INDEX(Datos_Origen!$D$2:$D$2459,$Z1600)&amp;""</f>
        <v>Tucuman</v>
      </c>
    </row>
    <row r="1601" customFormat="false" ht="15" hidden="false" customHeight="false" outlineLevel="0" collapsed="false">
      <c r="A1601" s="61" t="n">
        <f aca="false">INDEX(Datos_Origen!$A$2:$A$2459,$Z1601)</f>
        <v>1600</v>
      </c>
      <c r="B1601" s="62" t="n">
        <f aca="false">IF(ISNUMBER($AB1601),$AB1601,IF(MID($AB1601,5,1)="-",DATE(VALUE(LEFT($AB1601,4)),VALUE(MID($AB1601,6,2)),VALUE(RIGHT($AB1601,2))),DATE(VALUE(RIGHT($AB1601,4)),VALUE(MID($AB1601,4,2)),VALUE(LEFT($AB1601,2)))))</f>
        <v>45770</v>
      </c>
      <c r="C1601" s="61" t="n">
        <f aca="false">YEAR($B1601)</f>
        <v>2025</v>
      </c>
      <c r="D1601" s="61" t="str">
        <f aca="false">"Q"&amp;ROUNDUP(MONTH($B1601)/3,0)</f>
        <v>Q2</v>
      </c>
      <c r="E1601" s="61" t="n">
        <f aca="false">MONTH($B1601)</f>
        <v>4</v>
      </c>
      <c r="F1601" s="61" t="str">
        <f aca="false">INDEX(Parametros!$I$5:$I$16,$E1601)</f>
        <v>Abr</v>
      </c>
      <c r="G1601" s="61" t="str">
        <f aca="false">TEXT($C1601,"0000")&amp;"-"&amp;TEXT($E1601,"00")</f>
        <v>2025-04</v>
      </c>
      <c r="H1601" s="61" t="str">
        <f aca="false">INDEX(Parametros!$C$71:$C$91,MATCH(TRIM(INDEX(Datos_Origen!$C$2:$C$2459,$Z1601)),Parametros!$B$71:$B$91,0))</f>
        <v>NOA</v>
      </c>
      <c r="I1601" s="61" t="str">
        <f aca="false">IF(TRIM($AD1601)="",INDEX(Parametros!$I$20:$I$24,MATCH($H1601,Parametros!$H$20:$H$24,0)),TRIM($AD1601))</f>
        <v>Tucuman</v>
      </c>
      <c r="J1601" s="61" t="str">
        <f aca="false">INDEX(Parametros!$C$95:$C$106,MATCH(TRIM(INDEX(Datos_Origen!$E$2:$E$2459,$Z1601)),Parametros!$B$95:$B$106,0))</f>
        <v>E-commerce</v>
      </c>
      <c r="K1601" s="61" t="str">
        <f aca="false">INDEX(Parametros!$C$48:$C$67,MATCH(TRIM(INDEX(Datos_Origen!$F$2:$F$2459,$Z1601)),Parametros!$B$48:$B$67,0))</f>
        <v>Almacenamiento</v>
      </c>
      <c r="L1601" s="61" t="str">
        <f aca="false">$K1601&amp;" "&amp;$C1601</f>
        <v>Almacenamiento 2025</v>
      </c>
      <c r="M1601" s="61" t="str">
        <f aca="false">TRIM(INDEX(Datos_Origen!$G$2:$G$2459,$Z1601))</f>
        <v>Pendrive 256GB</v>
      </c>
      <c r="N1601" s="61" t="str">
        <f aca="false">$M1601&amp;" "&amp;$C1601</f>
        <v>Pendrive 256GB 2025</v>
      </c>
      <c r="O1601" s="63" t="n">
        <f aca="false">IF(ISTEXT($AC1601),VALUE($AC1601),$AC1601)</f>
        <v>10</v>
      </c>
      <c r="P1601" s="64" t="n">
        <f aca="false">INDEX(Datos_Origen!$I$2:$I$2459,$Z1601)</f>
        <v>34.78</v>
      </c>
      <c r="Q1601" s="64" t="n">
        <f aca="false">INDEX(Datos_Origen!$J$2:$J$2459,$Z1601)</f>
        <v>18.39</v>
      </c>
      <c r="R1601" s="65" t="n">
        <f aca="false">ROUND($O1601*$P1601,2)</f>
        <v>347.8</v>
      </c>
      <c r="S1601" s="65" t="n">
        <f aca="false">ROUND($O1601*$Q1601,2)</f>
        <v>183.9</v>
      </c>
      <c r="T1601" s="65" t="n">
        <f aca="false">ROUND($R1601*SUMIFS(Parametros!$E$28:$E$43,Parametros!$B$28:$B$43,$J1601,Parametros!$C$28:$C$43,$C1601,Parametros!$D$28:$D$43,$D1601),2)</f>
        <v>25.74</v>
      </c>
      <c r="U1601" s="65" t="n">
        <f aca="false">$R1601-$S1601-$T1601</f>
        <v>138.16</v>
      </c>
      <c r="V1601" s="66" t="n">
        <f aca="false">IFERROR($U1601/$R1601,0)</f>
        <v>0.397239792984474</v>
      </c>
      <c r="W1601" s="67" t="str">
        <f aca="false">IF(AND($V1601&gt;=Parametros!$C$8,$R1601&gt;=Parametros!$C$12),"Alta rentabilidad",IF(OR($V1601&lt;Parametros!$C$11,$R1601&lt;Parametros!$C$13),"Revisar","Estandar"))</f>
        <v>Estandar</v>
      </c>
      <c r="X1601" s="67" t="str">
        <f aca="false">IF(AND($J1601="E-commerce",IFERROR($T1601/$R1601,0)&gt;Parametros!$C$14),"Alerta","OK")</f>
        <v>Alerta</v>
      </c>
      <c r="Y1601" s="61" t="str">
        <f aca="false">IF($R1601&gt;=Parametros!$C$12,"Alto",IF($R1601&lt;Parametros!$C$13,"Bajo","Medio"))</f>
        <v>Medio</v>
      </c>
      <c r="Z1601" s="61" t="n">
        <v>669</v>
      </c>
      <c r="AA1601" s="61" t="str">
        <f aca="false">IF(MATCH($A1601,Datos_Origen!$A$2:$A$2459,0)=$Z1601,"OK","REVISAR")</f>
        <v>OK</v>
      </c>
      <c r="AB1601" s="62" t="n">
        <f aca="false">INDEX(Datos_Origen!$B$2:$B$2459,$Z1601)</f>
        <v>45770</v>
      </c>
      <c r="AC1601" s="61" t="n">
        <f aca="false">INDEX(Datos_Origen!$H$2:$H$2459,$Z1601)</f>
        <v>10</v>
      </c>
      <c r="AD1601" s="61" t="str">
        <f aca="false">INDEX(Datos_Origen!$D$2:$D$2459,$Z1601)&amp;""</f>
        <v>Tucuman</v>
      </c>
    </row>
    <row r="1602" customFormat="false" ht="15" hidden="false" customHeight="false" outlineLevel="0" collapsed="false">
      <c r="A1602" s="61" t="n">
        <f aca="false">INDEX(Datos_Origen!$A$2:$A$2459,$Z1602)</f>
        <v>1601</v>
      </c>
      <c r="B1602" s="62" t="n">
        <f aca="false">IF(ISNUMBER($AB1602),$AB1602,IF(MID($AB1602,5,1)="-",DATE(VALUE(LEFT($AB1602,4)),VALUE(MID($AB1602,6,2)),VALUE(RIGHT($AB1602,2))),DATE(VALUE(RIGHT($AB1602,4)),VALUE(MID($AB1602,4,2)),VALUE(LEFT($AB1602,2)))))</f>
        <v>45780</v>
      </c>
      <c r="C1602" s="61" t="n">
        <f aca="false">YEAR($B1602)</f>
        <v>2025</v>
      </c>
      <c r="D1602" s="61" t="str">
        <f aca="false">"Q"&amp;ROUNDUP(MONTH($B1602)/3,0)</f>
        <v>Q2</v>
      </c>
      <c r="E1602" s="61" t="n">
        <f aca="false">MONTH($B1602)</f>
        <v>5</v>
      </c>
      <c r="F1602" s="61" t="str">
        <f aca="false">INDEX(Parametros!$I$5:$I$16,$E1602)</f>
        <v>May</v>
      </c>
      <c r="G1602" s="61" t="str">
        <f aca="false">TEXT($C1602,"0000")&amp;"-"&amp;TEXT($E1602,"00")</f>
        <v>2025-05</v>
      </c>
      <c r="H1602" s="61" t="str">
        <f aca="false">INDEX(Parametros!$C$71:$C$91,MATCH(TRIM(INDEX(Datos_Origen!$C$2:$C$2459,$Z1602)),Parametros!$B$71:$B$91,0))</f>
        <v>AMBA</v>
      </c>
      <c r="I1602" s="61" t="str">
        <f aca="false">IF(TRIM($AD1602)="",INDEX(Parametros!$I$20:$I$24,MATCH($H1602,Parametros!$H$20:$H$24,0)),TRIM($AD1602))</f>
        <v>Buenos Aires</v>
      </c>
      <c r="J1602" s="61" t="str">
        <f aca="false">INDEX(Parametros!$C$95:$C$106,MATCH(TRIM(INDEX(Datos_Origen!$E$2:$E$2459,$Z1602)),Parametros!$B$95:$B$106,0))</f>
        <v>Tienda fisica</v>
      </c>
      <c r="K1602" s="61" t="str">
        <f aca="false">INDEX(Parametros!$C$48:$C$67,MATCH(TRIM(INDEX(Datos_Origen!$F$2:$F$2459,$Z1602)),Parametros!$B$48:$B$67,0))</f>
        <v>Computacion</v>
      </c>
      <c r="L1602" s="61" t="str">
        <f aca="false">$K1602&amp;" "&amp;$C1602</f>
        <v>Computacion 2025</v>
      </c>
      <c r="M1602" s="61" t="str">
        <f aca="false">TRIM(INDEX(Datos_Origen!$G$2:$G$2459,$Z1602))</f>
        <v>Laptop Pro 15</v>
      </c>
      <c r="N1602" s="61" t="str">
        <f aca="false">$M1602&amp;" "&amp;$C1602</f>
        <v>Laptop Pro 15 2025</v>
      </c>
      <c r="O1602" s="63" t="n">
        <f aca="false">IF(ISTEXT($AC1602),VALUE($AC1602),$AC1602)</f>
        <v>23</v>
      </c>
      <c r="P1602" s="64" t="n">
        <f aca="false">INDEX(Datos_Origen!$I$2:$I$2459,$Z1602)</f>
        <v>1155.06</v>
      </c>
      <c r="Q1602" s="64" t="n">
        <f aca="false">INDEX(Datos_Origen!$J$2:$J$2459,$Z1602)</f>
        <v>766.32</v>
      </c>
      <c r="R1602" s="65" t="n">
        <f aca="false">ROUND($O1602*$P1602,2)</f>
        <v>26566.38</v>
      </c>
      <c r="S1602" s="65" t="n">
        <f aca="false">ROUND($O1602*$Q1602,2)</f>
        <v>17625.36</v>
      </c>
      <c r="T1602" s="65" t="n">
        <f aca="false">ROUND($R1602*SUMIFS(Parametros!$E$28:$E$43,Parametros!$B$28:$B$43,$J1602,Parametros!$C$28:$C$43,$C1602,Parametros!$D$28:$D$43,$D1602),2)</f>
        <v>371.93</v>
      </c>
      <c r="U1602" s="65" t="n">
        <f aca="false">$R1602-$S1602-$T1602</f>
        <v>8569.09</v>
      </c>
      <c r="V1602" s="66" t="n">
        <f aca="false">IFERROR($U1602/$R1602,0)</f>
        <v>0.322553919653336</v>
      </c>
      <c r="W1602" s="67" t="str">
        <f aca="false">IF(AND($V1602&gt;=Parametros!$C$8,$R1602&gt;=Parametros!$C$12),"Alta rentabilidad",IF(OR($V1602&lt;Parametros!$C$11,$R1602&lt;Parametros!$C$13),"Revisar","Estandar"))</f>
        <v>Estandar</v>
      </c>
      <c r="X1602" s="67" t="str">
        <f aca="false">IF(AND($J1602="E-commerce",IFERROR($T1602/$R1602,0)&gt;Parametros!$C$14),"Alerta","OK")</f>
        <v>OK</v>
      </c>
      <c r="Y1602" s="61" t="str">
        <f aca="false">IF($R1602&gt;=Parametros!$C$12,"Alto",IF($R1602&lt;Parametros!$C$13,"Bajo","Medio"))</f>
        <v>Alto</v>
      </c>
      <c r="Z1602" s="61" t="n">
        <v>876</v>
      </c>
      <c r="AA1602" s="61" t="str">
        <f aca="false">IF(MATCH($A1602,Datos_Origen!$A$2:$A$2459,0)=$Z1602,"OK","REVISAR")</f>
        <v>OK</v>
      </c>
      <c r="AB1602" s="62" t="n">
        <f aca="false">INDEX(Datos_Origen!$B$2:$B$2459,$Z1602)</f>
        <v>45780</v>
      </c>
      <c r="AC1602" s="61" t="n">
        <f aca="false">INDEX(Datos_Origen!$H$2:$H$2459,$Z1602)</f>
        <v>23</v>
      </c>
      <c r="AD1602" s="61" t="str">
        <f aca="false">INDEX(Datos_Origen!$D$2:$D$2459,$Z1602)&amp;""</f>
        <v>Buenos Aires</v>
      </c>
    </row>
    <row r="1603" customFormat="false" ht="15" hidden="false" customHeight="false" outlineLevel="0" collapsed="false">
      <c r="A1603" s="61" t="n">
        <f aca="false">INDEX(Datos_Origen!$A$2:$A$2459,$Z1603)</f>
        <v>1602</v>
      </c>
      <c r="B1603" s="62" t="n">
        <f aca="false">IF(ISNUMBER($AB1603),$AB1603,IF(MID($AB1603,5,1)="-",DATE(VALUE(LEFT($AB1603,4)),VALUE(MID($AB1603,6,2)),VALUE(RIGHT($AB1603,2))),DATE(VALUE(RIGHT($AB1603,4)),VALUE(MID($AB1603,4,2)),VALUE(LEFT($AB1603,2)))))</f>
        <v>45787</v>
      </c>
      <c r="C1603" s="61" t="n">
        <f aca="false">YEAR($B1603)</f>
        <v>2025</v>
      </c>
      <c r="D1603" s="61" t="str">
        <f aca="false">"Q"&amp;ROUNDUP(MONTH($B1603)/3,0)</f>
        <v>Q2</v>
      </c>
      <c r="E1603" s="61" t="n">
        <f aca="false">MONTH($B1603)</f>
        <v>5</v>
      </c>
      <c r="F1603" s="61" t="str">
        <f aca="false">INDEX(Parametros!$I$5:$I$16,$E1603)</f>
        <v>May</v>
      </c>
      <c r="G1603" s="61" t="str">
        <f aca="false">TEXT($C1603,"0000")&amp;"-"&amp;TEXT($E1603,"00")</f>
        <v>2025-05</v>
      </c>
      <c r="H1603" s="61" t="str">
        <f aca="false">INDEX(Parametros!$C$71:$C$91,MATCH(TRIM(INDEX(Datos_Origen!$C$2:$C$2459,$Z1603)),Parametros!$B$71:$B$91,0))</f>
        <v>AMBA</v>
      </c>
      <c r="I1603" s="61" t="str">
        <f aca="false">IF(TRIM($AD1603)="",INDEX(Parametros!$I$20:$I$24,MATCH($H1603,Parametros!$H$20:$H$24,0)),TRIM($AD1603))</f>
        <v>Buenos Aires</v>
      </c>
      <c r="J1603" s="61" t="str">
        <f aca="false">INDEX(Parametros!$C$95:$C$106,MATCH(TRIM(INDEX(Datos_Origen!$E$2:$E$2459,$Z1603)),Parametros!$B$95:$B$106,0))</f>
        <v>E-commerce</v>
      </c>
      <c r="K1603" s="61" t="str">
        <f aca="false">INDEX(Parametros!$C$48:$C$67,MATCH(TRIM(INDEX(Datos_Origen!$F$2:$F$2459,$Z1603)),Parametros!$B$48:$B$67,0))</f>
        <v>Computacion</v>
      </c>
      <c r="L1603" s="61" t="str">
        <f aca="false">$K1603&amp;" "&amp;$C1603</f>
        <v>Computacion 2025</v>
      </c>
      <c r="M1603" s="61" t="str">
        <f aca="false">TRIM(INDEX(Datos_Origen!$G$2:$G$2459,$Z1603))</f>
        <v>Laptop Pro 15</v>
      </c>
      <c r="N1603" s="61" t="str">
        <f aca="false">$M1603&amp;" "&amp;$C1603</f>
        <v>Laptop Pro 15 2025</v>
      </c>
      <c r="O1603" s="63" t="n">
        <f aca="false">IF(ISTEXT($AC1603),VALUE($AC1603),$AC1603)</f>
        <v>15</v>
      </c>
      <c r="P1603" s="64" t="n">
        <f aca="false">INDEX(Datos_Origen!$I$2:$I$2459,$Z1603)</f>
        <v>1155.06</v>
      </c>
      <c r="Q1603" s="64" t="n">
        <f aca="false">INDEX(Datos_Origen!$J$2:$J$2459,$Z1603)</f>
        <v>766.32</v>
      </c>
      <c r="R1603" s="65" t="n">
        <f aca="false">ROUND($O1603*$P1603,2)</f>
        <v>17325.9</v>
      </c>
      <c r="S1603" s="65" t="n">
        <f aca="false">ROUND($O1603*$Q1603,2)</f>
        <v>11494.8</v>
      </c>
      <c r="T1603" s="65" t="n">
        <f aca="false">ROUND($R1603*SUMIFS(Parametros!$E$28:$E$43,Parametros!$B$28:$B$43,$J1603,Parametros!$C$28:$C$43,$C1603,Parametros!$D$28:$D$43,$D1603),2)</f>
        <v>1282.12</v>
      </c>
      <c r="U1603" s="65" t="n">
        <f aca="false">$R1603-$S1603-$T1603</f>
        <v>4548.98</v>
      </c>
      <c r="V1603" s="66" t="n">
        <f aca="false">IFERROR($U1603/$R1603,0)</f>
        <v>0.262553749011595</v>
      </c>
      <c r="W1603" s="67" t="str">
        <f aca="false">IF(AND($V1603&gt;=Parametros!$C$8,$R1603&gt;=Parametros!$C$12),"Alta rentabilidad",IF(OR($V1603&lt;Parametros!$C$11,$R1603&lt;Parametros!$C$13),"Revisar","Estandar"))</f>
        <v>Revisar</v>
      </c>
      <c r="X1603" s="67" t="str">
        <f aca="false">IF(AND($J1603="E-commerce",IFERROR($T1603/$R1603,0)&gt;Parametros!$C$14),"Alerta","OK")</f>
        <v>Alerta</v>
      </c>
      <c r="Y1603" s="61" t="str">
        <f aca="false">IF($R1603&gt;=Parametros!$C$12,"Alto",IF($R1603&lt;Parametros!$C$13,"Bajo","Medio"))</f>
        <v>Alto</v>
      </c>
      <c r="Z1603" s="61" t="n">
        <v>391</v>
      </c>
      <c r="AA1603" s="61" t="str">
        <f aca="false">IF(MATCH($A1603,Datos_Origen!$A$2:$A$2459,0)=$Z1603,"OK","REVISAR")</f>
        <v>OK</v>
      </c>
      <c r="AB1603" s="61" t="str">
        <f aca="false">INDEX(Datos_Origen!$B$2:$B$2459,$Z1603)</f>
        <v>10/05/2025</v>
      </c>
      <c r="AC1603" s="61" t="n">
        <f aca="false">INDEX(Datos_Origen!$H$2:$H$2459,$Z1603)</f>
        <v>15</v>
      </c>
      <c r="AD1603" s="61" t="str">
        <f aca="false">INDEX(Datos_Origen!$D$2:$D$2459,$Z1603)&amp;""</f>
        <v>Buenos Aires</v>
      </c>
    </row>
    <row r="1604" customFormat="false" ht="15" hidden="false" customHeight="false" outlineLevel="0" collapsed="false">
      <c r="A1604" s="61" t="n">
        <f aca="false">INDEX(Datos_Origen!$A$2:$A$2459,$Z1604)</f>
        <v>1603</v>
      </c>
      <c r="B1604" s="62" t="n">
        <f aca="false">IF(ISNUMBER($AB1604),$AB1604,IF(MID($AB1604,5,1)="-",DATE(VALUE(LEFT($AB1604,4)),VALUE(MID($AB1604,6,2)),VALUE(RIGHT($AB1604,2))),DATE(VALUE(RIGHT($AB1604,4)),VALUE(MID($AB1604,4,2)),VALUE(LEFT($AB1604,2)))))</f>
        <v>45794</v>
      </c>
      <c r="C1604" s="61" t="n">
        <f aca="false">YEAR($B1604)</f>
        <v>2025</v>
      </c>
      <c r="D1604" s="61" t="str">
        <f aca="false">"Q"&amp;ROUNDUP(MONTH($B1604)/3,0)</f>
        <v>Q2</v>
      </c>
      <c r="E1604" s="61" t="n">
        <f aca="false">MONTH($B1604)</f>
        <v>5</v>
      </c>
      <c r="F1604" s="61" t="str">
        <f aca="false">INDEX(Parametros!$I$5:$I$16,$E1604)</f>
        <v>May</v>
      </c>
      <c r="G1604" s="61" t="str">
        <f aca="false">TEXT($C1604,"0000")&amp;"-"&amp;TEXT($E1604,"00")</f>
        <v>2025-05</v>
      </c>
      <c r="H1604" s="61" t="str">
        <f aca="false">INDEX(Parametros!$C$71:$C$91,MATCH(TRIM(INDEX(Datos_Origen!$C$2:$C$2459,$Z1604)),Parametros!$B$71:$B$91,0))</f>
        <v>AMBA</v>
      </c>
      <c r="I1604" s="61" t="str">
        <f aca="false">IF(TRIM($AD1604)="",INDEX(Parametros!$I$20:$I$24,MATCH($H1604,Parametros!$H$20:$H$24,0)),TRIM($AD1604))</f>
        <v>Buenos Aires</v>
      </c>
      <c r="J1604" s="61" t="str">
        <f aca="false">INDEX(Parametros!$C$95:$C$106,MATCH(TRIM(INDEX(Datos_Origen!$E$2:$E$2459,$Z1604)),Parametros!$B$95:$B$106,0))</f>
        <v>Tienda fisica</v>
      </c>
      <c r="K1604" s="61" t="str">
        <f aca="false">INDEX(Parametros!$C$48:$C$67,MATCH(TRIM(INDEX(Datos_Origen!$F$2:$F$2459,$Z1604)),Parametros!$B$48:$B$67,0))</f>
        <v>Computacion</v>
      </c>
      <c r="L1604" s="61" t="str">
        <f aca="false">$K1604&amp;" "&amp;$C1604</f>
        <v>Computacion 2025</v>
      </c>
      <c r="M1604" s="61" t="str">
        <f aca="false">TRIM(INDEX(Datos_Origen!$G$2:$G$2459,$Z1604))</f>
        <v>Monitor 4K 27</v>
      </c>
      <c r="N1604" s="61" t="str">
        <f aca="false">$M1604&amp;" "&amp;$C1604</f>
        <v>Monitor 4K 27 2025</v>
      </c>
      <c r="O1604" s="63" t="n">
        <f aca="false">IF(ISTEXT($AC1604),VALUE($AC1604),$AC1604)</f>
        <v>20</v>
      </c>
      <c r="P1604" s="64" t="n">
        <f aca="false">INDEX(Datos_Origen!$I$2:$I$2459,$Z1604)</f>
        <v>433.15</v>
      </c>
      <c r="Q1604" s="64" t="n">
        <f aca="false">INDEX(Datos_Origen!$J$2:$J$2459,$Z1604)</f>
        <v>280.42</v>
      </c>
      <c r="R1604" s="65" t="n">
        <f aca="false">ROUND($O1604*$P1604,2)</f>
        <v>8663</v>
      </c>
      <c r="S1604" s="65" t="n">
        <f aca="false">ROUND($O1604*$Q1604,2)</f>
        <v>5608.4</v>
      </c>
      <c r="T1604" s="65" t="n">
        <f aca="false">ROUND($R1604*SUMIFS(Parametros!$E$28:$E$43,Parametros!$B$28:$B$43,$J1604,Parametros!$C$28:$C$43,$C1604,Parametros!$D$28:$D$43,$D1604),2)</f>
        <v>121.28</v>
      </c>
      <c r="U1604" s="65" t="n">
        <f aca="false">$R1604-$S1604-$T1604</f>
        <v>2933.32</v>
      </c>
      <c r="V1604" s="66" t="n">
        <f aca="false">IFERROR($U1604/$R1604,0)</f>
        <v>0.338603255223364</v>
      </c>
      <c r="W1604" s="67" t="str">
        <f aca="false">IF(AND($V1604&gt;=Parametros!$C$8,$R1604&gt;=Parametros!$C$12),"Alta rentabilidad",IF(OR($V1604&lt;Parametros!$C$11,$R1604&lt;Parametros!$C$13),"Revisar","Estandar"))</f>
        <v>Estandar</v>
      </c>
      <c r="X1604" s="67" t="str">
        <f aca="false">IF(AND($J1604="E-commerce",IFERROR($T1604/$R1604,0)&gt;Parametros!$C$14),"Alerta","OK")</f>
        <v>OK</v>
      </c>
      <c r="Y1604" s="61" t="str">
        <f aca="false">IF($R1604&gt;=Parametros!$C$12,"Alto",IF($R1604&lt;Parametros!$C$13,"Bajo","Medio"))</f>
        <v>Alto</v>
      </c>
      <c r="Z1604" s="61" t="n">
        <v>266</v>
      </c>
      <c r="AA1604" s="61" t="str">
        <f aca="false">IF(MATCH($A1604,Datos_Origen!$A$2:$A$2459,0)=$Z1604,"OK","REVISAR")</f>
        <v>OK</v>
      </c>
      <c r="AB1604" s="62" t="n">
        <f aca="false">INDEX(Datos_Origen!$B$2:$B$2459,$Z1604)</f>
        <v>45794</v>
      </c>
      <c r="AC1604" s="61" t="n">
        <f aca="false">INDEX(Datos_Origen!$H$2:$H$2459,$Z1604)</f>
        <v>20</v>
      </c>
      <c r="AD1604" s="61" t="str">
        <f aca="false">INDEX(Datos_Origen!$D$2:$D$2459,$Z1604)&amp;""</f>
        <v>Buenos Aires</v>
      </c>
    </row>
    <row r="1605" customFormat="false" ht="15" hidden="false" customHeight="false" outlineLevel="0" collapsed="false">
      <c r="A1605" s="61" t="n">
        <f aca="false">INDEX(Datos_Origen!$A$2:$A$2459,$Z1605)</f>
        <v>1604</v>
      </c>
      <c r="B1605" s="62" t="n">
        <f aca="false">IF(ISNUMBER($AB1605),$AB1605,IF(MID($AB1605,5,1)="-",DATE(VALUE(LEFT($AB1605,4)),VALUE(MID($AB1605,6,2)),VALUE(RIGHT($AB1605,2))),DATE(VALUE(RIGHT($AB1605,4)),VALUE(MID($AB1605,4,2)),VALUE(LEFT($AB1605,2)))))</f>
        <v>45801</v>
      </c>
      <c r="C1605" s="61" t="n">
        <f aca="false">YEAR($B1605)</f>
        <v>2025</v>
      </c>
      <c r="D1605" s="61" t="str">
        <f aca="false">"Q"&amp;ROUNDUP(MONTH($B1605)/3,0)</f>
        <v>Q2</v>
      </c>
      <c r="E1605" s="61" t="n">
        <f aca="false">MONTH($B1605)</f>
        <v>5</v>
      </c>
      <c r="F1605" s="61" t="str">
        <f aca="false">INDEX(Parametros!$I$5:$I$16,$E1605)</f>
        <v>May</v>
      </c>
      <c r="G1605" s="61" t="str">
        <f aca="false">TEXT($C1605,"0000")&amp;"-"&amp;TEXT($E1605,"00")</f>
        <v>2025-05</v>
      </c>
      <c r="H1605" s="61" t="str">
        <f aca="false">INDEX(Parametros!$C$71:$C$91,MATCH(TRIM(INDEX(Datos_Origen!$C$2:$C$2459,$Z1605)),Parametros!$B$71:$B$91,0))</f>
        <v>AMBA</v>
      </c>
      <c r="I1605" s="61" t="str">
        <f aca="false">IF(TRIM($AD1605)="",INDEX(Parametros!$I$20:$I$24,MATCH($H1605,Parametros!$H$20:$H$24,0)),TRIM($AD1605))</f>
        <v>Buenos Aires</v>
      </c>
      <c r="J1605" s="61" t="str">
        <f aca="false">INDEX(Parametros!$C$95:$C$106,MATCH(TRIM(INDEX(Datos_Origen!$E$2:$E$2459,$Z1605)),Parametros!$B$95:$B$106,0))</f>
        <v>E-commerce</v>
      </c>
      <c r="K1605" s="61" t="str">
        <f aca="false">INDEX(Parametros!$C$48:$C$67,MATCH(TRIM(INDEX(Datos_Origen!$F$2:$F$2459,$Z1605)),Parametros!$B$48:$B$67,0))</f>
        <v>Computacion</v>
      </c>
      <c r="L1605" s="61" t="str">
        <f aca="false">$K1605&amp;" "&amp;$C1605</f>
        <v>Computacion 2025</v>
      </c>
      <c r="M1605" s="61" t="str">
        <f aca="false">TRIM(INDEX(Datos_Origen!$G$2:$G$2459,$Z1605))</f>
        <v>Monitor 4K 27</v>
      </c>
      <c r="N1605" s="61" t="str">
        <f aca="false">$M1605&amp;" "&amp;$C1605</f>
        <v>Monitor 4K 27 2025</v>
      </c>
      <c r="O1605" s="63" t="n">
        <f aca="false">IF(ISTEXT($AC1605),VALUE($AC1605),$AC1605)</f>
        <v>16</v>
      </c>
      <c r="P1605" s="64" t="n">
        <f aca="false">INDEX(Datos_Origen!$I$2:$I$2459,$Z1605)</f>
        <v>433.15</v>
      </c>
      <c r="Q1605" s="64" t="n">
        <f aca="false">INDEX(Datos_Origen!$J$2:$J$2459,$Z1605)</f>
        <v>280.42</v>
      </c>
      <c r="R1605" s="65" t="n">
        <f aca="false">ROUND($O1605*$P1605,2)</f>
        <v>6930.4</v>
      </c>
      <c r="S1605" s="65" t="n">
        <f aca="false">ROUND($O1605*$Q1605,2)</f>
        <v>4486.72</v>
      </c>
      <c r="T1605" s="65" t="n">
        <f aca="false">ROUND($R1605*SUMIFS(Parametros!$E$28:$E$43,Parametros!$B$28:$B$43,$J1605,Parametros!$C$28:$C$43,$C1605,Parametros!$D$28:$D$43,$D1605),2)</f>
        <v>512.85</v>
      </c>
      <c r="U1605" s="65" t="n">
        <f aca="false">$R1605-$S1605-$T1605</f>
        <v>1930.83</v>
      </c>
      <c r="V1605" s="66" t="n">
        <f aca="false">IFERROR($U1605/$R1605,0)</f>
        <v>0.278602966639732</v>
      </c>
      <c r="W1605" s="67" t="str">
        <f aca="false">IF(AND($V1605&gt;=Parametros!$C$8,$R1605&gt;=Parametros!$C$12),"Alta rentabilidad",IF(OR($V1605&lt;Parametros!$C$11,$R1605&lt;Parametros!$C$13),"Revisar","Estandar"))</f>
        <v>Revisar</v>
      </c>
      <c r="X1605" s="67" t="str">
        <f aca="false">IF(AND($J1605="E-commerce",IFERROR($T1605/$R1605,0)&gt;Parametros!$C$14),"Alerta","OK")</f>
        <v>Alerta</v>
      </c>
      <c r="Y1605" s="61" t="str">
        <f aca="false">IF($R1605&gt;=Parametros!$C$12,"Alto",IF($R1605&lt;Parametros!$C$13,"Bajo","Medio"))</f>
        <v>Alto</v>
      </c>
      <c r="Z1605" s="61" t="n">
        <v>912</v>
      </c>
      <c r="AA1605" s="61" t="str">
        <f aca="false">IF(MATCH($A1605,Datos_Origen!$A$2:$A$2459,0)=$Z1605,"OK","REVISAR")</f>
        <v>OK</v>
      </c>
      <c r="AB1605" s="62" t="n">
        <f aca="false">INDEX(Datos_Origen!$B$2:$B$2459,$Z1605)</f>
        <v>45801</v>
      </c>
      <c r="AC1605" s="61" t="n">
        <f aca="false">INDEX(Datos_Origen!$H$2:$H$2459,$Z1605)</f>
        <v>16</v>
      </c>
      <c r="AD1605" s="61" t="str">
        <f aca="false">INDEX(Datos_Origen!$D$2:$D$2459,$Z1605)&amp;""</f>
        <v>Buenos Aires</v>
      </c>
    </row>
    <row r="1606" customFormat="false" ht="15" hidden="false" customHeight="false" outlineLevel="0" collapsed="false">
      <c r="A1606" s="61" t="n">
        <f aca="false">INDEX(Datos_Origen!$A$2:$A$2459,$Z1606)</f>
        <v>1605</v>
      </c>
      <c r="B1606" s="62" t="n">
        <f aca="false">IF(ISNUMBER($AB1606),$AB1606,IF(MID($AB1606,5,1)="-",DATE(VALUE(LEFT($AB1606,4)),VALUE(MID($AB1606,6,2)),VALUE(RIGHT($AB1606,2))),DATE(VALUE(RIGHT($AB1606,4)),VALUE(MID($AB1606,4,2)),VALUE(LEFT($AB1606,2)))))</f>
        <v>45781</v>
      </c>
      <c r="C1606" s="61" t="n">
        <f aca="false">YEAR($B1606)</f>
        <v>2025</v>
      </c>
      <c r="D1606" s="61" t="str">
        <f aca="false">"Q"&amp;ROUNDUP(MONTH($B1606)/3,0)</f>
        <v>Q2</v>
      </c>
      <c r="E1606" s="61" t="n">
        <f aca="false">MONTH($B1606)</f>
        <v>5</v>
      </c>
      <c r="F1606" s="61" t="str">
        <f aca="false">INDEX(Parametros!$I$5:$I$16,$E1606)</f>
        <v>May</v>
      </c>
      <c r="G1606" s="61" t="str">
        <f aca="false">TEXT($C1606,"0000")&amp;"-"&amp;TEXT($E1606,"00")</f>
        <v>2025-05</v>
      </c>
      <c r="H1606" s="61" t="str">
        <f aca="false">INDEX(Parametros!$C$71:$C$91,MATCH(TRIM(INDEX(Datos_Origen!$C$2:$C$2459,$Z1606)),Parametros!$B$71:$B$91,0))</f>
        <v>AMBA</v>
      </c>
      <c r="I1606" s="61" t="str">
        <f aca="false">IF(TRIM($AD1606)="",INDEX(Parametros!$I$20:$I$24,MATCH($H1606,Parametros!$H$20:$H$24,0)),TRIM($AD1606))</f>
        <v>Buenos Aires</v>
      </c>
      <c r="J1606" s="61" t="str">
        <f aca="false">INDEX(Parametros!$C$95:$C$106,MATCH(TRIM(INDEX(Datos_Origen!$E$2:$E$2459,$Z1606)),Parametros!$B$95:$B$106,0))</f>
        <v>Tienda fisica</v>
      </c>
      <c r="K1606" s="61" t="str">
        <f aca="false">INDEX(Parametros!$C$48:$C$67,MATCH(TRIM(INDEX(Datos_Origen!$F$2:$F$2459,$Z1606)),Parametros!$B$48:$B$67,0))</f>
        <v>Computacion</v>
      </c>
      <c r="L1606" s="61" t="str">
        <f aca="false">$K1606&amp;" "&amp;$C1606</f>
        <v>Computacion 2025</v>
      </c>
      <c r="M1606" s="61" t="str">
        <f aca="false">TRIM(INDEX(Datos_Origen!$G$2:$G$2459,$Z1606))</f>
        <v>PC Gamer Ryzen</v>
      </c>
      <c r="N1606" s="61" t="str">
        <f aca="false">$M1606&amp;" "&amp;$C1606</f>
        <v>PC Gamer Ryzen 2025</v>
      </c>
      <c r="O1606" s="63" t="n">
        <f aca="false">IF(ISTEXT($AC1606),VALUE($AC1606),$AC1606)</f>
        <v>20</v>
      </c>
      <c r="P1606" s="64" t="n">
        <f aca="false">INDEX(Datos_Origen!$I$2:$I$2459,$Z1606)</f>
        <v>1588.21</v>
      </c>
      <c r="Q1606" s="64" t="n">
        <f aca="false">INDEX(Datos_Origen!$J$2:$J$2459,$Z1606)</f>
        <v>1155.66</v>
      </c>
      <c r="R1606" s="65" t="n">
        <f aca="false">ROUND($O1606*$P1606,2)</f>
        <v>31764.2</v>
      </c>
      <c r="S1606" s="65" t="n">
        <f aca="false">ROUND($O1606*$Q1606,2)</f>
        <v>23113.2</v>
      </c>
      <c r="T1606" s="65" t="n">
        <f aca="false">ROUND($R1606*SUMIFS(Parametros!$E$28:$E$43,Parametros!$B$28:$B$43,$J1606,Parametros!$C$28:$C$43,$C1606,Parametros!$D$28:$D$43,$D1606),2)</f>
        <v>444.7</v>
      </c>
      <c r="U1606" s="65" t="n">
        <f aca="false">$R1606-$S1606-$T1606</f>
        <v>8206.3</v>
      </c>
      <c r="V1606" s="66" t="n">
        <f aca="false">IFERROR($U1606/$R1606,0)</f>
        <v>0.258350595953936</v>
      </c>
      <c r="W1606" s="67" t="str">
        <f aca="false">IF(AND($V1606&gt;=Parametros!$C$8,$R1606&gt;=Parametros!$C$12),"Alta rentabilidad",IF(OR($V1606&lt;Parametros!$C$11,$R1606&lt;Parametros!$C$13),"Revisar","Estandar"))</f>
        <v>Revisar</v>
      </c>
      <c r="X1606" s="67" t="str">
        <f aca="false">IF(AND($J1606="E-commerce",IFERROR($T1606/$R1606,0)&gt;Parametros!$C$14),"Alerta","OK")</f>
        <v>OK</v>
      </c>
      <c r="Y1606" s="61" t="str">
        <f aca="false">IF($R1606&gt;=Parametros!$C$12,"Alto",IF($R1606&lt;Parametros!$C$13,"Bajo","Medio"))</f>
        <v>Alto</v>
      </c>
      <c r="Z1606" s="61" t="n">
        <v>1433</v>
      </c>
      <c r="AA1606" s="61" t="str">
        <f aca="false">IF(MATCH($A1606,Datos_Origen!$A$2:$A$2459,0)=$Z1606,"OK","REVISAR")</f>
        <v>OK</v>
      </c>
      <c r="AB1606" s="62" t="n">
        <f aca="false">INDEX(Datos_Origen!$B$2:$B$2459,$Z1606)</f>
        <v>45781</v>
      </c>
      <c r="AC1606" s="61" t="n">
        <f aca="false">INDEX(Datos_Origen!$H$2:$H$2459,$Z1606)</f>
        <v>20</v>
      </c>
      <c r="AD1606" s="61" t="str">
        <f aca="false">INDEX(Datos_Origen!$D$2:$D$2459,$Z1606)&amp;""</f>
        <v/>
      </c>
    </row>
    <row r="1607" customFormat="false" ht="15" hidden="false" customHeight="false" outlineLevel="0" collapsed="false">
      <c r="A1607" s="61" t="n">
        <f aca="false">INDEX(Datos_Origen!$A$2:$A$2459,$Z1607)</f>
        <v>1606</v>
      </c>
      <c r="B1607" s="62" t="n">
        <f aca="false">IF(ISNUMBER($AB1607),$AB1607,IF(MID($AB1607,5,1)="-",DATE(VALUE(LEFT($AB1607,4)),VALUE(MID($AB1607,6,2)),VALUE(RIGHT($AB1607,2))),DATE(VALUE(RIGHT($AB1607,4)),VALUE(MID($AB1607,4,2)),VALUE(LEFT($AB1607,2)))))</f>
        <v>45788</v>
      </c>
      <c r="C1607" s="61" t="n">
        <f aca="false">YEAR($B1607)</f>
        <v>2025</v>
      </c>
      <c r="D1607" s="61" t="str">
        <f aca="false">"Q"&amp;ROUNDUP(MONTH($B1607)/3,0)</f>
        <v>Q2</v>
      </c>
      <c r="E1607" s="61" t="n">
        <f aca="false">MONTH($B1607)</f>
        <v>5</v>
      </c>
      <c r="F1607" s="61" t="str">
        <f aca="false">INDEX(Parametros!$I$5:$I$16,$E1607)</f>
        <v>May</v>
      </c>
      <c r="G1607" s="61" t="str">
        <f aca="false">TEXT($C1607,"0000")&amp;"-"&amp;TEXT($E1607,"00")</f>
        <v>2025-05</v>
      </c>
      <c r="H1607" s="61" t="str">
        <f aca="false">INDEX(Parametros!$C$71:$C$91,MATCH(TRIM(INDEX(Datos_Origen!$C$2:$C$2459,$Z1607)),Parametros!$B$71:$B$91,0))</f>
        <v>AMBA</v>
      </c>
      <c r="I1607" s="61" t="str">
        <f aca="false">IF(TRIM($AD1607)="",INDEX(Parametros!$I$20:$I$24,MATCH($H1607,Parametros!$H$20:$H$24,0)),TRIM($AD1607))</f>
        <v>Buenos Aires</v>
      </c>
      <c r="J1607" s="61" t="str">
        <f aca="false">INDEX(Parametros!$C$95:$C$106,MATCH(TRIM(INDEX(Datos_Origen!$E$2:$E$2459,$Z1607)),Parametros!$B$95:$B$106,0))</f>
        <v>E-commerce</v>
      </c>
      <c r="K1607" s="61" t="str">
        <f aca="false">INDEX(Parametros!$C$48:$C$67,MATCH(TRIM(INDEX(Datos_Origen!$F$2:$F$2459,$Z1607)),Parametros!$B$48:$B$67,0))</f>
        <v>Computacion</v>
      </c>
      <c r="L1607" s="61" t="str">
        <f aca="false">$K1607&amp;" "&amp;$C1607</f>
        <v>Computacion 2025</v>
      </c>
      <c r="M1607" s="61" t="str">
        <f aca="false">TRIM(INDEX(Datos_Origen!$G$2:$G$2459,$Z1607))</f>
        <v>PC Gamer Ryzen</v>
      </c>
      <c r="N1607" s="61" t="str">
        <f aca="false">$M1607&amp;" "&amp;$C1607</f>
        <v>PC Gamer Ryzen 2025</v>
      </c>
      <c r="O1607" s="63" t="n">
        <f aca="false">IF(ISTEXT($AC1607),VALUE($AC1607),$AC1607)</f>
        <v>13</v>
      </c>
      <c r="P1607" s="64" t="n">
        <f aca="false">INDEX(Datos_Origen!$I$2:$I$2459,$Z1607)</f>
        <v>1588.21</v>
      </c>
      <c r="Q1607" s="64" t="n">
        <f aca="false">INDEX(Datos_Origen!$J$2:$J$2459,$Z1607)</f>
        <v>1155.66</v>
      </c>
      <c r="R1607" s="65" t="n">
        <f aca="false">ROUND($O1607*$P1607,2)</f>
        <v>20646.73</v>
      </c>
      <c r="S1607" s="65" t="n">
        <f aca="false">ROUND($O1607*$Q1607,2)</f>
        <v>15023.58</v>
      </c>
      <c r="T1607" s="65" t="n">
        <f aca="false">ROUND($R1607*SUMIFS(Parametros!$E$28:$E$43,Parametros!$B$28:$B$43,$J1607,Parametros!$C$28:$C$43,$C1607,Parametros!$D$28:$D$43,$D1607),2)</f>
        <v>1527.86</v>
      </c>
      <c r="U1607" s="65" t="n">
        <f aca="false">$R1607-$S1607-$T1607</f>
        <v>4095.29</v>
      </c>
      <c r="V1607" s="66" t="n">
        <f aca="false">IFERROR($U1607/$R1607,0)</f>
        <v>0.198350537833352</v>
      </c>
      <c r="W1607" s="67" t="str">
        <f aca="false">IF(AND($V1607&gt;=Parametros!$C$8,$R1607&gt;=Parametros!$C$12),"Alta rentabilidad",IF(OR($V1607&lt;Parametros!$C$11,$R1607&lt;Parametros!$C$13),"Revisar","Estandar"))</f>
        <v>Revisar</v>
      </c>
      <c r="X1607" s="67" t="str">
        <f aca="false">IF(AND($J1607="E-commerce",IFERROR($T1607/$R1607,0)&gt;Parametros!$C$14),"Alerta","OK")</f>
        <v>Alerta</v>
      </c>
      <c r="Y1607" s="61" t="str">
        <f aca="false">IF($R1607&gt;=Parametros!$C$12,"Alto",IF($R1607&lt;Parametros!$C$13,"Bajo","Medio"))</f>
        <v>Alto</v>
      </c>
      <c r="Z1607" s="61" t="n">
        <v>1640</v>
      </c>
      <c r="AA1607" s="61" t="str">
        <f aca="false">IF(MATCH($A1607,Datos_Origen!$A$2:$A$2459,0)=$Z1607,"OK","REVISAR")</f>
        <v>OK</v>
      </c>
      <c r="AB1607" s="61" t="str">
        <f aca="false">INDEX(Datos_Origen!$B$2:$B$2459,$Z1607)</f>
        <v>11/05/2025</v>
      </c>
      <c r="AC1607" s="61" t="n">
        <f aca="false">INDEX(Datos_Origen!$H$2:$H$2459,$Z1607)</f>
        <v>13</v>
      </c>
      <c r="AD1607" s="61" t="str">
        <f aca="false">INDEX(Datos_Origen!$D$2:$D$2459,$Z1607)&amp;""</f>
        <v>Buenos Aires</v>
      </c>
    </row>
    <row r="1608" customFormat="false" ht="15" hidden="false" customHeight="false" outlineLevel="0" collapsed="false">
      <c r="A1608" s="61" t="n">
        <f aca="false">INDEX(Datos_Origen!$A$2:$A$2459,$Z1608)</f>
        <v>1607</v>
      </c>
      <c r="B1608" s="62" t="n">
        <f aca="false">IF(ISNUMBER($AB1608),$AB1608,IF(MID($AB1608,5,1)="-",DATE(VALUE(LEFT($AB1608,4)),VALUE(MID($AB1608,6,2)),VALUE(RIGHT($AB1608,2))),DATE(VALUE(RIGHT($AB1608,4)),VALUE(MID($AB1608,4,2)),VALUE(LEFT($AB1608,2)))))</f>
        <v>45795</v>
      </c>
      <c r="C1608" s="61" t="n">
        <f aca="false">YEAR($B1608)</f>
        <v>2025</v>
      </c>
      <c r="D1608" s="61" t="str">
        <f aca="false">"Q"&amp;ROUNDUP(MONTH($B1608)/3,0)</f>
        <v>Q2</v>
      </c>
      <c r="E1608" s="61" t="n">
        <f aca="false">MONTH($B1608)</f>
        <v>5</v>
      </c>
      <c r="F1608" s="61" t="str">
        <f aca="false">INDEX(Parametros!$I$5:$I$16,$E1608)</f>
        <v>May</v>
      </c>
      <c r="G1608" s="61" t="str">
        <f aca="false">TEXT($C1608,"0000")&amp;"-"&amp;TEXT($E1608,"00")</f>
        <v>2025-05</v>
      </c>
      <c r="H1608" s="61" t="str">
        <f aca="false">INDEX(Parametros!$C$71:$C$91,MATCH(TRIM(INDEX(Datos_Origen!$C$2:$C$2459,$Z1608)),Parametros!$B$71:$B$91,0))</f>
        <v>AMBA</v>
      </c>
      <c r="I1608" s="61" t="str">
        <f aca="false">IF(TRIM($AD1608)="",INDEX(Parametros!$I$20:$I$24,MATCH($H1608,Parametros!$H$20:$H$24,0)),TRIM($AD1608))</f>
        <v>Buenos Aires</v>
      </c>
      <c r="J1608" s="61" t="str">
        <f aca="false">INDEX(Parametros!$C$95:$C$106,MATCH(TRIM(INDEX(Datos_Origen!$E$2:$E$2459,$Z1608)),Parametros!$B$95:$B$106,0))</f>
        <v>Tienda fisica</v>
      </c>
      <c r="K1608" s="61" t="str">
        <f aca="false">INDEX(Parametros!$C$48:$C$67,MATCH(TRIM(INDEX(Datos_Origen!$F$2:$F$2459,$Z1608)),Parametros!$B$48:$B$67,0))</f>
        <v>Accesorios</v>
      </c>
      <c r="L1608" s="61" t="str">
        <f aca="false">$K1608&amp;" "&amp;$C1608</f>
        <v>Accesorios 2025</v>
      </c>
      <c r="M1608" s="61" t="str">
        <f aca="false">TRIM(INDEX(Datos_Origen!$G$2:$G$2459,$Z1608))</f>
        <v>Mouse Inalambrico</v>
      </c>
      <c r="N1608" s="61" t="str">
        <f aca="false">$M1608&amp;" "&amp;$C1608</f>
        <v>Mouse Inalambrico 2025</v>
      </c>
      <c r="O1608" s="63" t="n">
        <f aca="false">IF(ISTEXT($AC1608),VALUE($AC1608),$AC1608)</f>
        <v>106</v>
      </c>
      <c r="P1608" s="64" t="n">
        <f aca="false">INDEX(Datos_Origen!$I$2:$I$2459,$Z1608)</f>
        <v>27.82</v>
      </c>
      <c r="Q1608" s="64" t="n">
        <f aca="false">INDEX(Datos_Origen!$J$2:$J$2459,$Z1608)</f>
        <v>13.84</v>
      </c>
      <c r="R1608" s="65" t="n">
        <f aca="false">ROUND($O1608*$P1608,2)</f>
        <v>2948.92</v>
      </c>
      <c r="S1608" s="65" t="n">
        <f aca="false">ROUND($O1608*$Q1608,2)</f>
        <v>1467.04</v>
      </c>
      <c r="T1608" s="65" t="n">
        <f aca="false">ROUND($R1608*SUMIFS(Parametros!$E$28:$E$43,Parametros!$B$28:$B$43,$J1608,Parametros!$C$28:$C$43,$C1608,Parametros!$D$28:$D$43,$D1608),2)</f>
        <v>41.28</v>
      </c>
      <c r="U1608" s="65" t="n">
        <f aca="false">$R1608-$S1608-$T1608</f>
        <v>1440.6</v>
      </c>
      <c r="V1608" s="66" t="n">
        <f aca="false">IFERROR($U1608/$R1608,0)</f>
        <v>0.488517830256501</v>
      </c>
      <c r="W1608" s="67" t="str">
        <f aca="false">IF(AND($V1608&gt;=Parametros!$C$8,$R1608&gt;=Parametros!$C$12),"Alta rentabilidad",IF(OR($V1608&lt;Parametros!$C$11,$R1608&lt;Parametros!$C$13),"Revisar","Estandar"))</f>
        <v>Estandar</v>
      </c>
      <c r="X1608" s="67" t="str">
        <f aca="false">IF(AND($J1608="E-commerce",IFERROR($T1608/$R1608,0)&gt;Parametros!$C$14),"Alerta","OK")</f>
        <v>OK</v>
      </c>
      <c r="Y1608" s="61" t="str">
        <f aca="false">IF($R1608&gt;=Parametros!$C$12,"Alto",IF($R1608&lt;Parametros!$C$13,"Bajo","Medio"))</f>
        <v>Medio</v>
      </c>
      <c r="Z1608" s="61" t="n">
        <v>933</v>
      </c>
      <c r="AA1608" s="61" t="str">
        <f aca="false">IF(MATCH($A1608,Datos_Origen!$A$2:$A$2459,0)=$Z1608,"OK","REVISAR")</f>
        <v>OK</v>
      </c>
      <c r="AB1608" s="62" t="n">
        <f aca="false">INDEX(Datos_Origen!$B$2:$B$2459,$Z1608)</f>
        <v>45795</v>
      </c>
      <c r="AC1608" s="61" t="n">
        <f aca="false">INDEX(Datos_Origen!$H$2:$H$2459,$Z1608)</f>
        <v>106</v>
      </c>
      <c r="AD1608" s="61" t="str">
        <f aca="false">INDEX(Datos_Origen!$D$2:$D$2459,$Z1608)&amp;""</f>
        <v>Buenos Aires</v>
      </c>
    </row>
    <row r="1609" customFormat="false" ht="15" hidden="false" customHeight="false" outlineLevel="0" collapsed="false">
      <c r="A1609" s="61" t="n">
        <f aca="false">INDEX(Datos_Origen!$A$2:$A$2459,$Z1609)</f>
        <v>1608</v>
      </c>
      <c r="B1609" s="62" t="n">
        <f aca="false">IF(ISNUMBER($AB1609),$AB1609,IF(MID($AB1609,5,1)="-",DATE(VALUE(LEFT($AB1609,4)),VALUE(MID($AB1609,6,2)),VALUE(RIGHT($AB1609,2))),DATE(VALUE(RIGHT($AB1609,4)),VALUE(MID($AB1609,4,2)),VALUE(LEFT($AB1609,2)))))</f>
        <v>45802</v>
      </c>
      <c r="C1609" s="61" t="n">
        <f aca="false">YEAR($B1609)</f>
        <v>2025</v>
      </c>
      <c r="D1609" s="61" t="str">
        <f aca="false">"Q"&amp;ROUNDUP(MONTH($B1609)/3,0)</f>
        <v>Q2</v>
      </c>
      <c r="E1609" s="61" t="n">
        <f aca="false">MONTH($B1609)</f>
        <v>5</v>
      </c>
      <c r="F1609" s="61" t="str">
        <f aca="false">INDEX(Parametros!$I$5:$I$16,$E1609)</f>
        <v>May</v>
      </c>
      <c r="G1609" s="61" t="str">
        <f aca="false">TEXT($C1609,"0000")&amp;"-"&amp;TEXT($E1609,"00")</f>
        <v>2025-05</v>
      </c>
      <c r="H1609" s="61" t="str">
        <f aca="false">INDEX(Parametros!$C$71:$C$91,MATCH(TRIM(INDEX(Datos_Origen!$C$2:$C$2459,$Z1609)),Parametros!$B$71:$B$91,0))</f>
        <v>AMBA</v>
      </c>
      <c r="I1609" s="61" t="str">
        <f aca="false">IF(TRIM($AD1609)="",INDEX(Parametros!$I$20:$I$24,MATCH($H1609,Parametros!$H$20:$H$24,0)),TRIM($AD1609))</f>
        <v>Buenos Aires</v>
      </c>
      <c r="J1609" s="61" t="str">
        <f aca="false">INDEX(Parametros!$C$95:$C$106,MATCH(TRIM(INDEX(Datos_Origen!$E$2:$E$2459,$Z1609)),Parametros!$B$95:$B$106,0))</f>
        <v>E-commerce</v>
      </c>
      <c r="K1609" s="61" t="str">
        <f aca="false">INDEX(Parametros!$C$48:$C$67,MATCH(TRIM(INDEX(Datos_Origen!$F$2:$F$2459,$Z1609)),Parametros!$B$48:$B$67,0))</f>
        <v>Accesorios</v>
      </c>
      <c r="L1609" s="61" t="str">
        <f aca="false">$K1609&amp;" "&amp;$C1609</f>
        <v>Accesorios 2025</v>
      </c>
      <c r="M1609" s="61" t="str">
        <f aca="false">TRIM(INDEX(Datos_Origen!$G$2:$G$2459,$Z1609))</f>
        <v>Mouse Inalambrico</v>
      </c>
      <c r="N1609" s="61" t="str">
        <f aca="false">$M1609&amp;" "&amp;$C1609</f>
        <v>Mouse Inalambrico 2025</v>
      </c>
      <c r="O1609" s="63" t="n">
        <f aca="false">IF(ISTEXT($AC1609),VALUE($AC1609),$AC1609)</f>
        <v>61</v>
      </c>
      <c r="P1609" s="64" t="n">
        <f aca="false">INDEX(Datos_Origen!$I$2:$I$2459,$Z1609)</f>
        <v>27.82</v>
      </c>
      <c r="Q1609" s="64" t="n">
        <f aca="false">INDEX(Datos_Origen!$J$2:$J$2459,$Z1609)</f>
        <v>13.84</v>
      </c>
      <c r="R1609" s="65" t="n">
        <f aca="false">ROUND($O1609*$P1609,2)</f>
        <v>1697.02</v>
      </c>
      <c r="S1609" s="65" t="n">
        <f aca="false">ROUND($O1609*$Q1609,2)</f>
        <v>844.24</v>
      </c>
      <c r="T1609" s="65" t="n">
        <f aca="false">ROUND($R1609*SUMIFS(Parametros!$E$28:$E$43,Parametros!$B$28:$B$43,$J1609,Parametros!$C$28:$C$43,$C1609,Parametros!$D$28:$D$43,$D1609),2)</f>
        <v>125.58</v>
      </c>
      <c r="U1609" s="65" t="n">
        <f aca="false">$R1609-$S1609-$T1609</f>
        <v>727.2</v>
      </c>
      <c r="V1609" s="66" t="n">
        <f aca="false">IFERROR($U1609/$R1609,0)</f>
        <v>0.428515868993883</v>
      </c>
      <c r="W1609" s="67" t="str">
        <f aca="false">IF(AND($V1609&gt;=Parametros!$C$8,$R1609&gt;=Parametros!$C$12),"Alta rentabilidad",IF(OR($V1609&lt;Parametros!$C$11,$R1609&lt;Parametros!$C$13),"Revisar","Estandar"))</f>
        <v>Estandar</v>
      </c>
      <c r="X1609" s="67" t="str">
        <f aca="false">IF(AND($J1609="E-commerce",IFERROR($T1609/$R1609,0)&gt;Parametros!$C$14),"Alerta","OK")</f>
        <v>Alerta</v>
      </c>
      <c r="Y1609" s="61" t="str">
        <f aca="false">IF($R1609&gt;=Parametros!$C$12,"Alto",IF($R1609&lt;Parametros!$C$13,"Bajo","Medio"))</f>
        <v>Medio</v>
      </c>
      <c r="Z1609" s="61" t="n">
        <v>2296</v>
      </c>
      <c r="AA1609" s="61" t="str">
        <f aca="false">IF(MATCH($A1609,Datos_Origen!$A$2:$A$2459,0)=$Z1609,"OK","REVISAR")</f>
        <v>OK</v>
      </c>
      <c r="AB1609" s="61" t="str">
        <f aca="false">INDEX(Datos_Origen!$B$2:$B$2459,$Z1609)</f>
        <v>2025-05-25</v>
      </c>
      <c r="AC1609" s="61" t="n">
        <f aca="false">INDEX(Datos_Origen!$H$2:$H$2459,$Z1609)</f>
        <v>61</v>
      </c>
      <c r="AD1609" s="61" t="str">
        <f aca="false">INDEX(Datos_Origen!$D$2:$D$2459,$Z1609)&amp;""</f>
        <v>Buenos Aires</v>
      </c>
    </row>
    <row r="1610" customFormat="false" ht="15" hidden="false" customHeight="false" outlineLevel="0" collapsed="false">
      <c r="A1610" s="61" t="n">
        <f aca="false">INDEX(Datos_Origen!$A$2:$A$2459,$Z1610)</f>
        <v>1609</v>
      </c>
      <c r="B1610" s="62" t="n">
        <f aca="false">IF(ISNUMBER($AB1610),$AB1610,IF(MID($AB1610,5,1)="-",DATE(VALUE(LEFT($AB1610,4)),VALUE(MID($AB1610,6,2)),VALUE(RIGHT($AB1610,2))),DATE(VALUE(RIGHT($AB1610,4)),VALUE(MID($AB1610,4,2)),VALUE(LEFT($AB1610,2)))))</f>
        <v>45782</v>
      </c>
      <c r="C1610" s="61" t="n">
        <f aca="false">YEAR($B1610)</f>
        <v>2025</v>
      </c>
      <c r="D1610" s="61" t="str">
        <f aca="false">"Q"&amp;ROUNDUP(MONTH($B1610)/3,0)</f>
        <v>Q2</v>
      </c>
      <c r="E1610" s="61" t="n">
        <f aca="false">MONTH($B1610)</f>
        <v>5</v>
      </c>
      <c r="F1610" s="61" t="str">
        <f aca="false">INDEX(Parametros!$I$5:$I$16,$E1610)</f>
        <v>May</v>
      </c>
      <c r="G1610" s="61" t="str">
        <f aca="false">TEXT($C1610,"0000")&amp;"-"&amp;TEXT($E1610,"00")</f>
        <v>2025-05</v>
      </c>
      <c r="H1610" s="61" t="str">
        <f aca="false">INDEX(Parametros!$C$71:$C$91,MATCH(TRIM(INDEX(Datos_Origen!$C$2:$C$2459,$Z1610)),Parametros!$B$71:$B$91,0))</f>
        <v>AMBA</v>
      </c>
      <c r="I1610" s="61" t="str">
        <f aca="false">IF(TRIM($AD1610)="",INDEX(Parametros!$I$20:$I$24,MATCH($H1610,Parametros!$H$20:$H$24,0)),TRIM($AD1610))</f>
        <v>Buenos Aires</v>
      </c>
      <c r="J1610" s="61" t="str">
        <f aca="false">INDEX(Parametros!$C$95:$C$106,MATCH(TRIM(INDEX(Datos_Origen!$E$2:$E$2459,$Z1610)),Parametros!$B$95:$B$106,0))</f>
        <v>Tienda fisica</v>
      </c>
      <c r="K1610" s="61" t="str">
        <f aca="false">INDEX(Parametros!$C$48:$C$67,MATCH(TRIM(INDEX(Datos_Origen!$F$2:$F$2459,$Z1610)),Parametros!$B$48:$B$67,0))</f>
        <v>Accesorios</v>
      </c>
      <c r="L1610" s="61" t="str">
        <f aca="false">$K1610&amp;" "&amp;$C1610</f>
        <v>Accesorios 2025</v>
      </c>
      <c r="M1610" s="61" t="str">
        <f aca="false">TRIM(INDEX(Datos_Origen!$G$2:$G$2459,$Z1610))</f>
        <v>Teclado Mecanico</v>
      </c>
      <c r="N1610" s="61" t="str">
        <f aca="false">$M1610&amp;" "&amp;$C1610</f>
        <v>Teclado Mecanico 2025</v>
      </c>
      <c r="O1610" s="63" t="n">
        <f aca="false">IF(ISTEXT($AC1610),VALUE($AC1610),$AC1610)</f>
        <v>83</v>
      </c>
      <c r="P1610" s="64" t="n">
        <f aca="false">INDEX(Datos_Origen!$I$2:$I$2459,$Z1610)</f>
        <v>94.39</v>
      </c>
      <c r="Q1610" s="64" t="n">
        <f aca="false">INDEX(Datos_Origen!$J$2:$J$2459,$Z1610)</f>
        <v>49.41</v>
      </c>
      <c r="R1610" s="65" t="n">
        <f aca="false">ROUND($O1610*$P1610,2)</f>
        <v>7834.37</v>
      </c>
      <c r="S1610" s="65" t="n">
        <f aca="false">ROUND($O1610*$Q1610,2)</f>
        <v>4101.03</v>
      </c>
      <c r="T1610" s="65" t="n">
        <f aca="false">ROUND($R1610*SUMIFS(Parametros!$E$28:$E$43,Parametros!$B$28:$B$43,$J1610,Parametros!$C$28:$C$43,$C1610,Parametros!$D$28:$D$43,$D1610),2)</f>
        <v>109.68</v>
      </c>
      <c r="U1610" s="65" t="n">
        <f aca="false">$R1610-$S1610-$T1610</f>
        <v>3623.66</v>
      </c>
      <c r="V1610" s="66" t="n">
        <f aca="false">IFERROR($U1610/$R1610,0)</f>
        <v>0.462533681712761</v>
      </c>
      <c r="W1610" s="67" t="str">
        <f aca="false">IF(AND($V1610&gt;=Parametros!$C$8,$R1610&gt;=Parametros!$C$12),"Alta rentabilidad",IF(OR($V1610&lt;Parametros!$C$11,$R1610&lt;Parametros!$C$13),"Revisar","Estandar"))</f>
        <v>Alta rentabilidad</v>
      </c>
      <c r="X1610" s="67" t="str">
        <f aca="false">IF(AND($J1610="E-commerce",IFERROR($T1610/$R1610,0)&gt;Parametros!$C$14),"Alerta","OK")</f>
        <v>OK</v>
      </c>
      <c r="Y1610" s="61" t="str">
        <f aca="false">IF($R1610&gt;=Parametros!$C$12,"Alto",IF($R1610&lt;Parametros!$C$13,"Bajo","Medio"))</f>
        <v>Alto</v>
      </c>
      <c r="Z1610" s="61" t="n">
        <v>750</v>
      </c>
      <c r="AA1610" s="61" t="str">
        <f aca="false">IF(MATCH($A1610,Datos_Origen!$A$2:$A$2459,0)=$Z1610,"OK","REVISAR")</f>
        <v>OK</v>
      </c>
      <c r="AB1610" s="61" t="str">
        <f aca="false">INDEX(Datos_Origen!$B$2:$B$2459,$Z1610)</f>
        <v>05/05/2025</v>
      </c>
      <c r="AC1610" s="61" t="n">
        <f aca="false">INDEX(Datos_Origen!$H$2:$H$2459,$Z1610)</f>
        <v>83</v>
      </c>
      <c r="AD1610" s="61" t="str">
        <f aca="false">INDEX(Datos_Origen!$D$2:$D$2459,$Z1610)&amp;""</f>
        <v>Buenos Aires</v>
      </c>
    </row>
    <row r="1611" customFormat="false" ht="15" hidden="false" customHeight="false" outlineLevel="0" collapsed="false">
      <c r="A1611" s="61" t="n">
        <f aca="false">INDEX(Datos_Origen!$A$2:$A$2459,$Z1611)</f>
        <v>1610</v>
      </c>
      <c r="B1611" s="62" t="n">
        <f aca="false">IF(ISNUMBER($AB1611),$AB1611,IF(MID($AB1611,5,1)="-",DATE(VALUE(LEFT($AB1611,4)),VALUE(MID($AB1611,6,2)),VALUE(RIGHT($AB1611,2))),DATE(VALUE(RIGHT($AB1611,4)),VALUE(MID($AB1611,4,2)),VALUE(LEFT($AB1611,2)))))</f>
        <v>45789</v>
      </c>
      <c r="C1611" s="61" t="n">
        <f aca="false">YEAR($B1611)</f>
        <v>2025</v>
      </c>
      <c r="D1611" s="61" t="str">
        <f aca="false">"Q"&amp;ROUNDUP(MONTH($B1611)/3,0)</f>
        <v>Q2</v>
      </c>
      <c r="E1611" s="61" t="n">
        <f aca="false">MONTH($B1611)</f>
        <v>5</v>
      </c>
      <c r="F1611" s="61" t="str">
        <f aca="false">INDEX(Parametros!$I$5:$I$16,$E1611)</f>
        <v>May</v>
      </c>
      <c r="G1611" s="61" t="str">
        <f aca="false">TEXT($C1611,"0000")&amp;"-"&amp;TEXT($E1611,"00")</f>
        <v>2025-05</v>
      </c>
      <c r="H1611" s="61" t="str">
        <f aca="false">INDEX(Parametros!$C$71:$C$91,MATCH(TRIM(INDEX(Datos_Origen!$C$2:$C$2459,$Z1611)),Parametros!$B$71:$B$91,0))</f>
        <v>AMBA</v>
      </c>
      <c r="I1611" s="61" t="str">
        <f aca="false">IF(TRIM($AD1611)="",INDEX(Parametros!$I$20:$I$24,MATCH($H1611,Parametros!$H$20:$H$24,0)),TRIM($AD1611))</f>
        <v>Buenos Aires</v>
      </c>
      <c r="J1611" s="61" t="str">
        <f aca="false">INDEX(Parametros!$C$95:$C$106,MATCH(TRIM(INDEX(Datos_Origen!$E$2:$E$2459,$Z1611)),Parametros!$B$95:$B$106,0))</f>
        <v>E-commerce</v>
      </c>
      <c r="K1611" s="61" t="str">
        <f aca="false">INDEX(Parametros!$C$48:$C$67,MATCH(TRIM(INDEX(Datos_Origen!$F$2:$F$2459,$Z1611)),Parametros!$B$48:$B$67,0))</f>
        <v>Accesorios</v>
      </c>
      <c r="L1611" s="61" t="str">
        <f aca="false">$K1611&amp;" "&amp;$C1611</f>
        <v>Accesorios 2025</v>
      </c>
      <c r="M1611" s="61" t="str">
        <f aca="false">TRIM(INDEX(Datos_Origen!$G$2:$G$2459,$Z1611))</f>
        <v>Teclado Mecanico</v>
      </c>
      <c r="N1611" s="61" t="str">
        <f aca="false">$M1611&amp;" "&amp;$C1611</f>
        <v>Teclado Mecanico 2025</v>
      </c>
      <c r="O1611" s="63" t="n">
        <f aca="false">IF(ISTEXT($AC1611),VALUE($AC1611),$AC1611)</f>
        <v>71</v>
      </c>
      <c r="P1611" s="64" t="n">
        <f aca="false">INDEX(Datos_Origen!$I$2:$I$2459,$Z1611)</f>
        <v>94.39</v>
      </c>
      <c r="Q1611" s="64" t="n">
        <f aca="false">INDEX(Datos_Origen!$J$2:$J$2459,$Z1611)</f>
        <v>49.41</v>
      </c>
      <c r="R1611" s="65" t="n">
        <f aca="false">ROUND($O1611*$P1611,2)</f>
        <v>6701.69</v>
      </c>
      <c r="S1611" s="65" t="n">
        <f aca="false">ROUND($O1611*$Q1611,2)</f>
        <v>3508.11</v>
      </c>
      <c r="T1611" s="65" t="n">
        <f aca="false">ROUND($R1611*SUMIFS(Parametros!$E$28:$E$43,Parametros!$B$28:$B$43,$J1611,Parametros!$C$28:$C$43,$C1611,Parametros!$D$28:$D$43,$D1611),2)</f>
        <v>495.93</v>
      </c>
      <c r="U1611" s="65" t="n">
        <f aca="false">$R1611-$S1611-$T1611</f>
        <v>2697.65</v>
      </c>
      <c r="V1611" s="66" t="n">
        <f aca="false">IFERROR($U1611/$R1611,0)</f>
        <v>0.402532793966895</v>
      </c>
      <c r="W1611" s="67" t="str">
        <f aca="false">IF(AND($V1611&gt;=Parametros!$C$8,$R1611&gt;=Parametros!$C$12),"Alta rentabilidad",IF(OR($V1611&lt;Parametros!$C$11,$R1611&lt;Parametros!$C$13),"Revisar","Estandar"))</f>
        <v>Alta rentabilidad</v>
      </c>
      <c r="X1611" s="67" t="str">
        <f aca="false">IF(AND($J1611="E-commerce",IFERROR($T1611/$R1611,0)&gt;Parametros!$C$14),"Alerta","OK")</f>
        <v>Alerta</v>
      </c>
      <c r="Y1611" s="61" t="str">
        <f aca="false">IF($R1611&gt;=Parametros!$C$12,"Alto",IF($R1611&lt;Parametros!$C$13,"Bajo","Medio"))</f>
        <v>Alto</v>
      </c>
      <c r="Z1611" s="61" t="n">
        <v>484</v>
      </c>
      <c r="AA1611" s="61" t="str">
        <f aca="false">IF(MATCH($A1611,Datos_Origen!$A$2:$A$2459,0)=$Z1611,"OK","REVISAR")</f>
        <v>OK</v>
      </c>
      <c r="AB1611" s="62" t="n">
        <f aca="false">INDEX(Datos_Origen!$B$2:$B$2459,$Z1611)</f>
        <v>45789</v>
      </c>
      <c r="AC1611" s="61" t="n">
        <f aca="false">INDEX(Datos_Origen!$H$2:$H$2459,$Z1611)</f>
        <v>71</v>
      </c>
      <c r="AD1611" s="61" t="str">
        <f aca="false">INDEX(Datos_Origen!$D$2:$D$2459,$Z1611)&amp;""</f>
        <v>Buenos Aires</v>
      </c>
    </row>
    <row r="1612" customFormat="false" ht="15" hidden="false" customHeight="false" outlineLevel="0" collapsed="false">
      <c r="A1612" s="61" t="n">
        <f aca="false">INDEX(Datos_Origen!$A$2:$A$2459,$Z1612)</f>
        <v>1611</v>
      </c>
      <c r="B1612" s="62" t="n">
        <f aca="false">IF(ISNUMBER($AB1612),$AB1612,IF(MID($AB1612,5,1)="-",DATE(VALUE(LEFT($AB1612,4)),VALUE(MID($AB1612,6,2)),VALUE(RIGHT($AB1612,2))),DATE(VALUE(RIGHT($AB1612,4)),VALUE(MID($AB1612,4,2)),VALUE(LEFT($AB1612,2)))))</f>
        <v>45796</v>
      </c>
      <c r="C1612" s="61" t="n">
        <f aca="false">YEAR($B1612)</f>
        <v>2025</v>
      </c>
      <c r="D1612" s="61" t="str">
        <f aca="false">"Q"&amp;ROUNDUP(MONTH($B1612)/3,0)</f>
        <v>Q2</v>
      </c>
      <c r="E1612" s="61" t="n">
        <f aca="false">MONTH($B1612)</f>
        <v>5</v>
      </c>
      <c r="F1612" s="61" t="str">
        <f aca="false">INDEX(Parametros!$I$5:$I$16,$E1612)</f>
        <v>May</v>
      </c>
      <c r="G1612" s="61" t="str">
        <f aca="false">TEXT($C1612,"0000")&amp;"-"&amp;TEXT($E1612,"00")</f>
        <v>2025-05</v>
      </c>
      <c r="H1612" s="61" t="str">
        <f aca="false">INDEX(Parametros!$C$71:$C$91,MATCH(TRIM(INDEX(Datos_Origen!$C$2:$C$2459,$Z1612)),Parametros!$B$71:$B$91,0))</f>
        <v>AMBA</v>
      </c>
      <c r="I1612" s="61" t="str">
        <f aca="false">IF(TRIM($AD1612)="",INDEX(Parametros!$I$20:$I$24,MATCH($H1612,Parametros!$H$20:$H$24,0)),TRIM($AD1612))</f>
        <v>Buenos Aires</v>
      </c>
      <c r="J1612" s="61" t="str">
        <f aca="false">INDEX(Parametros!$C$95:$C$106,MATCH(TRIM(INDEX(Datos_Origen!$E$2:$E$2459,$Z1612)),Parametros!$B$95:$B$106,0))</f>
        <v>Tienda fisica</v>
      </c>
      <c r="K1612" s="61" t="str">
        <f aca="false">INDEX(Parametros!$C$48:$C$67,MATCH(TRIM(INDEX(Datos_Origen!$F$2:$F$2459,$Z1612)),Parametros!$B$48:$B$67,0))</f>
        <v>Accesorios</v>
      </c>
      <c r="L1612" s="61" t="str">
        <f aca="false">$K1612&amp;" "&amp;$C1612</f>
        <v>Accesorios 2025</v>
      </c>
      <c r="M1612" s="61" t="str">
        <f aca="false">TRIM(INDEX(Datos_Origen!$G$2:$G$2459,$Z1612))</f>
        <v>Webcam Full HD</v>
      </c>
      <c r="N1612" s="61" t="str">
        <f aca="false">$M1612&amp;" "&amp;$C1612</f>
        <v>Webcam Full HD 2025</v>
      </c>
      <c r="O1612" s="63" t="n">
        <f aca="false">IF(ISTEXT($AC1612),VALUE($AC1612),$AC1612)</f>
        <v>77</v>
      </c>
      <c r="P1612" s="64" t="n">
        <f aca="false">INDEX(Datos_Origen!$I$2:$I$2459,$Z1612)</f>
        <v>64.58</v>
      </c>
      <c r="Q1612" s="64" t="n">
        <f aca="false">INDEX(Datos_Origen!$J$2:$J$2459,$Z1612)</f>
        <v>36.49</v>
      </c>
      <c r="R1612" s="65" t="n">
        <f aca="false">ROUND($O1612*$P1612,2)</f>
        <v>4972.66</v>
      </c>
      <c r="S1612" s="65" t="n">
        <f aca="false">ROUND($O1612*$Q1612,2)</f>
        <v>2809.73</v>
      </c>
      <c r="T1612" s="65" t="n">
        <f aca="false">ROUND($R1612*SUMIFS(Parametros!$E$28:$E$43,Parametros!$B$28:$B$43,$J1612,Parametros!$C$28:$C$43,$C1612,Parametros!$D$28:$D$43,$D1612),2)</f>
        <v>69.62</v>
      </c>
      <c r="U1612" s="65" t="n">
        <f aca="false">$R1612-$S1612-$T1612</f>
        <v>2093.31</v>
      </c>
      <c r="V1612" s="66" t="n">
        <f aca="false">IFERROR($U1612/$R1612,0)</f>
        <v>0.420963830223663</v>
      </c>
      <c r="W1612" s="67" t="str">
        <f aca="false">IF(AND($V1612&gt;=Parametros!$C$8,$R1612&gt;=Parametros!$C$12),"Alta rentabilidad",IF(OR($V1612&lt;Parametros!$C$11,$R1612&lt;Parametros!$C$13),"Revisar","Estandar"))</f>
        <v>Alta rentabilidad</v>
      </c>
      <c r="X1612" s="67" t="str">
        <f aca="false">IF(AND($J1612="E-commerce",IFERROR($T1612/$R1612,0)&gt;Parametros!$C$14),"Alerta","OK")</f>
        <v>OK</v>
      </c>
      <c r="Y1612" s="61" t="str">
        <f aca="false">IF($R1612&gt;=Parametros!$C$12,"Alto",IF($R1612&lt;Parametros!$C$13,"Bajo","Medio"))</f>
        <v>Alto</v>
      </c>
      <c r="Z1612" s="61" t="n">
        <v>717</v>
      </c>
      <c r="AA1612" s="61" t="str">
        <f aca="false">IF(MATCH($A1612,Datos_Origen!$A$2:$A$2459,0)=$Z1612,"OK","REVISAR")</f>
        <v>OK</v>
      </c>
      <c r="AB1612" s="62" t="n">
        <f aca="false">INDEX(Datos_Origen!$B$2:$B$2459,$Z1612)</f>
        <v>45796</v>
      </c>
      <c r="AC1612" s="61" t="n">
        <f aca="false">INDEX(Datos_Origen!$H$2:$H$2459,$Z1612)</f>
        <v>77</v>
      </c>
      <c r="AD1612" s="61" t="str">
        <f aca="false">INDEX(Datos_Origen!$D$2:$D$2459,$Z1612)&amp;""</f>
        <v/>
      </c>
    </row>
    <row r="1613" customFormat="false" ht="15" hidden="false" customHeight="false" outlineLevel="0" collapsed="false">
      <c r="A1613" s="61" t="n">
        <f aca="false">INDEX(Datos_Origen!$A$2:$A$2459,$Z1613)</f>
        <v>1612</v>
      </c>
      <c r="B1613" s="62" t="n">
        <f aca="false">IF(ISNUMBER($AB1613),$AB1613,IF(MID($AB1613,5,1)="-",DATE(VALUE(LEFT($AB1613,4)),VALUE(MID($AB1613,6,2)),VALUE(RIGHT($AB1613,2))),DATE(VALUE(RIGHT($AB1613,4)),VALUE(MID($AB1613,4,2)),VALUE(LEFT($AB1613,2)))))</f>
        <v>45803</v>
      </c>
      <c r="C1613" s="61" t="n">
        <f aca="false">YEAR($B1613)</f>
        <v>2025</v>
      </c>
      <c r="D1613" s="61" t="str">
        <f aca="false">"Q"&amp;ROUNDUP(MONTH($B1613)/3,0)</f>
        <v>Q2</v>
      </c>
      <c r="E1613" s="61" t="n">
        <f aca="false">MONTH($B1613)</f>
        <v>5</v>
      </c>
      <c r="F1613" s="61" t="str">
        <f aca="false">INDEX(Parametros!$I$5:$I$16,$E1613)</f>
        <v>May</v>
      </c>
      <c r="G1613" s="61" t="str">
        <f aca="false">TEXT($C1613,"0000")&amp;"-"&amp;TEXT($E1613,"00")</f>
        <v>2025-05</v>
      </c>
      <c r="H1613" s="61" t="str">
        <f aca="false">INDEX(Parametros!$C$71:$C$91,MATCH(TRIM(INDEX(Datos_Origen!$C$2:$C$2459,$Z1613)),Parametros!$B$71:$B$91,0))</f>
        <v>AMBA</v>
      </c>
      <c r="I1613" s="61" t="str">
        <f aca="false">IF(TRIM($AD1613)="",INDEX(Parametros!$I$20:$I$24,MATCH($H1613,Parametros!$H$20:$H$24,0)),TRIM($AD1613))</f>
        <v>Buenos Aires</v>
      </c>
      <c r="J1613" s="61" t="str">
        <f aca="false">INDEX(Parametros!$C$95:$C$106,MATCH(TRIM(INDEX(Datos_Origen!$E$2:$E$2459,$Z1613)),Parametros!$B$95:$B$106,0))</f>
        <v>E-commerce</v>
      </c>
      <c r="K1613" s="61" t="str">
        <f aca="false">INDEX(Parametros!$C$48:$C$67,MATCH(TRIM(INDEX(Datos_Origen!$F$2:$F$2459,$Z1613)),Parametros!$B$48:$B$67,0))</f>
        <v>Accesorios</v>
      </c>
      <c r="L1613" s="61" t="str">
        <f aca="false">$K1613&amp;" "&amp;$C1613</f>
        <v>Accesorios 2025</v>
      </c>
      <c r="M1613" s="61" t="str">
        <f aca="false">TRIM(INDEX(Datos_Origen!$G$2:$G$2459,$Z1613))</f>
        <v>Webcam Full HD</v>
      </c>
      <c r="N1613" s="61" t="str">
        <f aca="false">$M1613&amp;" "&amp;$C1613</f>
        <v>Webcam Full HD 2025</v>
      </c>
      <c r="O1613" s="63" t="n">
        <f aca="false">IF(ISTEXT($AC1613),VALUE($AC1613),$AC1613)</f>
        <v>72</v>
      </c>
      <c r="P1613" s="64" t="n">
        <f aca="false">INDEX(Datos_Origen!$I$2:$I$2459,$Z1613)</f>
        <v>64.58</v>
      </c>
      <c r="Q1613" s="64" t="n">
        <f aca="false">INDEX(Datos_Origen!$J$2:$J$2459,$Z1613)</f>
        <v>36.49</v>
      </c>
      <c r="R1613" s="65" t="n">
        <f aca="false">ROUND($O1613*$P1613,2)</f>
        <v>4649.76</v>
      </c>
      <c r="S1613" s="65" t="n">
        <f aca="false">ROUND($O1613*$Q1613,2)</f>
        <v>2627.28</v>
      </c>
      <c r="T1613" s="65" t="n">
        <f aca="false">ROUND($R1613*SUMIFS(Parametros!$E$28:$E$43,Parametros!$B$28:$B$43,$J1613,Parametros!$C$28:$C$43,$C1613,Parametros!$D$28:$D$43,$D1613),2)</f>
        <v>344.08</v>
      </c>
      <c r="U1613" s="65" t="n">
        <f aca="false">$R1613-$S1613-$T1613</f>
        <v>1678.4</v>
      </c>
      <c r="V1613" s="66" t="n">
        <f aca="false">IFERROR($U1613/$R1613,0)</f>
        <v>0.360964867003888</v>
      </c>
      <c r="W1613" s="67" t="str">
        <f aca="false">IF(AND($V1613&gt;=Parametros!$C$8,$R1613&gt;=Parametros!$C$12),"Alta rentabilidad",IF(OR($V1613&lt;Parametros!$C$11,$R1613&lt;Parametros!$C$13),"Revisar","Estandar"))</f>
        <v>Alta rentabilidad</v>
      </c>
      <c r="X1613" s="67" t="str">
        <f aca="false">IF(AND($J1613="E-commerce",IFERROR($T1613/$R1613,0)&gt;Parametros!$C$14),"Alerta","OK")</f>
        <v>Alerta</v>
      </c>
      <c r="Y1613" s="61" t="str">
        <f aca="false">IF($R1613&gt;=Parametros!$C$12,"Alto",IF($R1613&lt;Parametros!$C$13,"Bajo","Medio"))</f>
        <v>Alto</v>
      </c>
      <c r="Z1613" s="61" t="n">
        <v>858</v>
      </c>
      <c r="AA1613" s="61" t="str">
        <f aca="false">IF(MATCH($A1613,Datos_Origen!$A$2:$A$2459,0)=$Z1613,"OK","REVISAR")</f>
        <v>OK</v>
      </c>
      <c r="AB1613" s="62" t="n">
        <f aca="false">INDEX(Datos_Origen!$B$2:$B$2459,$Z1613)</f>
        <v>45803</v>
      </c>
      <c r="AC1613" s="61" t="n">
        <f aca="false">INDEX(Datos_Origen!$H$2:$H$2459,$Z1613)</f>
        <v>72</v>
      </c>
      <c r="AD1613" s="61" t="str">
        <f aca="false">INDEX(Datos_Origen!$D$2:$D$2459,$Z1613)&amp;""</f>
        <v>Buenos Aires</v>
      </c>
    </row>
    <row r="1614" customFormat="false" ht="15" hidden="false" customHeight="false" outlineLevel="0" collapsed="false">
      <c r="A1614" s="61" t="n">
        <f aca="false">INDEX(Datos_Origen!$A$2:$A$2459,$Z1614)</f>
        <v>1613</v>
      </c>
      <c r="B1614" s="62" t="n">
        <f aca="false">IF(ISNUMBER($AB1614),$AB1614,IF(MID($AB1614,5,1)="-",DATE(VALUE(LEFT($AB1614,4)),VALUE(MID($AB1614,6,2)),VALUE(RIGHT($AB1614,2))),DATE(VALUE(RIGHT($AB1614,4)),VALUE(MID($AB1614,4,2)),VALUE(LEFT($AB1614,2)))))</f>
        <v>45783</v>
      </c>
      <c r="C1614" s="61" t="n">
        <f aca="false">YEAR($B1614)</f>
        <v>2025</v>
      </c>
      <c r="D1614" s="61" t="str">
        <f aca="false">"Q"&amp;ROUNDUP(MONTH($B1614)/3,0)</f>
        <v>Q2</v>
      </c>
      <c r="E1614" s="61" t="n">
        <f aca="false">MONTH($B1614)</f>
        <v>5</v>
      </c>
      <c r="F1614" s="61" t="str">
        <f aca="false">INDEX(Parametros!$I$5:$I$16,$E1614)</f>
        <v>May</v>
      </c>
      <c r="G1614" s="61" t="str">
        <f aca="false">TEXT($C1614,"0000")&amp;"-"&amp;TEXT($E1614,"00")</f>
        <v>2025-05</v>
      </c>
      <c r="H1614" s="61" t="str">
        <f aca="false">INDEX(Parametros!$C$71:$C$91,MATCH(TRIM(INDEX(Datos_Origen!$C$2:$C$2459,$Z1614)),Parametros!$B$71:$B$91,0))</f>
        <v>AMBA</v>
      </c>
      <c r="I1614" s="61" t="str">
        <f aca="false">IF(TRIM($AD1614)="",INDEX(Parametros!$I$20:$I$24,MATCH($H1614,Parametros!$H$20:$H$24,0)),TRIM($AD1614))</f>
        <v>Buenos Aires</v>
      </c>
      <c r="J1614" s="61" t="str">
        <f aca="false">INDEX(Parametros!$C$95:$C$106,MATCH(TRIM(INDEX(Datos_Origen!$E$2:$E$2459,$Z1614)),Parametros!$B$95:$B$106,0))</f>
        <v>Tienda fisica</v>
      </c>
      <c r="K1614" s="61" t="str">
        <f aca="false">INDEX(Parametros!$C$48:$C$67,MATCH(TRIM(INDEX(Datos_Origen!$F$2:$F$2459,$Z1614)),Parametros!$B$48:$B$67,0))</f>
        <v>Audio</v>
      </c>
      <c r="L1614" s="61" t="str">
        <f aca="false">$K1614&amp;" "&amp;$C1614</f>
        <v>Audio 2025</v>
      </c>
      <c r="M1614" s="61" t="str">
        <f aca="false">TRIM(INDEX(Datos_Origen!$G$2:$G$2459,$Z1614))</f>
        <v>Auriculares BT Pro</v>
      </c>
      <c r="N1614" s="61" t="str">
        <f aca="false">$M1614&amp;" "&amp;$C1614</f>
        <v>Auriculares BT Pro 2025</v>
      </c>
      <c r="O1614" s="63" t="n">
        <f aca="false">IF(ISTEXT($AC1614),VALUE($AC1614),$AC1614)</f>
        <v>43</v>
      </c>
      <c r="P1614" s="64" t="n">
        <f aca="false">INDEX(Datos_Origen!$I$2:$I$2459,$Z1614)</f>
        <v>119.23</v>
      </c>
      <c r="Q1614" s="64" t="n">
        <f aca="false">INDEX(Datos_Origen!$J$2:$J$2459,$Z1614)</f>
        <v>65.51</v>
      </c>
      <c r="R1614" s="65" t="n">
        <f aca="false">ROUND($O1614*$P1614,2)</f>
        <v>5126.89</v>
      </c>
      <c r="S1614" s="65" t="n">
        <f aca="false">ROUND($O1614*$Q1614,2)</f>
        <v>2816.93</v>
      </c>
      <c r="T1614" s="65" t="n">
        <f aca="false">ROUND($R1614*SUMIFS(Parametros!$E$28:$E$43,Parametros!$B$28:$B$43,$J1614,Parametros!$C$28:$C$43,$C1614,Parametros!$D$28:$D$43,$D1614),2)</f>
        <v>71.78</v>
      </c>
      <c r="U1614" s="65" t="n">
        <f aca="false">$R1614-$S1614-$T1614</f>
        <v>2238.18</v>
      </c>
      <c r="V1614" s="66" t="n">
        <f aca="false">IFERROR($U1614/$R1614,0)</f>
        <v>0.436557055056769</v>
      </c>
      <c r="W1614" s="67" t="str">
        <f aca="false">IF(AND($V1614&gt;=Parametros!$C$8,$R1614&gt;=Parametros!$C$12),"Alta rentabilidad",IF(OR($V1614&lt;Parametros!$C$11,$R1614&lt;Parametros!$C$13),"Revisar","Estandar"))</f>
        <v>Alta rentabilidad</v>
      </c>
      <c r="X1614" s="67" t="str">
        <f aca="false">IF(AND($J1614="E-commerce",IFERROR($T1614/$R1614,0)&gt;Parametros!$C$14),"Alerta","OK")</f>
        <v>OK</v>
      </c>
      <c r="Y1614" s="61" t="str">
        <f aca="false">IF($R1614&gt;=Parametros!$C$12,"Alto",IF($R1614&lt;Parametros!$C$13,"Bajo","Medio"))</f>
        <v>Alto</v>
      </c>
      <c r="Z1614" s="61" t="n">
        <v>2455</v>
      </c>
      <c r="AA1614" s="61" t="str">
        <f aca="false">IF(MATCH($A1614,Datos_Origen!$A$2:$A$2459,0)=$Z1614,"OK","REVISAR")</f>
        <v>OK</v>
      </c>
      <c r="AB1614" s="62" t="n">
        <f aca="false">INDEX(Datos_Origen!$B$2:$B$2459,$Z1614)</f>
        <v>45783</v>
      </c>
      <c r="AC1614" s="61" t="n">
        <f aca="false">INDEX(Datos_Origen!$H$2:$H$2459,$Z1614)</f>
        <v>43</v>
      </c>
      <c r="AD1614" s="61" t="str">
        <f aca="false">INDEX(Datos_Origen!$D$2:$D$2459,$Z1614)&amp;""</f>
        <v/>
      </c>
    </row>
    <row r="1615" customFormat="false" ht="15" hidden="false" customHeight="false" outlineLevel="0" collapsed="false">
      <c r="A1615" s="61" t="n">
        <f aca="false">INDEX(Datos_Origen!$A$2:$A$2459,$Z1615)</f>
        <v>1614</v>
      </c>
      <c r="B1615" s="62" t="n">
        <f aca="false">IF(ISNUMBER($AB1615),$AB1615,IF(MID($AB1615,5,1)="-",DATE(VALUE(LEFT($AB1615,4)),VALUE(MID($AB1615,6,2)),VALUE(RIGHT($AB1615,2))),DATE(VALUE(RIGHT($AB1615,4)),VALUE(MID($AB1615,4,2)),VALUE(LEFT($AB1615,2)))))</f>
        <v>45790</v>
      </c>
      <c r="C1615" s="61" t="n">
        <f aca="false">YEAR($B1615)</f>
        <v>2025</v>
      </c>
      <c r="D1615" s="61" t="str">
        <f aca="false">"Q"&amp;ROUNDUP(MONTH($B1615)/3,0)</f>
        <v>Q2</v>
      </c>
      <c r="E1615" s="61" t="n">
        <f aca="false">MONTH($B1615)</f>
        <v>5</v>
      </c>
      <c r="F1615" s="61" t="str">
        <f aca="false">INDEX(Parametros!$I$5:$I$16,$E1615)</f>
        <v>May</v>
      </c>
      <c r="G1615" s="61" t="str">
        <f aca="false">TEXT($C1615,"0000")&amp;"-"&amp;TEXT($E1615,"00")</f>
        <v>2025-05</v>
      </c>
      <c r="H1615" s="61" t="str">
        <f aca="false">INDEX(Parametros!$C$71:$C$91,MATCH(TRIM(INDEX(Datos_Origen!$C$2:$C$2459,$Z1615)),Parametros!$B$71:$B$91,0))</f>
        <v>AMBA</v>
      </c>
      <c r="I1615" s="61" t="str">
        <f aca="false">IF(TRIM($AD1615)="",INDEX(Parametros!$I$20:$I$24,MATCH($H1615,Parametros!$H$20:$H$24,0)),TRIM($AD1615))</f>
        <v>Buenos Aires</v>
      </c>
      <c r="J1615" s="61" t="str">
        <f aca="false">INDEX(Parametros!$C$95:$C$106,MATCH(TRIM(INDEX(Datos_Origen!$E$2:$E$2459,$Z1615)),Parametros!$B$95:$B$106,0))</f>
        <v>E-commerce</v>
      </c>
      <c r="K1615" s="61" t="str">
        <f aca="false">INDEX(Parametros!$C$48:$C$67,MATCH(TRIM(INDEX(Datos_Origen!$F$2:$F$2459,$Z1615)),Parametros!$B$48:$B$67,0))</f>
        <v>Audio</v>
      </c>
      <c r="L1615" s="61" t="str">
        <f aca="false">$K1615&amp;" "&amp;$C1615</f>
        <v>Audio 2025</v>
      </c>
      <c r="M1615" s="61" t="str">
        <f aca="false">TRIM(INDEX(Datos_Origen!$G$2:$G$2459,$Z1615))</f>
        <v>Auriculares BT Pro</v>
      </c>
      <c r="N1615" s="61" t="str">
        <f aca="false">$M1615&amp;" "&amp;$C1615</f>
        <v>Auriculares BT Pro 2025</v>
      </c>
      <c r="O1615" s="63" t="n">
        <f aca="false">IF(ISTEXT($AC1615),VALUE($AC1615),$AC1615)</f>
        <v>25</v>
      </c>
      <c r="P1615" s="64" t="n">
        <f aca="false">INDEX(Datos_Origen!$I$2:$I$2459,$Z1615)</f>
        <v>119.23</v>
      </c>
      <c r="Q1615" s="64" t="n">
        <f aca="false">INDEX(Datos_Origen!$J$2:$J$2459,$Z1615)</f>
        <v>65.51</v>
      </c>
      <c r="R1615" s="65" t="n">
        <f aca="false">ROUND($O1615*$P1615,2)</f>
        <v>2980.75</v>
      </c>
      <c r="S1615" s="65" t="n">
        <f aca="false">ROUND($O1615*$Q1615,2)</f>
        <v>1637.75</v>
      </c>
      <c r="T1615" s="65" t="n">
        <f aca="false">ROUND($R1615*SUMIFS(Parametros!$E$28:$E$43,Parametros!$B$28:$B$43,$J1615,Parametros!$C$28:$C$43,$C1615,Parametros!$D$28:$D$43,$D1615),2)</f>
        <v>220.58</v>
      </c>
      <c r="U1615" s="65" t="n">
        <f aca="false">$R1615-$S1615-$T1615</f>
        <v>1122.42</v>
      </c>
      <c r="V1615" s="66" t="n">
        <f aca="false">IFERROR($U1615/$R1615,0)</f>
        <v>0.376556235846683</v>
      </c>
      <c r="W1615" s="67" t="str">
        <f aca="false">IF(AND($V1615&gt;=Parametros!$C$8,$R1615&gt;=Parametros!$C$12),"Alta rentabilidad",IF(OR($V1615&lt;Parametros!$C$11,$R1615&lt;Parametros!$C$13),"Revisar","Estandar"))</f>
        <v>Estandar</v>
      </c>
      <c r="X1615" s="67" t="str">
        <f aca="false">IF(AND($J1615="E-commerce",IFERROR($T1615/$R1615,0)&gt;Parametros!$C$14),"Alerta","OK")</f>
        <v>Alerta</v>
      </c>
      <c r="Y1615" s="61" t="str">
        <f aca="false">IF($R1615&gt;=Parametros!$C$12,"Alto",IF($R1615&lt;Parametros!$C$13,"Bajo","Medio"))</f>
        <v>Medio</v>
      </c>
      <c r="Z1615" s="61" t="n">
        <v>2264</v>
      </c>
      <c r="AA1615" s="61" t="str">
        <f aca="false">IF(MATCH($A1615,Datos_Origen!$A$2:$A$2459,0)=$Z1615,"OK","REVISAR")</f>
        <v>OK</v>
      </c>
      <c r="AB1615" s="61" t="str">
        <f aca="false">INDEX(Datos_Origen!$B$2:$B$2459,$Z1615)</f>
        <v>13/05/2025</v>
      </c>
      <c r="AC1615" s="61" t="n">
        <f aca="false">INDEX(Datos_Origen!$H$2:$H$2459,$Z1615)</f>
        <v>25</v>
      </c>
      <c r="AD1615" s="61" t="str">
        <f aca="false">INDEX(Datos_Origen!$D$2:$D$2459,$Z1615)&amp;""</f>
        <v>Buenos Aires</v>
      </c>
    </row>
    <row r="1616" customFormat="false" ht="15" hidden="false" customHeight="false" outlineLevel="0" collapsed="false">
      <c r="A1616" s="61" t="n">
        <f aca="false">INDEX(Datos_Origen!$A$2:$A$2459,$Z1616)</f>
        <v>1615</v>
      </c>
      <c r="B1616" s="62" t="n">
        <f aca="false">IF(ISNUMBER($AB1616),$AB1616,IF(MID($AB1616,5,1)="-",DATE(VALUE(LEFT($AB1616,4)),VALUE(MID($AB1616,6,2)),VALUE(RIGHT($AB1616,2))),DATE(VALUE(RIGHT($AB1616,4)),VALUE(MID($AB1616,4,2)),VALUE(LEFT($AB1616,2)))))</f>
        <v>45797</v>
      </c>
      <c r="C1616" s="61" t="n">
        <f aca="false">YEAR($B1616)</f>
        <v>2025</v>
      </c>
      <c r="D1616" s="61" t="str">
        <f aca="false">"Q"&amp;ROUNDUP(MONTH($B1616)/3,0)</f>
        <v>Q2</v>
      </c>
      <c r="E1616" s="61" t="n">
        <f aca="false">MONTH($B1616)</f>
        <v>5</v>
      </c>
      <c r="F1616" s="61" t="str">
        <f aca="false">INDEX(Parametros!$I$5:$I$16,$E1616)</f>
        <v>May</v>
      </c>
      <c r="G1616" s="61" t="str">
        <f aca="false">TEXT($C1616,"0000")&amp;"-"&amp;TEXT($E1616,"00")</f>
        <v>2025-05</v>
      </c>
      <c r="H1616" s="61" t="str">
        <f aca="false">INDEX(Parametros!$C$71:$C$91,MATCH(TRIM(INDEX(Datos_Origen!$C$2:$C$2459,$Z1616)),Parametros!$B$71:$B$91,0))</f>
        <v>AMBA</v>
      </c>
      <c r="I1616" s="61" t="str">
        <f aca="false">IF(TRIM($AD1616)="",INDEX(Parametros!$I$20:$I$24,MATCH($H1616,Parametros!$H$20:$H$24,0)),TRIM($AD1616))</f>
        <v>Buenos Aires</v>
      </c>
      <c r="J1616" s="61" t="str">
        <f aca="false">INDEX(Parametros!$C$95:$C$106,MATCH(TRIM(INDEX(Datos_Origen!$E$2:$E$2459,$Z1616)),Parametros!$B$95:$B$106,0))</f>
        <v>Tienda fisica</v>
      </c>
      <c r="K1616" s="61" t="str">
        <f aca="false">INDEX(Parametros!$C$48:$C$67,MATCH(TRIM(INDEX(Datos_Origen!$F$2:$F$2459,$Z1616)),Parametros!$B$48:$B$67,0))</f>
        <v>Audio</v>
      </c>
      <c r="L1616" s="61" t="str">
        <f aca="false">$K1616&amp;" "&amp;$C1616</f>
        <v>Audio 2025</v>
      </c>
      <c r="M1616" s="61" t="str">
        <f aca="false">TRIM(INDEX(Datos_Origen!$G$2:$G$2459,$Z1616))</f>
        <v>Parlante Bluetooth</v>
      </c>
      <c r="N1616" s="61" t="str">
        <f aca="false">$M1616&amp;" "&amp;$C1616</f>
        <v>Parlante Bluetooth 2025</v>
      </c>
      <c r="O1616" s="63" t="n">
        <f aca="false">IF(ISTEXT($AC1616),VALUE($AC1616),$AC1616)</f>
        <v>35</v>
      </c>
      <c r="P1616" s="64" t="n">
        <f aca="false">INDEX(Datos_Origen!$I$2:$I$2459,$Z1616)</f>
        <v>84.46</v>
      </c>
      <c r="Q1616" s="64" t="n">
        <f aca="false">INDEX(Datos_Origen!$J$2:$J$2459,$Z1616)</f>
        <v>49.47</v>
      </c>
      <c r="R1616" s="65" t="n">
        <f aca="false">ROUND($O1616*$P1616,2)</f>
        <v>2956.1</v>
      </c>
      <c r="S1616" s="65" t="n">
        <f aca="false">ROUND($O1616*$Q1616,2)</f>
        <v>1731.45</v>
      </c>
      <c r="T1616" s="65" t="n">
        <f aca="false">ROUND($R1616*SUMIFS(Parametros!$E$28:$E$43,Parametros!$B$28:$B$43,$J1616,Parametros!$C$28:$C$43,$C1616,Parametros!$D$28:$D$43,$D1616),2)</f>
        <v>41.39</v>
      </c>
      <c r="U1616" s="65" t="n">
        <f aca="false">$R1616-$S1616-$T1616</f>
        <v>1183.26</v>
      </c>
      <c r="V1616" s="66" t="n">
        <f aca="false">IFERROR($U1616/$R1616,0)</f>
        <v>0.400277392510402</v>
      </c>
      <c r="W1616" s="67" t="str">
        <f aca="false">IF(AND($V1616&gt;=Parametros!$C$8,$R1616&gt;=Parametros!$C$12),"Alta rentabilidad",IF(OR($V1616&lt;Parametros!$C$11,$R1616&lt;Parametros!$C$13),"Revisar","Estandar"))</f>
        <v>Estandar</v>
      </c>
      <c r="X1616" s="67" t="str">
        <f aca="false">IF(AND($J1616="E-commerce",IFERROR($T1616/$R1616,0)&gt;Parametros!$C$14),"Alerta","OK")</f>
        <v>OK</v>
      </c>
      <c r="Y1616" s="61" t="str">
        <f aca="false">IF($R1616&gt;=Parametros!$C$12,"Alto",IF($R1616&lt;Parametros!$C$13,"Bajo","Medio"))</f>
        <v>Medio</v>
      </c>
      <c r="Z1616" s="61" t="n">
        <v>2225</v>
      </c>
      <c r="AA1616" s="61" t="str">
        <f aca="false">IF(MATCH($A1616,Datos_Origen!$A$2:$A$2459,0)=$Z1616,"OK","REVISAR")</f>
        <v>OK</v>
      </c>
      <c r="AB1616" s="62" t="n">
        <f aca="false">INDEX(Datos_Origen!$B$2:$B$2459,$Z1616)</f>
        <v>45797</v>
      </c>
      <c r="AC1616" s="61" t="n">
        <f aca="false">INDEX(Datos_Origen!$H$2:$H$2459,$Z1616)</f>
        <v>35</v>
      </c>
      <c r="AD1616" s="61" t="str">
        <f aca="false">INDEX(Datos_Origen!$D$2:$D$2459,$Z1616)&amp;""</f>
        <v>Buenos Aires</v>
      </c>
    </row>
    <row r="1617" customFormat="false" ht="15" hidden="false" customHeight="false" outlineLevel="0" collapsed="false">
      <c r="A1617" s="61" t="n">
        <f aca="false">INDEX(Datos_Origen!$A$2:$A$2459,$Z1617)</f>
        <v>1616</v>
      </c>
      <c r="B1617" s="62" t="n">
        <f aca="false">IF(ISNUMBER($AB1617),$AB1617,IF(MID($AB1617,5,1)="-",DATE(VALUE(LEFT($AB1617,4)),VALUE(MID($AB1617,6,2)),VALUE(RIGHT($AB1617,2))),DATE(VALUE(RIGHT($AB1617,4)),VALUE(MID($AB1617,4,2)),VALUE(LEFT($AB1617,2)))))</f>
        <v>45804</v>
      </c>
      <c r="C1617" s="61" t="n">
        <f aca="false">YEAR($B1617)</f>
        <v>2025</v>
      </c>
      <c r="D1617" s="61" t="str">
        <f aca="false">"Q"&amp;ROUNDUP(MONTH($B1617)/3,0)</f>
        <v>Q2</v>
      </c>
      <c r="E1617" s="61" t="n">
        <f aca="false">MONTH($B1617)</f>
        <v>5</v>
      </c>
      <c r="F1617" s="61" t="str">
        <f aca="false">INDEX(Parametros!$I$5:$I$16,$E1617)</f>
        <v>May</v>
      </c>
      <c r="G1617" s="61" t="str">
        <f aca="false">TEXT($C1617,"0000")&amp;"-"&amp;TEXT($E1617,"00")</f>
        <v>2025-05</v>
      </c>
      <c r="H1617" s="61" t="str">
        <f aca="false">INDEX(Parametros!$C$71:$C$91,MATCH(TRIM(INDEX(Datos_Origen!$C$2:$C$2459,$Z1617)),Parametros!$B$71:$B$91,0))</f>
        <v>AMBA</v>
      </c>
      <c r="I1617" s="61" t="str">
        <f aca="false">IF(TRIM($AD1617)="",INDEX(Parametros!$I$20:$I$24,MATCH($H1617,Parametros!$H$20:$H$24,0)),TRIM($AD1617))</f>
        <v>Buenos Aires</v>
      </c>
      <c r="J1617" s="61" t="str">
        <f aca="false">INDEX(Parametros!$C$95:$C$106,MATCH(TRIM(INDEX(Datos_Origen!$E$2:$E$2459,$Z1617)),Parametros!$B$95:$B$106,0))</f>
        <v>E-commerce</v>
      </c>
      <c r="K1617" s="61" t="str">
        <f aca="false">INDEX(Parametros!$C$48:$C$67,MATCH(TRIM(INDEX(Datos_Origen!$F$2:$F$2459,$Z1617)),Parametros!$B$48:$B$67,0))</f>
        <v>Audio</v>
      </c>
      <c r="L1617" s="61" t="str">
        <f aca="false">$K1617&amp;" "&amp;$C1617</f>
        <v>Audio 2025</v>
      </c>
      <c r="M1617" s="61" t="str">
        <f aca="false">TRIM(INDEX(Datos_Origen!$G$2:$G$2459,$Z1617))</f>
        <v>Parlante Bluetooth</v>
      </c>
      <c r="N1617" s="61" t="str">
        <f aca="false">$M1617&amp;" "&amp;$C1617</f>
        <v>Parlante Bluetooth 2025</v>
      </c>
      <c r="O1617" s="63" t="n">
        <f aca="false">IF(ISTEXT($AC1617),VALUE($AC1617),$AC1617)</f>
        <v>31</v>
      </c>
      <c r="P1617" s="64" t="n">
        <f aca="false">INDEX(Datos_Origen!$I$2:$I$2459,$Z1617)</f>
        <v>84.46</v>
      </c>
      <c r="Q1617" s="64" t="n">
        <f aca="false">INDEX(Datos_Origen!$J$2:$J$2459,$Z1617)</f>
        <v>49.47</v>
      </c>
      <c r="R1617" s="65" t="n">
        <f aca="false">ROUND($O1617*$P1617,2)</f>
        <v>2618.26</v>
      </c>
      <c r="S1617" s="65" t="n">
        <f aca="false">ROUND($O1617*$Q1617,2)</f>
        <v>1533.57</v>
      </c>
      <c r="T1617" s="65" t="n">
        <f aca="false">ROUND($R1617*SUMIFS(Parametros!$E$28:$E$43,Parametros!$B$28:$B$43,$J1617,Parametros!$C$28:$C$43,$C1617,Parametros!$D$28:$D$43,$D1617),2)</f>
        <v>193.75</v>
      </c>
      <c r="U1617" s="65" t="n">
        <f aca="false">$R1617-$S1617-$T1617</f>
        <v>890.94</v>
      </c>
      <c r="V1617" s="66" t="n">
        <f aca="false">IFERROR($U1617/$R1617,0)</f>
        <v>0.340279422211698</v>
      </c>
      <c r="W1617" s="67" t="str">
        <f aca="false">IF(AND($V1617&gt;=Parametros!$C$8,$R1617&gt;=Parametros!$C$12),"Alta rentabilidad",IF(OR($V1617&lt;Parametros!$C$11,$R1617&lt;Parametros!$C$13),"Revisar","Estandar"))</f>
        <v>Estandar</v>
      </c>
      <c r="X1617" s="67" t="str">
        <f aca="false">IF(AND($J1617="E-commerce",IFERROR($T1617/$R1617,0)&gt;Parametros!$C$14),"Alerta","OK")</f>
        <v>Alerta</v>
      </c>
      <c r="Y1617" s="61" t="str">
        <f aca="false">IF($R1617&gt;=Parametros!$C$12,"Alto",IF($R1617&lt;Parametros!$C$13,"Bajo","Medio"))</f>
        <v>Medio</v>
      </c>
      <c r="Z1617" s="61" t="n">
        <v>758</v>
      </c>
      <c r="AA1617" s="61" t="str">
        <f aca="false">IF(MATCH($A1617,Datos_Origen!$A$2:$A$2459,0)=$Z1617,"OK","REVISAR")</f>
        <v>OK</v>
      </c>
      <c r="AB1617" s="62" t="n">
        <f aca="false">INDEX(Datos_Origen!$B$2:$B$2459,$Z1617)</f>
        <v>45804</v>
      </c>
      <c r="AC1617" s="61" t="n">
        <f aca="false">INDEX(Datos_Origen!$H$2:$H$2459,$Z1617)</f>
        <v>31</v>
      </c>
      <c r="AD1617" s="61" t="str">
        <f aca="false">INDEX(Datos_Origen!$D$2:$D$2459,$Z1617)&amp;""</f>
        <v>Buenos Aires</v>
      </c>
    </row>
    <row r="1618" customFormat="false" ht="15" hidden="false" customHeight="false" outlineLevel="0" collapsed="false">
      <c r="A1618" s="61" t="n">
        <f aca="false">INDEX(Datos_Origen!$A$2:$A$2459,$Z1618)</f>
        <v>1617</v>
      </c>
      <c r="B1618" s="62" t="n">
        <f aca="false">IF(ISNUMBER($AB1618),$AB1618,IF(MID($AB1618,5,1)="-",DATE(VALUE(LEFT($AB1618,4)),VALUE(MID($AB1618,6,2)),VALUE(RIGHT($AB1618,2))),DATE(VALUE(RIGHT($AB1618,4)),VALUE(MID($AB1618,4,2)),VALUE(LEFT($AB1618,2)))))</f>
        <v>45784</v>
      </c>
      <c r="C1618" s="61" t="n">
        <f aca="false">YEAR($B1618)</f>
        <v>2025</v>
      </c>
      <c r="D1618" s="61" t="str">
        <f aca="false">"Q"&amp;ROUNDUP(MONTH($B1618)/3,0)</f>
        <v>Q2</v>
      </c>
      <c r="E1618" s="61" t="n">
        <f aca="false">MONTH($B1618)</f>
        <v>5</v>
      </c>
      <c r="F1618" s="61" t="str">
        <f aca="false">INDEX(Parametros!$I$5:$I$16,$E1618)</f>
        <v>May</v>
      </c>
      <c r="G1618" s="61" t="str">
        <f aca="false">TEXT($C1618,"0000")&amp;"-"&amp;TEXT($E1618,"00")</f>
        <v>2025-05</v>
      </c>
      <c r="H1618" s="61" t="str">
        <f aca="false">INDEX(Parametros!$C$71:$C$91,MATCH(TRIM(INDEX(Datos_Origen!$C$2:$C$2459,$Z1618)),Parametros!$B$71:$B$91,0))</f>
        <v>AMBA</v>
      </c>
      <c r="I1618" s="61" t="str">
        <f aca="false">IF(TRIM($AD1618)="",INDEX(Parametros!$I$20:$I$24,MATCH($H1618,Parametros!$H$20:$H$24,0)),TRIM($AD1618))</f>
        <v>Buenos Aires</v>
      </c>
      <c r="J1618" s="61" t="str">
        <f aca="false">INDEX(Parametros!$C$95:$C$106,MATCH(TRIM(INDEX(Datos_Origen!$E$2:$E$2459,$Z1618)),Parametros!$B$95:$B$106,0))</f>
        <v>Tienda fisica</v>
      </c>
      <c r="K1618" s="61" t="str">
        <f aca="false">INDEX(Parametros!$C$48:$C$67,MATCH(TRIM(INDEX(Datos_Origen!$F$2:$F$2459,$Z1618)),Parametros!$B$48:$B$67,0))</f>
        <v>Almacenamiento</v>
      </c>
      <c r="L1618" s="61" t="str">
        <f aca="false">$K1618&amp;" "&amp;$C1618</f>
        <v>Almacenamiento 2025</v>
      </c>
      <c r="M1618" s="61" t="str">
        <f aca="false">TRIM(INDEX(Datos_Origen!$G$2:$G$2459,$Z1618))</f>
        <v>SSD Externo 1TB</v>
      </c>
      <c r="N1618" s="61" t="str">
        <f aca="false">$M1618&amp;" "&amp;$C1618</f>
        <v>SSD Externo 1TB 2025</v>
      </c>
      <c r="O1618" s="63" t="n">
        <f aca="false">IF(ISTEXT($AC1618),VALUE($AC1618),$AC1618)</f>
        <v>58</v>
      </c>
      <c r="P1618" s="64" t="n">
        <f aca="false">INDEX(Datos_Origen!$I$2:$I$2459,$Z1618)</f>
        <v>129.17</v>
      </c>
      <c r="Q1618" s="64" t="n">
        <f aca="false">INDEX(Datos_Origen!$J$2:$J$2459,$Z1618)</f>
        <v>78.33</v>
      </c>
      <c r="R1618" s="65" t="n">
        <f aca="false">ROUND($O1618*$P1618,2)</f>
        <v>7491.86</v>
      </c>
      <c r="S1618" s="65" t="n">
        <f aca="false">ROUND($O1618*$Q1618,2)</f>
        <v>4543.14</v>
      </c>
      <c r="T1618" s="65" t="n">
        <f aca="false">ROUND($R1618*SUMIFS(Parametros!$E$28:$E$43,Parametros!$B$28:$B$43,$J1618,Parametros!$C$28:$C$43,$C1618,Parametros!$D$28:$D$43,$D1618),2)</f>
        <v>104.89</v>
      </c>
      <c r="U1618" s="65" t="n">
        <f aca="false">$R1618-$S1618-$T1618</f>
        <v>2843.83</v>
      </c>
      <c r="V1618" s="66" t="n">
        <f aca="false">IFERROR($U1618/$R1618,0)</f>
        <v>0.379589314269087</v>
      </c>
      <c r="W1618" s="67" t="str">
        <f aca="false">IF(AND($V1618&gt;=Parametros!$C$8,$R1618&gt;=Parametros!$C$12),"Alta rentabilidad",IF(OR($V1618&lt;Parametros!$C$11,$R1618&lt;Parametros!$C$13),"Revisar","Estandar"))</f>
        <v>Alta rentabilidad</v>
      </c>
      <c r="X1618" s="67" t="str">
        <f aca="false">IF(AND($J1618="E-commerce",IFERROR($T1618/$R1618,0)&gt;Parametros!$C$14),"Alerta","OK")</f>
        <v>OK</v>
      </c>
      <c r="Y1618" s="61" t="str">
        <f aca="false">IF($R1618&gt;=Parametros!$C$12,"Alto",IF($R1618&lt;Parametros!$C$13,"Bajo","Medio"))</f>
        <v>Alto</v>
      </c>
      <c r="Z1618" s="61" t="n">
        <v>1079</v>
      </c>
      <c r="AA1618" s="61" t="str">
        <f aca="false">IF(MATCH($A1618,Datos_Origen!$A$2:$A$2459,0)=$Z1618,"OK","REVISAR")</f>
        <v>OK</v>
      </c>
      <c r="AB1618" s="62" t="n">
        <f aca="false">INDEX(Datos_Origen!$B$2:$B$2459,$Z1618)</f>
        <v>45784</v>
      </c>
      <c r="AC1618" s="61" t="n">
        <f aca="false">INDEX(Datos_Origen!$H$2:$H$2459,$Z1618)</f>
        <v>58</v>
      </c>
      <c r="AD1618" s="61" t="str">
        <f aca="false">INDEX(Datos_Origen!$D$2:$D$2459,$Z1618)&amp;""</f>
        <v>Buenos Aires</v>
      </c>
    </row>
    <row r="1619" customFormat="false" ht="15" hidden="false" customHeight="false" outlineLevel="0" collapsed="false">
      <c r="A1619" s="61" t="n">
        <f aca="false">INDEX(Datos_Origen!$A$2:$A$2459,$Z1619)</f>
        <v>1618</v>
      </c>
      <c r="B1619" s="62" t="n">
        <f aca="false">IF(ISNUMBER($AB1619),$AB1619,IF(MID($AB1619,5,1)="-",DATE(VALUE(LEFT($AB1619,4)),VALUE(MID($AB1619,6,2)),VALUE(RIGHT($AB1619,2))),DATE(VALUE(RIGHT($AB1619,4)),VALUE(MID($AB1619,4,2)),VALUE(LEFT($AB1619,2)))))</f>
        <v>45791</v>
      </c>
      <c r="C1619" s="61" t="n">
        <f aca="false">YEAR($B1619)</f>
        <v>2025</v>
      </c>
      <c r="D1619" s="61" t="str">
        <f aca="false">"Q"&amp;ROUNDUP(MONTH($B1619)/3,0)</f>
        <v>Q2</v>
      </c>
      <c r="E1619" s="61" t="n">
        <f aca="false">MONTH($B1619)</f>
        <v>5</v>
      </c>
      <c r="F1619" s="61" t="str">
        <f aca="false">INDEX(Parametros!$I$5:$I$16,$E1619)</f>
        <v>May</v>
      </c>
      <c r="G1619" s="61" t="str">
        <f aca="false">TEXT($C1619,"0000")&amp;"-"&amp;TEXT($E1619,"00")</f>
        <v>2025-05</v>
      </c>
      <c r="H1619" s="61" t="str">
        <f aca="false">INDEX(Parametros!$C$71:$C$91,MATCH(TRIM(INDEX(Datos_Origen!$C$2:$C$2459,$Z1619)),Parametros!$B$71:$B$91,0))</f>
        <v>AMBA</v>
      </c>
      <c r="I1619" s="61" t="str">
        <f aca="false">IF(TRIM($AD1619)="",INDEX(Parametros!$I$20:$I$24,MATCH($H1619,Parametros!$H$20:$H$24,0)),TRIM($AD1619))</f>
        <v>Buenos Aires</v>
      </c>
      <c r="J1619" s="61" t="str">
        <f aca="false">INDEX(Parametros!$C$95:$C$106,MATCH(TRIM(INDEX(Datos_Origen!$E$2:$E$2459,$Z1619)),Parametros!$B$95:$B$106,0))</f>
        <v>E-commerce</v>
      </c>
      <c r="K1619" s="61" t="str">
        <f aca="false">INDEX(Parametros!$C$48:$C$67,MATCH(TRIM(INDEX(Datos_Origen!$F$2:$F$2459,$Z1619)),Parametros!$B$48:$B$67,0))</f>
        <v>Almacenamiento</v>
      </c>
      <c r="L1619" s="61" t="str">
        <f aca="false">$K1619&amp;" "&amp;$C1619</f>
        <v>Almacenamiento 2025</v>
      </c>
      <c r="M1619" s="61" t="str">
        <f aca="false">TRIM(INDEX(Datos_Origen!$G$2:$G$2459,$Z1619))</f>
        <v>SSD Externo 1TB</v>
      </c>
      <c r="N1619" s="61" t="str">
        <f aca="false">$M1619&amp;" "&amp;$C1619</f>
        <v>SSD Externo 1TB 2025</v>
      </c>
      <c r="O1619" s="63" t="n">
        <f aca="false">IF(ISTEXT($AC1619),VALUE($AC1619),$AC1619)</f>
        <v>37</v>
      </c>
      <c r="P1619" s="64" t="n">
        <f aca="false">INDEX(Datos_Origen!$I$2:$I$2459,$Z1619)</f>
        <v>129.17</v>
      </c>
      <c r="Q1619" s="64" t="n">
        <f aca="false">INDEX(Datos_Origen!$J$2:$J$2459,$Z1619)</f>
        <v>78.33</v>
      </c>
      <c r="R1619" s="65" t="n">
        <f aca="false">ROUND($O1619*$P1619,2)</f>
        <v>4779.29</v>
      </c>
      <c r="S1619" s="65" t="n">
        <f aca="false">ROUND($O1619*$Q1619,2)</f>
        <v>2898.21</v>
      </c>
      <c r="T1619" s="65" t="n">
        <f aca="false">ROUND($R1619*SUMIFS(Parametros!$E$28:$E$43,Parametros!$B$28:$B$43,$J1619,Parametros!$C$28:$C$43,$C1619,Parametros!$D$28:$D$43,$D1619),2)</f>
        <v>353.67</v>
      </c>
      <c r="U1619" s="65" t="n">
        <f aca="false">$R1619-$S1619-$T1619</f>
        <v>1527.41</v>
      </c>
      <c r="V1619" s="66" t="n">
        <f aca="false">IFERROR($U1619/$R1619,0)</f>
        <v>0.319589311383072</v>
      </c>
      <c r="W1619" s="67" t="str">
        <f aca="false">IF(AND($V1619&gt;=Parametros!$C$8,$R1619&gt;=Parametros!$C$12),"Alta rentabilidad",IF(OR($V1619&lt;Parametros!$C$11,$R1619&lt;Parametros!$C$13),"Revisar","Estandar"))</f>
        <v>Estandar</v>
      </c>
      <c r="X1619" s="67" t="str">
        <f aca="false">IF(AND($J1619="E-commerce",IFERROR($T1619/$R1619,0)&gt;Parametros!$C$14),"Alerta","OK")</f>
        <v>Alerta</v>
      </c>
      <c r="Y1619" s="61" t="str">
        <f aca="false">IF($R1619&gt;=Parametros!$C$12,"Alto",IF($R1619&lt;Parametros!$C$13,"Bajo","Medio"))</f>
        <v>Alto</v>
      </c>
      <c r="Z1619" s="61" t="n">
        <v>1269</v>
      </c>
      <c r="AA1619" s="61" t="str">
        <f aca="false">IF(MATCH($A1619,Datos_Origen!$A$2:$A$2459,0)=$Z1619,"OK","REVISAR")</f>
        <v>OK</v>
      </c>
      <c r="AB1619" s="62" t="n">
        <f aca="false">INDEX(Datos_Origen!$B$2:$B$2459,$Z1619)</f>
        <v>45791</v>
      </c>
      <c r="AC1619" s="61" t="n">
        <f aca="false">INDEX(Datos_Origen!$H$2:$H$2459,$Z1619)</f>
        <v>37</v>
      </c>
      <c r="AD1619" s="61" t="str">
        <f aca="false">INDEX(Datos_Origen!$D$2:$D$2459,$Z1619)&amp;""</f>
        <v>Buenos Aires</v>
      </c>
    </row>
    <row r="1620" customFormat="false" ht="15" hidden="false" customHeight="false" outlineLevel="0" collapsed="false">
      <c r="A1620" s="61" t="n">
        <f aca="false">INDEX(Datos_Origen!$A$2:$A$2459,$Z1620)</f>
        <v>1619</v>
      </c>
      <c r="B1620" s="62" t="n">
        <f aca="false">IF(ISNUMBER($AB1620),$AB1620,IF(MID($AB1620,5,1)="-",DATE(VALUE(LEFT($AB1620,4)),VALUE(MID($AB1620,6,2)),VALUE(RIGHT($AB1620,2))),DATE(VALUE(RIGHT($AB1620,4)),VALUE(MID($AB1620,4,2)),VALUE(LEFT($AB1620,2)))))</f>
        <v>45798</v>
      </c>
      <c r="C1620" s="61" t="n">
        <f aca="false">YEAR($B1620)</f>
        <v>2025</v>
      </c>
      <c r="D1620" s="61" t="str">
        <f aca="false">"Q"&amp;ROUNDUP(MONTH($B1620)/3,0)</f>
        <v>Q2</v>
      </c>
      <c r="E1620" s="61" t="n">
        <f aca="false">MONTH($B1620)</f>
        <v>5</v>
      </c>
      <c r="F1620" s="61" t="str">
        <f aca="false">INDEX(Parametros!$I$5:$I$16,$E1620)</f>
        <v>May</v>
      </c>
      <c r="G1620" s="61" t="str">
        <f aca="false">TEXT($C1620,"0000")&amp;"-"&amp;TEXT($E1620,"00")</f>
        <v>2025-05</v>
      </c>
      <c r="H1620" s="61" t="str">
        <f aca="false">INDEX(Parametros!$C$71:$C$91,MATCH(TRIM(INDEX(Datos_Origen!$C$2:$C$2459,$Z1620)),Parametros!$B$71:$B$91,0))</f>
        <v>AMBA</v>
      </c>
      <c r="I1620" s="61" t="str">
        <f aca="false">IF(TRIM($AD1620)="",INDEX(Parametros!$I$20:$I$24,MATCH($H1620,Parametros!$H$20:$H$24,0)),TRIM($AD1620))</f>
        <v>Buenos Aires</v>
      </c>
      <c r="J1620" s="61" t="str">
        <f aca="false">INDEX(Parametros!$C$95:$C$106,MATCH(TRIM(INDEX(Datos_Origen!$E$2:$E$2459,$Z1620)),Parametros!$B$95:$B$106,0))</f>
        <v>Tienda fisica</v>
      </c>
      <c r="K1620" s="61" t="str">
        <f aca="false">INDEX(Parametros!$C$48:$C$67,MATCH(TRIM(INDEX(Datos_Origen!$F$2:$F$2459,$Z1620)),Parametros!$B$48:$B$67,0))</f>
        <v>Almacenamiento</v>
      </c>
      <c r="L1620" s="61" t="str">
        <f aca="false">$K1620&amp;" "&amp;$C1620</f>
        <v>Almacenamiento 2025</v>
      </c>
      <c r="M1620" s="61" t="str">
        <f aca="false">TRIM(INDEX(Datos_Origen!$G$2:$G$2459,$Z1620))</f>
        <v>Pendrive 256GB</v>
      </c>
      <c r="N1620" s="61" t="str">
        <f aca="false">$M1620&amp;" "&amp;$C1620</f>
        <v>Pendrive 256GB 2025</v>
      </c>
      <c r="O1620" s="63" t="n">
        <f aca="false">IF(ISTEXT($AC1620),VALUE($AC1620),$AC1620)</f>
        <v>63</v>
      </c>
      <c r="P1620" s="64" t="n">
        <f aca="false">INDEX(Datos_Origen!$I$2:$I$2459,$Z1620)</f>
        <v>34.78</v>
      </c>
      <c r="Q1620" s="64" t="n">
        <f aca="false">INDEX(Datos_Origen!$J$2:$J$2459,$Z1620)</f>
        <v>18.39</v>
      </c>
      <c r="R1620" s="65" t="n">
        <f aca="false">ROUND($O1620*$P1620,2)</f>
        <v>2191.14</v>
      </c>
      <c r="S1620" s="65" t="n">
        <f aca="false">ROUND($O1620*$Q1620,2)</f>
        <v>1158.57</v>
      </c>
      <c r="T1620" s="65" t="n">
        <f aca="false">ROUND($R1620*SUMIFS(Parametros!$E$28:$E$43,Parametros!$B$28:$B$43,$J1620,Parametros!$C$28:$C$43,$C1620,Parametros!$D$28:$D$43,$D1620),2)</f>
        <v>30.68</v>
      </c>
      <c r="U1620" s="65" t="n">
        <f aca="false">$R1620-$S1620-$T1620</f>
        <v>1001.89</v>
      </c>
      <c r="V1620" s="66" t="n">
        <f aca="false">IFERROR($U1620/$R1620,0)</f>
        <v>0.457245999799191</v>
      </c>
      <c r="W1620" s="67" t="str">
        <f aca="false">IF(AND($V1620&gt;=Parametros!$C$8,$R1620&gt;=Parametros!$C$12),"Alta rentabilidad",IF(OR($V1620&lt;Parametros!$C$11,$R1620&lt;Parametros!$C$13),"Revisar","Estandar"))</f>
        <v>Estandar</v>
      </c>
      <c r="X1620" s="67" t="str">
        <f aca="false">IF(AND($J1620="E-commerce",IFERROR($T1620/$R1620,0)&gt;Parametros!$C$14),"Alerta","OK")</f>
        <v>OK</v>
      </c>
      <c r="Y1620" s="61" t="str">
        <f aca="false">IF($R1620&gt;=Parametros!$C$12,"Alto",IF($R1620&lt;Parametros!$C$13,"Bajo","Medio"))</f>
        <v>Medio</v>
      </c>
      <c r="Z1620" s="61" t="n">
        <v>2358</v>
      </c>
      <c r="AA1620" s="61" t="str">
        <f aca="false">IF(MATCH($A1620,Datos_Origen!$A$2:$A$2459,0)=$Z1620,"OK","REVISAR")</f>
        <v>OK</v>
      </c>
      <c r="AB1620" s="61" t="str">
        <f aca="false">INDEX(Datos_Origen!$B$2:$B$2459,$Z1620)</f>
        <v>21/05/2025</v>
      </c>
      <c r="AC1620" s="61" t="n">
        <f aca="false">INDEX(Datos_Origen!$H$2:$H$2459,$Z1620)</f>
        <v>63</v>
      </c>
      <c r="AD1620" s="61" t="str">
        <f aca="false">INDEX(Datos_Origen!$D$2:$D$2459,$Z1620)&amp;""</f>
        <v>Buenos Aires</v>
      </c>
    </row>
    <row r="1621" customFormat="false" ht="15" hidden="false" customHeight="false" outlineLevel="0" collapsed="false">
      <c r="A1621" s="61" t="n">
        <f aca="false">INDEX(Datos_Origen!$A$2:$A$2459,$Z1621)</f>
        <v>1620</v>
      </c>
      <c r="B1621" s="62" t="n">
        <f aca="false">IF(ISNUMBER($AB1621),$AB1621,IF(MID($AB1621,5,1)="-",DATE(VALUE(LEFT($AB1621,4)),VALUE(MID($AB1621,6,2)),VALUE(RIGHT($AB1621,2))),DATE(VALUE(RIGHT($AB1621,4)),VALUE(MID($AB1621,4,2)),VALUE(LEFT($AB1621,2)))))</f>
        <v>45778</v>
      </c>
      <c r="C1621" s="61" t="n">
        <f aca="false">YEAR($B1621)</f>
        <v>2025</v>
      </c>
      <c r="D1621" s="61" t="str">
        <f aca="false">"Q"&amp;ROUNDUP(MONTH($B1621)/3,0)</f>
        <v>Q2</v>
      </c>
      <c r="E1621" s="61" t="n">
        <f aca="false">MONTH($B1621)</f>
        <v>5</v>
      </c>
      <c r="F1621" s="61" t="str">
        <f aca="false">INDEX(Parametros!$I$5:$I$16,$E1621)</f>
        <v>May</v>
      </c>
      <c r="G1621" s="61" t="str">
        <f aca="false">TEXT($C1621,"0000")&amp;"-"&amp;TEXT($E1621,"00")</f>
        <v>2025-05</v>
      </c>
      <c r="H1621" s="61" t="str">
        <f aca="false">INDEX(Parametros!$C$71:$C$91,MATCH(TRIM(INDEX(Datos_Origen!$C$2:$C$2459,$Z1621)),Parametros!$B$71:$B$91,0))</f>
        <v>AMBA</v>
      </c>
      <c r="I1621" s="61" t="str">
        <f aca="false">IF(TRIM($AD1621)="",INDEX(Parametros!$I$20:$I$24,MATCH($H1621,Parametros!$H$20:$H$24,0)),TRIM($AD1621))</f>
        <v>Buenos Aires</v>
      </c>
      <c r="J1621" s="61" t="str">
        <f aca="false">INDEX(Parametros!$C$95:$C$106,MATCH(TRIM(INDEX(Datos_Origen!$E$2:$E$2459,$Z1621)),Parametros!$B$95:$B$106,0))</f>
        <v>E-commerce</v>
      </c>
      <c r="K1621" s="61" t="str">
        <f aca="false">INDEX(Parametros!$C$48:$C$67,MATCH(TRIM(INDEX(Datos_Origen!$F$2:$F$2459,$Z1621)),Parametros!$B$48:$B$67,0))</f>
        <v>Almacenamiento</v>
      </c>
      <c r="L1621" s="61" t="str">
        <f aca="false">$K1621&amp;" "&amp;$C1621</f>
        <v>Almacenamiento 2025</v>
      </c>
      <c r="M1621" s="61" t="str">
        <f aca="false">TRIM(INDEX(Datos_Origen!$G$2:$G$2459,$Z1621))</f>
        <v>Pendrive 256GB</v>
      </c>
      <c r="N1621" s="61" t="str">
        <f aca="false">$M1621&amp;" "&amp;$C1621</f>
        <v>Pendrive 256GB 2025</v>
      </c>
      <c r="O1621" s="63" t="n">
        <f aca="false">IF(ISTEXT($AC1621),VALUE($AC1621),$AC1621)</f>
        <v>42</v>
      </c>
      <c r="P1621" s="64" t="n">
        <f aca="false">INDEX(Datos_Origen!$I$2:$I$2459,$Z1621)</f>
        <v>34.78</v>
      </c>
      <c r="Q1621" s="64" t="n">
        <f aca="false">INDEX(Datos_Origen!$J$2:$J$2459,$Z1621)</f>
        <v>18.39</v>
      </c>
      <c r="R1621" s="65" t="n">
        <f aca="false">ROUND($O1621*$P1621,2)</f>
        <v>1460.76</v>
      </c>
      <c r="S1621" s="65" t="n">
        <f aca="false">ROUND($O1621*$Q1621,2)</f>
        <v>772.38</v>
      </c>
      <c r="T1621" s="65" t="n">
        <f aca="false">ROUND($R1621*SUMIFS(Parametros!$E$28:$E$43,Parametros!$B$28:$B$43,$J1621,Parametros!$C$28:$C$43,$C1621,Parametros!$D$28:$D$43,$D1621),2)</f>
        <v>108.1</v>
      </c>
      <c r="U1621" s="65" t="n">
        <f aca="false">$R1621-$S1621-$T1621</f>
        <v>580.28</v>
      </c>
      <c r="V1621" s="66" t="n">
        <f aca="false">IFERROR($U1621/$R1621,0)</f>
        <v>0.397245269585695</v>
      </c>
      <c r="W1621" s="67" t="str">
        <f aca="false">IF(AND($V1621&gt;=Parametros!$C$8,$R1621&gt;=Parametros!$C$12),"Alta rentabilidad",IF(OR($V1621&lt;Parametros!$C$11,$R1621&lt;Parametros!$C$13),"Revisar","Estandar"))</f>
        <v>Estandar</v>
      </c>
      <c r="X1621" s="67" t="str">
        <f aca="false">IF(AND($J1621="E-commerce",IFERROR($T1621/$R1621,0)&gt;Parametros!$C$14),"Alerta","OK")</f>
        <v>Alerta</v>
      </c>
      <c r="Y1621" s="61" t="str">
        <f aca="false">IF($R1621&gt;=Parametros!$C$12,"Alto",IF($R1621&lt;Parametros!$C$13,"Bajo","Medio"))</f>
        <v>Medio</v>
      </c>
      <c r="Z1621" s="61" t="n">
        <v>1164</v>
      </c>
      <c r="AA1621" s="61" t="str">
        <f aca="false">IF(MATCH($A1621,Datos_Origen!$A$2:$A$2459,0)=$Z1621,"OK","REVISAR")</f>
        <v>OK</v>
      </c>
      <c r="AB1621" s="61" t="str">
        <f aca="false">INDEX(Datos_Origen!$B$2:$B$2459,$Z1621)</f>
        <v>01/05/2025</v>
      </c>
      <c r="AC1621" s="61" t="n">
        <f aca="false">INDEX(Datos_Origen!$H$2:$H$2459,$Z1621)</f>
        <v>42</v>
      </c>
      <c r="AD1621" s="61" t="str">
        <f aca="false">INDEX(Datos_Origen!$D$2:$D$2459,$Z1621)&amp;""</f>
        <v/>
      </c>
    </row>
    <row r="1622" customFormat="false" ht="15" hidden="false" customHeight="false" outlineLevel="0" collapsed="false">
      <c r="A1622" s="61" t="n">
        <f aca="false">INDEX(Datos_Origen!$A$2:$A$2459,$Z1622)</f>
        <v>1621</v>
      </c>
      <c r="B1622" s="62" t="n">
        <f aca="false">IF(ISNUMBER($AB1622),$AB1622,IF(MID($AB1622,5,1)="-",DATE(VALUE(LEFT($AB1622,4)),VALUE(MID($AB1622,6,2)),VALUE(RIGHT($AB1622,2))),DATE(VALUE(RIGHT($AB1622,4)),VALUE(MID($AB1622,4,2)),VALUE(LEFT($AB1622,2)))))</f>
        <v>45785</v>
      </c>
      <c r="C1622" s="61" t="n">
        <f aca="false">YEAR($B1622)</f>
        <v>2025</v>
      </c>
      <c r="D1622" s="61" t="str">
        <f aca="false">"Q"&amp;ROUNDUP(MONTH($B1622)/3,0)</f>
        <v>Q2</v>
      </c>
      <c r="E1622" s="61" t="n">
        <f aca="false">MONTH($B1622)</f>
        <v>5</v>
      </c>
      <c r="F1622" s="61" t="str">
        <f aca="false">INDEX(Parametros!$I$5:$I$16,$E1622)</f>
        <v>May</v>
      </c>
      <c r="G1622" s="61" t="str">
        <f aca="false">TEXT($C1622,"0000")&amp;"-"&amp;TEXT($E1622,"00")</f>
        <v>2025-05</v>
      </c>
      <c r="H1622" s="61" t="str">
        <f aca="false">INDEX(Parametros!$C$71:$C$91,MATCH(TRIM(INDEX(Datos_Origen!$C$2:$C$2459,$Z1622)),Parametros!$B$71:$B$91,0))</f>
        <v>Centro</v>
      </c>
      <c r="I1622" s="61" t="str">
        <f aca="false">IF(TRIM($AD1622)="",INDEX(Parametros!$I$20:$I$24,MATCH($H1622,Parametros!$H$20:$H$24,0)),TRIM($AD1622))</f>
        <v>Cordoba</v>
      </c>
      <c r="J1622" s="61" t="str">
        <f aca="false">INDEX(Parametros!$C$95:$C$106,MATCH(TRIM(INDEX(Datos_Origen!$E$2:$E$2459,$Z1622)),Parametros!$B$95:$B$106,0))</f>
        <v>Tienda fisica</v>
      </c>
      <c r="K1622" s="61" t="str">
        <f aca="false">INDEX(Parametros!$C$48:$C$67,MATCH(TRIM(INDEX(Datos_Origen!$F$2:$F$2459,$Z1622)),Parametros!$B$48:$B$67,0))</f>
        <v>Computacion</v>
      </c>
      <c r="L1622" s="61" t="str">
        <f aca="false">$K1622&amp;" "&amp;$C1622</f>
        <v>Computacion 2025</v>
      </c>
      <c r="M1622" s="61" t="str">
        <f aca="false">TRIM(INDEX(Datos_Origen!$G$2:$G$2459,$Z1622))</f>
        <v>Laptop Pro 15</v>
      </c>
      <c r="N1622" s="61" t="str">
        <f aca="false">$M1622&amp;" "&amp;$C1622</f>
        <v>Laptop Pro 15 2025</v>
      </c>
      <c r="O1622" s="63" t="n">
        <f aca="false">IF(ISTEXT($AC1622),VALUE($AC1622),$AC1622)</f>
        <v>14</v>
      </c>
      <c r="P1622" s="64" t="n">
        <f aca="false">INDEX(Datos_Origen!$I$2:$I$2459,$Z1622)</f>
        <v>1155.06</v>
      </c>
      <c r="Q1622" s="64" t="n">
        <f aca="false">INDEX(Datos_Origen!$J$2:$J$2459,$Z1622)</f>
        <v>766.32</v>
      </c>
      <c r="R1622" s="65" t="n">
        <f aca="false">ROUND($O1622*$P1622,2)</f>
        <v>16170.84</v>
      </c>
      <c r="S1622" s="65" t="n">
        <f aca="false">ROUND($O1622*$Q1622,2)</f>
        <v>10728.48</v>
      </c>
      <c r="T1622" s="65" t="n">
        <f aca="false">ROUND($R1622*SUMIFS(Parametros!$E$28:$E$43,Parametros!$B$28:$B$43,$J1622,Parametros!$C$28:$C$43,$C1622,Parametros!$D$28:$D$43,$D1622),2)</f>
        <v>226.39</v>
      </c>
      <c r="U1622" s="65" t="n">
        <f aca="false">$R1622-$S1622-$T1622</f>
        <v>5215.97</v>
      </c>
      <c r="V1622" s="66" t="n">
        <f aca="false">IFERROR($U1622/$R1622,0)</f>
        <v>0.322554054087481</v>
      </c>
      <c r="W1622" s="67" t="str">
        <f aca="false">IF(AND($V1622&gt;=Parametros!$C$8,$R1622&gt;=Parametros!$C$12),"Alta rentabilidad",IF(OR($V1622&lt;Parametros!$C$11,$R1622&lt;Parametros!$C$13),"Revisar","Estandar"))</f>
        <v>Estandar</v>
      </c>
      <c r="X1622" s="67" t="str">
        <f aca="false">IF(AND($J1622="E-commerce",IFERROR($T1622/$R1622,0)&gt;Parametros!$C$14),"Alerta","OK")</f>
        <v>OK</v>
      </c>
      <c r="Y1622" s="61" t="str">
        <f aca="false">IF($R1622&gt;=Parametros!$C$12,"Alto",IF($R1622&lt;Parametros!$C$13,"Bajo","Medio"))</f>
        <v>Alto</v>
      </c>
      <c r="Z1622" s="61" t="n">
        <v>2030</v>
      </c>
      <c r="AA1622" s="61" t="str">
        <f aca="false">IF(MATCH($A1622,Datos_Origen!$A$2:$A$2459,0)=$Z1622,"OK","REVISAR")</f>
        <v>OK</v>
      </c>
      <c r="AB1622" s="62" t="n">
        <f aca="false">INDEX(Datos_Origen!$B$2:$B$2459,$Z1622)</f>
        <v>45785</v>
      </c>
      <c r="AC1622" s="61" t="n">
        <f aca="false">INDEX(Datos_Origen!$H$2:$H$2459,$Z1622)</f>
        <v>14</v>
      </c>
      <c r="AD1622" s="61" t="str">
        <f aca="false">INDEX(Datos_Origen!$D$2:$D$2459,$Z1622)&amp;""</f>
        <v>Cordoba</v>
      </c>
    </row>
    <row r="1623" customFormat="false" ht="15" hidden="false" customHeight="false" outlineLevel="0" collapsed="false">
      <c r="A1623" s="61" t="n">
        <f aca="false">INDEX(Datos_Origen!$A$2:$A$2459,$Z1623)</f>
        <v>1622</v>
      </c>
      <c r="B1623" s="62" t="n">
        <f aca="false">IF(ISNUMBER($AB1623),$AB1623,IF(MID($AB1623,5,1)="-",DATE(VALUE(LEFT($AB1623,4)),VALUE(MID($AB1623,6,2)),VALUE(RIGHT($AB1623,2))),DATE(VALUE(RIGHT($AB1623,4)),VALUE(MID($AB1623,4,2)),VALUE(LEFT($AB1623,2)))))</f>
        <v>45792</v>
      </c>
      <c r="C1623" s="61" t="n">
        <f aca="false">YEAR($B1623)</f>
        <v>2025</v>
      </c>
      <c r="D1623" s="61" t="str">
        <f aca="false">"Q"&amp;ROUNDUP(MONTH($B1623)/3,0)</f>
        <v>Q2</v>
      </c>
      <c r="E1623" s="61" t="n">
        <f aca="false">MONTH($B1623)</f>
        <v>5</v>
      </c>
      <c r="F1623" s="61" t="str">
        <f aca="false">INDEX(Parametros!$I$5:$I$16,$E1623)</f>
        <v>May</v>
      </c>
      <c r="G1623" s="61" t="str">
        <f aca="false">TEXT($C1623,"0000")&amp;"-"&amp;TEXT($E1623,"00")</f>
        <v>2025-05</v>
      </c>
      <c r="H1623" s="61" t="str">
        <f aca="false">INDEX(Parametros!$C$71:$C$91,MATCH(TRIM(INDEX(Datos_Origen!$C$2:$C$2459,$Z1623)),Parametros!$B$71:$B$91,0))</f>
        <v>Centro</v>
      </c>
      <c r="I1623" s="61" t="str">
        <f aca="false">IF(TRIM($AD1623)="",INDEX(Parametros!$I$20:$I$24,MATCH($H1623,Parametros!$H$20:$H$24,0)),TRIM($AD1623))</f>
        <v>Cordoba</v>
      </c>
      <c r="J1623" s="61" t="str">
        <f aca="false">INDEX(Parametros!$C$95:$C$106,MATCH(TRIM(INDEX(Datos_Origen!$E$2:$E$2459,$Z1623)),Parametros!$B$95:$B$106,0))</f>
        <v>E-commerce</v>
      </c>
      <c r="K1623" s="61" t="str">
        <f aca="false">INDEX(Parametros!$C$48:$C$67,MATCH(TRIM(INDEX(Datos_Origen!$F$2:$F$2459,$Z1623)),Parametros!$B$48:$B$67,0))</f>
        <v>Computacion</v>
      </c>
      <c r="L1623" s="61" t="str">
        <f aca="false">$K1623&amp;" "&amp;$C1623</f>
        <v>Computacion 2025</v>
      </c>
      <c r="M1623" s="61" t="str">
        <f aca="false">TRIM(INDEX(Datos_Origen!$G$2:$G$2459,$Z1623))</f>
        <v>Laptop Pro 15</v>
      </c>
      <c r="N1623" s="61" t="str">
        <f aca="false">$M1623&amp;" "&amp;$C1623</f>
        <v>Laptop Pro 15 2025</v>
      </c>
      <c r="O1623" s="63" t="n">
        <f aca="false">IF(ISTEXT($AC1623),VALUE($AC1623),$AC1623)</f>
        <v>8</v>
      </c>
      <c r="P1623" s="64" t="n">
        <f aca="false">INDEX(Datos_Origen!$I$2:$I$2459,$Z1623)</f>
        <v>1155.06</v>
      </c>
      <c r="Q1623" s="64" t="n">
        <f aca="false">INDEX(Datos_Origen!$J$2:$J$2459,$Z1623)</f>
        <v>766.32</v>
      </c>
      <c r="R1623" s="65" t="n">
        <f aca="false">ROUND($O1623*$P1623,2)</f>
        <v>9240.48</v>
      </c>
      <c r="S1623" s="65" t="n">
        <f aca="false">ROUND($O1623*$Q1623,2)</f>
        <v>6130.56</v>
      </c>
      <c r="T1623" s="65" t="n">
        <f aca="false">ROUND($R1623*SUMIFS(Parametros!$E$28:$E$43,Parametros!$B$28:$B$43,$J1623,Parametros!$C$28:$C$43,$C1623,Parametros!$D$28:$D$43,$D1623),2)</f>
        <v>683.8</v>
      </c>
      <c r="U1623" s="65" t="n">
        <f aca="false">$R1623-$S1623-$T1623</f>
        <v>2426.12</v>
      </c>
      <c r="V1623" s="66" t="n">
        <f aca="false">IFERROR($U1623/$R1623,0)</f>
        <v>0.262553460426298</v>
      </c>
      <c r="W1623" s="67" t="str">
        <f aca="false">IF(AND($V1623&gt;=Parametros!$C$8,$R1623&gt;=Parametros!$C$12),"Alta rentabilidad",IF(OR($V1623&lt;Parametros!$C$11,$R1623&lt;Parametros!$C$13),"Revisar","Estandar"))</f>
        <v>Revisar</v>
      </c>
      <c r="X1623" s="67" t="str">
        <f aca="false">IF(AND($J1623="E-commerce",IFERROR($T1623/$R1623,0)&gt;Parametros!$C$14),"Alerta","OK")</f>
        <v>Alerta</v>
      </c>
      <c r="Y1623" s="61" t="str">
        <f aca="false">IF($R1623&gt;=Parametros!$C$12,"Alto",IF($R1623&lt;Parametros!$C$13,"Bajo","Medio"))</f>
        <v>Alto</v>
      </c>
      <c r="Z1623" s="61" t="n">
        <v>578</v>
      </c>
      <c r="AA1623" s="61" t="str">
        <f aca="false">IF(MATCH($A1623,Datos_Origen!$A$2:$A$2459,0)=$Z1623,"OK","REVISAR")</f>
        <v>OK</v>
      </c>
      <c r="AB1623" s="62" t="n">
        <f aca="false">INDEX(Datos_Origen!$B$2:$B$2459,$Z1623)</f>
        <v>45792</v>
      </c>
      <c r="AC1623" s="61" t="n">
        <f aca="false">INDEX(Datos_Origen!$H$2:$H$2459,$Z1623)</f>
        <v>8</v>
      </c>
      <c r="AD1623" s="61" t="str">
        <f aca="false">INDEX(Datos_Origen!$D$2:$D$2459,$Z1623)&amp;""</f>
        <v>Cordoba</v>
      </c>
    </row>
    <row r="1624" customFormat="false" ht="15" hidden="false" customHeight="false" outlineLevel="0" collapsed="false">
      <c r="A1624" s="61" t="n">
        <f aca="false">INDEX(Datos_Origen!$A$2:$A$2459,$Z1624)</f>
        <v>1623</v>
      </c>
      <c r="B1624" s="62" t="n">
        <f aca="false">IF(ISNUMBER($AB1624),$AB1624,IF(MID($AB1624,5,1)="-",DATE(VALUE(LEFT($AB1624,4)),VALUE(MID($AB1624,6,2)),VALUE(RIGHT($AB1624,2))),DATE(VALUE(RIGHT($AB1624,4)),VALUE(MID($AB1624,4,2)),VALUE(LEFT($AB1624,2)))))</f>
        <v>45799</v>
      </c>
      <c r="C1624" s="61" t="n">
        <f aca="false">YEAR($B1624)</f>
        <v>2025</v>
      </c>
      <c r="D1624" s="61" t="str">
        <f aca="false">"Q"&amp;ROUNDUP(MONTH($B1624)/3,0)</f>
        <v>Q2</v>
      </c>
      <c r="E1624" s="61" t="n">
        <f aca="false">MONTH($B1624)</f>
        <v>5</v>
      </c>
      <c r="F1624" s="61" t="str">
        <f aca="false">INDEX(Parametros!$I$5:$I$16,$E1624)</f>
        <v>May</v>
      </c>
      <c r="G1624" s="61" t="str">
        <f aca="false">TEXT($C1624,"0000")&amp;"-"&amp;TEXT($E1624,"00")</f>
        <v>2025-05</v>
      </c>
      <c r="H1624" s="61" t="str">
        <f aca="false">INDEX(Parametros!$C$71:$C$91,MATCH(TRIM(INDEX(Datos_Origen!$C$2:$C$2459,$Z1624)),Parametros!$B$71:$B$91,0))</f>
        <v>Centro</v>
      </c>
      <c r="I1624" s="61" t="str">
        <f aca="false">IF(TRIM($AD1624)="",INDEX(Parametros!$I$20:$I$24,MATCH($H1624,Parametros!$H$20:$H$24,0)),TRIM($AD1624))</f>
        <v>Cordoba</v>
      </c>
      <c r="J1624" s="61" t="str">
        <f aca="false">INDEX(Parametros!$C$95:$C$106,MATCH(TRIM(INDEX(Datos_Origen!$E$2:$E$2459,$Z1624)),Parametros!$B$95:$B$106,0))</f>
        <v>Tienda fisica</v>
      </c>
      <c r="K1624" s="61" t="str">
        <f aca="false">INDEX(Parametros!$C$48:$C$67,MATCH(TRIM(INDEX(Datos_Origen!$F$2:$F$2459,$Z1624)),Parametros!$B$48:$B$67,0))</f>
        <v>Computacion</v>
      </c>
      <c r="L1624" s="61" t="str">
        <f aca="false">$K1624&amp;" "&amp;$C1624</f>
        <v>Computacion 2025</v>
      </c>
      <c r="M1624" s="61" t="str">
        <f aca="false">TRIM(INDEX(Datos_Origen!$G$2:$G$2459,$Z1624))</f>
        <v>Monitor 4K 27</v>
      </c>
      <c r="N1624" s="61" t="str">
        <f aca="false">$M1624&amp;" "&amp;$C1624</f>
        <v>Monitor 4K 27 2025</v>
      </c>
      <c r="O1624" s="63" t="n">
        <f aca="false">IF(ISTEXT($AC1624),VALUE($AC1624),$AC1624)</f>
        <v>11</v>
      </c>
      <c r="P1624" s="64" t="n">
        <f aca="false">INDEX(Datos_Origen!$I$2:$I$2459,$Z1624)</f>
        <v>433.15</v>
      </c>
      <c r="Q1624" s="64" t="n">
        <f aca="false">INDEX(Datos_Origen!$J$2:$J$2459,$Z1624)</f>
        <v>280.42</v>
      </c>
      <c r="R1624" s="65" t="n">
        <f aca="false">ROUND($O1624*$P1624,2)</f>
        <v>4764.65</v>
      </c>
      <c r="S1624" s="65" t="n">
        <f aca="false">ROUND($O1624*$Q1624,2)</f>
        <v>3084.62</v>
      </c>
      <c r="T1624" s="65" t="n">
        <f aca="false">ROUND($R1624*SUMIFS(Parametros!$E$28:$E$43,Parametros!$B$28:$B$43,$J1624,Parametros!$C$28:$C$43,$C1624,Parametros!$D$28:$D$43,$D1624),2)</f>
        <v>66.71</v>
      </c>
      <c r="U1624" s="65" t="n">
        <f aca="false">$R1624-$S1624-$T1624</f>
        <v>1613.32</v>
      </c>
      <c r="V1624" s="66" t="n">
        <f aca="false">IFERROR($U1624/$R1624,0)</f>
        <v>0.338601995949335</v>
      </c>
      <c r="W1624" s="67" t="str">
        <f aca="false">IF(AND($V1624&gt;=Parametros!$C$8,$R1624&gt;=Parametros!$C$12),"Alta rentabilidad",IF(OR($V1624&lt;Parametros!$C$11,$R1624&lt;Parametros!$C$13),"Revisar","Estandar"))</f>
        <v>Estandar</v>
      </c>
      <c r="X1624" s="67" t="str">
        <f aca="false">IF(AND($J1624="E-commerce",IFERROR($T1624/$R1624,0)&gt;Parametros!$C$14),"Alerta","OK")</f>
        <v>OK</v>
      </c>
      <c r="Y1624" s="61" t="str">
        <f aca="false">IF($R1624&gt;=Parametros!$C$12,"Alto",IF($R1624&lt;Parametros!$C$13,"Bajo","Medio"))</f>
        <v>Alto</v>
      </c>
      <c r="Z1624" s="61" t="n">
        <v>652</v>
      </c>
      <c r="AA1624" s="61" t="str">
        <f aca="false">IF(MATCH($A1624,Datos_Origen!$A$2:$A$2459,0)=$Z1624,"OK","REVISAR")</f>
        <v>OK</v>
      </c>
      <c r="AB1624" s="62" t="n">
        <f aca="false">INDEX(Datos_Origen!$B$2:$B$2459,$Z1624)</f>
        <v>45799</v>
      </c>
      <c r="AC1624" s="61" t="n">
        <f aca="false">INDEX(Datos_Origen!$H$2:$H$2459,$Z1624)</f>
        <v>11</v>
      </c>
      <c r="AD1624" s="61" t="str">
        <f aca="false">INDEX(Datos_Origen!$D$2:$D$2459,$Z1624)&amp;""</f>
        <v>Cordoba</v>
      </c>
    </row>
    <row r="1625" customFormat="false" ht="15" hidden="false" customHeight="false" outlineLevel="0" collapsed="false">
      <c r="A1625" s="61" t="n">
        <f aca="false">INDEX(Datos_Origen!$A$2:$A$2459,$Z1625)</f>
        <v>1624</v>
      </c>
      <c r="B1625" s="62" t="n">
        <f aca="false">IF(ISNUMBER($AB1625),$AB1625,IF(MID($AB1625,5,1)="-",DATE(VALUE(LEFT($AB1625,4)),VALUE(MID($AB1625,6,2)),VALUE(RIGHT($AB1625,2))),DATE(VALUE(RIGHT($AB1625,4)),VALUE(MID($AB1625,4,2)),VALUE(LEFT($AB1625,2)))))</f>
        <v>45779</v>
      </c>
      <c r="C1625" s="61" t="n">
        <f aca="false">YEAR($B1625)</f>
        <v>2025</v>
      </c>
      <c r="D1625" s="61" t="str">
        <f aca="false">"Q"&amp;ROUNDUP(MONTH($B1625)/3,0)</f>
        <v>Q2</v>
      </c>
      <c r="E1625" s="61" t="n">
        <f aca="false">MONTH($B1625)</f>
        <v>5</v>
      </c>
      <c r="F1625" s="61" t="str">
        <f aca="false">INDEX(Parametros!$I$5:$I$16,$E1625)</f>
        <v>May</v>
      </c>
      <c r="G1625" s="61" t="str">
        <f aca="false">TEXT($C1625,"0000")&amp;"-"&amp;TEXT($E1625,"00")</f>
        <v>2025-05</v>
      </c>
      <c r="H1625" s="61" t="str">
        <f aca="false">INDEX(Parametros!$C$71:$C$91,MATCH(TRIM(INDEX(Datos_Origen!$C$2:$C$2459,$Z1625)),Parametros!$B$71:$B$91,0))</f>
        <v>Centro</v>
      </c>
      <c r="I1625" s="61" t="str">
        <f aca="false">IF(TRIM($AD1625)="",INDEX(Parametros!$I$20:$I$24,MATCH($H1625,Parametros!$H$20:$H$24,0)),TRIM($AD1625))</f>
        <v>Cordoba</v>
      </c>
      <c r="J1625" s="61" t="str">
        <f aca="false">INDEX(Parametros!$C$95:$C$106,MATCH(TRIM(INDEX(Datos_Origen!$E$2:$E$2459,$Z1625)),Parametros!$B$95:$B$106,0))</f>
        <v>E-commerce</v>
      </c>
      <c r="K1625" s="61" t="str">
        <f aca="false">INDEX(Parametros!$C$48:$C$67,MATCH(TRIM(INDEX(Datos_Origen!$F$2:$F$2459,$Z1625)),Parametros!$B$48:$B$67,0))</f>
        <v>Computacion</v>
      </c>
      <c r="L1625" s="61" t="str">
        <f aca="false">$K1625&amp;" "&amp;$C1625</f>
        <v>Computacion 2025</v>
      </c>
      <c r="M1625" s="61" t="str">
        <f aca="false">TRIM(INDEX(Datos_Origen!$G$2:$G$2459,$Z1625))</f>
        <v>Monitor 4K 27</v>
      </c>
      <c r="N1625" s="61" t="str">
        <f aca="false">$M1625&amp;" "&amp;$C1625</f>
        <v>Monitor 4K 27 2025</v>
      </c>
      <c r="O1625" s="63" t="n">
        <f aca="false">IF(ISTEXT($AC1625),VALUE($AC1625),$AC1625)</f>
        <v>9</v>
      </c>
      <c r="P1625" s="64" t="n">
        <f aca="false">INDEX(Datos_Origen!$I$2:$I$2459,$Z1625)</f>
        <v>433.15</v>
      </c>
      <c r="Q1625" s="64" t="n">
        <f aca="false">INDEX(Datos_Origen!$J$2:$J$2459,$Z1625)</f>
        <v>280.42</v>
      </c>
      <c r="R1625" s="65" t="n">
        <f aca="false">ROUND($O1625*$P1625,2)</f>
        <v>3898.35</v>
      </c>
      <c r="S1625" s="65" t="n">
        <f aca="false">ROUND($O1625*$Q1625,2)</f>
        <v>2523.78</v>
      </c>
      <c r="T1625" s="65" t="n">
        <f aca="false">ROUND($R1625*SUMIFS(Parametros!$E$28:$E$43,Parametros!$B$28:$B$43,$J1625,Parametros!$C$28:$C$43,$C1625,Parametros!$D$28:$D$43,$D1625),2)</f>
        <v>288.48</v>
      </c>
      <c r="U1625" s="65" t="n">
        <f aca="false">$R1625-$S1625-$T1625</f>
        <v>1086.09</v>
      </c>
      <c r="V1625" s="66" t="n">
        <f aca="false">IFERROR($U1625/$R1625,0)</f>
        <v>0.278602485667013</v>
      </c>
      <c r="W1625" s="67" t="str">
        <f aca="false">IF(AND($V1625&gt;=Parametros!$C$8,$R1625&gt;=Parametros!$C$12),"Alta rentabilidad",IF(OR($V1625&lt;Parametros!$C$11,$R1625&lt;Parametros!$C$13),"Revisar","Estandar"))</f>
        <v>Revisar</v>
      </c>
      <c r="X1625" s="67" t="str">
        <f aca="false">IF(AND($J1625="E-commerce",IFERROR($T1625/$R1625,0)&gt;Parametros!$C$14),"Alerta","OK")</f>
        <v>Alerta</v>
      </c>
      <c r="Y1625" s="61" t="str">
        <f aca="false">IF($R1625&gt;=Parametros!$C$12,"Alto",IF($R1625&lt;Parametros!$C$13,"Bajo","Medio"))</f>
        <v>Alto</v>
      </c>
      <c r="Z1625" s="61" t="n">
        <v>143</v>
      </c>
      <c r="AA1625" s="61" t="str">
        <f aca="false">IF(MATCH($A1625,Datos_Origen!$A$2:$A$2459,0)=$Z1625,"OK","REVISAR")</f>
        <v>OK</v>
      </c>
      <c r="AB1625" s="62" t="n">
        <f aca="false">INDEX(Datos_Origen!$B$2:$B$2459,$Z1625)</f>
        <v>45779</v>
      </c>
      <c r="AC1625" s="61" t="n">
        <f aca="false">INDEX(Datos_Origen!$H$2:$H$2459,$Z1625)</f>
        <v>9</v>
      </c>
      <c r="AD1625" s="61" t="str">
        <f aca="false">INDEX(Datos_Origen!$D$2:$D$2459,$Z1625)&amp;""</f>
        <v>Cordoba</v>
      </c>
    </row>
    <row r="1626" customFormat="false" ht="15" hidden="false" customHeight="false" outlineLevel="0" collapsed="false">
      <c r="A1626" s="61" t="n">
        <f aca="false">INDEX(Datos_Origen!$A$2:$A$2459,$Z1626)</f>
        <v>1625</v>
      </c>
      <c r="B1626" s="62" t="n">
        <f aca="false">IF(ISNUMBER($AB1626),$AB1626,IF(MID($AB1626,5,1)="-",DATE(VALUE(LEFT($AB1626,4)),VALUE(MID($AB1626,6,2)),VALUE(RIGHT($AB1626,2))),DATE(VALUE(RIGHT($AB1626,4)),VALUE(MID($AB1626,4,2)),VALUE(LEFT($AB1626,2)))))</f>
        <v>45786</v>
      </c>
      <c r="C1626" s="61" t="n">
        <f aca="false">YEAR($B1626)</f>
        <v>2025</v>
      </c>
      <c r="D1626" s="61" t="str">
        <f aca="false">"Q"&amp;ROUNDUP(MONTH($B1626)/3,0)</f>
        <v>Q2</v>
      </c>
      <c r="E1626" s="61" t="n">
        <f aca="false">MONTH($B1626)</f>
        <v>5</v>
      </c>
      <c r="F1626" s="61" t="str">
        <f aca="false">INDEX(Parametros!$I$5:$I$16,$E1626)</f>
        <v>May</v>
      </c>
      <c r="G1626" s="61" t="str">
        <f aca="false">TEXT($C1626,"0000")&amp;"-"&amp;TEXT($E1626,"00")</f>
        <v>2025-05</v>
      </c>
      <c r="H1626" s="61" t="str">
        <f aca="false">INDEX(Parametros!$C$71:$C$91,MATCH(TRIM(INDEX(Datos_Origen!$C$2:$C$2459,$Z1626)),Parametros!$B$71:$B$91,0))</f>
        <v>Centro</v>
      </c>
      <c r="I1626" s="61" t="str">
        <f aca="false">IF(TRIM($AD1626)="",INDEX(Parametros!$I$20:$I$24,MATCH($H1626,Parametros!$H$20:$H$24,0)),TRIM($AD1626))</f>
        <v>Cordoba</v>
      </c>
      <c r="J1626" s="61" t="str">
        <f aca="false">INDEX(Parametros!$C$95:$C$106,MATCH(TRIM(INDEX(Datos_Origen!$E$2:$E$2459,$Z1626)),Parametros!$B$95:$B$106,0))</f>
        <v>Tienda fisica</v>
      </c>
      <c r="K1626" s="61" t="str">
        <f aca="false">INDEX(Parametros!$C$48:$C$67,MATCH(TRIM(INDEX(Datos_Origen!$F$2:$F$2459,$Z1626)),Parametros!$B$48:$B$67,0))</f>
        <v>Computacion</v>
      </c>
      <c r="L1626" s="61" t="str">
        <f aca="false">$K1626&amp;" "&amp;$C1626</f>
        <v>Computacion 2025</v>
      </c>
      <c r="M1626" s="61" t="str">
        <f aca="false">TRIM(INDEX(Datos_Origen!$G$2:$G$2459,$Z1626))</f>
        <v>PC Gamer Ryzen</v>
      </c>
      <c r="N1626" s="61" t="str">
        <f aca="false">$M1626&amp;" "&amp;$C1626</f>
        <v>PC Gamer Ryzen 2025</v>
      </c>
      <c r="O1626" s="63" t="n">
        <f aca="false">IF(ISTEXT($AC1626),VALUE($AC1626),$AC1626)</f>
        <v>11</v>
      </c>
      <c r="P1626" s="64" t="n">
        <f aca="false">INDEX(Datos_Origen!$I$2:$I$2459,$Z1626)</f>
        <v>1588.21</v>
      </c>
      <c r="Q1626" s="64" t="n">
        <f aca="false">INDEX(Datos_Origen!$J$2:$J$2459,$Z1626)</f>
        <v>1155.66</v>
      </c>
      <c r="R1626" s="65" t="n">
        <f aca="false">ROUND($O1626*$P1626,2)</f>
        <v>17470.31</v>
      </c>
      <c r="S1626" s="65" t="n">
        <f aca="false">ROUND($O1626*$Q1626,2)</f>
        <v>12712.26</v>
      </c>
      <c r="T1626" s="65" t="n">
        <f aca="false">ROUND($R1626*SUMIFS(Parametros!$E$28:$E$43,Parametros!$B$28:$B$43,$J1626,Parametros!$C$28:$C$43,$C1626,Parametros!$D$28:$D$43,$D1626),2)</f>
        <v>244.58</v>
      </c>
      <c r="U1626" s="65" t="n">
        <f aca="false">$R1626-$S1626-$T1626</f>
        <v>4513.47</v>
      </c>
      <c r="V1626" s="66" t="n">
        <f aca="false">IFERROR($U1626/$R1626,0)</f>
        <v>0.25835088215378</v>
      </c>
      <c r="W1626" s="67" t="str">
        <f aca="false">IF(AND($V1626&gt;=Parametros!$C$8,$R1626&gt;=Parametros!$C$12),"Alta rentabilidad",IF(OR($V1626&lt;Parametros!$C$11,$R1626&lt;Parametros!$C$13),"Revisar","Estandar"))</f>
        <v>Revisar</v>
      </c>
      <c r="X1626" s="67" t="str">
        <f aca="false">IF(AND($J1626="E-commerce",IFERROR($T1626/$R1626,0)&gt;Parametros!$C$14),"Alerta","OK")</f>
        <v>OK</v>
      </c>
      <c r="Y1626" s="61" t="str">
        <f aca="false">IF($R1626&gt;=Parametros!$C$12,"Alto",IF($R1626&lt;Parametros!$C$13,"Bajo","Medio"))</f>
        <v>Alto</v>
      </c>
      <c r="Z1626" s="61" t="n">
        <v>1437</v>
      </c>
      <c r="AA1626" s="61" t="str">
        <f aca="false">IF(MATCH($A1626,Datos_Origen!$A$2:$A$2459,0)=$Z1626,"OK","REVISAR")</f>
        <v>OK</v>
      </c>
      <c r="AB1626" s="62" t="n">
        <f aca="false">INDEX(Datos_Origen!$B$2:$B$2459,$Z1626)</f>
        <v>45786</v>
      </c>
      <c r="AC1626" s="61" t="n">
        <f aca="false">INDEX(Datos_Origen!$H$2:$H$2459,$Z1626)</f>
        <v>11</v>
      </c>
      <c r="AD1626" s="61" t="str">
        <f aca="false">INDEX(Datos_Origen!$D$2:$D$2459,$Z1626)&amp;""</f>
        <v>Cordoba</v>
      </c>
    </row>
    <row r="1627" customFormat="false" ht="15" hidden="false" customHeight="false" outlineLevel="0" collapsed="false">
      <c r="A1627" s="61" t="n">
        <f aca="false">INDEX(Datos_Origen!$A$2:$A$2459,$Z1627)</f>
        <v>1626</v>
      </c>
      <c r="B1627" s="62" t="n">
        <f aca="false">IF(ISNUMBER($AB1627),$AB1627,IF(MID($AB1627,5,1)="-",DATE(VALUE(LEFT($AB1627,4)),VALUE(MID($AB1627,6,2)),VALUE(RIGHT($AB1627,2))),DATE(VALUE(RIGHT($AB1627,4)),VALUE(MID($AB1627,4,2)),VALUE(LEFT($AB1627,2)))))</f>
        <v>45793</v>
      </c>
      <c r="C1627" s="61" t="n">
        <f aca="false">YEAR($B1627)</f>
        <v>2025</v>
      </c>
      <c r="D1627" s="61" t="str">
        <f aca="false">"Q"&amp;ROUNDUP(MONTH($B1627)/3,0)</f>
        <v>Q2</v>
      </c>
      <c r="E1627" s="61" t="n">
        <f aca="false">MONTH($B1627)</f>
        <v>5</v>
      </c>
      <c r="F1627" s="61" t="str">
        <f aca="false">INDEX(Parametros!$I$5:$I$16,$E1627)</f>
        <v>May</v>
      </c>
      <c r="G1627" s="61" t="str">
        <f aca="false">TEXT($C1627,"0000")&amp;"-"&amp;TEXT($E1627,"00")</f>
        <v>2025-05</v>
      </c>
      <c r="H1627" s="61" t="str">
        <f aca="false">INDEX(Parametros!$C$71:$C$91,MATCH(TRIM(INDEX(Datos_Origen!$C$2:$C$2459,$Z1627)),Parametros!$B$71:$B$91,0))</f>
        <v>Centro</v>
      </c>
      <c r="I1627" s="61" t="str">
        <f aca="false">IF(TRIM($AD1627)="",INDEX(Parametros!$I$20:$I$24,MATCH($H1627,Parametros!$H$20:$H$24,0)),TRIM($AD1627))</f>
        <v>Cordoba</v>
      </c>
      <c r="J1627" s="61" t="str">
        <f aca="false">INDEX(Parametros!$C$95:$C$106,MATCH(TRIM(INDEX(Datos_Origen!$E$2:$E$2459,$Z1627)),Parametros!$B$95:$B$106,0))</f>
        <v>E-commerce</v>
      </c>
      <c r="K1627" s="61" t="str">
        <f aca="false">INDEX(Parametros!$C$48:$C$67,MATCH(TRIM(INDEX(Datos_Origen!$F$2:$F$2459,$Z1627)),Parametros!$B$48:$B$67,0))</f>
        <v>Computacion</v>
      </c>
      <c r="L1627" s="61" t="str">
        <f aca="false">$K1627&amp;" "&amp;$C1627</f>
        <v>Computacion 2025</v>
      </c>
      <c r="M1627" s="61" t="str">
        <f aca="false">TRIM(INDEX(Datos_Origen!$G$2:$G$2459,$Z1627))</f>
        <v>PC Gamer Ryzen</v>
      </c>
      <c r="N1627" s="61" t="str">
        <f aca="false">$M1627&amp;" "&amp;$C1627</f>
        <v>PC Gamer Ryzen 2025</v>
      </c>
      <c r="O1627" s="63" t="n">
        <f aca="false">IF(ISTEXT($AC1627),VALUE($AC1627),$AC1627)</f>
        <v>9</v>
      </c>
      <c r="P1627" s="64" t="n">
        <f aca="false">INDEX(Datos_Origen!$I$2:$I$2459,$Z1627)</f>
        <v>1588.21</v>
      </c>
      <c r="Q1627" s="64" t="n">
        <f aca="false">INDEX(Datos_Origen!$J$2:$J$2459,$Z1627)</f>
        <v>1155.66</v>
      </c>
      <c r="R1627" s="65" t="n">
        <f aca="false">ROUND($O1627*$P1627,2)</f>
        <v>14293.89</v>
      </c>
      <c r="S1627" s="65" t="n">
        <f aca="false">ROUND($O1627*$Q1627,2)</f>
        <v>10400.94</v>
      </c>
      <c r="T1627" s="65" t="n">
        <f aca="false">ROUND($R1627*SUMIFS(Parametros!$E$28:$E$43,Parametros!$B$28:$B$43,$J1627,Parametros!$C$28:$C$43,$C1627,Parametros!$D$28:$D$43,$D1627),2)</f>
        <v>1057.75</v>
      </c>
      <c r="U1627" s="65" t="n">
        <f aca="false">$R1627-$S1627-$T1627</f>
        <v>2835.2</v>
      </c>
      <c r="V1627" s="66" t="n">
        <f aca="false">IFERROR($U1627/$R1627,0)</f>
        <v>0.198350484017996</v>
      </c>
      <c r="W1627" s="67" t="str">
        <f aca="false">IF(AND($V1627&gt;=Parametros!$C$8,$R1627&gt;=Parametros!$C$12),"Alta rentabilidad",IF(OR($V1627&lt;Parametros!$C$11,$R1627&lt;Parametros!$C$13),"Revisar","Estandar"))</f>
        <v>Revisar</v>
      </c>
      <c r="X1627" s="67" t="str">
        <f aca="false">IF(AND($J1627="E-commerce",IFERROR($T1627/$R1627,0)&gt;Parametros!$C$14),"Alerta","OK")</f>
        <v>Alerta</v>
      </c>
      <c r="Y1627" s="61" t="str">
        <f aca="false">IF($R1627&gt;=Parametros!$C$12,"Alto",IF($R1627&lt;Parametros!$C$13,"Bajo","Medio"))</f>
        <v>Alto</v>
      </c>
      <c r="Z1627" s="61" t="n">
        <v>903</v>
      </c>
      <c r="AA1627" s="61" t="str">
        <f aca="false">IF(MATCH($A1627,Datos_Origen!$A$2:$A$2459,0)=$Z1627,"OK","REVISAR")</f>
        <v>OK</v>
      </c>
      <c r="AB1627" s="61" t="str">
        <f aca="false">INDEX(Datos_Origen!$B$2:$B$2459,$Z1627)</f>
        <v>16/05/2025</v>
      </c>
      <c r="AC1627" s="61" t="n">
        <f aca="false">INDEX(Datos_Origen!$H$2:$H$2459,$Z1627)</f>
        <v>9</v>
      </c>
      <c r="AD1627" s="61" t="str">
        <f aca="false">INDEX(Datos_Origen!$D$2:$D$2459,$Z1627)&amp;""</f>
        <v>Cordoba</v>
      </c>
    </row>
    <row r="1628" customFormat="false" ht="15" hidden="false" customHeight="false" outlineLevel="0" collapsed="false">
      <c r="A1628" s="61" t="n">
        <f aca="false">INDEX(Datos_Origen!$A$2:$A$2459,$Z1628)</f>
        <v>1627</v>
      </c>
      <c r="B1628" s="62" t="n">
        <f aca="false">IF(ISNUMBER($AB1628),$AB1628,IF(MID($AB1628,5,1)="-",DATE(VALUE(LEFT($AB1628,4)),VALUE(MID($AB1628,6,2)),VALUE(RIGHT($AB1628,2))),DATE(VALUE(RIGHT($AB1628,4)),VALUE(MID($AB1628,4,2)),VALUE(LEFT($AB1628,2)))))</f>
        <v>45800</v>
      </c>
      <c r="C1628" s="61" t="n">
        <f aca="false">YEAR($B1628)</f>
        <v>2025</v>
      </c>
      <c r="D1628" s="61" t="str">
        <f aca="false">"Q"&amp;ROUNDUP(MONTH($B1628)/3,0)</f>
        <v>Q2</v>
      </c>
      <c r="E1628" s="61" t="n">
        <f aca="false">MONTH($B1628)</f>
        <v>5</v>
      </c>
      <c r="F1628" s="61" t="str">
        <f aca="false">INDEX(Parametros!$I$5:$I$16,$E1628)</f>
        <v>May</v>
      </c>
      <c r="G1628" s="61" t="str">
        <f aca="false">TEXT($C1628,"0000")&amp;"-"&amp;TEXT($E1628,"00")</f>
        <v>2025-05</v>
      </c>
      <c r="H1628" s="61" t="str">
        <f aca="false">INDEX(Parametros!$C$71:$C$91,MATCH(TRIM(INDEX(Datos_Origen!$C$2:$C$2459,$Z1628)),Parametros!$B$71:$B$91,0))</f>
        <v>Centro</v>
      </c>
      <c r="I1628" s="61" t="str">
        <f aca="false">IF(TRIM($AD1628)="",INDEX(Parametros!$I$20:$I$24,MATCH($H1628,Parametros!$H$20:$H$24,0)),TRIM($AD1628))</f>
        <v>Cordoba</v>
      </c>
      <c r="J1628" s="61" t="str">
        <f aca="false">INDEX(Parametros!$C$95:$C$106,MATCH(TRIM(INDEX(Datos_Origen!$E$2:$E$2459,$Z1628)),Parametros!$B$95:$B$106,0))</f>
        <v>Tienda fisica</v>
      </c>
      <c r="K1628" s="61" t="str">
        <f aca="false">INDEX(Parametros!$C$48:$C$67,MATCH(TRIM(INDEX(Datos_Origen!$F$2:$F$2459,$Z1628)),Parametros!$B$48:$B$67,0))</f>
        <v>Accesorios</v>
      </c>
      <c r="L1628" s="61" t="str">
        <f aca="false">$K1628&amp;" "&amp;$C1628</f>
        <v>Accesorios 2025</v>
      </c>
      <c r="M1628" s="61" t="str">
        <f aca="false">TRIM(INDEX(Datos_Origen!$G$2:$G$2459,$Z1628))</f>
        <v>Mouse Inalambrico</v>
      </c>
      <c r="N1628" s="61" t="str">
        <f aca="false">$M1628&amp;" "&amp;$C1628</f>
        <v>Mouse Inalambrico 2025</v>
      </c>
      <c r="O1628" s="63" t="n">
        <f aca="false">IF(ISTEXT($AC1628),VALUE($AC1628),$AC1628)</f>
        <v>48</v>
      </c>
      <c r="P1628" s="64" t="n">
        <f aca="false">INDEX(Datos_Origen!$I$2:$I$2459,$Z1628)</f>
        <v>27.82</v>
      </c>
      <c r="Q1628" s="64" t="n">
        <f aca="false">INDEX(Datos_Origen!$J$2:$J$2459,$Z1628)</f>
        <v>13.84</v>
      </c>
      <c r="R1628" s="65" t="n">
        <f aca="false">ROUND($O1628*$P1628,2)</f>
        <v>1335.36</v>
      </c>
      <c r="S1628" s="65" t="n">
        <f aca="false">ROUND($O1628*$Q1628,2)</f>
        <v>664.32</v>
      </c>
      <c r="T1628" s="65" t="n">
        <f aca="false">ROUND($R1628*SUMIFS(Parametros!$E$28:$E$43,Parametros!$B$28:$B$43,$J1628,Parametros!$C$28:$C$43,$C1628,Parametros!$D$28:$D$43,$D1628),2)</f>
        <v>18.7</v>
      </c>
      <c r="U1628" s="65" t="n">
        <f aca="false">$R1628-$S1628-$T1628</f>
        <v>652.34</v>
      </c>
      <c r="V1628" s="66" t="n">
        <f aca="false">IFERROR($U1628/$R1628,0)</f>
        <v>0.48851246105919</v>
      </c>
      <c r="W1628" s="67" t="str">
        <f aca="false">IF(AND($V1628&gt;=Parametros!$C$8,$R1628&gt;=Parametros!$C$12),"Alta rentabilidad",IF(OR($V1628&lt;Parametros!$C$11,$R1628&lt;Parametros!$C$13),"Revisar","Estandar"))</f>
        <v>Estandar</v>
      </c>
      <c r="X1628" s="67" t="str">
        <f aca="false">IF(AND($J1628="E-commerce",IFERROR($T1628/$R1628,0)&gt;Parametros!$C$14),"Alerta","OK")</f>
        <v>OK</v>
      </c>
      <c r="Y1628" s="61" t="str">
        <f aca="false">IF($R1628&gt;=Parametros!$C$12,"Alto",IF($R1628&lt;Parametros!$C$13,"Bajo","Medio"))</f>
        <v>Medio</v>
      </c>
      <c r="Z1628" s="61" t="n">
        <v>1663</v>
      </c>
      <c r="AA1628" s="61" t="str">
        <f aca="false">IF(MATCH($A1628,Datos_Origen!$A$2:$A$2459,0)=$Z1628,"OK","REVISAR")</f>
        <v>OK</v>
      </c>
      <c r="AB1628" s="62" t="n">
        <f aca="false">INDEX(Datos_Origen!$B$2:$B$2459,$Z1628)</f>
        <v>45800</v>
      </c>
      <c r="AC1628" s="61" t="str">
        <f aca="false">INDEX(Datos_Origen!$H$2:$H$2459,$Z1628)</f>
        <v>48</v>
      </c>
      <c r="AD1628" s="61" t="str">
        <f aca="false">INDEX(Datos_Origen!$D$2:$D$2459,$Z1628)&amp;""</f>
        <v>Cordoba</v>
      </c>
    </row>
    <row r="1629" customFormat="false" ht="15" hidden="false" customHeight="false" outlineLevel="0" collapsed="false">
      <c r="A1629" s="61" t="n">
        <f aca="false">INDEX(Datos_Origen!$A$2:$A$2459,$Z1629)</f>
        <v>1628</v>
      </c>
      <c r="B1629" s="62" t="n">
        <f aca="false">IF(ISNUMBER($AB1629),$AB1629,IF(MID($AB1629,5,1)="-",DATE(VALUE(LEFT($AB1629,4)),VALUE(MID($AB1629,6,2)),VALUE(RIGHT($AB1629,2))),DATE(VALUE(RIGHT($AB1629,4)),VALUE(MID($AB1629,4,2)),VALUE(LEFT($AB1629,2)))))</f>
        <v>45780</v>
      </c>
      <c r="C1629" s="61" t="n">
        <f aca="false">YEAR($B1629)</f>
        <v>2025</v>
      </c>
      <c r="D1629" s="61" t="str">
        <f aca="false">"Q"&amp;ROUNDUP(MONTH($B1629)/3,0)</f>
        <v>Q2</v>
      </c>
      <c r="E1629" s="61" t="n">
        <f aca="false">MONTH($B1629)</f>
        <v>5</v>
      </c>
      <c r="F1629" s="61" t="str">
        <f aca="false">INDEX(Parametros!$I$5:$I$16,$E1629)</f>
        <v>May</v>
      </c>
      <c r="G1629" s="61" t="str">
        <f aca="false">TEXT($C1629,"0000")&amp;"-"&amp;TEXT($E1629,"00")</f>
        <v>2025-05</v>
      </c>
      <c r="H1629" s="61" t="str">
        <f aca="false">INDEX(Parametros!$C$71:$C$91,MATCH(TRIM(INDEX(Datos_Origen!$C$2:$C$2459,$Z1629)),Parametros!$B$71:$B$91,0))</f>
        <v>Centro</v>
      </c>
      <c r="I1629" s="61" t="str">
        <f aca="false">IF(TRIM($AD1629)="",INDEX(Parametros!$I$20:$I$24,MATCH($H1629,Parametros!$H$20:$H$24,0)),TRIM($AD1629))</f>
        <v>Cordoba</v>
      </c>
      <c r="J1629" s="61" t="str">
        <f aca="false">INDEX(Parametros!$C$95:$C$106,MATCH(TRIM(INDEX(Datos_Origen!$E$2:$E$2459,$Z1629)),Parametros!$B$95:$B$106,0))</f>
        <v>E-commerce</v>
      </c>
      <c r="K1629" s="61" t="str">
        <f aca="false">INDEX(Parametros!$C$48:$C$67,MATCH(TRIM(INDEX(Datos_Origen!$F$2:$F$2459,$Z1629)),Parametros!$B$48:$B$67,0))</f>
        <v>Accesorios</v>
      </c>
      <c r="L1629" s="61" t="str">
        <f aca="false">$K1629&amp;" "&amp;$C1629</f>
        <v>Accesorios 2025</v>
      </c>
      <c r="M1629" s="61" t="str">
        <f aca="false">TRIM(INDEX(Datos_Origen!$G$2:$G$2459,$Z1629))</f>
        <v>Mouse Inalambrico</v>
      </c>
      <c r="N1629" s="61" t="str">
        <f aca="false">$M1629&amp;" "&amp;$C1629</f>
        <v>Mouse Inalambrico 2025</v>
      </c>
      <c r="O1629" s="63" t="n">
        <f aca="false">IF(ISTEXT($AC1629),VALUE($AC1629),$AC1629)</f>
        <v>39</v>
      </c>
      <c r="P1629" s="64" t="n">
        <f aca="false">INDEX(Datos_Origen!$I$2:$I$2459,$Z1629)</f>
        <v>27.82</v>
      </c>
      <c r="Q1629" s="64" t="n">
        <f aca="false">INDEX(Datos_Origen!$J$2:$J$2459,$Z1629)</f>
        <v>13.84</v>
      </c>
      <c r="R1629" s="65" t="n">
        <f aca="false">ROUND($O1629*$P1629,2)</f>
        <v>1084.98</v>
      </c>
      <c r="S1629" s="65" t="n">
        <f aca="false">ROUND($O1629*$Q1629,2)</f>
        <v>539.76</v>
      </c>
      <c r="T1629" s="65" t="n">
        <f aca="false">ROUND($R1629*SUMIFS(Parametros!$E$28:$E$43,Parametros!$B$28:$B$43,$J1629,Parametros!$C$28:$C$43,$C1629,Parametros!$D$28:$D$43,$D1629),2)</f>
        <v>80.29</v>
      </c>
      <c r="U1629" s="65" t="n">
        <f aca="false">$R1629-$S1629-$T1629</f>
        <v>464.93</v>
      </c>
      <c r="V1629" s="66" t="n">
        <f aca="false">IFERROR($U1629/$R1629,0)</f>
        <v>0.428514811332928</v>
      </c>
      <c r="W1629" s="67" t="str">
        <f aca="false">IF(AND($V1629&gt;=Parametros!$C$8,$R1629&gt;=Parametros!$C$12),"Alta rentabilidad",IF(OR($V1629&lt;Parametros!$C$11,$R1629&lt;Parametros!$C$13),"Revisar","Estandar"))</f>
        <v>Estandar</v>
      </c>
      <c r="X1629" s="67" t="str">
        <f aca="false">IF(AND($J1629="E-commerce",IFERROR($T1629/$R1629,0)&gt;Parametros!$C$14),"Alerta","OK")</f>
        <v>Alerta</v>
      </c>
      <c r="Y1629" s="61" t="str">
        <f aca="false">IF($R1629&gt;=Parametros!$C$12,"Alto",IF($R1629&lt;Parametros!$C$13,"Bajo","Medio"))</f>
        <v>Medio</v>
      </c>
      <c r="Z1629" s="61" t="n">
        <v>2063</v>
      </c>
      <c r="AA1629" s="61" t="str">
        <f aca="false">IF(MATCH($A1629,Datos_Origen!$A$2:$A$2459,0)=$Z1629,"OK","REVISAR")</f>
        <v>OK</v>
      </c>
      <c r="AB1629" s="62" t="n">
        <f aca="false">INDEX(Datos_Origen!$B$2:$B$2459,$Z1629)</f>
        <v>45780</v>
      </c>
      <c r="AC1629" s="61" t="str">
        <f aca="false">INDEX(Datos_Origen!$H$2:$H$2459,$Z1629)</f>
        <v>39</v>
      </c>
      <c r="AD1629" s="61" t="str">
        <f aca="false">INDEX(Datos_Origen!$D$2:$D$2459,$Z1629)&amp;""</f>
        <v/>
      </c>
    </row>
    <row r="1630" customFormat="false" ht="15" hidden="false" customHeight="false" outlineLevel="0" collapsed="false">
      <c r="A1630" s="61" t="n">
        <f aca="false">INDEX(Datos_Origen!$A$2:$A$2459,$Z1630)</f>
        <v>1629</v>
      </c>
      <c r="B1630" s="62" t="n">
        <f aca="false">IF(ISNUMBER($AB1630),$AB1630,IF(MID($AB1630,5,1)="-",DATE(VALUE(LEFT($AB1630,4)),VALUE(MID($AB1630,6,2)),VALUE(RIGHT($AB1630,2))),DATE(VALUE(RIGHT($AB1630,4)),VALUE(MID($AB1630,4,2)),VALUE(LEFT($AB1630,2)))))</f>
        <v>45787</v>
      </c>
      <c r="C1630" s="61" t="n">
        <f aca="false">YEAR($B1630)</f>
        <v>2025</v>
      </c>
      <c r="D1630" s="61" t="str">
        <f aca="false">"Q"&amp;ROUNDUP(MONTH($B1630)/3,0)</f>
        <v>Q2</v>
      </c>
      <c r="E1630" s="61" t="n">
        <f aca="false">MONTH($B1630)</f>
        <v>5</v>
      </c>
      <c r="F1630" s="61" t="str">
        <f aca="false">INDEX(Parametros!$I$5:$I$16,$E1630)</f>
        <v>May</v>
      </c>
      <c r="G1630" s="61" t="str">
        <f aca="false">TEXT($C1630,"0000")&amp;"-"&amp;TEXT($E1630,"00")</f>
        <v>2025-05</v>
      </c>
      <c r="H1630" s="61" t="str">
        <f aca="false">INDEX(Parametros!$C$71:$C$91,MATCH(TRIM(INDEX(Datos_Origen!$C$2:$C$2459,$Z1630)),Parametros!$B$71:$B$91,0))</f>
        <v>Centro</v>
      </c>
      <c r="I1630" s="61" t="str">
        <f aca="false">IF(TRIM($AD1630)="",INDEX(Parametros!$I$20:$I$24,MATCH($H1630,Parametros!$H$20:$H$24,0)),TRIM($AD1630))</f>
        <v>Cordoba</v>
      </c>
      <c r="J1630" s="61" t="str">
        <f aca="false">INDEX(Parametros!$C$95:$C$106,MATCH(TRIM(INDEX(Datos_Origen!$E$2:$E$2459,$Z1630)),Parametros!$B$95:$B$106,0))</f>
        <v>Tienda fisica</v>
      </c>
      <c r="K1630" s="61" t="str">
        <f aca="false">INDEX(Parametros!$C$48:$C$67,MATCH(TRIM(INDEX(Datos_Origen!$F$2:$F$2459,$Z1630)),Parametros!$B$48:$B$67,0))</f>
        <v>Accesorios</v>
      </c>
      <c r="L1630" s="61" t="str">
        <f aca="false">$K1630&amp;" "&amp;$C1630</f>
        <v>Accesorios 2025</v>
      </c>
      <c r="M1630" s="61" t="str">
        <f aca="false">TRIM(INDEX(Datos_Origen!$G$2:$G$2459,$Z1630))</f>
        <v>Teclado Mecanico</v>
      </c>
      <c r="N1630" s="61" t="str">
        <f aca="false">$M1630&amp;" "&amp;$C1630</f>
        <v>Teclado Mecanico 2025</v>
      </c>
      <c r="O1630" s="63" t="n">
        <f aca="false">IF(ISTEXT($AC1630),VALUE($AC1630),$AC1630)</f>
        <v>46</v>
      </c>
      <c r="P1630" s="64" t="n">
        <f aca="false">INDEX(Datos_Origen!$I$2:$I$2459,$Z1630)</f>
        <v>94.39</v>
      </c>
      <c r="Q1630" s="64" t="n">
        <f aca="false">INDEX(Datos_Origen!$J$2:$J$2459,$Z1630)</f>
        <v>49.41</v>
      </c>
      <c r="R1630" s="65" t="n">
        <f aca="false">ROUND($O1630*$P1630,2)</f>
        <v>4341.94</v>
      </c>
      <c r="S1630" s="65" t="n">
        <f aca="false">ROUND($O1630*$Q1630,2)</f>
        <v>2272.86</v>
      </c>
      <c r="T1630" s="65" t="n">
        <f aca="false">ROUND($R1630*SUMIFS(Parametros!$E$28:$E$43,Parametros!$B$28:$B$43,$J1630,Parametros!$C$28:$C$43,$C1630,Parametros!$D$28:$D$43,$D1630),2)</f>
        <v>60.79</v>
      </c>
      <c r="U1630" s="65" t="n">
        <f aca="false">$R1630-$S1630-$T1630</f>
        <v>2008.29</v>
      </c>
      <c r="V1630" s="66" t="n">
        <f aca="false">IFERROR($U1630/$R1630,0)</f>
        <v>0.462532877008895</v>
      </c>
      <c r="W1630" s="67" t="str">
        <f aca="false">IF(AND($V1630&gt;=Parametros!$C$8,$R1630&gt;=Parametros!$C$12),"Alta rentabilidad",IF(OR($V1630&lt;Parametros!$C$11,$R1630&lt;Parametros!$C$13),"Revisar","Estandar"))</f>
        <v>Alta rentabilidad</v>
      </c>
      <c r="X1630" s="67" t="str">
        <f aca="false">IF(AND($J1630="E-commerce",IFERROR($T1630/$R1630,0)&gt;Parametros!$C$14),"Alerta","OK")</f>
        <v>OK</v>
      </c>
      <c r="Y1630" s="61" t="str">
        <f aca="false">IF($R1630&gt;=Parametros!$C$12,"Alto",IF($R1630&lt;Parametros!$C$13,"Bajo","Medio"))</f>
        <v>Alto</v>
      </c>
      <c r="Z1630" s="61" t="n">
        <v>721</v>
      </c>
      <c r="AA1630" s="61" t="str">
        <f aca="false">IF(MATCH($A1630,Datos_Origen!$A$2:$A$2459,0)=$Z1630,"OK","REVISAR")</f>
        <v>OK</v>
      </c>
      <c r="AB1630" s="62" t="n">
        <f aca="false">INDEX(Datos_Origen!$B$2:$B$2459,$Z1630)</f>
        <v>45787</v>
      </c>
      <c r="AC1630" s="61" t="n">
        <f aca="false">INDEX(Datos_Origen!$H$2:$H$2459,$Z1630)</f>
        <v>46</v>
      </c>
      <c r="AD1630" s="61" t="str">
        <f aca="false">INDEX(Datos_Origen!$D$2:$D$2459,$Z1630)&amp;""</f>
        <v>Cordoba</v>
      </c>
    </row>
    <row r="1631" customFormat="false" ht="15" hidden="false" customHeight="false" outlineLevel="0" collapsed="false">
      <c r="A1631" s="61" t="n">
        <f aca="false">INDEX(Datos_Origen!$A$2:$A$2459,$Z1631)</f>
        <v>1630</v>
      </c>
      <c r="B1631" s="62" t="n">
        <f aca="false">IF(ISNUMBER($AB1631),$AB1631,IF(MID($AB1631,5,1)="-",DATE(VALUE(LEFT($AB1631,4)),VALUE(MID($AB1631,6,2)),VALUE(RIGHT($AB1631,2))),DATE(VALUE(RIGHT($AB1631,4)),VALUE(MID($AB1631,4,2)),VALUE(LEFT($AB1631,2)))))</f>
        <v>45794</v>
      </c>
      <c r="C1631" s="61" t="n">
        <f aca="false">YEAR($B1631)</f>
        <v>2025</v>
      </c>
      <c r="D1631" s="61" t="str">
        <f aca="false">"Q"&amp;ROUNDUP(MONTH($B1631)/3,0)</f>
        <v>Q2</v>
      </c>
      <c r="E1631" s="61" t="n">
        <f aca="false">MONTH($B1631)</f>
        <v>5</v>
      </c>
      <c r="F1631" s="61" t="str">
        <f aca="false">INDEX(Parametros!$I$5:$I$16,$E1631)</f>
        <v>May</v>
      </c>
      <c r="G1631" s="61" t="str">
        <f aca="false">TEXT($C1631,"0000")&amp;"-"&amp;TEXT($E1631,"00")</f>
        <v>2025-05</v>
      </c>
      <c r="H1631" s="61" t="str">
        <f aca="false">INDEX(Parametros!$C$71:$C$91,MATCH(TRIM(INDEX(Datos_Origen!$C$2:$C$2459,$Z1631)),Parametros!$B$71:$B$91,0))</f>
        <v>Centro</v>
      </c>
      <c r="I1631" s="61" t="str">
        <f aca="false">IF(TRIM($AD1631)="",INDEX(Parametros!$I$20:$I$24,MATCH($H1631,Parametros!$H$20:$H$24,0)),TRIM($AD1631))</f>
        <v>Cordoba</v>
      </c>
      <c r="J1631" s="61" t="str">
        <f aca="false">INDEX(Parametros!$C$95:$C$106,MATCH(TRIM(INDEX(Datos_Origen!$E$2:$E$2459,$Z1631)),Parametros!$B$95:$B$106,0))</f>
        <v>E-commerce</v>
      </c>
      <c r="K1631" s="61" t="str">
        <f aca="false">INDEX(Parametros!$C$48:$C$67,MATCH(TRIM(INDEX(Datos_Origen!$F$2:$F$2459,$Z1631)),Parametros!$B$48:$B$67,0))</f>
        <v>Accesorios</v>
      </c>
      <c r="L1631" s="61" t="str">
        <f aca="false">$K1631&amp;" "&amp;$C1631</f>
        <v>Accesorios 2025</v>
      </c>
      <c r="M1631" s="61" t="str">
        <f aca="false">TRIM(INDEX(Datos_Origen!$G$2:$G$2459,$Z1631))</f>
        <v>Teclado Mecanico</v>
      </c>
      <c r="N1631" s="61" t="str">
        <f aca="false">$M1631&amp;" "&amp;$C1631</f>
        <v>Teclado Mecanico 2025</v>
      </c>
      <c r="O1631" s="63" t="n">
        <f aca="false">IF(ISTEXT($AC1631),VALUE($AC1631),$AC1631)</f>
        <v>34</v>
      </c>
      <c r="P1631" s="64" t="n">
        <f aca="false">INDEX(Datos_Origen!$I$2:$I$2459,$Z1631)</f>
        <v>94.39</v>
      </c>
      <c r="Q1631" s="64" t="n">
        <f aca="false">INDEX(Datos_Origen!$J$2:$J$2459,$Z1631)</f>
        <v>49.41</v>
      </c>
      <c r="R1631" s="65" t="n">
        <f aca="false">ROUND($O1631*$P1631,2)</f>
        <v>3209.26</v>
      </c>
      <c r="S1631" s="65" t="n">
        <f aca="false">ROUND($O1631*$Q1631,2)</f>
        <v>1679.94</v>
      </c>
      <c r="T1631" s="65" t="n">
        <f aca="false">ROUND($R1631*SUMIFS(Parametros!$E$28:$E$43,Parametros!$B$28:$B$43,$J1631,Parametros!$C$28:$C$43,$C1631,Parametros!$D$28:$D$43,$D1631),2)</f>
        <v>237.49</v>
      </c>
      <c r="U1631" s="65" t="n">
        <f aca="false">$R1631-$S1631-$T1631</f>
        <v>1291.83</v>
      </c>
      <c r="V1631" s="66" t="n">
        <f aca="false">IFERROR($U1631/$R1631,0)</f>
        <v>0.402532047886429</v>
      </c>
      <c r="W1631" s="67" t="str">
        <f aca="false">IF(AND($V1631&gt;=Parametros!$C$8,$R1631&gt;=Parametros!$C$12),"Alta rentabilidad",IF(OR($V1631&lt;Parametros!$C$11,$R1631&lt;Parametros!$C$13),"Revisar","Estandar"))</f>
        <v>Alta rentabilidad</v>
      </c>
      <c r="X1631" s="67" t="str">
        <f aca="false">IF(AND($J1631="E-commerce",IFERROR($T1631/$R1631,0)&gt;Parametros!$C$14),"Alerta","OK")</f>
        <v>Alerta</v>
      </c>
      <c r="Y1631" s="61" t="str">
        <f aca="false">IF($R1631&gt;=Parametros!$C$12,"Alto",IF($R1631&lt;Parametros!$C$13,"Bajo","Medio"))</f>
        <v>Alto</v>
      </c>
      <c r="Z1631" s="61" t="n">
        <v>2415</v>
      </c>
      <c r="AA1631" s="61" t="str">
        <f aca="false">IF(MATCH($A1631,Datos_Origen!$A$2:$A$2459,0)=$Z1631,"OK","REVISAR")</f>
        <v>OK</v>
      </c>
      <c r="AB1631" s="62" t="n">
        <f aca="false">INDEX(Datos_Origen!$B$2:$B$2459,$Z1631)</f>
        <v>45794</v>
      </c>
      <c r="AC1631" s="61" t="n">
        <f aca="false">INDEX(Datos_Origen!$H$2:$H$2459,$Z1631)</f>
        <v>34</v>
      </c>
      <c r="AD1631" s="61" t="str">
        <f aca="false">INDEX(Datos_Origen!$D$2:$D$2459,$Z1631)&amp;""</f>
        <v>Cordoba</v>
      </c>
    </row>
    <row r="1632" customFormat="false" ht="15" hidden="false" customHeight="false" outlineLevel="0" collapsed="false">
      <c r="A1632" s="61" t="n">
        <f aca="false">INDEX(Datos_Origen!$A$2:$A$2459,$Z1632)</f>
        <v>1631</v>
      </c>
      <c r="B1632" s="62" t="n">
        <f aca="false">IF(ISNUMBER($AB1632),$AB1632,IF(MID($AB1632,5,1)="-",DATE(VALUE(LEFT($AB1632,4)),VALUE(MID($AB1632,6,2)),VALUE(RIGHT($AB1632,2))),DATE(VALUE(RIGHT($AB1632,4)),VALUE(MID($AB1632,4,2)),VALUE(LEFT($AB1632,2)))))</f>
        <v>45801</v>
      </c>
      <c r="C1632" s="61" t="n">
        <f aca="false">YEAR($B1632)</f>
        <v>2025</v>
      </c>
      <c r="D1632" s="61" t="str">
        <f aca="false">"Q"&amp;ROUNDUP(MONTH($B1632)/3,0)</f>
        <v>Q2</v>
      </c>
      <c r="E1632" s="61" t="n">
        <f aca="false">MONTH($B1632)</f>
        <v>5</v>
      </c>
      <c r="F1632" s="61" t="str">
        <f aca="false">INDEX(Parametros!$I$5:$I$16,$E1632)</f>
        <v>May</v>
      </c>
      <c r="G1632" s="61" t="str">
        <f aca="false">TEXT($C1632,"0000")&amp;"-"&amp;TEXT($E1632,"00")</f>
        <v>2025-05</v>
      </c>
      <c r="H1632" s="61" t="str">
        <f aca="false">INDEX(Parametros!$C$71:$C$91,MATCH(TRIM(INDEX(Datos_Origen!$C$2:$C$2459,$Z1632)),Parametros!$B$71:$B$91,0))</f>
        <v>Centro</v>
      </c>
      <c r="I1632" s="61" t="str">
        <f aca="false">IF(TRIM($AD1632)="",INDEX(Parametros!$I$20:$I$24,MATCH($H1632,Parametros!$H$20:$H$24,0)),TRIM($AD1632))</f>
        <v>Cordoba</v>
      </c>
      <c r="J1632" s="61" t="str">
        <f aca="false">INDEX(Parametros!$C$95:$C$106,MATCH(TRIM(INDEX(Datos_Origen!$E$2:$E$2459,$Z1632)),Parametros!$B$95:$B$106,0))</f>
        <v>Tienda fisica</v>
      </c>
      <c r="K1632" s="61" t="str">
        <f aca="false">INDEX(Parametros!$C$48:$C$67,MATCH(TRIM(INDEX(Datos_Origen!$F$2:$F$2459,$Z1632)),Parametros!$B$48:$B$67,0))</f>
        <v>Accesorios</v>
      </c>
      <c r="L1632" s="61" t="str">
        <f aca="false">$K1632&amp;" "&amp;$C1632</f>
        <v>Accesorios 2025</v>
      </c>
      <c r="M1632" s="61" t="str">
        <f aca="false">TRIM(INDEX(Datos_Origen!$G$2:$G$2459,$Z1632))</f>
        <v>Webcam Full HD</v>
      </c>
      <c r="N1632" s="61" t="str">
        <f aca="false">$M1632&amp;" "&amp;$C1632</f>
        <v>Webcam Full HD 2025</v>
      </c>
      <c r="O1632" s="63" t="n">
        <f aca="false">IF(ISTEXT($AC1632),VALUE($AC1632),$AC1632)</f>
        <v>49</v>
      </c>
      <c r="P1632" s="64" t="n">
        <f aca="false">INDEX(Datos_Origen!$I$2:$I$2459,$Z1632)</f>
        <v>64.58</v>
      </c>
      <c r="Q1632" s="64" t="n">
        <f aca="false">INDEX(Datos_Origen!$J$2:$J$2459,$Z1632)</f>
        <v>36.49</v>
      </c>
      <c r="R1632" s="65" t="n">
        <f aca="false">ROUND($O1632*$P1632,2)</f>
        <v>3164.42</v>
      </c>
      <c r="S1632" s="65" t="n">
        <f aca="false">ROUND($O1632*$Q1632,2)</f>
        <v>1788.01</v>
      </c>
      <c r="T1632" s="65" t="n">
        <f aca="false">ROUND($R1632*SUMIFS(Parametros!$E$28:$E$43,Parametros!$B$28:$B$43,$J1632,Parametros!$C$28:$C$43,$C1632,Parametros!$D$28:$D$43,$D1632),2)</f>
        <v>44.3</v>
      </c>
      <c r="U1632" s="65" t="n">
        <f aca="false">$R1632-$S1632-$T1632</f>
        <v>1332.11</v>
      </c>
      <c r="V1632" s="66" t="n">
        <f aca="false">IFERROR($U1632/$R1632,0)</f>
        <v>0.420964979364307</v>
      </c>
      <c r="W1632" s="67" t="str">
        <f aca="false">IF(AND($V1632&gt;=Parametros!$C$8,$R1632&gt;=Parametros!$C$12),"Alta rentabilidad",IF(OR($V1632&lt;Parametros!$C$11,$R1632&lt;Parametros!$C$13),"Revisar","Estandar"))</f>
        <v>Alta rentabilidad</v>
      </c>
      <c r="X1632" s="67" t="str">
        <f aca="false">IF(AND($J1632="E-commerce",IFERROR($T1632/$R1632,0)&gt;Parametros!$C$14),"Alerta","OK")</f>
        <v>OK</v>
      </c>
      <c r="Y1632" s="61" t="str">
        <f aca="false">IF($R1632&gt;=Parametros!$C$12,"Alto",IF($R1632&lt;Parametros!$C$13,"Bajo","Medio"))</f>
        <v>Alto</v>
      </c>
      <c r="Z1632" s="61" t="n">
        <v>1206</v>
      </c>
      <c r="AA1632" s="61" t="str">
        <f aca="false">IF(MATCH($A1632,Datos_Origen!$A$2:$A$2459,0)=$Z1632,"OK","REVISAR")</f>
        <v>OK</v>
      </c>
      <c r="AB1632" s="62" t="n">
        <f aca="false">INDEX(Datos_Origen!$B$2:$B$2459,$Z1632)</f>
        <v>45801</v>
      </c>
      <c r="AC1632" s="61" t="n">
        <f aca="false">INDEX(Datos_Origen!$H$2:$H$2459,$Z1632)</f>
        <v>49</v>
      </c>
      <c r="AD1632" s="61" t="str">
        <f aca="false">INDEX(Datos_Origen!$D$2:$D$2459,$Z1632)&amp;""</f>
        <v>Cordoba</v>
      </c>
    </row>
    <row r="1633" customFormat="false" ht="15" hidden="false" customHeight="false" outlineLevel="0" collapsed="false">
      <c r="A1633" s="61" t="n">
        <f aca="false">INDEX(Datos_Origen!$A$2:$A$2459,$Z1633)</f>
        <v>1632</v>
      </c>
      <c r="B1633" s="62" t="n">
        <f aca="false">IF(ISNUMBER($AB1633),$AB1633,IF(MID($AB1633,5,1)="-",DATE(VALUE(LEFT($AB1633,4)),VALUE(MID($AB1633,6,2)),VALUE(RIGHT($AB1633,2))),DATE(VALUE(RIGHT($AB1633,4)),VALUE(MID($AB1633,4,2)),VALUE(LEFT($AB1633,2)))))</f>
        <v>45781</v>
      </c>
      <c r="C1633" s="61" t="n">
        <f aca="false">YEAR($B1633)</f>
        <v>2025</v>
      </c>
      <c r="D1633" s="61" t="str">
        <f aca="false">"Q"&amp;ROUNDUP(MONTH($B1633)/3,0)</f>
        <v>Q2</v>
      </c>
      <c r="E1633" s="61" t="n">
        <f aca="false">MONTH($B1633)</f>
        <v>5</v>
      </c>
      <c r="F1633" s="61" t="str">
        <f aca="false">INDEX(Parametros!$I$5:$I$16,$E1633)</f>
        <v>May</v>
      </c>
      <c r="G1633" s="61" t="str">
        <f aca="false">TEXT($C1633,"0000")&amp;"-"&amp;TEXT($E1633,"00")</f>
        <v>2025-05</v>
      </c>
      <c r="H1633" s="61" t="str">
        <f aca="false">INDEX(Parametros!$C$71:$C$91,MATCH(TRIM(INDEX(Datos_Origen!$C$2:$C$2459,$Z1633)),Parametros!$B$71:$B$91,0))</f>
        <v>Centro</v>
      </c>
      <c r="I1633" s="61" t="str">
        <f aca="false">IF(TRIM($AD1633)="",INDEX(Parametros!$I$20:$I$24,MATCH($H1633,Parametros!$H$20:$H$24,0)),TRIM($AD1633))</f>
        <v>Cordoba</v>
      </c>
      <c r="J1633" s="61" t="str">
        <f aca="false">INDEX(Parametros!$C$95:$C$106,MATCH(TRIM(INDEX(Datos_Origen!$E$2:$E$2459,$Z1633)),Parametros!$B$95:$B$106,0))</f>
        <v>E-commerce</v>
      </c>
      <c r="K1633" s="61" t="str">
        <f aca="false">INDEX(Parametros!$C$48:$C$67,MATCH(TRIM(INDEX(Datos_Origen!$F$2:$F$2459,$Z1633)),Parametros!$B$48:$B$67,0))</f>
        <v>Accesorios</v>
      </c>
      <c r="L1633" s="61" t="str">
        <f aca="false">$K1633&amp;" "&amp;$C1633</f>
        <v>Accesorios 2025</v>
      </c>
      <c r="M1633" s="61" t="str">
        <f aca="false">TRIM(INDEX(Datos_Origen!$G$2:$G$2459,$Z1633))</f>
        <v>Webcam Full HD</v>
      </c>
      <c r="N1633" s="61" t="str">
        <f aca="false">$M1633&amp;" "&amp;$C1633</f>
        <v>Webcam Full HD 2025</v>
      </c>
      <c r="O1633" s="63" t="n">
        <f aca="false">IF(ISTEXT($AC1633),VALUE($AC1633),$AC1633)</f>
        <v>31</v>
      </c>
      <c r="P1633" s="64" t="n">
        <f aca="false">INDEX(Datos_Origen!$I$2:$I$2459,$Z1633)</f>
        <v>64.58</v>
      </c>
      <c r="Q1633" s="64" t="n">
        <f aca="false">INDEX(Datos_Origen!$J$2:$J$2459,$Z1633)</f>
        <v>36.49</v>
      </c>
      <c r="R1633" s="65" t="n">
        <f aca="false">ROUND($O1633*$P1633,2)</f>
        <v>2001.98</v>
      </c>
      <c r="S1633" s="65" t="n">
        <f aca="false">ROUND($O1633*$Q1633,2)</f>
        <v>1131.19</v>
      </c>
      <c r="T1633" s="65" t="n">
        <f aca="false">ROUND($R1633*SUMIFS(Parametros!$E$28:$E$43,Parametros!$B$28:$B$43,$J1633,Parametros!$C$28:$C$43,$C1633,Parametros!$D$28:$D$43,$D1633),2)</f>
        <v>148.15</v>
      </c>
      <c r="U1633" s="65" t="n">
        <f aca="false">$R1633-$S1633-$T1633</f>
        <v>722.64</v>
      </c>
      <c r="V1633" s="66" t="n">
        <f aca="false">IFERROR($U1633/$R1633,0)</f>
        <v>0.36096264697949</v>
      </c>
      <c r="W1633" s="67" t="str">
        <f aca="false">IF(AND($V1633&gt;=Parametros!$C$8,$R1633&gt;=Parametros!$C$12),"Alta rentabilidad",IF(OR($V1633&lt;Parametros!$C$11,$R1633&lt;Parametros!$C$13),"Revisar","Estandar"))</f>
        <v>Estandar</v>
      </c>
      <c r="X1633" s="67" t="str">
        <f aca="false">IF(AND($J1633="E-commerce",IFERROR($T1633/$R1633,0)&gt;Parametros!$C$14),"Alerta","OK")</f>
        <v>Alerta</v>
      </c>
      <c r="Y1633" s="61" t="str">
        <f aca="false">IF($R1633&gt;=Parametros!$C$12,"Alto",IF($R1633&lt;Parametros!$C$13,"Bajo","Medio"))</f>
        <v>Medio</v>
      </c>
      <c r="Z1633" s="61" t="n">
        <v>2055</v>
      </c>
      <c r="AA1633" s="61" t="str">
        <f aca="false">IF(MATCH($A1633,Datos_Origen!$A$2:$A$2459,0)=$Z1633,"OK","REVISAR")</f>
        <v>OK</v>
      </c>
      <c r="AB1633" s="62" t="n">
        <f aca="false">INDEX(Datos_Origen!$B$2:$B$2459,$Z1633)</f>
        <v>45781</v>
      </c>
      <c r="AC1633" s="61" t="n">
        <f aca="false">INDEX(Datos_Origen!$H$2:$H$2459,$Z1633)</f>
        <v>31</v>
      </c>
      <c r="AD1633" s="61" t="str">
        <f aca="false">INDEX(Datos_Origen!$D$2:$D$2459,$Z1633)&amp;""</f>
        <v>Cordoba</v>
      </c>
    </row>
    <row r="1634" customFormat="false" ht="15" hidden="false" customHeight="false" outlineLevel="0" collapsed="false">
      <c r="A1634" s="61" t="n">
        <f aca="false">INDEX(Datos_Origen!$A$2:$A$2459,$Z1634)</f>
        <v>1633</v>
      </c>
      <c r="B1634" s="62" t="n">
        <f aca="false">IF(ISNUMBER($AB1634),$AB1634,IF(MID($AB1634,5,1)="-",DATE(VALUE(LEFT($AB1634,4)),VALUE(MID($AB1634,6,2)),VALUE(RIGHT($AB1634,2))),DATE(VALUE(RIGHT($AB1634,4)),VALUE(MID($AB1634,4,2)),VALUE(LEFT($AB1634,2)))))</f>
        <v>45788</v>
      </c>
      <c r="C1634" s="61" t="n">
        <f aca="false">YEAR($B1634)</f>
        <v>2025</v>
      </c>
      <c r="D1634" s="61" t="str">
        <f aca="false">"Q"&amp;ROUNDUP(MONTH($B1634)/3,0)</f>
        <v>Q2</v>
      </c>
      <c r="E1634" s="61" t="n">
        <f aca="false">MONTH($B1634)</f>
        <v>5</v>
      </c>
      <c r="F1634" s="61" t="str">
        <f aca="false">INDEX(Parametros!$I$5:$I$16,$E1634)</f>
        <v>May</v>
      </c>
      <c r="G1634" s="61" t="str">
        <f aca="false">TEXT($C1634,"0000")&amp;"-"&amp;TEXT($E1634,"00")</f>
        <v>2025-05</v>
      </c>
      <c r="H1634" s="61" t="str">
        <f aca="false">INDEX(Parametros!$C$71:$C$91,MATCH(TRIM(INDEX(Datos_Origen!$C$2:$C$2459,$Z1634)),Parametros!$B$71:$B$91,0))</f>
        <v>Centro</v>
      </c>
      <c r="I1634" s="61" t="str">
        <f aca="false">IF(TRIM($AD1634)="",INDEX(Parametros!$I$20:$I$24,MATCH($H1634,Parametros!$H$20:$H$24,0)),TRIM($AD1634))</f>
        <v>Cordoba</v>
      </c>
      <c r="J1634" s="61" t="str">
        <f aca="false">INDEX(Parametros!$C$95:$C$106,MATCH(TRIM(INDEX(Datos_Origen!$E$2:$E$2459,$Z1634)),Parametros!$B$95:$B$106,0))</f>
        <v>Tienda fisica</v>
      </c>
      <c r="K1634" s="61" t="str">
        <f aca="false">INDEX(Parametros!$C$48:$C$67,MATCH(TRIM(INDEX(Datos_Origen!$F$2:$F$2459,$Z1634)),Parametros!$B$48:$B$67,0))</f>
        <v>Audio</v>
      </c>
      <c r="L1634" s="61" t="str">
        <f aca="false">$K1634&amp;" "&amp;$C1634</f>
        <v>Audio 2025</v>
      </c>
      <c r="M1634" s="61" t="str">
        <f aca="false">TRIM(INDEX(Datos_Origen!$G$2:$G$2459,$Z1634))</f>
        <v>Auriculares BT Pro</v>
      </c>
      <c r="N1634" s="61" t="str">
        <f aca="false">$M1634&amp;" "&amp;$C1634</f>
        <v>Auriculares BT Pro 2025</v>
      </c>
      <c r="O1634" s="63" t="n">
        <f aca="false">IF(ISTEXT($AC1634),VALUE($AC1634),$AC1634)</f>
        <v>25</v>
      </c>
      <c r="P1634" s="64" t="n">
        <f aca="false">INDEX(Datos_Origen!$I$2:$I$2459,$Z1634)</f>
        <v>119.23</v>
      </c>
      <c r="Q1634" s="64" t="n">
        <f aca="false">INDEX(Datos_Origen!$J$2:$J$2459,$Z1634)</f>
        <v>65.51</v>
      </c>
      <c r="R1634" s="65" t="n">
        <f aca="false">ROUND($O1634*$P1634,2)</f>
        <v>2980.75</v>
      </c>
      <c r="S1634" s="65" t="n">
        <f aca="false">ROUND($O1634*$Q1634,2)</f>
        <v>1637.75</v>
      </c>
      <c r="T1634" s="65" t="n">
        <f aca="false">ROUND($R1634*SUMIFS(Parametros!$E$28:$E$43,Parametros!$B$28:$B$43,$J1634,Parametros!$C$28:$C$43,$C1634,Parametros!$D$28:$D$43,$D1634),2)</f>
        <v>41.73</v>
      </c>
      <c r="U1634" s="65" t="n">
        <f aca="false">$R1634-$S1634-$T1634</f>
        <v>1301.27</v>
      </c>
      <c r="V1634" s="66" t="n">
        <f aca="false">IFERROR($U1634/$R1634,0)</f>
        <v>0.43655791327686</v>
      </c>
      <c r="W1634" s="67" t="str">
        <f aca="false">IF(AND($V1634&gt;=Parametros!$C$8,$R1634&gt;=Parametros!$C$12),"Alta rentabilidad",IF(OR($V1634&lt;Parametros!$C$11,$R1634&lt;Parametros!$C$13),"Revisar","Estandar"))</f>
        <v>Estandar</v>
      </c>
      <c r="X1634" s="67" t="str">
        <f aca="false">IF(AND($J1634="E-commerce",IFERROR($T1634/$R1634,0)&gt;Parametros!$C$14),"Alerta","OK")</f>
        <v>OK</v>
      </c>
      <c r="Y1634" s="61" t="str">
        <f aca="false">IF($R1634&gt;=Parametros!$C$12,"Alto",IF($R1634&lt;Parametros!$C$13,"Bajo","Medio"))</f>
        <v>Medio</v>
      </c>
      <c r="Z1634" s="61" t="n">
        <v>1386</v>
      </c>
      <c r="AA1634" s="61" t="str">
        <f aca="false">IF(MATCH($A1634,Datos_Origen!$A$2:$A$2459,0)=$Z1634,"OK","REVISAR")</f>
        <v>OK</v>
      </c>
      <c r="AB1634" s="62" t="n">
        <f aca="false">INDEX(Datos_Origen!$B$2:$B$2459,$Z1634)</f>
        <v>45788</v>
      </c>
      <c r="AC1634" s="61" t="str">
        <f aca="false">INDEX(Datos_Origen!$H$2:$H$2459,$Z1634)</f>
        <v>25</v>
      </c>
      <c r="AD1634" s="61" t="str">
        <f aca="false">INDEX(Datos_Origen!$D$2:$D$2459,$Z1634)&amp;""</f>
        <v>Cordoba</v>
      </c>
    </row>
    <row r="1635" customFormat="false" ht="15" hidden="false" customHeight="false" outlineLevel="0" collapsed="false">
      <c r="A1635" s="61" t="n">
        <f aca="false">INDEX(Datos_Origen!$A$2:$A$2459,$Z1635)</f>
        <v>1634</v>
      </c>
      <c r="B1635" s="62" t="n">
        <f aca="false">IF(ISNUMBER($AB1635),$AB1635,IF(MID($AB1635,5,1)="-",DATE(VALUE(LEFT($AB1635,4)),VALUE(MID($AB1635,6,2)),VALUE(RIGHT($AB1635,2))),DATE(VALUE(RIGHT($AB1635,4)),VALUE(MID($AB1635,4,2)),VALUE(LEFT($AB1635,2)))))</f>
        <v>45795</v>
      </c>
      <c r="C1635" s="61" t="n">
        <f aca="false">YEAR($B1635)</f>
        <v>2025</v>
      </c>
      <c r="D1635" s="61" t="str">
        <f aca="false">"Q"&amp;ROUNDUP(MONTH($B1635)/3,0)</f>
        <v>Q2</v>
      </c>
      <c r="E1635" s="61" t="n">
        <f aca="false">MONTH($B1635)</f>
        <v>5</v>
      </c>
      <c r="F1635" s="61" t="str">
        <f aca="false">INDEX(Parametros!$I$5:$I$16,$E1635)</f>
        <v>May</v>
      </c>
      <c r="G1635" s="61" t="str">
        <f aca="false">TEXT($C1635,"0000")&amp;"-"&amp;TEXT($E1635,"00")</f>
        <v>2025-05</v>
      </c>
      <c r="H1635" s="61" t="str">
        <f aca="false">INDEX(Parametros!$C$71:$C$91,MATCH(TRIM(INDEX(Datos_Origen!$C$2:$C$2459,$Z1635)),Parametros!$B$71:$B$91,0))</f>
        <v>Centro</v>
      </c>
      <c r="I1635" s="61" t="str">
        <f aca="false">IF(TRIM($AD1635)="",INDEX(Parametros!$I$20:$I$24,MATCH($H1635,Parametros!$H$20:$H$24,0)),TRIM($AD1635))</f>
        <v>Cordoba</v>
      </c>
      <c r="J1635" s="61" t="str">
        <f aca="false">INDEX(Parametros!$C$95:$C$106,MATCH(TRIM(INDEX(Datos_Origen!$E$2:$E$2459,$Z1635)),Parametros!$B$95:$B$106,0))</f>
        <v>E-commerce</v>
      </c>
      <c r="K1635" s="61" t="str">
        <f aca="false">INDEX(Parametros!$C$48:$C$67,MATCH(TRIM(INDEX(Datos_Origen!$F$2:$F$2459,$Z1635)),Parametros!$B$48:$B$67,0))</f>
        <v>Audio</v>
      </c>
      <c r="L1635" s="61" t="str">
        <f aca="false">$K1635&amp;" "&amp;$C1635</f>
        <v>Audio 2025</v>
      </c>
      <c r="M1635" s="61" t="str">
        <f aca="false">TRIM(INDEX(Datos_Origen!$G$2:$G$2459,$Z1635))</f>
        <v>Auriculares BT Pro</v>
      </c>
      <c r="N1635" s="61" t="str">
        <f aca="false">$M1635&amp;" "&amp;$C1635</f>
        <v>Auriculares BT Pro 2025</v>
      </c>
      <c r="O1635" s="63" t="n">
        <f aca="false">IF(ISTEXT($AC1635),VALUE($AC1635),$AC1635)</f>
        <v>16</v>
      </c>
      <c r="P1635" s="64" t="n">
        <f aca="false">INDEX(Datos_Origen!$I$2:$I$2459,$Z1635)</f>
        <v>119.23</v>
      </c>
      <c r="Q1635" s="64" t="n">
        <f aca="false">INDEX(Datos_Origen!$J$2:$J$2459,$Z1635)</f>
        <v>65.51</v>
      </c>
      <c r="R1635" s="65" t="n">
        <f aca="false">ROUND($O1635*$P1635,2)</f>
        <v>1907.68</v>
      </c>
      <c r="S1635" s="65" t="n">
        <f aca="false">ROUND($O1635*$Q1635,2)</f>
        <v>1048.16</v>
      </c>
      <c r="T1635" s="65" t="n">
        <f aca="false">ROUND($R1635*SUMIFS(Parametros!$E$28:$E$43,Parametros!$B$28:$B$43,$J1635,Parametros!$C$28:$C$43,$C1635,Parametros!$D$28:$D$43,$D1635),2)</f>
        <v>141.17</v>
      </c>
      <c r="U1635" s="65" t="n">
        <f aca="false">$R1635-$S1635-$T1635</f>
        <v>718.35</v>
      </c>
      <c r="V1635" s="66" t="n">
        <f aca="false">IFERROR($U1635/$R1635,0)</f>
        <v>0.376556864882999</v>
      </c>
      <c r="W1635" s="67" t="str">
        <f aca="false">IF(AND($V1635&gt;=Parametros!$C$8,$R1635&gt;=Parametros!$C$12),"Alta rentabilidad",IF(OR($V1635&lt;Parametros!$C$11,$R1635&lt;Parametros!$C$13),"Revisar","Estandar"))</f>
        <v>Estandar</v>
      </c>
      <c r="X1635" s="67" t="str">
        <f aca="false">IF(AND($J1635="E-commerce",IFERROR($T1635/$R1635,0)&gt;Parametros!$C$14),"Alerta","OK")</f>
        <v>Alerta</v>
      </c>
      <c r="Y1635" s="61" t="str">
        <f aca="false">IF($R1635&gt;=Parametros!$C$12,"Alto",IF($R1635&lt;Parametros!$C$13,"Bajo","Medio"))</f>
        <v>Medio</v>
      </c>
      <c r="Z1635" s="61" t="n">
        <v>1772</v>
      </c>
      <c r="AA1635" s="61" t="str">
        <f aca="false">IF(MATCH($A1635,Datos_Origen!$A$2:$A$2459,0)=$Z1635,"OK","REVISAR")</f>
        <v>OK</v>
      </c>
      <c r="AB1635" s="62" t="n">
        <f aca="false">INDEX(Datos_Origen!$B$2:$B$2459,$Z1635)</f>
        <v>45795</v>
      </c>
      <c r="AC1635" s="61" t="str">
        <f aca="false">INDEX(Datos_Origen!$H$2:$H$2459,$Z1635)</f>
        <v>16</v>
      </c>
      <c r="AD1635" s="61" t="str">
        <f aca="false">INDEX(Datos_Origen!$D$2:$D$2459,$Z1635)&amp;""</f>
        <v>Cordoba</v>
      </c>
    </row>
    <row r="1636" customFormat="false" ht="15" hidden="false" customHeight="false" outlineLevel="0" collapsed="false">
      <c r="A1636" s="61" t="n">
        <f aca="false">INDEX(Datos_Origen!$A$2:$A$2459,$Z1636)</f>
        <v>1635</v>
      </c>
      <c r="B1636" s="62" t="n">
        <f aca="false">IF(ISNUMBER($AB1636),$AB1636,IF(MID($AB1636,5,1)="-",DATE(VALUE(LEFT($AB1636,4)),VALUE(MID($AB1636,6,2)),VALUE(RIGHT($AB1636,2))),DATE(VALUE(RIGHT($AB1636,4)),VALUE(MID($AB1636,4,2)),VALUE(LEFT($AB1636,2)))))</f>
        <v>45802</v>
      </c>
      <c r="C1636" s="61" t="n">
        <f aca="false">YEAR($B1636)</f>
        <v>2025</v>
      </c>
      <c r="D1636" s="61" t="str">
        <f aca="false">"Q"&amp;ROUNDUP(MONTH($B1636)/3,0)</f>
        <v>Q2</v>
      </c>
      <c r="E1636" s="61" t="n">
        <f aca="false">MONTH($B1636)</f>
        <v>5</v>
      </c>
      <c r="F1636" s="61" t="str">
        <f aca="false">INDEX(Parametros!$I$5:$I$16,$E1636)</f>
        <v>May</v>
      </c>
      <c r="G1636" s="61" t="str">
        <f aca="false">TEXT($C1636,"0000")&amp;"-"&amp;TEXT($E1636,"00")</f>
        <v>2025-05</v>
      </c>
      <c r="H1636" s="61" t="str">
        <f aca="false">INDEX(Parametros!$C$71:$C$91,MATCH(TRIM(INDEX(Datos_Origen!$C$2:$C$2459,$Z1636)),Parametros!$B$71:$B$91,0))</f>
        <v>Centro</v>
      </c>
      <c r="I1636" s="61" t="str">
        <f aca="false">IF(TRIM($AD1636)="",INDEX(Parametros!$I$20:$I$24,MATCH($H1636,Parametros!$H$20:$H$24,0)),TRIM($AD1636))</f>
        <v>Cordoba</v>
      </c>
      <c r="J1636" s="61" t="str">
        <f aca="false">INDEX(Parametros!$C$95:$C$106,MATCH(TRIM(INDEX(Datos_Origen!$E$2:$E$2459,$Z1636)),Parametros!$B$95:$B$106,0))</f>
        <v>Tienda fisica</v>
      </c>
      <c r="K1636" s="61" t="str">
        <f aca="false">INDEX(Parametros!$C$48:$C$67,MATCH(TRIM(INDEX(Datos_Origen!$F$2:$F$2459,$Z1636)),Parametros!$B$48:$B$67,0))</f>
        <v>Audio</v>
      </c>
      <c r="L1636" s="61" t="str">
        <f aca="false">$K1636&amp;" "&amp;$C1636</f>
        <v>Audio 2025</v>
      </c>
      <c r="M1636" s="61" t="str">
        <f aca="false">TRIM(INDEX(Datos_Origen!$G$2:$G$2459,$Z1636))</f>
        <v>Parlante Bluetooth</v>
      </c>
      <c r="N1636" s="61" t="str">
        <f aca="false">$M1636&amp;" "&amp;$C1636</f>
        <v>Parlante Bluetooth 2025</v>
      </c>
      <c r="O1636" s="63" t="n">
        <f aca="false">IF(ISTEXT($AC1636),VALUE($AC1636),$AC1636)</f>
        <v>22</v>
      </c>
      <c r="P1636" s="64" t="n">
        <f aca="false">INDEX(Datos_Origen!$I$2:$I$2459,$Z1636)</f>
        <v>84.46</v>
      </c>
      <c r="Q1636" s="64" t="n">
        <f aca="false">INDEX(Datos_Origen!$J$2:$J$2459,$Z1636)</f>
        <v>49.47</v>
      </c>
      <c r="R1636" s="65" t="n">
        <f aca="false">ROUND($O1636*$P1636,2)</f>
        <v>1858.12</v>
      </c>
      <c r="S1636" s="65" t="n">
        <f aca="false">ROUND($O1636*$Q1636,2)</f>
        <v>1088.34</v>
      </c>
      <c r="T1636" s="65" t="n">
        <f aca="false">ROUND($R1636*SUMIFS(Parametros!$E$28:$E$43,Parametros!$B$28:$B$43,$J1636,Parametros!$C$28:$C$43,$C1636,Parametros!$D$28:$D$43,$D1636),2)</f>
        <v>26.01</v>
      </c>
      <c r="U1636" s="65" t="n">
        <f aca="false">$R1636-$S1636-$T1636</f>
        <v>743.77</v>
      </c>
      <c r="V1636" s="66" t="n">
        <f aca="false">IFERROR($U1636/$R1636,0)</f>
        <v>0.400280929111145</v>
      </c>
      <c r="W1636" s="67" t="str">
        <f aca="false">IF(AND($V1636&gt;=Parametros!$C$8,$R1636&gt;=Parametros!$C$12),"Alta rentabilidad",IF(OR($V1636&lt;Parametros!$C$11,$R1636&lt;Parametros!$C$13),"Revisar","Estandar"))</f>
        <v>Estandar</v>
      </c>
      <c r="X1636" s="67" t="str">
        <f aca="false">IF(AND($J1636="E-commerce",IFERROR($T1636/$R1636,0)&gt;Parametros!$C$14),"Alerta","OK")</f>
        <v>OK</v>
      </c>
      <c r="Y1636" s="61" t="str">
        <f aca="false">IF($R1636&gt;=Parametros!$C$12,"Alto",IF($R1636&lt;Parametros!$C$13,"Bajo","Medio"))</f>
        <v>Medio</v>
      </c>
      <c r="Z1636" s="61" t="n">
        <v>2347</v>
      </c>
      <c r="AA1636" s="61" t="str">
        <f aca="false">IF(MATCH($A1636,Datos_Origen!$A$2:$A$2459,0)=$Z1636,"OK","REVISAR")</f>
        <v>OK</v>
      </c>
      <c r="AB1636" s="62" t="n">
        <f aca="false">INDEX(Datos_Origen!$B$2:$B$2459,$Z1636)</f>
        <v>45802</v>
      </c>
      <c r="AC1636" s="61" t="n">
        <f aca="false">INDEX(Datos_Origen!$H$2:$H$2459,$Z1636)</f>
        <v>22</v>
      </c>
      <c r="AD1636" s="61" t="str">
        <f aca="false">INDEX(Datos_Origen!$D$2:$D$2459,$Z1636)&amp;""</f>
        <v>Cordoba</v>
      </c>
    </row>
    <row r="1637" customFormat="false" ht="15" hidden="false" customHeight="false" outlineLevel="0" collapsed="false">
      <c r="A1637" s="61" t="n">
        <f aca="false">INDEX(Datos_Origen!$A$2:$A$2459,$Z1637)</f>
        <v>1636</v>
      </c>
      <c r="B1637" s="62" t="n">
        <f aca="false">IF(ISNUMBER($AB1637),$AB1637,IF(MID($AB1637,5,1)="-",DATE(VALUE(LEFT($AB1637,4)),VALUE(MID($AB1637,6,2)),VALUE(RIGHT($AB1637,2))),DATE(VALUE(RIGHT($AB1637,4)),VALUE(MID($AB1637,4,2)),VALUE(LEFT($AB1637,2)))))</f>
        <v>45782</v>
      </c>
      <c r="C1637" s="61" t="n">
        <f aca="false">YEAR($B1637)</f>
        <v>2025</v>
      </c>
      <c r="D1637" s="61" t="str">
        <f aca="false">"Q"&amp;ROUNDUP(MONTH($B1637)/3,0)</f>
        <v>Q2</v>
      </c>
      <c r="E1637" s="61" t="n">
        <f aca="false">MONTH($B1637)</f>
        <v>5</v>
      </c>
      <c r="F1637" s="61" t="str">
        <f aca="false">INDEX(Parametros!$I$5:$I$16,$E1637)</f>
        <v>May</v>
      </c>
      <c r="G1637" s="61" t="str">
        <f aca="false">TEXT($C1637,"0000")&amp;"-"&amp;TEXT($E1637,"00")</f>
        <v>2025-05</v>
      </c>
      <c r="H1637" s="61" t="str">
        <f aca="false">INDEX(Parametros!$C$71:$C$91,MATCH(TRIM(INDEX(Datos_Origen!$C$2:$C$2459,$Z1637)),Parametros!$B$71:$B$91,0))</f>
        <v>Centro</v>
      </c>
      <c r="I1637" s="61" t="str">
        <f aca="false">IF(TRIM($AD1637)="",INDEX(Parametros!$I$20:$I$24,MATCH($H1637,Parametros!$H$20:$H$24,0)),TRIM($AD1637))</f>
        <v>Cordoba</v>
      </c>
      <c r="J1637" s="61" t="str">
        <f aca="false">INDEX(Parametros!$C$95:$C$106,MATCH(TRIM(INDEX(Datos_Origen!$E$2:$E$2459,$Z1637)),Parametros!$B$95:$B$106,0))</f>
        <v>E-commerce</v>
      </c>
      <c r="K1637" s="61" t="str">
        <f aca="false">INDEX(Parametros!$C$48:$C$67,MATCH(TRIM(INDEX(Datos_Origen!$F$2:$F$2459,$Z1637)),Parametros!$B$48:$B$67,0))</f>
        <v>Audio</v>
      </c>
      <c r="L1637" s="61" t="str">
        <f aca="false">$K1637&amp;" "&amp;$C1637</f>
        <v>Audio 2025</v>
      </c>
      <c r="M1637" s="61" t="str">
        <f aca="false">TRIM(INDEX(Datos_Origen!$G$2:$G$2459,$Z1637))</f>
        <v>Parlante Bluetooth</v>
      </c>
      <c r="N1637" s="61" t="str">
        <f aca="false">$M1637&amp;" "&amp;$C1637</f>
        <v>Parlante Bluetooth 2025</v>
      </c>
      <c r="O1637" s="63" t="n">
        <f aca="false">IF(ISTEXT($AC1637),VALUE($AC1637),$AC1637)</f>
        <v>18</v>
      </c>
      <c r="P1637" s="64" t="n">
        <f aca="false">INDEX(Datos_Origen!$I$2:$I$2459,$Z1637)</f>
        <v>84.46</v>
      </c>
      <c r="Q1637" s="64" t="n">
        <f aca="false">INDEX(Datos_Origen!$J$2:$J$2459,$Z1637)</f>
        <v>49.47</v>
      </c>
      <c r="R1637" s="65" t="n">
        <f aca="false">ROUND($O1637*$P1637,2)</f>
        <v>1520.28</v>
      </c>
      <c r="S1637" s="65" t="n">
        <f aca="false">ROUND($O1637*$Q1637,2)</f>
        <v>890.46</v>
      </c>
      <c r="T1637" s="65" t="n">
        <f aca="false">ROUND($R1637*SUMIFS(Parametros!$E$28:$E$43,Parametros!$B$28:$B$43,$J1637,Parametros!$C$28:$C$43,$C1637,Parametros!$D$28:$D$43,$D1637),2)</f>
        <v>112.5</v>
      </c>
      <c r="U1637" s="65" t="n">
        <f aca="false">$R1637-$S1637-$T1637</f>
        <v>517.32</v>
      </c>
      <c r="V1637" s="66" t="n">
        <f aca="false">IFERROR($U1637/$R1637,0)</f>
        <v>0.340279422211698</v>
      </c>
      <c r="W1637" s="67" t="str">
        <f aca="false">IF(AND($V1637&gt;=Parametros!$C$8,$R1637&gt;=Parametros!$C$12),"Alta rentabilidad",IF(OR($V1637&lt;Parametros!$C$11,$R1637&lt;Parametros!$C$13),"Revisar","Estandar"))</f>
        <v>Estandar</v>
      </c>
      <c r="X1637" s="67" t="str">
        <f aca="false">IF(AND($J1637="E-commerce",IFERROR($T1637/$R1637,0)&gt;Parametros!$C$14),"Alerta","OK")</f>
        <v>Alerta</v>
      </c>
      <c r="Y1637" s="61" t="str">
        <f aca="false">IF($R1637&gt;=Parametros!$C$12,"Alto",IF($R1637&lt;Parametros!$C$13,"Bajo","Medio"))</f>
        <v>Medio</v>
      </c>
      <c r="Z1637" s="61" t="n">
        <v>856</v>
      </c>
      <c r="AA1637" s="61" t="str">
        <f aca="false">IF(MATCH($A1637,Datos_Origen!$A$2:$A$2459,0)=$Z1637,"OK","REVISAR")</f>
        <v>OK</v>
      </c>
      <c r="AB1637" s="62" t="n">
        <f aca="false">INDEX(Datos_Origen!$B$2:$B$2459,$Z1637)</f>
        <v>45782</v>
      </c>
      <c r="AC1637" s="61" t="n">
        <f aca="false">INDEX(Datos_Origen!$H$2:$H$2459,$Z1637)</f>
        <v>18</v>
      </c>
      <c r="AD1637" s="61" t="str">
        <f aca="false">INDEX(Datos_Origen!$D$2:$D$2459,$Z1637)&amp;""</f>
        <v>Cordoba</v>
      </c>
    </row>
    <row r="1638" customFormat="false" ht="15" hidden="false" customHeight="false" outlineLevel="0" collapsed="false">
      <c r="A1638" s="61" t="n">
        <f aca="false">INDEX(Datos_Origen!$A$2:$A$2459,$Z1638)</f>
        <v>1637</v>
      </c>
      <c r="B1638" s="62" t="n">
        <f aca="false">IF(ISNUMBER($AB1638),$AB1638,IF(MID($AB1638,5,1)="-",DATE(VALUE(LEFT($AB1638,4)),VALUE(MID($AB1638,6,2)),VALUE(RIGHT($AB1638,2))),DATE(VALUE(RIGHT($AB1638,4)),VALUE(MID($AB1638,4,2)),VALUE(LEFT($AB1638,2)))))</f>
        <v>45789</v>
      </c>
      <c r="C1638" s="61" t="n">
        <f aca="false">YEAR($B1638)</f>
        <v>2025</v>
      </c>
      <c r="D1638" s="61" t="str">
        <f aca="false">"Q"&amp;ROUNDUP(MONTH($B1638)/3,0)</f>
        <v>Q2</v>
      </c>
      <c r="E1638" s="61" t="n">
        <f aca="false">MONTH($B1638)</f>
        <v>5</v>
      </c>
      <c r="F1638" s="61" t="str">
        <f aca="false">INDEX(Parametros!$I$5:$I$16,$E1638)</f>
        <v>May</v>
      </c>
      <c r="G1638" s="61" t="str">
        <f aca="false">TEXT($C1638,"0000")&amp;"-"&amp;TEXT($E1638,"00")</f>
        <v>2025-05</v>
      </c>
      <c r="H1638" s="61" t="str">
        <f aca="false">INDEX(Parametros!$C$71:$C$91,MATCH(TRIM(INDEX(Datos_Origen!$C$2:$C$2459,$Z1638)),Parametros!$B$71:$B$91,0))</f>
        <v>Centro</v>
      </c>
      <c r="I1638" s="61" t="str">
        <f aca="false">IF(TRIM($AD1638)="",INDEX(Parametros!$I$20:$I$24,MATCH($H1638,Parametros!$H$20:$H$24,0)),TRIM($AD1638))</f>
        <v>Cordoba</v>
      </c>
      <c r="J1638" s="61" t="str">
        <f aca="false">INDEX(Parametros!$C$95:$C$106,MATCH(TRIM(INDEX(Datos_Origen!$E$2:$E$2459,$Z1638)),Parametros!$B$95:$B$106,0))</f>
        <v>Tienda fisica</v>
      </c>
      <c r="K1638" s="61" t="str">
        <f aca="false">INDEX(Parametros!$C$48:$C$67,MATCH(TRIM(INDEX(Datos_Origen!$F$2:$F$2459,$Z1638)),Parametros!$B$48:$B$67,0))</f>
        <v>Almacenamiento</v>
      </c>
      <c r="L1638" s="61" t="str">
        <f aca="false">$K1638&amp;" "&amp;$C1638</f>
        <v>Almacenamiento 2025</v>
      </c>
      <c r="M1638" s="61" t="str">
        <f aca="false">TRIM(INDEX(Datos_Origen!$G$2:$G$2459,$Z1638))</f>
        <v>SSD Externo 1TB</v>
      </c>
      <c r="N1638" s="61" t="str">
        <f aca="false">$M1638&amp;" "&amp;$C1638</f>
        <v>SSD Externo 1TB 2025</v>
      </c>
      <c r="O1638" s="63" t="n">
        <f aca="false">IF(ISTEXT($AC1638),VALUE($AC1638),$AC1638)</f>
        <v>31</v>
      </c>
      <c r="P1638" s="64" t="n">
        <f aca="false">INDEX(Datos_Origen!$I$2:$I$2459,$Z1638)</f>
        <v>129.17</v>
      </c>
      <c r="Q1638" s="64" t="n">
        <f aca="false">INDEX(Datos_Origen!$J$2:$J$2459,$Z1638)</f>
        <v>78.33</v>
      </c>
      <c r="R1638" s="65" t="n">
        <f aca="false">ROUND($O1638*$P1638,2)</f>
        <v>4004.27</v>
      </c>
      <c r="S1638" s="65" t="n">
        <f aca="false">ROUND($O1638*$Q1638,2)</f>
        <v>2428.23</v>
      </c>
      <c r="T1638" s="65" t="n">
        <f aca="false">ROUND($R1638*SUMIFS(Parametros!$E$28:$E$43,Parametros!$B$28:$B$43,$J1638,Parametros!$C$28:$C$43,$C1638,Parametros!$D$28:$D$43,$D1638),2)</f>
        <v>56.06</v>
      </c>
      <c r="U1638" s="65" t="n">
        <f aca="false">$R1638-$S1638-$T1638</f>
        <v>1519.98</v>
      </c>
      <c r="V1638" s="66" t="n">
        <f aca="false">IFERROR($U1638/$R1638,0)</f>
        <v>0.379589787901415</v>
      </c>
      <c r="W1638" s="67" t="str">
        <f aca="false">IF(AND($V1638&gt;=Parametros!$C$8,$R1638&gt;=Parametros!$C$12),"Alta rentabilidad",IF(OR($V1638&lt;Parametros!$C$11,$R1638&lt;Parametros!$C$13),"Revisar","Estandar"))</f>
        <v>Alta rentabilidad</v>
      </c>
      <c r="X1638" s="67" t="str">
        <f aca="false">IF(AND($J1638="E-commerce",IFERROR($T1638/$R1638,0)&gt;Parametros!$C$14),"Alerta","OK")</f>
        <v>OK</v>
      </c>
      <c r="Y1638" s="61" t="str">
        <f aca="false">IF($R1638&gt;=Parametros!$C$12,"Alto",IF($R1638&lt;Parametros!$C$13,"Bajo","Medio"))</f>
        <v>Alto</v>
      </c>
      <c r="Z1638" s="61" t="n">
        <v>310</v>
      </c>
      <c r="AA1638" s="61" t="str">
        <f aca="false">IF(MATCH($A1638,Datos_Origen!$A$2:$A$2459,0)=$Z1638,"OK","REVISAR")</f>
        <v>OK</v>
      </c>
      <c r="AB1638" s="61" t="str">
        <f aca="false">INDEX(Datos_Origen!$B$2:$B$2459,$Z1638)</f>
        <v>12/05/2025</v>
      </c>
      <c r="AC1638" s="61" t="n">
        <f aca="false">INDEX(Datos_Origen!$H$2:$H$2459,$Z1638)</f>
        <v>31</v>
      </c>
      <c r="AD1638" s="61" t="str">
        <f aca="false">INDEX(Datos_Origen!$D$2:$D$2459,$Z1638)&amp;""</f>
        <v/>
      </c>
    </row>
    <row r="1639" customFormat="false" ht="15" hidden="false" customHeight="false" outlineLevel="0" collapsed="false">
      <c r="A1639" s="61" t="n">
        <f aca="false">INDEX(Datos_Origen!$A$2:$A$2459,$Z1639)</f>
        <v>1638</v>
      </c>
      <c r="B1639" s="62" t="n">
        <f aca="false">IF(ISNUMBER($AB1639),$AB1639,IF(MID($AB1639,5,1)="-",DATE(VALUE(LEFT($AB1639,4)),VALUE(MID($AB1639,6,2)),VALUE(RIGHT($AB1639,2))),DATE(VALUE(RIGHT($AB1639,4)),VALUE(MID($AB1639,4,2)),VALUE(LEFT($AB1639,2)))))</f>
        <v>45796</v>
      </c>
      <c r="C1639" s="61" t="n">
        <f aca="false">YEAR($B1639)</f>
        <v>2025</v>
      </c>
      <c r="D1639" s="61" t="str">
        <f aca="false">"Q"&amp;ROUNDUP(MONTH($B1639)/3,0)</f>
        <v>Q2</v>
      </c>
      <c r="E1639" s="61" t="n">
        <f aca="false">MONTH($B1639)</f>
        <v>5</v>
      </c>
      <c r="F1639" s="61" t="str">
        <f aca="false">INDEX(Parametros!$I$5:$I$16,$E1639)</f>
        <v>May</v>
      </c>
      <c r="G1639" s="61" t="str">
        <f aca="false">TEXT($C1639,"0000")&amp;"-"&amp;TEXT($E1639,"00")</f>
        <v>2025-05</v>
      </c>
      <c r="H1639" s="61" t="str">
        <f aca="false">INDEX(Parametros!$C$71:$C$91,MATCH(TRIM(INDEX(Datos_Origen!$C$2:$C$2459,$Z1639)),Parametros!$B$71:$B$91,0))</f>
        <v>Centro</v>
      </c>
      <c r="I1639" s="61" t="str">
        <f aca="false">IF(TRIM($AD1639)="",INDEX(Parametros!$I$20:$I$24,MATCH($H1639,Parametros!$H$20:$H$24,0)),TRIM($AD1639))</f>
        <v>Cordoba</v>
      </c>
      <c r="J1639" s="61" t="str">
        <f aca="false">INDEX(Parametros!$C$95:$C$106,MATCH(TRIM(INDEX(Datos_Origen!$E$2:$E$2459,$Z1639)),Parametros!$B$95:$B$106,0))</f>
        <v>E-commerce</v>
      </c>
      <c r="K1639" s="61" t="str">
        <f aca="false">INDEX(Parametros!$C$48:$C$67,MATCH(TRIM(INDEX(Datos_Origen!$F$2:$F$2459,$Z1639)),Parametros!$B$48:$B$67,0))</f>
        <v>Almacenamiento</v>
      </c>
      <c r="L1639" s="61" t="str">
        <f aca="false">$K1639&amp;" "&amp;$C1639</f>
        <v>Almacenamiento 2025</v>
      </c>
      <c r="M1639" s="61" t="str">
        <f aca="false">TRIM(INDEX(Datos_Origen!$G$2:$G$2459,$Z1639))</f>
        <v>SSD Externo 1TB</v>
      </c>
      <c r="N1639" s="61" t="str">
        <f aca="false">$M1639&amp;" "&amp;$C1639</f>
        <v>SSD Externo 1TB 2025</v>
      </c>
      <c r="O1639" s="63" t="n">
        <f aca="false">IF(ISTEXT($AC1639),VALUE($AC1639),$AC1639)</f>
        <v>24</v>
      </c>
      <c r="P1639" s="64" t="n">
        <f aca="false">INDEX(Datos_Origen!$I$2:$I$2459,$Z1639)</f>
        <v>129.17</v>
      </c>
      <c r="Q1639" s="64" t="n">
        <f aca="false">INDEX(Datos_Origen!$J$2:$J$2459,$Z1639)</f>
        <v>78.33</v>
      </c>
      <c r="R1639" s="65" t="n">
        <f aca="false">ROUND($O1639*$P1639,2)</f>
        <v>3100.08</v>
      </c>
      <c r="S1639" s="65" t="n">
        <f aca="false">ROUND($O1639*$Q1639,2)</f>
        <v>1879.92</v>
      </c>
      <c r="T1639" s="65" t="n">
        <f aca="false">ROUND($R1639*SUMIFS(Parametros!$E$28:$E$43,Parametros!$B$28:$B$43,$J1639,Parametros!$C$28:$C$43,$C1639,Parametros!$D$28:$D$43,$D1639),2)</f>
        <v>229.41</v>
      </c>
      <c r="U1639" s="65" t="n">
        <f aca="false">$R1639-$S1639-$T1639</f>
        <v>990.75</v>
      </c>
      <c r="V1639" s="66" t="n">
        <f aca="false">IFERROR($U1639/$R1639,0)</f>
        <v>0.319588526747697</v>
      </c>
      <c r="W1639" s="67" t="str">
        <f aca="false">IF(AND($V1639&gt;=Parametros!$C$8,$R1639&gt;=Parametros!$C$12),"Alta rentabilidad",IF(OR($V1639&lt;Parametros!$C$11,$R1639&lt;Parametros!$C$13),"Revisar","Estandar"))</f>
        <v>Estandar</v>
      </c>
      <c r="X1639" s="67" t="str">
        <f aca="false">IF(AND($J1639="E-commerce",IFERROR($T1639/$R1639,0)&gt;Parametros!$C$14),"Alerta","OK")</f>
        <v>Alerta</v>
      </c>
      <c r="Y1639" s="61" t="str">
        <f aca="false">IF($R1639&gt;=Parametros!$C$12,"Alto",IF($R1639&lt;Parametros!$C$13,"Bajo","Medio"))</f>
        <v>Alto</v>
      </c>
      <c r="Z1639" s="61" t="n">
        <v>1773</v>
      </c>
      <c r="AA1639" s="61" t="str">
        <f aca="false">IF(MATCH($A1639,Datos_Origen!$A$2:$A$2459,0)=$Z1639,"OK","REVISAR")</f>
        <v>OK</v>
      </c>
      <c r="AB1639" s="62" t="n">
        <f aca="false">INDEX(Datos_Origen!$B$2:$B$2459,$Z1639)</f>
        <v>45796</v>
      </c>
      <c r="AC1639" s="61" t="n">
        <f aca="false">INDEX(Datos_Origen!$H$2:$H$2459,$Z1639)</f>
        <v>24</v>
      </c>
      <c r="AD1639" s="61" t="str">
        <f aca="false">INDEX(Datos_Origen!$D$2:$D$2459,$Z1639)&amp;""</f>
        <v>Cordoba</v>
      </c>
    </row>
    <row r="1640" customFormat="false" ht="15" hidden="false" customHeight="false" outlineLevel="0" collapsed="false">
      <c r="A1640" s="61" t="n">
        <f aca="false">INDEX(Datos_Origen!$A$2:$A$2459,$Z1640)</f>
        <v>1639</v>
      </c>
      <c r="B1640" s="62" t="n">
        <f aca="false">IF(ISNUMBER($AB1640),$AB1640,IF(MID($AB1640,5,1)="-",DATE(VALUE(LEFT($AB1640,4)),VALUE(MID($AB1640,6,2)),VALUE(RIGHT($AB1640,2))),DATE(VALUE(RIGHT($AB1640,4)),VALUE(MID($AB1640,4,2)),VALUE(LEFT($AB1640,2)))))</f>
        <v>45803</v>
      </c>
      <c r="C1640" s="61" t="n">
        <f aca="false">YEAR($B1640)</f>
        <v>2025</v>
      </c>
      <c r="D1640" s="61" t="str">
        <f aca="false">"Q"&amp;ROUNDUP(MONTH($B1640)/3,0)</f>
        <v>Q2</v>
      </c>
      <c r="E1640" s="61" t="n">
        <f aca="false">MONTH($B1640)</f>
        <v>5</v>
      </c>
      <c r="F1640" s="61" t="str">
        <f aca="false">INDEX(Parametros!$I$5:$I$16,$E1640)</f>
        <v>May</v>
      </c>
      <c r="G1640" s="61" t="str">
        <f aca="false">TEXT($C1640,"0000")&amp;"-"&amp;TEXT($E1640,"00")</f>
        <v>2025-05</v>
      </c>
      <c r="H1640" s="61" t="str">
        <f aca="false">INDEX(Parametros!$C$71:$C$91,MATCH(TRIM(INDEX(Datos_Origen!$C$2:$C$2459,$Z1640)),Parametros!$B$71:$B$91,0))</f>
        <v>Centro</v>
      </c>
      <c r="I1640" s="61" t="str">
        <f aca="false">IF(TRIM($AD1640)="",INDEX(Parametros!$I$20:$I$24,MATCH($H1640,Parametros!$H$20:$H$24,0)),TRIM($AD1640))</f>
        <v>Cordoba</v>
      </c>
      <c r="J1640" s="61" t="str">
        <f aca="false">INDEX(Parametros!$C$95:$C$106,MATCH(TRIM(INDEX(Datos_Origen!$E$2:$E$2459,$Z1640)),Parametros!$B$95:$B$106,0))</f>
        <v>Tienda fisica</v>
      </c>
      <c r="K1640" s="61" t="str">
        <f aca="false">INDEX(Parametros!$C$48:$C$67,MATCH(TRIM(INDEX(Datos_Origen!$F$2:$F$2459,$Z1640)),Parametros!$B$48:$B$67,0))</f>
        <v>Almacenamiento</v>
      </c>
      <c r="L1640" s="61" t="str">
        <f aca="false">$K1640&amp;" "&amp;$C1640</f>
        <v>Almacenamiento 2025</v>
      </c>
      <c r="M1640" s="61" t="str">
        <f aca="false">TRIM(INDEX(Datos_Origen!$G$2:$G$2459,$Z1640))</f>
        <v>Pendrive 256GB</v>
      </c>
      <c r="N1640" s="61" t="str">
        <f aca="false">$M1640&amp;" "&amp;$C1640</f>
        <v>Pendrive 256GB 2025</v>
      </c>
      <c r="O1640" s="63" t="n">
        <f aca="false">IF(ISTEXT($AC1640),VALUE($AC1640),$AC1640)</f>
        <v>35</v>
      </c>
      <c r="P1640" s="64" t="n">
        <f aca="false">INDEX(Datos_Origen!$I$2:$I$2459,$Z1640)</f>
        <v>34.78</v>
      </c>
      <c r="Q1640" s="64" t="n">
        <f aca="false">INDEX(Datos_Origen!$J$2:$J$2459,$Z1640)</f>
        <v>18.39</v>
      </c>
      <c r="R1640" s="65" t="n">
        <f aca="false">ROUND($O1640*$P1640,2)</f>
        <v>1217.3</v>
      </c>
      <c r="S1640" s="65" t="n">
        <f aca="false">ROUND($O1640*$Q1640,2)</f>
        <v>643.65</v>
      </c>
      <c r="T1640" s="65" t="n">
        <f aca="false">ROUND($R1640*SUMIFS(Parametros!$E$28:$E$43,Parametros!$B$28:$B$43,$J1640,Parametros!$C$28:$C$43,$C1640,Parametros!$D$28:$D$43,$D1640),2)</f>
        <v>17.04</v>
      </c>
      <c r="U1640" s="65" t="n">
        <f aca="false">$R1640-$S1640-$T1640</f>
        <v>556.61</v>
      </c>
      <c r="V1640" s="66" t="n">
        <f aca="false">IFERROR($U1640/$R1640,0)</f>
        <v>0.457249650866672</v>
      </c>
      <c r="W1640" s="67" t="str">
        <f aca="false">IF(AND($V1640&gt;=Parametros!$C$8,$R1640&gt;=Parametros!$C$12),"Alta rentabilidad",IF(OR($V1640&lt;Parametros!$C$11,$R1640&lt;Parametros!$C$13),"Revisar","Estandar"))</f>
        <v>Estandar</v>
      </c>
      <c r="X1640" s="67" t="str">
        <f aca="false">IF(AND($J1640="E-commerce",IFERROR($T1640/$R1640,0)&gt;Parametros!$C$14),"Alerta","OK")</f>
        <v>OK</v>
      </c>
      <c r="Y1640" s="61" t="str">
        <f aca="false">IF($R1640&gt;=Parametros!$C$12,"Alto",IF($R1640&lt;Parametros!$C$13,"Bajo","Medio"))</f>
        <v>Medio</v>
      </c>
      <c r="Z1640" s="61" t="n">
        <v>256</v>
      </c>
      <c r="AA1640" s="61" t="str">
        <f aca="false">IF(MATCH($A1640,Datos_Origen!$A$2:$A$2459,0)=$Z1640,"OK","REVISAR")</f>
        <v>OK</v>
      </c>
      <c r="AB1640" s="62" t="n">
        <f aca="false">INDEX(Datos_Origen!$B$2:$B$2459,$Z1640)</f>
        <v>45803</v>
      </c>
      <c r="AC1640" s="61" t="n">
        <f aca="false">INDEX(Datos_Origen!$H$2:$H$2459,$Z1640)</f>
        <v>35</v>
      </c>
      <c r="AD1640" s="61" t="str">
        <f aca="false">INDEX(Datos_Origen!$D$2:$D$2459,$Z1640)&amp;""</f>
        <v>Cordoba</v>
      </c>
    </row>
    <row r="1641" customFormat="false" ht="15" hidden="false" customHeight="false" outlineLevel="0" collapsed="false">
      <c r="A1641" s="61" t="n">
        <f aca="false">INDEX(Datos_Origen!$A$2:$A$2459,$Z1641)</f>
        <v>1640</v>
      </c>
      <c r="B1641" s="62" t="n">
        <f aca="false">IF(ISNUMBER($AB1641),$AB1641,IF(MID($AB1641,5,1)="-",DATE(VALUE(LEFT($AB1641,4)),VALUE(MID($AB1641,6,2)),VALUE(RIGHT($AB1641,2))),DATE(VALUE(RIGHT($AB1641,4)),VALUE(MID($AB1641,4,2)),VALUE(LEFT($AB1641,2)))))</f>
        <v>45783</v>
      </c>
      <c r="C1641" s="61" t="n">
        <f aca="false">YEAR($B1641)</f>
        <v>2025</v>
      </c>
      <c r="D1641" s="61" t="str">
        <f aca="false">"Q"&amp;ROUNDUP(MONTH($B1641)/3,0)</f>
        <v>Q2</v>
      </c>
      <c r="E1641" s="61" t="n">
        <f aca="false">MONTH($B1641)</f>
        <v>5</v>
      </c>
      <c r="F1641" s="61" t="str">
        <f aca="false">INDEX(Parametros!$I$5:$I$16,$E1641)</f>
        <v>May</v>
      </c>
      <c r="G1641" s="61" t="str">
        <f aca="false">TEXT($C1641,"0000")&amp;"-"&amp;TEXT($E1641,"00")</f>
        <v>2025-05</v>
      </c>
      <c r="H1641" s="61" t="str">
        <f aca="false">INDEX(Parametros!$C$71:$C$91,MATCH(TRIM(INDEX(Datos_Origen!$C$2:$C$2459,$Z1641)),Parametros!$B$71:$B$91,0))</f>
        <v>Centro</v>
      </c>
      <c r="I1641" s="61" t="str">
        <f aca="false">IF(TRIM($AD1641)="",INDEX(Parametros!$I$20:$I$24,MATCH($H1641,Parametros!$H$20:$H$24,0)),TRIM($AD1641))</f>
        <v>Cordoba</v>
      </c>
      <c r="J1641" s="61" t="str">
        <f aca="false">INDEX(Parametros!$C$95:$C$106,MATCH(TRIM(INDEX(Datos_Origen!$E$2:$E$2459,$Z1641)),Parametros!$B$95:$B$106,0))</f>
        <v>E-commerce</v>
      </c>
      <c r="K1641" s="61" t="str">
        <f aca="false">INDEX(Parametros!$C$48:$C$67,MATCH(TRIM(INDEX(Datos_Origen!$F$2:$F$2459,$Z1641)),Parametros!$B$48:$B$67,0))</f>
        <v>Almacenamiento</v>
      </c>
      <c r="L1641" s="61" t="str">
        <f aca="false">$K1641&amp;" "&amp;$C1641</f>
        <v>Almacenamiento 2025</v>
      </c>
      <c r="M1641" s="61" t="str">
        <f aca="false">TRIM(INDEX(Datos_Origen!$G$2:$G$2459,$Z1641))</f>
        <v>Pendrive 256GB</v>
      </c>
      <c r="N1641" s="61" t="str">
        <f aca="false">$M1641&amp;" "&amp;$C1641</f>
        <v>Pendrive 256GB 2025</v>
      </c>
      <c r="O1641" s="63" t="n">
        <f aca="false">IF(ISTEXT($AC1641),VALUE($AC1641),$AC1641)</f>
        <v>24</v>
      </c>
      <c r="P1641" s="64" t="n">
        <f aca="false">INDEX(Datos_Origen!$I$2:$I$2459,$Z1641)</f>
        <v>34.78</v>
      </c>
      <c r="Q1641" s="64" t="n">
        <f aca="false">INDEX(Datos_Origen!$J$2:$J$2459,$Z1641)</f>
        <v>18.39</v>
      </c>
      <c r="R1641" s="65" t="n">
        <f aca="false">ROUND($O1641*$P1641,2)</f>
        <v>834.72</v>
      </c>
      <c r="S1641" s="65" t="n">
        <f aca="false">ROUND($O1641*$Q1641,2)</f>
        <v>441.36</v>
      </c>
      <c r="T1641" s="65" t="n">
        <f aca="false">ROUND($R1641*SUMIFS(Parametros!$E$28:$E$43,Parametros!$B$28:$B$43,$J1641,Parametros!$C$28:$C$43,$C1641,Parametros!$D$28:$D$43,$D1641),2)</f>
        <v>61.77</v>
      </c>
      <c r="U1641" s="65" t="n">
        <f aca="false">$R1641-$S1641-$T1641</f>
        <v>331.59</v>
      </c>
      <c r="V1641" s="66" t="n">
        <f aca="false">IFERROR($U1641/$R1641,0)</f>
        <v>0.397246981023577</v>
      </c>
      <c r="W1641" s="67" t="str">
        <f aca="false">IF(AND($V1641&gt;=Parametros!$C$8,$R1641&gt;=Parametros!$C$12),"Alta rentabilidad",IF(OR($V1641&lt;Parametros!$C$11,$R1641&lt;Parametros!$C$13),"Revisar","Estandar"))</f>
        <v>Estandar</v>
      </c>
      <c r="X1641" s="67" t="str">
        <f aca="false">IF(AND($J1641="E-commerce",IFERROR($T1641/$R1641,0)&gt;Parametros!$C$14),"Alerta","OK")</f>
        <v>Alerta</v>
      </c>
      <c r="Y1641" s="61" t="str">
        <f aca="false">IF($R1641&gt;=Parametros!$C$12,"Alto",IF($R1641&lt;Parametros!$C$13,"Bajo","Medio"))</f>
        <v>Medio</v>
      </c>
      <c r="Z1641" s="61" t="n">
        <v>1724</v>
      </c>
      <c r="AA1641" s="61" t="str">
        <f aca="false">IF(MATCH($A1641,Datos_Origen!$A$2:$A$2459,0)=$Z1641,"OK","REVISAR")</f>
        <v>OK</v>
      </c>
      <c r="AB1641" s="62" t="n">
        <f aca="false">INDEX(Datos_Origen!$B$2:$B$2459,$Z1641)</f>
        <v>45783</v>
      </c>
      <c r="AC1641" s="61" t="n">
        <f aca="false">INDEX(Datos_Origen!$H$2:$H$2459,$Z1641)</f>
        <v>24</v>
      </c>
      <c r="AD1641" s="61" t="str">
        <f aca="false">INDEX(Datos_Origen!$D$2:$D$2459,$Z1641)&amp;""</f>
        <v>Cordoba</v>
      </c>
    </row>
    <row r="1642" customFormat="false" ht="15" hidden="false" customHeight="false" outlineLevel="0" collapsed="false">
      <c r="A1642" s="61" t="n">
        <f aca="false">INDEX(Datos_Origen!$A$2:$A$2459,$Z1642)</f>
        <v>1641</v>
      </c>
      <c r="B1642" s="62" t="n">
        <f aca="false">IF(ISNUMBER($AB1642),$AB1642,IF(MID($AB1642,5,1)="-",DATE(VALUE(LEFT($AB1642,4)),VALUE(MID($AB1642,6,2)),VALUE(RIGHT($AB1642,2))),DATE(VALUE(RIGHT($AB1642,4)),VALUE(MID($AB1642,4,2)),VALUE(LEFT($AB1642,2)))))</f>
        <v>45790</v>
      </c>
      <c r="C1642" s="61" t="n">
        <f aca="false">YEAR($B1642)</f>
        <v>2025</v>
      </c>
      <c r="D1642" s="61" t="str">
        <f aca="false">"Q"&amp;ROUNDUP(MONTH($B1642)/3,0)</f>
        <v>Q2</v>
      </c>
      <c r="E1642" s="61" t="n">
        <f aca="false">MONTH($B1642)</f>
        <v>5</v>
      </c>
      <c r="F1642" s="61" t="str">
        <f aca="false">INDEX(Parametros!$I$5:$I$16,$E1642)</f>
        <v>May</v>
      </c>
      <c r="G1642" s="61" t="str">
        <f aca="false">TEXT($C1642,"0000")&amp;"-"&amp;TEXT($E1642,"00")</f>
        <v>2025-05</v>
      </c>
      <c r="H1642" s="61" t="str">
        <f aca="false">INDEX(Parametros!$C$71:$C$91,MATCH(TRIM(INDEX(Datos_Origen!$C$2:$C$2459,$Z1642)),Parametros!$B$71:$B$91,0))</f>
        <v>Litoral</v>
      </c>
      <c r="I1642" s="61" t="str">
        <f aca="false">IF(TRIM($AD1642)="",INDEX(Parametros!$I$20:$I$24,MATCH($H1642,Parametros!$H$20:$H$24,0)),TRIM($AD1642))</f>
        <v>Rosario</v>
      </c>
      <c r="J1642" s="61" t="str">
        <f aca="false">INDEX(Parametros!$C$95:$C$106,MATCH(TRIM(INDEX(Datos_Origen!$E$2:$E$2459,$Z1642)),Parametros!$B$95:$B$106,0))</f>
        <v>Tienda fisica</v>
      </c>
      <c r="K1642" s="61" t="str">
        <f aca="false">INDEX(Parametros!$C$48:$C$67,MATCH(TRIM(INDEX(Datos_Origen!$F$2:$F$2459,$Z1642)),Parametros!$B$48:$B$67,0))</f>
        <v>Computacion</v>
      </c>
      <c r="L1642" s="61" t="str">
        <f aca="false">$K1642&amp;" "&amp;$C1642</f>
        <v>Computacion 2025</v>
      </c>
      <c r="M1642" s="61" t="str">
        <f aca="false">TRIM(INDEX(Datos_Origen!$G$2:$G$2459,$Z1642))</f>
        <v>Laptop Pro 15</v>
      </c>
      <c r="N1642" s="61" t="str">
        <f aca="false">$M1642&amp;" "&amp;$C1642</f>
        <v>Laptop Pro 15 2025</v>
      </c>
      <c r="O1642" s="63" t="n">
        <f aca="false">IF(ISTEXT($AC1642),VALUE($AC1642),$AC1642)</f>
        <v>7</v>
      </c>
      <c r="P1642" s="64" t="n">
        <f aca="false">INDEX(Datos_Origen!$I$2:$I$2459,$Z1642)</f>
        <v>1155.06</v>
      </c>
      <c r="Q1642" s="64" t="n">
        <f aca="false">INDEX(Datos_Origen!$J$2:$J$2459,$Z1642)</f>
        <v>766.32</v>
      </c>
      <c r="R1642" s="65" t="n">
        <f aca="false">ROUND($O1642*$P1642,2)</f>
        <v>8085.42</v>
      </c>
      <c r="S1642" s="65" t="n">
        <f aca="false">ROUND($O1642*$Q1642,2)</f>
        <v>5364.24</v>
      </c>
      <c r="T1642" s="65" t="n">
        <f aca="false">ROUND($R1642*SUMIFS(Parametros!$E$28:$E$43,Parametros!$B$28:$B$43,$J1642,Parametros!$C$28:$C$43,$C1642,Parametros!$D$28:$D$43,$D1642),2)</f>
        <v>113.2</v>
      </c>
      <c r="U1642" s="65" t="n">
        <f aca="false">$R1642-$S1642-$T1642</f>
        <v>2607.98</v>
      </c>
      <c r="V1642" s="66" t="n">
        <f aca="false">IFERROR($U1642/$R1642,0)</f>
        <v>0.322553435690416</v>
      </c>
      <c r="W1642" s="67" t="str">
        <f aca="false">IF(AND($V1642&gt;=Parametros!$C$8,$R1642&gt;=Parametros!$C$12),"Alta rentabilidad",IF(OR($V1642&lt;Parametros!$C$11,$R1642&lt;Parametros!$C$13),"Revisar","Estandar"))</f>
        <v>Estandar</v>
      </c>
      <c r="X1642" s="67" t="str">
        <f aca="false">IF(AND($J1642="E-commerce",IFERROR($T1642/$R1642,0)&gt;Parametros!$C$14),"Alerta","OK")</f>
        <v>OK</v>
      </c>
      <c r="Y1642" s="61" t="str">
        <f aca="false">IF($R1642&gt;=Parametros!$C$12,"Alto",IF($R1642&lt;Parametros!$C$13,"Bajo","Medio"))</f>
        <v>Alto</v>
      </c>
      <c r="Z1642" s="61" t="n">
        <v>2373</v>
      </c>
      <c r="AA1642" s="61" t="str">
        <f aca="false">IF(MATCH($A1642,Datos_Origen!$A$2:$A$2459,0)=$Z1642,"OK","REVISAR")</f>
        <v>OK</v>
      </c>
      <c r="AB1642" s="62" t="n">
        <f aca="false">INDEX(Datos_Origen!$B$2:$B$2459,$Z1642)</f>
        <v>45790</v>
      </c>
      <c r="AC1642" s="61" t="n">
        <f aca="false">INDEX(Datos_Origen!$H$2:$H$2459,$Z1642)</f>
        <v>7</v>
      </c>
      <c r="AD1642" s="61" t="str">
        <f aca="false">INDEX(Datos_Origen!$D$2:$D$2459,$Z1642)&amp;""</f>
        <v>Rosario</v>
      </c>
    </row>
    <row r="1643" customFormat="false" ht="15" hidden="false" customHeight="false" outlineLevel="0" collapsed="false">
      <c r="A1643" s="61" t="n">
        <f aca="false">INDEX(Datos_Origen!$A$2:$A$2459,$Z1643)</f>
        <v>1642</v>
      </c>
      <c r="B1643" s="62" t="n">
        <f aca="false">IF(ISNUMBER($AB1643),$AB1643,IF(MID($AB1643,5,1)="-",DATE(VALUE(LEFT($AB1643,4)),VALUE(MID($AB1643,6,2)),VALUE(RIGHT($AB1643,2))),DATE(VALUE(RIGHT($AB1643,4)),VALUE(MID($AB1643,4,2)),VALUE(LEFT($AB1643,2)))))</f>
        <v>45797</v>
      </c>
      <c r="C1643" s="61" t="n">
        <f aca="false">YEAR($B1643)</f>
        <v>2025</v>
      </c>
      <c r="D1643" s="61" t="str">
        <f aca="false">"Q"&amp;ROUNDUP(MONTH($B1643)/3,0)</f>
        <v>Q2</v>
      </c>
      <c r="E1643" s="61" t="n">
        <f aca="false">MONTH($B1643)</f>
        <v>5</v>
      </c>
      <c r="F1643" s="61" t="str">
        <f aca="false">INDEX(Parametros!$I$5:$I$16,$E1643)</f>
        <v>May</v>
      </c>
      <c r="G1643" s="61" t="str">
        <f aca="false">TEXT($C1643,"0000")&amp;"-"&amp;TEXT($E1643,"00")</f>
        <v>2025-05</v>
      </c>
      <c r="H1643" s="61" t="str">
        <f aca="false">INDEX(Parametros!$C$71:$C$91,MATCH(TRIM(INDEX(Datos_Origen!$C$2:$C$2459,$Z1643)),Parametros!$B$71:$B$91,0))</f>
        <v>Litoral</v>
      </c>
      <c r="I1643" s="61" t="str">
        <f aca="false">IF(TRIM($AD1643)="",INDEX(Parametros!$I$20:$I$24,MATCH($H1643,Parametros!$H$20:$H$24,0)),TRIM($AD1643))</f>
        <v>Rosario</v>
      </c>
      <c r="J1643" s="61" t="str">
        <f aca="false">INDEX(Parametros!$C$95:$C$106,MATCH(TRIM(INDEX(Datos_Origen!$E$2:$E$2459,$Z1643)),Parametros!$B$95:$B$106,0))</f>
        <v>E-commerce</v>
      </c>
      <c r="K1643" s="61" t="str">
        <f aca="false">INDEX(Parametros!$C$48:$C$67,MATCH(TRIM(INDEX(Datos_Origen!$F$2:$F$2459,$Z1643)),Parametros!$B$48:$B$67,0))</f>
        <v>Computacion</v>
      </c>
      <c r="L1643" s="61" t="str">
        <f aca="false">$K1643&amp;" "&amp;$C1643</f>
        <v>Computacion 2025</v>
      </c>
      <c r="M1643" s="61" t="str">
        <f aca="false">TRIM(INDEX(Datos_Origen!$G$2:$G$2459,$Z1643))</f>
        <v>Laptop Pro 15</v>
      </c>
      <c r="N1643" s="61" t="str">
        <f aca="false">$M1643&amp;" "&amp;$C1643</f>
        <v>Laptop Pro 15 2025</v>
      </c>
      <c r="O1643" s="63" t="n">
        <f aca="false">IF(ISTEXT($AC1643),VALUE($AC1643),$AC1643)</f>
        <v>6</v>
      </c>
      <c r="P1643" s="64" t="n">
        <f aca="false">INDEX(Datos_Origen!$I$2:$I$2459,$Z1643)</f>
        <v>1155.06</v>
      </c>
      <c r="Q1643" s="64" t="n">
        <f aca="false">INDEX(Datos_Origen!$J$2:$J$2459,$Z1643)</f>
        <v>766.32</v>
      </c>
      <c r="R1643" s="65" t="n">
        <f aca="false">ROUND($O1643*$P1643,2)</f>
        <v>6930.36</v>
      </c>
      <c r="S1643" s="65" t="n">
        <f aca="false">ROUND($O1643*$Q1643,2)</f>
        <v>4597.92</v>
      </c>
      <c r="T1643" s="65" t="n">
        <f aca="false">ROUND($R1643*SUMIFS(Parametros!$E$28:$E$43,Parametros!$B$28:$B$43,$J1643,Parametros!$C$28:$C$43,$C1643,Parametros!$D$28:$D$43,$D1643),2)</f>
        <v>512.85</v>
      </c>
      <c r="U1643" s="65" t="n">
        <f aca="false">$R1643-$S1643-$T1643</f>
        <v>1819.59</v>
      </c>
      <c r="V1643" s="66" t="n">
        <f aca="false">IFERROR($U1643/$R1643,0)</f>
        <v>0.262553460426298</v>
      </c>
      <c r="W1643" s="67" t="str">
        <f aca="false">IF(AND($V1643&gt;=Parametros!$C$8,$R1643&gt;=Parametros!$C$12),"Alta rentabilidad",IF(OR($V1643&lt;Parametros!$C$11,$R1643&lt;Parametros!$C$13),"Revisar","Estandar"))</f>
        <v>Revisar</v>
      </c>
      <c r="X1643" s="67" t="str">
        <f aca="false">IF(AND($J1643="E-commerce",IFERROR($T1643/$R1643,0)&gt;Parametros!$C$14),"Alerta","OK")</f>
        <v>Alerta</v>
      </c>
      <c r="Y1643" s="61" t="str">
        <f aca="false">IF($R1643&gt;=Parametros!$C$12,"Alto",IF($R1643&lt;Parametros!$C$13,"Bajo","Medio"))</f>
        <v>Alto</v>
      </c>
      <c r="Z1643" s="61" t="n">
        <v>1543</v>
      </c>
      <c r="AA1643" s="61" t="str">
        <f aca="false">IF(MATCH($A1643,Datos_Origen!$A$2:$A$2459,0)=$Z1643,"OK","REVISAR")</f>
        <v>OK</v>
      </c>
      <c r="AB1643" s="62" t="n">
        <f aca="false">INDEX(Datos_Origen!$B$2:$B$2459,$Z1643)</f>
        <v>45797</v>
      </c>
      <c r="AC1643" s="61" t="n">
        <f aca="false">INDEX(Datos_Origen!$H$2:$H$2459,$Z1643)</f>
        <v>6</v>
      </c>
      <c r="AD1643" s="61" t="str">
        <f aca="false">INDEX(Datos_Origen!$D$2:$D$2459,$Z1643)&amp;""</f>
        <v>Rosario</v>
      </c>
    </row>
    <row r="1644" customFormat="false" ht="15" hidden="false" customHeight="false" outlineLevel="0" collapsed="false">
      <c r="A1644" s="61" t="n">
        <f aca="false">INDEX(Datos_Origen!$A$2:$A$2459,$Z1644)</f>
        <v>1643</v>
      </c>
      <c r="B1644" s="62" t="n">
        <f aca="false">IF(ISNUMBER($AB1644),$AB1644,IF(MID($AB1644,5,1)="-",DATE(VALUE(LEFT($AB1644,4)),VALUE(MID($AB1644,6,2)),VALUE(RIGHT($AB1644,2))),DATE(VALUE(RIGHT($AB1644,4)),VALUE(MID($AB1644,4,2)),VALUE(LEFT($AB1644,2)))))</f>
        <v>45804</v>
      </c>
      <c r="C1644" s="61" t="n">
        <f aca="false">YEAR($B1644)</f>
        <v>2025</v>
      </c>
      <c r="D1644" s="61" t="str">
        <f aca="false">"Q"&amp;ROUNDUP(MONTH($B1644)/3,0)</f>
        <v>Q2</v>
      </c>
      <c r="E1644" s="61" t="n">
        <f aca="false">MONTH($B1644)</f>
        <v>5</v>
      </c>
      <c r="F1644" s="61" t="str">
        <f aca="false">INDEX(Parametros!$I$5:$I$16,$E1644)</f>
        <v>May</v>
      </c>
      <c r="G1644" s="61" t="str">
        <f aca="false">TEXT($C1644,"0000")&amp;"-"&amp;TEXT($E1644,"00")</f>
        <v>2025-05</v>
      </c>
      <c r="H1644" s="61" t="str">
        <f aca="false">INDEX(Parametros!$C$71:$C$91,MATCH(TRIM(INDEX(Datos_Origen!$C$2:$C$2459,$Z1644)),Parametros!$B$71:$B$91,0))</f>
        <v>Litoral</v>
      </c>
      <c r="I1644" s="61" t="str">
        <f aca="false">IF(TRIM($AD1644)="",INDEX(Parametros!$I$20:$I$24,MATCH($H1644,Parametros!$H$20:$H$24,0)),TRIM($AD1644))</f>
        <v>Rosario</v>
      </c>
      <c r="J1644" s="61" t="str">
        <f aca="false">INDEX(Parametros!$C$95:$C$106,MATCH(TRIM(INDEX(Datos_Origen!$E$2:$E$2459,$Z1644)),Parametros!$B$95:$B$106,0))</f>
        <v>Tienda fisica</v>
      </c>
      <c r="K1644" s="61" t="str">
        <f aca="false">INDEX(Parametros!$C$48:$C$67,MATCH(TRIM(INDEX(Datos_Origen!$F$2:$F$2459,$Z1644)),Parametros!$B$48:$B$67,0))</f>
        <v>Computacion</v>
      </c>
      <c r="L1644" s="61" t="str">
        <f aca="false">$K1644&amp;" "&amp;$C1644</f>
        <v>Computacion 2025</v>
      </c>
      <c r="M1644" s="61" t="str">
        <f aca="false">TRIM(INDEX(Datos_Origen!$G$2:$G$2459,$Z1644))</f>
        <v>Monitor 4K 27</v>
      </c>
      <c r="N1644" s="61" t="str">
        <f aca="false">$M1644&amp;" "&amp;$C1644</f>
        <v>Monitor 4K 27 2025</v>
      </c>
      <c r="O1644" s="63" t="n">
        <f aca="false">IF(ISTEXT($AC1644),VALUE($AC1644),$AC1644)</f>
        <v>8</v>
      </c>
      <c r="P1644" s="64" t="n">
        <f aca="false">INDEX(Datos_Origen!$I$2:$I$2459,$Z1644)</f>
        <v>433.15</v>
      </c>
      <c r="Q1644" s="64" t="n">
        <f aca="false">INDEX(Datos_Origen!$J$2:$J$2459,$Z1644)</f>
        <v>280.42</v>
      </c>
      <c r="R1644" s="65" t="n">
        <f aca="false">ROUND($O1644*$P1644,2)</f>
        <v>3465.2</v>
      </c>
      <c r="S1644" s="65" t="n">
        <f aca="false">ROUND($O1644*$Q1644,2)</f>
        <v>2243.36</v>
      </c>
      <c r="T1644" s="65" t="n">
        <f aca="false">ROUND($R1644*SUMIFS(Parametros!$E$28:$E$43,Parametros!$B$28:$B$43,$J1644,Parametros!$C$28:$C$43,$C1644,Parametros!$D$28:$D$43,$D1644),2)</f>
        <v>48.51</v>
      </c>
      <c r="U1644" s="65" t="n">
        <f aca="false">$R1644-$S1644-$T1644</f>
        <v>1173.33</v>
      </c>
      <c r="V1644" s="66" t="n">
        <f aca="false">IFERROR($U1644/$R1644,0)</f>
        <v>0.338603832390627</v>
      </c>
      <c r="W1644" s="67" t="str">
        <f aca="false">IF(AND($V1644&gt;=Parametros!$C$8,$R1644&gt;=Parametros!$C$12),"Alta rentabilidad",IF(OR($V1644&lt;Parametros!$C$11,$R1644&lt;Parametros!$C$13),"Revisar","Estandar"))</f>
        <v>Estandar</v>
      </c>
      <c r="X1644" s="67" t="str">
        <f aca="false">IF(AND($J1644="E-commerce",IFERROR($T1644/$R1644,0)&gt;Parametros!$C$14),"Alerta","OK")</f>
        <v>OK</v>
      </c>
      <c r="Y1644" s="61" t="str">
        <f aca="false">IF($R1644&gt;=Parametros!$C$12,"Alto",IF($R1644&lt;Parametros!$C$13,"Bajo","Medio"))</f>
        <v>Alto</v>
      </c>
      <c r="Z1644" s="61" t="n">
        <v>1500</v>
      </c>
      <c r="AA1644" s="61" t="str">
        <f aca="false">IF(MATCH($A1644,Datos_Origen!$A$2:$A$2459,0)=$Z1644,"OK","REVISAR")</f>
        <v>OK</v>
      </c>
      <c r="AB1644" s="62" t="n">
        <f aca="false">INDEX(Datos_Origen!$B$2:$B$2459,$Z1644)</f>
        <v>45804</v>
      </c>
      <c r="AC1644" s="61" t="n">
        <f aca="false">INDEX(Datos_Origen!$H$2:$H$2459,$Z1644)</f>
        <v>8</v>
      </c>
      <c r="AD1644" s="61" t="str">
        <f aca="false">INDEX(Datos_Origen!$D$2:$D$2459,$Z1644)&amp;""</f>
        <v>Rosario</v>
      </c>
    </row>
    <row r="1645" customFormat="false" ht="15" hidden="false" customHeight="false" outlineLevel="0" collapsed="false">
      <c r="A1645" s="61" t="n">
        <f aca="false">INDEX(Datos_Origen!$A$2:$A$2459,$Z1645)</f>
        <v>1644</v>
      </c>
      <c r="B1645" s="62" t="n">
        <f aca="false">IF(ISNUMBER($AB1645),$AB1645,IF(MID($AB1645,5,1)="-",DATE(VALUE(LEFT($AB1645,4)),VALUE(MID($AB1645,6,2)),VALUE(RIGHT($AB1645,2))),DATE(VALUE(RIGHT($AB1645,4)),VALUE(MID($AB1645,4,2)),VALUE(LEFT($AB1645,2)))))</f>
        <v>45784</v>
      </c>
      <c r="C1645" s="61" t="n">
        <f aca="false">YEAR($B1645)</f>
        <v>2025</v>
      </c>
      <c r="D1645" s="61" t="str">
        <f aca="false">"Q"&amp;ROUNDUP(MONTH($B1645)/3,0)</f>
        <v>Q2</v>
      </c>
      <c r="E1645" s="61" t="n">
        <f aca="false">MONTH($B1645)</f>
        <v>5</v>
      </c>
      <c r="F1645" s="61" t="str">
        <f aca="false">INDEX(Parametros!$I$5:$I$16,$E1645)</f>
        <v>May</v>
      </c>
      <c r="G1645" s="61" t="str">
        <f aca="false">TEXT($C1645,"0000")&amp;"-"&amp;TEXT($E1645,"00")</f>
        <v>2025-05</v>
      </c>
      <c r="H1645" s="61" t="str">
        <f aca="false">INDEX(Parametros!$C$71:$C$91,MATCH(TRIM(INDEX(Datos_Origen!$C$2:$C$2459,$Z1645)),Parametros!$B$71:$B$91,0))</f>
        <v>Litoral</v>
      </c>
      <c r="I1645" s="61" t="str">
        <f aca="false">IF(TRIM($AD1645)="",INDEX(Parametros!$I$20:$I$24,MATCH($H1645,Parametros!$H$20:$H$24,0)),TRIM($AD1645))</f>
        <v>Rosario</v>
      </c>
      <c r="J1645" s="61" t="str">
        <f aca="false">INDEX(Parametros!$C$95:$C$106,MATCH(TRIM(INDEX(Datos_Origen!$E$2:$E$2459,$Z1645)),Parametros!$B$95:$B$106,0))</f>
        <v>E-commerce</v>
      </c>
      <c r="K1645" s="61" t="str">
        <f aca="false">INDEX(Parametros!$C$48:$C$67,MATCH(TRIM(INDEX(Datos_Origen!$F$2:$F$2459,$Z1645)),Parametros!$B$48:$B$67,0))</f>
        <v>Computacion</v>
      </c>
      <c r="L1645" s="61" t="str">
        <f aca="false">$K1645&amp;" "&amp;$C1645</f>
        <v>Computacion 2025</v>
      </c>
      <c r="M1645" s="61" t="str">
        <f aca="false">TRIM(INDEX(Datos_Origen!$G$2:$G$2459,$Z1645))</f>
        <v>Monitor 4K 27</v>
      </c>
      <c r="N1645" s="61" t="str">
        <f aca="false">$M1645&amp;" "&amp;$C1645</f>
        <v>Monitor 4K 27 2025</v>
      </c>
      <c r="O1645" s="63" t="n">
        <f aca="false">IF(ISTEXT($AC1645),VALUE($AC1645),$AC1645)</f>
        <v>6</v>
      </c>
      <c r="P1645" s="64" t="n">
        <f aca="false">INDEX(Datos_Origen!$I$2:$I$2459,$Z1645)</f>
        <v>433.15</v>
      </c>
      <c r="Q1645" s="64" t="n">
        <f aca="false">INDEX(Datos_Origen!$J$2:$J$2459,$Z1645)</f>
        <v>280.42</v>
      </c>
      <c r="R1645" s="65" t="n">
        <f aca="false">ROUND($O1645*$P1645,2)</f>
        <v>2598.9</v>
      </c>
      <c r="S1645" s="65" t="n">
        <f aca="false">ROUND($O1645*$Q1645,2)</f>
        <v>1682.52</v>
      </c>
      <c r="T1645" s="65" t="n">
        <f aca="false">ROUND($R1645*SUMIFS(Parametros!$E$28:$E$43,Parametros!$B$28:$B$43,$J1645,Parametros!$C$28:$C$43,$C1645,Parametros!$D$28:$D$43,$D1645),2)</f>
        <v>192.32</v>
      </c>
      <c r="U1645" s="65" t="n">
        <f aca="false">$R1645-$S1645-$T1645</f>
        <v>724.06</v>
      </c>
      <c r="V1645" s="66" t="n">
        <f aca="false">IFERROR($U1645/$R1645,0)</f>
        <v>0.278602485667013</v>
      </c>
      <c r="W1645" s="67" t="str">
        <f aca="false">IF(AND($V1645&gt;=Parametros!$C$8,$R1645&gt;=Parametros!$C$12),"Alta rentabilidad",IF(OR($V1645&lt;Parametros!$C$11,$R1645&lt;Parametros!$C$13),"Revisar","Estandar"))</f>
        <v>Revisar</v>
      </c>
      <c r="X1645" s="67" t="str">
        <f aca="false">IF(AND($J1645="E-commerce",IFERROR($T1645/$R1645,0)&gt;Parametros!$C$14),"Alerta","OK")</f>
        <v>Alerta</v>
      </c>
      <c r="Y1645" s="61" t="str">
        <f aca="false">IF($R1645&gt;=Parametros!$C$12,"Alto",IF($R1645&lt;Parametros!$C$13,"Bajo","Medio"))</f>
        <v>Medio</v>
      </c>
      <c r="Z1645" s="61" t="n">
        <v>1065</v>
      </c>
      <c r="AA1645" s="61" t="str">
        <f aca="false">IF(MATCH($A1645,Datos_Origen!$A$2:$A$2459,0)=$Z1645,"OK","REVISAR")</f>
        <v>OK</v>
      </c>
      <c r="AB1645" s="62" t="n">
        <f aca="false">INDEX(Datos_Origen!$B$2:$B$2459,$Z1645)</f>
        <v>45784</v>
      </c>
      <c r="AC1645" s="61" t="n">
        <f aca="false">INDEX(Datos_Origen!$H$2:$H$2459,$Z1645)</f>
        <v>6</v>
      </c>
      <c r="AD1645" s="61" t="str">
        <f aca="false">INDEX(Datos_Origen!$D$2:$D$2459,$Z1645)&amp;""</f>
        <v>Rosario</v>
      </c>
    </row>
    <row r="1646" customFormat="false" ht="15" hidden="false" customHeight="false" outlineLevel="0" collapsed="false">
      <c r="A1646" s="61" t="n">
        <f aca="false">INDEX(Datos_Origen!$A$2:$A$2459,$Z1646)</f>
        <v>1645</v>
      </c>
      <c r="B1646" s="62" t="n">
        <f aca="false">IF(ISNUMBER($AB1646),$AB1646,IF(MID($AB1646,5,1)="-",DATE(VALUE(LEFT($AB1646,4)),VALUE(MID($AB1646,6,2)),VALUE(RIGHT($AB1646,2))),DATE(VALUE(RIGHT($AB1646,4)),VALUE(MID($AB1646,4,2)),VALUE(LEFT($AB1646,2)))))</f>
        <v>45791</v>
      </c>
      <c r="C1646" s="61" t="n">
        <f aca="false">YEAR($B1646)</f>
        <v>2025</v>
      </c>
      <c r="D1646" s="61" t="str">
        <f aca="false">"Q"&amp;ROUNDUP(MONTH($B1646)/3,0)</f>
        <v>Q2</v>
      </c>
      <c r="E1646" s="61" t="n">
        <f aca="false">MONTH($B1646)</f>
        <v>5</v>
      </c>
      <c r="F1646" s="61" t="str">
        <f aca="false">INDEX(Parametros!$I$5:$I$16,$E1646)</f>
        <v>May</v>
      </c>
      <c r="G1646" s="61" t="str">
        <f aca="false">TEXT($C1646,"0000")&amp;"-"&amp;TEXT($E1646,"00")</f>
        <v>2025-05</v>
      </c>
      <c r="H1646" s="61" t="str">
        <f aca="false">INDEX(Parametros!$C$71:$C$91,MATCH(TRIM(INDEX(Datos_Origen!$C$2:$C$2459,$Z1646)),Parametros!$B$71:$B$91,0))</f>
        <v>Litoral</v>
      </c>
      <c r="I1646" s="61" t="str">
        <f aca="false">IF(TRIM($AD1646)="",INDEX(Parametros!$I$20:$I$24,MATCH($H1646,Parametros!$H$20:$H$24,0)),TRIM($AD1646))</f>
        <v>Rosario</v>
      </c>
      <c r="J1646" s="61" t="str">
        <f aca="false">INDEX(Parametros!$C$95:$C$106,MATCH(TRIM(INDEX(Datos_Origen!$E$2:$E$2459,$Z1646)),Parametros!$B$95:$B$106,0))</f>
        <v>Tienda fisica</v>
      </c>
      <c r="K1646" s="61" t="str">
        <f aca="false">INDEX(Parametros!$C$48:$C$67,MATCH(TRIM(INDEX(Datos_Origen!$F$2:$F$2459,$Z1646)),Parametros!$B$48:$B$67,0))</f>
        <v>Computacion</v>
      </c>
      <c r="L1646" s="61" t="str">
        <f aca="false">$K1646&amp;" "&amp;$C1646</f>
        <v>Computacion 2025</v>
      </c>
      <c r="M1646" s="61" t="str">
        <f aca="false">TRIM(INDEX(Datos_Origen!$G$2:$G$2459,$Z1646))</f>
        <v>PC Gamer Ryzen</v>
      </c>
      <c r="N1646" s="61" t="str">
        <f aca="false">$M1646&amp;" "&amp;$C1646</f>
        <v>PC Gamer Ryzen 2025</v>
      </c>
      <c r="O1646" s="63" t="n">
        <f aca="false">IF(ISTEXT($AC1646),VALUE($AC1646),$AC1646)</f>
        <v>9</v>
      </c>
      <c r="P1646" s="64" t="n">
        <f aca="false">INDEX(Datos_Origen!$I$2:$I$2459,$Z1646)</f>
        <v>1588.21</v>
      </c>
      <c r="Q1646" s="64" t="n">
        <f aca="false">INDEX(Datos_Origen!$J$2:$J$2459,$Z1646)</f>
        <v>1155.66</v>
      </c>
      <c r="R1646" s="65" t="n">
        <f aca="false">ROUND($O1646*$P1646,2)</f>
        <v>14293.89</v>
      </c>
      <c r="S1646" s="65" t="n">
        <f aca="false">ROUND($O1646*$Q1646,2)</f>
        <v>10400.94</v>
      </c>
      <c r="T1646" s="65" t="n">
        <f aca="false">ROUND($R1646*SUMIFS(Parametros!$E$28:$E$43,Parametros!$B$28:$B$43,$J1646,Parametros!$C$28:$C$43,$C1646,Parametros!$D$28:$D$43,$D1646),2)</f>
        <v>200.11</v>
      </c>
      <c r="U1646" s="65" t="n">
        <f aca="false">$R1646-$S1646-$T1646</f>
        <v>3692.84</v>
      </c>
      <c r="V1646" s="66" t="n">
        <f aca="false">IFERROR($U1646/$R1646,0)</f>
        <v>0.258350945753745</v>
      </c>
      <c r="W1646" s="67" t="str">
        <f aca="false">IF(AND($V1646&gt;=Parametros!$C$8,$R1646&gt;=Parametros!$C$12),"Alta rentabilidad",IF(OR($V1646&lt;Parametros!$C$11,$R1646&lt;Parametros!$C$13),"Revisar","Estandar"))</f>
        <v>Revisar</v>
      </c>
      <c r="X1646" s="67" t="str">
        <f aca="false">IF(AND($J1646="E-commerce",IFERROR($T1646/$R1646,0)&gt;Parametros!$C$14),"Alerta","OK")</f>
        <v>OK</v>
      </c>
      <c r="Y1646" s="61" t="str">
        <f aca="false">IF($R1646&gt;=Parametros!$C$12,"Alto",IF($R1646&lt;Parametros!$C$13,"Bajo","Medio"))</f>
        <v>Alto</v>
      </c>
      <c r="Z1646" s="61" t="n">
        <v>710</v>
      </c>
      <c r="AA1646" s="61" t="str">
        <f aca="false">IF(MATCH($A1646,Datos_Origen!$A$2:$A$2459,0)=$Z1646,"OK","REVISAR")</f>
        <v>OK</v>
      </c>
      <c r="AB1646" s="61" t="str">
        <f aca="false">INDEX(Datos_Origen!$B$2:$B$2459,$Z1646)</f>
        <v>2025-05-14</v>
      </c>
      <c r="AC1646" s="61" t="n">
        <f aca="false">INDEX(Datos_Origen!$H$2:$H$2459,$Z1646)</f>
        <v>9</v>
      </c>
      <c r="AD1646" s="61" t="str">
        <f aca="false">INDEX(Datos_Origen!$D$2:$D$2459,$Z1646)&amp;""</f>
        <v>Rosario</v>
      </c>
    </row>
    <row r="1647" customFormat="false" ht="15" hidden="false" customHeight="false" outlineLevel="0" collapsed="false">
      <c r="A1647" s="61" t="n">
        <f aca="false">INDEX(Datos_Origen!$A$2:$A$2459,$Z1647)</f>
        <v>1646</v>
      </c>
      <c r="B1647" s="62" t="n">
        <f aca="false">IF(ISNUMBER($AB1647),$AB1647,IF(MID($AB1647,5,1)="-",DATE(VALUE(LEFT($AB1647,4)),VALUE(MID($AB1647,6,2)),VALUE(RIGHT($AB1647,2))),DATE(VALUE(RIGHT($AB1647,4)),VALUE(MID($AB1647,4,2)),VALUE(LEFT($AB1647,2)))))</f>
        <v>45798</v>
      </c>
      <c r="C1647" s="61" t="n">
        <f aca="false">YEAR($B1647)</f>
        <v>2025</v>
      </c>
      <c r="D1647" s="61" t="str">
        <f aca="false">"Q"&amp;ROUNDUP(MONTH($B1647)/3,0)</f>
        <v>Q2</v>
      </c>
      <c r="E1647" s="61" t="n">
        <f aca="false">MONTH($B1647)</f>
        <v>5</v>
      </c>
      <c r="F1647" s="61" t="str">
        <f aca="false">INDEX(Parametros!$I$5:$I$16,$E1647)</f>
        <v>May</v>
      </c>
      <c r="G1647" s="61" t="str">
        <f aca="false">TEXT($C1647,"0000")&amp;"-"&amp;TEXT($E1647,"00")</f>
        <v>2025-05</v>
      </c>
      <c r="H1647" s="61" t="str">
        <f aca="false">INDEX(Parametros!$C$71:$C$91,MATCH(TRIM(INDEX(Datos_Origen!$C$2:$C$2459,$Z1647)),Parametros!$B$71:$B$91,0))</f>
        <v>Litoral</v>
      </c>
      <c r="I1647" s="61" t="str">
        <f aca="false">IF(TRIM($AD1647)="",INDEX(Parametros!$I$20:$I$24,MATCH($H1647,Parametros!$H$20:$H$24,0)),TRIM($AD1647))</f>
        <v>Rosario</v>
      </c>
      <c r="J1647" s="61" t="str">
        <f aca="false">INDEX(Parametros!$C$95:$C$106,MATCH(TRIM(INDEX(Datos_Origen!$E$2:$E$2459,$Z1647)),Parametros!$B$95:$B$106,0))</f>
        <v>E-commerce</v>
      </c>
      <c r="K1647" s="61" t="str">
        <f aca="false">INDEX(Parametros!$C$48:$C$67,MATCH(TRIM(INDEX(Datos_Origen!$F$2:$F$2459,$Z1647)),Parametros!$B$48:$B$67,0))</f>
        <v>Computacion</v>
      </c>
      <c r="L1647" s="61" t="str">
        <f aca="false">$K1647&amp;" "&amp;$C1647</f>
        <v>Computacion 2025</v>
      </c>
      <c r="M1647" s="61" t="str">
        <f aca="false">TRIM(INDEX(Datos_Origen!$G$2:$G$2459,$Z1647))</f>
        <v>PC Gamer Ryzen</v>
      </c>
      <c r="N1647" s="61" t="str">
        <f aca="false">$M1647&amp;" "&amp;$C1647</f>
        <v>PC Gamer Ryzen 2025</v>
      </c>
      <c r="O1647" s="63" t="n">
        <f aca="false">IF(ISTEXT($AC1647),VALUE($AC1647),$AC1647)</f>
        <v>7</v>
      </c>
      <c r="P1647" s="64" t="n">
        <f aca="false">INDEX(Datos_Origen!$I$2:$I$2459,$Z1647)</f>
        <v>1588.21</v>
      </c>
      <c r="Q1647" s="64" t="n">
        <f aca="false">INDEX(Datos_Origen!$J$2:$J$2459,$Z1647)</f>
        <v>1155.66</v>
      </c>
      <c r="R1647" s="65" t="n">
        <f aca="false">ROUND($O1647*$P1647,2)</f>
        <v>11117.47</v>
      </c>
      <c r="S1647" s="65" t="n">
        <f aca="false">ROUND($O1647*$Q1647,2)</f>
        <v>8089.62</v>
      </c>
      <c r="T1647" s="65" t="n">
        <f aca="false">ROUND($R1647*SUMIFS(Parametros!$E$28:$E$43,Parametros!$B$28:$B$43,$J1647,Parametros!$C$28:$C$43,$C1647,Parametros!$D$28:$D$43,$D1647),2)</f>
        <v>822.69</v>
      </c>
      <c r="U1647" s="65" t="n">
        <f aca="false">$R1647-$S1647-$T1647</f>
        <v>2205.16</v>
      </c>
      <c r="V1647" s="66" t="n">
        <f aca="false">IFERROR($U1647/$R1647,0)</f>
        <v>0.198350883789207</v>
      </c>
      <c r="W1647" s="67" t="str">
        <f aca="false">IF(AND($V1647&gt;=Parametros!$C$8,$R1647&gt;=Parametros!$C$12),"Alta rentabilidad",IF(OR($V1647&lt;Parametros!$C$11,$R1647&lt;Parametros!$C$13),"Revisar","Estandar"))</f>
        <v>Revisar</v>
      </c>
      <c r="X1647" s="67" t="str">
        <f aca="false">IF(AND($J1647="E-commerce",IFERROR($T1647/$R1647,0)&gt;Parametros!$C$14),"Alerta","OK")</f>
        <v>Alerta</v>
      </c>
      <c r="Y1647" s="61" t="str">
        <f aca="false">IF($R1647&gt;=Parametros!$C$12,"Alto",IF($R1647&lt;Parametros!$C$13,"Bajo","Medio"))</f>
        <v>Alto</v>
      </c>
      <c r="Z1647" s="61" t="n">
        <v>1190</v>
      </c>
      <c r="AA1647" s="61" t="str">
        <f aca="false">IF(MATCH($A1647,Datos_Origen!$A$2:$A$2459,0)=$Z1647,"OK","REVISAR")</f>
        <v>OK</v>
      </c>
      <c r="AB1647" s="62" t="n">
        <f aca="false">INDEX(Datos_Origen!$B$2:$B$2459,$Z1647)</f>
        <v>45798</v>
      </c>
      <c r="AC1647" s="61" t="n">
        <f aca="false">INDEX(Datos_Origen!$H$2:$H$2459,$Z1647)</f>
        <v>7</v>
      </c>
      <c r="AD1647" s="61" t="str">
        <f aca="false">INDEX(Datos_Origen!$D$2:$D$2459,$Z1647)&amp;""</f>
        <v>Rosario</v>
      </c>
    </row>
    <row r="1648" customFormat="false" ht="15" hidden="false" customHeight="false" outlineLevel="0" collapsed="false">
      <c r="A1648" s="61" t="n">
        <f aca="false">INDEX(Datos_Origen!$A$2:$A$2459,$Z1648)</f>
        <v>1647</v>
      </c>
      <c r="B1648" s="62" t="n">
        <f aca="false">IF(ISNUMBER($AB1648),$AB1648,IF(MID($AB1648,5,1)="-",DATE(VALUE(LEFT($AB1648,4)),VALUE(MID($AB1648,6,2)),VALUE(RIGHT($AB1648,2))),DATE(VALUE(RIGHT($AB1648,4)),VALUE(MID($AB1648,4,2)),VALUE(LEFT($AB1648,2)))))</f>
        <v>45778</v>
      </c>
      <c r="C1648" s="61" t="n">
        <f aca="false">YEAR($B1648)</f>
        <v>2025</v>
      </c>
      <c r="D1648" s="61" t="str">
        <f aca="false">"Q"&amp;ROUNDUP(MONTH($B1648)/3,0)</f>
        <v>Q2</v>
      </c>
      <c r="E1648" s="61" t="n">
        <f aca="false">MONTH($B1648)</f>
        <v>5</v>
      </c>
      <c r="F1648" s="61" t="str">
        <f aca="false">INDEX(Parametros!$I$5:$I$16,$E1648)</f>
        <v>May</v>
      </c>
      <c r="G1648" s="61" t="str">
        <f aca="false">TEXT($C1648,"0000")&amp;"-"&amp;TEXT($E1648,"00")</f>
        <v>2025-05</v>
      </c>
      <c r="H1648" s="61" t="str">
        <f aca="false">INDEX(Parametros!$C$71:$C$91,MATCH(TRIM(INDEX(Datos_Origen!$C$2:$C$2459,$Z1648)),Parametros!$B$71:$B$91,0))</f>
        <v>Litoral</v>
      </c>
      <c r="I1648" s="61" t="str">
        <f aca="false">IF(TRIM($AD1648)="",INDEX(Parametros!$I$20:$I$24,MATCH($H1648,Parametros!$H$20:$H$24,0)),TRIM($AD1648))</f>
        <v>Rosario</v>
      </c>
      <c r="J1648" s="61" t="str">
        <f aca="false">INDEX(Parametros!$C$95:$C$106,MATCH(TRIM(INDEX(Datos_Origen!$E$2:$E$2459,$Z1648)),Parametros!$B$95:$B$106,0))</f>
        <v>Tienda fisica</v>
      </c>
      <c r="K1648" s="61" t="str">
        <f aca="false">INDEX(Parametros!$C$48:$C$67,MATCH(TRIM(INDEX(Datos_Origen!$F$2:$F$2459,$Z1648)),Parametros!$B$48:$B$67,0))</f>
        <v>Accesorios</v>
      </c>
      <c r="L1648" s="61" t="str">
        <f aca="false">$K1648&amp;" "&amp;$C1648</f>
        <v>Accesorios 2025</v>
      </c>
      <c r="M1648" s="61" t="str">
        <f aca="false">TRIM(INDEX(Datos_Origen!$G$2:$G$2459,$Z1648))</f>
        <v>Mouse Inalambrico</v>
      </c>
      <c r="N1648" s="61" t="str">
        <f aca="false">$M1648&amp;" "&amp;$C1648</f>
        <v>Mouse Inalambrico 2025</v>
      </c>
      <c r="O1648" s="63" t="n">
        <f aca="false">IF(ISTEXT($AC1648),VALUE($AC1648),$AC1648)</f>
        <v>38</v>
      </c>
      <c r="P1648" s="64" t="n">
        <f aca="false">INDEX(Datos_Origen!$I$2:$I$2459,$Z1648)</f>
        <v>27.82</v>
      </c>
      <c r="Q1648" s="64" t="n">
        <f aca="false">INDEX(Datos_Origen!$J$2:$J$2459,$Z1648)</f>
        <v>13.84</v>
      </c>
      <c r="R1648" s="65" t="n">
        <f aca="false">ROUND($O1648*$P1648,2)</f>
        <v>1057.16</v>
      </c>
      <c r="S1648" s="65" t="n">
        <f aca="false">ROUND($O1648*$Q1648,2)</f>
        <v>525.92</v>
      </c>
      <c r="T1648" s="65" t="n">
        <f aca="false">ROUND($R1648*SUMIFS(Parametros!$E$28:$E$43,Parametros!$B$28:$B$43,$J1648,Parametros!$C$28:$C$43,$C1648,Parametros!$D$28:$D$43,$D1648),2)</f>
        <v>14.8</v>
      </c>
      <c r="U1648" s="65" t="n">
        <f aca="false">$R1648-$S1648-$T1648</f>
        <v>516.44</v>
      </c>
      <c r="V1648" s="66" t="n">
        <f aca="false">IFERROR($U1648/$R1648,0)</f>
        <v>0.488516402436717</v>
      </c>
      <c r="W1648" s="67" t="str">
        <f aca="false">IF(AND($V1648&gt;=Parametros!$C$8,$R1648&gt;=Parametros!$C$12),"Alta rentabilidad",IF(OR($V1648&lt;Parametros!$C$11,$R1648&lt;Parametros!$C$13),"Revisar","Estandar"))</f>
        <v>Estandar</v>
      </c>
      <c r="X1648" s="67" t="str">
        <f aca="false">IF(AND($J1648="E-commerce",IFERROR($T1648/$R1648,0)&gt;Parametros!$C$14),"Alerta","OK")</f>
        <v>OK</v>
      </c>
      <c r="Y1648" s="61" t="str">
        <f aca="false">IF($R1648&gt;=Parametros!$C$12,"Alto",IF($R1648&lt;Parametros!$C$13,"Bajo","Medio"))</f>
        <v>Medio</v>
      </c>
      <c r="Z1648" s="61" t="n">
        <v>2190</v>
      </c>
      <c r="AA1648" s="61" t="str">
        <f aca="false">IF(MATCH($A1648,Datos_Origen!$A$2:$A$2459,0)=$Z1648,"OK","REVISAR")</f>
        <v>OK</v>
      </c>
      <c r="AB1648" s="61" t="str">
        <f aca="false">INDEX(Datos_Origen!$B$2:$B$2459,$Z1648)</f>
        <v>01/05/2025</v>
      </c>
      <c r="AC1648" s="61" t="n">
        <f aca="false">INDEX(Datos_Origen!$H$2:$H$2459,$Z1648)</f>
        <v>38</v>
      </c>
      <c r="AD1648" s="61" t="str">
        <f aca="false">INDEX(Datos_Origen!$D$2:$D$2459,$Z1648)&amp;""</f>
        <v>Rosario</v>
      </c>
    </row>
    <row r="1649" customFormat="false" ht="15" hidden="false" customHeight="false" outlineLevel="0" collapsed="false">
      <c r="A1649" s="61" t="n">
        <f aca="false">INDEX(Datos_Origen!$A$2:$A$2459,$Z1649)</f>
        <v>1648</v>
      </c>
      <c r="B1649" s="62" t="n">
        <f aca="false">IF(ISNUMBER($AB1649),$AB1649,IF(MID($AB1649,5,1)="-",DATE(VALUE(LEFT($AB1649,4)),VALUE(MID($AB1649,6,2)),VALUE(RIGHT($AB1649,2))),DATE(VALUE(RIGHT($AB1649,4)),VALUE(MID($AB1649,4,2)),VALUE(LEFT($AB1649,2)))))</f>
        <v>45785</v>
      </c>
      <c r="C1649" s="61" t="n">
        <f aca="false">YEAR($B1649)</f>
        <v>2025</v>
      </c>
      <c r="D1649" s="61" t="str">
        <f aca="false">"Q"&amp;ROUNDUP(MONTH($B1649)/3,0)</f>
        <v>Q2</v>
      </c>
      <c r="E1649" s="61" t="n">
        <f aca="false">MONTH($B1649)</f>
        <v>5</v>
      </c>
      <c r="F1649" s="61" t="str">
        <f aca="false">INDEX(Parametros!$I$5:$I$16,$E1649)</f>
        <v>May</v>
      </c>
      <c r="G1649" s="61" t="str">
        <f aca="false">TEXT($C1649,"0000")&amp;"-"&amp;TEXT($E1649,"00")</f>
        <v>2025-05</v>
      </c>
      <c r="H1649" s="61" t="str">
        <f aca="false">INDEX(Parametros!$C$71:$C$91,MATCH(TRIM(INDEX(Datos_Origen!$C$2:$C$2459,$Z1649)),Parametros!$B$71:$B$91,0))</f>
        <v>Litoral</v>
      </c>
      <c r="I1649" s="61" t="str">
        <f aca="false">IF(TRIM($AD1649)="",INDEX(Parametros!$I$20:$I$24,MATCH($H1649,Parametros!$H$20:$H$24,0)),TRIM($AD1649))</f>
        <v>Rosario</v>
      </c>
      <c r="J1649" s="61" t="str">
        <f aca="false">INDEX(Parametros!$C$95:$C$106,MATCH(TRIM(INDEX(Datos_Origen!$E$2:$E$2459,$Z1649)),Parametros!$B$95:$B$106,0))</f>
        <v>E-commerce</v>
      </c>
      <c r="K1649" s="61" t="str">
        <f aca="false">INDEX(Parametros!$C$48:$C$67,MATCH(TRIM(INDEX(Datos_Origen!$F$2:$F$2459,$Z1649)),Parametros!$B$48:$B$67,0))</f>
        <v>Accesorios</v>
      </c>
      <c r="L1649" s="61" t="str">
        <f aca="false">$K1649&amp;" "&amp;$C1649</f>
        <v>Accesorios 2025</v>
      </c>
      <c r="M1649" s="61" t="str">
        <f aca="false">TRIM(INDEX(Datos_Origen!$G$2:$G$2459,$Z1649))</f>
        <v>Mouse Inalambrico</v>
      </c>
      <c r="N1649" s="61" t="str">
        <f aca="false">$M1649&amp;" "&amp;$C1649</f>
        <v>Mouse Inalambrico 2025</v>
      </c>
      <c r="O1649" s="63" t="n">
        <f aca="false">IF(ISTEXT($AC1649),VALUE($AC1649),$AC1649)</f>
        <v>25</v>
      </c>
      <c r="P1649" s="64" t="n">
        <f aca="false">INDEX(Datos_Origen!$I$2:$I$2459,$Z1649)</f>
        <v>27.82</v>
      </c>
      <c r="Q1649" s="64" t="n">
        <f aca="false">INDEX(Datos_Origen!$J$2:$J$2459,$Z1649)</f>
        <v>13.84</v>
      </c>
      <c r="R1649" s="65" t="n">
        <f aca="false">ROUND($O1649*$P1649,2)</f>
        <v>695.5</v>
      </c>
      <c r="S1649" s="65" t="n">
        <f aca="false">ROUND($O1649*$Q1649,2)</f>
        <v>346</v>
      </c>
      <c r="T1649" s="65" t="n">
        <f aca="false">ROUND($R1649*SUMIFS(Parametros!$E$28:$E$43,Parametros!$B$28:$B$43,$J1649,Parametros!$C$28:$C$43,$C1649,Parametros!$D$28:$D$43,$D1649),2)</f>
        <v>51.47</v>
      </c>
      <c r="U1649" s="65" t="n">
        <f aca="false">$R1649-$S1649-$T1649</f>
        <v>298.03</v>
      </c>
      <c r="V1649" s="66" t="n">
        <f aca="false">IFERROR($U1649/$R1649,0)</f>
        <v>0.428511861969806</v>
      </c>
      <c r="W1649" s="67" t="str">
        <f aca="false">IF(AND($V1649&gt;=Parametros!$C$8,$R1649&gt;=Parametros!$C$12),"Alta rentabilidad",IF(OR($V1649&lt;Parametros!$C$11,$R1649&lt;Parametros!$C$13),"Revisar","Estandar"))</f>
        <v>Estandar</v>
      </c>
      <c r="X1649" s="67" t="str">
        <f aca="false">IF(AND($J1649="E-commerce",IFERROR($T1649/$R1649,0)&gt;Parametros!$C$14),"Alerta","OK")</f>
        <v>Alerta</v>
      </c>
      <c r="Y1649" s="61" t="str">
        <f aca="false">IF($R1649&gt;=Parametros!$C$12,"Alto",IF($R1649&lt;Parametros!$C$13,"Bajo","Medio"))</f>
        <v>Medio</v>
      </c>
      <c r="Z1649" s="61" t="n">
        <v>1136</v>
      </c>
      <c r="AA1649" s="61" t="str">
        <f aca="false">IF(MATCH($A1649,Datos_Origen!$A$2:$A$2459,0)=$Z1649,"OK","REVISAR")</f>
        <v>OK</v>
      </c>
      <c r="AB1649" s="61" t="str">
        <f aca="false">INDEX(Datos_Origen!$B$2:$B$2459,$Z1649)</f>
        <v>2025-05-08</v>
      </c>
      <c r="AC1649" s="61" t="str">
        <f aca="false">INDEX(Datos_Origen!$H$2:$H$2459,$Z1649)</f>
        <v>25</v>
      </c>
      <c r="AD1649" s="61" t="str">
        <f aca="false">INDEX(Datos_Origen!$D$2:$D$2459,$Z1649)&amp;""</f>
        <v>Rosario</v>
      </c>
    </row>
    <row r="1650" customFormat="false" ht="15" hidden="false" customHeight="false" outlineLevel="0" collapsed="false">
      <c r="A1650" s="61" t="n">
        <f aca="false">INDEX(Datos_Origen!$A$2:$A$2459,$Z1650)</f>
        <v>1649</v>
      </c>
      <c r="B1650" s="62" t="n">
        <f aca="false">IF(ISNUMBER($AB1650),$AB1650,IF(MID($AB1650,5,1)="-",DATE(VALUE(LEFT($AB1650,4)),VALUE(MID($AB1650,6,2)),VALUE(RIGHT($AB1650,2))),DATE(VALUE(RIGHT($AB1650,4)),VALUE(MID($AB1650,4,2)),VALUE(LEFT($AB1650,2)))))</f>
        <v>45792</v>
      </c>
      <c r="C1650" s="61" t="n">
        <f aca="false">YEAR($B1650)</f>
        <v>2025</v>
      </c>
      <c r="D1650" s="61" t="str">
        <f aca="false">"Q"&amp;ROUNDUP(MONTH($B1650)/3,0)</f>
        <v>Q2</v>
      </c>
      <c r="E1650" s="61" t="n">
        <f aca="false">MONTH($B1650)</f>
        <v>5</v>
      </c>
      <c r="F1650" s="61" t="str">
        <f aca="false">INDEX(Parametros!$I$5:$I$16,$E1650)</f>
        <v>May</v>
      </c>
      <c r="G1650" s="61" t="str">
        <f aca="false">TEXT($C1650,"0000")&amp;"-"&amp;TEXT($E1650,"00")</f>
        <v>2025-05</v>
      </c>
      <c r="H1650" s="61" t="str">
        <f aca="false">INDEX(Parametros!$C$71:$C$91,MATCH(TRIM(INDEX(Datos_Origen!$C$2:$C$2459,$Z1650)),Parametros!$B$71:$B$91,0))</f>
        <v>Litoral</v>
      </c>
      <c r="I1650" s="61" t="str">
        <f aca="false">IF(TRIM($AD1650)="",INDEX(Parametros!$I$20:$I$24,MATCH($H1650,Parametros!$H$20:$H$24,0)),TRIM($AD1650))</f>
        <v>Rosario</v>
      </c>
      <c r="J1650" s="61" t="str">
        <f aca="false">INDEX(Parametros!$C$95:$C$106,MATCH(TRIM(INDEX(Datos_Origen!$E$2:$E$2459,$Z1650)),Parametros!$B$95:$B$106,0))</f>
        <v>Tienda fisica</v>
      </c>
      <c r="K1650" s="61" t="str">
        <f aca="false">INDEX(Parametros!$C$48:$C$67,MATCH(TRIM(INDEX(Datos_Origen!$F$2:$F$2459,$Z1650)),Parametros!$B$48:$B$67,0))</f>
        <v>Accesorios</v>
      </c>
      <c r="L1650" s="61" t="str">
        <f aca="false">$K1650&amp;" "&amp;$C1650</f>
        <v>Accesorios 2025</v>
      </c>
      <c r="M1650" s="61" t="str">
        <f aca="false">TRIM(INDEX(Datos_Origen!$G$2:$G$2459,$Z1650))</f>
        <v>Teclado Mecanico</v>
      </c>
      <c r="N1650" s="61" t="str">
        <f aca="false">$M1650&amp;" "&amp;$C1650</f>
        <v>Teclado Mecanico 2025</v>
      </c>
      <c r="O1650" s="63" t="n">
        <f aca="false">IF(ISTEXT($AC1650),VALUE($AC1650),$AC1650)</f>
        <v>37</v>
      </c>
      <c r="P1650" s="64" t="n">
        <f aca="false">INDEX(Datos_Origen!$I$2:$I$2459,$Z1650)</f>
        <v>94.39</v>
      </c>
      <c r="Q1650" s="64" t="n">
        <f aca="false">INDEX(Datos_Origen!$J$2:$J$2459,$Z1650)</f>
        <v>49.41</v>
      </c>
      <c r="R1650" s="65" t="n">
        <f aca="false">ROUND($O1650*$P1650,2)</f>
        <v>3492.43</v>
      </c>
      <c r="S1650" s="65" t="n">
        <f aca="false">ROUND($O1650*$Q1650,2)</f>
        <v>1828.17</v>
      </c>
      <c r="T1650" s="65" t="n">
        <f aca="false">ROUND($R1650*SUMIFS(Parametros!$E$28:$E$43,Parametros!$B$28:$B$43,$J1650,Parametros!$C$28:$C$43,$C1650,Parametros!$D$28:$D$43,$D1650),2)</f>
        <v>48.89</v>
      </c>
      <c r="U1650" s="65" t="n">
        <f aca="false">$R1650-$S1650-$T1650</f>
        <v>1615.37</v>
      </c>
      <c r="V1650" s="66" t="n">
        <f aca="false">IFERROR($U1650/$R1650,0)</f>
        <v>0.462534682155405</v>
      </c>
      <c r="W1650" s="67" t="str">
        <f aca="false">IF(AND($V1650&gt;=Parametros!$C$8,$R1650&gt;=Parametros!$C$12),"Alta rentabilidad",IF(OR($V1650&lt;Parametros!$C$11,$R1650&lt;Parametros!$C$13),"Revisar","Estandar"))</f>
        <v>Alta rentabilidad</v>
      </c>
      <c r="X1650" s="67" t="str">
        <f aca="false">IF(AND($J1650="E-commerce",IFERROR($T1650/$R1650,0)&gt;Parametros!$C$14),"Alerta","OK")</f>
        <v>OK</v>
      </c>
      <c r="Y1650" s="61" t="str">
        <f aca="false">IF($R1650&gt;=Parametros!$C$12,"Alto",IF($R1650&lt;Parametros!$C$13,"Bajo","Medio"))</f>
        <v>Alto</v>
      </c>
      <c r="Z1650" s="61" t="n">
        <v>528</v>
      </c>
      <c r="AA1650" s="61" t="str">
        <f aca="false">IF(MATCH($A1650,Datos_Origen!$A$2:$A$2459,0)=$Z1650,"OK","REVISAR")</f>
        <v>OK</v>
      </c>
      <c r="AB1650" s="62" t="n">
        <f aca="false">INDEX(Datos_Origen!$B$2:$B$2459,$Z1650)</f>
        <v>45792</v>
      </c>
      <c r="AC1650" s="61" t="n">
        <f aca="false">INDEX(Datos_Origen!$H$2:$H$2459,$Z1650)</f>
        <v>37</v>
      </c>
      <c r="AD1650" s="61" t="str">
        <f aca="false">INDEX(Datos_Origen!$D$2:$D$2459,$Z1650)&amp;""</f>
        <v>Rosario</v>
      </c>
    </row>
    <row r="1651" customFormat="false" ht="15" hidden="false" customHeight="false" outlineLevel="0" collapsed="false">
      <c r="A1651" s="61" t="n">
        <f aca="false">INDEX(Datos_Origen!$A$2:$A$2459,$Z1651)</f>
        <v>1650</v>
      </c>
      <c r="B1651" s="62" t="n">
        <f aca="false">IF(ISNUMBER($AB1651),$AB1651,IF(MID($AB1651,5,1)="-",DATE(VALUE(LEFT($AB1651,4)),VALUE(MID($AB1651,6,2)),VALUE(RIGHT($AB1651,2))),DATE(VALUE(RIGHT($AB1651,4)),VALUE(MID($AB1651,4,2)),VALUE(LEFT($AB1651,2)))))</f>
        <v>45799</v>
      </c>
      <c r="C1651" s="61" t="n">
        <f aca="false">YEAR($B1651)</f>
        <v>2025</v>
      </c>
      <c r="D1651" s="61" t="str">
        <f aca="false">"Q"&amp;ROUNDUP(MONTH($B1651)/3,0)</f>
        <v>Q2</v>
      </c>
      <c r="E1651" s="61" t="n">
        <f aca="false">MONTH($B1651)</f>
        <v>5</v>
      </c>
      <c r="F1651" s="61" t="str">
        <f aca="false">INDEX(Parametros!$I$5:$I$16,$E1651)</f>
        <v>May</v>
      </c>
      <c r="G1651" s="61" t="str">
        <f aca="false">TEXT($C1651,"0000")&amp;"-"&amp;TEXT($E1651,"00")</f>
        <v>2025-05</v>
      </c>
      <c r="H1651" s="61" t="str">
        <f aca="false">INDEX(Parametros!$C$71:$C$91,MATCH(TRIM(INDEX(Datos_Origen!$C$2:$C$2459,$Z1651)),Parametros!$B$71:$B$91,0))</f>
        <v>Litoral</v>
      </c>
      <c r="I1651" s="61" t="str">
        <f aca="false">IF(TRIM($AD1651)="",INDEX(Parametros!$I$20:$I$24,MATCH($H1651,Parametros!$H$20:$H$24,0)),TRIM($AD1651))</f>
        <v>Rosario</v>
      </c>
      <c r="J1651" s="61" t="str">
        <f aca="false">INDEX(Parametros!$C$95:$C$106,MATCH(TRIM(INDEX(Datos_Origen!$E$2:$E$2459,$Z1651)),Parametros!$B$95:$B$106,0))</f>
        <v>E-commerce</v>
      </c>
      <c r="K1651" s="61" t="str">
        <f aca="false">INDEX(Parametros!$C$48:$C$67,MATCH(TRIM(INDEX(Datos_Origen!$F$2:$F$2459,$Z1651)),Parametros!$B$48:$B$67,0))</f>
        <v>Accesorios</v>
      </c>
      <c r="L1651" s="61" t="str">
        <f aca="false">$K1651&amp;" "&amp;$C1651</f>
        <v>Accesorios 2025</v>
      </c>
      <c r="M1651" s="61" t="str">
        <f aca="false">TRIM(INDEX(Datos_Origen!$G$2:$G$2459,$Z1651))</f>
        <v>Teclado Mecanico</v>
      </c>
      <c r="N1651" s="61" t="str">
        <f aca="false">$M1651&amp;" "&amp;$C1651</f>
        <v>Teclado Mecanico 2025</v>
      </c>
      <c r="O1651" s="63" t="n">
        <f aca="false">IF(ISTEXT($AC1651),VALUE($AC1651),$AC1651)</f>
        <v>27</v>
      </c>
      <c r="P1651" s="64" t="n">
        <f aca="false">INDEX(Datos_Origen!$I$2:$I$2459,$Z1651)</f>
        <v>94.39</v>
      </c>
      <c r="Q1651" s="64" t="n">
        <f aca="false">INDEX(Datos_Origen!$J$2:$J$2459,$Z1651)</f>
        <v>49.41</v>
      </c>
      <c r="R1651" s="65" t="n">
        <f aca="false">ROUND($O1651*$P1651,2)</f>
        <v>2548.53</v>
      </c>
      <c r="S1651" s="65" t="n">
        <f aca="false">ROUND($O1651*$Q1651,2)</f>
        <v>1334.07</v>
      </c>
      <c r="T1651" s="65" t="n">
        <f aca="false">ROUND($R1651*SUMIFS(Parametros!$E$28:$E$43,Parametros!$B$28:$B$43,$J1651,Parametros!$C$28:$C$43,$C1651,Parametros!$D$28:$D$43,$D1651),2)</f>
        <v>188.59</v>
      </c>
      <c r="U1651" s="65" t="n">
        <f aca="false">$R1651-$S1651-$T1651</f>
        <v>1025.87</v>
      </c>
      <c r="V1651" s="66" t="n">
        <f aca="false">IFERROR($U1651/$R1651,0)</f>
        <v>0.402534009801729</v>
      </c>
      <c r="W1651" s="67" t="str">
        <f aca="false">IF(AND($V1651&gt;=Parametros!$C$8,$R1651&gt;=Parametros!$C$12),"Alta rentabilidad",IF(OR($V1651&lt;Parametros!$C$11,$R1651&lt;Parametros!$C$13),"Revisar","Estandar"))</f>
        <v>Estandar</v>
      </c>
      <c r="X1651" s="67" t="str">
        <f aca="false">IF(AND($J1651="E-commerce",IFERROR($T1651/$R1651,0)&gt;Parametros!$C$14),"Alerta","OK")</f>
        <v>Alerta</v>
      </c>
      <c r="Y1651" s="61" t="str">
        <f aca="false">IF($R1651&gt;=Parametros!$C$12,"Alto",IF($R1651&lt;Parametros!$C$13,"Bajo","Medio"))</f>
        <v>Medio</v>
      </c>
      <c r="Z1651" s="61" t="n">
        <v>2158</v>
      </c>
      <c r="AA1651" s="61" t="str">
        <f aca="false">IF(MATCH($A1651,Datos_Origen!$A$2:$A$2459,0)=$Z1651,"OK","REVISAR")</f>
        <v>OK</v>
      </c>
      <c r="AB1651" s="62" t="n">
        <f aca="false">INDEX(Datos_Origen!$B$2:$B$2459,$Z1651)</f>
        <v>45799</v>
      </c>
      <c r="AC1651" s="61" t="n">
        <f aca="false">INDEX(Datos_Origen!$H$2:$H$2459,$Z1651)</f>
        <v>27</v>
      </c>
      <c r="AD1651" s="61" t="str">
        <f aca="false">INDEX(Datos_Origen!$D$2:$D$2459,$Z1651)&amp;""</f>
        <v>Rosario</v>
      </c>
    </row>
    <row r="1652" customFormat="false" ht="15" hidden="false" customHeight="false" outlineLevel="0" collapsed="false">
      <c r="A1652" s="61" t="n">
        <f aca="false">INDEX(Datos_Origen!$A$2:$A$2459,$Z1652)</f>
        <v>1651</v>
      </c>
      <c r="B1652" s="62" t="n">
        <f aca="false">IF(ISNUMBER($AB1652),$AB1652,IF(MID($AB1652,5,1)="-",DATE(VALUE(LEFT($AB1652,4)),VALUE(MID($AB1652,6,2)),VALUE(RIGHT($AB1652,2))),DATE(VALUE(RIGHT($AB1652,4)),VALUE(MID($AB1652,4,2)),VALUE(LEFT($AB1652,2)))))</f>
        <v>45779</v>
      </c>
      <c r="C1652" s="61" t="n">
        <f aca="false">YEAR($B1652)</f>
        <v>2025</v>
      </c>
      <c r="D1652" s="61" t="str">
        <f aca="false">"Q"&amp;ROUNDUP(MONTH($B1652)/3,0)</f>
        <v>Q2</v>
      </c>
      <c r="E1652" s="61" t="n">
        <f aca="false">MONTH($B1652)</f>
        <v>5</v>
      </c>
      <c r="F1652" s="61" t="str">
        <f aca="false">INDEX(Parametros!$I$5:$I$16,$E1652)</f>
        <v>May</v>
      </c>
      <c r="G1652" s="61" t="str">
        <f aca="false">TEXT($C1652,"0000")&amp;"-"&amp;TEXT($E1652,"00")</f>
        <v>2025-05</v>
      </c>
      <c r="H1652" s="61" t="str">
        <f aca="false">INDEX(Parametros!$C$71:$C$91,MATCH(TRIM(INDEX(Datos_Origen!$C$2:$C$2459,$Z1652)),Parametros!$B$71:$B$91,0))</f>
        <v>Litoral</v>
      </c>
      <c r="I1652" s="61" t="str">
        <f aca="false">IF(TRIM($AD1652)="",INDEX(Parametros!$I$20:$I$24,MATCH($H1652,Parametros!$H$20:$H$24,0)),TRIM($AD1652))</f>
        <v>Rosario</v>
      </c>
      <c r="J1652" s="61" t="str">
        <f aca="false">INDEX(Parametros!$C$95:$C$106,MATCH(TRIM(INDEX(Datos_Origen!$E$2:$E$2459,$Z1652)),Parametros!$B$95:$B$106,0))</f>
        <v>Tienda fisica</v>
      </c>
      <c r="K1652" s="61" t="str">
        <f aca="false">INDEX(Parametros!$C$48:$C$67,MATCH(TRIM(INDEX(Datos_Origen!$F$2:$F$2459,$Z1652)),Parametros!$B$48:$B$67,0))</f>
        <v>Accesorios</v>
      </c>
      <c r="L1652" s="61" t="str">
        <f aca="false">$K1652&amp;" "&amp;$C1652</f>
        <v>Accesorios 2025</v>
      </c>
      <c r="M1652" s="61" t="str">
        <f aca="false">TRIM(INDEX(Datos_Origen!$G$2:$G$2459,$Z1652))</f>
        <v>Webcam Full HD</v>
      </c>
      <c r="N1652" s="61" t="str">
        <f aca="false">$M1652&amp;" "&amp;$C1652</f>
        <v>Webcam Full HD 2025</v>
      </c>
      <c r="O1652" s="63" t="n">
        <f aca="false">IF(ISTEXT($AC1652),VALUE($AC1652),$AC1652)</f>
        <v>44</v>
      </c>
      <c r="P1652" s="64" t="n">
        <f aca="false">INDEX(Datos_Origen!$I$2:$I$2459,$Z1652)</f>
        <v>64.58</v>
      </c>
      <c r="Q1652" s="64" t="n">
        <f aca="false">INDEX(Datos_Origen!$J$2:$J$2459,$Z1652)</f>
        <v>36.49</v>
      </c>
      <c r="R1652" s="65" t="n">
        <f aca="false">ROUND($O1652*$P1652,2)</f>
        <v>2841.52</v>
      </c>
      <c r="S1652" s="65" t="n">
        <f aca="false">ROUND($O1652*$Q1652,2)</f>
        <v>1605.56</v>
      </c>
      <c r="T1652" s="65" t="n">
        <f aca="false">ROUND($R1652*SUMIFS(Parametros!$E$28:$E$43,Parametros!$B$28:$B$43,$J1652,Parametros!$C$28:$C$43,$C1652,Parametros!$D$28:$D$43,$D1652),2)</f>
        <v>39.78</v>
      </c>
      <c r="U1652" s="65" t="n">
        <f aca="false">$R1652-$S1652-$T1652</f>
        <v>1196.18</v>
      </c>
      <c r="V1652" s="66" t="n">
        <f aca="false">IFERROR($U1652/$R1652,0)</f>
        <v>0.420964835721726</v>
      </c>
      <c r="W1652" s="67" t="str">
        <f aca="false">IF(AND($V1652&gt;=Parametros!$C$8,$R1652&gt;=Parametros!$C$12),"Alta rentabilidad",IF(OR($V1652&lt;Parametros!$C$11,$R1652&lt;Parametros!$C$13),"Revisar","Estandar"))</f>
        <v>Estandar</v>
      </c>
      <c r="X1652" s="67" t="str">
        <f aca="false">IF(AND($J1652="E-commerce",IFERROR($T1652/$R1652,0)&gt;Parametros!$C$14),"Alerta","OK")</f>
        <v>OK</v>
      </c>
      <c r="Y1652" s="61" t="str">
        <f aca="false">IF($R1652&gt;=Parametros!$C$12,"Alto",IF($R1652&lt;Parametros!$C$13,"Bajo","Medio"))</f>
        <v>Medio</v>
      </c>
      <c r="Z1652" s="61" t="n">
        <v>842</v>
      </c>
      <c r="AA1652" s="61" t="str">
        <f aca="false">IF(MATCH($A1652,Datos_Origen!$A$2:$A$2459,0)=$Z1652,"OK","REVISAR")</f>
        <v>OK</v>
      </c>
      <c r="AB1652" s="61" t="str">
        <f aca="false">INDEX(Datos_Origen!$B$2:$B$2459,$Z1652)</f>
        <v>2025-05-02</v>
      </c>
      <c r="AC1652" s="61" t="n">
        <f aca="false">INDEX(Datos_Origen!$H$2:$H$2459,$Z1652)</f>
        <v>44</v>
      </c>
      <c r="AD1652" s="61" t="str">
        <f aca="false">INDEX(Datos_Origen!$D$2:$D$2459,$Z1652)&amp;""</f>
        <v>Rosario</v>
      </c>
    </row>
    <row r="1653" customFormat="false" ht="15" hidden="false" customHeight="false" outlineLevel="0" collapsed="false">
      <c r="A1653" s="61" t="n">
        <f aca="false">INDEX(Datos_Origen!$A$2:$A$2459,$Z1653)</f>
        <v>1652</v>
      </c>
      <c r="B1653" s="62" t="n">
        <f aca="false">IF(ISNUMBER($AB1653),$AB1653,IF(MID($AB1653,5,1)="-",DATE(VALUE(LEFT($AB1653,4)),VALUE(MID($AB1653,6,2)),VALUE(RIGHT($AB1653,2))),DATE(VALUE(RIGHT($AB1653,4)),VALUE(MID($AB1653,4,2)),VALUE(LEFT($AB1653,2)))))</f>
        <v>45786</v>
      </c>
      <c r="C1653" s="61" t="n">
        <f aca="false">YEAR($B1653)</f>
        <v>2025</v>
      </c>
      <c r="D1653" s="61" t="str">
        <f aca="false">"Q"&amp;ROUNDUP(MONTH($B1653)/3,0)</f>
        <v>Q2</v>
      </c>
      <c r="E1653" s="61" t="n">
        <f aca="false">MONTH($B1653)</f>
        <v>5</v>
      </c>
      <c r="F1653" s="61" t="str">
        <f aca="false">INDEX(Parametros!$I$5:$I$16,$E1653)</f>
        <v>May</v>
      </c>
      <c r="G1653" s="61" t="str">
        <f aca="false">TEXT($C1653,"0000")&amp;"-"&amp;TEXT($E1653,"00")</f>
        <v>2025-05</v>
      </c>
      <c r="H1653" s="61" t="str">
        <f aca="false">INDEX(Parametros!$C$71:$C$91,MATCH(TRIM(INDEX(Datos_Origen!$C$2:$C$2459,$Z1653)),Parametros!$B$71:$B$91,0))</f>
        <v>Litoral</v>
      </c>
      <c r="I1653" s="61" t="str">
        <f aca="false">IF(TRIM($AD1653)="",INDEX(Parametros!$I$20:$I$24,MATCH($H1653,Parametros!$H$20:$H$24,0)),TRIM($AD1653))</f>
        <v>Rosario</v>
      </c>
      <c r="J1653" s="61" t="str">
        <f aca="false">INDEX(Parametros!$C$95:$C$106,MATCH(TRIM(INDEX(Datos_Origen!$E$2:$E$2459,$Z1653)),Parametros!$B$95:$B$106,0))</f>
        <v>E-commerce</v>
      </c>
      <c r="K1653" s="61" t="str">
        <f aca="false">INDEX(Parametros!$C$48:$C$67,MATCH(TRIM(INDEX(Datos_Origen!$F$2:$F$2459,$Z1653)),Parametros!$B$48:$B$67,0))</f>
        <v>Accesorios</v>
      </c>
      <c r="L1653" s="61" t="str">
        <f aca="false">$K1653&amp;" "&amp;$C1653</f>
        <v>Accesorios 2025</v>
      </c>
      <c r="M1653" s="61" t="str">
        <f aca="false">TRIM(INDEX(Datos_Origen!$G$2:$G$2459,$Z1653))</f>
        <v>Webcam Full HD</v>
      </c>
      <c r="N1653" s="61" t="str">
        <f aca="false">$M1653&amp;" "&amp;$C1653</f>
        <v>Webcam Full HD 2025</v>
      </c>
      <c r="O1653" s="63" t="n">
        <f aca="false">IF(ISTEXT($AC1653),VALUE($AC1653),$AC1653)</f>
        <v>26</v>
      </c>
      <c r="P1653" s="64" t="n">
        <f aca="false">INDEX(Datos_Origen!$I$2:$I$2459,$Z1653)</f>
        <v>64.58</v>
      </c>
      <c r="Q1653" s="64" t="n">
        <f aca="false">INDEX(Datos_Origen!$J$2:$J$2459,$Z1653)</f>
        <v>36.49</v>
      </c>
      <c r="R1653" s="65" t="n">
        <f aca="false">ROUND($O1653*$P1653,2)</f>
        <v>1679.08</v>
      </c>
      <c r="S1653" s="65" t="n">
        <f aca="false">ROUND($O1653*$Q1653,2)</f>
        <v>948.74</v>
      </c>
      <c r="T1653" s="65" t="n">
        <f aca="false">ROUND($R1653*SUMIFS(Parametros!$E$28:$E$43,Parametros!$B$28:$B$43,$J1653,Parametros!$C$28:$C$43,$C1653,Parametros!$D$28:$D$43,$D1653),2)</f>
        <v>124.25</v>
      </c>
      <c r="U1653" s="65" t="n">
        <f aca="false">$R1653-$S1653-$T1653</f>
        <v>606.09</v>
      </c>
      <c r="V1653" s="66" t="n">
        <f aca="false">IFERROR($U1653/$R1653,0)</f>
        <v>0.36096552874193</v>
      </c>
      <c r="W1653" s="67" t="str">
        <f aca="false">IF(AND($V1653&gt;=Parametros!$C$8,$R1653&gt;=Parametros!$C$12),"Alta rentabilidad",IF(OR($V1653&lt;Parametros!$C$11,$R1653&lt;Parametros!$C$13),"Revisar","Estandar"))</f>
        <v>Estandar</v>
      </c>
      <c r="X1653" s="67" t="str">
        <f aca="false">IF(AND($J1653="E-commerce",IFERROR($T1653/$R1653,0)&gt;Parametros!$C$14),"Alerta","OK")</f>
        <v>Alerta</v>
      </c>
      <c r="Y1653" s="61" t="str">
        <f aca="false">IF($R1653&gt;=Parametros!$C$12,"Alto",IF($R1653&lt;Parametros!$C$13,"Bajo","Medio"))</f>
        <v>Medio</v>
      </c>
      <c r="Z1653" s="61" t="n">
        <v>646</v>
      </c>
      <c r="AA1653" s="61" t="str">
        <f aca="false">IF(MATCH($A1653,Datos_Origen!$A$2:$A$2459,0)=$Z1653,"OK","REVISAR")</f>
        <v>OK</v>
      </c>
      <c r="AB1653" s="61" t="str">
        <f aca="false">INDEX(Datos_Origen!$B$2:$B$2459,$Z1653)</f>
        <v>2025-05-09</v>
      </c>
      <c r="AC1653" s="61" t="n">
        <f aca="false">INDEX(Datos_Origen!$H$2:$H$2459,$Z1653)</f>
        <v>26</v>
      </c>
      <c r="AD1653" s="61" t="str">
        <f aca="false">INDEX(Datos_Origen!$D$2:$D$2459,$Z1653)&amp;""</f>
        <v>Rosario</v>
      </c>
    </row>
    <row r="1654" customFormat="false" ht="15" hidden="false" customHeight="false" outlineLevel="0" collapsed="false">
      <c r="A1654" s="61" t="n">
        <f aca="false">INDEX(Datos_Origen!$A$2:$A$2459,$Z1654)</f>
        <v>1653</v>
      </c>
      <c r="B1654" s="62" t="n">
        <f aca="false">IF(ISNUMBER($AB1654),$AB1654,IF(MID($AB1654,5,1)="-",DATE(VALUE(LEFT($AB1654,4)),VALUE(MID($AB1654,6,2)),VALUE(RIGHT($AB1654,2))),DATE(VALUE(RIGHT($AB1654,4)),VALUE(MID($AB1654,4,2)),VALUE(LEFT($AB1654,2)))))</f>
        <v>45793</v>
      </c>
      <c r="C1654" s="61" t="n">
        <f aca="false">YEAR($B1654)</f>
        <v>2025</v>
      </c>
      <c r="D1654" s="61" t="str">
        <f aca="false">"Q"&amp;ROUNDUP(MONTH($B1654)/3,0)</f>
        <v>Q2</v>
      </c>
      <c r="E1654" s="61" t="n">
        <f aca="false">MONTH($B1654)</f>
        <v>5</v>
      </c>
      <c r="F1654" s="61" t="str">
        <f aca="false">INDEX(Parametros!$I$5:$I$16,$E1654)</f>
        <v>May</v>
      </c>
      <c r="G1654" s="61" t="str">
        <f aca="false">TEXT($C1654,"0000")&amp;"-"&amp;TEXT($E1654,"00")</f>
        <v>2025-05</v>
      </c>
      <c r="H1654" s="61" t="str">
        <f aca="false">INDEX(Parametros!$C$71:$C$91,MATCH(TRIM(INDEX(Datos_Origen!$C$2:$C$2459,$Z1654)),Parametros!$B$71:$B$91,0))</f>
        <v>Litoral</v>
      </c>
      <c r="I1654" s="61" t="str">
        <f aca="false">IF(TRIM($AD1654)="",INDEX(Parametros!$I$20:$I$24,MATCH($H1654,Parametros!$H$20:$H$24,0)),TRIM($AD1654))</f>
        <v>Rosario</v>
      </c>
      <c r="J1654" s="61" t="str">
        <f aca="false">INDEX(Parametros!$C$95:$C$106,MATCH(TRIM(INDEX(Datos_Origen!$E$2:$E$2459,$Z1654)),Parametros!$B$95:$B$106,0))</f>
        <v>Tienda fisica</v>
      </c>
      <c r="K1654" s="61" t="str">
        <f aca="false">INDEX(Parametros!$C$48:$C$67,MATCH(TRIM(INDEX(Datos_Origen!$F$2:$F$2459,$Z1654)),Parametros!$B$48:$B$67,0))</f>
        <v>Audio</v>
      </c>
      <c r="L1654" s="61" t="str">
        <f aca="false">$K1654&amp;" "&amp;$C1654</f>
        <v>Audio 2025</v>
      </c>
      <c r="M1654" s="61" t="str">
        <f aca="false">TRIM(INDEX(Datos_Origen!$G$2:$G$2459,$Z1654))</f>
        <v>Auriculares BT Pro</v>
      </c>
      <c r="N1654" s="61" t="str">
        <f aca="false">$M1654&amp;" "&amp;$C1654</f>
        <v>Auriculares BT Pro 2025</v>
      </c>
      <c r="O1654" s="63" t="n">
        <f aca="false">IF(ISTEXT($AC1654),VALUE($AC1654),$AC1654)</f>
        <v>15</v>
      </c>
      <c r="P1654" s="64" t="n">
        <f aca="false">INDEX(Datos_Origen!$I$2:$I$2459,$Z1654)</f>
        <v>119.23</v>
      </c>
      <c r="Q1654" s="64" t="n">
        <f aca="false">INDEX(Datos_Origen!$J$2:$J$2459,$Z1654)</f>
        <v>65.51</v>
      </c>
      <c r="R1654" s="65" t="n">
        <f aca="false">ROUND($O1654*$P1654,2)</f>
        <v>1788.45</v>
      </c>
      <c r="S1654" s="65" t="n">
        <f aca="false">ROUND($O1654*$Q1654,2)</f>
        <v>982.65</v>
      </c>
      <c r="T1654" s="65" t="n">
        <f aca="false">ROUND($R1654*SUMIFS(Parametros!$E$28:$E$43,Parametros!$B$28:$B$43,$J1654,Parametros!$C$28:$C$43,$C1654,Parametros!$D$28:$D$43,$D1654),2)</f>
        <v>25.04</v>
      </c>
      <c r="U1654" s="65" t="n">
        <f aca="false">$R1654-$S1654-$T1654</f>
        <v>780.76</v>
      </c>
      <c r="V1654" s="66" t="n">
        <f aca="false">IFERROR($U1654/$R1654,0)</f>
        <v>0.436556794990075</v>
      </c>
      <c r="W1654" s="67" t="str">
        <f aca="false">IF(AND($V1654&gt;=Parametros!$C$8,$R1654&gt;=Parametros!$C$12),"Alta rentabilidad",IF(OR($V1654&lt;Parametros!$C$11,$R1654&lt;Parametros!$C$13),"Revisar","Estandar"))</f>
        <v>Estandar</v>
      </c>
      <c r="X1654" s="67" t="str">
        <f aca="false">IF(AND($J1654="E-commerce",IFERROR($T1654/$R1654,0)&gt;Parametros!$C$14),"Alerta","OK")</f>
        <v>OK</v>
      </c>
      <c r="Y1654" s="61" t="str">
        <f aca="false">IF($R1654&gt;=Parametros!$C$12,"Alto",IF($R1654&lt;Parametros!$C$13,"Bajo","Medio"))</f>
        <v>Medio</v>
      </c>
      <c r="Z1654" s="61" t="n">
        <v>1807</v>
      </c>
      <c r="AA1654" s="61" t="str">
        <f aca="false">IF(MATCH($A1654,Datos_Origen!$A$2:$A$2459,0)=$Z1654,"OK","REVISAR")</f>
        <v>OK</v>
      </c>
      <c r="AB1654" s="62" t="n">
        <f aca="false">INDEX(Datos_Origen!$B$2:$B$2459,$Z1654)</f>
        <v>45793</v>
      </c>
      <c r="AC1654" s="61" t="n">
        <f aca="false">INDEX(Datos_Origen!$H$2:$H$2459,$Z1654)</f>
        <v>15</v>
      </c>
      <c r="AD1654" s="61" t="str">
        <f aca="false">INDEX(Datos_Origen!$D$2:$D$2459,$Z1654)&amp;""</f>
        <v>Rosario</v>
      </c>
    </row>
    <row r="1655" customFormat="false" ht="15" hidden="false" customHeight="false" outlineLevel="0" collapsed="false">
      <c r="A1655" s="61" t="n">
        <f aca="false">INDEX(Datos_Origen!$A$2:$A$2459,$Z1655)</f>
        <v>1654</v>
      </c>
      <c r="B1655" s="62" t="n">
        <f aca="false">IF(ISNUMBER($AB1655),$AB1655,IF(MID($AB1655,5,1)="-",DATE(VALUE(LEFT($AB1655,4)),VALUE(MID($AB1655,6,2)),VALUE(RIGHT($AB1655,2))),DATE(VALUE(RIGHT($AB1655,4)),VALUE(MID($AB1655,4,2)),VALUE(LEFT($AB1655,2)))))</f>
        <v>45800</v>
      </c>
      <c r="C1655" s="61" t="n">
        <f aca="false">YEAR($B1655)</f>
        <v>2025</v>
      </c>
      <c r="D1655" s="61" t="str">
        <f aca="false">"Q"&amp;ROUNDUP(MONTH($B1655)/3,0)</f>
        <v>Q2</v>
      </c>
      <c r="E1655" s="61" t="n">
        <f aca="false">MONTH($B1655)</f>
        <v>5</v>
      </c>
      <c r="F1655" s="61" t="str">
        <f aca="false">INDEX(Parametros!$I$5:$I$16,$E1655)</f>
        <v>May</v>
      </c>
      <c r="G1655" s="61" t="str">
        <f aca="false">TEXT($C1655,"0000")&amp;"-"&amp;TEXT($E1655,"00")</f>
        <v>2025-05</v>
      </c>
      <c r="H1655" s="61" t="str">
        <f aca="false">INDEX(Parametros!$C$71:$C$91,MATCH(TRIM(INDEX(Datos_Origen!$C$2:$C$2459,$Z1655)),Parametros!$B$71:$B$91,0))</f>
        <v>Litoral</v>
      </c>
      <c r="I1655" s="61" t="str">
        <f aca="false">IF(TRIM($AD1655)="",INDEX(Parametros!$I$20:$I$24,MATCH($H1655,Parametros!$H$20:$H$24,0)),TRIM($AD1655))</f>
        <v>Rosario</v>
      </c>
      <c r="J1655" s="61" t="str">
        <f aca="false">INDEX(Parametros!$C$95:$C$106,MATCH(TRIM(INDEX(Datos_Origen!$E$2:$E$2459,$Z1655)),Parametros!$B$95:$B$106,0))</f>
        <v>E-commerce</v>
      </c>
      <c r="K1655" s="61" t="str">
        <f aca="false">INDEX(Parametros!$C$48:$C$67,MATCH(TRIM(INDEX(Datos_Origen!$F$2:$F$2459,$Z1655)),Parametros!$B$48:$B$67,0))</f>
        <v>Audio</v>
      </c>
      <c r="L1655" s="61" t="str">
        <f aca="false">$K1655&amp;" "&amp;$C1655</f>
        <v>Audio 2025</v>
      </c>
      <c r="M1655" s="61" t="str">
        <f aca="false">TRIM(INDEX(Datos_Origen!$G$2:$G$2459,$Z1655))</f>
        <v>Auriculares BT Pro</v>
      </c>
      <c r="N1655" s="61" t="str">
        <f aca="false">$M1655&amp;" "&amp;$C1655</f>
        <v>Auriculares BT Pro 2025</v>
      </c>
      <c r="O1655" s="63" t="n">
        <f aca="false">IF(ISTEXT($AC1655),VALUE($AC1655),$AC1655)</f>
        <v>15</v>
      </c>
      <c r="P1655" s="64" t="n">
        <f aca="false">INDEX(Datos_Origen!$I$2:$I$2459,$Z1655)</f>
        <v>119.23</v>
      </c>
      <c r="Q1655" s="64" t="n">
        <f aca="false">INDEX(Datos_Origen!$J$2:$J$2459,$Z1655)</f>
        <v>65.51</v>
      </c>
      <c r="R1655" s="65" t="n">
        <f aca="false">ROUND($O1655*$P1655,2)</f>
        <v>1788.45</v>
      </c>
      <c r="S1655" s="65" t="n">
        <f aca="false">ROUND($O1655*$Q1655,2)</f>
        <v>982.65</v>
      </c>
      <c r="T1655" s="65" t="n">
        <f aca="false">ROUND($R1655*SUMIFS(Parametros!$E$28:$E$43,Parametros!$B$28:$B$43,$J1655,Parametros!$C$28:$C$43,$C1655,Parametros!$D$28:$D$43,$D1655),2)</f>
        <v>132.35</v>
      </c>
      <c r="U1655" s="65" t="n">
        <f aca="false">$R1655-$S1655-$T1655</f>
        <v>673.45</v>
      </c>
      <c r="V1655" s="66" t="n">
        <f aca="false">IFERROR($U1655/$R1655,0)</f>
        <v>0.376555117559898</v>
      </c>
      <c r="W1655" s="67" t="str">
        <f aca="false">IF(AND($V1655&gt;=Parametros!$C$8,$R1655&gt;=Parametros!$C$12),"Alta rentabilidad",IF(OR($V1655&lt;Parametros!$C$11,$R1655&lt;Parametros!$C$13),"Revisar","Estandar"))</f>
        <v>Estandar</v>
      </c>
      <c r="X1655" s="67" t="str">
        <f aca="false">IF(AND($J1655="E-commerce",IFERROR($T1655/$R1655,0)&gt;Parametros!$C$14),"Alerta","OK")</f>
        <v>Alerta</v>
      </c>
      <c r="Y1655" s="61" t="str">
        <f aca="false">IF($R1655&gt;=Parametros!$C$12,"Alto",IF($R1655&lt;Parametros!$C$13,"Bajo","Medio"))</f>
        <v>Medio</v>
      </c>
      <c r="Z1655" s="61" t="n">
        <v>1096</v>
      </c>
      <c r="AA1655" s="61" t="str">
        <f aca="false">IF(MATCH($A1655,Datos_Origen!$A$2:$A$2459,0)=$Z1655,"OK","REVISAR")</f>
        <v>OK</v>
      </c>
      <c r="AB1655" s="62" t="n">
        <f aca="false">INDEX(Datos_Origen!$B$2:$B$2459,$Z1655)</f>
        <v>45800</v>
      </c>
      <c r="AC1655" s="61" t="n">
        <f aca="false">INDEX(Datos_Origen!$H$2:$H$2459,$Z1655)</f>
        <v>15</v>
      </c>
      <c r="AD1655" s="61" t="str">
        <f aca="false">INDEX(Datos_Origen!$D$2:$D$2459,$Z1655)&amp;""</f>
        <v>Rosario</v>
      </c>
    </row>
    <row r="1656" customFormat="false" ht="15" hidden="false" customHeight="false" outlineLevel="0" collapsed="false">
      <c r="A1656" s="61" t="n">
        <f aca="false">INDEX(Datos_Origen!$A$2:$A$2459,$Z1656)</f>
        <v>1655</v>
      </c>
      <c r="B1656" s="62" t="n">
        <f aca="false">IF(ISNUMBER($AB1656),$AB1656,IF(MID($AB1656,5,1)="-",DATE(VALUE(LEFT($AB1656,4)),VALUE(MID($AB1656,6,2)),VALUE(RIGHT($AB1656,2))),DATE(VALUE(RIGHT($AB1656,4)),VALUE(MID($AB1656,4,2)),VALUE(LEFT($AB1656,2)))))</f>
        <v>45780</v>
      </c>
      <c r="C1656" s="61" t="n">
        <f aca="false">YEAR($B1656)</f>
        <v>2025</v>
      </c>
      <c r="D1656" s="61" t="str">
        <f aca="false">"Q"&amp;ROUNDUP(MONTH($B1656)/3,0)</f>
        <v>Q2</v>
      </c>
      <c r="E1656" s="61" t="n">
        <f aca="false">MONTH($B1656)</f>
        <v>5</v>
      </c>
      <c r="F1656" s="61" t="str">
        <f aca="false">INDEX(Parametros!$I$5:$I$16,$E1656)</f>
        <v>May</v>
      </c>
      <c r="G1656" s="61" t="str">
        <f aca="false">TEXT($C1656,"0000")&amp;"-"&amp;TEXT($E1656,"00")</f>
        <v>2025-05</v>
      </c>
      <c r="H1656" s="61" t="str">
        <f aca="false">INDEX(Parametros!$C$71:$C$91,MATCH(TRIM(INDEX(Datos_Origen!$C$2:$C$2459,$Z1656)),Parametros!$B$71:$B$91,0))</f>
        <v>Litoral</v>
      </c>
      <c r="I1656" s="61" t="str">
        <f aca="false">IF(TRIM($AD1656)="",INDEX(Parametros!$I$20:$I$24,MATCH($H1656,Parametros!$H$20:$H$24,0)),TRIM($AD1656))</f>
        <v>Rosario</v>
      </c>
      <c r="J1656" s="61" t="str">
        <f aca="false">INDEX(Parametros!$C$95:$C$106,MATCH(TRIM(INDEX(Datos_Origen!$E$2:$E$2459,$Z1656)),Parametros!$B$95:$B$106,0))</f>
        <v>Tienda fisica</v>
      </c>
      <c r="K1656" s="61" t="str">
        <f aca="false">INDEX(Parametros!$C$48:$C$67,MATCH(TRIM(INDEX(Datos_Origen!$F$2:$F$2459,$Z1656)),Parametros!$B$48:$B$67,0))</f>
        <v>Audio</v>
      </c>
      <c r="L1656" s="61" t="str">
        <f aca="false">$K1656&amp;" "&amp;$C1656</f>
        <v>Audio 2025</v>
      </c>
      <c r="M1656" s="61" t="str">
        <f aca="false">TRIM(INDEX(Datos_Origen!$G$2:$G$2459,$Z1656))</f>
        <v>Parlante Bluetooth</v>
      </c>
      <c r="N1656" s="61" t="str">
        <f aca="false">$M1656&amp;" "&amp;$C1656</f>
        <v>Parlante Bluetooth 2025</v>
      </c>
      <c r="O1656" s="63" t="n">
        <f aca="false">IF(ISTEXT($AC1656),VALUE($AC1656),$AC1656)</f>
        <v>20</v>
      </c>
      <c r="P1656" s="64" t="n">
        <f aca="false">INDEX(Datos_Origen!$I$2:$I$2459,$Z1656)</f>
        <v>84.46</v>
      </c>
      <c r="Q1656" s="64" t="n">
        <f aca="false">INDEX(Datos_Origen!$J$2:$J$2459,$Z1656)</f>
        <v>49.47</v>
      </c>
      <c r="R1656" s="65" t="n">
        <f aca="false">ROUND($O1656*$P1656,2)</f>
        <v>1689.2</v>
      </c>
      <c r="S1656" s="65" t="n">
        <f aca="false">ROUND($O1656*$Q1656,2)</f>
        <v>989.4</v>
      </c>
      <c r="T1656" s="65" t="n">
        <f aca="false">ROUND($R1656*SUMIFS(Parametros!$E$28:$E$43,Parametros!$B$28:$B$43,$J1656,Parametros!$C$28:$C$43,$C1656,Parametros!$D$28:$D$43,$D1656),2)</f>
        <v>23.65</v>
      </c>
      <c r="U1656" s="65" t="n">
        <f aca="false">$R1656-$S1656-$T1656</f>
        <v>676.15</v>
      </c>
      <c r="V1656" s="66" t="n">
        <f aca="false">IFERROR($U1656/$R1656,0)</f>
        <v>0.400278238219275</v>
      </c>
      <c r="W1656" s="67" t="str">
        <f aca="false">IF(AND($V1656&gt;=Parametros!$C$8,$R1656&gt;=Parametros!$C$12),"Alta rentabilidad",IF(OR($V1656&lt;Parametros!$C$11,$R1656&lt;Parametros!$C$13),"Revisar","Estandar"))</f>
        <v>Estandar</v>
      </c>
      <c r="X1656" s="67" t="str">
        <f aca="false">IF(AND($J1656="E-commerce",IFERROR($T1656/$R1656,0)&gt;Parametros!$C$14),"Alerta","OK")</f>
        <v>OK</v>
      </c>
      <c r="Y1656" s="61" t="str">
        <f aca="false">IF($R1656&gt;=Parametros!$C$12,"Alto",IF($R1656&lt;Parametros!$C$13,"Bajo","Medio"))</f>
        <v>Medio</v>
      </c>
      <c r="Z1656" s="61" t="n">
        <v>73</v>
      </c>
      <c r="AA1656" s="61" t="str">
        <f aca="false">IF(MATCH($A1656,Datos_Origen!$A$2:$A$2459,0)=$Z1656,"OK","REVISAR")</f>
        <v>OK</v>
      </c>
      <c r="AB1656" s="61" t="str">
        <f aca="false">INDEX(Datos_Origen!$B$2:$B$2459,$Z1656)</f>
        <v>03/05/2025</v>
      </c>
      <c r="AC1656" s="61" t="n">
        <f aca="false">INDEX(Datos_Origen!$H$2:$H$2459,$Z1656)</f>
        <v>20</v>
      </c>
      <c r="AD1656" s="61" t="str">
        <f aca="false">INDEX(Datos_Origen!$D$2:$D$2459,$Z1656)&amp;""</f>
        <v>Rosario</v>
      </c>
    </row>
    <row r="1657" customFormat="false" ht="15" hidden="false" customHeight="false" outlineLevel="0" collapsed="false">
      <c r="A1657" s="61" t="n">
        <f aca="false">INDEX(Datos_Origen!$A$2:$A$2459,$Z1657)</f>
        <v>1656</v>
      </c>
      <c r="B1657" s="62" t="n">
        <f aca="false">IF(ISNUMBER($AB1657),$AB1657,IF(MID($AB1657,5,1)="-",DATE(VALUE(LEFT($AB1657,4)),VALUE(MID($AB1657,6,2)),VALUE(RIGHT($AB1657,2))),DATE(VALUE(RIGHT($AB1657,4)),VALUE(MID($AB1657,4,2)),VALUE(LEFT($AB1657,2)))))</f>
        <v>45787</v>
      </c>
      <c r="C1657" s="61" t="n">
        <f aca="false">YEAR($B1657)</f>
        <v>2025</v>
      </c>
      <c r="D1657" s="61" t="str">
        <f aca="false">"Q"&amp;ROUNDUP(MONTH($B1657)/3,0)</f>
        <v>Q2</v>
      </c>
      <c r="E1657" s="61" t="n">
        <f aca="false">MONTH($B1657)</f>
        <v>5</v>
      </c>
      <c r="F1657" s="61" t="str">
        <f aca="false">INDEX(Parametros!$I$5:$I$16,$E1657)</f>
        <v>May</v>
      </c>
      <c r="G1657" s="61" t="str">
        <f aca="false">TEXT($C1657,"0000")&amp;"-"&amp;TEXT($E1657,"00")</f>
        <v>2025-05</v>
      </c>
      <c r="H1657" s="61" t="str">
        <f aca="false">INDEX(Parametros!$C$71:$C$91,MATCH(TRIM(INDEX(Datos_Origen!$C$2:$C$2459,$Z1657)),Parametros!$B$71:$B$91,0))</f>
        <v>Litoral</v>
      </c>
      <c r="I1657" s="61" t="str">
        <f aca="false">IF(TRIM($AD1657)="",INDEX(Parametros!$I$20:$I$24,MATCH($H1657,Parametros!$H$20:$H$24,0)),TRIM($AD1657))</f>
        <v>Rosario</v>
      </c>
      <c r="J1657" s="61" t="str">
        <f aca="false">INDEX(Parametros!$C$95:$C$106,MATCH(TRIM(INDEX(Datos_Origen!$E$2:$E$2459,$Z1657)),Parametros!$B$95:$B$106,0))</f>
        <v>E-commerce</v>
      </c>
      <c r="K1657" s="61" t="str">
        <f aca="false">INDEX(Parametros!$C$48:$C$67,MATCH(TRIM(INDEX(Datos_Origen!$F$2:$F$2459,$Z1657)),Parametros!$B$48:$B$67,0))</f>
        <v>Audio</v>
      </c>
      <c r="L1657" s="61" t="str">
        <f aca="false">$K1657&amp;" "&amp;$C1657</f>
        <v>Audio 2025</v>
      </c>
      <c r="M1657" s="61" t="str">
        <f aca="false">TRIM(INDEX(Datos_Origen!$G$2:$G$2459,$Z1657))</f>
        <v>Parlante Bluetooth</v>
      </c>
      <c r="N1657" s="61" t="str">
        <f aca="false">$M1657&amp;" "&amp;$C1657</f>
        <v>Parlante Bluetooth 2025</v>
      </c>
      <c r="O1657" s="63" t="n">
        <f aca="false">IF(ISTEXT($AC1657),VALUE($AC1657),$AC1657)</f>
        <v>13</v>
      </c>
      <c r="P1657" s="64" t="n">
        <f aca="false">INDEX(Datos_Origen!$I$2:$I$2459,$Z1657)</f>
        <v>84.46</v>
      </c>
      <c r="Q1657" s="64" t="n">
        <f aca="false">INDEX(Datos_Origen!$J$2:$J$2459,$Z1657)</f>
        <v>49.47</v>
      </c>
      <c r="R1657" s="65" t="n">
        <f aca="false">ROUND($O1657*$P1657,2)</f>
        <v>1097.98</v>
      </c>
      <c r="S1657" s="65" t="n">
        <f aca="false">ROUND($O1657*$Q1657,2)</f>
        <v>643.11</v>
      </c>
      <c r="T1657" s="65" t="n">
        <f aca="false">ROUND($R1657*SUMIFS(Parametros!$E$28:$E$43,Parametros!$B$28:$B$43,$J1657,Parametros!$C$28:$C$43,$C1657,Parametros!$D$28:$D$43,$D1657),2)</f>
        <v>81.25</v>
      </c>
      <c r="U1657" s="65" t="n">
        <f aca="false">$R1657-$S1657-$T1657</f>
        <v>373.62</v>
      </c>
      <c r="V1657" s="66" t="n">
        <f aca="false">IFERROR($U1657/$R1657,0)</f>
        <v>0.340279422211698</v>
      </c>
      <c r="W1657" s="67" t="str">
        <f aca="false">IF(AND($V1657&gt;=Parametros!$C$8,$R1657&gt;=Parametros!$C$12),"Alta rentabilidad",IF(OR($V1657&lt;Parametros!$C$11,$R1657&lt;Parametros!$C$13),"Revisar","Estandar"))</f>
        <v>Estandar</v>
      </c>
      <c r="X1657" s="67" t="str">
        <f aca="false">IF(AND($J1657="E-commerce",IFERROR($T1657/$R1657,0)&gt;Parametros!$C$14),"Alerta","OK")</f>
        <v>Alerta</v>
      </c>
      <c r="Y1657" s="61" t="str">
        <f aca="false">IF($R1657&gt;=Parametros!$C$12,"Alto",IF($R1657&lt;Parametros!$C$13,"Bajo","Medio"))</f>
        <v>Medio</v>
      </c>
      <c r="Z1657" s="61" t="n">
        <v>1479</v>
      </c>
      <c r="AA1657" s="61" t="str">
        <f aca="false">IF(MATCH($A1657,Datos_Origen!$A$2:$A$2459,0)=$Z1657,"OK","REVISAR")</f>
        <v>OK</v>
      </c>
      <c r="AB1657" s="61" t="str">
        <f aca="false">INDEX(Datos_Origen!$B$2:$B$2459,$Z1657)</f>
        <v>10/05/2025</v>
      </c>
      <c r="AC1657" s="61" t="n">
        <f aca="false">INDEX(Datos_Origen!$H$2:$H$2459,$Z1657)</f>
        <v>13</v>
      </c>
      <c r="AD1657" s="61" t="str">
        <f aca="false">INDEX(Datos_Origen!$D$2:$D$2459,$Z1657)&amp;""</f>
        <v>Rosario</v>
      </c>
    </row>
    <row r="1658" customFormat="false" ht="15" hidden="false" customHeight="false" outlineLevel="0" collapsed="false">
      <c r="A1658" s="61" t="n">
        <f aca="false">INDEX(Datos_Origen!$A$2:$A$2459,$Z1658)</f>
        <v>1657</v>
      </c>
      <c r="B1658" s="62" t="n">
        <f aca="false">IF(ISNUMBER($AB1658),$AB1658,IF(MID($AB1658,5,1)="-",DATE(VALUE(LEFT($AB1658,4)),VALUE(MID($AB1658,6,2)),VALUE(RIGHT($AB1658,2))),DATE(VALUE(RIGHT($AB1658,4)),VALUE(MID($AB1658,4,2)),VALUE(LEFT($AB1658,2)))))</f>
        <v>45794</v>
      </c>
      <c r="C1658" s="61" t="n">
        <f aca="false">YEAR($B1658)</f>
        <v>2025</v>
      </c>
      <c r="D1658" s="61" t="str">
        <f aca="false">"Q"&amp;ROUNDUP(MONTH($B1658)/3,0)</f>
        <v>Q2</v>
      </c>
      <c r="E1658" s="61" t="n">
        <f aca="false">MONTH($B1658)</f>
        <v>5</v>
      </c>
      <c r="F1658" s="61" t="str">
        <f aca="false">INDEX(Parametros!$I$5:$I$16,$E1658)</f>
        <v>May</v>
      </c>
      <c r="G1658" s="61" t="str">
        <f aca="false">TEXT($C1658,"0000")&amp;"-"&amp;TEXT($E1658,"00")</f>
        <v>2025-05</v>
      </c>
      <c r="H1658" s="61" t="str">
        <f aca="false">INDEX(Parametros!$C$71:$C$91,MATCH(TRIM(INDEX(Datos_Origen!$C$2:$C$2459,$Z1658)),Parametros!$B$71:$B$91,0))</f>
        <v>Litoral</v>
      </c>
      <c r="I1658" s="61" t="str">
        <f aca="false">IF(TRIM($AD1658)="",INDEX(Parametros!$I$20:$I$24,MATCH($H1658,Parametros!$H$20:$H$24,0)),TRIM($AD1658))</f>
        <v>Rosario</v>
      </c>
      <c r="J1658" s="61" t="str">
        <f aca="false">INDEX(Parametros!$C$95:$C$106,MATCH(TRIM(INDEX(Datos_Origen!$E$2:$E$2459,$Z1658)),Parametros!$B$95:$B$106,0))</f>
        <v>Tienda fisica</v>
      </c>
      <c r="K1658" s="61" t="str">
        <f aca="false">INDEX(Parametros!$C$48:$C$67,MATCH(TRIM(INDEX(Datos_Origen!$F$2:$F$2459,$Z1658)),Parametros!$B$48:$B$67,0))</f>
        <v>Almacenamiento</v>
      </c>
      <c r="L1658" s="61" t="str">
        <f aca="false">$K1658&amp;" "&amp;$C1658</f>
        <v>Almacenamiento 2025</v>
      </c>
      <c r="M1658" s="61" t="str">
        <f aca="false">TRIM(INDEX(Datos_Origen!$G$2:$G$2459,$Z1658))</f>
        <v>SSD Externo 1TB</v>
      </c>
      <c r="N1658" s="61" t="str">
        <f aca="false">$M1658&amp;" "&amp;$C1658</f>
        <v>SSD Externo 1TB 2025</v>
      </c>
      <c r="O1658" s="63" t="n">
        <f aca="false">IF(ISTEXT($AC1658),VALUE($AC1658),$AC1658)</f>
        <v>20</v>
      </c>
      <c r="P1658" s="64" t="n">
        <f aca="false">INDEX(Datos_Origen!$I$2:$I$2459,$Z1658)</f>
        <v>129.17</v>
      </c>
      <c r="Q1658" s="64" t="n">
        <f aca="false">INDEX(Datos_Origen!$J$2:$J$2459,$Z1658)</f>
        <v>78.33</v>
      </c>
      <c r="R1658" s="65" t="n">
        <f aca="false">ROUND($O1658*$P1658,2)</f>
        <v>2583.4</v>
      </c>
      <c r="S1658" s="65" t="n">
        <f aca="false">ROUND($O1658*$Q1658,2)</f>
        <v>1566.6</v>
      </c>
      <c r="T1658" s="65" t="n">
        <f aca="false">ROUND($R1658*SUMIFS(Parametros!$E$28:$E$43,Parametros!$B$28:$B$43,$J1658,Parametros!$C$28:$C$43,$C1658,Parametros!$D$28:$D$43,$D1658),2)</f>
        <v>36.17</v>
      </c>
      <c r="U1658" s="65" t="n">
        <f aca="false">$R1658-$S1658-$T1658</f>
        <v>980.63</v>
      </c>
      <c r="V1658" s="66" t="n">
        <f aca="false">IFERROR($U1658/$R1658,0)</f>
        <v>0.379588913834482</v>
      </c>
      <c r="W1658" s="67" t="str">
        <f aca="false">IF(AND($V1658&gt;=Parametros!$C$8,$R1658&gt;=Parametros!$C$12),"Alta rentabilidad",IF(OR($V1658&lt;Parametros!$C$11,$R1658&lt;Parametros!$C$13),"Revisar","Estandar"))</f>
        <v>Estandar</v>
      </c>
      <c r="X1658" s="67" t="str">
        <f aca="false">IF(AND($J1658="E-commerce",IFERROR($T1658/$R1658,0)&gt;Parametros!$C$14),"Alerta","OK")</f>
        <v>OK</v>
      </c>
      <c r="Y1658" s="61" t="str">
        <f aca="false">IF($R1658&gt;=Parametros!$C$12,"Alto",IF($R1658&lt;Parametros!$C$13,"Bajo","Medio"))</f>
        <v>Medio</v>
      </c>
      <c r="Z1658" s="61" t="n">
        <v>1149</v>
      </c>
      <c r="AA1658" s="61" t="str">
        <f aca="false">IF(MATCH($A1658,Datos_Origen!$A$2:$A$2459,0)=$Z1658,"OK","REVISAR")</f>
        <v>OK</v>
      </c>
      <c r="AB1658" s="62" t="n">
        <f aca="false">INDEX(Datos_Origen!$B$2:$B$2459,$Z1658)</f>
        <v>45794</v>
      </c>
      <c r="AC1658" s="61" t="n">
        <f aca="false">INDEX(Datos_Origen!$H$2:$H$2459,$Z1658)</f>
        <v>20</v>
      </c>
      <c r="AD1658" s="61" t="str">
        <f aca="false">INDEX(Datos_Origen!$D$2:$D$2459,$Z1658)&amp;""</f>
        <v>Rosario</v>
      </c>
    </row>
    <row r="1659" customFormat="false" ht="15" hidden="false" customHeight="false" outlineLevel="0" collapsed="false">
      <c r="A1659" s="61" t="n">
        <f aca="false">INDEX(Datos_Origen!$A$2:$A$2459,$Z1659)</f>
        <v>1658</v>
      </c>
      <c r="B1659" s="62" t="n">
        <f aca="false">IF(ISNUMBER($AB1659),$AB1659,IF(MID($AB1659,5,1)="-",DATE(VALUE(LEFT($AB1659,4)),VALUE(MID($AB1659,6,2)),VALUE(RIGHT($AB1659,2))),DATE(VALUE(RIGHT($AB1659,4)),VALUE(MID($AB1659,4,2)),VALUE(LEFT($AB1659,2)))))</f>
        <v>45801</v>
      </c>
      <c r="C1659" s="61" t="n">
        <f aca="false">YEAR($B1659)</f>
        <v>2025</v>
      </c>
      <c r="D1659" s="61" t="str">
        <f aca="false">"Q"&amp;ROUNDUP(MONTH($B1659)/3,0)</f>
        <v>Q2</v>
      </c>
      <c r="E1659" s="61" t="n">
        <f aca="false">MONTH($B1659)</f>
        <v>5</v>
      </c>
      <c r="F1659" s="61" t="str">
        <f aca="false">INDEX(Parametros!$I$5:$I$16,$E1659)</f>
        <v>May</v>
      </c>
      <c r="G1659" s="61" t="str">
        <f aca="false">TEXT($C1659,"0000")&amp;"-"&amp;TEXT($E1659,"00")</f>
        <v>2025-05</v>
      </c>
      <c r="H1659" s="61" t="str">
        <f aca="false">INDEX(Parametros!$C$71:$C$91,MATCH(TRIM(INDEX(Datos_Origen!$C$2:$C$2459,$Z1659)),Parametros!$B$71:$B$91,0))</f>
        <v>Litoral</v>
      </c>
      <c r="I1659" s="61" t="str">
        <f aca="false">IF(TRIM($AD1659)="",INDEX(Parametros!$I$20:$I$24,MATCH($H1659,Parametros!$H$20:$H$24,0)),TRIM($AD1659))</f>
        <v>Rosario</v>
      </c>
      <c r="J1659" s="61" t="str">
        <f aca="false">INDEX(Parametros!$C$95:$C$106,MATCH(TRIM(INDEX(Datos_Origen!$E$2:$E$2459,$Z1659)),Parametros!$B$95:$B$106,0))</f>
        <v>E-commerce</v>
      </c>
      <c r="K1659" s="61" t="str">
        <f aca="false">INDEX(Parametros!$C$48:$C$67,MATCH(TRIM(INDEX(Datos_Origen!$F$2:$F$2459,$Z1659)),Parametros!$B$48:$B$67,0))</f>
        <v>Almacenamiento</v>
      </c>
      <c r="L1659" s="61" t="str">
        <f aca="false">$K1659&amp;" "&amp;$C1659</f>
        <v>Almacenamiento 2025</v>
      </c>
      <c r="M1659" s="61" t="str">
        <f aca="false">TRIM(INDEX(Datos_Origen!$G$2:$G$2459,$Z1659))</f>
        <v>SSD Externo 1TB</v>
      </c>
      <c r="N1659" s="61" t="str">
        <f aca="false">$M1659&amp;" "&amp;$C1659</f>
        <v>SSD Externo 1TB 2025</v>
      </c>
      <c r="O1659" s="63" t="n">
        <f aca="false">IF(ISTEXT($AC1659),VALUE($AC1659),$AC1659)</f>
        <v>18</v>
      </c>
      <c r="P1659" s="64" t="n">
        <f aca="false">INDEX(Datos_Origen!$I$2:$I$2459,$Z1659)</f>
        <v>129.17</v>
      </c>
      <c r="Q1659" s="64" t="n">
        <f aca="false">INDEX(Datos_Origen!$J$2:$J$2459,$Z1659)</f>
        <v>78.33</v>
      </c>
      <c r="R1659" s="65" t="n">
        <f aca="false">ROUND($O1659*$P1659,2)</f>
        <v>2325.06</v>
      </c>
      <c r="S1659" s="65" t="n">
        <f aca="false">ROUND($O1659*$Q1659,2)</f>
        <v>1409.94</v>
      </c>
      <c r="T1659" s="65" t="n">
        <f aca="false">ROUND($R1659*SUMIFS(Parametros!$E$28:$E$43,Parametros!$B$28:$B$43,$J1659,Parametros!$C$28:$C$43,$C1659,Parametros!$D$28:$D$43,$D1659),2)</f>
        <v>172.05</v>
      </c>
      <c r="U1659" s="65" t="n">
        <f aca="false">$R1659-$S1659-$T1659</f>
        <v>743.07</v>
      </c>
      <c r="V1659" s="66" t="n">
        <f aca="false">IFERROR($U1659/$R1659,0)</f>
        <v>0.319591752470904</v>
      </c>
      <c r="W1659" s="67" t="str">
        <f aca="false">IF(AND($V1659&gt;=Parametros!$C$8,$R1659&gt;=Parametros!$C$12),"Alta rentabilidad",IF(OR($V1659&lt;Parametros!$C$11,$R1659&lt;Parametros!$C$13),"Revisar","Estandar"))</f>
        <v>Estandar</v>
      </c>
      <c r="X1659" s="67" t="str">
        <f aca="false">IF(AND($J1659="E-commerce",IFERROR($T1659/$R1659,0)&gt;Parametros!$C$14),"Alerta","OK")</f>
        <v>Alerta</v>
      </c>
      <c r="Y1659" s="61" t="str">
        <f aca="false">IF($R1659&gt;=Parametros!$C$12,"Alto",IF($R1659&lt;Parametros!$C$13,"Bajo","Medio"))</f>
        <v>Medio</v>
      </c>
      <c r="Z1659" s="61" t="n">
        <v>684</v>
      </c>
      <c r="AA1659" s="61" t="str">
        <f aca="false">IF(MATCH($A1659,Datos_Origen!$A$2:$A$2459,0)=$Z1659,"OK","REVISAR")</f>
        <v>OK</v>
      </c>
      <c r="AB1659" s="62" t="n">
        <f aca="false">INDEX(Datos_Origen!$B$2:$B$2459,$Z1659)</f>
        <v>45801</v>
      </c>
      <c r="AC1659" s="61" t="n">
        <f aca="false">INDEX(Datos_Origen!$H$2:$H$2459,$Z1659)</f>
        <v>18</v>
      </c>
      <c r="AD1659" s="61" t="str">
        <f aca="false">INDEX(Datos_Origen!$D$2:$D$2459,$Z1659)&amp;""</f>
        <v>Rosario</v>
      </c>
    </row>
    <row r="1660" customFormat="false" ht="15" hidden="false" customHeight="false" outlineLevel="0" collapsed="false">
      <c r="A1660" s="61" t="n">
        <f aca="false">INDEX(Datos_Origen!$A$2:$A$2459,$Z1660)</f>
        <v>1659</v>
      </c>
      <c r="B1660" s="62" t="n">
        <f aca="false">IF(ISNUMBER($AB1660),$AB1660,IF(MID($AB1660,5,1)="-",DATE(VALUE(LEFT($AB1660,4)),VALUE(MID($AB1660,6,2)),VALUE(RIGHT($AB1660,2))),DATE(VALUE(RIGHT($AB1660,4)),VALUE(MID($AB1660,4,2)),VALUE(LEFT($AB1660,2)))))</f>
        <v>45781</v>
      </c>
      <c r="C1660" s="61" t="n">
        <f aca="false">YEAR($B1660)</f>
        <v>2025</v>
      </c>
      <c r="D1660" s="61" t="str">
        <f aca="false">"Q"&amp;ROUNDUP(MONTH($B1660)/3,0)</f>
        <v>Q2</v>
      </c>
      <c r="E1660" s="61" t="n">
        <f aca="false">MONTH($B1660)</f>
        <v>5</v>
      </c>
      <c r="F1660" s="61" t="str">
        <f aca="false">INDEX(Parametros!$I$5:$I$16,$E1660)</f>
        <v>May</v>
      </c>
      <c r="G1660" s="61" t="str">
        <f aca="false">TEXT($C1660,"0000")&amp;"-"&amp;TEXT($E1660,"00")</f>
        <v>2025-05</v>
      </c>
      <c r="H1660" s="61" t="str">
        <f aca="false">INDEX(Parametros!$C$71:$C$91,MATCH(TRIM(INDEX(Datos_Origen!$C$2:$C$2459,$Z1660)),Parametros!$B$71:$B$91,0))</f>
        <v>Litoral</v>
      </c>
      <c r="I1660" s="61" t="str">
        <f aca="false">IF(TRIM($AD1660)="",INDEX(Parametros!$I$20:$I$24,MATCH($H1660,Parametros!$H$20:$H$24,0)),TRIM($AD1660))</f>
        <v>Rosario</v>
      </c>
      <c r="J1660" s="61" t="str">
        <f aca="false">INDEX(Parametros!$C$95:$C$106,MATCH(TRIM(INDEX(Datos_Origen!$E$2:$E$2459,$Z1660)),Parametros!$B$95:$B$106,0))</f>
        <v>Tienda fisica</v>
      </c>
      <c r="K1660" s="61" t="str">
        <f aca="false">INDEX(Parametros!$C$48:$C$67,MATCH(TRIM(INDEX(Datos_Origen!$F$2:$F$2459,$Z1660)),Parametros!$B$48:$B$67,0))</f>
        <v>Almacenamiento</v>
      </c>
      <c r="L1660" s="61" t="str">
        <f aca="false">$K1660&amp;" "&amp;$C1660</f>
        <v>Almacenamiento 2025</v>
      </c>
      <c r="M1660" s="61" t="str">
        <f aca="false">TRIM(INDEX(Datos_Origen!$G$2:$G$2459,$Z1660))</f>
        <v>Pendrive 256GB</v>
      </c>
      <c r="N1660" s="61" t="str">
        <f aca="false">$M1660&amp;" "&amp;$C1660</f>
        <v>Pendrive 256GB 2025</v>
      </c>
      <c r="O1660" s="63" t="n">
        <f aca="false">IF(ISTEXT($AC1660),VALUE($AC1660),$AC1660)</f>
        <v>27</v>
      </c>
      <c r="P1660" s="64" t="n">
        <f aca="false">INDEX(Datos_Origen!$I$2:$I$2459,$Z1660)</f>
        <v>34.78</v>
      </c>
      <c r="Q1660" s="64" t="n">
        <f aca="false">INDEX(Datos_Origen!$J$2:$J$2459,$Z1660)</f>
        <v>18.39</v>
      </c>
      <c r="R1660" s="65" t="n">
        <f aca="false">ROUND($O1660*$P1660,2)</f>
        <v>939.06</v>
      </c>
      <c r="S1660" s="65" t="n">
        <f aca="false">ROUND($O1660*$Q1660,2)</f>
        <v>496.53</v>
      </c>
      <c r="T1660" s="65" t="n">
        <f aca="false">ROUND($R1660*SUMIFS(Parametros!$E$28:$E$43,Parametros!$B$28:$B$43,$J1660,Parametros!$C$28:$C$43,$C1660,Parametros!$D$28:$D$43,$D1660),2)</f>
        <v>13.15</v>
      </c>
      <c r="U1660" s="65" t="n">
        <f aca="false">$R1660-$S1660-$T1660</f>
        <v>429.38</v>
      </c>
      <c r="V1660" s="66" t="n">
        <f aca="false">IFERROR($U1660/$R1660,0)</f>
        <v>0.457244478521074</v>
      </c>
      <c r="W1660" s="67" t="str">
        <f aca="false">IF(AND($V1660&gt;=Parametros!$C$8,$R1660&gt;=Parametros!$C$12),"Alta rentabilidad",IF(OR($V1660&lt;Parametros!$C$11,$R1660&lt;Parametros!$C$13),"Revisar","Estandar"))</f>
        <v>Estandar</v>
      </c>
      <c r="X1660" s="67" t="str">
        <f aca="false">IF(AND($J1660="E-commerce",IFERROR($T1660/$R1660,0)&gt;Parametros!$C$14),"Alerta","OK")</f>
        <v>OK</v>
      </c>
      <c r="Y1660" s="61" t="str">
        <f aca="false">IF($R1660&gt;=Parametros!$C$12,"Alto",IF($R1660&lt;Parametros!$C$13,"Bajo","Medio"))</f>
        <v>Medio</v>
      </c>
      <c r="Z1660" s="61" t="n">
        <v>2259</v>
      </c>
      <c r="AA1660" s="61" t="str">
        <f aca="false">IF(MATCH($A1660,Datos_Origen!$A$2:$A$2459,0)=$Z1660,"OK","REVISAR")</f>
        <v>OK</v>
      </c>
      <c r="AB1660" s="61" t="str">
        <f aca="false">INDEX(Datos_Origen!$B$2:$B$2459,$Z1660)</f>
        <v>2025-05-04</v>
      </c>
      <c r="AC1660" s="61" t="n">
        <f aca="false">INDEX(Datos_Origen!$H$2:$H$2459,$Z1660)</f>
        <v>27</v>
      </c>
      <c r="AD1660" s="61" t="str">
        <f aca="false">INDEX(Datos_Origen!$D$2:$D$2459,$Z1660)&amp;""</f>
        <v>Rosario</v>
      </c>
    </row>
    <row r="1661" customFormat="false" ht="15" hidden="false" customHeight="false" outlineLevel="0" collapsed="false">
      <c r="A1661" s="61" t="n">
        <f aca="false">INDEX(Datos_Origen!$A$2:$A$2459,$Z1661)</f>
        <v>1660</v>
      </c>
      <c r="B1661" s="62" t="n">
        <f aca="false">IF(ISNUMBER($AB1661),$AB1661,IF(MID($AB1661,5,1)="-",DATE(VALUE(LEFT($AB1661,4)),VALUE(MID($AB1661,6,2)),VALUE(RIGHT($AB1661,2))),DATE(VALUE(RIGHT($AB1661,4)),VALUE(MID($AB1661,4,2)),VALUE(LEFT($AB1661,2)))))</f>
        <v>45788</v>
      </c>
      <c r="C1661" s="61" t="n">
        <f aca="false">YEAR($B1661)</f>
        <v>2025</v>
      </c>
      <c r="D1661" s="61" t="str">
        <f aca="false">"Q"&amp;ROUNDUP(MONTH($B1661)/3,0)</f>
        <v>Q2</v>
      </c>
      <c r="E1661" s="61" t="n">
        <f aca="false">MONTH($B1661)</f>
        <v>5</v>
      </c>
      <c r="F1661" s="61" t="str">
        <f aca="false">INDEX(Parametros!$I$5:$I$16,$E1661)</f>
        <v>May</v>
      </c>
      <c r="G1661" s="61" t="str">
        <f aca="false">TEXT($C1661,"0000")&amp;"-"&amp;TEXT($E1661,"00")</f>
        <v>2025-05</v>
      </c>
      <c r="H1661" s="61" t="str">
        <f aca="false">INDEX(Parametros!$C$71:$C$91,MATCH(TRIM(INDEX(Datos_Origen!$C$2:$C$2459,$Z1661)),Parametros!$B$71:$B$91,0))</f>
        <v>Litoral</v>
      </c>
      <c r="I1661" s="61" t="str">
        <f aca="false">IF(TRIM($AD1661)="",INDEX(Parametros!$I$20:$I$24,MATCH($H1661,Parametros!$H$20:$H$24,0)),TRIM($AD1661))</f>
        <v>Rosario</v>
      </c>
      <c r="J1661" s="61" t="str">
        <f aca="false">INDEX(Parametros!$C$95:$C$106,MATCH(TRIM(INDEX(Datos_Origen!$E$2:$E$2459,$Z1661)),Parametros!$B$95:$B$106,0))</f>
        <v>E-commerce</v>
      </c>
      <c r="K1661" s="61" t="str">
        <f aca="false">INDEX(Parametros!$C$48:$C$67,MATCH(TRIM(INDEX(Datos_Origen!$F$2:$F$2459,$Z1661)),Parametros!$B$48:$B$67,0))</f>
        <v>Almacenamiento</v>
      </c>
      <c r="L1661" s="61" t="str">
        <f aca="false">$K1661&amp;" "&amp;$C1661</f>
        <v>Almacenamiento 2025</v>
      </c>
      <c r="M1661" s="61" t="str">
        <f aca="false">TRIM(INDEX(Datos_Origen!$G$2:$G$2459,$Z1661))</f>
        <v>Pendrive 256GB</v>
      </c>
      <c r="N1661" s="61" t="str">
        <f aca="false">$M1661&amp;" "&amp;$C1661</f>
        <v>Pendrive 256GB 2025</v>
      </c>
      <c r="O1661" s="63" t="n">
        <f aca="false">IF(ISTEXT($AC1661),VALUE($AC1661),$AC1661)</f>
        <v>15</v>
      </c>
      <c r="P1661" s="64" t="n">
        <f aca="false">INDEX(Datos_Origen!$I$2:$I$2459,$Z1661)</f>
        <v>34.78</v>
      </c>
      <c r="Q1661" s="64" t="n">
        <f aca="false">INDEX(Datos_Origen!$J$2:$J$2459,$Z1661)</f>
        <v>18.39</v>
      </c>
      <c r="R1661" s="65" t="n">
        <f aca="false">ROUND($O1661*$P1661,2)</f>
        <v>521.7</v>
      </c>
      <c r="S1661" s="65" t="n">
        <f aca="false">ROUND($O1661*$Q1661,2)</f>
        <v>275.85</v>
      </c>
      <c r="T1661" s="65" t="n">
        <f aca="false">ROUND($R1661*SUMIFS(Parametros!$E$28:$E$43,Parametros!$B$28:$B$43,$J1661,Parametros!$C$28:$C$43,$C1661,Parametros!$D$28:$D$43,$D1661),2)</f>
        <v>38.61</v>
      </c>
      <c r="U1661" s="65" t="n">
        <f aca="false">$R1661-$S1661-$T1661</f>
        <v>207.24</v>
      </c>
      <c r="V1661" s="66" t="n">
        <f aca="false">IFERROR($U1661/$R1661,0)</f>
        <v>0.397239792984474</v>
      </c>
      <c r="W1661" s="67" t="str">
        <f aca="false">IF(AND($V1661&gt;=Parametros!$C$8,$R1661&gt;=Parametros!$C$12),"Alta rentabilidad",IF(OR($V1661&lt;Parametros!$C$11,$R1661&lt;Parametros!$C$13),"Revisar","Estandar"))</f>
        <v>Estandar</v>
      </c>
      <c r="X1661" s="67" t="str">
        <f aca="false">IF(AND($J1661="E-commerce",IFERROR($T1661/$R1661,0)&gt;Parametros!$C$14),"Alerta","OK")</f>
        <v>Alerta</v>
      </c>
      <c r="Y1661" s="61" t="str">
        <f aca="false">IF($R1661&gt;=Parametros!$C$12,"Alto",IF($R1661&lt;Parametros!$C$13,"Bajo","Medio"))</f>
        <v>Medio</v>
      </c>
      <c r="Z1661" s="61" t="n">
        <v>987</v>
      </c>
      <c r="AA1661" s="61" t="str">
        <f aca="false">IF(MATCH($A1661,Datos_Origen!$A$2:$A$2459,0)=$Z1661,"OK","REVISAR")</f>
        <v>OK</v>
      </c>
      <c r="AB1661" s="62" t="n">
        <f aca="false">INDEX(Datos_Origen!$B$2:$B$2459,$Z1661)</f>
        <v>45788</v>
      </c>
      <c r="AC1661" s="61" t="str">
        <f aca="false">INDEX(Datos_Origen!$H$2:$H$2459,$Z1661)</f>
        <v>15</v>
      </c>
      <c r="AD1661" s="61" t="str">
        <f aca="false">INDEX(Datos_Origen!$D$2:$D$2459,$Z1661)&amp;""</f>
        <v/>
      </c>
    </row>
    <row r="1662" customFormat="false" ht="15" hidden="false" customHeight="false" outlineLevel="0" collapsed="false">
      <c r="A1662" s="61" t="n">
        <f aca="false">INDEX(Datos_Origen!$A$2:$A$2459,$Z1662)</f>
        <v>1661</v>
      </c>
      <c r="B1662" s="62" t="n">
        <f aca="false">IF(ISNUMBER($AB1662),$AB1662,IF(MID($AB1662,5,1)="-",DATE(VALUE(LEFT($AB1662,4)),VALUE(MID($AB1662,6,2)),VALUE(RIGHT($AB1662,2))),DATE(VALUE(RIGHT($AB1662,4)),VALUE(MID($AB1662,4,2)),VALUE(LEFT($AB1662,2)))))</f>
        <v>45795</v>
      </c>
      <c r="C1662" s="61" t="n">
        <f aca="false">YEAR($B1662)</f>
        <v>2025</v>
      </c>
      <c r="D1662" s="61" t="str">
        <f aca="false">"Q"&amp;ROUNDUP(MONTH($B1662)/3,0)</f>
        <v>Q2</v>
      </c>
      <c r="E1662" s="61" t="n">
        <f aca="false">MONTH($B1662)</f>
        <v>5</v>
      </c>
      <c r="F1662" s="61" t="str">
        <f aca="false">INDEX(Parametros!$I$5:$I$16,$E1662)</f>
        <v>May</v>
      </c>
      <c r="G1662" s="61" t="str">
        <f aca="false">TEXT($C1662,"0000")&amp;"-"&amp;TEXT($E1662,"00")</f>
        <v>2025-05</v>
      </c>
      <c r="H1662" s="61" t="str">
        <f aca="false">INDEX(Parametros!$C$71:$C$91,MATCH(TRIM(INDEX(Datos_Origen!$C$2:$C$2459,$Z1662)),Parametros!$B$71:$B$91,0))</f>
        <v>Cuyo</v>
      </c>
      <c r="I1662" s="61" t="str">
        <f aca="false">IF(TRIM($AD1662)="",INDEX(Parametros!$I$20:$I$24,MATCH($H1662,Parametros!$H$20:$H$24,0)),TRIM($AD1662))</f>
        <v>Mendoza</v>
      </c>
      <c r="J1662" s="61" t="str">
        <f aca="false">INDEX(Parametros!$C$95:$C$106,MATCH(TRIM(INDEX(Datos_Origen!$E$2:$E$2459,$Z1662)),Parametros!$B$95:$B$106,0))</f>
        <v>Tienda fisica</v>
      </c>
      <c r="K1662" s="61" t="str">
        <f aca="false">INDEX(Parametros!$C$48:$C$67,MATCH(TRIM(INDEX(Datos_Origen!$F$2:$F$2459,$Z1662)),Parametros!$B$48:$B$67,0))</f>
        <v>Computacion</v>
      </c>
      <c r="L1662" s="61" t="str">
        <f aca="false">$K1662&amp;" "&amp;$C1662</f>
        <v>Computacion 2025</v>
      </c>
      <c r="M1662" s="61" t="str">
        <f aca="false">TRIM(INDEX(Datos_Origen!$G$2:$G$2459,$Z1662))</f>
        <v>Laptop Pro 15</v>
      </c>
      <c r="N1662" s="61" t="str">
        <f aca="false">$M1662&amp;" "&amp;$C1662</f>
        <v>Laptop Pro 15 2025</v>
      </c>
      <c r="O1662" s="63" t="n">
        <f aca="false">IF(ISTEXT($AC1662),VALUE($AC1662),$AC1662)</f>
        <v>7</v>
      </c>
      <c r="P1662" s="64" t="n">
        <f aca="false">INDEX(Datos_Origen!$I$2:$I$2459,$Z1662)</f>
        <v>1155.06</v>
      </c>
      <c r="Q1662" s="64" t="n">
        <f aca="false">INDEX(Datos_Origen!$J$2:$J$2459,$Z1662)</f>
        <v>766.32</v>
      </c>
      <c r="R1662" s="65" t="n">
        <f aca="false">ROUND($O1662*$P1662,2)</f>
        <v>8085.42</v>
      </c>
      <c r="S1662" s="65" t="n">
        <f aca="false">ROUND($O1662*$Q1662,2)</f>
        <v>5364.24</v>
      </c>
      <c r="T1662" s="65" t="n">
        <f aca="false">ROUND($R1662*SUMIFS(Parametros!$E$28:$E$43,Parametros!$B$28:$B$43,$J1662,Parametros!$C$28:$C$43,$C1662,Parametros!$D$28:$D$43,$D1662),2)</f>
        <v>113.2</v>
      </c>
      <c r="U1662" s="65" t="n">
        <f aca="false">$R1662-$S1662-$T1662</f>
        <v>2607.98</v>
      </c>
      <c r="V1662" s="66" t="n">
        <f aca="false">IFERROR($U1662/$R1662,0)</f>
        <v>0.322553435690416</v>
      </c>
      <c r="W1662" s="67" t="str">
        <f aca="false">IF(AND($V1662&gt;=Parametros!$C$8,$R1662&gt;=Parametros!$C$12),"Alta rentabilidad",IF(OR($V1662&lt;Parametros!$C$11,$R1662&lt;Parametros!$C$13),"Revisar","Estandar"))</f>
        <v>Estandar</v>
      </c>
      <c r="X1662" s="67" t="str">
        <f aca="false">IF(AND($J1662="E-commerce",IFERROR($T1662/$R1662,0)&gt;Parametros!$C$14),"Alerta","OK")</f>
        <v>OK</v>
      </c>
      <c r="Y1662" s="61" t="str">
        <f aca="false">IF($R1662&gt;=Parametros!$C$12,"Alto",IF($R1662&lt;Parametros!$C$13,"Bajo","Medio"))</f>
        <v>Alto</v>
      </c>
      <c r="Z1662" s="61" t="n">
        <v>890</v>
      </c>
      <c r="AA1662" s="61" t="str">
        <f aca="false">IF(MATCH($A1662,Datos_Origen!$A$2:$A$2459,0)=$Z1662,"OK","REVISAR")</f>
        <v>OK</v>
      </c>
      <c r="AB1662" s="61" t="str">
        <f aca="false">INDEX(Datos_Origen!$B$2:$B$2459,$Z1662)</f>
        <v>2025-05-18</v>
      </c>
      <c r="AC1662" s="61" t="n">
        <f aca="false">INDEX(Datos_Origen!$H$2:$H$2459,$Z1662)</f>
        <v>7</v>
      </c>
      <c r="AD1662" s="61" t="str">
        <f aca="false">INDEX(Datos_Origen!$D$2:$D$2459,$Z1662)&amp;""</f>
        <v>Mendoza</v>
      </c>
    </row>
    <row r="1663" customFormat="false" ht="15" hidden="false" customHeight="false" outlineLevel="0" collapsed="false">
      <c r="A1663" s="61" t="n">
        <f aca="false">INDEX(Datos_Origen!$A$2:$A$2459,$Z1663)</f>
        <v>1662</v>
      </c>
      <c r="B1663" s="62" t="n">
        <f aca="false">IF(ISNUMBER($AB1663),$AB1663,IF(MID($AB1663,5,1)="-",DATE(VALUE(LEFT($AB1663,4)),VALUE(MID($AB1663,6,2)),VALUE(RIGHT($AB1663,2))),DATE(VALUE(RIGHT($AB1663,4)),VALUE(MID($AB1663,4,2)),VALUE(LEFT($AB1663,2)))))</f>
        <v>45802</v>
      </c>
      <c r="C1663" s="61" t="n">
        <f aca="false">YEAR($B1663)</f>
        <v>2025</v>
      </c>
      <c r="D1663" s="61" t="str">
        <f aca="false">"Q"&amp;ROUNDUP(MONTH($B1663)/3,0)</f>
        <v>Q2</v>
      </c>
      <c r="E1663" s="61" t="n">
        <f aca="false">MONTH($B1663)</f>
        <v>5</v>
      </c>
      <c r="F1663" s="61" t="str">
        <f aca="false">INDEX(Parametros!$I$5:$I$16,$E1663)</f>
        <v>May</v>
      </c>
      <c r="G1663" s="61" t="str">
        <f aca="false">TEXT($C1663,"0000")&amp;"-"&amp;TEXT($E1663,"00")</f>
        <v>2025-05</v>
      </c>
      <c r="H1663" s="61" t="str">
        <f aca="false">INDEX(Parametros!$C$71:$C$91,MATCH(TRIM(INDEX(Datos_Origen!$C$2:$C$2459,$Z1663)),Parametros!$B$71:$B$91,0))</f>
        <v>Cuyo</v>
      </c>
      <c r="I1663" s="61" t="str">
        <f aca="false">IF(TRIM($AD1663)="",INDEX(Parametros!$I$20:$I$24,MATCH($H1663,Parametros!$H$20:$H$24,0)),TRIM($AD1663))</f>
        <v>Mendoza</v>
      </c>
      <c r="J1663" s="61" t="str">
        <f aca="false">INDEX(Parametros!$C$95:$C$106,MATCH(TRIM(INDEX(Datos_Origen!$E$2:$E$2459,$Z1663)),Parametros!$B$95:$B$106,0))</f>
        <v>E-commerce</v>
      </c>
      <c r="K1663" s="61" t="str">
        <f aca="false">INDEX(Parametros!$C$48:$C$67,MATCH(TRIM(INDEX(Datos_Origen!$F$2:$F$2459,$Z1663)),Parametros!$B$48:$B$67,0))</f>
        <v>Computacion</v>
      </c>
      <c r="L1663" s="61" t="str">
        <f aca="false">$K1663&amp;" "&amp;$C1663</f>
        <v>Computacion 2025</v>
      </c>
      <c r="M1663" s="61" t="str">
        <f aca="false">TRIM(INDEX(Datos_Origen!$G$2:$G$2459,$Z1663))</f>
        <v>Laptop Pro 15</v>
      </c>
      <c r="N1663" s="61" t="str">
        <f aca="false">$M1663&amp;" "&amp;$C1663</f>
        <v>Laptop Pro 15 2025</v>
      </c>
      <c r="O1663" s="63" t="n">
        <f aca="false">IF(ISTEXT($AC1663),VALUE($AC1663),$AC1663)</f>
        <v>5</v>
      </c>
      <c r="P1663" s="64" t="n">
        <f aca="false">INDEX(Datos_Origen!$I$2:$I$2459,$Z1663)</f>
        <v>1155.06</v>
      </c>
      <c r="Q1663" s="64" t="n">
        <f aca="false">INDEX(Datos_Origen!$J$2:$J$2459,$Z1663)</f>
        <v>766.32</v>
      </c>
      <c r="R1663" s="65" t="n">
        <f aca="false">ROUND($O1663*$P1663,2)</f>
        <v>5775.3</v>
      </c>
      <c r="S1663" s="65" t="n">
        <f aca="false">ROUND($O1663*$Q1663,2)</f>
        <v>3831.6</v>
      </c>
      <c r="T1663" s="65" t="n">
        <f aca="false">ROUND($R1663*SUMIFS(Parametros!$E$28:$E$43,Parametros!$B$28:$B$43,$J1663,Parametros!$C$28:$C$43,$C1663,Parametros!$D$28:$D$43,$D1663),2)</f>
        <v>427.37</v>
      </c>
      <c r="U1663" s="65" t="n">
        <f aca="false">$R1663-$S1663-$T1663</f>
        <v>1516.33</v>
      </c>
      <c r="V1663" s="66" t="n">
        <f aca="false">IFERROR($U1663/$R1663,0)</f>
        <v>0.26255432618219</v>
      </c>
      <c r="W1663" s="67" t="str">
        <f aca="false">IF(AND($V1663&gt;=Parametros!$C$8,$R1663&gt;=Parametros!$C$12),"Alta rentabilidad",IF(OR($V1663&lt;Parametros!$C$11,$R1663&lt;Parametros!$C$13),"Revisar","Estandar"))</f>
        <v>Revisar</v>
      </c>
      <c r="X1663" s="67" t="str">
        <f aca="false">IF(AND($J1663="E-commerce",IFERROR($T1663/$R1663,0)&gt;Parametros!$C$14),"Alerta","OK")</f>
        <v>Alerta</v>
      </c>
      <c r="Y1663" s="61" t="str">
        <f aca="false">IF($R1663&gt;=Parametros!$C$12,"Alto",IF($R1663&lt;Parametros!$C$13,"Bajo","Medio"))</f>
        <v>Alto</v>
      </c>
      <c r="Z1663" s="61" t="n">
        <v>1887</v>
      </c>
      <c r="AA1663" s="61" t="str">
        <f aca="false">IF(MATCH($A1663,Datos_Origen!$A$2:$A$2459,0)=$Z1663,"OK","REVISAR")</f>
        <v>OK</v>
      </c>
      <c r="AB1663" s="62" t="n">
        <f aca="false">INDEX(Datos_Origen!$B$2:$B$2459,$Z1663)</f>
        <v>45802</v>
      </c>
      <c r="AC1663" s="61" t="str">
        <f aca="false">INDEX(Datos_Origen!$H$2:$H$2459,$Z1663)</f>
        <v>5</v>
      </c>
      <c r="AD1663" s="61" t="str">
        <f aca="false">INDEX(Datos_Origen!$D$2:$D$2459,$Z1663)&amp;""</f>
        <v>Mendoza</v>
      </c>
    </row>
    <row r="1664" customFormat="false" ht="15" hidden="false" customHeight="false" outlineLevel="0" collapsed="false">
      <c r="A1664" s="61" t="n">
        <f aca="false">INDEX(Datos_Origen!$A$2:$A$2459,$Z1664)</f>
        <v>1663</v>
      </c>
      <c r="B1664" s="62" t="n">
        <f aca="false">IF(ISNUMBER($AB1664),$AB1664,IF(MID($AB1664,5,1)="-",DATE(VALUE(LEFT($AB1664,4)),VALUE(MID($AB1664,6,2)),VALUE(RIGHT($AB1664,2))),DATE(VALUE(RIGHT($AB1664,4)),VALUE(MID($AB1664,4,2)),VALUE(LEFT($AB1664,2)))))</f>
        <v>45782</v>
      </c>
      <c r="C1664" s="61" t="n">
        <f aca="false">YEAR($B1664)</f>
        <v>2025</v>
      </c>
      <c r="D1664" s="61" t="str">
        <f aca="false">"Q"&amp;ROUNDUP(MONTH($B1664)/3,0)</f>
        <v>Q2</v>
      </c>
      <c r="E1664" s="61" t="n">
        <f aca="false">MONTH($B1664)</f>
        <v>5</v>
      </c>
      <c r="F1664" s="61" t="str">
        <f aca="false">INDEX(Parametros!$I$5:$I$16,$E1664)</f>
        <v>May</v>
      </c>
      <c r="G1664" s="61" t="str">
        <f aca="false">TEXT($C1664,"0000")&amp;"-"&amp;TEXT($E1664,"00")</f>
        <v>2025-05</v>
      </c>
      <c r="H1664" s="61" t="str">
        <f aca="false">INDEX(Parametros!$C$71:$C$91,MATCH(TRIM(INDEX(Datos_Origen!$C$2:$C$2459,$Z1664)),Parametros!$B$71:$B$91,0))</f>
        <v>Cuyo</v>
      </c>
      <c r="I1664" s="61" t="str">
        <f aca="false">IF(TRIM($AD1664)="",INDEX(Parametros!$I$20:$I$24,MATCH($H1664,Parametros!$H$20:$H$24,0)),TRIM($AD1664))</f>
        <v>Mendoza</v>
      </c>
      <c r="J1664" s="61" t="str">
        <f aca="false">INDEX(Parametros!$C$95:$C$106,MATCH(TRIM(INDEX(Datos_Origen!$E$2:$E$2459,$Z1664)),Parametros!$B$95:$B$106,0))</f>
        <v>Tienda fisica</v>
      </c>
      <c r="K1664" s="61" t="str">
        <f aca="false">INDEX(Parametros!$C$48:$C$67,MATCH(TRIM(INDEX(Datos_Origen!$F$2:$F$2459,$Z1664)),Parametros!$B$48:$B$67,0))</f>
        <v>Computacion</v>
      </c>
      <c r="L1664" s="61" t="str">
        <f aca="false">$K1664&amp;" "&amp;$C1664</f>
        <v>Computacion 2025</v>
      </c>
      <c r="M1664" s="61" t="str">
        <f aca="false">TRIM(INDEX(Datos_Origen!$G$2:$G$2459,$Z1664))</f>
        <v>Monitor 4K 27</v>
      </c>
      <c r="N1664" s="61" t="str">
        <f aca="false">$M1664&amp;" "&amp;$C1664</f>
        <v>Monitor 4K 27 2025</v>
      </c>
      <c r="O1664" s="63" t="n">
        <f aca="false">IF(ISTEXT($AC1664),VALUE($AC1664),$AC1664)</f>
        <v>6</v>
      </c>
      <c r="P1664" s="64" t="n">
        <f aca="false">INDEX(Datos_Origen!$I$2:$I$2459,$Z1664)</f>
        <v>433.15</v>
      </c>
      <c r="Q1664" s="64" t="n">
        <f aca="false">INDEX(Datos_Origen!$J$2:$J$2459,$Z1664)</f>
        <v>280.42</v>
      </c>
      <c r="R1664" s="65" t="n">
        <f aca="false">ROUND($O1664*$P1664,2)</f>
        <v>2598.9</v>
      </c>
      <c r="S1664" s="65" t="n">
        <f aca="false">ROUND($O1664*$Q1664,2)</f>
        <v>1682.52</v>
      </c>
      <c r="T1664" s="65" t="n">
        <f aca="false">ROUND($R1664*SUMIFS(Parametros!$E$28:$E$43,Parametros!$B$28:$B$43,$J1664,Parametros!$C$28:$C$43,$C1664,Parametros!$D$28:$D$43,$D1664),2)</f>
        <v>36.38</v>
      </c>
      <c r="U1664" s="65" t="n">
        <f aca="false">$R1664-$S1664-$T1664</f>
        <v>880</v>
      </c>
      <c r="V1664" s="66" t="n">
        <f aca="false">IFERROR($U1664/$R1664,0)</f>
        <v>0.338604794336065</v>
      </c>
      <c r="W1664" s="67" t="str">
        <f aca="false">IF(AND($V1664&gt;=Parametros!$C$8,$R1664&gt;=Parametros!$C$12),"Alta rentabilidad",IF(OR($V1664&lt;Parametros!$C$11,$R1664&lt;Parametros!$C$13),"Revisar","Estandar"))</f>
        <v>Estandar</v>
      </c>
      <c r="X1664" s="67" t="str">
        <f aca="false">IF(AND($J1664="E-commerce",IFERROR($T1664/$R1664,0)&gt;Parametros!$C$14),"Alerta","OK")</f>
        <v>OK</v>
      </c>
      <c r="Y1664" s="61" t="str">
        <f aca="false">IF($R1664&gt;=Parametros!$C$12,"Alto",IF($R1664&lt;Parametros!$C$13,"Bajo","Medio"))</f>
        <v>Medio</v>
      </c>
      <c r="Z1664" s="61" t="n">
        <v>229</v>
      </c>
      <c r="AA1664" s="61" t="str">
        <f aca="false">IF(MATCH($A1664,Datos_Origen!$A$2:$A$2459,0)=$Z1664,"OK","REVISAR")</f>
        <v>OK</v>
      </c>
      <c r="AB1664" s="61" t="str">
        <f aca="false">INDEX(Datos_Origen!$B$2:$B$2459,$Z1664)</f>
        <v>05/05/2025</v>
      </c>
      <c r="AC1664" s="61" t="n">
        <f aca="false">INDEX(Datos_Origen!$H$2:$H$2459,$Z1664)</f>
        <v>6</v>
      </c>
      <c r="AD1664" s="61" t="str">
        <f aca="false">INDEX(Datos_Origen!$D$2:$D$2459,$Z1664)&amp;""</f>
        <v>Mendoza</v>
      </c>
    </row>
    <row r="1665" customFormat="false" ht="15" hidden="false" customHeight="false" outlineLevel="0" collapsed="false">
      <c r="A1665" s="61" t="n">
        <f aca="false">INDEX(Datos_Origen!$A$2:$A$2459,$Z1665)</f>
        <v>1664</v>
      </c>
      <c r="B1665" s="62" t="n">
        <f aca="false">IF(ISNUMBER($AB1665),$AB1665,IF(MID($AB1665,5,1)="-",DATE(VALUE(LEFT($AB1665,4)),VALUE(MID($AB1665,6,2)),VALUE(RIGHT($AB1665,2))),DATE(VALUE(RIGHT($AB1665,4)),VALUE(MID($AB1665,4,2)),VALUE(LEFT($AB1665,2)))))</f>
        <v>45789</v>
      </c>
      <c r="C1665" s="61" t="n">
        <f aca="false">YEAR($B1665)</f>
        <v>2025</v>
      </c>
      <c r="D1665" s="61" t="str">
        <f aca="false">"Q"&amp;ROUNDUP(MONTH($B1665)/3,0)</f>
        <v>Q2</v>
      </c>
      <c r="E1665" s="61" t="n">
        <f aca="false">MONTH($B1665)</f>
        <v>5</v>
      </c>
      <c r="F1665" s="61" t="str">
        <f aca="false">INDEX(Parametros!$I$5:$I$16,$E1665)</f>
        <v>May</v>
      </c>
      <c r="G1665" s="61" t="str">
        <f aca="false">TEXT($C1665,"0000")&amp;"-"&amp;TEXT($E1665,"00")</f>
        <v>2025-05</v>
      </c>
      <c r="H1665" s="61" t="str">
        <f aca="false">INDEX(Parametros!$C$71:$C$91,MATCH(TRIM(INDEX(Datos_Origen!$C$2:$C$2459,$Z1665)),Parametros!$B$71:$B$91,0))</f>
        <v>Cuyo</v>
      </c>
      <c r="I1665" s="61" t="str">
        <f aca="false">IF(TRIM($AD1665)="",INDEX(Parametros!$I$20:$I$24,MATCH($H1665,Parametros!$H$20:$H$24,0)),TRIM($AD1665))</f>
        <v>Mendoza</v>
      </c>
      <c r="J1665" s="61" t="str">
        <f aca="false">INDEX(Parametros!$C$95:$C$106,MATCH(TRIM(INDEX(Datos_Origen!$E$2:$E$2459,$Z1665)),Parametros!$B$95:$B$106,0))</f>
        <v>E-commerce</v>
      </c>
      <c r="K1665" s="61" t="str">
        <f aca="false">INDEX(Parametros!$C$48:$C$67,MATCH(TRIM(INDEX(Datos_Origen!$F$2:$F$2459,$Z1665)),Parametros!$B$48:$B$67,0))</f>
        <v>Computacion</v>
      </c>
      <c r="L1665" s="61" t="str">
        <f aca="false">$K1665&amp;" "&amp;$C1665</f>
        <v>Computacion 2025</v>
      </c>
      <c r="M1665" s="61" t="str">
        <f aca="false">TRIM(INDEX(Datos_Origen!$G$2:$G$2459,$Z1665))</f>
        <v>Monitor 4K 27</v>
      </c>
      <c r="N1665" s="61" t="str">
        <f aca="false">$M1665&amp;" "&amp;$C1665</f>
        <v>Monitor 4K 27 2025</v>
      </c>
      <c r="O1665" s="63" t="n">
        <f aca="false">IF(ISTEXT($AC1665),VALUE($AC1665),$AC1665)</f>
        <v>4</v>
      </c>
      <c r="P1665" s="64" t="n">
        <f aca="false">INDEX(Datos_Origen!$I$2:$I$2459,$Z1665)</f>
        <v>433.15</v>
      </c>
      <c r="Q1665" s="64" t="n">
        <f aca="false">INDEX(Datos_Origen!$J$2:$J$2459,$Z1665)</f>
        <v>280.42</v>
      </c>
      <c r="R1665" s="65" t="n">
        <f aca="false">ROUND($O1665*$P1665,2)</f>
        <v>1732.6</v>
      </c>
      <c r="S1665" s="65" t="n">
        <f aca="false">ROUND($O1665*$Q1665,2)</f>
        <v>1121.68</v>
      </c>
      <c r="T1665" s="65" t="n">
        <f aca="false">ROUND($R1665*SUMIFS(Parametros!$E$28:$E$43,Parametros!$B$28:$B$43,$J1665,Parametros!$C$28:$C$43,$C1665,Parametros!$D$28:$D$43,$D1665),2)</f>
        <v>128.21</v>
      </c>
      <c r="U1665" s="65" t="n">
        <f aca="false">$R1665-$S1665-$T1665</f>
        <v>482.71</v>
      </c>
      <c r="V1665" s="66" t="n">
        <f aca="false">IFERROR($U1665/$R1665,0)</f>
        <v>0.27860440955789</v>
      </c>
      <c r="W1665" s="67" t="str">
        <f aca="false">IF(AND($V1665&gt;=Parametros!$C$8,$R1665&gt;=Parametros!$C$12),"Alta rentabilidad",IF(OR($V1665&lt;Parametros!$C$11,$R1665&lt;Parametros!$C$13),"Revisar","Estandar"))</f>
        <v>Revisar</v>
      </c>
      <c r="X1665" s="67" t="str">
        <f aca="false">IF(AND($J1665="E-commerce",IFERROR($T1665/$R1665,0)&gt;Parametros!$C$14),"Alerta","OK")</f>
        <v>Alerta</v>
      </c>
      <c r="Y1665" s="61" t="str">
        <f aca="false">IF($R1665&gt;=Parametros!$C$12,"Alto",IF($R1665&lt;Parametros!$C$13,"Bajo","Medio"))</f>
        <v>Medio</v>
      </c>
      <c r="Z1665" s="61" t="n">
        <v>479</v>
      </c>
      <c r="AA1665" s="61" t="str">
        <f aca="false">IF(MATCH($A1665,Datos_Origen!$A$2:$A$2459,0)=$Z1665,"OK","REVISAR")</f>
        <v>OK</v>
      </c>
      <c r="AB1665" s="62" t="n">
        <f aca="false">INDEX(Datos_Origen!$B$2:$B$2459,$Z1665)</f>
        <v>45789</v>
      </c>
      <c r="AC1665" s="61" t="n">
        <f aca="false">INDEX(Datos_Origen!$H$2:$H$2459,$Z1665)</f>
        <v>4</v>
      </c>
      <c r="AD1665" s="61" t="str">
        <f aca="false">INDEX(Datos_Origen!$D$2:$D$2459,$Z1665)&amp;""</f>
        <v>Mendoza</v>
      </c>
    </row>
    <row r="1666" customFormat="false" ht="15" hidden="false" customHeight="false" outlineLevel="0" collapsed="false">
      <c r="A1666" s="61" t="n">
        <f aca="false">INDEX(Datos_Origen!$A$2:$A$2459,$Z1666)</f>
        <v>1665</v>
      </c>
      <c r="B1666" s="62" t="n">
        <f aca="false">IF(ISNUMBER($AB1666),$AB1666,IF(MID($AB1666,5,1)="-",DATE(VALUE(LEFT($AB1666,4)),VALUE(MID($AB1666,6,2)),VALUE(RIGHT($AB1666,2))),DATE(VALUE(RIGHT($AB1666,4)),VALUE(MID($AB1666,4,2)),VALUE(LEFT($AB1666,2)))))</f>
        <v>45796</v>
      </c>
      <c r="C1666" s="61" t="n">
        <f aca="false">YEAR($B1666)</f>
        <v>2025</v>
      </c>
      <c r="D1666" s="61" t="str">
        <f aca="false">"Q"&amp;ROUNDUP(MONTH($B1666)/3,0)</f>
        <v>Q2</v>
      </c>
      <c r="E1666" s="61" t="n">
        <f aca="false">MONTH($B1666)</f>
        <v>5</v>
      </c>
      <c r="F1666" s="61" t="str">
        <f aca="false">INDEX(Parametros!$I$5:$I$16,$E1666)</f>
        <v>May</v>
      </c>
      <c r="G1666" s="61" t="str">
        <f aca="false">TEXT($C1666,"0000")&amp;"-"&amp;TEXT($E1666,"00")</f>
        <v>2025-05</v>
      </c>
      <c r="H1666" s="61" t="str">
        <f aca="false">INDEX(Parametros!$C$71:$C$91,MATCH(TRIM(INDEX(Datos_Origen!$C$2:$C$2459,$Z1666)),Parametros!$B$71:$B$91,0))</f>
        <v>Cuyo</v>
      </c>
      <c r="I1666" s="61" t="str">
        <f aca="false">IF(TRIM($AD1666)="",INDEX(Parametros!$I$20:$I$24,MATCH($H1666,Parametros!$H$20:$H$24,0)),TRIM($AD1666))</f>
        <v>Mendoza</v>
      </c>
      <c r="J1666" s="61" t="str">
        <f aca="false">INDEX(Parametros!$C$95:$C$106,MATCH(TRIM(INDEX(Datos_Origen!$E$2:$E$2459,$Z1666)),Parametros!$B$95:$B$106,0))</f>
        <v>Tienda fisica</v>
      </c>
      <c r="K1666" s="61" t="str">
        <f aca="false">INDEX(Parametros!$C$48:$C$67,MATCH(TRIM(INDEX(Datos_Origen!$F$2:$F$2459,$Z1666)),Parametros!$B$48:$B$67,0))</f>
        <v>Computacion</v>
      </c>
      <c r="L1666" s="61" t="str">
        <f aca="false">$K1666&amp;" "&amp;$C1666</f>
        <v>Computacion 2025</v>
      </c>
      <c r="M1666" s="61" t="str">
        <f aca="false">TRIM(INDEX(Datos_Origen!$G$2:$G$2459,$Z1666))</f>
        <v>PC Gamer Ryzen</v>
      </c>
      <c r="N1666" s="61" t="str">
        <f aca="false">$M1666&amp;" "&amp;$C1666</f>
        <v>PC Gamer Ryzen 2025</v>
      </c>
      <c r="O1666" s="63" t="n">
        <f aca="false">IF(ISTEXT($AC1666),VALUE($AC1666),$AC1666)</f>
        <v>7</v>
      </c>
      <c r="P1666" s="64" t="n">
        <f aca="false">INDEX(Datos_Origen!$I$2:$I$2459,$Z1666)</f>
        <v>1588.21</v>
      </c>
      <c r="Q1666" s="64" t="n">
        <f aca="false">INDEX(Datos_Origen!$J$2:$J$2459,$Z1666)</f>
        <v>1155.66</v>
      </c>
      <c r="R1666" s="65" t="n">
        <f aca="false">ROUND($O1666*$P1666,2)</f>
        <v>11117.47</v>
      </c>
      <c r="S1666" s="65" t="n">
        <f aca="false">ROUND($O1666*$Q1666,2)</f>
        <v>8089.62</v>
      </c>
      <c r="T1666" s="65" t="n">
        <f aca="false">ROUND($R1666*SUMIFS(Parametros!$E$28:$E$43,Parametros!$B$28:$B$43,$J1666,Parametros!$C$28:$C$43,$C1666,Parametros!$D$28:$D$43,$D1666),2)</f>
        <v>155.64</v>
      </c>
      <c r="U1666" s="65" t="n">
        <f aca="false">$R1666-$S1666-$T1666</f>
        <v>2872.21</v>
      </c>
      <c r="V1666" s="66" t="n">
        <f aca="false">IFERROR($U1666/$R1666,0)</f>
        <v>0.258351045696548</v>
      </c>
      <c r="W1666" s="67" t="str">
        <f aca="false">IF(AND($V1666&gt;=Parametros!$C$8,$R1666&gt;=Parametros!$C$12),"Alta rentabilidad",IF(OR($V1666&lt;Parametros!$C$11,$R1666&lt;Parametros!$C$13),"Revisar","Estandar"))</f>
        <v>Revisar</v>
      </c>
      <c r="X1666" s="67" t="str">
        <f aca="false">IF(AND($J1666="E-commerce",IFERROR($T1666/$R1666,0)&gt;Parametros!$C$14),"Alerta","OK")</f>
        <v>OK</v>
      </c>
      <c r="Y1666" s="61" t="str">
        <f aca="false">IF($R1666&gt;=Parametros!$C$12,"Alto",IF($R1666&lt;Parametros!$C$13,"Bajo","Medio"))</f>
        <v>Alto</v>
      </c>
      <c r="Z1666" s="61" t="n">
        <v>1022</v>
      </c>
      <c r="AA1666" s="61" t="str">
        <f aca="false">IF(MATCH($A1666,Datos_Origen!$A$2:$A$2459,0)=$Z1666,"OK","REVISAR")</f>
        <v>OK</v>
      </c>
      <c r="AB1666" s="62" t="n">
        <f aca="false">INDEX(Datos_Origen!$B$2:$B$2459,$Z1666)</f>
        <v>45796</v>
      </c>
      <c r="AC1666" s="61" t="n">
        <f aca="false">INDEX(Datos_Origen!$H$2:$H$2459,$Z1666)</f>
        <v>7</v>
      </c>
      <c r="AD1666" s="61" t="str">
        <f aca="false">INDEX(Datos_Origen!$D$2:$D$2459,$Z1666)&amp;""</f>
        <v>Mendoza</v>
      </c>
    </row>
    <row r="1667" customFormat="false" ht="15" hidden="false" customHeight="false" outlineLevel="0" collapsed="false">
      <c r="A1667" s="61" t="n">
        <f aca="false">INDEX(Datos_Origen!$A$2:$A$2459,$Z1667)</f>
        <v>1666</v>
      </c>
      <c r="B1667" s="62" t="n">
        <f aca="false">IF(ISNUMBER($AB1667),$AB1667,IF(MID($AB1667,5,1)="-",DATE(VALUE(LEFT($AB1667,4)),VALUE(MID($AB1667,6,2)),VALUE(RIGHT($AB1667,2))),DATE(VALUE(RIGHT($AB1667,4)),VALUE(MID($AB1667,4,2)),VALUE(LEFT($AB1667,2)))))</f>
        <v>45803</v>
      </c>
      <c r="C1667" s="61" t="n">
        <f aca="false">YEAR($B1667)</f>
        <v>2025</v>
      </c>
      <c r="D1667" s="61" t="str">
        <f aca="false">"Q"&amp;ROUNDUP(MONTH($B1667)/3,0)</f>
        <v>Q2</v>
      </c>
      <c r="E1667" s="61" t="n">
        <f aca="false">MONTH($B1667)</f>
        <v>5</v>
      </c>
      <c r="F1667" s="61" t="str">
        <f aca="false">INDEX(Parametros!$I$5:$I$16,$E1667)</f>
        <v>May</v>
      </c>
      <c r="G1667" s="61" t="str">
        <f aca="false">TEXT($C1667,"0000")&amp;"-"&amp;TEXT($E1667,"00")</f>
        <v>2025-05</v>
      </c>
      <c r="H1667" s="61" t="str">
        <f aca="false">INDEX(Parametros!$C$71:$C$91,MATCH(TRIM(INDEX(Datos_Origen!$C$2:$C$2459,$Z1667)),Parametros!$B$71:$B$91,0))</f>
        <v>Cuyo</v>
      </c>
      <c r="I1667" s="61" t="str">
        <f aca="false">IF(TRIM($AD1667)="",INDEX(Parametros!$I$20:$I$24,MATCH($H1667,Parametros!$H$20:$H$24,0)),TRIM($AD1667))</f>
        <v>Mendoza</v>
      </c>
      <c r="J1667" s="61" t="str">
        <f aca="false">INDEX(Parametros!$C$95:$C$106,MATCH(TRIM(INDEX(Datos_Origen!$E$2:$E$2459,$Z1667)),Parametros!$B$95:$B$106,0))</f>
        <v>E-commerce</v>
      </c>
      <c r="K1667" s="61" t="str">
        <f aca="false">INDEX(Parametros!$C$48:$C$67,MATCH(TRIM(INDEX(Datos_Origen!$F$2:$F$2459,$Z1667)),Parametros!$B$48:$B$67,0))</f>
        <v>Computacion</v>
      </c>
      <c r="L1667" s="61" t="str">
        <f aca="false">$K1667&amp;" "&amp;$C1667</f>
        <v>Computacion 2025</v>
      </c>
      <c r="M1667" s="61" t="str">
        <f aca="false">TRIM(INDEX(Datos_Origen!$G$2:$G$2459,$Z1667))</f>
        <v>PC Gamer Ryzen</v>
      </c>
      <c r="N1667" s="61" t="str">
        <f aca="false">$M1667&amp;" "&amp;$C1667</f>
        <v>PC Gamer Ryzen 2025</v>
      </c>
      <c r="O1667" s="63" t="n">
        <f aca="false">IF(ISTEXT($AC1667),VALUE($AC1667),$AC1667)</f>
        <v>5</v>
      </c>
      <c r="P1667" s="64" t="n">
        <f aca="false">INDEX(Datos_Origen!$I$2:$I$2459,$Z1667)</f>
        <v>1588.21</v>
      </c>
      <c r="Q1667" s="64" t="n">
        <f aca="false">INDEX(Datos_Origen!$J$2:$J$2459,$Z1667)</f>
        <v>1155.66</v>
      </c>
      <c r="R1667" s="65" t="n">
        <f aca="false">ROUND($O1667*$P1667,2)</f>
        <v>7941.05</v>
      </c>
      <c r="S1667" s="65" t="n">
        <f aca="false">ROUND($O1667*$Q1667,2)</f>
        <v>5778.3</v>
      </c>
      <c r="T1667" s="65" t="n">
        <f aca="false">ROUND($R1667*SUMIFS(Parametros!$E$28:$E$43,Parametros!$B$28:$B$43,$J1667,Parametros!$C$28:$C$43,$C1667,Parametros!$D$28:$D$43,$D1667),2)</f>
        <v>587.64</v>
      </c>
      <c r="U1667" s="65" t="n">
        <f aca="false">$R1667-$S1667-$T1667</f>
        <v>1575.11</v>
      </c>
      <c r="V1667" s="66" t="n">
        <f aca="false">IFERROR($U1667/$R1667,0)</f>
        <v>0.198350344098073</v>
      </c>
      <c r="W1667" s="67" t="str">
        <f aca="false">IF(AND($V1667&gt;=Parametros!$C$8,$R1667&gt;=Parametros!$C$12),"Alta rentabilidad",IF(OR($V1667&lt;Parametros!$C$11,$R1667&lt;Parametros!$C$13),"Revisar","Estandar"))</f>
        <v>Revisar</v>
      </c>
      <c r="X1667" s="67" t="str">
        <f aca="false">IF(AND($J1667="E-commerce",IFERROR($T1667/$R1667,0)&gt;Parametros!$C$14),"Alerta","OK")</f>
        <v>Alerta</v>
      </c>
      <c r="Y1667" s="61" t="str">
        <f aca="false">IF($R1667&gt;=Parametros!$C$12,"Alto",IF($R1667&lt;Parametros!$C$13,"Bajo","Medio"))</f>
        <v>Alto</v>
      </c>
      <c r="Z1667" s="61" t="n">
        <v>783</v>
      </c>
      <c r="AA1667" s="61" t="str">
        <f aca="false">IF(MATCH($A1667,Datos_Origen!$A$2:$A$2459,0)=$Z1667,"OK","REVISAR")</f>
        <v>OK</v>
      </c>
      <c r="AB1667" s="62" t="n">
        <f aca="false">INDEX(Datos_Origen!$B$2:$B$2459,$Z1667)</f>
        <v>45803</v>
      </c>
      <c r="AC1667" s="61" t="n">
        <f aca="false">INDEX(Datos_Origen!$H$2:$H$2459,$Z1667)</f>
        <v>5</v>
      </c>
      <c r="AD1667" s="61" t="str">
        <f aca="false">INDEX(Datos_Origen!$D$2:$D$2459,$Z1667)&amp;""</f>
        <v>Mendoza</v>
      </c>
    </row>
    <row r="1668" customFormat="false" ht="15" hidden="false" customHeight="false" outlineLevel="0" collapsed="false">
      <c r="A1668" s="61" t="n">
        <f aca="false">INDEX(Datos_Origen!$A$2:$A$2459,$Z1668)</f>
        <v>1667</v>
      </c>
      <c r="B1668" s="62" t="n">
        <f aca="false">IF(ISNUMBER($AB1668),$AB1668,IF(MID($AB1668,5,1)="-",DATE(VALUE(LEFT($AB1668,4)),VALUE(MID($AB1668,6,2)),VALUE(RIGHT($AB1668,2))),DATE(VALUE(RIGHT($AB1668,4)),VALUE(MID($AB1668,4,2)),VALUE(LEFT($AB1668,2)))))</f>
        <v>45783</v>
      </c>
      <c r="C1668" s="61" t="n">
        <f aca="false">YEAR($B1668)</f>
        <v>2025</v>
      </c>
      <c r="D1668" s="61" t="str">
        <f aca="false">"Q"&amp;ROUNDUP(MONTH($B1668)/3,0)</f>
        <v>Q2</v>
      </c>
      <c r="E1668" s="61" t="n">
        <f aca="false">MONTH($B1668)</f>
        <v>5</v>
      </c>
      <c r="F1668" s="61" t="str">
        <f aca="false">INDEX(Parametros!$I$5:$I$16,$E1668)</f>
        <v>May</v>
      </c>
      <c r="G1668" s="61" t="str">
        <f aca="false">TEXT($C1668,"0000")&amp;"-"&amp;TEXT($E1668,"00")</f>
        <v>2025-05</v>
      </c>
      <c r="H1668" s="61" t="str">
        <f aca="false">INDEX(Parametros!$C$71:$C$91,MATCH(TRIM(INDEX(Datos_Origen!$C$2:$C$2459,$Z1668)),Parametros!$B$71:$B$91,0))</f>
        <v>Cuyo</v>
      </c>
      <c r="I1668" s="61" t="str">
        <f aca="false">IF(TRIM($AD1668)="",INDEX(Parametros!$I$20:$I$24,MATCH($H1668,Parametros!$H$20:$H$24,0)),TRIM($AD1668))</f>
        <v>Mendoza</v>
      </c>
      <c r="J1668" s="61" t="str">
        <f aca="false">INDEX(Parametros!$C$95:$C$106,MATCH(TRIM(INDEX(Datos_Origen!$E$2:$E$2459,$Z1668)),Parametros!$B$95:$B$106,0))</f>
        <v>Tienda fisica</v>
      </c>
      <c r="K1668" s="61" t="str">
        <f aca="false">INDEX(Parametros!$C$48:$C$67,MATCH(TRIM(INDEX(Datos_Origen!$F$2:$F$2459,$Z1668)),Parametros!$B$48:$B$67,0))</f>
        <v>Accesorios</v>
      </c>
      <c r="L1668" s="61" t="str">
        <f aca="false">$K1668&amp;" "&amp;$C1668</f>
        <v>Accesorios 2025</v>
      </c>
      <c r="M1668" s="61" t="str">
        <f aca="false">TRIM(INDEX(Datos_Origen!$G$2:$G$2459,$Z1668))</f>
        <v>Mouse Inalambrico</v>
      </c>
      <c r="N1668" s="61" t="str">
        <f aca="false">$M1668&amp;" "&amp;$C1668</f>
        <v>Mouse Inalambrico 2025</v>
      </c>
      <c r="O1668" s="63" t="n">
        <f aca="false">IF(ISTEXT($AC1668),VALUE($AC1668),$AC1668)</f>
        <v>31</v>
      </c>
      <c r="P1668" s="64" t="n">
        <f aca="false">INDEX(Datos_Origen!$I$2:$I$2459,$Z1668)</f>
        <v>27.82</v>
      </c>
      <c r="Q1668" s="64" t="n">
        <f aca="false">INDEX(Datos_Origen!$J$2:$J$2459,$Z1668)</f>
        <v>13.84</v>
      </c>
      <c r="R1668" s="65" t="n">
        <f aca="false">ROUND($O1668*$P1668,2)</f>
        <v>862.42</v>
      </c>
      <c r="S1668" s="65" t="n">
        <f aca="false">ROUND($O1668*$Q1668,2)</f>
        <v>429.04</v>
      </c>
      <c r="T1668" s="65" t="n">
        <f aca="false">ROUND($R1668*SUMIFS(Parametros!$E$28:$E$43,Parametros!$B$28:$B$43,$J1668,Parametros!$C$28:$C$43,$C1668,Parametros!$D$28:$D$43,$D1668),2)</f>
        <v>12.07</v>
      </c>
      <c r="U1668" s="65" t="n">
        <f aca="false">$R1668-$S1668-$T1668</f>
        <v>421.31</v>
      </c>
      <c r="V1668" s="66" t="n">
        <f aca="false">IFERROR($U1668/$R1668,0)</f>
        <v>0.488520674381392</v>
      </c>
      <c r="W1668" s="67" t="str">
        <f aca="false">IF(AND($V1668&gt;=Parametros!$C$8,$R1668&gt;=Parametros!$C$12),"Alta rentabilidad",IF(OR($V1668&lt;Parametros!$C$11,$R1668&lt;Parametros!$C$13),"Revisar","Estandar"))</f>
        <v>Estandar</v>
      </c>
      <c r="X1668" s="67" t="str">
        <f aca="false">IF(AND($J1668="E-commerce",IFERROR($T1668/$R1668,0)&gt;Parametros!$C$14),"Alerta","OK")</f>
        <v>OK</v>
      </c>
      <c r="Y1668" s="61" t="str">
        <f aca="false">IF($R1668&gt;=Parametros!$C$12,"Alto",IF($R1668&lt;Parametros!$C$13,"Bajo","Medio"))</f>
        <v>Medio</v>
      </c>
      <c r="Z1668" s="61" t="n">
        <v>2039</v>
      </c>
      <c r="AA1668" s="61" t="str">
        <f aca="false">IF(MATCH($A1668,Datos_Origen!$A$2:$A$2459,0)=$Z1668,"OK","REVISAR")</f>
        <v>OK</v>
      </c>
      <c r="AB1668" s="62" t="n">
        <f aca="false">INDEX(Datos_Origen!$B$2:$B$2459,$Z1668)</f>
        <v>45783</v>
      </c>
      <c r="AC1668" s="61" t="n">
        <f aca="false">INDEX(Datos_Origen!$H$2:$H$2459,$Z1668)</f>
        <v>31</v>
      </c>
      <c r="AD1668" s="61" t="str">
        <f aca="false">INDEX(Datos_Origen!$D$2:$D$2459,$Z1668)&amp;""</f>
        <v>Mendoza</v>
      </c>
    </row>
    <row r="1669" customFormat="false" ht="15" hidden="false" customHeight="false" outlineLevel="0" collapsed="false">
      <c r="A1669" s="61" t="n">
        <f aca="false">INDEX(Datos_Origen!$A$2:$A$2459,$Z1669)</f>
        <v>1668</v>
      </c>
      <c r="B1669" s="62" t="n">
        <f aca="false">IF(ISNUMBER($AB1669),$AB1669,IF(MID($AB1669,5,1)="-",DATE(VALUE(LEFT($AB1669,4)),VALUE(MID($AB1669,6,2)),VALUE(RIGHT($AB1669,2))),DATE(VALUE(RIGHT($AB1669,4)),VALUE(MID($AB1669,4,2)),VALUE(LEFT($AB1669,2)))))</f>
        <v>45790</v>
      </c>
      <c r="C1669" s="61" t="n">
        <f aca="false">YEAR($B1669)</f>
        <v>2025</v>
      </c>
      <c r="D1669" s="61" t="str">
        <f aca="false">"Q"&amp;ROUNDUP(MONTH($B1669)/3,0)</f>
        <v>Q2</v>
      </c>
      <c r="E1669" s="61" t="n">
        <f aca="false">MONTH($B1669)</f>
        <v>5</v>
      </c>
      <c r="F1669" s="61" t="str">
        <f aca="false">INDEX(Parametros!$I$5:$I$16,$E1669)</f>
        <v>May</v>
      </c>
      <c r="G1669" s="61" t="str">
        <f aca="false">TEXT($C1669,"0000")&amp;"-"&amp;TEXT($E1669,"00")</f>
        <v>2025-05</v>
      </c>
      <c r="H1669" s="61" t="str">
        <f aca="false">INDEX(Parametros!$C$71:$C$91,MATCH(TRIM(INDEX(Datos_Origen!$C$2:$C$2459,$Z1669)),Parametros!$B$71:$B$91,0))</f>
        <v>Cuyo</v>
      </c>
      <c r="I1669" s="61" t="str">
        <f aca="false">IF(TRIM($AD1669)="",INDEX(Parametros!$I$20:$I$24,MATCH($H1669,Parametros!$H$20:$H$24,0)),TRIM($AD1669))</f>
        <v>Mendoza</v>
      </c>
      <c r="J1669" s="61" t="str">
        <f aca="false">INDEX(Parametros!$C$95:$C$106,MATCH(TRIM(INDEX(Datos_Origen!$E$2:$E$2459,$Z1669)),Parametros!$B$95:$B$106,0))</f>
        <v>E-commerce</v>
      </c>
      <c r="K1669" s="61" t="str">
        <f aca="false">INDEX(Parametros!$C$48:$C$67,MATCH(TRIM(INDEX(Datos_Origen!$F$2:$F$2459,$Z1669)),Parametros!$B$48:$B$67,0))</f>
        <v>Accesorios</v>
      </c>
      <c r="L1669" s="61" t="str">
        <f aca="false">$K1669&amp;" "&amp;$C1669</f>
        <v>Accesorios 2025</v>
      </c>
      <c r="M1669" s="61" t="str">
        <f aca="false">TRIM(INDEX(Datos_Origen!$G$2:$G$2459,$Z1669))</f>
        <v>Mouse Inalambrico</v>
      </c>
      <c r="N1669" s="61" t="str">
        <f aca="false">$M1669&amp;" "&amp;$C1669</f>
        <v>Mouse Inalambrico 2025</v>
      </c>
      <c r="O1669" s="63" t="n">
        <f aca="false">IF(ISTEXT($AC1669),VALUE($AC1669),$AC1669)</f>
        <v>18</v>
      </c>
      <c r="P1669" s="64" t="n">
        <f aca="false">INDEX(Datos_Origen!$I$2:$I$2459,$Z1669)</f>
        <v>27.82</v>
      </c>
      <c r="Q1669" s="64" t="n">
        <f aca="false">INDEX(Datos_Origen!$J$2:$J$2459,$Z1669)</f>
        <v>13.84</v>
      </c>
      <c r="R1669" s="65" t="n">
        <f aca="false">ROUND($O1669*$P1669,2)</f>
        <v>500.76</v>
      </c>
      <c r="S1669" s="65" t="n">
        <f aca="false">ROUND($O1669*$Q1669,2)</f>
        <v>249.12</v>
      </c>
      <c r="T1669" s="65" t="n">
        <f aca="false">ROUND($R1669*SUMIFS(Parametros!$E$28:$E$43,Parametros!$B$28:$B$43,$J1669,Parametros!$C$28:$C$43,$C1669,Parametros!$D$28:$D$43,$D1669),2)</f>
        <v>37.06</v>
      </c>
      <c r="U1669" s="65" t="n">
        <f aca="false">$R1669-$S1669-$T1669</f>
        <v>214.58</v>
      </c>
      <c r="V1669" s="66" t="n">
        <f aca="false">IFERROR($U1669/$R1669,0)</f>
        <v>0.428508666826424</v>
      </c>
      <c r="W1669" s="67" t="str">
        <f aca="false">IF(AND($V1669&gt;=Parametros!$C$8,$R1669&gt;=Parametros!$C$12),"Alta rentabilidad",IF(OR($V1669&lt;Parametros!$C$11,$R1669&lt;Parametros!$C$13),"Revisar","Estandar"))</f>
        <v>Estandar</v>
      </c>
      <c r="X1669" s="67" t="str">
        <f aca="false">IF(AND($J1669="E-commerce",IFERROR($T1669/$R1669,0)&gt;Parametros!$C$14),"Alerta","OK")</f>
        <v>Alerta</v>
      </c>
      <c r="Y1669" s="61" t="str">
        <f aca="false">IF($R1669&gt;=Parametros!$C$12,"Alto",IF($R1669&lt;Parametros!$C$13,"Bajo","Medio"))</f>
        <v>Medio</v>
      </c>
      <c r="Z1669" s="61" t="n">
        <v>2251</v>
      </c>
      <c r="AA1669" s="61" t="str">
        <f aca="false">IF(MATCH($A1669,Datos_Origen!$A$2:$A$2459,0)=$Z1669,"OK","REVISAR")</f>
        <v>OK</v>
      </c>
      <c r="AB1669" s="62" t="n">
        <f aca="false">INDEX(Datos_Origen!$B$2:$B$2459,$Z1669)</f>
        <v>45790</v>
      </c>
      <c r="AC1669" s="61" t="n">
        <f aca="false">INDEX(Datos_Origen!$H$2:$H$2459,$Z1669)</f>
        <v>18</v>
      </c>
      <c r="AD1669" s="61" t="str">
        <f aca="false">INDEX(Datos_Origen!$D$2:$D$2459,$Z1669)&amp;""</f>
        <v/>
      </c>
    </row>
    <row r="1670" customFormat="false" ht="15" hidden="false" customHeight="false" outlineLevel="0" collapsed="false">
      <c r="A1670" s="61" t="n">
        <f aca="false">INDEX(Datos_Origen!$A$2:$A$2459,$Z1670)</f>
        <v>1669</v>
      </c>
      <c r="B1670" s="62" t="n">
        <f aca="false">IF(ISNUMBER($AB1670),$AB1670,IF(MID($AB1670,5,1)="-",DATE(VALUE(LEFT($AB1670,4)),VALUE(MID($AB1670,6,2)),VALUE(RIGHT($AB1670,2))),DATE(VALUE(RIGHT($AB1670,4)),VALUE(MID($AB1670,4,2)),VALUE(LEFT($AB1670,2)))))</f>
        <v>45797</v>
      </c>
      <c r="C1670" s="61" t="n">
        <f aca="false">YEAR($B1670)</f>
        <v>2025</v>
      </c>
      <c r="D1670" s="61" t="str">
        <f aca="false">"Q"&amp;ROUNDUP(MONTH($B1670)/3,0)</f>
        <v>Q2</v>
      </c>
      <c r="E1670" s="61" t="n">
        <f aca="false">MONTH($B1670)</f>
        <v>5</v>
      </c>
      <c r="F1670" s="61" t="str">
        <f aca="false">INDEX(Parametros!$I$5:$I$16,$E1670)</f>
        <v>May</v>
      </c>
      <c r="G1670" s="61" t="str">
        <f aca="false">TEXT($C1670,"0000")&amp;"-"&amp;TEXT($E1670,"00")</f>
        <v>2025-05</v>
      </c>
      <c r="H1670" s="61" t="str">
        <f aca="false">INDEX(Parametros!$C$71:$C$91,MATCH(TRIM(INDEX(Datos_Origen!$C$2:$C$2459,$Z1670)),Parametros!$B$71:$B$91,0))</f>
        <v>Cuyo</v>
      </c>
      <c r="I1670" s="61" t="str">
        <f aca="false">IF(TRIM($AD1670)="",INDEX(Parametros!$I$20:$I$24,MATCH($H1670,Parametros!$H$20:$H$24,0)),TRIM($AD1670))</f>
        <v>Mendoza</v>
      </c>
      <c r="J1670" s="61" t="str">
        <f aca="false">INDEX(Parametros!$C$95:$C$106,MATCH(TRIM(INDEX(Datos_Origen!$E$2:$E$2459,$Z1670)),Parametros!$B$95:$B$106,0))</f>
        <v>Tienda fisica</v>
      </c>
      <c r="K1670" s="61" t="str">
        <f aca="false">INDEX(Parametros!$C$48:$C$67,MATCH(TRIM(INDEX(Datos_Origen!$F$2:$F$2459,$Z1670)),Parametros!$B$48:$B$67,0))</f>
        <v>Accesorios</v>
      </c>
      <c r="L1670" s="61" t="str">
        <f aca="false">$K1670&amp;" "&amp;$C1670</f>
        <v>Accesorios 2025</v>
      </c>
      <c r="M1670" s="61" t="str">
        <f aca="false">TRIM(INDEX(Datos_Origen!$G$2:$G$2459,$Z1670))</f>
        <v>Teclado Mecanico</v>
      </c>
      <c r="N1670" s="61" t="str">
        <f aca="false">$M1670&amp;" "&amp;$C1670</f>
        <v>Teclado Mecanico 2025</v>
      </c>
      <c r="O1670" s="63" t="n">
        <f aca="false">IF(ISTEXT($AC1670),VALUE($AC1670),$AC1670)</f>
        <v>24</v>
      </c>
      <c r="P1670" s="64" t="n">
        <f aca="false">INDEX(Datos_Origen!$I$2:$I$2459,$Z1670)</f>
        <v>94.39</v>
      </c>
      <c r="Q1670" s="64" t="n">
        <f aca="false">INDEX(Datos_Origen!$J$2:$J$2459,$Z1670)</f>
        <v>49.41</v>
      </c>
      <c r="R1670" s="65" t="n">
        <f aca="false">ROUND($O1670*$P1670,2)</f>
        <v>2265.36</v>
      </c>
      <c r="S1670" s="65" t="n">
        <f aca="false">ROUND($O1670*$Q1670,2)</f>
        <v>1185.84</v>
      </c>
      <c r="T1670" s="65" t="n">
        <f aca="false">ROUND($R1670*SUMIFS(Parametros!$E$28:$E$43,Parametros!$B$28:$B$43,$J1670,Parametros!$C$28:$C$43,$C1670,Parametros!$D$28:$D$43,$D1670),2)</f>
        <v>31.72</v>
      </c>
      <c r="U1670" s="65" t="n">
        <f aca="false">$R1670-$S1670-$T1670</f>
        <v>1047.8</v>
      </c>
      <c r="V1670" s="66" t="n">
        <f aca="false">IFERROR($U1670/$R1670,0)</f>
        <v>0.462531341596921</v>
      </c>
      <c r="W1670" s="67" t="str">
        <f aca="false">IF(AND($V1670&gt;=Parametros!$C$8,$R1670&gt;=Parametros!$C$12),"Alta rentabilidad",IF(OR($V1670&lt;Parametros!$C$11,$R1670&lt;Parametros!$C$13),"Revisar","Estandar"))</f>
        <v>Estandar</v>
      </c>
      <c r="X1670" s="67" t="str">
        <f aca="false">IF(AND($J1670="E-commerce",IFERROR($T1670/$R1670,0)&gt;Parametros!$C$14),"Alerta","OK")</f>
        <v>OK</v>
      </c>
      <c r="Y1670" s="61" t="str">
        <f aca="false">IF($R1670&gt;=Parametros!$C$12,"Alto",IF($R1670&lt;Parametros!$C$13,"Bajo","Medio"))</f>
        <v>Medio</v>
      </c>
      <c r="Z1670" s="61" t="n">
        <v>1195</v>
      </c>
      <c r="AA1670" s="61" t="str">
        <f aca="false">IF(MATCH($A1670,Datos_Origen!$A$2:$A$2459,0)=$Z1670,"OK","REVISAR")</f>
        <v>OK</v>
      </c>
      <c r="AB1670" s="61" t="str">
        <f aca="false">INDEX(Datos_Origen!$B$2:$B$2459,$Z1670)</f>
        <v>20/05/2025</v>
      </c>
      <c r="AC1670" s="61" t="n">
        <f aca="false">INDEX(Datos_Origen!$H$2:$H$2459,$Z1670)</f>
        <v>24</v>
      </c>
      <c r="AD1670" s="61" t="str">
        <f aca="false">INDEX(Datos_Origen!$D$2:$D$2459,$Z1670)&amp;""</f>
        <v>Mendoza</v>
      </c>
    </row>
    <row r="1671" customFormat="false" ht="15" hidden="false" customHeight="false" outlineLevel="0" collapsed="false">
      <c r="A1671" s="61" t="n">
        <f aca="false">INDEX(Datos_Origen!$A$2:$A$2459,$Z1671)</f>
        <v>1670</v>
      </c>
      <c r="B1671" s="62" t="n">
        <f aca="false">IF(ISNUMBER($AB1671),$AB1671,IF(MID($AB1671,5,1)="-",DATE(VALUE(LEFT($AB1671,4)),VALUE(MID($AB1671,6,2)),VALUE(RIGHT($AB1671,2))),DATE(VALUE(RIGHT($AB1671,4)),VALUE(MID($AB1671,4,2)),VALUE(LEFT($AB1671,2)))))</f>
        <v>45804</v>
      </c>
      <c r="C1671" s="61" t="n">
        <f aca="false">YEAR($B1671)</f>
        <v>2025</v>
      </c>
      <c r="D1671" s="61" t="str">
        <f aca="false">"Q"&amp;ROUNDUP(MONTH($B1671)/3,0)</f>
        <v>Q2</v>
      </c>
      <c r="E1671" s="61" t="n">
        <f aca="false">MONTH($B1671)</f>
        <v>5</v>
      </c>
      <c r="F1671" s="61" t="str">
        <f aca="false">INDEX(Parametros!$I$5:$I$16,$E1671)</f>
        <v>May</v>
      </c>
      <c r="G1671" s="61" t="str">
        <f aca="false">TEXT($C1671,"0000")&amp;"-"&amp;TEXT($E1671,"00")</f>
        <v>2025-05</v>
      </c>
      <c r="H1671" s="61" t="str">
        <f aca="false">INDEX(Parametros!$C$71:$C$91,MATCH(TRIM(INDEX(Datos_Origen!$C$2:$C$2459,$Z1671)),Parametros!$B$71:$B$91,0))</f>
        <v>Cuyo</v>
      </c>
      <c r="I1671" s="61" t="str">
        <f aca="false">IF(TRIM($AD1671)="",INDEX(Parametros!$I$20:$I$24,MATCH($H1671,Parametros!$H$20:$H$24,0)),TRIM($AD1671))</f>
        <v>Mendoza</v>
      </c>
      <c r="J1671" s="61" t="str">
        <f aca="false">INDEX(Parametros!$C$95:$C$106,MATCH(TRIM(INDEX(Datos_Origen!$E$2:$E$2459,$Z1671)),Parametros!$B$95:$B$106,0))</f>
        <v>E-commerce</v>
      </c>
      <c r="K1671" s="61" t="str">
        <f aca="false">INDEX(Parametros!$C$48:$C$67,MATCH(TRIM(INDEX(Datos_Origen!$F$2:$F$2459,$Z1671)),Parametros!$B$48:$B$67,0))</f>
        <v>Accesorios</v>
      </c>
      <c r="L1671" s="61" t="str">
        <f aca="false">$K1671&amp;" "&amp;$C1671</f>
        <v>Accesorios 2025</v>
      </c>
      <c r="M1671" s="61" t="str">
        <f aca="false">TRIM(INDEX(Datos_Origen!$G$2:$G$2459,$Z1671))</f>
        <v>Teclado Mecanico</v>
      </c>
      <c r="N1671" s="61" t="str">
        <f aca="false">$M1671&amp;" "&amp;$C1671</f>
        <v>Teclado Mecanico 2025</v>
      </c>
      <c r="O1671" s="63" t="n">
        <f aca="false">IF(ISTEXT($AC1671),VALUE($AC1671),$AC1671)</f>
        <v>24</v>
      </c>
      <c r="P1671" s="64" t="n">
        <f aca="false">INDEX(Datos_Origen!$I$2:$I$2459,$Z1671)</f>
        <v>94.39</v>
      </c>
      <c r="Q1671" s="64" t="n">
        <f aca="false">INDEX(Datos_Origen!$J$2:$J$2459,$Z1671)</f>
        <v>49.41</v>
      </c>
      <c r="R1671" s="65" t="n">
        <f aca="false">ROUND($O1671*$P1671,2)</f>
        <v>2265.36</v>
      </c>
      <c r="S1671" s="65" t="n">
        <f aca="false">ROUND($O1671*$Q1671,2)</f>
        <v>1185.84</v>
      </c>
      <c r="T1671" s="65" t="n">
        <f aca="false">ROUND($R1671*SUMIFS(Parametros!$E$28:$E$43,Parametros!$B$28:$B$43,$J1671,Parametros!$C$28:$C$43,$C1671,Parametros!$D$28:$D$43,$D1671),2)</f>
        <v>167.64</v>
      </c>
      <c r="U1671" s="65" t="n">
        <f aca="false">$R1671-$S1671-$T1671</f>
        <v>911.88</v>
      </c>
      <c r="V1671" s="66" t="n">
        <f aca="false">IFERROR($U1671/$R1671,0)</f>
        <v>0.402532047886429</v>
      </c>
      <c r="W1671" s="67" t="str">
        <f aca="false">IF(AND($V1671&gt;=Parametros!$C$8,$R1671&gt;=Parametros!$C$12),"Alta rentabilidad",IF(OR($V1671&lt;Parametros!$C$11,$R1671&lt;Parametros!$C$13),"Revisar","Estandar"))</f>
        <v>Estandar</v>
      </c>
      <c r="X1671" s="67" t="str">
        <f aca="false">IF(AND($J1671="E-commerce",IFERROR($T1671/$R1671,0)&gt;Parametros!$C$14),"Alerta","OK")</f>
        <v>Alerta</v>
      </c>
      <c r="Y1671" s="61" t="str">
        <f aca="false">IF($R1671&gt;=Parametros!$C$12,"Alto",IF($R1671&lt;Parametros!$C$13,"Bajo","Medio"))</f>
        <v>Medio</v>
      </c>
      <c r="Z1671" s="61" t="n">
        <v>1569</v>
      </c>
      <c r="AA1671" s="61" t="str">
        <f aca="false">IF(MATCH($A1671,Datos_Origen!$A$2:$A$2459,0)=$Z1671,"OK","REVISAR")</f>
        <v>OK</v>
      </c>
      <c r="AB1671" s="61" t="str">
        <f aca="false">INDEX(Datos_Origen!$B$2:$B$2459,$Z1671)</f>
        <v>2025-05-27</v>
      </c>
      <c r="AC1671" s="61" t="n">
        <f aca="false">INDEX(Datos_Origen!$H$2:$H$2459,$Z1671)</f>
        <v>24</v>
      </c>
      <c r="AD1671" s="61" t="str">
        <f aca="false">INDEX(Datos_Origen!$D$2:$D$2459,$Z1671)&amp;""</f>
        <v>Mendoza</v>
      </c>
    </row>
    <row r="1672" customFormat="false" ht="15" hidden="false" customHeight="false" outlineLevel="0" collapsed="false">
      <c r="A1672" s="61" t="n">
        <f aca="false">INDEX(Datos_Origen!$A$2:$A$2459,$Z1672)</f>
        <v>1671</v>
      </c>
      <c r="B1672" s="62" t="n">
        <f aca="false">IF(ISNUMBER($AB1672),$AB1672,IF(MID($AB1672,5,1)="-",DATE(VALUE(LEFT($AB1672,4)),VALUE(MID($AB1672,6,2)),VALUE(RIGHT($AB1672,2))),DATE(VALUE(RIGHT($AB1672,4)),VALUE(MID($AB1672,4,2)),VALUE(LEFT($AB1672,2)))))</f>
        <v>45784</v>
      </c>
      <c r="C1672" s="61" t="n">
        <f aca="false">YEAR($B1672)</f>
        <v>2025</v>
      </c>
      <c r="D1672" s="61" t="str">
        <f aca="false">"Q"&amp;ROUNDUP(MONTH($B1672)/3,0)</f>
        <v>Q2</v>
      </c>
      <c r="E1672" s="61" t="n">
        <f aca="false">MONTH($B1672)</f>
        <v>5</v>
      </c>
      <c r="F1672" s="61" t="str">
        <f aca="false">INDEX(Parametros!$I$5:$I$16,$E1672)</f>
        <v>May</v>
      </c>
      <c r="G1672" s="61" t="str">
        <f aca="false">TEXT($C1672,"0000")&amp;"-"&amp;TEXT($E1672,"00")</f>
        <v>2025-05</v>
      </c>
      <c r="H1672" s="61" t="str">
        <f aca="false">INDEX(Parametros!$C$71:$C$91,MATCH(TRIM(INDEX(Datos_Origen!$C$2:$C$2459,$Z1672)),Parametros!$B$71:$B$91,0))</f>
        <v>Cuyo</v>
      </c>
      <c r="I1672" s="61" t="str">
        <f aca="false">IF(TRIM($AD1672)="",INDEX(Parametros!$I$20:$I$24,MATCH($H1672,Parametros!$H$20:$H$24,0)),TRIM($AD1672))</f>
        <v>Mendoza</v>
      </c>
      <c r="J1672" s="61" t="str">
        <f aca="false">INDEX(Parametros!$C$95:$C$106,MATCH(TRIM(INDEX(Datos_Origen!$E$2:$E$2459,$Z1672)),Parametros!$B$95:$B$106,0))</f>
        <v>Tienda fisica</v>
      </c>
      <c r="K1672" s="61" t="str">
        <f aca="false">INDEX(Parametros!$C$48:$C$67,MATCH(TRIM(INDEX(Datos_Origen!$F$2:$F$2459,$Z1672)),Parametros!$B$48:$B$67,0))</f>
        <v>Accesorios</v>
      </c>
      <c r="L1672" s="61" t="str">
        <f aca="false">$K1672&amp;" "&amp;$C1672</f>
        <v>Accesorios 2025</v>
      </c>
      <c r="M1672" s="61" t="str">
        <f aca="false">TRIM(INDEX(Datos_Origen!$G$2:$G$2459,$Z1672))</f>
        <v>Webcam Full HD</v>
      </c>
      <c r="N1672" s="61" t="str">
        <f aca="false">$M1672&amp;" "&amp;$C1672</f>
        <v>Webcam Full HD 2025</v>
      </c>
      <c r="O1672" s="63" t="n">
        <f aca="false">IF(ISTEXT($AC1672),VALUE($AC1672),$AC1672)</f>
        <v>26</v>
      </c>
      <c r="P1672" s="64" t="n">
        <f aca="false">INDEX(Datos_Origen!$I$2:$I$2459,$Z1672)</f>
        <v>64.58</v>
      </c>
      <c r="Q1672" s="64" t="n">
        <f aca="false">INDEX(Datos_Origen!$J$2:$J$2459,$Z1672)</f>
        <v>36.49</v>
      </c>
      <c r="R1672" s="65" t="n">
        <f aca="false">ROUND($O1672*$P1672,2)</f>
        <v>1679.08</v>
      </c>
      <c r="S1672" s="65" t="n">
        <f aca="false">ROUND($O1672*$Q1672,2)</f>
        <v>948.74</v>
      </c>
      <c r="T1672" s="65" t="n">
        <f aca="false">ROUND($R1672*SUMIFS(Parametros!$E$28:$E$43,Parametros!$B$28:$B$43,$J1672,Parametros!$C$28:$C$43,$C1672,Parametros!$D$28:$D$43,$D1672),2)</f>
        <v>23.51</v>
      </c>
      <c r="U1672" s="65" t="n">
        <f aca="false">$R1672-$S1672-$T1672</f>
        <v>706.83</v>
      </c>
      <c r="V1672" s="66" t="n">
        <f aca="false">IFERROR($U1672/$R1672,0)</f>
        <v>0.42096267003359</v>
      </c>
      <c r="W1672" s="67" t="str">
        <f aca="false">IF(AND($V1672&gt;=Parametros!$C$8,$R1672&gt;=Parametros!$C$12),"Alta rentabilidad",IF(OR($V1672&lt;Parametros!$C$11,$R1672&lt;Parametros!$C$13),"Revisar","Estandar"))</f>
        <v>Estandar</v>
      </c>
      <c r="X1672" s="67" t="str">
        <f aca="false">IF(AND($J1672="E-commerce",IFERROR($T1672/$R1672,0)&gt;Parametros!$C$14),"Alerta","OK")</f>
        <v>OK</v>
      </c>
      <c r="Y1672" s="61" t="str">
        <f aca="false">IF($R1672&gt;=Parametros!$C$12,"Alto",IF($R1672&lt;Parametros!$C$13,"Bajo","Medio"))</f>
        <v>Medio</v>
      </c>
      <c r="Z1672" s="61" t="n">
        <v>468</v>
      </c>
      <c r="AA1672" s="61" t="str">
        <f aca="false">IF(MATCH($A1672,Datos_Origen!$A$2:$A$2459,0)=$Z1672,"OK","REVISAR")</f>
        <v>OK</v>
      </c>
      <c r="AB1672" s="61" t="str">
        <f aca="false">INDEX(Datos_Origen!$B$2:$B$2459,$Z1672)</f>
        <v>2025-05-07</v>
      </c>
      <c r="AC1672" s="61" t="n">
        <f aca="false">INDEX(Datos_Origen!$H$2:$H$2459,$Z1672)</f>
        <v>26</v>
      </c>
      <c r="AD1672" s="61" t="str">
        <f aca="false">INDEX(Datos_Origen!$D$2:$D$2459,$Z1672)&amp;""</f>
        <v/>
      </c>
    </row>
    <row r="1673" customFormat="false" ht="15" hidden="false" customHeight="false" outlineLevel="0" collapsed="false">
      <c r="A1673" s="61" t="n">
        <f aca="false">INDEX(Datos_Origen!$A$2:$A$2459,$Z1673)</f>
        <v>1672</v>
      </c>
      <c r="B1673" s="62" t="n">
        <f aca="false">IF(ISNUMBER($AB1673),$AB1673,IF(MID($AB1673,5,1)="-",DATE(VALUE(LEFT($AB1673,4)),VALUE(MID($AB1673,6,2)),VALUE(RIGHT($AB1673,2))),DATE(VALUE(RIGHT($AB1673,4)),VALUE(MID($AB1673,4,2)),VALUE(LEFT($AB1673,2)))))</f>
        <v>45791</v>
      </c>
      <c r="C1673" s="61" t="n">
        <f aca="false">YEAR($B1673)</f>
        <v>2025</v>
      </c>
      <c r="D1673" s="61" t="str">
        <f aca="false">"Q"&amp;ROUNDUP(MONTH($B1673)/3,0)</f>
        <v>Q2</v>
      </c>
      <c r="E1673" s="61" t="n">
        <f aca="false">MONTH($B1673)</f>
        <v>5</v>
      </c>
      <c r="F1673" s="61" t="str">
        <f aca="false">INDEX(Parametros!$I$5:$I$16,$E1673)</f>
        <v>May</v>
      </c>
      <c r="G1673" s="61" t="str">
        <f aca="false">TEXT($C1673,"0000")&amp;"-"&amp;TEXT($E1673,"00")</f>
        <v>2025-05</v>
      </c>
      <c r="H1673" s="61" t="str">
        <f aca="false">INDEX(Parametros!$C$71:$C$91,MATCH(TRIM(INDEX(Datos_Origen!$C$2:$C$2459,$Z1673)),Parametros!$B$71:$B$91,0))</f>
        <v>Cuyo</v>
      </c>
      <c r="I1673" s="61" t="str">
        <f aca="false">IF(TRIM($AD1673)="",INDEX(Parametros!$I$20:$I$24,MATCH($H1673,Parametros!$H$20:$H$24,0)),TRIM($AD1673))</f>
        <v>Mendoza</v>
      </c>
      <c r="J1673" s="61" t="str">
        <f aca="false">INDEX(Parametros!$C$95:$C$106,MATCH(TRIM(INDEX(Datos_Origen!$E$2:$E$2459,$Z1673)),Parametros!$B$95:$B$106,0))</f>
        <v>E-commerce</v>
      </c>
      <c r="K1673" s="61" t="str">
        <f aca="false">INDEX(Parametros!$C$48:$C$67,MATCH(TRIM(INDEX(Datos_Origen!$F$2:$F$2459,$Z1673)),Parametros!$B$48:$B$67,0))</f>
        <v>Accesorios</v>
      </c>
      <c r="L1673" s="61" t="str">
        <f aca="false">$K1673&amp;" "&amp;$C1673</f>
        <v>Accesorios 2025</v>
      </c>
      <c r="M1673" s="61" t="str">
        <f aca="false">TRIM(INDEX(Datos_Origen!$G$2:$G$2459,$Z1673))</f>
        <v>Webcam Full HD</v>
      </c>
      <c r="N1673" s="61" t="str">
        <f aca="false">$M1673&amp;" "&amp;$C1673</f>
        <v>Webcam Full HD 2025</v>
      </c>
      <c r="O1673" s="63" t="n">
        <f aca="false">IF(ISTEXT($AC1673),VALUE($AC1673),$AC1673)</f>
        <v>19</v>
      </c>
      <c r="P1673" s="64" t="n">
        <f aca="false">INDEX(Datos_Origen!$I$2:$I$2459,$Z1673)</f>
        <v>64.58</v>
      </c>
      <c r="Q1673" s="64" t="n">
        <f aca="false">INDEX(Datos_Origen!$J$2:$J$2459,$Z1673)</f>
        <v>36.49</v>
      </c>
      <c r="R1673" s="65" t="n">
        <f aca="false">ROUND($O1673*$P1673,2)</f>
        <v>1227.02</v>
      </c>
      <c r="S1673" s="65" t="n">
        <f aca="false">ROUND($O1673*$Q1673,2)</f>
        <v>693.31</v>
      </c>
      <c r="T1673" s="65" t="n">
        <f aca="false">ROUND($R1673*SUMIFS(Parametros!$E$28:$E$43,Parametros!$B$28:$B$43,$J1673,Parametros!$C$28:$C$43,$C1673,Parametros!$D$28:$D$43,$D1673),2)</f>
        <v>90.8</v>
      </c>
      <c r="U1673" s="65" t="n">
        <f aca="false">$R1673-$S1673-$T1673</f>
        <v>442.91</v>
      </c>
      <c r="V1673" s="66" t="n">
        <f aca="false">IFERROR($U1673/$R1673,0)</f>
        <v>0.360963961467621</v>
      </c>
      <c r="W1673" s="67" t="str">
        <f aca="false">IF(AND($V1673&gt;=Parametros!$C$8,$R1673&gt;=Parametros!$C$12),"Alta rentabilidad",IF(OR($V1673&lt;Parametros!$C$11,$R1673&lt;Parametros!$C$13),"Revisar","Estandar"))</f>
        <v>Estandar</v>
      </c>
      <c r="X1673" s="67" t="str">
        <f aca="false">IF(AND($J1673="E-commerce",IFERROR($T1673/$R1673,0)&gt;Parametros!$C$14),"Alerta","OK")</f>
        <v>Alerta</v>
      </c>
      <c r="Y1673" s="61" t="str">
        <f aca="false">IF($R1673&gt;=Parametros!$C$12,"Alto",IF($R1673&lt;Parametros!$C$13,"Bajo","Medio"))</f>
        <v>Medio</v>
      </c>
      <c r="Z1673" s="61" t="n">
        <v>1518</v>
      </c>
      <c r="AA1673" s="61" t="str">
        <f aca="false">IF(MATCH($A1673,Datos_Origen!$A$2:$A$2459,0)=$Z1673,"OK","REVISAR")</f>
        <v>OK</v>
      </c>
      <c r="AB1673" s="62" t="n">
        <f aca="false">INDEX(Datos_Origen!$B$2:$B$2459,$Z1673)</f>
        <v>45791</v>
      </c>
      <c r="AC1673" s="61" t="n">
        <f aca="false">INDEX(Datos_Origen!$H$2:$H$2459,$Z1673)</f>
        <v>19</v>
      </c>
      <c r="AD1673" s="61" t="str">
        <f aca="false">INDEX(Datos_Origen!$D$2:$D$2459,$Z1673)&amp;""</f>
        <v>Mendoza</v>
      </c>
    </row>
    <row r="1674" customFormat="false" ht="15" hidden="false" customHeight="false" outlineLevel="0" collapsed="false">
      <c r="A1674" s="61" t="n">
        <f aca="false">INDEX(Datos_Origen!$A$2:$A$2459,$Z1674)</f>
        <v>1673</v>
      </c>
      <c r="B1674" s="62" t="n">
        <f aca="false">IF(ISNUMBER($AB1674),$AB1674,IF(MID($AB1674,5,1)="-",DATE(VALUE(LEFT($AB1674,4)),VALUE(MID($AB1674,6,2)),VALUE(RIGHT($AB1674,2))),DATE(VALUE(RIGHT($AB1674,4)),VALUE(MID($AB1674,4,2)),VALUE(LEFT($AB1674,2)))))</f>
        <v>45798</v>
      </c>
      <c r="C1674" s="61" t="n">
        <f aca="false">YEAR($B1674)</f>
        <v>2025</v>
      </c>
      <c r="D1674" s="61" t="str">
        <f aca="false">"Q"&amp;ROUNDUP(MONTH($B1674)/3,0)</f>
        <v>Q2</v>
      </c>
      <c r="E1674" s="61" t="n">
        <f aca="false">MONTH($B1674)</f>
        <v>5</v>
      </c>
      <c r="F1674" s="61" t="str">
        <f aca="false">INDEX(Parametros!$I$5:$I$16,$E1674)</f>
        <v>May</v>
      </c>
      <c r="G1674" s="61" t="str">
        <f aca="false">TEXT($C1674,"0000")&amp;"-"&amp;TEXT($E1674,"00")</f>
        <v>2025-05</v>
      </c>
      <c r="H1674" s="61" t="str">
        <f aca="false">INDEX(Parametros!$C$71:$C$91,MATCH(TRIM(INDEX(Datos_Origen!$C$2:$C$2459,$Z1674)),Parametros!$B$71:$B$91,0))</f>
        <v>Cuyo</v>
      </c>
      <c r="I1674" s="61" t="str">
        <f aca="false">IF(TRIM($AD1674)="",INDEX(Parametros!$I$20:$I$24,MATCH($H1674,Parametros!$H$20:$H$24,0)),TRIM($AD1674))</f>
        <v>Mendoza</v>
      </c>
      <c r="J1674" s="61" t="str">
        <f aca="false">INDEX(Parametros!$C$95:$C$106,MATCH(TRIM(INDEX(Datos_Origen!$E$2:$E$2459,$Z1674)),Parametros!$B$95:$B$106,0))</f>
        <v>Tienda fisica</v>
      </c>
      <c r="K1674" s="61" t="str">
        <f aca="false">INDEX(Parametros!$C$48:$C$67,MATCH(TRIM(INDEX(Datos_Origen!$F$2:$F$2459,$Z1674)),Parametros!$B$48:$B$67,0))</f>
        <v>Audio</v>
      </c>
      <c r="L1674" s="61" t="str">
        <f aca="false">$K1674&amp;" "&amp;$C1674</f>
        <v>Audio 2025</v>
      </c>
      <c r="M1674" s="61" t="str">
        <f aca="false">TRIM(INDEX(Datos_Origen!$G$2:$G$2459,$Z1674))</f>
        <v>Auriculares BT Pro</v>
      </c>
      <c r="N1674" s="61" t="str">
        <f aca="false">$M1674&amp;" "&amp;$C1674</f>
        <v>Auriculares BT Pro 2025</v>
      </c>
      <c r="O1674" s="63" t="n">
        <f aca="false">IF(ISTEXT($AC1674),VALUE($AC1674),$AC1674)</f>
        <v>15</v>
      </c>
      <c r="P1674" s="64" t="n">
        <f aca="false">INDEX(Datos_Origen!$I$2:$I$2459,$Z1674)</f>
        <v>119.23</v>
      </c>
      <c r="Q1674" s="64" t="n">
        <f aca="false">INDEX(Datos_Origen!$J$2:$J$2459,$Z1674)</f>
        <v>65.51</v>
      </c>
      <c r="R1674" s="65" t="n">
        <f aca="false">ROUND($O1674*$P1674,2)</f>
        <v>1788.45</v>
      </c>
      <c r="S1674" s="65" t="n">
        <f aca="false">ROUND($O1674*$Q1674,2)</f>
        <v>982.65</v>
      </c>
      <c r="T1674" s="65" t="n">
        <f aca="false">ROUND($R1674*SUMIFS(Parametros!$E$28:$E$43,Parametros!$B$28:$B$43,$J1674,Parametros!$C$28:$C$43,$C1674,Parametros!$D$28:$D$43,$D1674),2)</f>
        <v>25.04</v>
      </c>
      <c r="U1674" s="65" t="n">
        <f aca="false">$R1674-$S1674-$T1674</f>
        <v>780.76</v>
      </c>
      <c r="V1674" s="66" t="n">
        <f aca="false">IFERROR($U1674/$R1674,0)</f>
        <v>0.436556794990075</v>
      </c>
      <c r="W1674" s="67" t="str">
        <f aca="false">IF(AND($V1674&gt;=Parametros!$C$8,$R1674&gt;=Parametros!$C$12),"Alta rentabilidad",IF(OR($V1674&lt;Parametros!$C$11,$R1674&lt;Parametros!$C$13),"Revisar","Estandar"))</f>
        <v>Estandar</v>
      </c>
      <c r="X1674" s="67" t="str">
        <f aca="false">IF(AND($J1674="E-commerce",IFERROR($T1674/$R1674,0)&gt;Parametros!$C$14),"Alerta","OK")</f>
        <v>OK</v>
      </c>
      <c r="Y1674" s="61" t="str">
        <f aca="false">IF($R1674&gt;=Parametros!$C$12,"Alto",IF($R1674&lt;Parametros!$C$13,"Bajo","Medio"))</f>
        <v>Medio</v>
      </c>
      <c r="Z1674" s="61" t="n">
        <v>1548</v>
      </c>
      <c r="AA1674" s="61" t="str">
        <f aca="false">IF(MATCH($A1674,Datos_Origen!$A$2:$A$2459,0)=$Z1674,"OK","REVISAR")</f>
        <v>OK</v>
      </c>
      <c r="AB1674" s="62" t="n">
        <f aca="false">INDEX(Datos_Origen!$B$2:$B$2459,$Z1674)</f>
        <v>45798</v>
      </c>
      <c r="AC1674" s="61" t="n">
        <f aca="false">INDEX(Datos_Origen!$H$2:$H$2459,$Z1674)</f>
        <v>15</v>
      </c>
      <c r="AD1674" s="61" t="str">
        <f aca="false">INDEX(Datos_Origen!$D$2:$D$2459,$Z1674)&amp;""</f>
        <v>Mendoza</v>
      </c>
    </row>
    <row r="1675" customFormat="false" ht="15" hidden="false" customHeight="false" outlineLevel="0" collapsed="false">
      <c r="A1675" s="61" t="n">
        <f aca="false">INDEX(Datos_Origen!$A$2:$A$2459,$Z1675)</f>
        <v>1674</v>
      </c>
      <c r="B1675" s="62" t="n">
        <f aca="false">IF(ISNUMBER($AB1675),$AB1675,IF(MID($AB1675,5,1)="-",DATE(VALUE(LEFT($AB1675,4)),VALUE(MID($AB1675,6,2)),VALUE(RIGHT($AB1675,2))),DATE(VALUE(RIGHT($AB1675,4)),VALUE(MID($AB1675,4,2)),VALUE(LEFT($AB1675,2)))))</f>
        <v>45778</v>
      </c>
      <c r="C1675" s="61" t="n">
        <f aca="false">YEAR($B1675)</f>
        <v>2025</v>
      </c>
      <c r="D1675" s="61" t="str">
        <f aca="false">"Q"&amp;ROUNDUP(MONTH($B1675)/3,0)</f>
        <v>Q2</v>
      </c>
      <c r="E1675" s="61" t="n">
        <f aca="false">MONTH($B1675)</f>
        <v>5</v>
      </c>
      <c r="F1675" s="61" t="str">
        <f aca="false">INDEX(Parametros!$I$5:$I$16,$E1675)</f>
        <v>May</v>
      </c>
      <c r="G1675" s="61" t="str">
        <f aca="false">TEXT($C1675,"0000")&amp;"-"&amp;TEXT($E1675,"00")</f>
        <v>2025-05</v>
      </c>
      <c r="H1675" s="61" t="str">
        <f aca="false">INDEX(Parametros!$C$71:$C$91,MATCH(TRIM(INDEX(Datos_Origen!$C$2:$C$2459,$Z1675)),Parametros!$B$71:$B$91,0))</f>
        <v>Cuyo</v>
      </c>
      <c r="I1675" s="61" t="str">
        <f aca="false">IF(TRIM($AD1675)="",INDEX(Parametros!$I$20:$I$24,MATCH($H1675,Parametros!$H$20:$H$24,0)),TRIM($AD1675))</f>
        <v>Mendoza</v>
      </c>
      <c r="J1675" s="61" t="str">
        <f aca="false">INDEX(Parametros!$C$95:$C$106,MATCH(TRIM(INDEX(Datos_Origen!$E$2:$E$2459,$Z1675)),Parametros!$B$95:$B$106,0))</f>
        <v>E-commerce</v>
      </c>
      <c r="K1675" s="61" t="str">
        <f aca="false">INDEX(Parametros!$C$48:$C$67,MATCH(TRIM(INDEX(Datos_Origen!$F$2:$F$2459,$Z1675)),Parametros!$B$48:$B$67,0))</f>
        <v>Audio</v>
      </c>
      <c r="L1675" s="61" t="str">
        <f aca="false">$K1675&amp;" "&amp;$C1675</f>
        <v>Audio 2025</v>
      </c>
      <c r="M1675" s="61" t="str">
        <f aca="false">TRIM(INDEX(Datos_Origen!$G$2:$G$2459,$Z1675))</f>
        <v>Auriculares BT Pro</v>
      </c>
      <c r="N1675" s="61" t="str">
        <f aca="false">$M1675&amp;" "&amp;$C1675</f>
        <v>Auriculares BT Pro 2025</v>
      </c>
      <c r="O1675" s="63" t="n">
        <f aca="false">IF(ISTEXT($AC1675),VALUE($AC1675),$AC1675)</f>
        <v>10</v>
      </c>
      <c r="P1675" s="64" t="n">
        <f aca="false">INDEX(Datos_Origen!$I$2:$I$2459,$Z1675)</f>
        <v>119.23</v>
      </c>
      <c r="Q1675" s="64" t="n">
        <f aca="false">INDEX(Datos_Origen!$J$2:$J$2459,$Z1675)</f>
        <v>65.51</v>
      </c>
      <c r="R1675" s="65" t="n">
        <f aca="false">ROUND($O1675*$P1675,2)</f>
        <v>1192.3</v>
      </c>
      <c r="S1675" s="65" t="n">
        <f aca="false">ROUND($O1675*$Q1675,2)</f>
        <v>655.1</v>
      </c>
      <c r="T1675" s="65" t="n">
        <f aca="false">ROUND($R1675*SUMIFS(Parametros!$E$28:$E$43,Parametros!$B$28:$B$43,$J1675,Parametros!$C$28:$C$43,$C1675,Parametros!$D$28:$D$43,$D1675),2)</f>
        <v>88.23</v>
      </c>
      <c r="U1675" s="65" t="n">
        <f aca="false">$R1675-$S1675-$T1675</f>
        <v>448.97</v>
      </c>
      <c r="V1675" s="66" t="n">
        <f aca="false">IFERROR($U1675/$R1675,0)</f>
        <v>0.37655791327686</v>
      </c>
      <c r="W1675" s="67" t="str">
        <f aca="false">IF(AND($V1675&gt;=Parametros!$C$8,$R1675&gt;=Parametros!$C$12),"Alta rentabilidad",IF(OR($V1675&lt;Parametros!$C$11,$R1675&lt;Parametros!$C$13),"Revisar","Estandar"))</f>
        <v>Estandar</v>
      </c>
      <c r="X1675" s="67" t="str">
        <f aca="false">IF(AND($J1675="E-commerce",IFERROR($T1675/$R1675,0)&gt;Parametros!$C$14),"Alerta","OK")</f>
        <v>Alerta</v>
      </c>
      <c r="Y1675" s="61" t="str">
        <f aca="false">IF($R1675&gt;=Parametros!$C$12,"Alto",IF($R1675&lt;Parametros!$C$13,"Bajo","Medio"))</f>
        <v>Medio</v>
      </c>
      <c r="Z1675" s="61" t="n">
        <v>99</v>
      </c>
      <c r="AA1675" s="61" t="str">
        <f aca="false">IF(MATCH($A1675,Datos_Origen!$A$2:$A$2459,0)=$Z1675,"OK","REVISAR")</f>
        <v>OK</v>
      </c>
      <c r="AB1675" s="61" t="str">
        <f aca="false">INDEX(Datos_Origen!$B$2:$B$2459,$Z1675)</f>
        <v>2025-05-01</v>
      </c>
      <c r="AC1675" s="61" t="n">
        <f aca="false">INDEX(Datos_Origen!$H$2:$H$2459,$Z1675)</f>
        <v>10</v>
      </c>
      <c r="AD1675" s="61" t="str">
        <f aca="false">INDEX(Datos_Origen!$D$2:$D$2459,$Z1675)&amp;""</f>
        <v>Mendoza</v>
      </c>
    </row>
    <row r="1676" customFormat="false" ht="15" hidden="false" customHeight="false" outlineLevel="0" collapsed="false">
      <c r="A1676" s="61" t="n">
        <f aca="false">INDEX(Datos_Origen!$A$2:$A$2459,$Z1676)</f>
        <v>1675</v>
      </c>
      <c r="B1676" s="62" t="n">
        <f aca="false">IF(ISNUMBER($AB1676),$AB1676,IF(MID($AB1676,5,1)="-",DATE(VALUE(LEFT($AB1676,4)),VALUE(MID($AB1676,6,2)),VALUE(RIGHT($AB1676,2))),DATE(VALUE(RIGHT($AB1676,4)),VALUE(MID($AB1676,4,2)),VALUE(LEFT($AB1676,2)))))</f>
        <v>45785</v>
      </c>
      <c r="C1676" s="61" t="n">
        <f aca="false">YEAR($B1676)</f>
        <v>2025</v>
      </c>
      <c r="D1676" s="61" t="str">
        <f aca="false">"Q"&amp;ROUNDUP(MONTH($B1676)/3,0)</f>
        <v>Q2</v>
      </c>
      <c r="E1676" s="61" t="n">
        <f aca="false">MONTH($B1676)</f>
        <v>5</v>
      </c>
      <c r="F1676" s="61" t="str">
        <f aca="false">INDEX(Parametros!$I$5:$I$16,$E1676)</f>
        <v>May</v>
      </c>
      <c r="G1676" s="61" t="str">
        <f aca="false">TEXT($C1676,"0000")&amp;"-"&amp;TEXT($E1676,"00")</f>
        <v>2025-05</v>
      </c>
      <c r="H1676" s="61" t="str">
        <f aca="false">INDEX(Parametros!$C$71:$C$91,MATCH(TRIM(INDEX(Datos_Origen!$C$2:$C$2459,$Z1676)),Parametros!$B$71:$B$91,0))</f>
        <v>Cuyo</v>
      </c>
      <c r="I1676" s="61" t="str">
        <f aca="false">IF(TRIM($AD1676)="",INDEX(Parametros!$I$20:$I$24,MATCH($H1676,Parametros!$H$20:$H$24,0)),TRIM($AD1676))</f>
        <v>Mendoza</v>
      </c>
      <c r="J1676" s="61" t="str">
        <f aca="false">INDEX(Parametros!$C$95:$C$106,MATCH(TRIM(INDEX(Datos_Origen!$E$2:$E$2459,$Z1676)),Parametros!$B$95:$B$106,0))</f>
        <v>Tienda fisica</v>
      </c>
      <c r="K1676" s="61" t="str">
        <f aca="false">INDEX(Parametros!$C$48:$C$67,MATCH(TRIM(INDEX(Datos_Origen!$F$2:$F$2459,$Z1676)),Parametros!$B$48:$B$67,0))</f>
        <v>Audio</v>
      </c>
      <c r="L1676" s="61" t="str">
        <f aca="false">$K1676&amp;" "&amp;$C1676</f>
        <v>Audio 2025</v>
      </c>
      <c r="M1676" s="61" t="str">
        <f aca="false">TRIM(INDEX(Datos_Origen!$G$2:$G$2459,$Z1676))</f>
        <v>Parlante Bluetooth</v>
      </c>
      <c r="N1676" s="61" t="str">
        <f aca="false">$M1676&amp;" "&amp;$C1676</f>
        <v>Parlante Bluetooth 2025</v>
      </c>
      <c r="O1676" s="63" t="n">
        <f aca="false">IF(ISTEXT($AC1676),VALUE($AC1676),$AC1676)</f>
        <v>15</v>
      </c>
      <c r="P1676" s="64" t="n">
        <f aca="false">INDEX(Datos_Origen!$I$2:$I$2459,$Z1676)</f>
        <v>84.46</v>
      </c>
      <c r="Q1676" s="64" t="n">
        <f aca="false">INDEX(Datos_Origen!$J$2:$J$2459,$Z1676)</f>
        <v>49.47</v>
      </c>
      <c r="R1676" s="65" t="n">
        <f aca="false">ROUND($O1676*$P1676,2)</f>
        <v>1266.9</v>
      </c>
      <c r="S1676" s="65" t="n">
        <f aca="false">ROUND($O1676*$Q1676,2)</f>
        <v>742.05</v>
      </c>
      <c r="T1676" s="65" t="n">
        <f aca="false">ROUND($R1676*SUMIFS(Parametros!$E$28:$E$43,Parametros!$B$28:$B$43,$J1676,Parametros!$C$28:$C$43,$C1676,Parametros!$D$28:$D$43,$D1676),2)</f>
        <v>17.74</v>
      </c>
      <c r="U1676" s="65" t="n">
        <f aca="false">$R1676-$S1676-$T1676</f>
        <v>507.11</v>
      </c>
      <c r="V1676" s="66" t="n">
        <f aca="false">IFERROR($U1676/$R1676,0)</f>
        <v>0.400276264898571</v>
      </c>
      <c r="W1676" s="67" t="str">
        <f aca="false">IF(AND($V1676&gt;=Parametros!$C$8,$R1676&gt;=Parametros!$C$12),"Alta rentabilidad",IF(OR($V1676&lt;Parametros!$C$11,$R1676&lt;Parametros!$C$13),"Revisar","Estandar"))</f>
        <v>Estandar</v>
      </c>
      <c r="X1676" s="67" t="str">
        <f aca="false">IF(AND($J1676="E-commerce",IFERROR($T1676/$R1676,0)&gt;Parametros!$C$14),"Alerta","OK")</f>
        <v>OK</v>
      </c>
      <c r="Y1676" s="61" t="str">
        <f aca="false">IF($R1676&gt;=Parametros!$C$12,"Alto",IF($R1676&lt;Parametros!$C$13,"Bajo","Medio"))</f>
        <v>Medio</v>
      </c>
      <c r="Z1676" s="61" t="n">
        <v>1407</v>
      </c>
      <c r="AA1676" s="61" t="str">
        <f aca="false">IF(MATCH($A1676,Datos_Origen!$A$2:$A$2459,0)=$Z1676,"OK","REVISAR")</f>
        <v>OK</v>
      </c>
      <c r="AB1676" s="61" t="str">
        <f aca="false">INDEX(Datos_Origen!$B$2:$B$2459,$Z1676)</f>
        <v>2025-05-08</v>
      </c>
      <c r="AC1676" s="61" t="str">
        <f aca="false">INDEX(Datos_Origen!$H$2:$H$2459,$Z1676)</f>
        <v>15</v>
      </c>
      <c r="AD1676" s="61" t="str">
        <f aca="false">INDEX(Datos_Origen!$D$2:$D$2459,$Z1676)&amp;""</f>
        <v>Mendoza</v>
      </c>
    </row>
    <row r="1677" customFormat="false" ht="15" hidden="false" customHeight="false" outlineLevel="0" collapsed="false">
      <c r="A1677" s="61" t="n">
        <f aca="false">INDEX(Datos_Origen!$A$2:$A$2459,$Z1677)</f>
        <v>1676</v>
      </c>
      <c r="B1677" s="62" t="n">
        <f aca="false">IF(ISNUMBER($AB1677),$AB1677,IF(MID($AB1677,5,1)="-",DATE(VALUE(LEFT($AB1677,4)),VALUE(MID($AB1677,6,2)),VALUE(RIGHT($AB1677,2))),DATE(VALUE(RIGHT($AB1677,4)),VALUE(MID($AB1677,4,2)),VALUE(LEFT($AB1677,2)))))</f>
        <v>45792</v>
      </c>
      <c r="C1677" s="61" t="n">
        <f aca="false">YEAR($B1677)</f>
        <v>2025</v>
      </c>
      <c r="D1677" s="61" t="str">
        <f aca="false">"Q"&amp;ROUNDUP(MONTH($B1677)/3,0)</f>
        <v>Q2</v>
      </c>
      <c r="E1677" s="61" t="n">
        <f aca="false">MONTH($B1677)</f>
        <v>5</v>
      </c>
      <c r="F1677" s="61" t="str">
        <f aca="false">INDEX(Parametros!$I$5:$I$16,$E1677)</f>
        <v>May</v>
      </c>
      <c r="G1677" s="61" t="str">
        <f aca="false">TEXT($C1677,"0000")&amp;"-"&amp;TEXT($E1677,"00")</f>
        <v>2025-05</v>
      </c>
      <c r="H1677" s="61" t="str">
        <f aca="false">INDEX(Parametros!$C$71:$C$91,MATCH(TRIM(INDEX(Datos_Origen!$C$2:$C$2459,$Z1677)),Parametros!$B$71:$B$91,0))</f>
        <v>Cuyo</v>
      </c>
      <c r="I1677" s="61" t="str">
        <f aca="false">IF(TRIM($AD1677)="",INDEX(Parametros!$I$20:$I$24,MATCH($H1677,Parametros!$H$20:$H$24,0)),TRIM($AD1677))</f>
        <v>Mendoza</v>
      </c>
      <c r="J1677" s="61" t="str">
        <f aca="false">INDEX(Parametros!$C$95:$C$106,MATCH(TRIM(INDEX(Datos_Origen!$E$2:$E$2459,$Z1677)),Parametros!$B$95:$B$106,0))</f>
        <v>E-commerce</v>
      </c>
      <c r="K1677" s="61" t="str">
        <f aca="false">INDEX(Parametros!$C$48:$C$67,MATCH(TRIM(INDEX(Datos_Origen!$F$2:$F$2459,$Z1677)),Parametros!$B$48:$B$67,0))</f>
        <v>Audio</v>
      </c>
      <c r="L1677" s="61" t="str">
        <f aca="false">$K1677&amp;" "&amp;$C1677</f>
        <v>Audio 2025</v>
      </c>
      <c r="M1677" s="61" t="str">
        <f aca="false">TRIM(INDEX(Datos_Origen!$G$2:$G$2459,$Z1677))</f>
        <v>Parlante Bluetooth</v>
      </c>
      <c r="N1677" s="61" t="str">
        <f aca="false">$M1677&amp;" "&amp;$C1677</f>
        <v>Parlante Bluetooth 2025</v>
      </c>
      <c r="O1677" s="63" t="n">
        <f aca="false">IF(ISTEXT($AC1677),VALUE($AC1677),$AC1677)</f>
        <v>11</v>
      </c>
      <c r="P1677" s="64" t="n">
        <f aca="false">INDEX(Datos_Origen!$I$2:$I$2459,$Z1677)</f>
        <v>84.46</v>
      </c>
      <c r="Q1677" s="64" t="n">
        <f aca="false">INDEX(Datos_Origen!$J$2:$J$2459,$Z1677)</f>
        <v>49.47</v>
      </c>
      <c r="R1677" s="65" t="n">
        <f aca="false">ROUND($O1677*$P1677,2)</f>
        <v>929.06</v>
      </c>
      <c r="S1677" s="65" t="n">
        <f aca="false">ROUND($O1677*$Q1677,2)</f>
        <v>544.17</v>
      </c>
      <c r="T1677" s="65" t="n">
        <f aca="false">ROUND($R1677*SUMIFS(Parametros!$E$28:$E$43,Parametros!$B$28:$B$43,$J1677,Parametros!$C$28:$C$43,$C1677,Parametros!$D$28:$D$43,$D1677),2)</f>
        <v>68.75</v>
      </c>
      <c r="U1677" s="65" t="n">
        <f aca="false">$R1677-$S1677-$T1677</f>
        <v>316.14</v>
      </c>
      <c r="V1677" s="66" t="n">
        <f aca="false">IFERROR($U1677/$R1677,0)</f>
        <v>0.340279422211698</v>
      </c>
      <c r="W1677" s="67" t="str">
        <f aca="false">IF(AND($V1677&gt;=Parametros!$C$8,$R1677&gt;=Parametros!$C$12),"Alta rentabilidad",IF(OR($V1677&lt;Parametros!$C$11,$R1677&lt;Parametros!$C$13),"Revisar","Estandar"))</f>
        <v>Estandar</v>
      </c>
      <c r="X1677" s="67" t="str">
        <f aca="false">IF(AND($J1677="E-commerce",IFERROR($T1677/$R1677,0)&gt;Parametros!$C$14),"Alerta","OK")</f>
        <v>Alerta</v>
      </c>
      <c r="Y1677" s="61" t="str">
        <f aca="false">IF($R1677&gt;=Parametros!$C$12,"Alto",IF($R1677&lt;Parametros!$C$13,"Bajo","Medio"))</f>
        <v>Medio</v>
      </c>
      <c r="Z1677" s="61" t="n">
        <v>1455</v>
      </c>
      <c r="AA1677" s="61" t="str">
        <f aca="false">IF(MATCH($A1677,Datos_Origen!$A$2:$A$2459,0)=$Z1677,"OK","REVISAR")</f>
        <v>OK</v>
      </c>
      <c r="AB1677" s="61" t="str">
        <f aca="false">INDEX(Datos_Origen!$B$2:$B$2459,$Z1677)</f>
        <v>2025-05-15</v>
      </c>
      <c r="AC1677" s="61" t="n">
        <f aca="false">INDEX(Datos_Origen!$H$2:$H$2459,$Z1677)</f>
        <v>11</v>
      </c>
      <c r="AD1677" s="61" t="str">
        <f aca="false">INDEX(Datos_Origen!$D$2:$D$2459,$Z1677)&amp;""</f>
        <v>Mendoza</v>
      </c>
    </row>
    <row r="1678" customFormat="false" ht="15" hidden="false" customHeight="false" outlineLevel="0" collapsed="false">
      <c r="A1678" s="61" t="n">
        <f aca="false">INDEX(Datos_Origen!$A$2:$A$2459,$Z1678)</f>
        <v>1677</v>
      </c>
      <c r="B1678" s="62" t="n">
        <f aca="false">IF(ISNUMBER($AB1678),$AB1678,IF(MID($AB1678,5,1)="-",DATE(VALUE(LEFT($AB1678,4)),VALUE(MID($AB1678,6,2)),VALUE(RIGHT($AB1678,2))),DATE(VALUE(RIGHT($AB1678,4)),VALUE(MID($AB1678,4,2)),VALUE(LEFT($AB1678,2)))))</f>
        <v>45799</v>
      </c>
      <c r="C1678" s="61" t="n">
        <f aca="false">YEAR($B1678)</f>
        <v>2025</v>
      </c>
      <c r="D1678" s="61" t="str">
        <f aca="false">"Q"&amp;ROUNDUP(MONTH($B1678)/3,0)</f>
        <v>Q2</v>
      </c>
      <c r="E1678" s="61" t="n">
        <f aca="false">MONTH($B1678)</f>
        <v>5</v>
      </c>
      <c r="F1678" s="61" t="str">
        <f aca="false">INDEX(Parametros!$I$5:$I$16,$E1678)</f>
        <v>May</v>
      </c>
      <c r="G1678" s="61" t="str">
        <f aca="false">TEXT($C1678,"0000")&amp;"-"&amp;TEXT($E1678,"00")</f>
        <v>2025-05</v>
      </c>
      <c r="H1678" s="61" t="str">
        <f aca="false">INDEX(Parametros!$C$71:$C$91,MATCH(TRIM(INDEX(Datos_Origen!$C$2:$C$2459,$Z1678)),Parametros!$B$71:$B$91,0))</f>
        <v>Cuyo</v>
      </c>
      <c r="I1678" s="61" t="str">
        <f aca="false">IF(TRIM($AD1678)="",INDEX(Parametros!$I$20:$I$24,MATCH($H1678,Parametros!$H$20:$H$24,0)),TRIM($AD1678))</f>
        <v>Mendoza</v>
      </c>
      <c r="J1678" s="61" t="str">
        <f aca="false">INDEX(Parametros!$C$95:$C$106,MATCH(TRIM(INDEX(Datos_Origen!$E$2:$E$2459,$Z1678)),Parametros!$B$95:$B$106,0))</f>
        <v>Tienda fisica</v>
      </c>
      <c r="K1678" s="61" t="str">
        <f aca="false">INDEX(Parametros!$C$48:$C$67,MATCH(TRIM(INDEX(Datos_Origen!$F$2:$F$2459,$Z1678)),Parametros!$B$48:$B$67,0))</f>
        <v>Almacenamiento</v>
      </c>
      <c r="L1678" s="61" t="str">
        <f aca="false">$K1678&amp;" "&amp;$C1678</f>
        <v>Almacenamiento 2025</v>
      </c>
      <c r="M1678" s="61" t="str">
        <f aca="false">TRIM(INDEX(Datos_Origen!$G$2:$G$2459,$Z1678))</f>
        <v>SSD Externo 1TB</v>
      </c>
      <c r="N1678" s="61" t="str">
        <f aca="false">$M1678&amp;" "&amp;$C1678</f>
        <v>SSD Externo 1TB 2025</v>
      </c>
      <c r="O1678" s="63" t="n">
        <f aca="false">IF(ISTEXT($AC1678),VALUE($AC1678),$AC1678)</f>
        <v>15</v>
      </c>
      <c r="P1678" s="64" t="n">
        <f aca="false">INDEX(Datos_Origen!$I$2:$I$2459,$Z1678)</f>
        <v>129.17</v>
      </c>
      <c r="Q1678" s="64" t="n">
        <f aca="false">INDEX(Datos_Origen!$J$2:$J$2459,$Z1678)</f>
        <v>78.33</v>
      </c>
      <c r="R1678" s="65" t="n">
        <f aca="false">ROUND($O1678*$P1678,2)</f>
        <v>1937.55</v>
      </c>
      <c r="S1678" s="65" t="n">
        <f aca="false">ROUND($O1678*$Q1678,2)</f>
        <v>1174.95</v>
      </c>
      <c r="T1678" s="65" t="n">
        <f aca="false">ROUND($R1678*SUMIFS(Parametros!$E$28:$E$43,Parametros!$B$28:$B$43,$J1678,Parametros!$C$28:$C$43,$C1678,Parametros!$D$28:$D$43,$D1678),2)</f>
        <v>27.13</v>
      </c>
      <c r="U1678" s="65" t="n">
        <f aca="false">$R1678-$S1678-$T1678</f>
        <v>735.47</v>
      </c>
      <c r="V1678" s="66" t="n">
        <f aca="false">IFERROR($U1678/$R1678,0)</f>
        <v>0.379587623545199</v>
      </c>
      <c r="W1678" s="67" t="str">
        <f aca="false">IF(AND($V1678&gt;=Parametros!$C$8,$R1678&gt;=Parametros!$C$12),"Alta rentabilidad",IF(OR($V1678&lt;Parametros!$C$11,$R1678&lt;Parametros!$C$13),"Revisar","Estandar"))</f>
        <v>Estandar</v>
      </c>
      <c r="X1678" s="67" t="str">
        <f aca="false">IF(AND($J1678="E-commerce",IFERROR($T1678/$R1678,0)&gt;Parametros!$C$14),"Alerta","OK")</f>
        <v>OK</v>
      </c>
      <c r="Y1678" s="61" t="str">
        <f aca="false">IF($R1678&gt;=Parametros!$C$12,"Alto",IF($R1678&lt;Parametros!$C$13,"Bajo","Medio"))</f>
        <v>Medio</v>
      </c>
      <c r="Z1678" s="61" t="n">
        <v>602</v>
      </c>
      <c r="AA1678" s="61" t="str">
        <f aca="false">IF(MATCH($A1678,Datos_Origen!$A$2:$A$2459,0)=$Z1678,"OK","REVISAR")</f>
        <v>OK</v>
      </c>
      <c r="AB1678" s="61" t="str">
        <f aca="false">INDEX(Datos_Origen!$B$2:$B$2459,$Z1678)</f>
        <v>22/05/2025</v>
      </c>
      <c r="AC1678" s="61" t="n">
        <f aca="false">INDEX(Datos_Origen!$H$2:$H$2459,$Z1678)</f>
        <v>15</v>
      </c>
      <c r="AD1678" s="61" t="str">
        <f aca="false">INDEX(Datos_Origen!$D$2:$D$2459,$Z1678)&amp;""</f>
        <v>Mendoza</v>
      </c>
    </row>
    <row r="1679" customFormat="false" ht="15" hidden="false" customHeight="false" outlineLevel="0" collapsed="false">
      <c r="A1679" s="61" t="n">
        <f aca="false">INDEX(Datos_Origen!$A$2:$A$2459,$Z1679)</f>
        <v>1678</v>
      </c>
      <c r="B1679" s="62" t="n">
        <f aca="false">IF(ISNUMBER($AB1679),$AB1679,IF(MID($AB1679,5,1)="-",DATE(VALUE(LEFT($AB1679,4)),VALUE(MID($AB1679,6,2)),VALUE(RIGHT($AB1679,2))),DATE(VALUE(RIGHT($AB1679,4)),VALUE(MID($AB1679,4,2)),VALUE(LEFT($AB1679,2)))))</f>
        <v>45779</v>
      </c>
      <c r="C1679" s="61" t="n">
        <f aca="false">YEAR($B1679)</f>
        <v>2025</v>
      </c>
      <c r="D1679" s="61" t="str">
        <f aca="false">"Q"&amp;ROUNDUP(MONTH($B1679)/3,0)</f>
        <v>Q2</v>
      </c>
      <c r="E1679" s="61" t="n">
        <f aca="false">MONTH($B1679)</f>
        <v>5</v>
      </c>
      <c r="F1679" s="61" t="str">
        <f aca="false">INDEX(Parametros!$I$5:$I$16,$E1679)</f>
        <v>May</v>
      </c>
      <c r="G1679" s="61" t="str">
        <f aca="false">TEXT($C1679,"0000")&amp;"-"&amp;TEXT($E1679,"00")</f>
        <v>2025-05</v>
      </c>
      <c r="H1679" s="61" t="str">
        <f aca="false">INDEX(Parametros!$C$71:$C$91,MATCH(TRIM(INDEX(Datos_Origen!$C$2:$C$2459,$Z1679)),Parametros!$B$71:$B$91,0))</f>
        <v>Cuyo</v>
      </c>
      <c r="I1679" s="61" t="str">
        <f aca="false">IF(TRIM($AD1679)="",INDEX(Parametros!$I$20:$I$24,MATCH($H1679,Parametros!$H$20:$H$24,0)),TRIM($AD1679))</f>
        <v>Mendoza</v>
      </c>
      <c r="J1679" s="61" t="str">
        <f aca="false">INDEX(Parametros!$C$95:$C$106,MATCH(TRIM(INDEX(Datos_Origen!$E$2:$E$2459,$Z1679)),Parametros!$B$95:$B$106,0))</f>
        <v>E-commerce</v>
      </c>
      <c r="K1679" s="61" t="str">
        <f aca="false">INDEX(Parametros!$C$48:$C$67,MATCH(TRIM(INDEX(Datos_Origen!$F$2:$F$2459,$Z1679)),Parametros!$B$48:$B$67,0))</f>
        <v>Almacenamiento</v>
      </c>
      <c r="L1679" s="61" t="str">
        <f aca="false">$K1679&amp;" "&amp;$C1679</f>
        <v>Almacenamiento 2025</v>
      </c>
      <c r="M1679" s="61" t="str">
        <f aca="false">TRIM(INDEX(Datos_Origen!$G$2:$G$2459,$Z1679))</f>
        <v>SSD Externo 1TB</v>
      </c>
      <c r="N1679" s="61" t="str">
        <f aca="false">$M1679&amp;" "&amp;$C1679</f>
        <v>SSD Externo 1TB 2025</v>
      </c>
      <c r="O1679" s="63" t="n">
        <f aca="false">IF(ISTEXT($AC1679),VALUE($AC1679),$AC1679)</f>
        <v>11</v>
      </c>
      <c r="P1679" s="64" t="n">
        <f aca="false">INDEX(Datos_Origen!$I$2:$I$2459,$Z1679)</f>
        <v>129.17</v>
      </c>
      <c r="Q1679" s="64" t="n">
        <f aca="false">INDEX(Datos_Origen!$J$2:$J$2459,$Z1679)</f>
        <v>78.33</v>
      </c>
      <c r="R1679" s="65" t="n">
        <f aca="false">ROUND($O1679*$P1679,2)</f>
        <v>1420.87</v>
      </c>
      <c r="S1679" s="65" t="n">
        <f aca="false">ROUND($O1679*$Q1679,2)</f>
        <v>861.63</v>
      </c>
      <c r="T1679" s="65" t="n">
        <f aca="false">ROUND($R1679*SUMIFS(Parametros!$E$28:$E$43,Parametros!$B$28:$B$43,$J1679,Parametros!$C$28:$C$43,$C1679,Parametros!$D$28:$D$43,$D1679),2)</f>
        <v>105.14</v>
      </c>
      <c r="U1679" s="65" t="n">
        <f aca="false">$R1679-$S1679-$T1679</f>
        <v>454.1</v>
      </c>
      <c r="V1679" s="66" t="n">
        <f aca="false">IFERROR($U1679/$R1679,0)</f>
        <v>0.319592925461161</v>
      </c>
      <c r="W1679" s="67" t="str">
        <f aca="false">IF(AND($V1679&gt;=Parametros!$C$8,$R1679&gt;=Parametros!$C$12),"Alta rentabilidad",IF(OR($V1679&lt;Parametros!$C$11,$R1679&lt;Parametros!$C$13),"Revisar","Estandar"))</f>
        <v>Estandar</v>
      </c>
      <c r="X1679" s="67" t="str">
        <f aca="false">IF(AND($J1679="E-commerce",IFERROR($T1679/$R1679,0)&gt;Parametros!$C$14),"Alerta","OK")</f>
        <v>Alerta</v>
      </c>
      <c r="Y1679" s="61" t="str">
        <f aca="false">IF($R1679&gt;=Parametros!$C$12,"Alto",IF($R1679&lt;Parametros!$C$13,"Bajo","Medio"))</f>
        <v>Medio</v>
      </c>
      <c r="Z1679" s="61" t="n">
        <v>414</v>
      </c>
      <c r="AA1679" s="61" t="str">
        <f aca="false">IF(MATCH($A1679,Datos_Origen!$A$2:$A$2459,0)=$Z1679,"OK","REVISAR")</f>
        <v>OK</v>
      </c>
      <c r="AB1679" s="62" t="n">
        <f aca="false">INDEX(Datos_Origen!$B$2:$B$2459,$Z1679)</f>
        <v>45779</v>
      </c>
      <c r="AC1679" s="61" t="n">
        <f aca="false">INDEX(Datos_Origen!$H$2:$H$2459,$Z1679)</f>
        <v>11</v>
      </c>
      <c r="AD1679" s="61" t="str">
        <f aca="false">INDEX(Datos_Origen!$D$2:$D$2459,$Z1679)&amp;""</f>
        <v>Mendoza</v>
      </c>
    </row>
    <row r="1680" customFormat="false" ht="15" hidden="false" customHeight="false" outlineLevel="0" collapsed="false">
      <c r="A1680" s="61" t="n">
        <f aca="false">INDEX(Datos_Origen!$A$2:$A$2459,$Z1680)</f>
        <v>1679</v>
      </c>
      <c r="B1680" s="62" t="n">
        <f aca="false">IF(ISNUMBER($AB1680),$AB1680,IF(MID($AB1680,5,1)="-",DATE(VALUE(LEFT($AB1680,4)),VALUE(MID($AB1680,6,2)),VALUE(RIGHT($AB1680,2))),DATE(VALUE(RIGHT($AB1680,4)),VALUE(MID($AB1680,4,2)),VALUE(LEFT($AB1680,2)))))</f>
        <v>45786</v>
      </c>
      <c r="C1680" s="61" t="n">
        <f aca="false">YEAR($B1680)</f>
        <v>2025</v>
      </c>
      <c r="D1680" s="61" t="str">
        <f aca="false">"Q"&amp;ROUNDUP(MONTH($B1680)/3,0)</f>
        <v>Q2</v>
      </c>
      <c r="E1680" s="61" t="n">
        <f aca="false">MONTH($B1680)</f>
        <v>5</v>
      </c>
      <c r="F1680" s="61" t="str">
        <f aca="false">INDEX(Parametros!$I$5:$I$16,$E1680)</f>
        <v>May</v>
      </c>
      <c r="G1680" s="61" t="str">
        <f aca="false">TEXT($C1680,"0000")&amp;"-"&amp;TEXT($E1680,"00")</f>
        <v>2025-05</v>
      </c>
      <c r="H1680" s="61" t="str">
        <f aca="false">INDEX(Parametros!$C$71:$C$91,MATCH(TRIM(INDEX(Datos_Origen!$C$2:$C$2459,$Z1680)),Parametros!$B$71:$B$91,0))</f>
        <v>Cuyo</v>
      </c>
      <c r="I1680" s="61" t="str">
        <f aca="false">IF(TRIM($AD1680)="",INDEX(Parametros!$I$20:$I$24,MATCH($H1680,Parametros!$H$20:$H$24,0)),TRIM($AD1680))</f>
        <v>Mendoza</v>
      </c>
      <c r="J1680" s="61" t="str">
        <f aca="false">INDEX(Parametros!$C$95:$C$106,MATCH(TRIM(INDEX(Datos_Origen!$E$2:$E$2459,$Z1680)),Parametros!$B$95:$B$106,0))</f>
        <v>Tienda fisica</v>
      </c>
      <c r="K1680" s="61" t="str">
        <f aca="false">INDEX(Parametros!$C$48:$C$67,MATCH(TRIM(INDEX(Datos_Origen!$F$2:$F$2459,$Z1680)),Parametros!$B$48:$B$67,0))</f>
        <v>Almacenamiento</v>
      </c>
      <c r="L1680" s="61" t="str">
        <f aca="false">$K1680&amp;" "&amp;$C1680</f>
        <v>Almacenamiento 2025</v>
      </c>
      <c r="M1680" s="61" t="str">
        <f aca="false">TRIM(INDEX(Datos_Origen!$G$2:$G$2459,$Z1680))</f>
        <v>Pendrive 256GB</v>
      </c>
      <c r="N1680" s="61" t="str">
        <f aca="false">$M1680&amp;" "&amp;$C1680</f>
        <v>Pendrive 256GB 2025</v>
      </c>
      <c r="O1680" s="63" t="n">
        <f aca="false">IF(ISTEXT($AC1680),VALUE($AC1680),$AC1680)</f>
        <v>16</v>
      </c>
      <c r="P1680" s="64" t="n">
        <f aca="false">INDEX(Datos_Origen!$I$2:$I$2459,$Z1680)</f>
        <v>34.78</v>
      </c>
      <c r="Q1680" s="64" t="n">
        <f aca="false">INDEX(Datos_Origen!$J$2:$J$2459,$Z1680)</f>
        <v>18.39</v>
      </c>
      <c r="R1680" s="65" t="n">
        <f aca="false">ROUND($O1680*$P1680,2)</f>
        <v>556.48</v>
      </c>
      <c r="S1680" s="65" t="n">
        <f aca="false">ROUND($O1680*$Q1680,2)</f>
        <v>294.24</v>
      </c>
      <c r="T1680" s="65" t="n">
        <f aca="false">ROUND($R1680*SUMIFS(Parametros!$E$28:$E$43,Parametros!$B$28:$B$43,$J1680,Parametros!$C$28:$C$43,$C1680,Parametros!$D$28:$D$43,$D1680),2)</f>
        <v>7.79</v>
      </c>
      <c r="U1680" s="65" t="n">
        <f aca="false">$R1680-$S1680-$T1680</f>
        <v>254.45</v>
      </c>
      <c r="V1680" s="66" t="n">
        <f aca="false">IFERROR($U1680/$R1680,0)</f>
        <v>0.457249137435308</v>
      </c>
      <c r="W1680" s="67" t="str">
        <f aca="false">IF(AND($V1680&gt;=Parametros!$C$8,$R1680&gt;=Parametros!$C$12),"Alta rentabilidad",IF(OR($V1680&lt;Parametros!$C$11,$R1680&lt;Parametros!$C$13),"Revisar","Estandar"))</f>
        <v>Estandar</v>
      </c>
      <c r="X1680" s="67" t="str">
        <f aca="false">IF(AND($J1680="E-commerce",IFERROR($T1680/$R1680,0)&gt;Parametros!$C$14),"Alerta","OK")</f>
        <v>OK</v>
      </c>
      <c r="Y1680" s="61" t="str">
        <f aca="false">IF($R1680&gt;=Parametros!$C$12,"Alto",IF($R1680&lt;Parametros!$C$13,"Bajo","Medio"))</f>
        <v>Medio</v>
      </c>
      <c r="Z1680" s="61" t="n">
        <v>946</v>
      </c>
      <c r="AA1680" s="61" t="str">
        <f aca="false">IF(MATCH($A1680,Datos_Origen!$A$2:$A$2459,0)=$Z1680,"OK","REVISAR")</f>
        <v>OK</v>
      </c>
      <c r="AB1680" s="62" t="n">
        <f aca="false">INDEX(Datos_Origen!$B$2:$B$2459,$Z1680)</f>
        <v>45786</v>
      </c>
      <c r="AC1680" s="61" t="str">
        <f aca="false">INDEX(Datos_Origen!$H$2:$H$2459,$Z1680)</f>
        <v>16</v>
      </c>
      <c r="AD1680" s="61" t="str">
        <f aca="false">INDEX(Datos_Origen!$D$2:$D$2459,$Z1680)&amp;""</f>
        <v>Mendoza</v>
      </c>
    </row>
    <row r="1681" customFormat="false" ht="15" hidden="false" customHeight="false" outlineLevel="0" collapsed="false">
      <c r="A1681" s="61" t="n">
        <f aca="false">INDEX(Datos_Origen!$A$2:$A$2459,$Z1681)</f>
        <v>1680</v>
      </c>
      <c r="B1681" s="62" t="n">
        <f aca="false">IF(ISNUMBER($AB1681),$AB1681,IF(MID($AB1681,5,1)="-",DATE(VALUE(LEFT($AB1681,4)),VALUE(MID($AB1681,6,2)),VALUE(RIGHT($AB1681,2))),DATE(VALUE(RIGHT($AB1681,4)),VALUE(MID($AB1681,4,2)),VALUE(LEFT($AB1681,2)))))</f>
        <v>45793</v>
      </c>
      <c r="C1681" s="61" t="n">
        <f aca="false">YEAR($B1681)</f>
        <v>2025</v>
      </c>
      <c r="D1681" s="61" t="str">
        <f aca="false">"Q"&amp;ROUNDUP(MONTH($B1681)/3,0)</f>
        <v>Q2</v>
      </c>
      <c r="E1681" s="61" t="n">
        <f aca="false">MONTH($B1681)</f>
        <v>5</v>
      </c>
      <c r="F1681" s="61" t="str">
        <f aca="false">INDEX(Parametros!$I$5:$I$16,$E1681)</f>
        <v>May</v>
      </c>
      <c r="G1681" s="61" t="str">
        <f aca="false">TEXT($C1681,"0000")&amp;"-"&amp;TEXT($E1681,"00")</f>
        <v>2025-05</v>
      </c>
      <c r="H1681" s="61" t="str">
        <f aca="false">INDEX(Parametros!$C$71:$C$91,MATCH(TRIM(INDEX(Datos_Origen!$C$2:$C$2459,$Z1681)),Parametros!$B$71:$B$91,0))</f>
        <v>Cuyo</v>
      </c>
      <c r="I1681" s="61" t="str">
        <f aca="false">IF(TRIM($AD1681)="",INDEX(Parametros!$I$20:$I$24,MATCH($H1681,Parametros!$H$20:$H$24,0)),TRIM($AD1681))</f>
        <v>Mendoza</v>
      </c>
      <c r="J1681" s="61" t="str">
        <f aca="false">INDEX(Parametros!$C$95:$C$106,MATCH(TRIM(INDEX(Datos_Origen!$E$2:$E$2459,$Z1681)),Parametros!$B$95:$B$106,0))</f>
        <v>E-commerce</v>
      </c>
      <c r="K1681" s="61" t="str">
        <f aca="false">INDEX(Parametros!$C$48:$C$67,MATCH(TRIM(INDEX(Datos_Origen!$F$2:$F$2459,$Z1681)),Parametros!$B$48:$B$67,0))</f>
        <v>Almacenamiento</v>
      </c>
      <c r="L1681" s="61" t="str">
        <f aca="false">$K1681&amp;" "&amp;$C1681</f>
        <v>Almacenamiento 2025</v>
      </c>
      <c r="M1681" s="61" t="str">
        <f aca="false">TRIM(INDEX(Datos_Origen!$G$2:$G$2459,$Z1681))</f>
        <v>Pendrive 256GB</v>
      </c>
      <c r="N1681" s="61" t="str">
        <f aca="false">$M1681&amp;" "&amp;$C1681</f>
        <v>Pendrive 256GB 2025</v>
      </c>
      <c r="O1681" s="63" t="n">
        <f aca="false">IF(ISTEXT($AC1681),VALUE($AC1681),$AC1681)</f>
        <v>11</v>
      </c>
      <c r="P1681" s="64" t="n">
        <f aca="false">INDEX(Datos_Origen!$I$2:$I$2459,$Z1681)</f>
        <v>34.78</v>
      </c>
      <c r="Q1681" s="64" t="n">
        <f aca="false">INDEX(Datos_Origen!$J$2:$J$2459,$Z1681)</f>
        <v>18.39</v>
      </c>
      <c r="R1681" s="65" t="n">
        <f aca="false">ROUND($O1681*$P1681,2)</f>
        <v>382.58</v>
      </c>
      <c r="S1681" s="65" t="n">
        <f aca="false">ROUND($O1681*$Q1681,2)</f>
        <v>202.29</v>
      </c>
      <c r="T1681" s="65" t="n">
        <f aca="false">ROUND($R1681*SUMIFS(Parametros!$E$28:$E$43,Parametros!$B$28:$B$43,$J1681,Parametros!$C$28:$C$43,$C1681,Parametros!$D$28:$D$43,$D1681),2)</f>
        <v>28.31</v>
      </c>
      <c r="U1681" s="65" t="n">
        <f aca="false">$R1681-$S1681-$T1681</f>
        <v>151.98</v>
      </c>
      <c r="V1681" s="66" t="n">
        <f aca="false">IFERROR($U1681/$R1681,0)</f>
        <v>0.397250248314078</v>
      </c>
      <c r="W1681" s="67" t="str">
        <f aca="false">IF(AND($V1681&gt;=Parametros!$C$8,$R1681&gt;=Parametros!$C$12),"Alta rentabilidad",IF(OR($V1681&lt;Parametros!$C$11,$R1681&lt;Parametros!$C$13),"Revisar","Estandar"))</f>
        <v>Estandar</v>
      </c>
      <c r="X1681" s="67" t="str">
        <f aca="false">IF(AND($J1681="E-commerce",IFERROR($T1681/$R1681,0)&gt;Parametros!$C$14),"Alerta","OK")</f>
        <v>Alerta</v>
      </c>
      <c r="Y1681" s="61" t="str">
        <f aca="false">IF($R1681&gt;=Parametros!$C$12,"Alto",IF($R1681&lt;Parametros!$C$13,"Bajo","Medio"))</f>
        <v>Medio</v>
      </c>
      <c r="Z1681" s="61" t="n">
        <v>1864</v>
      </c>
      <c r="AA1681" s="61" t="str">
        <f aca="false">IF(MATCH($A1681,Datos_Origen!$A$2:$A$2459,0)=$Z1681,"OK","REVISAR")</f>
        <v>OK</v>
      </c>
      <c r="AB1681" s="62" t="n">
        <f aca="false">INDEX(Datos_Origen!$B$2:$B$2459,$Z1681)</f>
        <v>45793</v>
      </c>
      <c r="AC1681" s="61" t="n">
        <f aca="false">INDEX(Datos_Origen!$H$2:$H$2459,$Z1681)</f>
        <v>11</v>
      </c>
      <c r="AD1681" s="61" t="str">
        <f aca="false">INDEX(Datos_Origen!$D$2:$D$2459,$Z1681)&amp;""</f>
        <v>Mendoza</v>
      </c>
    </row>
    <row r="1682" customFormat="false" ht="15" hidden="false" customHeight="false" outlineLevel="0" collapsed="false">
      <c r="A1682" s="61" t="n">
        <f aca="false">INDEX(Datos_Origen!$A$2:$A$2459,$Z1682)</f>
        <v>1681</v>
      </c>
      <c r="B1682" s="62" t="n">
        <f aca="false">IF(ISNUMBER($AB1682),$AB1682,IF(MID($AB1682,5,1)="-",DATE(VALUE(LEFT($AB1682,4)),VALUE(MID($AB1682,6,2)),VALUE(RIGHT($AB1682,2))),DATE(VALUE(RIGHT($AB1682,4)),VALUE(MID($AB1682,4,2)),VALUE(LEFT($AB1682,2)))))</f>
        <v>45800</v>
      </c>
      <c r="C1682" s="61" t="n">
        <f aca="false">YEAR($B1682)</f>
        <v>2025</v>
      </c>
      <c r="D1682" s="61" t="str">
        <f aca="false">"Q"&amp;ROUNDUP(MONTH($B1682)/3,0)</f>
        <v>Q2</v>
      </c>
      <c r="E1682" s="61" t="n">
        <f aca="false">MONTH($B1682)</f>
        <v>5</v>
      </c>
      <c r="F1682" s="61" t="str">
        <f aca="false">INDEX(Parametros!$I$5:$I$16,$E1682)</f>
        <v>May</v>
      </c>
      <c r="G1682" s="61" t="str">
        <f aca="false">TEXT($C1682,"0000")&amp;"-"&amp;TEXT($E1682,"00")</f>
        <v>2025-05</v>
      </c>
      <c r="H1682" s="61" t="str">
        <f aca="false">INDEX(Parametros!$C$71:$C$91,MATCH(TRIM(INDEX(Datos_Origen!$C$2:$C$2459,$Z1682)),Parametros!$B$71:$B$91,0))</f>
        <v>NOA</v>
      </c>
      <c r="I1682" s="61" t="str">
        <f aca="false">IF(TRIM($AD1682)="",INDEX(Parametros!$I$20:$I$24,MATCH($H1682,Parametros!$H$20:$H$24,0)),TRIM($AD1682))</f>
        <v>Tucuman</v>
      </c>
      <c r="J1682" s="61" t="str">
        <f aca="false">INDEX(Parametros!$C$95:$C$106,MATCH(TRIM(INDEX(Datos_Origen!$E$2:$E$2459,$Z1682)),Parametros!$B$95:$B$106,0))</f>
        <v>Tienda fisica</v>
      </c>
      <c r="K1682" s="61" t="str">
        <f aca="false">INDEX(Parametros!$C$48:$C$67,MATCH(TRIM(INDEX(Datos_Origen!$F$2:$F$2459,$Z1682)),Parametros!$B$48:$B$67,0))</f>
        <v>Computacion</v>
      </c>
      <c r="L1682" s="61" t="str">
        <f aca="false">$K1682&amp;" "&amp;$C1682</f>
        <v>Computacion 2025</v>
      </c>
      <c r="M1682" s="61" t="str">
        <f aca="false">TRIM(INDEX(Datos_Origen!$G$2:$G$2459,$Z1682))</f>
        <v>Laptop Pro 15</v>
      </c>
      <c r="N1682" s="61" t="str">
        <f aca="false">$M1682&amp;" "&amp;$C1682</f>
        <v>Laptop Pro 15 2025</v>
      </c>
      <c r="O1682" s="63" t="n">
        <f aca="false">IF(ISTEXT($AC1682),VALUE($AC1682),$AC1682)</f>
        <v>6</v>
      </c>
      <c r="P1682" s="64" t="n">
        <f aca="false">INDEX(Datos_Origen!$I$2:$I$2459,$Z1682)</f>
        <v>1155.06</v>
      </c>
      <c r="Q1682" s="64" t="n">
        <f aca="false">INDEX(Datos_Origen!$J$2:$J$2459,$Z1682)</f>
        <v>766.32</v>
      </c>
      <c r="R1682" s="65" t="n">
        <f aca="false">ROUND($O1682*$P1682,2)</f>
        <v>6930.36</v>
      </c>
      <c r="S1682" s="65" t="n">
        <f aca="false">ROUND($O1682*$Q1682,2)</f>
        <v>4597.92</v>
      </c>
      <c r="T1682" s="65" t="n">
        <f aca="false">ROUND($R1682*SUMIFS(Parametros!$E$28:$E$43,Parametros!$B$28:$B$43,$J1682,Parametros!$C$28:$C$43,$C1682,Parametros!$D$28:$D$43,$D1682),2)</f>
        <v>97.03</v>
      </c>
      <c r="U1682" s="65" t="n">
        <f aca="false">$R1682-$S1682-$T1682</f>
        <v>2235.41</v>
      </c>
      <c r="V1682" s="66" t="n">
        <f aca="false">IFERROR($U1682/$R1682,0)</f>
        <v>0.32255322955806</v>
      </c>
      <c r="W1682" s="67" t="str">
        <f aca="false">IF(AND($V1682&gt;=Parametros!$C$8,$R1682&gt;=Parametros!$C$12),"Alta rentabilidad",IF(OR($V1682&lt;Parametros!$C$11,$R1682&lt;Parametros!$C$13),"Revisar","Estandar"))</f>
        <v>Estandar</v>
      </c>
      <c r="X1682" s="67" t="str">
        <f aca="false">IF(AND($J1682="E-commerce",IFERROR($T1682/$R1682,0)&gt;Parametros!$C$14),"Alerta","OK")</f>
        <v>OK</v>
      </c>
      <c r="Y1682" s="61" t="str">
        <f aca="false">IF($R1682&gt;=Parametros!$C$12,"Alto",IF($R1682&lt;Parametros!$C$13,"Bajo","Medio"))</f>
        <v>Alto</v>
      </c>
      <c r="Z1682" s="61" t="n">
        <v>1794</v>
      </c>
      <c r="AA1682" s="61" t="str">
        <f aca="false">IF(MATCH($A1682,Datos_Origen!$A$2:$A$2459,0)=$Z1682,"OK","REVISAR")</f>
        <v>OK</v>
      </c>
      <c r="AB1682" s="61" t="str">
        <f aca="false">INDEX(Datos_Origen!$B$2:$B$2459,$Z1682)</f>
        <v>23/05/2025</v>
      </c>
      <c r="AC1682" s="61" t="str">
        <f aca="false">INDEX(Datos_Origen!$H$2:$H$2459,$Z1682)</f>
        <v>6</v>
      </c>
      <c r="AD1682" s="61" t="str">
        <f aca="false">INDEX(Datos_Origen!$D$2:$D$2459,$Z1682)&amp;""</f>
        <v>Tucuman</v>
      </c>
    </row>
    <row r="1683" customFormat="false" ht="15" hidden="false" customHeight="false" outlineLevel="0" collapsed="false">
      <c r="A1683" s="61" t="n">
        <f aca="false">INDEX(Datos_Origen!$A$2:$A$2459,$Z1683)</f>
        <v>1682</v>
      </c>
      <c r="B1683" s="62" t="n">
        <f aca="false">IF(ISNUMBER($AB1683),$AB1683,IF(MID($AB1683,5,1)="-",DATE(VALUE(LEFT($AB1683,4)),VALUE(MID($AB1683,6,2)),VALUE(RIGHT($AB1683,2))),DATE(VALUE(RIGHT($AB1683,4)),VALUE(MID($AB1683,4,2)),VALUE(LEFT($AB1683,2)))))</f>
        <v>45780</v>
      </c>
      <c r="C1683" s="61" t="n">
        <f aca="false">YEAR($B1683)</f>
        <v>2025</v>
      </c>
      <c r="D1683" s="61" t="str">
        <f aca="false">"Q"&amp;ROUNDUP(MONTH($B1683)/3,0)</f>
        <v>Q2</v>
      </c>
      <c r="E1683" s="61" t="n">
        <f aca="false">MONTH($B1683)</f>
        <v>5</v>
      </c>
      <c r="F1683" s="61" t="str">
        <f aca="false">INDEX(Parametros!$I$5:$I$16,$E1683)</f>
        <v>May</v>
      </c>
      <c r="G1683" s="61" t="str">
        <f aca="false">TEXT($C1683,"0000")&amp;"-"&amp;TEXT($E1683,"00")</f>
        <v>2025-05</v>
      </c>
      <c r="H1683" s="61" t="str">
        <f aca="false">INDEX(Parametros!$C$71:$C$91,MATCH(TRIM(INDEX(Datos_Origen!$C$2:$C$2459,$Z1683)),Parametros!$B$71:$B$91,0))</f>
        <v>NOA</v>
      </c>
      <c r="I1683" s="61" t="str">
        <f aca="false">IF(TRIM($AD1683)="",INDEX(Parametros!$I$20:$I$24,MATCH($H1683,Parametros!$H$20:$H$24,0)),TRIM($AD1683))</f>
        <v>Tucuman</v>
      </c>
      <c r="J1683" s="61" t="str">
        <f aca="false">INDEX(Parametros!$C$95:$C$106,MATCH(TRIM(INDEX(Datos_Origen!$E$2:$E$2459,$Z1683)),Parametros!$B$95:$B$106,0))</f>
        <v>E-commerce</v>
      </c>
      <c r="K1683" s="61" t="str">
        <f aca="false">INDEX(Parametros!$C$48:$C$67,MATCH(TRIM(INDEX(Datos_Origen!$F$2:$F$2459,$Z1683)),Parametros!$B$48:$B$67,0))</f>
        <v>Computacion</v>
      </c>
      <c r="L1683" s="61" t="str">
        <f aca="false">$K1683&amp;" "&amp;$C1683</f>
        <v>Computacion 2025</v>
      </c>
      <c r="M1683" s="61" t="str">
        <f aca="false">TRIM(INDEX(Datos_Origen!$G$2:$G$2459,$Z1683))</f>
        <v>Laptop Pro 15</v>
      </c>
      <c r="N1683" s="61" t="str">
        <f aca="false">$M1683&amp;" "&amp;$C1683</f>
        <v>Laptop Pro 15 2025</v>
      </c>
      <c r="O1683" s="63" t="n">
        <f aca="false">IF(ISTEXT($AC1683),VALUE($AC1683),$AC1683)</f>
        <v>4</v>
      </c>
      <c r="P1683" s="64" t="n">
        <f aca="false">INDEX(Datos_Origen!$I$2:$I$2459,$Z1683)</f>
        <v>1155.06</v>
      </c>
      <c r="Q1683" s="64" t="n">
        <f aca="false">INDEX(Datos_Origen!$J$2:$J$2459,$Z1683)</f>
        <v>766.32</v>
      </c>
      <c r="R1683" s="65" t="n">
        <f aca="false">ROUND($O1683*$P1683,2)</f>
        <v>4620.24</v>
      </c>
      <c r="S1683" s="65" t="n">
        <f aca="false">ROUND($O1683*$Q1683,2)</f>
        <v>3065.28</v>
      </c>
      <c r="T1683" s="65" t="n">
        <f aca="false">ROUND($R1683*SUMIFS(Parametros!$E$28:$E$43,Parametros!$B$28:$B$43,$J1683,Parametros!$C$28:$C$43,$C1683,Parametros!$D$28:$D$43,$D1683),2)</f>
        <v>341.9</v>
      </c>
      <c r="U1683" s="65" t="n">
        <f aca="false">$R1683-$S1683-$T1683</f>
        <v>1213.06</v>
      </c>
      <c r="V1683" s="66" t="n">
        <f aca="false">IFERROR($U1683/$R1683,0)</f>
        <v>0.262553460426298</v>
      </c>
      <c r="W1683" s="67" t="str">
        <f aca="false">IF(AND($V1683&gt;=Parametros!$C$8,$R1683&gt;=Parametros!$C$12),"Alta rentabilidad",IF(OR($V1683&lt;Parametros!$C$11,$R1683&lt;Parametros!$C$13),"Revisar","Estandar"))</f>
        <v>Revisar</v>
      </c>
      <c r="X1683" s="67" t="str">
        <f aca="false">IF(AND($J1683="E-commerce",IFERROR($T1683/$R1683,0)&gt;Parametros!$C$14),"Alerta","OK")</f>
        <v>Alerta</v>
      </c>
      <c r="Y1683" s="61" t="str">
        <f aca="false">IF($R1683&gt;=Parametros!$C$12,"Alto",IF($R1683&lt;Parametros!$C$13,"Bajo","Medio"))</f>
        <v>Alto</v>
      </c>
      <c r="Z1683" s="61" t="n">
        <v>222</v>
      </c>
      <c r="AA1683" s="61" t="str">
        <f aca="false">IF(MATCH($A1683,Datos_Origen!$A$2:$A$2459,0)=$Z1683,"OK","REVISAR")</f>
        <v>OK</v>
      </c>
      <c r="AB1683" s="62" t="n">
        <f aca="false">INDEX(Datos_Origen!$B$2:$B$2459,$Z1683)</f>
        <v>45780</v>
      </c>
      <c r="AC1683" s="61" t="n">
        <f aca="false">INDEX(Datos_Origen!$H$2:$H$2459,$Z1683)</f>
        <v>4</v>
      </c>
      <c r="AD1683" s="61" t="str">
        <f aca="false">INDEX(Datos_Origen!$D$2:$D$2459,$Z1683)&amp;""</f>
        <v>Tucuman</v>
      </c>
    </row>
    <row r="1684" customFormat="false" ht="15" hidden="false" customHeight="false" outlineLevel="0" collapsed="false">
      <c r="A1684" s="61" t="n">
        <f aca="false">INDEX(Datos_Origen!$A$2:$A$2459,$Z1684)</f>
        <v>1683</v>
      </c>
      <c r="B1684" s="62" t="n">
        <f aca="false">IF(ISNUMBER($AB1684),$AB1684,IF(MID($AB1684,5,1)="-",DATE(VALUE(LEFT($AB1684,4)),VALUE(MID($AB1684,6,2)),VALUE(RIGHT($AB1684,2))),DATE(VALUE(RIGHT($AB1684,4)),VALUE(MID($AB1684,4,2)),VALUE(LEFT($AB1684,2)))))</f>
        <v>45787</v>
      </c>
      <c r="C1684" s="61" t="n">
        <f aca="false">YEAR($B1684)</f>
        <v>2025</v>
      </c>
      <c r="D1684" s="61" t="str">
        <f aca="false">"Q"&amp;ROUNDUP(MONTH($B1684)/3,0)</f>
        <v>Q2</v>
      </c>
      <c r="E1684" s="61" t="n">
        <f aca="false">MONTH($B1684)</f>
        <v>5</v>
      </c>
      <c r="F1684" s="61" t="str">
        <f aca="false">INDEX(Parametros!$I$5:$I$16,$E1684)</f>
        <v>May</v>
      </c>
      <c r="G1684" s="61" t="str">
        <f aca="false">TEXT($C1684,"0000")&amp;"-"&amp;TEXT($E1684,"00")</f>
        <v>2025-05</v>
      </c>
      <c r="H1684" s="61" t="str">
        <f aca="false">INDEX(Parametros!$C$71:$C$91,MATCH(TRIM(INDEX(Datos_Origen!$C$2:$C$2459,$Z1684)),Parametros!$B$71:$B$91,0))</f>
        <v>NOA</v>
      </c>
      <c r="I1684" s="61" t="str">
        <f aca="false">IF(TRIM($AD1684)="",INDEX(Parametros!$I$20:$I$24,MATCH($H1684,Parametros!$H$20:$H$24,0)),TRIM($AD1684))</f>
        <v>Tucuman</v>
      </c>
      <c r="J1684" s="61" t="str">
        <f aca="false">INDEX(Parametros!$C$95:$C$106,MATCH(TRIM(INDEX(Datos_Origen!$E$2:$E$2459,$Z1684)),Parametros!$B$95:$B$106,0))</f>
        <v>Tienda fisica</v>
      </c>
      <c r="K1684" s="61" t="str">
        <f aca="false">INDEX(Parametros!$C$48:$C$67,MATCH(TRIM(INDEX(Datos_Origen!$F$2:$F$2459,$Z1684)),Parametros!$B$48:$B$67,0))</f>
        <v>Computacion</v>
      </c>
      <c r="L1684" s="61" t="str">
        <f aca="false">$K1684&amp;" "&amp;$C1684</f>
        <v>Computacion 2025</v>
      </c>
      <c r="M1684" s="61" t="str">
        <f aca="false">TRIM(INDEX(Datos_Origen!$G$2:$G$2459,$Z1684))</f>
        <v>Monitor 4K 27</v>
      </c>
      <c r="N1684" s="61" t="str">
        <f aca="false">$M1684&amp;" "&amp;$C1684</f>
        <v>Monitor 4K 27 2025</v>
      </c>
      <c r="O1684" s="63" t="n">
        <f aca="false">IF(ISTEXT($AC1684),VALUE($AC1684),$AC1684)</f>
        <v>6</v>
      </c>
      <c r="P1684" s="64" t="n">
        <f aca="false">INDEX(Datos_Origen!$I$2:$I$2459,$Z1684)</f>
        <v>433.15</v>
      </c>
      <c r="Q1684" s="64" t="n">
        <f aca="false">INDEX(Datos_Origen!$J$2:$J$2459,$Z1684)</f>
        <v>280.42</v>
      </c>
      <c r="R1684" s="65" t="n">
        <f aca="false">ROUND($O1684*$P1684,2)</f>
        <v>2598.9</v>
      </c>
      <c r="S1684" s="65" t="n">
        <f aca="false">ROUND($O1684*$Q1684,2)</f>
        <v>1682.52</v>
      </c>
      <c r="T1684" s="65" t="n">
        <f aca="false">ROUND($R1684*SUMIFS(Parametros!$E$28:$E$43,Parametros!$B$28:$B$43,$J1684,Parametros!$C$28:$C$43,$C1684,Parametros!$D$28:$D$43,$D1684),2)</f>
        <v>36.38</v>
      </c>
      <c r="U1684" s="65" t="n">
        <f aca="false">$R1684-$S1684-$T1684</f>
        <v>880</v>
      </c>
      <c r="V1684" s="66" t="n">
        <f aca="false">IFERROR($U1684/$R1684,0)</f>
        <v>0.338604794336065</v>
      </c>
      <c r="W1684" s="67" t="str">
        <f aca="false">IF(AND($V1684&gt;=Parametros!$C$8,$R1684&gt;=Parametros!$C$12),"Alta rentabilidad",IF(OR($V1684&lt;Parametros!$C$11,$R1684&lt;Parametros!$C$13),"Revisar","Estandar"))</f>
        <v>Estandar</v>
      </c>
      <c r="X1684" s="67" t="str">
        <f aca="false">IF(AND($J1684="E-commerce",IFERROR($T1684/$R1684,0)&gt;Parametros!$C$14),"Alerta","OK")</f>
        <v>OK</v>
      </c>
      <c r="Y1684" s="61" t="str">
        <f aca="false">IF($R1684&gt;=Parametros!$C$12,"Alto",IF($R1684&lt;Parametros!$C$13,"Bajo","Medio"))</f>
        <v>Medio</v>
      </c>
      <c r="Z1684" s="61" t="n">
        <v>83</v>
      </c>
      <c r="AA1684" s="61" t="str">
        <f aca="false">IF(MATCH($A1684,Datos_Origen!$A$2:$A$2459,0)=$Z1684,"OK","REVISAR")</f>
        <v>OK</v>
      </c>
      <c r="AB1684" s="61" t="str">
        <f aca="false">INDEX(Datos_Origen!$B$2:$B$2459,$Z1684)</f>
        <v>10/05/2025</v>
      </c>
      <c r="AC1684" s="61" t="n">
        <f aca="false">INDEX(Datos_Origen!$H$2:$H$2459,$Z1684)</f>
        <v>6</v>
      </c>
      <c r="AD1684" s="61" t="str">
        <f aca="false">INDEX(Datos_Origen!$D$2:$D$2459,$Z1684)&amp;""</f>
        <v>Tucuman</v>
      </c>
    </row>
    <row r="1685" customFormat="false" ht="15" hidden="false" customHeight="false" outlineLevel="0" collapsed="false">
      <c r="A1685" s="61" t="n">
        <f aca="false">INDEX(Datos_Origen!$A$2:$A$2459,$Z1685)</f>
        <v>1684</v>
      </c>
      <c r="B1685" s="62" t="n">
        <f aca="false">IF(ISNUMBER($AB1685),$AB1685,IF(MID($AB1685,5,1)="-",DATE(VALUE(LEFT($AB1685,4)),VALUE(MID($AB1685,6,2)),VALUE(RIGHT($AB1685,2))),DATE(VALUE(RIGHT($AB1685,4)),VALUE(MID($AB1685,4,2)),VALUE(LEFT($AB1685,2)))))</f>
        <v>45794</v>
      </c>
      <c r="C1685" s="61" t="n">
        <f aca="false">YEAR($B1685)</f>
        <v>2025</v>
      </c>
      <c r="D1685" s="61" t="str">
        <f aca="false">"Q"&amp;ROUNDUP(MONTH($B1685)/3,0)</f>
        <v>Q2</v>
      </c>
      <c r="E1685" s="61" t="n">
        <f aca="false">MONTH($B1685)</f>
        <v>5</v>
      </c>
      <c r="F1685" s="61" t="str">
        <f aca="false">INDEX(Parametros!$I$5:$I$16,$E1685)</f>
        <v>May</v>
      </c>
      <c r="G1685" s="61" t="str">
        <f aca="false">TEXT($C1685,"0000")&amp;"-"&amp;TEXT($E1685,"00")</f>
        <v>2025-05</v>
      </c>
      <c r="H1685" s="61" t="str">
        <f aca="false">INDEX(Parametros!$C$71:$C$91,MATCH(TRIM(INDEX(Datos_Origen!$C$2:$C$2459,$Z1685)),Parametros!$B$71:$B$91,0))</f>
        <v>NOA</v>
      </c>
      <c r="I1685" s="61" t="str">
        <f aca="false">IF(TRIM($AD1685)="",INDEX(Parametros!$I$20:$I$24,MATCH($H1685,Parametros!$H$20:$H$24,0)),TRIM($AD1685))</f>
        <v>Tucuman</v>
      </c>
      <c r="J1685" s="61" t="str">
        <f aca="false">INDEX(Parametros!$C$95:$C$106,MATCH(TRIM(INDEX(Datos_Origen!$E$2:$E$2459,$Z1685)),Parametros!$B$95:$B$106,0))</f>
        <v>E-commerce</v>
      </c>
      <c r="K1685" s="61" t="str">
        <f aca="false">INDEX(Parametros!$C$48:$C$67,MATCH(TRIM(INDEX(Datos_Origen!$F$2:$F$2459,$Z1685)),Parametros!$B$48:$B$67,0))</f>
        <v>Computacion</v>
      </c>
      <c r="L1685" s="61" t="str">
        <f aca="false">$K1685&amp;" "&amp;$C1685</f>
        <v>Computacion 2025</v>
      </c>
      <c r="M1685" s="61" t="str">
        <f aca="false">TRIM(INDEX(Datos_Origen!$G$2:$G$2459,$Z1685))</f>
        <v>Monitor 4K 27</v>
      </c>
      <c r="N1685" s="61" t="str">
        <f aca="false">$M1685&amp;" "&amp;$C1685</f>
        <v>Monitor 4K 27 2025</v>
      </c>
      <c r="O1685" s="63" t="n">
        <f aca="false">IF(ISTEXT($AC1685),VALUE($AC1685),$AC1685)</f>
        <v>5</v>
      </c>
      <c r="P1685" s="64" t="n">
        <f aca="false">INDEX(Datos_Origen!$I$2:$I$2459,$Z1685)</f>
        <v>433.15</v>
      </c>
      <c r="Q1685" s="64" t="n">
        <f aca="false">INDEX(Datos_Origen!$J$2:$J$2459,$Z1685)</f>
        <v>280.42</v>
      </c>
      <c r="R1685" s="65" t="n">
        <f aca="false">ROUND($O1685*$P1685,2)</f>
        <v>2165.75</v>
      </c>
      <c r="S1685" s="65" t="n">
        <f aca="false">ROUND($O1685*$Q1685,2)</f>
        <v>1402.1</v>
      </c>
      <c r="T1685" s="65" t="n">
        <f aca="false">ROUND($R1685*SUMIFS(Parametros!$E$28:$E$43,Parametros!$B$28:$B$43,$J1685,Parametros!$C$28:$C$43,$C1685,Parametros!$D$28:$D$43,$D1685),2)</f>
        <v>160.27</v>
      </c>
      <c r="U1685" s="65" t="n">
        <f aca="false">$R1685-$S1685-$T1685</f>
        <v>603.38</v>
      </c>
      <c r="V1685" s="66" t="n">
        <f aca="false">IFERROR($U1685/$R1685,0)</f>
        <v>0.278600946554312</v>
      </c>
      <c r="W1685" s="67" t="str">
        <f aca="false">IF(AND($V1685&gt;=Parametros!$C$8,$R1685&gt;=Parametros!$C$12),"Alta rentabilidad",IF(OR($V1685&lt;Parametros!$C$11,$R1685&lt;Parametros!$C$13),"Revisar","Estandar"))</f>
        <v>Revisar</v>
      </c>
      <c r="X1685" s="67" t="str">
        <f aca="false">IF(AND($J1685="E-commerce",IFERROR($T1685/$R1685,0)&gt;Parametros!$C$14),"Alerta","OK")</f>
        <v>Alerta</v>
      </c>
      <c r="Y1685" s="61" t="str">
        <f aca="false">IF($R1685&gt;=Parametros!$C$12,"Alto",IF($R1685&lt;Parametros!$C$13,"Bajo","Medio"))</f>
        <v>Medio</v>
      </c>
      <c r="Z1685" s="61" t="n">
        <v>1312</v>
      </c>
      <c r="AA1685" s="61" t="str">
        <f aca="false">IF(MATCH($A1685,Datos_Origen!$A$2:$A$2459,0)=$Z1685,"OK","REVISAR")</f>
        <v>OK</v>
      </c>
      <c r="AB1685" s="62" t="n">
        <f aca="false">INDEX(Datos_Origen!$B$2:$B$2459,$Z1685)</f>
        <v>45794</v>
      </c>
      <c r="AC1685" s="61" t="n">
        <f aca="false">INDEX(Datos_Origen!$H$2:$H$2459,$Z1685)</f>
        <v>5</v>
      </c>
      <c r="AD1685" s="61" t="str">
        <f aca="false">INDEX(Datos_Origen!$D$2:$D$2459,$Z1685)&amp;""</f>
        <v>Tucuman</v>
      </c>
    </row>
    <row r="1686" customFormat="false" ht="15" hidden="false" customHeight="false" outlineLevel="0" collapsed="false">
      <c r="A1686" s="61" t="n">
        <f aca="false">INDEX(Datos_Origen!$A$2:$A$2459,$Z1686)</f>
        <v>1685</v>
      </c>
      <c r="B1686" s="62" t="n">
        <f aca="false">IF(ISNUMBER($AB1686),$AB1686,IF(MID($AB1686,5,1)="-",DATE(VALUE(LEFT($AB1686,4)),VALUE(MID($AB1686,6,2)),VALUE(RIGHT($AB1686,2))),DATE(VALUE(RIGHT($AB1686,4)),VALUE(MID($AB1686,4,2)),VALUE(LEFT($AB1686,2)))))</f>
        <v>45801</v>
      </c>
      <c r="C1686" s="61" t="n">
        <f aca="false">YEAR($B1686)</f>
        <v>2025</v>
      </c>
      <c r="D1686" s="61" t="str">
        <f aca="false">"Q"&amp;ROUNDUP(MONTH($B1686)/3,0)</f>
        <v>Q2</v>
      </c>
      <c r="E1686" s="61" t="n">
        <f aca="false">MONTH($B1686)</f>
        <v>5</v>
      </c>
      <c r="F1686" s="61" t="str">
        <f aca="false">INDEX(Parametros!$I$5:$I$16,$E1686)</f>
        <v>May</v>
      </c>
      <c r="G1686" s="61" t="str">
        <f aca="false">TEXT($C1686,"0000")&amp;"-"&amp;TEXT($E1686,"00")</f>
        <v>2025-05</v>
      </c>
      <c r="H1686" s="61" t="str">
        <f aca="false">INDEX(Parametros!$C$71:$C$91,MATCH(TRIM(INDEX(Datos_Origen!$C$2:$C$2459,$Z1686)),Parametros!$B$71:$B$91,0))</f>
        <v>NOA</v>
      </c>
      <c r="I1686" s="61" t="str">
        <f aca="false">IF(TRIM($AD1686)="",INDEX(Parametros!$I$20:$I$24,MATCH($H1686,Parametros!$H$20:$H$24,0)),TRIM($AD1686))</f>
        <v>Tucuman</v>
      </c>
      <c r="J1686" s="61" t="str">
        <f aca="false">INDEX(Parametros!$C$95:$C$106,MATCH(TRIM(INDEX(Datos_Origen!$E$2:$E$2459,$Z1686)),Parametros!$B$95:$B$106,0))</f>
        <v>Tienda fisica</v>
      </c>
      <c r="K1686" s="61" t="str">
        <f aca="false">INDEX(Parametros!$C$48:$C$67,MATCH(TRIM(INDEX(Datos_Origen!$F$2:$F$2459,$Z1686)),Parametros!$B$48:$B$67,0))</f>
        <v>Computacion</v>
      </c>
      <c r="L1686" s="61" t="str">
        <f aca="false">$K1686&amp;" "&amp;$C1686</f>
        <v>Computacion 2025</v>
      </c>
      <c r="M1686" s="61" t="str">
        <f aca="false">TRIM(INDEX(Datos_Origen!$G$2:$G$2459,$Z1686))</f>
        <v>PC Gamer Ryzen</v>
      </c>
      <c r="N1686" s="61" t="str">
        <f aca="false">$M1686&amp;" "&amp;$C1686</f>
        <v>PC Gamer Ryzen 2025</v>
      </c>
      <c r="O1686" s="63" t="n">
        <f aca="false">IF(ISTEXT($AC1686),VALUE($AC1686),$AC1686)</f>
        <v>6</v>
      </c>
      <c r="P1686" s="64" t="n">
        <f aca="false">INDEX(Datos_Origen!$I$2:$I$2459,$Z1686)</f>
        <v>1588.21</v>
      </c>
      <c r="Q1686" s="64" t="n">
        <f aca="false">INDEX(Datos_Origen!$J$2:$J$2459,$Z1686)</f>
        <v>1155.66</v>
      </c>
      <c r="R1686" s="65" t="n">
        <f aca="false">ROUND($O1686*$P1686,2)</f>
        <v>9529.26</v>
      </c>
      <c r="S1686" s="65" t="n">
        <f aca="false">ROUND($O1686*$Q1686,2)</f>
        <v>6933.96</v>
      </c>
      <c r="T1686" s="65" t="n">
        <f aca="false">ROUND($R1686*SUMIFS(Parametros!$E$28:$E$43,Parametros!$B$28:$B$43,$J1686,Parametros!$C$28:$C$43,$C1686,Parametros!$D$28:$D$43,$D1686),2)</f>
        <v>133.41</v>
      </c>
      <c r="U1686" s="65" t="n">
        <f aca="false">$R1686-$S1686-$T1686</f>
        <v>2461.89</v>
      </c>
      <c r="V1686" s="66" t="n">
        <f aca="false">IFERROR($U1686/$R1686,0)</f>
        <v>0.258350595953936</v>
      </c>
      <c r="W1686" s="67" t="str">
        <f aca="false">IF(AND($V1686&gt;=Parametros!$C$8,$R1686&gt;=Parametros!$C$12),"Alta rentabilidad",IF(OR($V1686&lt;Parametros!$C$11,$R1686&lt;Parametros!$C$13),"Revisar","Estandar"))</f>
        <v>Revisar</v>
      </c>
      <c r="X1686" s="67" t="str">
        <f aca="false">IF(AND($J1686="E-commerce",IFERROR($T1686/$R1686,0)&gt;Parametros!$C$14),"Alerta","OK")</f>
        <v>OK</v>
      </c>
      <c r="Y1686" s="61" t="str">
        <f aca="false">IF($R1686&gt;=Parametros!$C$12,"Alto",IF($R1686&lt;Parametros!$C$13,"Bajo","Medio"))</f>
        <v>Alto</v>
      </c>
      <c r="Z1686" s="61" t="n">
        <v>1102</v>
      </c>
      <c r="AA1686" s="61" t="str">
        <f aca="false">IF(MATCH($A1686,Datos_Origen!$A$2:$A$2459,0)=$Z1686,"OK","REVISAR")</f>
        <v>OK</v>
      </c>
      <c r="AB1686" s="62" t="n">
        <f aca="false">INDEX(Datos_Origen!$B$2:$B$2459,$Z1686)</f>
        <v>45801</v>
      </c>
      <c r="AC1686" s="61" t="n">
        <f aca="false">INDEX(Datos_Origen!$H$2:$H$2459,$Z1686)</f>
        <v>6</v>
      </c>
      <c r="AD1686" s="61" t="str">
        <f aca="false">INDEX(Datos_Origen!$D$2:$D$2459,$Z1686)&amp;""</f>
        <v>Tucuman</v>
      </c>
    </row>
    <row r="1687" customFormat="false" ht="15" hidden="false" customHeight="false" outlineLevel="0" collapsed="false">
      <c r="A1687" s="61" t="n">
        <f aca="false">INDEX(Datos_Origen!$A$2:$A$2459,$Z1687)</f>
        <v>1686</v>
      </c>
      <c r="B1687" s="62" t="n">
        <f aca="false">IF(ISNUMBER($AB1687),$AB1687,IF(MID($AB1687,5,1)="-",DATE(VALUE(LEFT($AB1687,4)),VALUE(MID($AB1687,6,2)),VALUE(RIGHT($AB1687,2))),DATE(VALUE(RIGHT($AB1687,4)),VALUE(MID($AB1687,4,2)),VALUE(LEFT($AB1687,2)))))</f>
        <v>45781</v>
      </c>
      <c r="C1687" s="61" t="n">
        <f aca="false">YEAR($B1687)</f>
        <v>2025</v>
      </c>
      <c r="D1687" s="61" t="str">
        <f aca="false">"Q"&amp;ROUNDUP(MONTH($B1687)/3,0)</f>
        <v>Q2</v>
      </c>
      <c r="E1687" s="61" t="n">
        <f aca="false">MONTH($B1687)</f>
        <v>5</v>
      </c>
      <c r="F1687" s="61" t="str">
        <f aca="false">INDEX(Parametros!$I$5:$I$16,$E1687)</f>
        <v>May</v>
      </c>
      <c r="G1687" s="61" t="str">
        <f aca="false">TEXT($C1687,"0000")&amp;"-"&amp;TEXT($E1687,"00")</f>
        <v>2025-05</v>
      </c>
      <c r="H1687" s="61" t="str">
        <f aca="false">INDEX(Parametros!$C$71:$C$91,MATCH(TRIM(INDEX(Datos_Origen!$C$2:$C$2459,$Z1687)),Parametros!$B$71:$B$91,0))</f>
        <v>NOA</v>
      </c>
      <c r="I1687" s="61" t="str">
        <f aca="false">IF(TRIM($AD1687)="",INDEX(Parametros!$I$20:$I$24,MATCH($H1687,Parametros!$H$20:$H$24,0)),TRIM($AD1687))</f>
        <v>Tucuman</v>
      </c>
      <c r="J1687" s="61" t="str">
        <f aca="false">INDEX(Parametros!$C$95:$C$106,MATCH(TRIM(INDEX(Datos_Origen!$E$2:$E$2459,$Z1687)),Parametros!$B$95:$B$106,0))</f>
        <v>E-commerce</v>
      </c>
      <c r="K1687" s="61" t="str">
        <f aca="false">INDEX(Parametros!$C$48:$C$67,MATCH(TRIM(INDEX(Datos_Origen!$F$2:$F$2459,$Z1687)),Parametros!$B$48:$B$67,0))</f>
        <v>Computacion</v>
      </c>
      <c r="L1687" s="61" t="str">
        <f aca="false">$K1687&amp;" "&amp;$C1687</f>
        <v>Computacion 2025</v>
      </c>
      <c r="M1687" s="61" t="str">
        <f aca="false">TRIM(INDEX(Datos_Origen!$G$2:$G$2459,$Z1687))</f>
        <v>PC Gamer Ryzen</v>
      </c>
      <c r="N1687" s="61" t="str">
        <f aca="false">$M1687&amp;" "&amp;$C1687</f>
        <v>PC Gamer Ryzen 2025</v>
      </c>
      <c r="O1687" s="63" t="n">
        <f aca="false">IF(ISTEXT($AC1687),VALUE($AC1687),$AC1687)</f>
        <v>5</v>
      </c>
      <c r="P1687" s="64" t="n">
        <f aca="false">INDEX(Datos_Origen!$I$2:$I$2459,$Z1687)</f>
        <v>1588.21</v>
      </c>
      <c r="Q1687" s="64" t="n">
        <f aca="false">INDEX(Datos_Origen!$J$2:$J$2459,$Z1687)</f>
        <v>1155.66</v>
      </c>
      <c r="R1687" s="65" t="n">
        <f aca="false">ROUND($O1687*$P1687,2)</f>
        <v>7941.05</v>
      </c>
      <c r="S1687" s="65" t="n">
        <f aca="false">ROUND($O1687*$Q1687,2)</f>
        <v>5778.3</v>
      </c>
      <c r="T1687" s="65" t="n">
        <f aca="false">ROUND($R1687*SUMIFS(Parametros!$E$28:$E$43,Parametros!$B$28:$B$43,$J1687,Parametros!$C$28:$C$43,$C1687,Parametros!$D$28:$D$43,$D1687),2)</f>
        <v>587.64</v>
      </c>
      <c r="U1687" s="65" t="n">
        <f aca="false">$R1687-$S1687-$T1687</f>
        <v>1575.11</v>
      </c>
      <c r="V1687" s="66" t="n">
        <f aca="false">IFERROR($U1687/$R1687,0)</f>
        <v>0.198350344098073</v>
      </c>
      <c r="W1687" s="67" t="str">
        <f aca="false">IF(AND($V1687&gt;=Parametros!$C$8,$R1687&gt;=Parametros!$C$12),"Alta rentabilidad",IF(OR($V1687&lt;Parametros!$C$11,$R1687&lt;Parametros!$C$13),"Revisar","Estandar"))</f>
        <v>Revisar</v>
      </c>
      <c r="X1687" s="67" t="str">
        <f aca="false">IF(AND($J1687="E-commerce",IFERROR($T1687/$R1687,0)&gt;Parametros!$C$14),"Alerta","OK")</f>
        <v>Alerta</v>
      </c>
      <c r="Y1687" s="61" t="str">
        <f aca="false">IF($R1687&gt;=Parametros!$C$12,"Alto",IF($R1687&lt;Parametros!$C$13,"Bajo","Medio"))</f>
        <v>Alto</v>
      </c>
      <c r="Z1687" s="61" t="n">
        <v>1216</v>
      </c>
      <c r="AA1687" s="61" t="str">
        <f aca="false">IF(MATCH($A1687,Datos_Origen!$A$2:$A$2459,0)=$Z1687,"OK","REVISAR")</f>
        <v>OK</v>
      </c>
      <c r="AB1687" s="61" t="str">
        <f aca="false">INDEX(Datos_Origen!$B$2:$B$2459,$Z1687)</f>
        <v>04/05/2025</v>
      </c>
      <c r="AC1687" s="61" t="n">
        <f aca="false">INDEX(Datos_Origen!$H$2:$H$2459,$Z1687)</f>
        <v>5</v>
      </c>
      <c r="AD1687" s="61" t="str">
        <f aca="false">INDEX(Datos_Origen!$D$2:$D$2459,$Z1687)&amp;""</f>
        <v>Tucuman</v>
      </c>
    </row>
    <row r="1688" customFormat="false" ht="15" hidden="false" customHeight="false" outlineLevel="0" collapsed="false">
      <c r="A1688" s="61" t="n">
        <f aca="false">INDEX(Datos_Origen!$A$2:$A$2459,$Z1688)</f>
        <v>1687</v>
      </c>
      <c r="B1688" s="62" t="n">
        <f aca="false">IF(ISNUMBER($AB1688),$AB1688,IF(MID($AB1688,5,1)="-",DATE(VALUE(LEFT($AB1688,4)),VALUE(MID($AB1688,6,2)),VALUE(RIGHT($AB1688,2))),DATE(VALUE(RIGHT($AB1688,4)),VALUE(MID($AB1688,4,2)),VALUE(LEFT($AB1688,2)))))</f>
        <v>45788</v>
      </c>
      <c r="C1688" s="61" t="n">
        <f aca="false">YEAR($B1688)</f>
        <v>2025</v>
      </c>
      <c r="D1688" s="61" t="str">
        <f aca="false">"Q"&amp;ROUNDUP(MONTH($B1688)/3,0)</f>
        <v>Q2</v>
      </c>
      <c r="E1688" s="61" t="n">
        <f aca="false">MONTH($B1688)</f>
        <v>5</v>
      </c>
      <c r="F1688" s="61" t="str">
        <f aca="false">INDEX(Parametros!$I$5:$I$16,$E1688)</f>
        <v>May</v>
      </c>
      <c r="G1688" s="61" t="str">
        <f aca="false">TEXT($C1688,"0000")&amp;"-"&amp;TEXT($E1688,"00")</f>
        <v>2025-05</v>
      </c>
      <c r="H1688" s="61" t="str">
        <f aca="false">INDEX(Parametros!$C$71:$C$91,MATCH(TRIM(INDEX(Datos_Origen!$C$2:$C$2459,$Z1688)),Parametros!$B$71:$B$91,0))</f>
        <v>NOA</v>
      </c>
      <c r="I1688" s="61" t="str">
        <f aca="false">IF(TRIM($AD1688)="",INDEX(Parametros!$I$20:$I$24,MATCH($H1688,Parametros!$H$20:$H$24,0)),TRIM($AD1688))</f>
        <v>Tucuman</v>
      </c>
      <c r="J1688" s="61" t="str">
        <f aca="false">INDEX(Parametros!$C$95:$C$106,MATCH(TRIM(INDEX(Datos_Origen!$E$2:$E$2459,$Z1688)),Parametros!$B$95:$B$106,0))</f>
        <v>Tienda fisica</v>
      </c>
      <c r="K1688" s="61" t="str">
        <f aca="false">INDEX(Parametros!$C$48:$C$67,MATCH(TRIM(INDEX(Datos_Origen!$F$2:$F$2459,$Z1688)),Parametros!$B$48:$B$67,0))</f>
        <v>Accesorios</v>
      </c>
      <c r="L1688" s="61" t="str">
        <f aca="false">$K1688&amp;" "&amp;$C1688</f>
        <v>Accesorios 2025</v>
      </c>
      <c r="M1688" s="61" t="str">
        <f aca="false">TRIM(INDEX(Datos_Origen!$G$2:$G$2459,$Z1688))</f>
        <v>Mouse Inalambrico</v>
      </c>
      <c r="N1688" s="61" t="str">
        <f aca="false">$M1688&amp;" "&amp;$C1688</f>
        <v>Mouse Inalambrico 2025</v>
      </c>
      <c r="O1688" s="63" t="n">
        <f aca="false">IF(ISTEXT($AC1688),VALUE($AC1688),$AC1688)</f>
        <v>34</v>
      </c>
      <c r="P1688" s="64" t="n">
        <f aca="false">INDEX(Datos_Origen!$I$2:$I$2459,$Z1688)</f>
        <v>27.82</v>
      </c>
      <c r="Q1688" s="64" t="n">
        <f aca="false">INDEX(Datos_Origen!$J$2:$J$2459,$Z1688)</f>
        <v>13.84</v>
      </c>
      <c r="R1688" s="65" t="n">
        <f aca="false">ROUND($O1688*$P1688,2)</f>
        <v>945.88</v>
      </c>
      <c r="S1688" s="65" t="n">
        <f aca="false">ROUND($O1688*$Q1688,2)</f>
        <v>470.56</v>
      </c>
      <c r="T1688" s="65" t="n">
        <f aca="false">ROUND($R1688*SUMIFS(Parametros!$E$28:$E$43,Parametros!$B$28:$B$43,$J1688,Parametros!$C$28:$C$43,$C1688,Parametros!$D$28:$D$43,$D1688),2)</f>
        <v>13.24</v>
      </c>
      <c r="U1688" s="65" t="n">
        <f aca="false">$R1688-$S1688-$T1688</f>
        <v>462.08</v>
      </c>
      <c r="V1688" s="66" t="n">
        <f aca="false">IFERROR($U1688/$R1688,0)</f>
        <v>0.488518628155791</v>
      </c>
      <c r="W1688" s="67" t="str">
        <f aca="false">IF(AND($V1688&gt;=Parametros!$C$8,$R1688&gt;=Parametros!$C$12),"Alta rentabilidad",IF(OR($V1688&lt;Parametros!$C$11,$R1688&lt;Parametros!$C$13),"Revisar","Estandar"))</f>
        <v>Estandar</v>
      </c>
      <c r="X1688" s="67" t="str">
        <f aca="false">IF(AND($J1688="E-commerce",IFERROR($T1688/$R1688,0)&gt;Parametros!$C$14),"Alerta","OK")</f>
        <v>OK</v>
      </c>
      <c r="Y1688" s="61" t="str">
        <f aca="false">IF($R1688&gt;=Parametros!$C$12,"Alto",IF($R1688&lt;Parametros!$C$13,"Bajo","Medio"))</f>
        <v>Medio</v>
      </c>
      <c r="Z1688" s="61" t="n">
        <v>2389</v>
      </c>
      <c r="AA1688" s="61" t="str">
        <f aca="false">IF(MATCH($A1688,Datos_Origen!$A$2:$A$2459,0)=$Z1688,"OK","REVISAR")</f>
        <v>OK</v>
      </c>
      <c r="AB1688" s="61" t="str">
        <f aca="false">INDEX(Datos_Origen!$B$2:$B$2459,$Z1688)</f>
        <v>11/05/2025</v>
      </c>
      <c r="AC1688" s="61" t="n">
        <f aca="false">INDEX(Datos_Origen!$H$2:$H$2459,$Z1688)</f>
        <v>34</v>
      </c>
      <c r="AD1688" s="61" t="str">
        <f aca="false">INDEX(Datos_Origen!$D$2:$D$2459,$Z1688)&amp;""</f>
        <v>Tucuman</v>
      </c>
    </row>
    <row r="1689" customFormat="false" ht="15" hidden="false" customHeight="false" outlineLevel="0" collapsed="false">
      <c r="A1689" s="61" t="n">
        <f aca="false">INDEX(Datos_Origen!$A$2:$A$2459,$Z1689)</f>
        <v>1688</v>
      </c>
      <c r="B1689" s="62" t="n">
        <f aca="false">IF(ISNUMBER($AB1689),$AB1689,IF(MID($AB1689,5,1)="-",DATE(VALUE(LEFT($AB1689,4)),VALUE(MID($AB1689,6,2)),VALUE(RIGHT($AB1689,2))),DATE(VALUE(RIGHT($AB1689,4)),VALUE(MID($AB1689,4,2)),VALUE(LEFT($AB1689,2)))))</f>
        <v>45795</v>
      </c>
      <c r="C1689" s="61" t="n">
        <f aca="false">YEAR($B1689)</f>
        <v>2025</v>
      </c>
      <c r="D1689" s="61" t="str">
        <f aca="false">"Q"&amp;ROUNDUP(MONTH($B1689)/3,0)</f>
        <v>Q2</v>
      </c>
      <c r="E1689" s="61" t="n">
        <f aca="false">MONTH($B1689)</f>
        <v>5</v>
      </c>
      <c r="F1689" s="61" t="str">
        <f aca="false">INDEX(Parametros!$I$5:$I$16,$E1689)</f>
        <v>May</v>
      </c>
      <c r="G1689" s="61" t="str">
        <f aca="false">TEXT($C1689,"0000")&amp;"-"&amp;TEXT($E1689,"00")</f>
        <v>2025-05</v>
      </c>
      <c r="H1689" s="61" t="str">
        <f aca="false">INDEX(Parametros!$C$71:$C$91,MATCH(TRIM(INDEX(Datos_Origen!$C$2:$C$2459,$Z1689)),Parametros!$B$71:$B$91,0))</f>
        <v>NOA</v>
      </c>
      <c r="I1689" s="61" t="str">
        <f aca="false">IF(TRIM($AD1689)="",INDEX(Parametros!$I$20:$I$24,MATCH($H1689,Parametros!$H$20:$H$24,0)),TRIM($AD1689))</f>
        <v>Tucuman</v>
      </c>
      <c r="J1689" s="61" t="str">
        <f aca="false">INDEX(Parametros!$C$95:$C$106,MATCH(TRIM(INDEX(Datos_Origen!$E$2:$E$2459,$Z1689)),Parametros!$B$95:$B$106,0))</f>
        <v>E-commerce</v>
      </c>
      <c r="K1689" s="61" t="str">
        <f aca="false">INDEX(Parametros!$C$48:$C$67,MATCH(TRIM(INDEX(Datos_Origen!$F$2:$F$2459,$Z1689)),Parametros!$B$48:$B$67,0))</f>
        <v>Accesorios</v>
      </c>
      <c r="L1689" s="61" t="str">
        <f aca="false">$K1689&amp;" "&amp;$C1689</f>
        <v>Accesorios 2025</v>
      </c>
      <c r="M1689" s="61" t="str">
        <f aca="false">TRIM(INDEX(Datos_Origen!$G$2:$G$2459,$Z1689))</f>
        <v>Mouse Inalambrico</v>
      </c>
      <c r="N1689" s="61" t="str">
        <f aca="false">$M1689&amp;" "&amp;$C1689</f>
        <v>Mouse Inalambrico 2025</v>
      </c>
      <c r="O1689" s="63" t="n">
        <f aca="false">IF(ISTEXT($AC1689),VALUE($AC1689),$AC1689)</f>
        <v>20</v>
      </c>
      <c r="P1689" s="64" t="n">
        <f aca="false">INDEX(Datos_Origen!$I$2:$I$2459,$Z1689)</f>
        <v>27.82</v>
      </c>
      <c r="Q1689" s="64" t="n">
        <f aca="false">INDEX(Datos_Origen!$J$2:$J$2459,$Z1689)</f>
        <v>13.84</v>
      </c>
      <c r="R1689" s="65" t="n">
        <f aca="false">ROUND($O1689*$P1689,2)</f>
        <v>556.4</v>
      </c>
      <c r="S1689" s="65" t="n">
        <f aca="false">ROUND($O1689*$Q1689,2)</f>
        <v>276.8</v>
      </c>
      <c r="T1689" s="65" t="n">
        <f aca="false">ROUND($R1689*SUMIFS(Parametros!$E$28:$E$43,Parametros!$B$28:$B$43,$J1689,Parametros!$C$28:$C$43,$C1689,Parametros!$D$28:$D$43,$D1689),2)</f>
        <v>41.17</v>
      </c>
      <c r="U1689" s="65" t="n">
        <f aca="false">$R1689-$S1689-$T1689</f>
        <v>238.43</v>
      </c>
      <c r="V1689" s="66" t="n">
        <f aca="false">IFERROR($U1689/$R1689,0)</f>
        <v>0.42852264557872</v>
      </c>
      <c r="W1689" s="67" t="str">
        <f aca="false">IF(AND($V1689&gt;=Parametros!$C$8,$R1689&gt;=Parametros!$C$12),"Alta rentabilidad",IF(OR($V1689&lt;Parametros!$C$11,$R1689&lt;Parametros!$C$13),"Revisar","Estandar"))</f>
        <v>Estandar</v>
      </c>
      <c r="X1689" s="67" t="str">
        <f aca="false">IF(AND($J1689="E-commerce",IFERROR($T1689/$R1689,0)&gt;Parametros!$C$14),"Alerta","OK")</f>
        <v>Alerta</v>
      </c>
      <c r="Y1689" s="61" t="str">
        <f aca="false">IF($R1689&gt;=Parametros!$C$12,"Alto",IF($R1689&lt;Parametros!$C$13,"Bajo","Medio"))</f>
        <v>Medio</v>
      </c>
      <c r="Z1689" s="61" t="n">
        <v>160</v>
      </c>
      <c r="AA1689" s="61" t="str">
        <f aca="false">IF(MATCH($A1689,Datos_Origen!$A$2:$A$2459,0)=$Z1689,"OK","REVISAR")</f>
        <v>OK</v>
      </c>
      <c r="AB1689" s="61" t="str">
        <f aca="false">INDEX(Datos_Origen!$B$2:$B$2459,$Z1689)</f>
        <v>18/05/2025</v>
      </c>
      <c r="AC1689" s="61" t="n">
        <f aca="false">INDEX(Datos_Origen!$H$2:$H$2459,$Z1689)</f>
        <v>20</v>
      </c>
      <c r="AD1689" s="61" t="str">
        <f aca="false">INDEX(Datos_Origen!$D$2:$D$2459,$Z1689)&amp;""</f>
        <v>Tucuman</v>
      </c>
    </row>
    <row r="1690" customFormat="false" ht="15" hidden="false" customHeight="false" outlineLevel="0" collapsed="false">
      <c r="A1690" s="61" t="n">
        <f aca="false">INDEX(Datos_Origen!$A$2:$A$2459,$Z1690)</f>
        <v>1689</v>
      </c>
      <c r="B1690" s="62" t="n">
        <f aca="false">IF(ISNUMBER($AB1690),$AB1690,IF(MID($AB1690,5,1)="-",DATE(VALUE(LEFT($AB1690,4)),VALUE(MID($AB1690,6,2)),VALUE(RIGHT($AB1690,2))),DATE(VALUE(RIGHT($AB1690,4)),VALUE(MID($AB1690,4,2)),VALUE(LEFT($AB1690,2)))))</f>
        <v>45802</v>
      </c>
      <c r="C1690" s="61" t="n">
        <f aca="false">YEAR($B1690)</f>
        <v>2025</v>
      </c>
      <c r="D1690" s="61" t="str">
        <f aca="false">"Q"&amp;ROUNDUP(MONTH($B1690)/3,0)</f>
        <v>Q2</v>
      </c>
      <c r="E1690" s="61" t="n">
        <f aca="false">MONTH($B1690)</f>
        <v>5</v>
      </c>
      <c r="F1690" s="61" t="str">
        <f aca="false">INDEX(Parametros!$I$5:$I$16,$E1690)</f>
        <v>May</v>
      </c>
      <c r="G1690" s="61" t="str">
        <f aca="false">TEXT($C1690,"0000")&amp;"-"&amp;TEXT($E1690,"00")</f>
        <v>2025-05</v>
      </c>
      <c r="H1690" s="61" t="str">
        <f aca="false">INDEX(Parametros!$C$71:$C$91,MATCH(TRIM(INDEX(Datos_Origen!$C$2:$C$2459,$Z1690)),Parametros!$B$71:$B$91,0))</f>
        <v>NOA</v>
      </c>
      <c r="I1690" s="61" t="str">
        <f aca="false">IF(TRIM($AD1690)="",INDEX(Parametros!$I$20:$I$24,MATCH($H1690,Parametros!$H$20:$H$24,0)),TRIM($AD1690))</f>
        <v>Tucuman</v>
      </c>
      <c r="J1690" s="61" t="str">
        <f aca="false">INDEX(Parametros!$C$95:$C$106,MATCH(TRIM(INDEX(Datos_Origen!$E$2:$E$2459,$Z1690)),Parametros!$B$95:$B$106,0))</f>
        <v>Tienda fisica</v>
      </c>
      <c r="K1690" s="61" t="str">
        <f aca="false">INDEX(Parametros!$C$48:$C$67,MATCH(TRIM(INDEX(Datos_Origen!$F$2:$F$2459,$Z1690)),Parametros!$B$48:$B$67,0))</f>
        <v>Accesorios</v>
      </c>
      <c r="L1690" s="61" t="str">
        <f aca="false">$K1690&amp;" "&amp;$C1690</f>
        <v>Accesorios 2025</v>
      </c>
      <c r="M1690" s="61" t="str">
        <f aca="false">TRIM(INDEX(Datos_Origen!$G$2:$G$2459,$Z1690))</f>
        <v>Teclado Mecanico</v>
      </c>
      <c r="N1690" s="61" t="str">
        <f aca="false">$M1690&amp;" "&amp;$C1690</f>
        <v>Teclado Mecanico 2025</v>
      </c>
      <c r="O1690" s="63" t="n">
        <f aca="false">IF(ISTEXT($AC1690),VALUE($AC1690),$AC1690)</f>
        <v>27</v>
      </c>
      <c r="P1690" s="64" t="n">
        <f aca="false">INDEX(Datos_Origen!$I$2:$I$2459,$Z1690)</f>
        <v>94.39</v>
      </c>
      <c r="Q1690" s="64" t="n">
        <f aca="false">INDEX(Datos_Origen!$J$2:$J$2459,$Z1690)</f>
        <v>49.41</v>
      </c>
      <c r="R1690" s="65" t="n">
        <f aca="false">ROUND($O1690*$P1690,2)</f>
        <v>2548.53</v>
      </c>
      <c r="S1690" s="65" t="n">
        <f aca="false">ROUND($O1690*$Q1690,2)</f>
        <v>1334.07</v>
      </c>
      <c r="T1690" s="65" t="n">
        <f aca="false">ROUND($R1690*SUMIFS(Parametros!$E$28:$E$43,Parametros!$B$28:$B$43,$J1690,Parametros!$C$28:$C$43,$C1690,Parametros!$D$28:$D$43,$D1690),2)</f>
        <v>35.68</v>
      </c>
      <c r="U1690" s="65" t="n">
        <f aca="false">$R1690-$S1690-$T1690</f>
        <v>1178.78</v>
      </c>
      <c r="V1690" s="66" t="n">
        <f aca="false">IFERROR($U1690/$R1690,0)</f>
        <v>0.462533303512221</v>
      </c>
      <c r="W1690" s="67" t="str">
        <f aca="false">IF(AND($V1690&gt;=Parametros!$C$8,$R1690&gt;=Parametros!$C$12),"Alta rentabilidad",IF(OR($V1690&lt;Parametros!$C$11,$R1690&lt;Parametros!$C$13),"Revisar","Estandar"))</f>
        <v>Estandar</v>
      </c>
      <c r="X1690" s="67" t="str">
        <f aca="false">IF(AND($J1690="E-commerce",IFERROR($T1690/$R1690,0)&gt;Parametros!$C$14),"Alerta","OK")</f>
        <v>OK</v>
      </c>
      <c r="Y1690" s="61" t="str">
        <f aca="false">IF($R1690&gt;=Parametros!$C$12,"Alto",IF($R1690&lt;Parametros!$C$13,"Bajo","Medio"))</f>
        <v>Medio</v>
      </c>
      <c r="Z1690" s="61" t="n">
        <v>904</v>
      </c>
      <c r="AA1690" s="61" t="str">
        <f aca="false">IF(MATCH($A1690,Datos_Origen!$A$2:$A$2459,0)=$Z1690,"OK","REVISAR")</f>
        <v>OK</v>
      </c>
      <c r="AB1690" s="61" t="str">
        <f aca="false">INDEX(Datos_Origen!$B$2:$B$2459,$Z1690)</f>
        <v>25/05/2025</v>
      </c>
      <c r="AC1690" s="61" t="n">
        <f aca="false">INDEX(Datos_Origen!$H$2:$H$2459,$Z1690)</f>
        <v>27</v>
      </c>
      <c r="AD1690" s="61" t="str">
        <f aca="false">INDEX(Datos_Origen!$D$2:$D$2459,$Z1690)&amp;""</f>
        <v>Tucuman</v>
      </c>
    </row>
    <row r="1691" customFormat="false" ht="15" hidden="false" customHeight="false" outlineLevel="0" collapsed="false">
      <c r="A1691" s="61" t="n">
        <f aca="false">INDEX(Datos_Origen!$A$2:$A$2459,$Z1691)</f>
        <v>1690</v>
      </c>
      <c r="B1691" s="62" t="n">
        <f aca="false">IF(ISNUMBER($AB1691),$AB1691,IF(MID($AB1691,5,1)="-",DATE(VALUE(LEFT($AB1691,4)),VALUE(MID($AB1691,6,2)),VALUE(RIGHT($AB1691,2))),DATE(VALUE(RIGHT($AB1691,4)),VALUE(MID($AB1691,4,2)),VALUE(LEFT($AB1691,2)))))</f>
        <v>45782</v>
      </c>
      <c r="C1691" s="61" t="n">
        <f aca="false">YEAR($B1691)</f>
        <v>2025</v>
      </c>
      <c r="D1691" s="61" t="str">
        <f aca="false">"Q"&amp;ROUNDUP(MONTH($B1691)/3,0)</f>
        <v>Q2</v>
      </c>
      <c r="E1691" s="61" t="n">
        <f aca="false">MONTH($B1691)</f>
        <v>5</v>
      </c>
      <c r="F1691" s="61" t="str">
        <f aca="false">INDEX(Parametros!$I$5:$I$16,$E1691)</f>
        <v>May</v>
      </c>
      <c r="G1691" s="61" t="str">
        <f aca="false">TEXT($C1691,"0000")&amp;"-"&amp;TEXT($E1691,"00")</f>
        <v>2025-05</v>
      </c>
      <c r="H1691" s="61" t="str">
        <f aca="false">INDEX(Parametros!$C$71:$C$91,MATCH(TRIM(INDEX(Datos_Origen!$C$2:$C$2459,$Z1691)),Parametros!$B$71:$B$91,0))</f>
        <v>NOA</v>
      </c>
      <c r="I1691" s="61" t="str">
        <f aca="false">IF(TRIM($AD1691)="",INDEX(Parametros!$I$20:$I$24,MATCH($H1691,Parametros!$H$20:$H$24,0)),TRIM($AD1691))</f>
        <v>Tucuman</v>
      </c>
      <c r="J1691" s="61" t="str">
        <f aca="false">INDEX(Parametros!$C$95:$C$106,MATCH(TRIM(INDEX(Datos_Origen!$E$2:$E$2459,$Z1691)),Parametros!$B$95:$B$106,0))</f>
        <v>E-commerce</v>
      </c>
      <c r="K1691" s="61" t="str">
        <f aca="false">INDEX(Parametros!$C$48:$C$67,MATCH(TRIM(INDEX(Datos_Origen!$F$2:$F$2459,$Z1691)),Parametros!$B$48:$B$67,0))</f>
        <v>Accesorios</v>
      </c>
      <c r="L1691" s="61" t="str">
        <f aca="false">$K1691&amp;" "&amp;$C1691</f>
        <v>Accesorios 2025</v>
      </c>
      <c r="M1691" s="61" t="str">
        <f aca="false">TRIM(INDEX(Datos_Origen!$G$2:$G$2459,$Z1691))</f>
        <v>Teclado Mecanico</v>
      </c>
      <c r="N1691" s="61" t="str">
        <f aca="false">$M1691&amp;" "&amp;$C1691</f>
        <v>Teclado Mecanico 2025</v>
      </c>
      <c r="O1691" s="63" t="n">
        <f aca="false">IF(ISTEXT($AC1691),VALUE($AC1691),$AC1691)</f>
        <v>19</v>
      </c>
      <c r="P1691" s="64" t="n">
        <f aca="false">INDEX(Datos_Origen!$I$2:$I$2459,$Z1691)</f>
        <v>94.39</v>
      </c>
      <c r="Q1691" s="64" t="n">
        <f aca="false">INDEX(Datos_Origen!$J$2:$J$2459,$Z1691)</f>
        <v>49.41</v>
      </c>
      <c r="R1691" s="65" t="n">
        <f aca="false">ROUND($O1691*$P1691,2)</f>
        <v>1793.41</v>
      </c>
      <c r="S1691" s="65" t="n">
        <f aca="false">ROUND($O1691*$Q1691,2)</f>
        <v>938.79</v>
      </c>
      <c r="T1691" s="65" t="n">
        <f aca="false">ROUND($R1691*SUMIFS(Parametros!$E$28:$E$43,Parametros!$B$28:$B$43,$J1691,Parametros!$C$28:$C$43,$C1691,Parametros!$D$28:$D$43,$D1691),2)</f>
        <v>132.71</v>
      </c>
      <c r="U1691" s="65" t="n">
        <f aca="false">$R1691-$S1691-$T1691</f>
        <v>721.91</v>
      </c>
      <c r="V1691" s="66" t="n">
        <f aca="false">IFERROR($U1691/$R1691,0)</f>
        <v>0.402534835871329</v>
      </c>
      <c r="W1691" s="67" t="str">
        <f aca="false">IF(AND($V1691&gt;=Parametros!$C$8,$R1691&gt;=Parametros!$C$12),"Alta rentabilidad",IF(OR($V1691&lt;Parametros!$C$11,$R1691&lt;Parametros!$C$13),"Revisar","Estandar"))</f>
        <v>Estandar</v>
      </c>
      <c r="X1691" s="67" t="str">
        <f aca="false">IF(AND($J1691="E-commerce",IFERROR($T1691/$R1691,0)&gt;Parametros!$C$14),"Alerta","OK")</f>
        <v>Alerta</v>
      </c>
      <c r="Y1691" s="61" t="str">
        <f aca="false">IF($R1691&gt;=Parametros!$C$12,"Alto",IF($R1691&lt;Parametros!$C$13,"Bajo","Medio"))</f>
        <v>Medio</v>
      </c>
      <c r="Z1691" s="61" t="n">
        <v>1109</v>
      </c>
      <c r="AA1691" s="61" t="str">
        <f aca="false">IF(MATCH($A1691,Datos_Origen!$A$2:$A$2459,0)=$Z1691,"OK","REVISAR")</f>
        <v>OK</v>
      </c>
      <c r="AB1691" s="61" t="str">
        <f aca="false">INDEX(Datos_Origen!$B$2:$B$2459,$Z1691)</f>
        <v>05/05/2025</v>
      </c>
      <c r="AC1691" s="61" t="n">
        <f aca="false">INDEX(Datos_Origen!$H$2:$H$2459,$Z1691)</f>
        <v>19</v>
      </c>
      <c r="AD1691" s="61" t="str">
        <f aca="false">INDEX(Datos_Origen!$D$2:$D$2459,$Z1691)&amp;""</f>
        <v>Tucuman</v>
      </c>
    </row>
    <row r="1692" customFormat="false" ht="15" hidden="false" customHeight="false" outlineLevel="0" collapsed="false">
      <c r="A1692" s="61" t="n">
        <f aca="false">INDEX(Datos_Origen!$A$2:$A$2459,$Z1692)</f>
        <v>1691</v>
      </c>
      <c r="B1692" s="62" t="n">
        <f aca="false">IF(ISNUMBER($AB1692),$AB1692,IF(MID($AB1692,5,1)="-",DATE(VALUE(LEFT($AB1692,4)),VALUE(MID($AB1692,6,2)),VALUE(RIGHT($AB1692,2))),DATE(VALUE(RIGHT($AB1692,4)),VALUE(MID($AB1692,4,2)),VALUE(LEFT($AB1692,2)))))</f>
        <v>45789</v>
      </c>
      <c r="C1692" s="61" t="n">
        <f aca="false">YEAR($B1692)</f>
        <v>2025</v>
      </c>
      <c r="D1692" s="61" t="str">
        <f aca="false">"Q"&amp;ROUNDUP(MONTH($B1692)/3,0)</f>
        <v>Q2</v>
      </c>
      <c r="E1692" s="61" t="n">
        <f aca="false">MONTH($B1692)</f>
        <v>5</v>
      </c>
      <c r="F1692" s="61" t="str">
        <f aca="false">INDEX(Parametros!$I$5:$I$16,$E1692)</f>
        <v>May</v>
      </c>
      <c r="G1692" s="61" t="str">
        <f aca="false">TEXT($C1692,"0000")&amp;"-"&amp;TEXT($E1692,"00")</f>
        <v>2025-05</v>
      </c>
      <c r="H1692" s="61" t="str">
        <f aca="false">INDEX(Parametros!$C$71:$C$91,MATCH(TRIM(INDEX(Datos_Origen!$C$2:$C$2459,$Z1692)),Parametros!$B$71:$B$91,0))</f>
        <v>NOA</v>
      </c>
      <c r="I1692" s="61" t="str">
        <f aca="false">IF(TRIM($AD1692)="",INDEX(Parametros!$I$20:$I$24,MATCH($H1692,Parametros!$H$20:$H$24,0)),TRIM($AD1692))</f>
        <v>Tucuman</v>
      </c>
      <c r="J1692" s="61" t="str">
        <f aca="false">INDEX(Parametros!$C$95:$C$106,MATCH(TRIM(INDEX(Datos_Origen!$E$2:$E$2459,$Z1692)),Parametros!$B$95:$B$106,0))</f>
        <v>Tienda fisica</v>
      </c>
      <c r="K1692" s="61" t="str">
        <f aca="false">INDEX(Parametros!$C$48:$C$67,MATCH(TRIM(INDEX(Datos_Origen!$F$2:$F$2459,$Z1692)),Parametros!$B$48:$B$67,0))</f>
        <v>Accesorios</v>
      </c>
      <c r="L1692" s="61" t="str">
        <f aca="false">$K1692&amp;" "&amp;$C1692</f>
        <v>Accesorios 2025</v>
      </c>
      <c r="M1692" s="61" t="str">
        <f aca="false">TRIM(INDEX(Datos_Origen!$G$2:$G$2459,$Z1692))</f>
        <v>Webcam Full HD</v>
      </c>
      <c r="N1692" s="61" t="str">
        <f aca="false">$M1692&amp;" "&amp;$C1692</f>
        <v>Webcam Full HD 2025</v>
      </c>
      <c r="O1692" s="63" t="n">
        <f aca="false">IF(ISTEXT($AC1692),VALUE($AC1692),$AC1692)</f>
        <v>31</v>
      </c>
      <c r="P1692" s="64" t="n">
        <f aca="false">INDEX(Datos_Origen!$I$2:$I$2459,$Z1692)</f>
        <v>64.58</v>
      </c>
      <c r="Q1692" s="64" t="n">
        <f aca="false">INDEX(Datos_Origen!$J$2:$J$2459,$Z1692)</f>
        <v>36.49</v>
      </c>
      <c r="R1692" s="65" t="n">
        <f aca="false">ROUND($O1692*$P1692,2)</f>
        <v>2001.98</v>
      </c>
      <c r="S1692" s="65" t="n">
        <f aca="false">ROUND($O1692*$Q1692,2)</f>
        <v>1131.19</v>
      </c>
      <c r="T1692" s="65" t="n">
        <f aca="false">ROUND($R1692*SUMIFS(Parametros!$E$28:$E$43,Parametros!$B$28:$B$43,$J1692,Parametros!$C$28:$C$43,$C1692,Parametros!$D$28:$D$43,$D1692),2)</f>
        <v>28.03</v>
      </c>
      <c r="U1692" s="65" t="n">
        <f aca="false">$R1692-$S1692-$T1692</f>
        <v>842.76</v>
      </c>
      <c r="V1692" s="66" t="n">
        <f aca="false">IFERROR($U1692/$R1692,0)</f>
        <v>0.420963246386078</v>
      </c>
      <c r="W1692" s="67" t="str">
        <f aca="false">IF(AND($V1692&gt;=Parametros!$C$8,$R1692&gt;=Parametros!$C$12),"Alta rentabilidad",IF(OR($V1692&lt;Parametros!$C$11,$R1692&lt;Parametros!$C$13),"Revisar","Estandar"))</f>
        <v>Estandar</v>
      </c>
      <c r="X1692" s="67" t="str">
        <f aca="false">IF(AND($J1692="E-commerce",IFERROR($T1692/$R1692,0)&gt;Parametros!$C$14),"Alerta","OK")</f>
        <v>OK</v>
      </c>
      <c r="Y1692" s="61" t="str">
        <f aca="false">IF($R1692&gt;=Parametros!$C$12,"Alto",IF($R1692&lt;Parametros!$C$13,"Bajo","Medio"))</f>
        <v>Medio</v>
      </c>
      <c r="Z1692" s="61" t="n">
        <v>178</v>
      </c>
      <c r="AA1692" s="61" t="str">
        <f aca="false">IF(MATCH($A1692,Datos_Origen!$A$2:$A$2459,0)=$Z1692,"OK","REVISAR")</f>
        <v>OK</v>
      </c>
      <c r="AB1692" s="62" t="n">
        <f aca="false">INDEX(Datos_Origen!$B$2:$B$2459,$Z1692)</f>
        <v>45789</v>
      </c>
      <c r="AC1692" s="61" t="n">
        <f aca="false">INDEX(Datos_Origen!$H$2:$H$2459,$Z1692)</f>
        <v>31</v>
      </c>
      <c r="AD1692" s="61" t="str">
        <f aca="false">INDEX(Datos_Origen!$D$2:$D$2459,$Z1692)&amp;""</f>
        <v>Tucuman</v>
      </c>
    </row>
    <row r="1693" customFormat="false" ht="15" hidden="false" customHeight="false" outlineLevel="0" collapsed="false">
      <c r="A1693" s="61" t="n">
        <f aca="false">INDEX(Datos_Origen!$A$2:$A$2459,$Z1693)</f>
        <v>1692</v>
      </c>
      <c r="B1693" s="62" t="n">
        <f aca="false">IF(ISNUMBER($AB1693),$AB1693,IF(MID($AB1693,5,1)="-",DATE(VALUE(LEFT($AB1693,4)),VALUE(MID($AB1693,6,2)),VALUE(RIGHT($AB1693,2))),DATE(VALUE(RIGHT($AB1693,4)),VALUE(MID($AB1693,4,2)),VALUE(LEFT($AB1693,2)))))</f>
        <v>45796</v>
      </c>
      <c r="C1693" s="61" t="n">
        <f aca="false">YEAR($B1693)</f>
        <v>2025</v>
      </c>
      <c r="D1693" s="61" t="str">
        <f aca="false">"Q"&amp;ROUNDUP(MONTH($B1693)/3,0)</f>
        <v>Q2</v>
      </c>
      <c r="E1693" s="61" t="n">
        <f aca="false">MONTH($B1693)</f>
        <v>5</v>
      </c>
      <c r="F1693" s="61" t="str">
        <f aca="false">INDEX(Parametros!$I$5:$I$16,$E1693)</f>
        <v>May</v>
      </c>
      <c r="G1693" s="61" t="str">
        <f aca="false">TEXT($C1693,"0000")&amp;"-"&amp;TEXT($E1693,"00")</f>
        <v>2025-05</v>
      </c>
      <c r="H1693" s="61" t="str">
        <f aca="false">INDEX(Parametros!$C$71:$C$91,MATCH(TRIM(INDEX(Datos_Origen!$C$2:$C$2459,$Z1693)),Parametros!$B$71:$B$91,0))</f>
        <v>NOA</v>
      </c>
      <c r="I1693" s="61" t="str">
        <f aca="false">IF(TRIM($AD1693)="",INDEX(Parametros!$I$20:$I$24,MATCH($H1693,Parametros!$H$20:$H$24,0)),TRIM($AD1693))</f>
        <v>Tucuman</v>
      </c>
      <c r="J1693" s="61" t="str">
        <f aca="false">INDEX(Parametros!$C$95:$C$106,MATCH(TRIM(INDEX(Datos_Origen!$E$2:$E$2459,$Z1693)),Parametros!$B$95:$B$106,0))</f>
        <v>E-commerce</v>
      </c>
      <c r="K1693" s="61" t="str">
        <f aca="false">INDEX(Parametros!$C$48:$C$67,MATCH(TRIM(INDEX(Datos_Origen!$F$2:$F$2459,$Z1693)),Parametros!$B$48:$B$67,0))</f>
        <v>Accesorios</v>
      </c>
      <c r="L1693" s="61" t="str">
        <f aca="false">$K1693&amp;" "&amp;$C1693</f>
        <v>Accesorios 2025</v>
      </c>
      <c r="M1693" s="61" t="str">
        <f aca="false">TRIM(INDEX(Datos_Origen!$G$2:$G$2459,$Z1693))</f>
        <v>Webcam Full HD</v>
      </c>
      <c r="N1693" s="61" t="str">
        <f aca="false">$M1693&amp;" "&amp;$C1693</f>
        <v>Webcam Full HD 2025</v>
      </c>
      <c r="O1693" s="63" t="n">
        <f aca="false">IF(ISTEXT($AC1693),VALUE($AC1693),$AC1693)</f>
        <v>22</v>
      </c>
      <c r="P1693" s="64" t="n">
        <f aca="false">INDEX(Datos_Origen!$I$2:$I$2459,$Z1693)</f>
        <v>64.58</v>
      </c>
      <c r="Q1693" s="64" t="n">
        <f aca="false">INDEX(Datos_Origen!$J$2:$J$2459,$Z1693)</f>
        <v>36.49</v>
      </c>
      <c r="R1693" s="65" t="n">
        <f aca="false">ROUND($O1693*$P1693,2)</f>
        <v>1420.76</v>
      </c>
      <c r="S1693" s="65" t="n">
        <f aca="false">ROUND($O1693*$Q1693,2)</f>
        <v>802.78</v>
      </c>
      <c r="T1693" s="65" t="n">
        <f aca="false">ROUND($R1693*SUMIFS(Parametros!$E$28:$E$43,Parametros!$B$28:$B$43,$J1693,Parametros!$C$28:$C$43,$C1693,Parametros!$D$28:$D$43,$D1693),2)</f>
        <v>105.14</v>
      </c>
      <c r="U1693" s="65" t="n">
        <f aca="false">$R1693-$S1693-$T1693</f>
        <v>512.84</v>
      </c>
      <c r="V1693" s="66" t="n">
        <f aca="false">IFERROR($U1693/$R1693,0)</f>
        <v>0.360961738787691</v>
      </c>
      <c r="W1693" s="67" t="str">
        <f aca="false">IF(AND($V1693&gt;=Parametros!$C$8,$R1693&gt;=Parametros!$C$12),"Alta rentabilidad",IF(OR($V1693&lt;Parametros!$C$11,$R1693&lt;Parametros!$C$13),"Revisar","Estandar"))</f>
        <v>Estandar</v>
      </c>
      <c r="X1693" s="67" t="str">
        <f aca="false">IF(AND($J1693="E-commerce",IFERROR($T1693/$R1693,0)&gt;Parametros!$C$14),"Alerta","OK")</f>
        <v>Alerta</v>
      </c>
      <c r="Y1693" s="61" t="str">
        <f aca="false">IF($R1693&gt;=Parametros!$C$12,"Alto",IF($R1693&lt;Parametros!$C$13,"Bajo","Medio"))</f>
        <v>Medio</v>
      </c>
      <c r="Z1693" s="61" t="n">
        <v>533</v>
      </c>
      <c r="AA1693" s="61" t="str">
        <f aca="false">IF(MATCH($A1693,Datos_Origen!$A$2:$A$2459,0)=$Z1693,"OK","REVISAR")</f>
        <v>OK</v>
      </c>
      <c r="AB1693" s="62" t="n">
        <f aca="false">INDEX(Datos_Origen!$B$2:$B$2459,$Z1693)</f>
        <v>45796</v>
      </c>
      <c r="AC1693" s="61" t="n">
        <f aca="false">INDEX(Datos_Origen!$H$2:$H$2459,$Z1693)</f>
        <v>22</v>
      </c>
      <c r="AD1693" s="61" t="str">
        <f aca="false">INDEX(Datos_Origen!$D$2:$D$2459,$Z1693)&amp;""</f>
        <v>Tucuman</v>
      </c>
    </row>
    <row r="1694" customFormat="false" ht="15" hidden="false" customHeight="false" outlineLevel="0" collapsed="false">
      <c r="A1694" s="61" t="n">
        <f aca="false">INDEX(Datos_Origen!$A$2:$A$2459,$Z1694)</f>
        <v>1693</v>
      </c>
      <c r="B1694" s="62" t="n">
        <f aca="false">IF(ISNUMBER($AB1694),$AB1694,IF(MID($AB1694,5,1)="-",DATE(VALUE(LEFT($AB1694,4)),VALUE(MID($AB1694,6,2)),VALUE(RIGHT($AB1694,2))),DATE(VALUE(RIGHT($AB1694,4)),VALUE(MID($AB1694,4,2)),VALUE(LEFT($AB1694,2)))))</f>
        <v>45803</v>
      </c>
      <c r="C1694" s="61" t="n">
        <f aca="false">YEAR($B1694)</f>
        <v>2025</v>
      </c>
      <c r="D1694" s="61" t="str">
        <f aca="false">"Q"&amp;ROUNDUP(MONTH($B1694)/3,0)</f>
        <v>Q2</v>
      </c>
      <c r="E1694" s="61" t="n">
        <f aca="false">MONTH($B1694)</f>
        <v>5</v>
      </c>
      <c r="F1694" s="61" t="str">
        <f aca="false">INDEX(Parametros!$I$5:$I$16,$E1694)</f>
        <v>May</v>
      </c>
      <c r="G1694" s="61" t="str">
        <f aca="false">TEXT($C1694,"0000")&amp;"-"&amp;TEXT($E1694,"00")</f>
        <v>2025-05</v>
      </c>
      <c r="H1694" s="61" t="str">
        <f aca="false">INDEX(Parametros!$C$71:$C$91,MATCH(TRIM(INDEX(Datos_Origen!$C$2:$C$2459,$Z1694)),Parametros!$B$71:$B$91,0))</f>
        <v>NOA</v>
      </c>
      <c r="I1694" s="61" t="str">
        <f aca="false">IF(TRIM($AD1694)="",INDEX(Parametros!$I$20:$I$24,MATCH($H1694,Parametros!$H$20:$H$24,0)),TRIM($AD1694))</f>
        <v>Tucuman</v>
      </c>
      <c r="J1694" s="61" t="str">
        <f aca="false">INDEX(Parametros!$C$95:$C$106,MATCH(TRIM(INDEX(Datos_Origen!$E$2:$E$2459,$Z1694)),Parametros!$B$95:$B$106,0))</f>
        <v>Tienda fisica</v>
      </c>
      <c r="K1694" s="61" t="str">
        <f aca="false">INDEX(Parametros!$C$48:$C$67,MATCH(TRIM(INDEX(Datos_Origen!$F$2:$F$2459,$Z1694)),Parametros!$B$48:$B$67,0))</f>
        <v>Audio</v>
      </c>
      <c r="L1694" s="61" t="str">
        <f aca="false">$K1694&amp;" "&amp;$C1694</f>
        <v>Audio 2025</v>
      </c>
      <c r="M1694" s="61" t="str">
        <f aca="false">TRIM(INDEX(Datos_Origen!$G$2:$G$2459,$Z1694))</f>
        <v>Auriculares BT Pro</v>
      </c>
      <c r="N1694" s="61" t="str">
        <f aca="false">$M1694&amp;" "&amp;$C1694</f>
        <v>Auriculares BT Pro 2025</v>
      </c>
      <c r="O1694" s="63" t="n">
        <f aca="false">IF(ISTEXT($AC1694),VALUE($AC1694),$AC1694)</f>
        <v>13</v>
      </c>
      <c r="P1694" s="64" t="n">
        <f aca="false">INDEX(Datos_Origen!$I$2:$I$2459,$Z1694)</f>
        <v>119.23</v>
      </c>
      <c r="Q1694" s="64" t="n">
        <f aca="false">INDEX(Datos_Origen!$J$2:$J$2459,$Z1694)</f>
        <v>65.51</v>
      </c>
      <c r="R1694" s="65" t="n">
        <f aca="false">ROUND($O1694*$P1694,2)</f>
        <v>1549.99</v>
      </c>
      <c r="S1694" s="65" t="n">
        <f aca="false">ROUND($O1694*$Q1694,2)</f>
        <v>851.63</v>
      </c>
      <c r="T1694" s="65" t="n">
        <f aca="false">ROUND($R1694*SUMIFS(Parametros!$E$28:$E$43,Parametros!$B$28:$B$43,$J1694,Parametros!$C$28:$C$43,$C1694,Parametros!$D$28:$D$43,$D1694),2)</f>
        <v>21.7</v>
      </c>
      <c r="U1694" s="65" t="n">
        <f aca="false">$R1694-$S1694-$T1694</f>
        <v>676.66</v>
      </c>
      <c r="V1694" s="66" t="n">
        <f aca="false">IFERROR($U1694/$R1694,0)</f>
        <v>0.436557655210679</v>
      </c>
      <c r="W1694" s="67" t="str">
        <f aca="false">IF(AND($V1694&gt;=Parametros!$C$8,$R1694&gt;=Parametros!$C$12),"Alta rentabilidad",IF(OR($V1694&lt;Parametros!$C$11,$R1694&lt;Parametros!$C$13),"Revisar","Estandar"))</f>
        <v>Estandar</v>
      </c>
      <c r="X1694" s="67" t="str">
        <f aca="false">IF(AND($J1694="E-commerce",IFERROR($T1694/$R1694,0)&gt;Parametros!$C$14),"Alerta","OK")</f>
        <v>OK</v>
      </c>
      <c r="Y1694" s="61" t="str">
        <f aca="false">IF($R1694&gt;=Parametros!$C$12,"Alto",IF($R1694&lt;Parametros!$C$13,"Bajo","Medio"))</f>
        <v>Medio</v>
      </c>
      <c r="Z1694" s="61" t="n">
        <v>1748</v>
      </c>
      <c r="AA1694" s="61" t="str">
        <f aca="false">IF(MATCH($A1694,Datos_Origen!$A$2:$A$2459,0)=$Z1694,"OK","REVISAR")</f>
        <v>OK</v>
      </c>
      <c r="AB1694" s="62" t="n">
        <f aca="false">INDEX(Datos_Origen!$B$2:$B$2459,$Z1694)</f>
        <v>45803</v>
      </c>
      <c r="AC1694" s="61" t="n">
        <f aca="false">INDEX(Datos_Origen!$H$2:$H$2459,$Z1694)</f>
        <v>13</v>
      </c>
      <c r="AD1694" s="61" t="str">
        <f aca="false">INDEX(Datos_Origen!$D$2:$D$2459,$Z1694)&amp;""</f>
        <v>Tucuman</v>
      </c>
    </row>
    <row r="1695" customFormat="false" ht="15" hidden="false" customHeight="false" outlineLevel="0" collapsed="false">
      <c r="A1695" s="61" t="n">
        <f aca="false">INDEX(Datos_Origen!$A$2:$A$2459,$Z1695)</f>
        <v>1694</v>
      </c>
      <c r="B1695" s="62" t="n">
        <f aca="false">IF(ISNUMBER($AB1695),$AB1695,IF(MID($AB1695,5,1)="-",DATE(VALUE(LEFT($AB1695,4)),VALUE(MID($AB1695,6,2)),VALUE(RIGHT($AB1695,2))),DATE(VALUE(RIGHT($AB1695,4)),VALUE(MID($AB1695,4,2)),VALUE(LEFT($AB1695,2)))))</f>
        <v>45783</v>
      </c>
      <c r="C1695" s="61" t="n">
        <f aca="false">YEAR($B1695)</f>
        <v>2025</v>
      </c>
      <c r="D1695" s="61" t="str">
        <f aca="false">"Q"&amp;ROUNDUP(MONTH($B1695)/3,0)</f>
        <v>Q2</v>
      </c>
      <c r="E1695" s="61" t="n">
        <f aca="false">MONTH($B1695)</f>
        <v>5</v>
      </c>
      <c r="F1695" s="61" t="str">
        <f aca="false">INDEX(Parametros!$I$5:$I$16,$E1695)</f>
        <v>May</v>
      </c>
      <c r="G1695" s="61" t="str">
        <f aca="false">TEXT($C1695,"0000")&amp;"-"&amp;TEXT($E1695,"00")</f>
        <v>2025-05</v>
      </c>
      <c r="H1695" s="61" t="str">
        <f aca="false">INDEX(Parametros!$C$71:$C$91,MATCH(TRIM(INDEX(Datos_Origen!$C$2:$C$2459,$Z1695)),Parametros!$B$71:$B$91,0))</f>
        <v>NOA</v>
      </c>
      <c r="I1695" s="61" t="str">
        <f aca="false">IF(TRIM($AD1695)="",INDEX(Parametros!$I$20:$I$24,MATCH($H1695,Parametros!$H$20:$H$24,0)),TRIM($AD1695))</f>
        <v>Tucuman</v>
      </c>
      <c r="J1695" s="61" t="str">
        <f aca="false">INDEX(Parametros!$C$95:$C$106,MATCH(TRIM(INDEX(Datos_Origen!$E$2:$E$2459,$Z1695)),Parametros!$B$95:$B$106,0))</f>
        <v>E-commerce</v>
      </c>
      <c r="K1695" s="61" t="str">
        <f aca="false">INDEX(Parametros!$C$48:$C$67,MATCH(TRIM(INDEX(Datos_Origen!$F$2:$F$2459,$Z1695)),Parametros!$B$48:$B$67,0))</f>
        <v>Audio</v>
      </c>
      <c r="L1695" s="61" t="str">
        <f aca="false">$K1695&amp;" "&amp;$C1695</f>
        <v>Audio 2025</v>
      </c>
      <c r="M1695" s="61" t="str">
        <f aca="false">TRIM(INDEX(Datos_Origen!$G$2:$G$2459,$Z1695))</f>
        <v>Auriculares BT Pro</v>
      </c>
      <c r="N1695" s="61" t="str">
        <f aca="false">$M1695&amp;" "&amp;$C1695</f>
        <v>Auriculares BT Pro 2025</v>
      </c>
      <c r="O1695" s="63" t="n">
        <f aca="false">IF(ISTEXT($AC1695),VALUE($AC1695),$AC1695)</f>
        <v>8</v>
      </c>
      <c r="P1695" s="64" t="n">
        <f aca="false">INDEX(Datos_Origen!$I$2:$I$2459,$Z1695)</f>
        <v>119.23</v>
      </c>
      <c r="Q1695" s="64" t="n">
        <f aca="false">INDEX(Datos_Origen!$J$2:$J$2459,$Z1695)</f>
        <v>65.51</v>
      </c>
      <c r="R1695" s="65" t="n">
        <f aca="false">ROUND($O1695*$P1695,2)</f>
        <v>953.84</v>
      </c>
      <c r="S1695" s="65" t="n">
        <f aca="false">ROUND($O1695*$Q1695,2)</f>
        <v>524.08</v>
      </c>
      <c r="T1695" s="65" t="n">
        <f aca="false">ROUND($R1695*SUMIFS(Parametros!$E$28:$E$43,Parametros!$B$28:$B$43,$J1695,Parametros!$C$28:$C$43,$C1695,Parametros!$D$28:$D$43,$D1695),2)</f>
        <v>70.58</v>
      </c>
      <c r="U1695" s="65" t="n">
        <f aca="false">$R1695-$S1695-$T1695</f>
        <v>359.18</v>
      </c>
      <c r="V1695" s="66" t="n">
        <f aca="false">IFERROR($U1695/$R1695,0)</f>
        <v>0.376562106852302</v>
      </c>
      <c r="W1695" s="67" t="str">
        <f aca="false">IF(AND($V1695&gt;=Parametros!$C$8,$R1695&gt;=Parametros!$C$12),"Alta rentabilidad",IF(OR($V1695&lt;Parametros!$C$11,$R1695&lt;Parametros!$C$13),"Revisar","Estandar"))</f>
        <v>Estandar</v>
      </c>
      <c r="X1695" s="67" t="str">
        <f aca="false">IF(AND($J1695="E-commerce",IFERROR($T1695/$R1695,0)&gt;Parametros!$C$14),"Alerta","OK")</f>
        <v>Alerta</v>
      </c>
      <c r="Y1695" s="61" t="str">
        <f aca="false">IF($R1695&gt;=Parametros!$C$12,"Alto",IF($R1695&lt;Parametros!$C$13,"Bajo","Medio"))</f>
        <v>Medio</v>
      </c>
      <c r="Z1695" s="61" t="n">
        <v>2423</v>
      </c>
      <c r="AA1695" s="61" t="str">
        <f aca="false">IF(MATCH($A1695,Datos_Origen!$A$2:$A$2459,0)=$Z1695,"OK","REVISAR")</f>
        <v>OK</v>
      </c>
      <c r="AB1695" s="62" t="n">
        <f aca="false">INDEX(Datos_Origen!$B$2:$B$2459,$Z1695)</f>
        <v>45783</v>
      </c>
      <c r="AC1695" s="61" t="n">
        <f aca="false">INDEX(Datos_Origen!$H$2:$H$2459,$Z1695)</f>
        <v>8</v>
      </c>
      <c r="AD1695" s="61" t="str">
        <f aca="false">INDEX(Datos_Origen!$D$2:$D$2459,$Z1695)&amp;""</f>
        <v>Tucuman</v>
      </c>
    </row>
    <row r="1696" customFormat="false" ht="15" hidden="false" customHeight="false" outlineLevel="0" collapsed="false">
      <c r="A1696" s="61" t="n">
        <f aca="false">INDEX(Datos_Origen!$A$2:$A$2459,$Z1696)</f>
        <v>1695</v>
      </c>
      <c r="B1696" s="62" t="n">
        <f aca="false">IF(ISNUMBER($AB1696),$AB1696,IF(MID($AB1696,5,1)="-",DATE(VALUE(LEFT($AB1696,4)),VALUE(MID($AB1696,6,2)),VALUE(RIGHT($AB1696,2))),DATE(VALUE(RIGHT($AB1696,4)),VALUE(MID($AB1696,4,2)),VALUE(LEFT($AB1696,2)))))</f>
        <v>45790</v>
      </c>
      <c r="C1696" s="61" t="n">
        <f aca="false">YEAR($B1696)</f>
        <v>2025</v>
      </c>
      <c r="D1696" s="61" t="str">
        <f aca="false">"Q"&amp;ROUNDUP(MONTH($B1696)/3,0)</f>
        <v>Q2</v>
      </c>
      <c r="E1696" s="61" t="n">
        <f aca="false">MONTH($B1696)</f>
        <v>5</v>
      </c>
      <c r="F1696" s="61" t="str">
        <f aca="false">INDEX(Parametros!$I$5:$I$16,$E1696)</f>
        <v>May</v>
      </c>
      <c r="G1696" s="61" t="str">
        <f aca="false">TEXT($C1696,"0000")&amp;"-"&amp;TEXT($E1696,"00")</f>
        <v>2025-05</v>
      </c>
      <c r="H1696" s="61" t="str">
        <f aca="false">INDEX(Parametros!$C$71:$C$91,MATCH(TRIM(INDEX(Datos_Origen!$C$2:$C$2459,$Z1696)),Parametros!$B$71:$B$91,0))</f>
        <v>NOA</v>
      </c>
      <c r="I1696" s="61" t="str">
        <f aca="false">IF(TRIM($AD1696)="",INDEX(Parametros!$I$20:$I$24,MATCH($H1696,Parametros!$H$20:$H$24,0)),TRIM($AD1696))</f>
        <v>Tucuman</v>
      </c>
      <c r="J1696" s="61" t="str">
        <f aca="false">INDEX(Parametros!$C$95:$C$106,MATCH(TRIM(INDEX(Datos_Origen!$E$2:$E$2459,$Z1696)),Parametros!$B$95:$B$106,0))</f>
        <v>Tienda fisica</v>
      </c>
      <c r="K1696" s="61" t="str">
        <f aca="false">INDEX(Parametros!$C$48:$C$67,MATCH(TRIM(INDEX(Datos_Origen!$F$2:$F$2459,$Z1696)),Parametros!$B$48:$B$67,0))</f>
        <v>Audio</v>
      </c>
      <c r="L1696" s="61" t="str">
        <f aca="false">$K1696&amp;" "&amp;$C1696</f>
        <v>Audio 2025</v>
      </c>
      <c r="M1696" s="61" t="str">
        <f aca="false">TRIM(INDEX(Datos_Origen!$G$2:$G$2459,$Z1696))</f>
        <v>Parlante Bluetooth</v>
      </c>
      <c r="N1696" s="61" t="str">
        <f aca="false">$M1696&amp;" "&amp;$C1696</f>
        <v>Parlante Bluetooth 2025</v>
      </c>
      <c r="O1696" s="63" t="n">
        <f aca="false">IF(ISTEXT($AC1696),VALUE($AC1696),$AC1696)</f>
        <v>13</v>
      </c>
      <c r="P1696" s="64" t="n">
        <f aca="false">INDEX(Datos_Origen!$I$2:$I$2459,$Z1696)</f>
        <v>84.46</v>
      </c>
      <c r="Q1696" s="64" t="n">
        <f aca="false">INDEX(Datos_Origen!$J$2:$J$2459,$Z1696)</f>
        <v>49.47</v>
      </c>
      <c r="R1696" s="65" t="n">
        <f aca="false">ROUND($O1696*$P1696,2)</f>
        <v>1097.98</v>
      </c>
      <c r="S1696" s="65" t="n">
        <f aca="false">ROUND($O1696*$Q1696,2)</f>
        <v>643.11</v>
      </c>
      <c r="T1696" s="65" t="n">
        <f aca="false">ROUND($R1696*SUMIFS(Parametros!$E$28:$E$43,Parametros!$B$28:$B$43,$J1696,Parametros!$C$28:$C$43,$C1696,Parametros!$D$28:$D$43,$D1696),2)</f>
        <v>15.37</v>
      </c>
      <c r="U1696" s="65" t="n">
        <f aca="false">$R1696-$S1696-$T1696</f>
        <v>439.5</v>
      </c>
      <c r="V1696" s="66" t="n">
        <f aca="false">IFERROR($U1696/$R1696,0)</f>
        <v>0.40028051512778</v>
      </c>
      <c r="W1696" s="67" t="str">
        <f aca="false">IF(AND($V1696&gt;=Parametros!$C$8,$R1696&gt;=Parametros!$C$12),"Alta rentabilidad",IF(OR($V1696&lt;Parametros!$C$11,$R1696&lt;Parametros!$C$13),"Revisar","Estandar"))</f>
        <v>Estandar</v>
      </c>
      <c r="X1696" s="67" t="str">
        <f aca="false">IF(AND($J1696="E-commerce",IFERROR($T1696/$R1696,0)&gt;Parametros!$C$14),"Alerta","OK")</f>
        <v>OK</v>
      </c>
      <c r="Y1696" s="61" t="str">
        <f aca="false">IF($R1696&gt;=Parametros!$C$12,"Alto",IF($R1696&lt;Parametros!$C$13,"Bajo","Medio"))</f>
        <v>Medio</v>
      </c>
      <c r="Z1696" s="61" t="n">
        <v>33</v>
      </c>
      <c r="AA1696" s="61" t="str">
        <f aca="false">IF(MATCH($A1696,Datos_Origen!$A$2:$A$2459,0)=$Z1696,"OK","REVISAR")</f>
        <v>OK</v>
      </c>
      <c r="AB1696" s="61" t="str">
        <f aca="false">INDEX(Datos_Origen!$B$2:$B$2459,$Z1696)</f>
        <v>13/05/2025</v>
      </c>
      <c r="AC1696" s="61" t="n">
        <f aca="false">INDEX(Datos_Origen!$H$2:$H$2459,$Z1696)</f>
        <v>13</v>
      </c>
      <c r="AD1696" s="61" t="str">
        <f aca="false">INDEX(Datos_Origen!$D$2:$D$2459,$Z1696)&amp;""</f>
        <v>Tucuman</v>
      </c>
    </row>
    <row r="1697" customFormat="false" ht="15" hidden="false" customHeight="false" outlineLevel="0" collapsed="false">
      <c r="A1697" s="61" t="n">
        <f aca="false">INDEX(Datos_Origen!$A$2:$A$2459,$Z1697)</f>
        <v>1696</v>
      </c>
      <c r="B1697" s="62" t="n">
        <f aca="false">IF(ISNUMBER($AB1697),$AB1697,IF(MID($AB1697,5,1)="-",DATE(VALUE(LEFT($AB1697,4)),VALUE(MID($AB1697,6,2)),VALUE(RIGHT($AB1697,2))),DATE(VALUE(RIGHT($AB1697,4)),VALUE(MID($AB1697,4,2)),VALUE(LEFT($AB1697,2)))))</f>
        <v>45797</v>
      </c>
      <c r="C1697" s="61" t="n">
        <f aca="false">YEAR($B1697)</f>
        <v>2025</v>
      </c>
      <c r="D1697" s="61" t="str">
        <f aca="false">"Q"&amp;ROUNDUP(MONTH($B1697)/3,0)</f>
        <v>Q2</v>
      </c>
      <c r="E1697" s="61" t="n">
        <f aca="false">MONTH($B1697)</f>
        <v>5</v>
      </c>
      <c r="F1697" s="61" t="str">
        <f aca="false">INDEX(Parametros!$I$5:$I$16,$E1697)</f>
        <v>May</v>
      </c>
      <c r="G1697" s="61" t="str">
        <f aca="false">TEXT($C1697,"0000")&amp;"-"&amp;TEXT($E1697,"00")</f>
        <v>2025-05</v>
      </c>
      <c r="H1697" s="61" t="str">
        <f aca="false">INDEX(Parametros!$C$71:$C$91,MATCH(TRIM(INDEX(Datos_Origen!$C$2:$C$2459,$Z1697)),Parametros!$B$71:$B$91,0))</f>
        <v>NOA</v>
      </c>
      <c r="I1697" s="61" t="str">
        <f aca="false">IF(TRIM($AD1697)="",INDEX(Parametros!$I$20:$I$24,MATCH($H1697,Parametros!$H$20:$H$24,0)),TRIM($AD1697))</f>
        <v>Tucuman</v>
      </c>
      <c r="J1697" s="61" t="str">
        <f aca="false">INDEX(Parametros!$C$95:$C$106,MATCH(TRIM(INDEX(Datos_Origen!$E$2:$E$2459,$Z1697)),Parametros!$B$95:$B$106,0))</f>
        <v>E-commerce</v>
      </c>
      <c r="K1697" s="61" t="str">
        <f aca="false">INDEX(Parametros!$C$48:$C$67,MATCH(TRIM(INDEX(Datos_Origen!$F$2:$F$2459,$Z1697)),Parametros!$B$48:$B$67,0))</f>
        <v>Audio</v>
      </c>
      <c r="L1697" s="61" t="str">
        <f aca="false">$K1697&amp;" "&amp;$C1697</f>
        <v>Audio 2025</v>
      </c>
      <c r="M1697" s="61" t="str">
        <f aca="false">TRIM(INDEX(Datos_Origen!$G$2:$G$2459,$Z1697))</f>
        <v>Parlante Bluetooth</v>
      </c>
      <c r="N1697" s="61" t="str">
        <f aca="false">$M1697&amp;" "&amp;$C1697</f>
        <v>Parlante Bluetooth 2025</v>
      </c>
      <c r="O1697" s="63" t="n">
        <f aca="false">IF(ISTEXT($AC1697),VALUE($AC1697),$AC1697)</f>
        <v>9</v>
      </c>
      <c r="P1697" s="64" t="n">
        <f aca="false">INDEX(Datos_Origen!$I$2:$I$2459,$Z1697)</f>
        <v>84.46</v>
      </c>
      <c r="Q1697" s="64" t="n">
        <f aca="false">INDEX(Datos_Origen!$J$2:$J$2459,$Z1697)</f>
        <v>49.47</v>
      </c>
      <c r="R1697" s="65" t="n">
        <f aca="false">ROUND($O1697*$P1697,2)</f>
        <v>760.14</v>
      </c>
      <c r="S1697" s="65" t="n">
        <f aca="false">ROUND($O1697*$Q1697,2)</f>
        <v>445.23</v>
      </c>
      <c r="T1697" s="65" t="n">
        <f aca="false">ROUND($R1697*SUMIFS(Parametros!$E$28:$E$43,Parametros!$B$28:$B$43,$J1697,Parametros!$C$28:$C$43,$C1697,Parametros!$D$28:$D$43,$D1697),2)</f>
        <v>56.25</v>
      </c>
      <c r="U1697" s="65" t="n">
        <f aca="false">$R1697-$S1697-$T1697</f>
        <v>258.66</v>
      </c>
      <c r="V1697" s="66" t="n">
        <f aca="false">IFERROR($U1697/$R1697,0)</f>
        <v>0.340279422211698</v>
      </c>
      <c r="W1697" s="67" t="str">
        <f aca="false">IF(AND($V1697&gt;=Parametros!$C$8,$R1697&gt;=Parametros!$C$12),"Alta rentabilidad",IF(OR($V1697&lt;Parametros!$C$11,$R1697&lt;Parametros!$C$13),"Revisar","Estandar"))</f>
        <v>Estandar</v>
      </c>
      <c r="X1697" s="67" t="str">
        <f aca="false">IF(AND($J1697="E-commerce",IFERROR($T1697/$R1697,0)&gt;Parametros!$C$14),"Alerta","OK")</f>
        <v>Alerta</v>
      </c>
      <c r="Y1697" s="61" t="str">
        <f aca="false">IF($R1697&gt;=Parametros!$C$12,"Alto",IF($R1697&lt;Parametros!$C$13,"Bajo","Medio"))</f>
        <v>Medio</v>
      </c>
      <c r="Z1697" s="61" t="n">
        <v>1841</v>
      </c>
      <c r="AA1697" s="61" t="str">
        <f aca="false">IF(MATCH($A1697,Datos_Origen!$A$2:$A$2459,0)=$Z1697,"OK","REVISAR")</f>
        <v>OK</v>
      </c>
      <c r="AB1697" s="62" t="n">
        <f aca="false">INDEX(Datos_Origen!$B$2:$B$2459,$Z1697)</f>
        <v>45797</v>
      </c>
      <c r="AC1697" s="61" t="str">
        <f aca="false">INDEX(Datos_Origen!$H$2:$H$2459,$Z1697)</f>
        <v>9</v>
      </c>
      <c r="AD1697" s="61" t="str">
        <f aca="false">INDEX(Datos_Origen!$D$2:$D$2459,$Z1697)&amp;""</f>
        <v>Tucuman</v>
      </c>
    </row>
    <row r="1698" customFormat="false" ht="15" hidden="false" customHeight="false" outlineLevel="0" collapsed="false">
      <c r="A1698" s="61" t="n">
        <f aca="false">INDEX(Datos_Origen!$A$2:$A$2459,$Z1698)</f>
        <v>1697</v>
      </c>
      <c r="B1698" s="62" t="n">
        <f aca="false">IF(ISNUMBER($AB1698),$AB1698,IF(MID($AB1698,5,1)="-",DATE(VALUE(LEFT($AB1698,4)),VALUE(MID($AB1698,6,2)),VALUE(RIGHT($AB1698,2))),DATE(VALUE(RIGHT($AB1698,4)),VALUE(MID($AB1698,4,2)),VALUE(LEFT($AB1698,2)))))</f>
        <v>45804</v>
      </c>
      <c r="C1698" s="61" t="n">
        <f aca="false">YEAR($B1698)</f>
        <v>2025</v>
      </c>
      <c r="D1698" s="61" t="str">
        <f aca="false">"Q"&amp;ROUNDUP(MONTH($B1698)/3,0)</f>
        <v>Q2</v>
      </c>
      <c r="E1698" s="61" t="n">
        <f aca="false">MONTH($B1698)</f>
        <v>5</v>
      </c>
      <c r="F1698" s="61" t="str">
        <f aca="false">INDEX(Parametros!$I$5:$I$16,$E1698)</f>
        <v>May</v>
      </c>
      <c r="G1698" s="61" t="str">
        <f aca="false">TEXT($C1698,"0000")&amp;"-"&amp;TEXT($E1698,"00")</f>
        <v>2025-05</v>
      </c>
      <c r="H1698" s="61" t="str">
        <f aca="false">INDEX(Parametros!$C$71:$C$91,MATCH(TRIM(INDEX(Datos_Origen!$C$2:$C$2459,$Z1698)),Parametros!$B$71:$B$91,0))</f>
        <v>NOA</v>
      </c>
      <c r="I1698" s="61" t="str">
        <f aca="false">IF(TRIM($AD1698)="",INDEX(Parametros!$I$20:$I$24,MATCH($H1698,Parametros!$H$20:$H$24,0)),TRIM($AD1698))</f>
        <v>Tucuman</v>
      </c>
      <c r="J1698" s="61" t="str">
        <f aca="false">INDEX(Parametros!$C$95:$C$106,MATCH(TRIM(INDEX(Datos_Origen!$E$2:$E$2459,$Z1698)),Parametros!$B$95:$B$106,0))</f>
        <v>Tienda fisica</v>
      </c>
      <c r="K1698" s="61" t="str">
        <f aca="false">INDEX(Parametros!$C$48:$C$67,MATCH(TRIM(INDEX(Datos_Origen!$F$2:$F$2459,$Z1698)),Parametros!$B$48:$B$67,0))</f>
        <v>Almacenamiento</v>
      </c>
      <c r="L1698" s="61" t="str">
        <f aca="false">$K1698&amp;" "&amp;$C1698</f>
        <v>Almacenamiento 2025</v>
      </c>
      <c r="M1698" s="61" t="str">
        <f aca="false">TRIM(INDEX(Datos_Origen!$G$2:$G$2459,$Z1698))</f>
        <v>SSD Externo 1TB</v>
      </c>
      <c r="N1698" s="61" t="str">
        <f aca="false">$M1698&amp;" "&amp;$C1698</f>
        <v>SSD Externo 1TB 2025</v>
      </c>
      <c r="O1698" s="63" t="n">
        <f aca="false">IF(ISTEXT($AC1698),VALUE($AC1698),$AC1698)</f>
        <v>18</v>
      </c>
      <c r="P1698" s="64" t="n">
        <f aca="false">INDEX(Datos_Origen!$I$2:$I$2459,$Z1698)</f>
        <v>129.17</v>
      </c>
      <c r="Q1698" s="64" t="n">
        <f aca="false">INDEX(Datos_Origen!$J$2:$J$2459,$Z1698)</f>
        <v>78.33</v>
      </c>
      <c r="R1698" s="65" t="n">
        <f aca="false">ROUND($O1698*$P1698,2)</f>
        <v>2325.06</v>
      </c>
      <c r="S1698" s="65" t="n">
        <f aca="false">ROUND($O1698*$Q1698,2)</f>
        <v>1409.94</v>
      </c>
      <c r="T1698" s="65" t="n">
        <f aca="false">ROUND($R1698*SUMIFS(Parametros!$E$28:$E$43,Parametros!$B$28:$B$43,$J1698,Parametros!$C$28:$C$43,$C1698,Parametros!$D$28:$D$43,$D1698),2)</f>
        <v>32.55</v>
      </c>
      <c r="U1698" s="65" t="n">
        <f aca="false">$R1698-$S1698-$T1698</f>
        <v>882.57</v>
      </c>
      <c r="V1698" s="66" t="n">
        <f aca="false">IFERROR($U1698/$R1698,0)</f>
        <v>0.379590204123765</v>
      </c>
      <c r="W1698" s="67" t="str">
        <f aca="false">IF(AND($V1698&gt;=Parametros!$C$8,$R1698&gt;=Parametros!$C$12),"Alta rentabilidad",IF(OR($V1698&lt;Parametros!$C$11,$R1698&lt;Parametros!$C$13),"Revisar","Estandar"))</f>
        <v>Estandar</v>
      </c>
      <c r="X1698" s="67" t="str">
        <f aca="false">IF(AND($J1698="E-commerce",IFERROR($T1698/$R1698,0)&gt;Parametros!$C$14),"Alerta","OK")</f>
        <v>OK</v>
      </c>
      <c r="Y1698" s="61" t="str">
        <f aca="false">IF($R1698&gt;=Parametros!$C$12,"Alto",IF($R1698&lt;Parametros!$C$13,"Bajo","Medio"))</f>
        <v>Medio</v>
      </c>
      <c r="Z1698" s="61" t="n">
        <v>811</v>
      </c>
      <c r="AA1698" s="61" t="str">
        <f aca="false">IF(MATCH($A1698,Datos_Origen!$A$2:$A$2459,0)=$Z1698,"OK","REVISAR")</f>
        <v>OK</v>
      </c>
      <c r="AB1698" s="62" t="n">
        <f aca="false">INDEX(Datos_Origen!$B$2:$B$2459,$Z1698)</f>
        <v>45804</v>
      </c>
      <c r="AC1698" s="61" t="n">
        <f aca="false">INDEX(Datos_Origen!$H$2:$H$2459,$Z1698)</f>
        <v>18</v>
      </c>
      <c r="AD1698" s="61" t="str">
        <f aca="false">INDEX(Datos_Origen!$D$2:$D$2459,$Z1698)&amp;""</f>
        <v>Tucuman</v>
      </c>
    </row>
    <row r="1699" customFormat="false" ht="15" hidden="false" customHeight="false" outlineLevel="0" collapsed="false">
      <c r="A1699" s="61" t="n">
        <f aca="false">INDEX(Datos_Origen!$A$2:$A$2459,$Z1699)</f>
        <v>1698</v>
      </c>
      <c r="B1699" s="62" t="n">
        <f aca="false">IF(ISNUMBER($AB1699),$AB1699,IF(MID($AB1699,5,1)="-",DATE(VALUE(LEFT($AB1699,4)),VALUE(MID($AB1699,6,2)),VALUE(RIGHT($AB1699,2))),DATE(VALUE(RIGHT($AB1699,4)),VALUE(MID($AB1699,4,2)),VALUE(LEFT($AB1699,2)))))</f>
        <v>45784</v>
      </c>
      <c r="C1699" s="61" t="n">
        <f aca="false">YEAR($B1699)</f>
        <v>2025</v>
      </c>
      <c r="D1699" s="61" t="str">
        <f aca="false">"Q"&amp;ROUNDUP(MONTH($B1699)/3,0)</f>
        <v>Q2</v>
      </c>
      <c r="E1699" s="61" t="n">
        <f aca="false">MONTH($B1699)</f>
        <v>5</v>
      </c>
      <c r="F1699" s="61" t="str">
        <f aca="false">INDEX(Parametros!$I$5:$I$16,$E1699)</f>
        <v>May</v>
      </c>
      <c r="G1699" s="61" t="str">
        <f aca="false">TEXT($C1699,"0000")&amp;"-"&amp;TEXT($E1699,"00")</f>
        <v>2025-05</v>
      </c>
      <c r="H1699" s="61" t="str">
        <f aca="false">INDEX(Parametros!$C$71:$C$91,MATCH(TRIM(INDEX(Datos_Origen!$C$2:$C$2459,$Z1699)),Parametros!$B$71:$B$91,0))</f>
        <v>NOA</v>
      </c>
      <c r="I1699" s="61" t="str">
        <f aca="false">IF(TRIM($AD1699)="",INDEX(Parametros!$I$20:$I$24,MATCH($H1699,Parametros!$H$20:$H$24,0)),TRIM($AD1699))</f>
        <v>Tucuman</v>
      </c>
      <c r="J1699" s="61" t="str">
        <f aca="false">INDEX(Parametros!$C$95:$C$106,MATCH(TRIM(INDEX(Datos_Origen!$E$2:$E$2459,$Z1699)),Parametros!$B$95:$B$106,0))</f>
        <v>E-commerce</v>
      </c>
      <c r="K1699" s="61" t="str">
        <f aca="false">INDEX(Parametros!$C$48:$C$67,MATCH(TRIM(INDEX(Datos_Origen!$F$2:$F$2459,$Z1699)),Parametros!$B$48:$B$67,0))</f>
        <v>Almacenamiento</v>
      </c>
      <c r="L1699" s="61" t="str">
        <f aca="false">$K1699&amp;" "&amp;$C1699</f>
        <v>Almacenamiento 2025</v>
      </c>
      <c r="M1699" s="61" t="str">
        <f aca="false">TRIM(INDEX(Datos_Origen!$G$2:$G$2459,$Z1699))</f>
        <v>SSD Externo 1TB</v>
      </c>
      <c r="N1699" s="61" t="str">
        <f aca="false">$M1699&amp;" "&amp;$C1699</f>
        <v>SSD Externo 1TB 2025</v>
      </c>
      <c r="O1699" s="63" t="n">
        <f aca="false">IF(ISTEXT($AC1699),VALUE($AC1699),$AC1699)</f>
        <v>12</v>
      </c>
      <c r="P1699" s="64" t="n">
        <f aca="false">INDEX(Datos_Origen!$I$2:$I$2459,$Z1699)</f>
        <v>129.17</v>
      </c>
      <c r="Q1699" s="64" t="n">
        <f aca="false">INDEX(Datos_Origen!$J$2:$J$2459,$Z1699)</f>
        <v>78.33</v>
      </c>
      <c r="R1699" s="65" t="n">
        <f aca="false">ROUND($O1699*$P1699,2)</f>
        <v>1550.04</v>
      </c>
      <c r="S1699" s="65" t="n">
        <f aca="false">ROUND($O1699*$Q1699,2)</f>
        <v>939.96</v>
      </c>
      <c r="T1699" s="65" t="n">
        <f aca="false">ROUND($R1699*SUMIFS(Parametros!$E$28:$E$43,Parametros!$B$28:$B$43,$J1699,Parametros!$C$28:$C$43,$C1699,Parametros!$D$28:$D$43,$D1699),2)</f>
        <v>114.7</v>
      </c>
      <c r="U1699" s="65" t="n">
        <f aca="false">$R1699-$S1699-$T1699</f>
        <v>495.38</v>
      </c>
      <c r="V1699" s="66" t="n">
        <f aca="false">IFERROR($U1699/$R1699,0)</f>
        <v>0.319591752470904</v>
      </c>
      <c r="W1699" s="67" t="str">
        <f aca="false">IF(AND($V1699&gt;=Parametros!$C$8,$R1699&gt;=Parametros!$C$12),"Alta rentabilidad",IF(OR($V1699&lt;Parametros!$C$11,$R1699&lt;Parametros!$C$13),"Revisar","Estandar"))</f>
        <v>Estandar</v>
      </c>
      <c r="X1699" s="67" t="str">
        <f aca="false">IF(AND($J1699="E-commerce",IFERROR($T1699/$R1699,0)&gt;Parametros!$C$14),"Alerta","OK")</f>
        <v>Alerta</v>
      </c>
      <c r="Y1699" s="61" t="str">
        <f aca="false">IF($R1699&gt;=Parametros!$C$12,"Alto",IF($R1699&lt;Parametros!$C$13,"Bajo","Medio"))</f>
        <v>Medio</v>
      </c>
      <c r="Z1699" s="61" t="n">
        <v>454</v>
      </c>
      <c r="AA1699" s="61" t="str">
        <f aca="false">IF(MATCH($A1699,Datos_Origen!$A$2:$A$2459,0)=$Z1699,"OK","REVISAR")</f>
        <v>OK</v>
      </c>
      <c r="AB1699" s="61" t="str">
        <f aca="false">INDEX(Datos_Origen!$B$2:$B$2459,$Z1699)</f>
        <v>2025-05-07</v>
      </c>
      <c r="AC1699" s="61" t="n">
        <f aca="false">INDEX(Datos_Origen!$H$2:$H$2459,$Z1699)</f>
        <v>12</v>
      </c>
      <c r="AD1699" s="61" t="str">
        <f aca="false">INDEX(Datos_Origen!$D$2:$D$2459,$Z1699)&amp;""</f>
        <v>Tucuman</v>
      </c>
    </row>
    <row r="1700" customFormat="false" ht="15" hidden="false" customHeight="false" outlineLevel="0" collapsed="false">
      <c r="A1700" s="61" t="n">
        <f aca="false">INDEX(Datos_Origen!$A$2:$A$2459,$Z1700)</f>
        <v>1699</v>
      </c>
      <c r="B1700" s="62" t="n">
        <f aca="false">IF(ISNUMBER($AB1700),$AB1700,IF(MID($AB1700,5,1)="-",DATE(VALUE(LEFT($AB1700,4)),VALUE(MID($AB1700,6,2)),VALUE(RIGHT($AB1700,2))),DATE(VALUE(RIGHT($AB1700,4)),VALUE(MID($AB1700,4,2)),VALUE(LEFT($AB1700,2)))))</f>
        <v>45791</v>
      </c>
      <c r="C1700" s="61" t="n">
        <f aca="false">YEAR($B1700)</f>
        <v>2025</v>
      </c>
      <c r="D1700" s="61" t="str">
        <f aca="false">"Q"&amp;ROUNDUP(MONTH($B1700)/3,0)</f>
        <v>Q2</v>
      </c>
      <c r="E1700" s="61" t="n">
        <f aca="false">MONTH($B1700)</f>
        <v>5</v>
      </c>
      <c r="F1700" s="61" t="str">
        <f aca="false">INDEX(Parametros!$I$5:$I$16,$E1700)</f>
        <v>May</v>
      </c>
      <c r="G1700" s="61" t="str">
        <f aca="false">TEXT($C1700,"0000")&amp;"-"&amp;TEXT($E1700,"00")</f>
        <v>2025-05</v>
      </c>
      <c r="H1700" s="61" t="str">
        <f aca="false">INDEX(Parametros!$C$71:$C$91,MATCH(TRIM(INDEX(Datos_Origen!$C$2:$C$2459,$Z1700)),Parametros!$B$71:$B$91,0))</f>
        <v>NOA</v>
      </c>
      <c r="I1700" s="61" t="str">
        <f aca="false">IF(TRIM($AD1700)="",INDEX(Parametros!$I$20:$I$24,MATCH($H1700,Parametros!$H$20:$H$24,0)),TRIM($AD1700))</f>
        <v>Tucuman</v>
      </c>
      <c r="J1700" s="61" t="str">
        <f aca="false">INDEX(Parametros!$C$95:$C$106,MATCH(TRIM(INDEX(Datos_Origen!$E$2:$E$2459,$Z1700)),Parametros!$B$95:$B$106,0))</f>
        <v>Tienda fisica</v>
      </c>
      <c r="K1700" s="61" t="str">
        <f aca="false">INDEX(Parametros!$C$48:$C$67,MATCH(TRIM(INDEX(Datos_Origen!$F$2:$F$2459,$Z1700)),Parametros!$B$48:$B$67,0))</f>
        <v>Almacenamiento</v>
      </c>
      <c r="L1700" s="61" t="str">
        <f aca="false">$K1700&amp;" "&amp;$C1700</f>
        <v>Almacenamiento 2025</v>
      </c>
      <c r="M1700" s="61" t="str">
        <f aca="false">TRIM(INDEX(Datos_Origen!$G$2:$G$2459,$Z1700))</f>
        <v>Pendrive 256GB</v>
      </c>
      <c r="N1700" s="61" t="str">
        <f aca="false">$M1700&amp;" "&amp;$C1700</f>
        <v>Pendrive 256GB 2025</v>
      </c>
      <c r="O1700" s="63" t="n">
        <f aca="false">IF(ISTEXT($AC1700),VALUE($AC1700),$AC1700)</f>
        <v>15</v>
      </c>
      <c r="P1700" s="64" t="n">
        <f aca="false">INDEX(Datos_Origen!$I$2:$I$2459,$Z1700)</f>
        <v>34.78</v>
      </c>
      <c r="Q1700" s="64" t="n">
        <f aca="false">INDEX(Datos_Origen!$J$2:$J$2459,$Z1700)</f>
        <v>18.39</v>
      </c>
      <c r="R1700" s="65" t="n">
        <f aca="false">ROUND($O1700*$P1700,2)</f>
        <v>521.7</v>
      </c>
      <c r="S1700" s="65" t="n">
        <f aca="false">ROUND($O1700*$Q1700,2)</f>
        <v>275.85</v>
      </c>
      <c r="T1700" s="65" t="n">
        <f aca="false">ROUND($R1700*SUMIFS(Parametros!$E$28:$E$43,Parametros!$B$28:$B$43,$J1700,Parametros!$C$28:$C$43,$C1700,Parametros!$D$28:$D$43,$D1700),2)</f>
        <v>7.3</v>
      </c>
      <c r="U1700" s="65" t="n">
        <f aca="false">$R1700-$S1700-$T1700</f>
        <v>238.55</v>
      </c>
      <c r="V1700" s="66" t="n">
        <f aca="false">IFERROR($U1700/$R1700,0)</f>
        <v>0.457255127467893</v>
      </c>
      <c r="W1700" s="67" t="str">
        <f aca="false">IF(AND($V1700&gt;=Parametros!$C$8,$R1700&gt;=Parametros!$C$12),"Alta rentabilidad",IF(OR($V1700&lt;Parametros!$C$11,$R1700&lt;Parametros!$C$13),"Revisar","Estandar"))</f>
        <v>Estandar</v>
      </c>
      <c r="X1700" s="67" t="str">
        <f aca="false">IF(AND($J1700="E-commerce",IFERROR($T1700/$R1700,0)&gt;Parametros!$C$14),"Alerta","OK")</f>
        <v>OK</v>
      </c>
      <c r="Y1700" s="61" t="str">
        <f aca="false">IF($R1700&gt;=Parametros!$C$12,"Alto",IF($R1700&lt;Parametros!$C$13,"Bajo","Medio"))</f>
        <v>Medio</v>
      </c>
      <c r="Z1700" s="61" t="n">
        <v>1894</v>
      </c>
      <c r="AA1700" s="61" t="str">
        <f aca="false">IF(MATCH($A1700,Datos_Origen!$A$2:$A$2459,0)=$Z1700,"OK","REVISAR")</f>
        <v>OK</v>
      </c>
      <c r="AB1700" s="62" t="n">
        <f aca="false">INDEX(Datos_Origen!$B$2:$B$2459,$Z1700)</f>
        <v>45791</v>
      </c>
      <c r="AC1700" s="61" t="n">
        <f aca="false">INDEX(Datos_Origen!$H$2:$H$2459,$Z1700)</f>
        <v>15</v>
      </c>
      <c r="AD1700" s="61" t="str">
        <f aca="false">INDEX(Datos_Origen!$D$2:$D$2459,$Z1700)&amp;""</f>
        <v>Tucuman</v>
      </c>
    </row>
    <row r="1701" customFormat="false" ht="15" hidden="false" customHeight="false" outlineLevel="0" collapsed="false">
      <c r="A1701" s="61" t="n">
        <f aca="false">INDEX(Datos_Origen!$A$2:$A$2459,$Z1701)</f>
        <v>1700</v>
      </c>
      <c r="B1701" s="62" t="n">
        <f aca="false">IF(ISNUMBER($AB1701),$AB1701,IF(MID($AB1701,5,1)="-",DATE(VALUE(LEFT($AB1701,4)),VALUE(MID($AB1701,6,2)),VALUE(RIGHT($AB1701,2))),DATE(VALUE(RIGHT($AB1701,4)),VALUE(MID($AB1701,4,2)),VALUE(LEFT($AB1701,2)))))</f>
        <v>45798</v>
      </c>
      <c r="C1701" s="61" t="n">
        <f aca="false">YEAR($B1701)</f>
        <v>2025</v>
      </c>
      <c r="D1701" s="61" t="str">
        <f aca="false">"Q"&amp;ROUNDUP(MONTH($B1701)/3,0)</f>
        <v>Q2</v>
      </c>
      <c r="E1701" s="61" t="n">
        <f aca="false">MONTH($B1701)</f>
        <v>5</v>
      </c>
      <c r="F1701" s="61" t="str">
        <f aca="false">INDEX(Parametros!$I$5:$I$16,$E1701)</f>
        <v>May</v>
      </c>
      <c r="G1701" s="61" t="str">
        <f aca="false">TEXT($C1701,"0000")&amp;"-"&amp;TEXT($E1701,"00")</f>
        <v>2025-05</v>
      </c>
      <c r="H1701" s="61" t="str">
        <f aca="false">INDEX(Parametros!$C$71:$C$91,MATCH(TRIM(INDEX(Datos_Origen!$C$2:$C$2459,$Z1701)),Parametros!$B$71:$B$91,0))</f>
        <v>NOA</v>
      </c>
      <c r="I1701" s="61" t="str">
        <f aca="false">IF(TRIM($AD1701)="",INDEX(Parametros!$I$20:$I$24,MATCH($H1701,Parametros!$H$20:$H$24,0)),TRIM($AD1701))</f>
        <v>Tucuman</v>
      </c>
      <c r="J1701" s="61" t="str">
        <f aca="false">INDEX(Parametros!$C$95:$C$106,MATCH(TRIM(INDEX(Datos_Origen!$E$2:$E$2459,$Z1701)),Parametros!$B$95:$B$106,0))</f>
        <v>E-commerce</v>
      </c>
      <c r="K1701" s="61" t="str">
        <f aca="false">INDEX(Parametros!$C$48:$C$67,MATCH(TRIM(INDEX(Datos_Origen!$F$2:$F$2459,$Z1701)),Parametros!$B$48:$B$67,0))</f>
        <v>Almacenamiento</v>
      </c>
      <c r="L1701" s="61" t="str">
        <f aca="false">$K1701&amp;" "&amp;$C1701</f>
        <v>Almacenamiento 2025</v>
      </c>
      <c r="M1701" s="61" t="str">
        <f aca="false">TRIM(INDEX(Datos_Origen!$G$2:$G$2459,$Z1701))</f>
        <v>Pendrive 256GB</v>
      </c>
      <c r="N1701" s="61" t="str">
        <f aca="false">$M1701&amp;" "&amp;$C1701</f>
        <v>Pendrive 256GB 2025</v>
      </c>
      <c r="O1701" s="63" t="n">
        <f aca="false">IF(ISTEXT($AC1701),VALUE($AC1701),$AC1701)</f>
        <v>10</v>
      </c>
      <c r="P1701" s="64" t="n">
        <f aca="false">INDEX(Datos_Origen!$I$2:$I$2459,$Z1701)</f>
        <v>34.78</v>
      </c>
      <c r="Q1701" s="64" t="n">
        <f aca="false">INDEX(Datos_Origen!$J$2:$J$2459,$Z1701)</f>
        <v>18.39</v>
      </c>
      <c r="R1701" s="65" t="n">
        <f aca="false">ROUND($O1701*$P1701,2)</f>
        <v>347.8</v>
      </c>
      <c r="S1701" s="65" t="n">
        <f aca="false">ROUND($O1701*$Q1701,2)</f>
        <v>183.9</v>
      </c>
      <c r="T1701" s="65" t="n">
        <f aca="false">ROUND($R1701*SUMIFS(Parametros!$E$28:$E$43,Parametros!$B$28:$B$43,$J1701,Parametros!$C$28:$C$43,$C1701,Parametros!$D$28:$D$43,$D1701),2)</f>
        <v>25.74</v>
      </c>
      <c r="U1701" s="65" t="n">
        <f aca="false">$R1701-$S1701-$T1701</f>
        <v>138.16</v>
      </c>
      <c r="V1701" s="66" t="n">
        <f aca="false">IFERROR($U1701/$R1701,0)</f>
        <v>0.397239792984474</v>
      </c>
      <c r="W1701" s="67" t="str">
        <f aca="false">IF(AND($V1701&gt;=Parametros!$C$8,$R1701&gt;=Parametros!$C$12),"Alta rentabilidad",IF(OR($V1701&lt;Parametros!$C$11,$R1701&lt;Parametros!$C$13),"Revisar","Estandar"))</f>
        <v>Estandar</v>
      </c>
      <c r="X1701" s="67" t="str">
        <f aca="false">IF(AND($J1701="E-commerce",IFERROR($T1701/$R1701,0)&gt;Parametros!$C$14),"Alerta","OK")</f>
        <v>Alerta</v>
      </c>
      <c r="Y1701" s="61" t="str">
        <f aca="false">IF($R1701&gt;=Parametros!$C$12,"Alto",IF($R1701&lt;Parametros!$C$13,"Bajo","Medio"))</f>
        <v>Medio</v>
      </c>
      <c r="Z1701" s="61" t="n">
        <v>2424</v>
      </c>
      <c r="AA1701" s="61" t="str">
        <f aca="false">IF(MATCH($A1701,Datos_Origen!$A$2:$A$2459,0)=$Z1701,"OK","REVISAR")</f>
        <v>OK</v>
      </c>
      <c r="AB1701" s="62" t="n">
        <f aca="false">INDEX(Datos_Origen!$B$2:$B$2459,$Z1701)</f>
        <v>45798</v>
      </c>
      <c r="AC1701" s="61" t="n">
        <f aca="false">INDEX(Datos_Origen!$H$2:$H$2459,$Z1701)</f>
        <v>10</v>
      </c>
      <c r="AD1701" s="61" t="str">
        <f aca="false">INDEX(Datos_Origen!$D$2:$D$2459,$Z1701)&amp;""</f>
        <v>Tucuman</v>
      </c>
    </row>
    <row r="1702" customFormat="false" ht="15" hidden="false" customHeight="false" outlineLevel="0" collapsed="false">
      <c r="A1702" s="61" t="n">
        <f aca="false">INDEX(Datos_Origen!$A$2:$A$2459,$Z1702)</f>
        <v>1701</v>
      </c>
      <c r="B1702" s="62" t="n">
        <f aca="false">IF(ISNUMBER($AB1702),$AB1702,IF(MID($AB1702,5,1)="-",DATE(VALUE(LEFT($AB1702,4)),VALUE(MID($AB1702,6,2)),VALUE(RIGHT($AB1702,2))),DATE(VALUE(RIGHT($AB1702,4)),VALUE(MID($AB1702,4,2)),VALUE(LEFT($AB1702,2)))))</f>
        <v>45809</v>
      </c>
      <c r="C1702" s="61" t="n">
        <f aca="false">YEAR($B1702)</f>
        <v>2025</v>
      </c>
      <c r="D1702" s="61" t="str">
        <f aca="false">"Q"&amp;ROUNDUP(MONTH($B1702)/3,0)</f>
        <v>Q2</v>
      </c>
      <c r="E1702" s="61" t="n">
        <f aca="false">MONTH($B1702)</f>
        <v>6</v>
      </c>
      <c r="F1702" s="61" t="str">
        <f aca="false">INDEX(Parametros!$I$5:$I$16,$E1702)</f>
        <v>Jun</v>
      </c>
      <c r="G1702" s="61" t="str">
        <f aca="false">TEXT($C1702,"0000")&amp;"-"&amp;TEXT($E1702,"00")</f>
        <v>2025-06</v>
      </c>
      <c r="H1702" s="61" t="str">
        <f aca="false">INDEX(Parametros!$C$71:$C$91,MATCH(TRIM(INDEX(Datos_Origen!$C$2:$C$2459,$Z1702)),Parametros!$B$71:$B$91,0))</f>
        <v>AMBA</v>
      </c>
      <c r="I1702" s="61" t="str">
        <f aca="false">IF(TRIM($AD1702)="",INDEX(Parametros!$I$20:$I$24,MATCH($H1702,Parametros!$H$20:$H$24,0)),TRIM($AD1702))</f>
        <v>Buenos Aires</v>
      </c>
      <c r="J1702" s="61" t="str">
        <f aca="false">INDEX(Parametros!$C$95:$C$106,MATCH(TRIM(INDEX(Datos_Origen!$E$2:$E$2459,$Z1702)),Parametros!$B$95:$B$106,0))</f>
        <v>Tienda fisica</v>
      </c>
      <c r="K1702" s="61" t="str">
        <f aca="false">INDEX(Parametros!$C$48:$C$67,MATCH(TRIM(INDEX(Datos_Origen!$F$2:$F$2459,$Z1702)),Parametros!$B$48:$B$67,0))</f>
        <v>Computacion</v>
      </c>
      <c r="L1702" s="61" t="str">
        <f aca="false">$K1702&amp;" "&amp;$C1702</f>
        <v>Computacion 2025</v>
      </c>
      <c r="M1702" s="61" t="str">
        <f aca="false">TRIM(INDEX(Datos_Origen!$G$2:$G$2459,$Z1702))</f>
        <v>Laptop Pro 15</v>
      </c>
      <c r="N1702" s="61" t="str">
        <f aca="false">$M1702&amp;" "&amp;$C1702</f>
        <v>Laptop Pro 15 2025</v>
      </c>
      <c r="O1702" s="63" t="n">
        <f aca="false">IF(ISTEXT($AC1702),VALUE($AC1702),$AC1702)</f>
        <v>23</v>
      </c>
      <c r="P1702" s="64" t="n">
        <f aca="false">INDEX(Datos_Origen!$I$2:$I$2459,$Z1702)</f>
        <v>1155.06</v>
      </c>
      <c r="Q1702" s="64" t="n">
        <f aca="false">INDEX(Datos_Origen!$J$2:$J$2459,$Z1702)</f>
        <v>766.32</v>
      </c>
      <c r="R1702" s="65" t="n">
        <f aca="false">ROUND($O1702*$P1702,2)</f>
        <v>26566.38</v>
      </c>
      <c r="S1702" s="65" t="n">
        <f aca="false">ROUND($O1702*$Q1702,2)</f>
        <v>17625.36</v>
      </c>
      <c r="T1702" s="65" t="n">
        <f aca="false">ROUND($R1702*SUMIFS(Parametros!$E$28:$E$43,Parametros!$B$28:$B$43,$J1702,Parametros!$C$28:$C$43,$C1702,Parametros!$D$28:$D$43,$D1702),2)</f>
        <v>371.93</v>
      </c>
      <c r="U1702" s="65" t="n">
        <f aca="false">$R1702-$S1702-$T1702</f>
        <v>8569.09</v>
      </c>
      <c r="V1702" s="66" t="n">
        <f aca="false">IFERROR($U1702/$R1702,0)</f>
        <v>0.322553919653336</v>
      </c>
      <c r="W1702" s="67" t="str">
        <f aca="false">IF(AND($V1702&gt;=Parametros!$C$8,$R1702&gt;=Parametros!$C$12),"Alta rentabilidad",IF(OR($V1702&lt;Parametros!$C$11,$R1702&lt;Parametros!$C$13),"Revisar","Estandar"))</f>
        <v>Estandar</v>
      </c>
      <c r="X1702" s="67" t="str">
        <f aca="false">IF(AND($J1702="E-commerce",IFERROR($T1702/$R1702,0)&gt;Parametros!$C$14),"Alerta","OK")</f>
        <v>OK</v>
      </c>
      <c r="Y1702" s="61" t="str">
        <f aca="false">IF($R1702&gt;=Parametros!$C$12,"Alto",IF($R1702&lt;Parametros!$C$13,"Bajo","Medio"))</f>
        <v>Alto</v>
      </c>
      <c r="Z1702" s="61" t="n">
        <v>1098</v>
      </c>
      <c r="AA1702" s="61" t="str">
        <f aca="false">IF(MATCH($A1702,Datos_Origen!$A$2:$A$2459,0)=$Z1702,"OK","REVISAR")</f>
        <v>OK</v>
      </c>
      <c r="AB1702" s="61" t="str">
        <f aca="false">INDEX(Datos_Origen!$B$2:$B$2459,$Z1702)</f>
        <v>2025-06-01</v>
      </c>
      <c r="AC1702" s="61" t="n">
        <f aca="false">INDEX(Datos_Origen!$H$2:$H$2459,$Z1702)</f>
        <v>23</v>
      </c>
      <c r="AD1702" s="61" t="str">
        <f aca="false">INDEX(Datos_Origen!$D$2:$D$2459,$Z1702)&amp;""</f>
        <v>Buenos Aires</v>
      </c>
    </row>
    <row r="1703" customFormat="false" ht="15" hidden="false" customHeight="false" outlineLevel="0" collapsed="false">
      <c r="A1703" s="61" t="n">
        <f aca="false">INDEX(Datos_Origen!$A$2:$A$2459,$Z1703)</f>
        <v>1702</v>
      </c>
      <c r="B1703" s="62" t="n">
        <f aca="false">IF(ISNUMBER($AB1703),$AB1703,IF(MID($AB1703,5,1)="-",DATE(VALUE(LEFT($AB1703,4)),VALUE(MID($AB1703,6,2)),VALUE(RIGHT($AB1703,2))),DATE(VALUE(RIGHT($AB1703,4)),VALUE(MID($AB1703,4,2)),VALUE(LEFT($AB1703,2)))))</f>
        <v>45816</v>
      </c>
      <c r="C1703" s="61" t="n">
        <f aca="false">YEAR($B1703)</f>
        <v>2025</v>
      </c>
      <c r="D1703" s="61" t="str">
        <f aca="false">"Q"&amp;ROUNDUP(MONTH($B1703)/3,0)</f>
        <v>Q2</v>
      </c>
      <c r="E1703" s="61" t="n">
        <f aca="false">MONTH($B1703)</f>
        <v>6</v>
      </c>
      <c r="F1703" s="61" t="str">
        <f aca="false">INDEX(Parametros!$I$5:$I$16,$E1703)</f>
        <v>Jun</v>
      </c>
      <c r="G1703" s="61" t="str">
        <f aca="false">TEXT($C1703,"0000")&amp;"-"&amp;TEXT($E1703,"00")</f>
        <v>2025-06</v>
      </c>
      <c r="H1703" s="61" t="str">
        <f aca="false">INDEX(Parametros!$C$71:$C$91,MATCH(TRIM(INDEX(Datos_Origen!$C$2:$C$2459,$Z1703)),Parametros!$B$71:$B$91,0))</f>
        <v>AMBA</v>
      </c>
      <c r="I1703" s="61" t="str">
        <f aca="false">IF(TRIM($AD1703)="",INDEX(Parametros!$I$20:$I$24,MATCH($H1703,Parametros!$H$20:$H$24,0)),TRIM($AD1703))</f>
        <v>Buenos Aires</v>
      </c>
      <c r="J1703" s="61" t="str">
        <f aca="false">INDEX(Parametros!$C$95:$C$106,MATCH(TRIM(INDEX(Datos_Origen!$E$2:$E$2459,$Z1703)),Parametros!$B$95:$B$106,0))</f>
        <v>E-commerce</v>
      </c>
      <c r="K1703" s="61" t="str">
        <f aca="false">INDEX(Parametros!$C$48:$C$67,MATCH(TRIM(INDEX(Datos_Origen!$F$2:$F$2459,$Z1703)),Parametros!$B$48:$B$67,0))</f>
        <v>Computacion</v>
      </c>
      <c r="L1703" s="61" t="str">
        <f aca="false">$K1703&amp;" "&amp;$C1703</f>
        <v>Computacion 2025</v>
      </c>
      <c r="M1703" s="61" t="str">
        <f aca="false">TRIM(INDEX(Datos_Origen!$G$2:$G$2459,$Z1703))</f>
        <v>Laptop Pro 15</v>
      </c>
      <c r="N1703" s="61" t="str">
        <f aca="false">$M1703&amp;" "&amp;$C1703</f>
        <v>Laptop Pro 15 2025</v>
      </c>
      <c r="O1703" s="63" t="n">
        <f aca="false">IF(ISTEXT($AC1703),VALUE($AC1703),$AC1703)</f>
        <v>15</v>
      </c>
      <c r="P1703" s="64" t="n">
        <f aca="false">INDEX(Datos_Origen!$I$2:$I$2459,$Z1703)</f>
        <v>1155.06</v>
      </c>
      <c r="Q1703" s="64" t="n">
        <f aca="false">INDEX(Datos_Origen!$J$2:$J$2459,$Z1703)</f>
        <v>766.32</v>
      </c>
      <c r="R1703" s="65" t="n">
        <f aca="false">ROUND($O1703*$P1703,2)</f>
        <v>17325.9</v>
      </c>
      <c r="S1703" s="65" t="n">
        <f aca="false">ROUND($O1703*$Q1703,2)</f>
        <v>11494.8</v>
      </c>
      <c r="T1703" s="65" t="n">
        <f aca="false">ROUND($R1703*SUMIFS(Parametros!$E$28:$E$43,Parametros!$B$28:$B$43,$J1703,Parametros!$C$28:$C$43,$C1703,Parametros!$D$28:$D$43,$D1703),2)</f>
        <v>1282.12</v>
      </c>
      <c r="U1703" s="65" t="n">
        <f aca="false">$R1703-$S1703-$T1703</f>
        <v>4548.98</v>
      </c>
      <c r="V1703" s="66" t="n">
        <f aca="false">IFERROR($U1703/$R1703,0)</f>
        <v>0.262553749011595</v>
      </c>
      <c r="W1703" s="67" t="str">
        <f aca="false">IF(AND($V1703&gt;=Parametros!$C$8,$R1703&gt;=Parametros!$C$12),"Alta rentabilidad",IF(OR($V1703&lt;Parametros!$C$11,$R1703&lt;Parametros!$C$13),"Revisar","Estandar"))</f>
        <v>Revisar</v>
      </c>
      <c r="X1703" s="67" t="str">
        <f aca="false">IF(AND($J1703="E-commerce",IFERROR($T1703/$R1703,0)&gt;Parametros!$C$14),"Alerta","OK")</f>
        <v>Alerta</v>
      </c>
      <c r="Y1703" s="61" t="str">
        <f aca="false">IF($R1703&gt;=Parametros!$C$12,"Alto",IF($R1703&lt;Parametros!$C$13,"Bajo","Medio"))</f>
        <v>Alto</v>
      </c>
      <c r="Z1703" s="61" t="n">
        <v>2277</v>
      </c>
      <c r="AA1703" s="61" t="str">
        <f aca="false">IF(MATCH($A1703,Datos_Origen!$A$2:$A$2459,0)=$Z1703,"OK","REVISAR")</f>
        <v>OK</v>
      </c>
      <c r="AB1703" s="61" t="str">
        <f aca="false">INDEX(Datos_Origen!$B$2:$B$2459,$Z1703)</f>
        <v>2025-06-08</v>
      </c>
      <c r="AC1703" s="61" t="str">
        <f aca="false">INDEX(Datos_Origen!$H$2:$H$2459,$Z1703)</f>
        <v>15</v>
      </c>
      <c r="AD1703" s="61" t="str">
        <f aca="false">INDEX(Datos_Origen!$D$2:$D$2459,$Z1703)&amp;""</f>
        <v>Buenos Aires</v>
      </c>
    </row>
    <row r="1704" customFormat="false" ht="15" hidden="false" customHeight="false" outlineLevel="0" collapsed="false">
      <c r="A1704" s="61" t="n">
        <f aca="false">INDEX(Datos_Origen!$A$2:$A$2459,$Z1704)</f>
        <v>1703</v>
      </c>
      <c r="B1704" s="62" t="n">
        <f aca="false">IF(ISNUMBER($AB1704),$AB1704,IF(MID($AB1704,5,1)="-",DATE(VALUE(LEFT($AB1704,4)),VALUE(MID($AB1704,6,2)),VALUE(RIGHT($AB1704,2))),DATE(VALUE(RIGHT($AB1704,4)),VALUE(MID($AB1704,4,2)),VALUE(LEFT($AB1704,2)))))</f>
        <v>45823</v>
      </c>
      <c r="C1704" s="61" t="n">
        <f aca="false">YEAR($B1704)</f>
        <v>2025</v>
      </c>
      <c r="D1704" s="61" t="str">
        <f aca="false">"Q"&amp;ROUNDUP(MONTH($B1704)/3,0)</f>
        <v>Q2</v>
      </c>
      <c r="E1704" s="61" t="n">
        <f aca="false">MONTH($B1704)</f>
        <v>6</v>
      </c>
      <c r="F1704" s="61" t="str">
        <f aca="false">INDEX(Parametros!$I$5:$I$16,$E1704)</f>
        <v>Jun</v>
      </c>
      <c r="G1704" s="61" t="str">
        <f aca="false">TEXT($C1704,"0000")&amp;"-"&amp;TEXT($E1704,"00")</f>
        <v>2025-06</v>
      </c>
      <c r="H1704" s="61" t="str">
        <f aca="false">INDEX(Parametros!$C$71:$C$91,MATCH(TRIM(INDEX(Datos_Origen!$C$2:$C$2459,$Z1704)),Parametros!$B$71:$B$91,0))</f>
        <v>AMBA</v>
      </c>
      <c r="I1704" s="61" t="str">
        <f aca="false">IF(TRIM($AD1704)="",INDEX(Parametros!$I$20:$I$24,MATCH($H1704,Parametros!$H$20:$H$24,0)),TRIM($AD1704))</f>
        <v>Buenos Aires</v>
      </c>
      <c r="J1704" s="61" t="str">
        <f aca="false">INDEX(Parametros!$C$95:$C$106,MATCH(TRIM(INDEX(Datos_Origen!$E$2:$E$2459,$Z1704)),Parametros!$B$95:$B$106,0))</f>
        <v>Tienda fisica</v>
      </c>
      <c r="K1704" s="61" t="str">
        <f aca="false">INDEX(Parametros!$C$48:$C$67,MATCH(TRIM(INDEX(Datos_Origen!$F$2:$F$2459,$Z1704)),Parametros!$B$48:$B$67,0))</f>
        <v>Computacion</v>
      </c>
      <c r="L1704" s="61" t="str">
        <f aca="false">$K1704&amp;" "&amp;$C1704</f>
        <v>Computacion 2025</v>
      </c>
      <c r="M1704" s="61" t="str">
        <f aca="false">TRIM(INDEX(Datos_Origen!$G$2:$G$2459,$Z1704))</f>
        <v>Monitor 4K 27</v>
      </c>
      <c r="N1704" s="61" t="str">
        <f aca="false">$M1704&amp;" "&amp;$C1704</f>
        <v>Monitor 4K 27 2025</v>
      </c>
      <c r="O1704" s="63" t="n">
        <f aca="false">IF(ISTEXT($AC1704),VALUE($AC1704),$AC1704)</f>
        <v>19</v>
      </c>
      <c r="P1704" s="64" t="n">
        <f aca="false">INDEX(Datos_Origen!$I$2:$I$2459,$Z1704)</f>
        <v>433.15</v>
      </c>
      <c r="Q1704" s="64" t="n">
        <f aca="false">INDEX(Datos_Origen!$J$2:$J$2459,$Z1704)</f>
        <v>280.42</v>
      </c>
      <c r="R1704" s="65" t="n">
        <f aca="false">ROUND($O1704*$P1704,2)</f>
        <v>8229.85</v>
      </c>
      <c r="S1704" s="65" t="n">
        <f aca="false">ROUND($O1704*$Q1704,2)</f>
        <v>5327.98</v>
      </c>
      <c r="T1704" s="65" t="n">
        <f aca="false">ROUND($R1704*SUMIFS(Parametros!$E$28:$E$43,Parametros!$B$28:$B$43,$J1704,Parametros!$C$28:$C$43,$C1704,Parametros!$D$28:$D$43,$D1704),2)</f>
        <v>115.22</v>
      </c>
      <c r="U1704" s="65" t="n">
        <f aca="false">$R1704-$S1704-$T1704</f>
        <v>2786.65</v>
      </c>
      <c r="V1704" s="66" t="n">
        <f aca="false">IFERROR($U1704/$R1704,0)</f>
        <v>0.338602769187774</v>
      </c>
      <c r="W1704" s="67" t="str">
        <f aca="false">IF(AND($V1704&gt;=Parametros!$C$8,$R1704&gt;=Parametros!$C$12),"Alta rentabilidad",IF(OR($V1704&lt;Parametros!$C$11,$R1704&lt;Parametros!$C$13),"Revisar","Estandar"))</f>
        <v>Estandar</v>
      </c>
      <c r="X1704" s="67" t="str">
        <f aca="false">IF(AND($J1704="E-commerce",IFERROR($T1704/$R1704,0)&gt;Parametros!$C$14),"Alerta","OK")</f>
        <v>OK</v>
      </c>
      <c r="Y1704" s="61" t="str">
        <f aca="false">IF($R1704&gt;=Parametros!$C$12,"Alto",IF($R1704&lt;Parametros!$C$13,"Bajo","Medio"))</f>
        <v>Alto</v>
      </c>
      <c r="Z1704" s="61" t="n">
        <v>1124</v>
      </c>
      <c r="AA1704" s="61" t="str">
        <f aca="false">IF(MATCH($A1704,Datos_Origen!$A$2:$A$2459,0)=$Z1704,"OK","REVISAR")</f>
        <v>OK</v>
      </c>
      <c r="AB1704" s="61" t="str">
        <f aca="false">INDEX(Datos_Origen!$B$2:$B$2459,$Z1704)</f>
        <v>2025-06-15</v>
      </c>
      <c r="AC1704" s="61" t="n">
        <f aca="false">INDEX(Datos_Origen!$H$2:$H$2459,$Z1704)</f>
        <v>19</v>
      </c>
      <c r="AD1704" s="61" t="str">
        <f aca="false">INDEX(Datos_Origen!$D$2:$D$2459,$Z1704)&amp;""</f>
        <v>Buenos Aires</v>
      </c>
    </row>
    <row r="1705" customFormat="false" ht="15" hidden="false" customHeight="false" outlineLevel="0" collapsed="false">
      <c r="A1705" s="61" t="n">
        <f aca="false">INDEX(Datos_Origen!$A$2:$A$2459,$Z1705)</f>
        <v>1704</v>
      </c>
      <c r="B1705" s="62" t="n">
        <f aca="false">IF(ISNUMBER($AB1705),$AB1705,IF(MID($AB1705,5,1)="-",DATE(VALUE(LEFT($AB1705,4)),VALUE(MID($AB1705,6,2)),VALUE(RIGHT($AB1705,2))),DATE(VALUE(RIGHT($AB1705,4)),VALUE(MID($AB1705,4,2)),VALUE(LEFT($AB1705,2)))))</f>
        <v>45830</v>
      </c>
      <c r="C1705" s="61" t="n">
        <f aca="false">YEAR($B1705)</f>
        <v>2025</v>
      </c>
      <c r="D1705" s="61" t="str">
        <f aca="false">"Q"&amp;ROUNDUP(MONTH($B1705)/3,0)</f>
        <v>Q2</v>
      </c>
      <c r="E1705" s="61" t="n">
        <f aca="false">MONTH($B1705)</f>
        <v>6</v>
      </c>
      <c r="F1705" s="61" t="str">
        <f aca="false">INDEX(Parametros!$I$5:$I$16,$E1705)</f>
        <v>Jun</v>
      </c>
      <c r="G1705" s="61" t="str">
        <f aca="false">TEXT($C1705,"0000")&amp;"-"&amp;TEXT($E1705,"00")</f>
        <v>2025-06</v>
      </c>
      <c r="H1705" s="61" t="str">
        <f aca="false">INDEX(Parametros!$C$71:$C$91,MATCH(TRIM(INDEX(Datos_Origen!$C$2:$C$2459,$Z1705)),Parametros!$B$71:$B$91,0))</f>
        <v>AMBA</v>
      </c>
      <c r="I1705" s="61" t="str">
        <f aca="false">IF(TRIM($AD1705)="",INDEX(Parametros!$I$20:$I$24,MATCH($H1705,Parametros!$H$20:$H$24,0)),TRIM($AD1705))</f>
        <v>Buenos Aires</v>
      </c>
      <c r="J1705" s="61" t="str">
        <f aca="false">INDEX(Parametros!$C$95:$C$106,MATCH(TRIM(INDEX(Datos_Origen!$E$2:$E$2459,$Z1705)),Parametros!$B$95:$B$106,0))</f>
        <v>E-commerce</v>
      </c>
      <c r="K1705" s="61" t="str">
        <f aca="false">INDEX(Parametros!$C$48:$C$67,MATCH(TRIM(INDEX(Datos_Origen!$F$2:$F$2459,$Z1705)),Parametros!$B$48:$B$67,0))</f>
        <v>Computacion</v>
      </c>
      <c r="L1705" s="61" t="str">
        <f aca="false">$K1705&amp;" "&amp;$C1705</f>
        <v>Computacion 2025</v>
      </c>
      <c r="M1705" s="61" t="str">
        <f aca="false">TRIM(INDEX(Datos_Origen!$G$2:$G$2459,$Z1705))</f>
        <v>Monitor 4K 27</v>
      </c>
      <c r="N1705" s="61" t="str">
        <f aca="false">$M1705&amp;" "&amp;$C1705</f>
        <v>Monitor 4K 27 2025</v>
      </c>
      <c r="O1705" s="63" t="n">
        <f aca="false">IF(ISTEXT($AC1705),VALUE($AC1705),$AC1705)</f>
        <v>15</v>
      </c>
      <c r="P1705" s="64" t="n">
        <f aca="false">INDEX(Datos_Origen!$I$2:$I$2459,$Z1705)</f>
        <v>433.15</v>
      </c>
      <c r="Q1705" s="64" t="n">
        <f aca="false">INDEX(Datos_Origen!$J$2:$J$2459,$Z1705)</f>
        <v>280.42</v>
      </c>
      <c r="R1705" s="65" t="n">
        <f aca="false">ROUND($O1705*$P1705,2)</f>
        <v>6497.25</v>
      </c>
      <c r="S1705" s="65" t="n">
        <f aca="false">ROUND($O1705*$Q1705,2)</f>
        <v>4206.3</v>
      </c>
      <c r="T1705" s="65" t="n">
        <f aca="false">ROUND($R1705*SUMIFS(Parametros!$E$28:$E$43,Parametros!$B$28:$B$43,$J1705,Parametros!$C$28:$C$43,$C1705,Parametros!$D$28:$D$43,$D1705),2)</f>
        <v>480.8</v>
      </c>
      <c r="U1705" s="65" t="n">
        <f aca="false">$R1705-$S1705-$T1705</f>
        <v>1810.15</v>
      </c>
      <c r="V1705" s="66" t="n">
        <f aca="false">IFERROR($U1705/$R1705,0)</f>
        <v>0.278602485667013</v>
      </c>
      <c r="W1705" s="67" t="str">
        <f aca="false">IF(AND($V1705&gt;=Parametros!$C$8,$R1705&gt;=Parametros!$C$12),"Alta rentabilidad",IF(OR($V1705&lt;Parametros!$C$11,$R1705&lt;Parametros!$C$13),"Revisar","Estandar"))</f>
        <v>Revisar</v>
      </c>
      <c r="X1705" s="67" t="str">
        <f aca="false">IF(AND($J1705="E-commerce",IFERROR($T1705/$R1705,0)&gt;Parametros!$C$14),"Alerta","OK")</f>
        <v>Alerta</v>
      </c>
      <c r="Y1705" s="61" t="str">
        <f aca="false">IF($R1705&gt;=Parametros!$C$12,"Alto",IF($R1705&lt;Parametros!$C$13,"Bajo","Medio"))</f>
        <v>Alto</v>
      </c>
      <c r="Z1705" s="61" t="n">
        <v>1498</v>
      </c>
      <c r="AA1705" s="61" t="str">
        <f aca="false">IF(MATCH($A1705,Datos_Origen!$A$2:$A$2459,0)=$Z1705,"OK","REVISAR")</f>
        <v>OK</v>
      </c>
      <c r="AB1705" s="61" t="str">
        <f aca="false">INDEX(Datos_Origen!$B$2:$B$2459,$Z1705)</f>
        <v>22/06/2025</v>
      </c>
      <c r="AC1705" s="61" t="str">
        <f aca="false">INDEX(Datos_Origen!$H$2:$H$2459,$Z1705)</f>
        <v>15</v>
      </c>
      <c r="AD1705" s="61" t="str">
        <f aca="false">INDEX(Datos_Origen!$D$2:$D$2459,$Z1705)&amp;""</f>
        <v>Buenos Aires</v>
      </c>
    </row>
    <row r="1706" customFormat="false" ht="15" hidden="false" customHeight="false" outlineLevel="0" collapsed="false">
      <c r="A1706" s="61" t="n">
        <f aca="false">INDEX(Datos_Origen!$A$2:$A$2459,$Z1706)</f>
        <v>1705</v>
      </c>
      <c r="B1706" s="62" t="n">
        <f aca="false">IF(ISNUMBER($AB1706),$AB1706,IF(MID($AB1706,5,1)="-",DATE(VALUE(LEFT($AB1706,4)),VALUE(MID($AB1706,6,2)),VALUE(RIGHT($AB1706,2))),DATE(VALUE(RIGHT($AB1706,4)),VALUE(MID($AB1706,4,2)),VALUE(LEFT($AB1706,2)))))</f>
        <v>45810</v>
      </c>
      <c r="C1706" s="61" t="n">
        <f aca="false">YEAR($B1706)</f>
        <v>2025</v>
      </c>
      <c r="D1706" s="61" t="str">
        <f aca="false">"Q"&amp;ROUNDUP(MONTH($B1706)/3,0)</f>
        <v>Q2</v>
      </c>
      <c r="E1706" s="61" t="n">
        <f aca="false">MONTH($B1706)</f>
        <v>6</v>
      </c>
      <c r="F1706" s="61" t="str">
        <f aca="false">INDEX(Parametros!$I$5:$I$16,$E1706)</f>
        <v>Jun</v>
      </c>
      <c r="G1706" s="61" t="str">
        <f aca="false">TEXT($C1706,"0000")&amp;"-"&amp;TEXT($E1706,"00")</f>
        <v>2025-06</v>
      </c>
      <c r="H1706" s="61" t="str">
        <f aca="false">INDEX(Parametros!$C$71:$C$91,MATCH(TRIM(INDEX(Datos_Origen!$C$2:$C$2459,$Z1706)),Parametros!$B$71:$B$91,0))</f>
        <v>AMBA</v>
      </c>
      <c r="I1706" s="61" t="str">
        <f aca="false">IF(TRIM($AD1706)="",INDEX(Parametros!$I$20:$I$24,MATCH($H1706,Parametros!$H$20:$H$24,0)),TRIM($AD1706))</f>
        <v>Buenos Aires</v>
      </c>
      <c r="J1706" s="61" t="str">
        <f aca="false">INDEX(Parametros!$C$95:$C$106,MATCH(TRIM(INDEX(Datos_Origen!$E$2:$E$2459,$Z1706)),Parametros!$B$95:$B$106,0))</f>
        <v>Tienda fisica</v>
      </c>
      <c r="K1706" s="61" t="str">
        <f aca="false">INDEX(Parametros!$C$48:$C$67,MATCH(TRIM(INDEX(Datos_Origen!$F$2:$F$2459,$Z1706)),Parametros!$B$48:$B$67,0))</f>
        <v>Computacion</v>
      </c>
      <c r="L1706" s="61" t="str">
        <f aca="false">$K1706&amp;" "&amp;$C1706</f>
        <v>Computacion 2025</v>
      </c>
      <c r="M1706" s="61" t="str">
        <f aca="false">TRIM(INDEX(Datos_Origen!$G$2:$G$2459,$Z1706))</f>
        <v>PC Gamer Ryzen</v>
      </c>
      <c r="N1706" s="61" t="str">
        <f aca="false">$M1706&amp;" "&amp;$C1706</f>
        <v>PC Gamer Ryzen 2025</v>
      </c>
      <c r="O1706" s="63" t="n">
        <f aca="false">IF(ISTEXT($AC1706),VALUE($AC1706),$AC1706)</f>
        <v>24</v>
      </c>
      <c r="P1706" s="64" t="n">
        <f aca="false">INDEX(Datos_Origen!$I$2:$I$2459,$Z1706)</f>
        <v>1588.21</v>
      </c>
      <c r="Q1706" s="64" t="n">
        <f aca="false">INDEX(Datos_Origen!$J$2:$J$2459,$Z1706)</f>
        <v>1155.66</v>
      </c>
      <c r="R1706" s="65" t="n">
        <f aca="false">ROUND($O1706*$P1706,2)</f>
        <v>38117.04</v>
      </c>
      <c r="S1706" s="65" t="n">
        <f aca="false">ROUND($O1706*$Q1706,2)</f>
        <v>27735.84</v>
      </c>
      <c r="T1706" s="65" t="n">
        <f aca="false">ROUND($R1706*SUMIFS(Parametros!$E$28:$E$43,Parametros!$B$28:$B$43,$J1706,Parametros!$C$28:$C$43,$C1706,Parametros!$D$28:$D$43,$D1706),2)</f>
        <v>533.64</v>
      </c>
      <c r="U1706" s="65" t="n">
        <f aca="false">$R1706-$S1706-$T1706</f>
        <v>9847.56</v>
      </c>
      <c r="V1706" s="66" t="n">
        <f aca="false">IFERROR($U1706/$R1706,0)</f>
        <v>0.258350595953936</v>
      </c>
      <c r="W1706" s="67" t="str">
        <f aca="false">IF(AND($V1706&gt;=Parametros!$C$8,$R1706&gt;=Parametros!$C$12),"Alta rentabilidad",IF(OR($V1706&lt;Parametros!$C$11,$R1706&lt;Parametros!$C$13),"Revisar","Estandar"))</f>
        <v>Revisar</v>
      </c>
      <c r="X1706" s="67" t="str">
        <f aca="false">IF(AND($J1706="E-commerce",IFERROR($T1706/$R1706,0)&gt;Parametros!$C$14),"Alerta","OK")</f>
        <v>OK</v>
      </c>
      <c r="Y1706" s="61" t="str">
        <f aca="false">IF($R1706&gt;=Parametros!$C$12,"Alto",IF($R1706&lt;Parametros!$C$13,"Bajo","Medio"))</f>
        <v>Alto</v>
      </c>
      <c r="Z1706" s="61" t="n">
        <v>2341</v>
      </c>
      <c r="AA1706" s="61" t="str">
        <f aca="false">IF(MATCH($A1706,Datos_Origen!$A$2:$A$2459,0)=$Z1706,"OK","REVISAR")</f>
        <v>OK</v>
      </c>
      <c r="AB1706" s="62" t="n">
        <f aca="false">INDEX(Datos_Origen!$B$2:$B$2459,$Z1706)</f>
        <v>45810</v>
      </c>
      <c r="AC1706" s="61" t="n">
        <f aca="false">INDEX(Datos_Origen!$H$2:$H$2459,$Z1706)</f>
        <v>24</v>
      </c>
      <c r="AD1706" s="61" t="str">
        <f aca="false">INDEX(Datos_Origen!$D$2:$D$2459,$Z1706)&amp;""</f>
        <v>Buenos Aires</v>
      </c>
    </row>
    <row r="1707" customFormat="false" ht="15" hidden="false" customHeight="false" outlineLevel="0" collapsed="false">
      <c r="A1707" s="61" t="n">
        <f aca="false">INDEX(Datos_Origen!$A$2:$A$2459,$Z1707)</f>
        <v>1706</v>
      </c>
      <c r="B1707" s="62" t="n">
        <f aca="false">IF(ISNUMBER($AB1707),$AB1707,IF(MID($AB1707,5,1)="-",DATE(VALUE(LEFT($AB1707,4)),VALUE(MID($AB1707,6,2)),VALUE(RIGHT($AB1707,2))),DATE(VALUE(RIGHT($AB1707,4)),VALUE(MID($AB1707,4,2)),VALUE(LEFT($AB1707,2)))))</f>
        <v>45817</v>
      </c>
      <c r="C1707" s="61" t="n">
        <f aca="false">YEAR($B1707)</f>
        <v>2025</v>
      </c>
      <c r="D1707" s="61" t="str">
        <f aca="false">"Q"&amp;ROUNDUP(MONTH($B1707)/3,0)</f>
        <v>Q2</v>
      </c>
      <c r="E1707" s="61" t="n">
        <f aca="false">MONTH($B1707)</f>
        <v>6</v>
      </c>
      <c r="F1707" s="61" t="str">
        <f aca="false">INDEX(Parametros!$I$5:$I$16,$E1707)</f>
        <v>Jun</v>
      </c>
      <c r="G1707" s="61" t="str">
        <f aca="false">TEXT($C1707,"0000")&amp;"-"&amp;TEXT($E1707,"00")</f>
        <v>2025-06</v>
      </c>
      <c r="H1707" s="61" t="str">
        <f aca="false">INDEX(Parametros!$C$71:$C$91,MATCH(TRIM(INDEX(Datos_Origen!$C$2:$C$2459,$Z1707)),Parametros!$B$71:$B$91,0))</f>
        <v>AMBA</v>
      </c>
      <c r="I1707" s="61" t="str">
        <f aca="false">IF(TRIM($AD1707)="",INDEX(Parametros!$I$20:$I$24,MATCH($H1707,Parametros!$H$20:$H$24,0)),TRIM($AD1707))</f>
        <v>Buenos Aires</v>
      </c>
      <c r="J1707" s="61" t="str">
        <f aca="false">INDEX(Parametros!$C$95:$C$106,MATCH(TRIM(INDEX(Datos_Origen!$E$2:$E$2459,$Z1707)),Parametros!$B$95:$B$106,0))</f>
        <v>E-commerce</v>
      </c>
      <c r="K1707" s="61" t="str">
        <f aca="false">INDEX(Parametros!$C$48:$C$67,MATCH(TRIM(INDEX(Datos_Origen!$F$2:$F$2459,$Z1707)),Parametros!$B$48:$B$67,0))</f>
        <v>Computacion</v>
      </c>
      <c r="L1707" s="61" t="str">
        <f aca="false">$K1707&amp;" "&amp;$C1707</f>
        <v>Computacion 2025</v>
      </c>
      <c r="M1707" s="61" t="str">
        <f aca="false">TRIM(INDEX(Datos_Origen!$G$2:$G$2459,$Z1707))</f>
        <v>PC Gamer Ryzen</v>
      </c>
      <c r="N1707" s="61" t="str">
        <f aca="false">$M1707&amp;" "&amp;$C1707</f>
        <v>PC Gamer Ryzen 2025</v>
      </c>
      <c r="O1707" s="63" t="n">
        <f aca="false">IF(ISTEXT($AC1707),VALUE($AC1707),$AC1707)</f>
        <v>13</v>
      </c>
      <c r="P1707" s="64" t="n">
        <f aca="false">INDEX(Datos_Origen!$I$2:$I$2459,$Z1707)</f>
        <v>1588.21</v>
      </c>
      <c r="Q1707" s="64" t="n">
        <f aca="false">INDEX(Datos_Origen!$J$2:$J$2459,$Z1707)</f>
        <v>1155.66</v>
      </c>
      <c r="R1707" s="65" t="n">
        <f aca="false">ROUND($O1707*$P1707,2)</f>
        <v>20646.73</v>
      </c>
      <c r="S1707" s="65" t="n">
        <f aca="false">ROUND($O1707*$Q1707,2)</f>
        <v>15023.58</v>
      </c>
      <c r="T1707" s="65" t="n">
        <f aca="false">ROUND($R1707*SUMIFS(Parametros!$E$28:$E$43,Parametros!$B$28:$B$43,$J1707,Parametros!$C$28:$C$43,$C1707,Parametros!$D$28:$D$43,$D1707),2)</f>
        <v>1527.86</v>
      </c>
      <c r="U1707" s="65" t="n">
        <f aca="false">$R1707-$S1707-$T1707</f>
        <v>4095.29</v>
      </c>
      <c r="V1707" s="66" t="n">
        <f aca="false">IFERROR($U1707/$R1707,0)</f>
        <v>0.198350537833352</v>
      </c>
      <c r="W1707" s="67" t="str">
        <f aca="false">IF(AND($V1707&gt;=Parametros!$C$8,$R1707&gt;=Parametros!$C$12),"Alta rentabilidad",IF(OR($V1707&lt;Parametros!$C$11,$R1707&lt;Parametros!$C$13),"Revisar","Estandar"))</f>
        <v>Revisar</v>
      </c>
      <c r="X1707" s="67" t="str">
        <f aca="false">IF(AND($J1707="E-commerce",IFERROR($T1707/$R1707,0)&gt;Parametros!$C$14),"Alerta","OK")</f>
        <v>Alerta</v>
      </c>
      <c r="Y1707" s="61" t="str">
        <f aca="false">IF($R1707&gt;=Parametros!$C$12,"Alto",IF($R1707&lt;Parametros!$C$13,"Bajo","Medio"))</f>
        <v>Alto</v>
      </c>
      <c r="Z1707" s="61" t="n">
        <v>1861</v>
      </c>
      <c r="AA1707" s="61" t="str">
        <f aca="false">IF(MATCH($A1707,Datos_Origen!$A$2:$A$2459,0)=$Z1707,"OK","REVISAR")</f>
        <v>OK</v>
      </c>
      <c r="AB1707" s="61" t="str">
        <f aca="false">INDEX(Datos_Origen!$B$2:$B$2459,$Z1707)</f>
        <v>09/06/2025</v>
      </c>
      <c r="AC1707" s="61" t="n">
        <f aca="false">INDEX(Datos_Origen!$H$2:$H$2459,$Z1707)</f>
        <v>13</v>
      </c>
      <c r="AD1707" s="61" t="str">
        <f aca="false">INDEX(Datos_Origen!$D$2:$D$2459,$Z1707)&amp;""</f>
        <v>Buenos Aires</v>
      </c>
    </row>
    <row r="1708" customFormat="false" ht="15" hidden="false" customHeight="false" outlineLevel="0" collapsed="false">
      <c r="A1708" s="61" t="n">
        <f aca="false">INDEX(Datos_Origen!$A$2:$A$2459,$Z1708)</f>
        <v>1707</v>
      </c>
      <c r="B1708" s="62" t="n">
        <f aca="false">IF(ISNUMBER($AB1708),$AB1708,IF(MID($AB1708,5,1)="-",DATE(VALUE(LEFT($AB1708,4)),VALUE(MID($AB1708,6,2)),VALUE(RIGHT($AB1708,2))),DATE(VALUE(RIGHT($AB1708,4)),VALUE(MID($AB1708,4,2)),VALUE(LEFT($AB1708,2)))))</f>
        <v>45824</v>
      </c>
      <c r="C1708" s="61" t="n">
        <f aca="false">YEAR($B1708)</f>
        <v>2025</v>
      </c>
      <c r="D1708" s="61" t="str">
        <f aca="false">"Q"&amp;ROUNDUP(MONTH($B1708)/3,0)</f>
        <v>Q2</v>
      </c>
      <c r="E1708" s="61" t="n">
        <f aca="false">MONTH($B1708)</f>
        <v>6</v>
      </c>
      <c r="F1708" s="61" t="str">
        <f aca="false">INDEX(Parametros!$I$5:$I$16,$E1708)</f>
        <v>Jun</v>
      </c>
      <c r="G1708" s="61" t="str">
        <f aca="false">TEXT($C1708,"0000")&amp;"-"&amp;TEXT($E1708,"00")</f>
        <v>2025-06</v>
      </c>
      <c r="H1708" s="61" t="str">
        <f aca="false">INDEX(Parametros!$C$71:$C$91,MATCH(TRIM(INDEX(Datos_Origen!$C$2:$C$2459,$Z1708)),Parametros!$B$71:$B$91,0))</f>
        <v>AMBA</v>
      </c>
      <c r="I1708" s="61" t="str">
        <f aca="false">IF(TRIM($AD1708)="",INDEX(Parametros!$I$20:$I$24,MATCH($H1708,Parametros!$H$20:$H$24,0)),TRIM($AD1708))</f>
        <v>Buenos Aires</v>
      </c>
      <c r="J1708" s="61" t="str">
        <f aca="false">INDEX(Parametros!$C$95:$C$106,MATCH(TRIM(INDEX(Datos_Origen!$E$2:$E$2459,$Z1708)),Parametros!$B$95:$B$106,0))</f>
        <v>Tienda fisica</v>
      </c>
      <c r="K1708" s="61" t="str">
        <f aca="false">INDEX(Parametros!$C$48:$C$67,MATCH(TRIM(INDEX(Datos_Origen!$F$2:$F$2459,$Z1708)),Parametros!$B$48:$B$67,0))</f>
        <v>Accesorios</v>
      </c>
      <c r="L1708" s="61" t="str">
        <f aca="false">$K1708&amp;" "&amp;$C1708</f>
        <v>Accesorios 2025</v>
      </c>
      <c r="M1708" s="61" t="str">
        <f aca="false">TRIM(INDEX(Datos_Origen!$G$2:$G$2459,$Z1708))</f>
        <v>Mouse Inalambrico</v>
      </c>
      <c r="N1708" s="61" t="str">
        <f aca="false">$M1708&amp;" "&amp;$C1708</f>
        <v>Mouse Inalambrico 2025</v>
      </c>
      <c r="O1708" s="63" t="n">
        <f aca="false">IF(ISTEXT($AC1708),VALUE($AC1708),$AC1708)</f>
        <v>83</v>
      </c>
      <c r="P1708" s="64" t="n">
        <f aca="false">INDEX(Datos_Origen!$I$2:$I$2459,$Z1708)</f>
        <v>27.82</v>
      </c>
      <c r="Q1708" s="64" t="n">
        <f aca="false">INDEX(Datos_Origen!$J$2:$J$2459,$Z1708)</f>
        <v>13.84</v>
      </c>
      <c r="R1708" s="65" t="n">
        <f aca="false">ROUND($O1708*$P1708,2)</f>
        <v>2309.06</v>
      </c>
      <c r="S1708" s="65" t="n">
        <f aca="false">ROUND($O1708*$Q1708,2)</f>
        <v>1148.72</v>
      </c>
      <c r="T1708" s="65" t="n">
        <f aca="false">ROUND($R1708*SUMIFS(Parametros!$E$28:$E$43,Parametros!$B$28:$B$43,$J1708,Parametros!$C$28:$C$43,$C1708,Parametros!$D$28:$D$43,$D1708),2)</f>
        <v>32.33</v>
      </c>
      <c r="U1708" s="65" t="n">
        <f aca="false">$R1708-$S1708-$T1708</f>
        <v>1128.01</v>
      </c>
      <c r="V1708" s="66" t="n">
        <f aca="false">IFERROR($U1708/$R1708,0)</f>
        <v>0.488514806891116</v>
      </c>
      <c r="W1708" s="67" t="str">
        <f aca="false">IF(AND($V1708&gt;=Parametros!$C$8,$R1708&gt;=Parametros!$C$12),"Alta rentabilidad",IF(OR($V1708&lt;Parametros!$C$11,$R1708&lt;Parametros!$C$13),"Revisar","Estandar"))</f>
        <v>Estandar</v>
      </c>
      <c r="X1708" s="67" t="str">
        <f aca="false">IF(AND($J1708="E-commerce",IFERROR($T1708/$R1708,0)&gt;Parametros!$C$14),"Alerta","OK")</f>
        <v>OK</v>
      </c>
      <c r="Y1708" s="61" t="str">
        <f aca="false">IF($R1708&gt;=Parametros!$C$12,"Alto",IF($R1708&lt;Parametros!$C$13,"Bajo","Medio"))</f>
        <v>Medio</v>
      </c>
      <c r="Z1708" s="61" t="n">
        <v>482</v>
      </c>
      <c r="AA1708" s="61" t="str">
        <f aca="false">IF(MATCH($A1708,Datos_Origen!$A$2:$A$2459,0)=$Z1708,"OK","REVISAR")</f>
        <v>OK</v>
      </c>
      <c r="AB1708" s="62" t="n">
        <f aca="false">INDEX(Datos_Origen!$B$2:$B$2459,$Z1708)</f>
        <v>45824</v>
      </c>
      <c r="AC1708" s="61" t="n">
        <f aca="false">INDEX(Datos_Origen!$H$2:$H$2459,$Z1708)</f>
        <v>83</v>
      </c>
      <c r="AD1708" s="61" t="str">
        <f aca="false">INDEX(Datos_Origen!$D$2:$D$2459,$Z1708)&amp;""</f>
        <v>Buenos Aires</v>
      </c>
    </row>
    <row r="1709" customFormat="false" ht="15" hidden="false" customHeight="false" outlineLevel="0" collapsed="false">
      <c r="A1709" s="61" t="n">
        <f aca="false">INDEX(Datos_Origen!$A$2:$A$2459,$Z1709)</f>
        <v>1708</v>
      </c>
      <c r="B1709" s="62" t="n">
        <f aca="false">IF(ISNUMBER($AB1709),$AB1709,IF(MID($AB1709,5,1)="-",DATE(VALUE(LEFT($AB1709,4)),VALUE(MID($AB1709,6,2)),VALUE(RIGHT($AB1709,2))),DATE(VALUE(RIGHT($AB1709,4)),VALUE(MID($AB1709,4,2)),VALUE(LEFT($AB1709,2)))))</f>
        <v>45831</v>
      </c>
      <c r="C1709" s="61" t="n">
        <f aca="false">YEAR($B1709)</f>
        <v>2025</v>
      </c>
      <c r="D1709" s="61" t="str">
        <f aca="false">"Q"&amp;ROUNDUP(MONTH($B1709)/3,0)</f>
        <v>Q2</v>
      </c>
      <c r="E1709" s="61" t="n">
        <f aca="false">MONTH($B1709)</f>
        <v>6</v>
      </c>
      <c r="F1709" s="61" t="str">
        <f aca="false">INDEX(Parametros!$I$5:$I$16,$E1709)</f>
        <v>Jun</v>
      </c>
      <c r="G1709" s="61" t="str">
        <f aca="false">TEXT($C1709,"0000")&amp;"-"&amp;TEXT($E1709,"00")</f>
        <v>2025-06</v>
      </c>
      <c r="H1709" s="61" t="str">
        <f aca="false">INDEX(Parametros!$C$71:$C$91,MATCH(TRIM(INDEX(Datos_Origen!$C$2:$C$2459,$Z1709)),Parametros!$B$71:$B$91,0))</f>
        <v>AMBA</v>
      </c>
      <c r="I1709" s="61" t="str">
        <f aca="false">IF(TRIM($AD1709)="",INDEX(Parametros!$I$20:$I$24,MATCH($H1709,Parametros!$H$20:$H$24,0)),TRIM($AD1709))</f>
        <v>Buenos Aires</v>
      </c>
      <c r="J1709" s="61" t="str">
        <f aca="false">INDEX(Parametros!$C$95:$C$106,MATCH(TRIM(INDEX(Datos_Origen!$E$2:$E$2459,$Z1709)),Parametros!$B$95:$B$106,0))</f>
        <v>E-commerce</v>
      </c>
      <c r="K1709" s="61" t="str">
        <f aca="false">INDEX(Parametros!$C$48:$C$67,MATCH(TRIM(INDEX(Datos_Origen!$F$2:$F$2459,$Z1709)),Parametros!$B$48:$B$67,0))</f>
        <v>Accesorios</v>
      </c>
      <c r="L1709" s="61" t="str">
        <f aca="false">$K1709&amp;" "&amp;$C1709</f>
        <v>Accesorios 2025</v>
      </c>
      <c r="M1709" s="61" t="str">
        <f aca="false">TRIM(INDEX(Datos_Origen!$G$2:$G$2459,$Z1709))</f>
        <v>Mouse Inalambrico</v>
      </c>
      <c r="N1709" s="61" t="str">
        <f aca="false">$M1709&amp;" "&amp;$C1709</f>
        <v>Mouse Inalambrico 2025</v>
      </c>
      <c r="O1709" s="63" t="n">
        <f aca="false">IF(ISTEXT($AC1709),VALUE($AC1709),$AC1709)</f>
        <v>79</v>
      </c>
      <c r="P1709" s="64" t="n">
        <f aca="false">INDEX(Datos_Origen!$I$2:$I$2459,$Z1709)</f>
        <v>27.82</v>
      </c>
      <c r="Q1709" s="64" t="n">
        <f aca="false">INDEX(Datos_Origen!$J$2:$J$2459,$Z1709)</f>
        <v>13.84</v>
      </c>
      <c r="R1709" s="65" t="n">
        <f aca="false">ROUND($O1709*$P1709,2)</f>
        <v>2197.78</v>
      </c>
      <c r="S1709" s="65" t="n">
        <f aca="false">ROUND($O1709*$Q1709,2)</f>
        <v>1093.36</v>
      </c>
      <c r="T1709" s="65" t="n">
        <f aca="false">ROUND($R1709*SUMIFS(Parametros!$E$28:$E$43,Parametros!$B$28:$B$43,$J1709,Parametros!$C$28:$C$43,$C1709,Parametros!$D$28:$D$43,$D1709),2)</f>
        <v>162.64</v>
      </c>
      <c r="U1709" s="65" t="n">
        <f aca="false">$R1709-$S1709-$T1709</f>
        <v>941.78</v>
      </c>
      <c r="V1709" s="66" t="n">
        <f aca="false">IFERROR($U1709/$R1709,0)</f>
        <v>0.428514227993703</v>
      </c>
      <c r="W1709" s="67" t="str">
        <f aca="false">IF(AND($V1709&gt;=Parametros!$C$8,$R1709&gt;=Parametros!$C$12),"Alta rentabilidad",IF(OR($V1709&lt;Parametros!$C$11,$R1709&lt;Parametros!$C$13),"Revisar","Estandar"))</f>
        <v>Estandar</v>
      </c>
      <c r="X1709" s="67" t="str">
        <f aca="false">IF(AND($J1709="E-commerce",IFERROR($T1709/$R1709,0)&gt;Parametros!$C$14),"Alerta","OK")</f>
        <v>Alerta</v>
      </c>
      <c r="Y1709" s="61" t="str">
        <f aca="false">IF($R1709&gt;=Parametros!$C$12,"Alto",IF($R1709&lt;Parametros!$C$13,"Bajo","Medio"))</f>
        <v>Medio</v>
      </c>
      <c r="Z1709" s="61" t="n">
        <v>1549</v>
      </c>
      <c r="AA1709" s="61" t="str">
        <f aca="false">IF(MATCH($A1709,Datos_Origen!$A$2:$A$2459,0)=$Z1709,"OK","REVISAR")</f>
        <v>OK</v>
      </c>
      <c r="AB1709" s="61" t="str">
        <f aca="false">INDEX(Datos_Origen!$B$2:$B$2459,$Z1709)</f>
        <v>2025-06-23</v>
      </c>
      <c r="AC1709" s="61" t="n">
        <f aca="false">INDEX(Datos_Origen!$H$2:$H$2459,$Z1709)</f>
        <v>79</v>
      </c>
      <c r="AD1709" s="61" t="str">
        <f aca="false">INDEX(Datos_Origen!$D$2:$D$2459,$Z1709)&amp;""</f>
        <v>Buenos Aires</v>
      </c>
    </row>
    <row r="1710" customFormat="false" ht="15" hidden="false" customHeight="false" outlineLevel="0" collapsed="false">
      <c r="A1710" s="61" t="n">
        <f aca="false">INDEX(Datos_Origen!$A$2:$A$2459,$Z1710)</f>
        <v>1709</v>
      </c>
      <c r="B1710" s="62" t="n">
        <f aca="false">IF(ISNUMBER($AB1710),$AB1710,IF(MID($AB1710,5,1)="-",DATE(VALUE(LEFT($AB1710,4)),VALUE(MID($AB1710,6,2)),VALUE(RIGHT($AB1710,2))),DATE(VALUE(RIGHT($AB1710,4)),VALUE(MID($AB1710,4,2)),VALUE(LEFT($AB1710,2)))))</f>
        <v>45811</v>
      </c>
      <c r="C1710" s="61" t="n">
        <f aca="false">YEAR($B1710)</f>
        <v>2025</v>
      </c>
      <c r="D1710" s="61" t="str">
        <f aca="false">"Q"&amp;ROUNDUP(MONTH($B1710)/3,0)</f>
        <v>Q2</v>
      </c>
      <c r="E1710" s="61" t="n">
        <f aca="false">MONTH($B1710)</f>
        <v>6</v>
      </c>
      <c r="F1710" s="61" t="str">
        <f aca="false">INDEX(Parametros!$I$5:$I$16,$E1710)</f>
        <v>Jun</v>
      </c>
      <c r="G1710" s="61" t="str">
        <f aca="false">TEXT($C1710,"0000")&amp;"-"&amp;TEXT($E1710,"00")</f>
        <v>2025-06</v>
      </c>
      <c r="H1710" s="61" t="str">
        <f aca="false">INDEX(Parametros!$C$71:$C$91,MATCH(TRIM(INDEX(Datos_Origen!$C$2:$C$2459,$Z1710)),Parametros!$B$71:$B$91,0))</f>
        <v>AMBA</v>
      </c>
      <c r="I1710" s="61" t="str">
        <f aca="false">IF(TRIM($AD1710)="",INDEX(Parametros!$I$20:$I$24,MATCH($H1710,Parametros!$H$20:$H$24,0)),TRIM($AD1710))</f>
        <v>Buenos Aires</v>
      </c>
      <c r="J1710" s="61" t="str">
        <f aca="false">INDEX(Parametros!$C$95:$C$106,MATCH(TRIM(INDEX(Datos_Origen!$E$2:$E$2459,$Z1710)),Parametros!$B$95:$B$106,0))</f>
        <v>Tienda fisica</v>
      </c>
      <c r="K1710" s="61" t="str">
        <f aca="false">INDEX(Parametros!$C$48:$C$67,MATCH(TRIM(INDEX(Datos_Origen!$F$2:$F$2459,$Z1710)),Parametros!$B$48:$B$67,0))</f>
        <v>Accesorios</v>
      </c>
      <c r="L1710" s="61" t="str">
        <f aca="false">$K1710&amp;" "&amp;$C1710</f>
        <v>Accesorios 2025</v>
      </c>
      <c r="M1710" s="61" t="str">
        <f aca="false">TRIM(INDEX(Datos_Origen!$G$2:$G$2459,$Z1710))</f>
        <v>Teclado Mecanico</v>
      </c>
      <c r="N1710" s="61" t="str">
        <f aca="false">$M1710&amp;" "&amp;$C1710</f>
        <v>Teclado Mecanico 2025</v>
      </c>
      <c r="O1710" s="63" t="n">
        <f aca="false">IF(ISTEXT($AC1710),VALUE($AC1710),$AC1710)</f>
        <v>107</v>
      </c>
      <c r="P1710" s="64" t="n">
        <f aca="false">INDEX(Datos_Origen!$I$2:$I$2459,$Z1710)</f>
        <v>94.39</v>
      </c>
      <c r="Q1710" s="64" t="n">
        <f aca="false">INDEX(Datos_Origen!$J$2:$J$2459,$Z1710)</f>
        <v>49.41</v>
      </c>
      <c r="R1710" s="65" t="n">
        <f aca="false">ROUND($O1710*$P1710,2)</f>
        <v>10099.73</v>
      </c>
      <c r="S1710" s="65" t="n">
        <f aca="false">ROUND($O1710*$Q1710,2)</f>
        <v>5286.87</v>
      </c>
      <c r="T1710" s="65" t="n">
        <f aca="false">ROUND($R1710*SUMIFS(Parametros!$E$28:$E$43,Parametros!$B$28:$B$43,$J1710,Parametros!$C$28:$C$43,$C1710,Parametros!$D$28:$D$43,$D1710),2)</f>
        <v>141.4</v>
      </c>
      <c r="U1710" s="65" t="n">
        <f aca="false">$R1710-$S1710-$T1710</f>
        <v>4671.46</v>
      </c>
      <c r="V1710" s="66" t="n">
        <f aca="false">IFERROR($U1710/$R1710,0)</f>
        <v>0.462533156826965</v>
      </c>
      <c r="W1710" s="67" t="str">
        <f aca="false">IF(AND($V1710&gt;=Parametros!$C$8,$R1710&gt;=Parametros!$C$12),"Alta rentabilidad",IF(OR($V1710&lt;Parametros!$C$11,$R1710&lt;Parametros!$C$13),"Revisar","Estandar"))</f>
        <v>Alta rentabilidad</v>
      </c>
      <c r="X1710" s="67" t="str">
        <f aca="false">IF(AND($J1710="E-commerce",IFERROR($T1710/$R1710,0)&gt;Parametros!$C$14),"Alerta","OK")</f>
        <v>OK</v>
      </c>
      <c r="Y1710" s="61" t="str">
        <f aca="false">IF($R1710&gt;=Parametros!$C$12,"Alto",IF($R1710&lt;Parametros!$C$13,"Bajo","Medio"))</f>
        <v>Alto</v>
      </c>
      <c r="Z1710" s="61" t="n">
        <v>1181</v>
      </c>
      <c r="AA1710" s="61" t="str">
        <f aca="false">IF(MATCH($A1710,Datos_Origen!$A$2:$A$2459,0)=$Z1710,"OK","REVISAR")</f>
        <v>OK</v>
      </c>
      <c r="AB1710" s="61" t="str">
        <f aca="false">INDEX(Datos_Origen!$B$2:$B$2459,$Z1710)</f>
        <v>03/06/2025</v>
      </c>
      <c r="AC1710" s="61" t="n">
        <f aca="false">INDEX(Datos_Origen!$H$2:$H$2459,$Z1710)</f>
        <v>107</v>
      </c>
      <c r="AD1710" s="61" t="str">
        <f aca="false">INDEX(Datos_Origen!$D$2:$D$2459,$Z1710)&amp;""</f>
        <v>Buenos Aires</v>
      </c>
    </row>
    <row r="1711" customFormat="false" ht="15" hidden="false" customHeight="false" outlineLevel="0" collapsed="false">
      <c r="A1711" s="61" t="n">
        <f aca="false">INDEX(Datos_Origen!$A$2:$A$2459,$Z1711)</f>
        <v>1710</v>
      </c>
      <c r="B1711" s="62" t="n">
        <f aca="false">IF(ISNUMBER($AB1711),$AB1711,IF(MID($AB1711,5,1)="-",DATE(VALUE(LEFT($AB1711,4)),VALUE(MID($AB1711,6,2)),VALUE(RIGHT($AB1711,2))),DATE(VALUE(RIGHT($AB1711,4)),VALUE(MID($AB1711,4,2)),VALUE(LEFT($AB1711,2)))))</f>
        <v>45818</v>
      </c>
      <c r="C1711" s="61" t="n">
        <f aca="false">YEAR($B1711)</f>
        <v>2025</v>
      </c>
      <c r="D1711" s="61" t="str">
        <f aca="false">"Q"&amp;ROUNDUP(MONTH($B1711)/3,0)</f>
        <v>Q2</v>
      </c>
      <c r="E1711" s="61" t="n">
        <f aca="false">MONTH($B1711)</f>
        <v>6</v>
      </c>
      <c r="F1711" s="61" t="str">
        <f aca="false">INDEX(Parametros!$I$5:$I$16,$E1711)</f>
        <v>Jun</v>
      </c>
      <c r="G1711" s="61" t="str">
        <f aca="false">TEXT($C1711,"0000")&amp;"-"&amp;TEXT($E1711,"00")</f>
        <v>2025-06</v>
      </c>
      <c r="H1711" s="61" t="str">
        <f aca="false">INDEX(Parametros!$C$71:$C$91,MATCH(TRIM(INDEX(Datos_Origen!$C$2:$C$2459,$Z1711)),Parametros!$B$71:$B$91,0))</f>
        <v>AMBA</v>
      </c>
      <c r="I1711" s="61" t="str">
        <f aca="false">IF(TRIM($AD1711)="",INDEX(Parametros!$I$20:$I$24,MATCH($H1711,Parametros!$H$20:$H$24,0)),TRIM($AD1711))</f>
        <v>Buenos Aires</v>
      </c>
      <c r="J1711" s="61" t="str">
        <f aca="false">INDEX(Parametros!$C$95:$C$106,MATCH(TRIM(INDEX(Datos_Origen!$E$2:$E$2459,$Z1711)),Parametros!$B$95:$B$106,0))</f>
        <v>E-commerce</v>
      </c>
      <c r="K1711" s="61" t="str">
        <f aca="false">INDEX(Parametros!$C$48:$C$67,MATCH(TRIM(INDEX(Datos_Origen!$F$2:$F$2459,$Z1711)),Parametros!$B$48:$B$67,0))</f>
        <v>Accesorios</v>
      </c>
      <c r="L1711" s="61" t="str">
        <f aca="false">$K1711&amp;" "&amp;$C1711</f>
        <v>Accesorios 2025</v>
      </c>
      <c r="M1711" s="61" t="str">
        <f aca="false">TRIM(INDEX(Datos_Origen!$G$2:$G$2459,$Z1711))</f>
        <v>Teclado Mecanico</v>
      </c>
      <c r="N1711" s="61" t="str">
        <f aca="false">$M1711&amp;" "&amp;$C1711</f>
        <v>Teclado Mecanico 2025</v>
      </c>
      <c r="O1711" s="63" t="n">
        <f aca="false">IF(ISTEXT($AC1711),VALUE($AC1711),$AC1711)</f>
        <v>72</v>
      </c>
      <c r="P1711" s="64" t="n">
        <f aca="false">INDEX(Datos_Origen!$I$2:$I$2459,$Z1711)</f>
        <v>94.39</v>
      </c>
      <c r="Q1711" s="64" t="n">
        <f aca="false">INDEX(Datos_Origen!$J$2:$J$2459,$Z1711)</f>
        <v>49.41</v>
      </c>
      <c r="R1711" s="65" t="n">
        <f aca="false">ROUND($O1711*$P1711,2)</f>
        <v>6796.08</v>
      </c>
      <c r="S1711" s="65" t="n">
        <f aca="false">ROUND($O1711*$Q1711,2)</f>
        <v>3557.52</v>
      </c>
      <c r="T1711" s="65" t="n">
        <f aca="false">ROUND($R1711*SUMIFS(Parametros!$E$28:$E$43,Parametros!$B$28:$B$43,$J1711,Parametros!$C$28:$C$43,$C1711,Parametros!$D$28:$D$43,$D1711),2)</f>
        <v>502.91</v>
      </c>
      <c r="U1711" s="65" t="n">
        <f aca="false">$R1711-$S1711-$T1711</f>
        <v>2735.65</v>
      </c>
      <c r="V1711" s="66" t="n">
        <f aca="false">IFERROR($U1711/$R1711,0)</f>
        <v>0.402533519322904</v>
      </c>
      <c r="W1711" s="67" t="str">
        <f aca="false">IF(AND($V1711&gt;=Parametros!$C$8,$R1711&gt;=Parametros!$C$12),"Alta rentabilidad",IF(OR($V1711&lt;Parametros!$C$11,$R1711&lt;Parametros!$C$13),"Revisar","Estandar"))</f>
        <v>Alta rentabilidad</v>
      </c>
      <c r="X1711" s="67" t="str">
        <f aca="false">IF(AND($J1711="E-commerce",IFERROR($T1711/$R1711,0)&gt;Parametros!$C$14),"Alerta","OK")</f>
        <v>Alerta</v>
      </c>
      <c r="Y1711" s="61" t="str">
        <f aca="false">IF($R1711&gt;=Parametros!$C$12,"Alto",IF($R1711&lt;Parametros!$C$13,"Bajo","Medio"))</f>
        <v>Alto</v>
      </c>
      <c r="Z1711" s="61" t="n">
        <v>1529</v>
      </c>
      <c r="AA1711" s="61" t="str">
        <f aca="false">IF(MATCH($A1711,Datos_Origen!$A$2:$A$2459,0)=$Z1711,"OK","REVISAR")</f>
        <v>OK</v>
      </c>
      <c r="AB1711" s="62" t="n">
        <f aca="false">INDEX(Datos_Origen!$B$2:$B$2459,$Z1711)</f>
        <v>45818</v>
      </c>
      <c r="AC1711" s="61" t="n">
        <f aca="false">INDEX(Datos_Origen!$H$2:$H$2459,$Z1711)</f>
        <v>72</v>
      </c>
      <c r="AD1711" s="61" t="str">
        <f aca="false">INDEX(Datos_Origen!$D$2:$D$2459,$Z1711)&amp;""</f>
        <v>Buenos Aires</v>
      </c>
    </row>
    <row r="1712" customFormat="false" ht="15" hidden="false" customHeight="false" outlineLevel="0" collapsed="false">
      <c r="A1712" s="61" t="n">
        <f aca="false">INDEX(Datos_Origen!$A$2:$A$2459,$Z1712)</f>
        <v>1711</v>
      </c>
      <c r="B1712" s="62" t="n">
        <f aca="false">IF(ISNUMBER($AB1712),$AB1712,IF(MID($AB1712,5,1)="-",DATE(VALUE(LEFT($AB1712,4)),VALUE(MID($AB1712,6,2)),VALUE(RIGHT($AB1712,2))),DATE(VALUE(RIGHT($AB1712,4)),VALUE(MID($AB1712,4,2)),VALUE(LEFT($AB1712,2)))))</f>
        <v>45825</v>
      </c>
      <c r="C1712" s="61" t="n">
        <f aca="false">YEAR($B1712)</f>
        <v>2025</v>
      </c>
      <c r="D1712" s="61" t="str">
        <f aca="false">"Q"&amp;ROUNDUP(MONTH($B1712)/3,0)</f>
        <v>Q2</v>
      </c>
      <c r="E1712" s="61" t="n">
        <f aca="false">MONTH($B1712)</f>
        <v>6</v>
      </c>
      <c r="F1712" s="61" t="str">
        <f aca="false">INDEX(Parametros!$I$5:$I$16,$E1712)</f>
        <v>Jun</v>
      </c>
      <c r="G1712" s="61" t="str">
        <f aca="false">TEXT($C1712,"0000")&amp;"-"&amp;TEXT($E1712,"00")</f>
        <v>2025-06</v>
      </c>
      <c r="H1712" s="61" t="str">
        <f aca="false">INDEX(Parametros!$C$71:$C$91,MATCH(TRIM(INDEX(Datos_Origen!$C$2:$C$2459,$Z1712)),Parametros!$B$71:$B$91,0))</f>
        <v>AMBA</v>
      </c>
      <c r="I1712" s="61" t="str">
        <f aca="false">IF(TRIM($AD1712)="",INDEX(Parametros!$I$20:$I$24,MATCH($H1712,Parametros!$H$20:$H$24,0)),TRIM($AD1712))</f>
        <v>Buenos Aires</v>
      </c>
      <c r="J1712" s="61" t="str">
        <f aca="false">INDEX(Parametros!$C$95:$C$106,MATCH(TRIM(INDEX(Datos_Origen!$E$2:$E$2459,$Z1712)),Parametros!$B$95:$B$106,0))</f>
        <v>Tienda fisica</v>
      </c>
      <c r="K1712" s="61" t="str">
        <f aca="false">INDEX(Parametros!$C$48:$C$67,MATCH(TRIM(INDEX(Datos_Origen!$F$2:$F$2459,$Z1712)),Parametros!$B$48:$B$67,0))</f>
        <v>Accesorios</v>
      </c>
      <c r="L1712" s="61" t="str">
        <f aca="false">$K1712&amp;" "&amp;$C1712</f>
        <v>Accesorios 2025</v>
      </c>
      <c r="M1712" s="61" t="str">
        <f aca="false">TRIM(INDEX(Datos_Origen!$G$2:$G$2459,$Z1712))</f>
        <v>Webcam Full HD</v>
      </c>
      <c r="N1712" s="61" t="str">
        <f aca="false">$M1712&amp;" "&amp;$C1712</f>
        <v>Webcam Full HD 2025</v>
      </c>
      <c r="O1712" s="63" t="n">
        <f aca="false">IF(ISTEXT($AC1712),VALUE($AC1712),$AC1712)</f>
        <v>87</v>
      </c>
      <c r="P1712" s="64" t="n">
        <f aca="false">INDEX(Datos_Origen!$I$2:$I$2459,$Z1712)</f>
        <v>64.58</v>
      </c>
      <c r="Q1712" s="64" t="n">
        <f aca="false">INDEX(Datos_Origen!$J$2:$J$2459,$Z1712)</f>
        <v>36.49</v>
      </c>
      <c r="R1712" s="65" t="n">
        <f aca="false">ROUND($O1712*$P1712,2)</f>
        <v>5618.46</v>
      </c>
      <c r="S1712" s="65" t="n">
        <f aca="false">ROUND($O1712*$Q1712,2)</f>
        <v>3174.63</v>
      </c>
      <c r="T1712" s="65" t="n">
        <f aca="false">ROUND($R1712*SUMIFS(Parametros!$E$28:$E$43,Parametros!$B$28:$B$43,$J1712,Parametros!$C$28:$C$43,$C1712,Parametros!$D$28:$D$43,$D1712),2)</f>
        <v>78.66</v>
      </c>
      <c r="U1712" s="65" t="n">
        <f aca="false">$R1712-$S1712-$T1712</f>
        <v>2365.17</v>
      </c>
      <c r="V1712" s="66" t="n">
        <f aca="false">IFERROR($U1712/$R1712,0)</f>
        <v>0.420964107602439</v>
      </c>
      <c r="W1712" s="67" t="str">
        <f aca="false">IF(AND($V1712&gt;=Parametros!$C$8,$R1712&gt;=Parametros!$C$12),"Alta rentabilidad",IF(OR($V1712&lt;Parametros!$C$11,$R1712&lt;Parametros!$C$13),"Revisar","Estandar"))</f>
        <v>Alta rentabilidad</v>
      </c>
      <c r="X1712" s="67" t="str">
        <f aca="false">IF(AND($J1712="E-commerce",IFERROR($T1712/$R1712,0)&gt;Parametros!$C$14),"Alerta","OK")</f>
        <v>OK</v>
      </c>
      <c r="Y1712" s="61" t="str">
        <f aca="false">IF($R1712&gt;=Parametros!$C$12,"Alto",IF($R1712&lt;Parametros!$C$13,"Bajo","Medio"))</f>
        <v>Alto</v>
      </c>
      <c r="Z1712" s="61" t="n">
        <v>751</v>
      </c>
      <c r="AA1712" s="61" t="str">
        <f aca="false">IF(MATCH($A1712,Datos_Origen!$A$2:$A$2459,0)=$Z1712,"OK","REVISAR")</f>
        <v>OK</v>
      </c>
      <c r="AB1712" s="62" t="n">
        <f aca="false">INDEX(Datos_Origen!$B$2:$B$2459,$Z1712)</f>
        <v>45825</v>
      </c>
      <c r="AC1712" s="61" t="n">
        <f aca="false">INDEX(Datos_Origen!$H$2:$H$2459,$Z1712)</f>
        <v>87</v>
      </c>
      <c r="AD1712" s="61" t="str">
        <f aca="false">INDEX(Datos_Origen!$D$2:$D$2459,$Z1712)&amp;""</f>
        <v>Buenos Aires</v>
      </c>
    </row>
    <row r="1713" customFormat="false" ht="15" hidden="false" customHeight="false" outlineLevel="0" collapsed="false">
      <c r="A1713" s="61" t="n">
        <f aca="false">INDEX(Datos_Origen!$A$2:$A$2459,$Z1713)</f>
        <v>1712</v>
      </c>
      <c r="B1713" s="62" t="n">
        <f aca="false">IF(ISNUMBER($AB1713),$AB1713,IF(MID($AB1713,5,1)="-",DATE(VALUE(LEFT($AB1713,4)),VALUE(MID($AB1713,6,2)),VALUE(RIGHT($AB1713,2))),DATE(VALUE(RIGHT($AB1713,4)),VALUE(MID($AB1713,4,2)),VALUE(LEFT($AB1713,2)))))</f>
        <v>45832</v>
      </c>
      <c r="C1713" s="61" t="n">
        <f aca="false">YEAR($B1713)</f>
        <v>2025</v>
      </c>
      <c r="D1713" s="61" t="str">
        <f aca="false">"Q"&amp;ROUNDUP(MONTH($B1713)/3,0)</f>
        <v>Q2</v>
      </c>
      <c r="E1713" s="61" t="n">
        <f aca="false">MONTH($B1713)</f>
        <v>6</v>
      </c>
      <c r="F1713" s="61" t="str">
        <f aca="false">INDEX(Parametros!$I$5:$I$16,$E1713)</f>
        <v>Jun</v>
      </c>
      <c r="G1713" s="61" t="str">
        <f aca="false">TEXT($C1713,"0000")&amp;"-"&amp;TEXT($E1713,"00")</f>
        <v>2025-06</v>
      </c>
      <c r="H1713" s="61" t="str">
        <f aca="false">INDEX(Parametros!$C$71:$C$91,MATCH(TRIM(INDEX(Datos_Origen!$C$2:$C$2459,$Z1713)),Parametros!$B$71:$B$91,0))</f>
        <v>AMBA</v>
      </c>
      <c r="I1713" s="61" t="str">
        <f aca="false">IF(TRIM($AD1713)="",INDEX(Parametros!$I$20:$I$24,MATCH($H1713,Parametros!$H$20:$H$24,0)),TRIM($AD1713))</f>
        <v>Buenos Aires</v>
      </c>
      <c r="J1713" s="61" t="str">
        <f aca="false">INDEX(Parametros!$C$95:$C$106,MATCH(TRIM(INDEX(Datos_Origen!$E$2:$E$2459,$Z1713)),Parametros!$B$95:$B$106,0))</f>
        <v>E-commerce</v>
      </c>
      <c r="K1713" s="61" t="str">
        <f aca="false">INDEX(Parametros!$C$48:$C$67,MATCH(TRIM(INDEX(Datos_Origen!$F$2:$F$2459,$Z1713)),Parametros!$B$48:$B$67,0))</f>
        <v>Accesorios</v>
      </c>
      <c r="L1713" s="61" t="str">
        <f aca="false">$K1713&amp;" "&amp;$C1713</f>
        <v>Accesorios 2025</v>
      </c>
      <c r="M1713" s="61" t="str">
        <f aca="false">TRIM(INDEX(Datos_Origen!$G$2:$G$2459,$Z1713))</f>
        <v>Webcam Full HD</v>
      </c>
      <c r="N1713" s="61" t="str">
        <f aca="false">$M1713&amp;" "&amp;$C1713</f>
        <v>Webcam Full HD 2025</v>
      </c>
      <c r="O1713" s="63" t="n">
        <f aca="false">IF(ISTEXT($AC1713),VALUE($AC1713),$AC1713)</f>
        <v>65</v>
      </c>
      <c r="P1713" s="64" t="n">
        <f aca="false">INDEX(Datos_Origen!$I$2:$I$2459,$Z1713)</f>
        <v>64.58</v>
      </c>
      <c r="Q1713" s="64" t="n">
        <f aca="false">INDEX(Datos_Origen!$J$2:$J$2459,$Z1713)</f>
        <v>36.49</v>
      </c>
      <c r="R1713" s="65" t="n">
        <f aca="false">ROUND($O1713*$P1713,2)</f>
        <v>4197.7</v>
      </c>
      <c r="S1713" s="65" t="n">
        <f aca="false">ROUND($O1713*$Q1713,2)</f>
        <v>2371.85</v>
      </c>
      <c r="T1713" s="65" t="n">
        <f aca="false">ROUND($R1713*SUMIFS(Parametros!$E$28:$E$43,Parametros!$B$28:$B$43,$J1713,Parametros!$C$28:$C$43,$C1713,Parametros!$D$28:$D$43,$D1713),2)</f>
        <v>310.63</v>
      </c>
      <c r="U1713" s="65" t="n">
        <f aca="false">$R1713-$S1713-$T1713</f>
        <v>1515.22</v>
      </c>
      <c r="V1713" s="66" t="n">
        <f aca="false">IFERROR($U1713/$R1713,0)</f>
        <v>0.360964337613455</v>
      </c>
      <c r="W1713" s="67" t="str">
        <f aca="false">IF(AND($V1713&gt;=Parametros!$C$8,$R1713&gt;=Parametros!$C$12),"Alta rentabilidad",IF(OR($V1713&lt;Parametros!$C$11,$R1713&lt;Parametros!$C$13),"Revisar","Estandar"))</f>
        <v>Alta rentabilidad</v>
      </c>
      <c r="X1713" s="67" t="str">
        <f aca="false">IF(AND($J1713="E-commerce",IFERROR($T1713/$R1713,0)&gt;Parametros!$C$14),"Alerta","OK")</f>
        <v>Alerta</v>
      </c>
      <c r="Y1713" s="61" t="str">
        <f aca="false">IF($R1713&gt;=Parametros!$C$12,"Alto",IF($R1713&lt;Parametros!$C$13,"Bajo","Medio"))</f>
        <v>Alto</v>
      </c>
      <c r="Z1713" s="61" t="n">
        <v>1862</v>
      </c>
      <c r="AA1713" s="61" t="str">
        <f aca="false">IF(MATCH($A1713,Datos_Origen!$A$2:$A$2459,0)=$Z1713,"OK","REVISAR")</f>
        <v>OK</v>
      </c>
      <c r="AB1713" s="62" t="n">
        <f aca="false">INDEX(Datos_Origen!$B$2:$B$2459,$Z1713)</f>
        <v>45832</v>
      </c>
      <c r="AC1713" s="61" t="n">
        <f aca="false">INDEX(Datos_Origen!$H$2:$H$2459,$Z1713)</f>
        <v>65</v>
      </c>
      <c r="AD1713" s="61" t="str">
        <f aca="false">INDEX(Datos_Origen!$D$2:$D$2459,$Z1713)&amp;""</f>
        <v/>
      </c>
    </row>
    <row r="1714" customFormat="false" ht="15" hidden="false" customHeight="false" outlineLevel="0" collapsed="false">
      <c r="A1714" s="61" t="n">
        <f aca="false">INDEX(Datos_Origen!$A$2:$A$2459,$Z1714)</f>
        <v>1713</v>
      </c>
      <c r="B1714" s="62" t="n">
        <f aca="false">IF(ISNUMBER($AB1714),$AB1714,IF(MID($AB1714,5,1)="-",DATE(VALUE(LEFT($AB1714,4)),VALUE(MID($AB1714,6,2)),VALUE(RIGHT($AB1714,2))),DATE(VALUE(RIGHT($AB1714,4)),VALUE(MID($AB1714,4,2)),VALUE(LEFT($AB1714,2)))))</f>
        <v>45812</v>
      </c>
      <c r="C1714" s="61" t="n">
        <f aca="false">YEAR($B1714)</f>
        <v>2025</v>
      </c>
      <c r="D1714" s="61" t="str">
        <f aca="false">"Q"&amp;ROUNDUP(MONTH($B1714)/3,0)</f>
        <v>Q2</v>
      </c>
      <c r="E1714" s="61" t="n">
        <f aca="false">MONTH($B1714)</f>
        <v>6</v>
      </c>
      <c r="F1714" s="61" t="str">
        <f aca="false">INDEX(Parametros!$I$5:$I$16,$E1714)</f>
        <v>Jun</v>
      </c>
      <c r="G1714" s="61" t="str">
        <f aca="false">TEXT($C1714,"0000")&amp;"-"&amp;TEXT($E1714,"00")</f>
        <v>2025-06</v>
      </c>
      <c r="H1714" s="61" t="str">
        <f aca="false">INDEX(Parametros!$C$71:$C$91,MATCH(TRIM(INDEX(Datos_Origen!$C$2:$C$2459,$Z1714)),Parametros!$B$71:$B$91,0))</f>
        <v>AMBA</v>
      </c>
      <c r="I1714" s="61" t="str">
        <f aca="false">IF(TRIM($AD1714)="",INDEX(Parametros!$I$20:$I$24,MATCH($H1714,Parametros!$H$20:$H$24,0)),TRIM($AD1714))</f>
        <v>Buenos Aires</v>
      </c>
      <c r="J1714" s="61" t="str">
        <f aca="false">INDEX(Parametros!$C$95:$C$106,MATCH(TRIM(INDEX(Datos_Origen!$E$2:$E$2459,$Z1714)),Parametros!$B$95:$B$106,0))</f>
        <v>Tienda fisica</v>
      </c>
      <c r="K1714" s="61" t="str">
        <f aca="false">INDEX(Parametros!$C$48:$C$67,MATCH(TRIM(INDEX(Datos_Origen!$F$2:$F$2459,$Z1714)),Parametros!$B$48:$B$67,0))</f>
        <v>Audio</v>
      </c>
      <c r="L1714" s="61" t="str">
        <f aca="false">$K1714&amp;" "&amp;$C1714</f>
        <v>Audio 2025</v>
      </c>
      <c r="M1714" s="61" t="str">
        <f aca="false">TRIM(INDEX(Datos_Origen!$G$2:$G$2459,$Z1714))</f>
        <v>Auriculares BT Pro</v>
      </c>
      <c r="N1714" s="61" t="str">
        <f aca="false">$M1714&amp;" "&amp;$C1714</f>
        <v>Auriculares BT Pro 2025</v>
      </c>
      <c r="O1714" s="63" t="n">
        <f aca="false">IF(ISTEXT($AC1714),VALUE($AC1714),$AC1714)</f>
        <v>47</v>
      </c>
      <c r="P1714" s="64" t="n">
        <f aca="false">INDEX(Datos_Origen!$I$2:$I$2459,$Z1714)</f>
        <v>119.23</v>
      </c>
      <c r="Q1714" s="64" t="n">
        <f aca="false">INDEX(Datos_Origen!$J$2:$J$2459,$Z1714)</f>
        <v>65.51</v>
      </c>
      <c r="R1714" s="65" t="n">
        <f aca="false">ROUND($O1714*$P1714,2)</f>
        <v>5603.81</v>
      </c>
      <c r="S1714" s="65" t="n">
        <f aca="false">ROUND($O1714*$Q1714,2)</f>
        <v>3078.97</v>
      </c>
      <c r="T1714" s="65" t="n">
        <f aca="false">ROUND($R1714*SUMIFS(Parametros!$E$28:$E$43,Parametros!$B$28:$B$43,$J1714,Parametros!$C$28:$C$43,$C1714,Parametros!$D$28:$D$43,$D1714),2)</f>
        <v>78.45</v>
      </c>
      <c r="U1714" s="65" t="n">
        <f aca="false">$R1714-$S1714-$T1714</f>
        <v>2446.39</v>
      </c>
      <c r="V1714" s="66" t="n">
        <f aca="false">IFERROR($U1714/$R1714,0)</f>
        <v>0.436558341556905</v>
      </c>
      <c r="W1714" s="67" t="str">
        <f aca="false">IF(AND($V1714&gt;=Parametros!$C$8,$R1714&gt;=Parametros!$C$12),"Alta rentabilidad",IF(OR($V1714&lt;Parametros!$C$11,$R1714&lt;Parametros!$C$13),"Revisar","Estandar"))</f>
        <v>Alta rentabilidad</v>
      </c>
      <c r="X1714" s="67" t="str">
        <f aca="false">IF(AND($J1714="E-commerce",IFERROR($T1714/$R1714,0)&gt;Parametros!$C$14),"Alerta","OK")</f>
        <v>OK</v>
      </c>
      <c r="Y1714" s="61" t="str">
        <f aca="false">IF($R1714&gt;=Parametros!$C$12,"Alto",IF($R1714&lt;Parametros!$C$13,"Bajo","Medio"))</f>
        <v>Alto</v>
      </c>
      <c r="Z1714" s="61" t="n">
        <v>1289</v>
      </c>
      <c r="AA1714" s="61" t="str">
        <f aca="false">IF(MATCH($A1714,Datos_Origen!$A$2:$A$2459,0)=$Z1714,"OK","REVISAR")</f>
        <v>OK</v>
      </c>
      <c r="AB1714" s="61" t="str">
        <f aca="false">INDEX(Datos_Origen!$B$2:$B$2459,$Z1714)</f>
        <v>04/06/2025</v>
      </c>
      <c r="AC1714" s="61" t="n">
        <f aca="false">INDEX(Datos_Origen!$H$2:$H$2459,$Z1714)</f>
        <v>47</v>
      </c>
      <c r="AD1714" s="61" t="str">
        <f aca="false">INDEX(Datos_Origen!$D$2:$D$2459,$Z1714)&amp;""</f>
        <v>Buenos Aires</v>
      </c>
    </row>
    <row r="1715" customFormat="false" ht="15" hidden="false" customHeight="false" outlineLevel="0" collapsed="false">
      <c r="A1715" s="61" t="n">
        <f aca="false">INDEX(Datos_Origen!$A$2:$A$2459,$Z1715)</f>
        <v>1714</v>
      </c>
      <c r="B1715" s="62" t="n">
        <f aca="false">IF(ISNUMBER($AB1715),$AB1715,IF(MID($AB1715,5,1)="-",DATE(VALUE(LEFT($AB1715,4)),VALUE(MID($AB1715,6,2)),VALUE(RIGHT($AB1715,2))),DATE(VALUE(RIGHT($AB1715,4)),VALUE(MID($AB1715,4,2)),VALUE(LEFT($AB1715,2)))))</f>
        <v>45819</v>
      </c>
      <c r="C1715" s="61" t="n">
        <f aca="false">YEAR($B1715)</f>
        <v>2025</v>
      </c>
      <c r="D1715" s="61" t="str">
        <f aca="false">"Q"&amp;ROUNDUP(MONTH($B1715)/3,0)</f>
        <v>Q2</v>
      </c>
      <c r="E1715" s="61" t="n">
        <f aca="false">MONTH($B1715)</f>
        <v>6</v>
      </c>
      <c r="F1715" s="61" t="str">
        <f aca="false">INDEX(Parametros!$I$5:$I$16,$E1715)</f>
        <v>Jun</v>
      </c>
      <c r="G1715" s="61" t="str">
        <f aca="false">TEXT($C1715,"0000")&amp;"-"&amp;TEXT($E1715,"00")</f>
        <v>2025-06</v>
      </c>
      <c r="H1715" s="61" t="str">
        <f aca="false">INDEX(Parametros!$C$71:$C$91,MATCH(TRIM(INDEX(Datos_Origen!$C$2:$C$2459,$Z1715)),Parametros!$B$71:$B$91,0))</f>
        <v>AMBA</v>
      </c>
      <c r="I1715" s="61" t="str">
        <f aca="false">IF(TRIM($AD1715)="",INDEX(Parametros!$I$20:$I$24,MATCH($H1715,Parametros!$H$20:$H$24,0)),TRIM($AD1715))</f>
        <v>Buenos Aires</v>
      </c>
      <c r="J1715" s="61" t="str">
        <f aca="false">INDEX(Parametros!$C$95:$C$106,MATCH(TRIM(INDEX(Datos_Origen!$E$2:$E$2459,$Z1715)),Parametros!$B$95:$B$106,0))</f>
        <v>E-commerce</v>
      </c>
      <c r="K1715" s="61" t="str">
        <f aca="false">INDEX(Parametros!$C$48:$C$67,MATCH(TRIM(INDEX(Datos_Origen!$F$2:$F$2459,$Z1715)),Parametros!$B$48:$B$67,0))</f>
        <v>Audio</v>
      </c>
      <c r="L1715" s="61" t="str">
        <f aca="false">$K1715&amp;" "&amp;$C1715</f>
        <v>Audio 2025</v>
      </c>
      <c r="M1715" s="61" t="str">
        <f aca="false">TRIM(INDEX(Datos_Origen!$G$2:$G$2459,$Z1715))</f>
        <v>Auriculares BT Pro</v>
      </c>
      <c r="N1715" s="61" t="str">
        <f aca="false">$M1715&amp;" "&amp;$C1715</f>
        <v>Auriculares BT Pro 2025</v>
      </c>
      <c r="O1715" s="63" t="n">
        <f aca="false">IF(ISTEXT($AC1715),VALUE($AC1715),$AC1715)</f>
        <v>36</v>
      </c>
      <c r="P1715" s="64" t="n">
        <f aca="false">INDEX(Datos_Origen!$I$2:$I$2459,$Z1715)</f>
        <v>119.23</v>
      </c>
      <c r="Q1715" s="64" t="n">
        <f aca="false">INDEX(Datos_Origen!$J$2:$J$2459,$Z1715)</f>
        <v>65.51</v>
      </c>
      <c r="R1715" s="65" t="n">
        <f aca="false">ROUND($O1715*$P1715,2)</f>
        <v>4292.28</v>
      </c>
      <c r="S1715" s="65" t="n">
        <f aca="false">ROUND($O1715*$Q1715,2)</f>
        <v>2358.36</v>
      </c>
      <c r="T1715" s="65" t="n">
        <f aca="false">ROUND($R1715*SUMIFS(Parametros!$E$28:$E$43,Parametros!$B$28:$B$43,$J1715,Parametros!$C$28:$C$43,$C1715,Parametros!$D$28:$D$43,$D1715),2)</f>
        <v>317.63</v>
      </c>
      <c r="U1715" s="65" t="n">
        <f aca="false">$R1715-$S1715-$T1715</f>
        <v>1616.29</v>
      </c>
      <c r="V1715" s="66" t="n">
        <f aca="false">IFERROR($U1715/$R1715,0)</f>
        <v>0.376557447324033</v>
      </c>
      <c r="W1715" s="67" t="str">
        <f aca="false">IF(AND($V1715&gt;=Parametros!$C$8,$R1715&gt;=Parametros!$C$12),"Alta rentabilidad",IF(OR($V1715&lt;Parametros!$C$11,$R1715&lt;Parametros!$C$13),"Revisar","Estandar"))</f>
        <v>Alta rentabilidad</v>
      </c>
      <c r="X1715" s="67" t="str">
        <f aca="false">IF(AND($J1715="E-commerce",IFERROR($T1715/$R1715,0)&gt;Parametros!$C$14),"Alerta","OK")</f>
        <v>Alerta</v>
      </c>
      <c r="Y1715" s="61" t="str">
        <f aca="false">IF($R1715&gt;=Parametros!$C$12,"Alto",IF($R1715&lt;Parametros!$C$13,"Bajo","Medio"))</f>
        <v>Alto</v>
      </c>
      <c r="Z1715" s="61" t="n">
        <v>1542</v>
      </c>
      <c r="AA1715" s="61" t="str">
        <f aca="false">IF(MATCH($A1715,Datos_Origen!$A$2:$A$2459,0)=$Z1715,"OK","REVISAR")</f>
        <v>OK</v>
      </c>
      <c r="AB1715" s="61" t="str">
        <f aca="false">INDEX(Datos_Origen!$B$2:$B$2459,$Z1715)</f>
        <v>11/06/2025</v>
      </c>
      <c r="AC1715" s="61" t="n">
        <f aca="false">INDEX(Datos_Origen!$H$2:$H$2459,$Z1715)</f>
        <v>36</v>
      </c>
      <c r="AD1715" s="61" t="str">
        <f aca="false">INDEX(Datos_Origen!$D$2:$D$2459,$Z1715)&amp;""</f>
        <v>Buenos Aires</v>
      </c>
    </row>
    <row r="1716" customFormat="false" ht="15" hidden="false" customHeight="false" outlineLevel="0" collapsed="false">
      <c r="A1716" s="61" t="n">
        <f aca="false">INDEX(Datos_Origen!$A$2:$A$2459,$Z1716)</f>
        <v>1715</v>
      </c>
      <c r="B1716" s="62" t="n">
        <f aca="false">IF(ISNUMBER($AB1716),$AB1716,IF(MID($AB1716,5,1)="-",DATE(VALUE(LEFT($AB1716,4)),VALUE(MID($AB1716,6,2)),VALUE(RIGHT($AB1716,2))),DATE(VALUE(RIGHT($AB1716,4)),VALUE(MID($AB1716,4,2)),VALUE(LEFT($AB1716,2)))))</f>
        <v>45826</v>
      </c>
      <c r="C1716" s="61" t="n">
        <f aca="false">YEAR($B1716)</f>
        <v>2025</v>
      </c>
      <c r="D1716" s="61" t="str">
        <f aca="false">"Q"&amp;ROUNDUP(MONTH($B1716)/3,0)</f>
        <v>Q2</v>
      </c>
      <c r="E1716" s="61" t="n">
        <f aca="false">MONTH($B1716)</f>
        <v>6</v>
      </c>
      <c r="F1716" s="61" t="str">
        <f aca="false">INDEX(Parametros!$I$5:$I$16,$E1716)</f>
        <v>Jun</v>
      </c>
      <c r="G1716" s="61" t="str">
        <f aca="false">TEXT($C1716,"0000")&amp;"-"&amp;TEXT($E1716,"00")</f>
        <v>2025-06</v>
      </c>
      <c r="H1716" s="61" t="str">
        <f aca="false">INDEX(Parametros!$C$71:$C$91,MATCH(TRIM(INDEX(Datos_Origen!$C$2:$C$2459,$Z1716)),Parametros!$B$71:$B$91,0))</f>
        <v>AMBA</v>
      </c>
      <c r="I1716" s="61" t="str">
        <f aca="false">IF(TRIM($AD1716)="",INDEX(Parametros!$I$20:$I$24,MATCH($H1716,Parametros!$H$20:$H$24,0)),TRIM($AD1716))</f>
        <v>Buenos Aires</v>
      </c>
      <c r="J1716" s="61" t="str">
        <f aca="false">INDEX(Parametros!$C$95:$C$106,MATCH(TRIM(INDEX(Datos_Origen!$E$2:$E$2459,$Z1716)),Parametros!$B$95:$B$106,0))</f>
        <v>Tienda fisica</v>
      </c>
      <c r="K1716" s="61" t="str">
        <f aca="false">INDEX(Parametros!$C$48:$C$67,MATCH(TRIM(INDEX(Datos_Origen!$F$2:$F$2459,$Z1716)),Parametros!$B$48:$B$67,0))</f>
        <v>Audio</v>
      </c>
      <c r="L1716" s="61" t="str">
        <f aca="false">$K1716&amp;" "&amp;$C1716</f>
        <v>Audio 2025</v>
      </c>
      <c r="M1716" s="61" t="str">
        <f aca="false">TRIM(INDEX(Datos_Origen!$G$2:$G$2459,$Z1716))</f>
        <v>Parlante Bluetooth</v>
      </c>
      <c r="N1716" s="61" t="str">
        <f aca="false">$M1716&amp;" "&amp;$C1716</f>
        <v>Parlante Bluetooth 2025</v>
      </c>
      <c r="O1716" s="63" t="n">
        <f aca="false">IF(ISTEXT($AC1716),VALUE($AC1716),$AC1716)</f>
        <v>38</v>
      </c>
      <c r="P1716" s="64" t="n">
        <f aca="false">INDEX(Datos_Origen!$I$2:$I$2459,$Z1716)</f>
        <v>84.46</v>
      </c>
      <c r="Q1716" s="64" t="n">
        <f aca="false">INDEX(Datos_Origen!$J$2:$J$2459,$Z1716)</f>
        <v>49.47</v>
      </c>
      <c r="R1716" s="65" t="n">
        <f aca="false">ROUND($O1716*$P1716,2)</f>
        <v>3209.48</v>
      </c>
      <c r="S1716" s="65" t="n">
        <f aca="false">ROUND($O1716*$Q1716,2)</f>
        <v>1879.86</v>
      </c>
      <c r="T1716" s="65" t="n">
        <f aca="false">ROUND($R1716*SUMIFS(Parametros!$E$28:$E$43,Parametros!$B$28:$B$43,$J1716,Parametros!$C$28:$C$43,$C1716,Parametros!$D$28:$D$43,$D1716),2)</f>
        <v>44.93</v>
      </c>
      <c r="U1716" s="65" t="n">
        <f aca="false">$R1716-$S1716-$T1716</f>
        <v>1284.69</v>
      </c>
      <c r="V1716" s="66" t="n">
        <f aca="false">IFERROR($U1716/$R1716,0)</f>
        <v>0.400279796104042</v>
      </c>
      <c r="W1716" s="67" t="str">
        <f aca="false">IF(AND($V1716&gt;=Parametros!$C$8,$R1716&gt;=Parametros!$C$12),"Alta rentabilidad",IF(OR($V1716&lt;Parametros!$C$11,$R1716&lt;Parametros!$C$13),"Revisar","Estandar"))</f>
        <v>Alta rentabilidad</v>
      </c>
      <c r="X1716" s="67" t="str">
        <f aca="false">IF(AND($J1716="E-commerce",IFERROR($T1716/$R1716,0)&gt;Parametros!$C$14),"Alerta","OK")</f>
        <v>OK</v>
      </c>
      <c r="Y1716" s="61" t="str">
        <f aca="false">IF($R1716&gt;=Parametros!$C$12,"Alto",IF($R1716&lt;Parametros!$C$13,"Bajo","Medio"))</f>
        <v>Alto</v>
      </c>
      <c r="Z1716" s="61" t="n">
        <v>177</v>
      </c>
      <c r="AA1716" s="61" t="str">
        <f aca="false">IF(MATCH($A1716,Datos_Origen!$A$2:$A$2459,0)=$Z1716,"OK","REVISAR")</f>
        <v>OK</v>
      </c>
      <c r="AB1716" s="61" t="str">
        <f aca="false">INDEX(Datos_Origen!$B$2:$B$2459,$Z1716)</f>
        <v>18/06/2025</v>
      </c>
      <c r="AC1716" s="61" t="n">
        <f aca="false">INDEX(Datos_Origen!$H$2:$H$2459,$Z1716)</f>
        <v>38</v>
      </c>
      <c r="AD1716" s="61" t="str">
        <f aca="false">INDEX(Datos_Origen!$D$2:$D$2459,$Z1716)&amp;""</f>
        <v/>
      </c>
    </row>
    <row r="1717" customFormat="false" ht="15" hidden="false" customHeight="false" outlineLevel="0" collapsed="false">
      <c r="A1717" s="61" t="n">
        <f aca="false">INDEX(Datos_Origen!$A$2:$A$2459,$Z1717)</f>
        <v>1716</v>
      </c>
      <c r="B1717" s="62" t="n">
        <f aca="false">IF(ISNUMBER($AB1717),$AB1717,IF(MID($AB1717,5,1)="-",DATE(VALUE(LEFT($AB1717,4)),VALUE(MID($AB1717,6,2)),VALUE(RIGHT($AB1717,2))),DATE(VALUE(RIGHT($AB1717,4)),VALUE(MID($AB1717,4,2)),VALUE(LEFT($AB1717,2)))))</f>
        <v>45833</v>
      </c>
      <c r="C1717" s="61" t="n">
        <f aca="false">YEAR($B1717)</f>
        <v>2025</v>
      </c>
      <c r="D1717" s="61" t="str">
        <f aca="false">"Q"&amp;ROUNDUP(MONTH($B1717)/3,0)</f>
        <v>Q2</v>
      </c>
      <c r="E1717" s="61" t="n">
        <f aca="false">MONTH($B1717)</f>
        <v>6</v>
      </c>
      <c r="F1717" s="61" t="str">
        <f aca="false">INDEX(Parametros!$I$5:$I$16,$E1717)</f>
        <v>Jun</v>
      </c>
      <c r="G1717" s="61" t="str">
        <f aca="false">TEXT($C1717,"0000")&amp;"-"&amp;TEXT($E1717,"00")</f>
        <v>2025-06</v>
      </c>
      <c r="H1717" s="61" t="str">
        <f aca="false">INDEX(Parametros!$C$71:$C$91,MATCH(TRIM(INDEX(Datos_Origen!$C$2:$C$2459,$Z1717)),Parametros!$B$71:$B$91,0))</f>
        <v>AMBA</v>
      </c>
      <c r="I1717" s="61" t="str">
        <f aca="false">IF(TRIM($AD1717)="",INDEX(Parametros!$I$20:$I$24,MATCH($H1717,Parametros!$H$20:$H$24,0)),TRIM($AD1717))</f>
        <v>Buenos Aires</v>
      </c>
      <c r="J1717" s="61" t="str">
        <f aca="false">INDEX(Parametros!$C$95:$C$106,MATCH(TRIM(INDEX(Datos_Origen!$E$2:$E$2459,$Z1717)),Parametros!$B$95:$B$106,0))</f>
        <v>E-commerce</v>
      </c>
      <c r="K1717" s="61" t="str">
        <f aca="false">INDEX(Parametros!$C$48:$C$67,MATCH(TRIM(INDEX(Datos_Origen!$F$2:$F$2459,$Z1717)),Parametros!$B$48:$B$67,0))</f>
        <v>Audio</v>
      </c>
      <c r="L1717" s="61" t="str">
        <f aca="false">$K1717&amp;" "&amp;$C1717</f>
        <v>Audio 2025</v>
      </c>
      <c r="M1717" s="61" t="str">
        <f aca="false">TRIM(INDEX(Datos_Origen!$G$2:$G$2459,$Z1717))</f>
        <v>Parlante Bluetooth</v>
      </c>
      <c r="N1717" s="61" t="str">
        <f aca="false">$M1717&amp;" "&amp;$C1717</f>
        <v>Parlante Bluetooth 2025</v>
      </c>
      <c r="O1717" s="63" t="n">
        <f aca="false">IF(ISTEXT($AC1717),VALUE($AC1717),$AC1717)</f>
        <v>34</v>
      </c>
      <c r="P1717" s="64" t="n">
        <f aca="false">INDEX(Datos_Origen!$I$2:$I$2459,$Z1717)</f>
        <v>84.46</v>
      </c>
      <c r="Q1717" s="64" t="n">
        <f aca="false">INDEX(Datos_Origen!$J$2:$J$2459,$Z1717)</f>
        <v>49.47</v>
      </c>
      <c r="R1717" s="65" t="n">
        <f aca="false">ROUND($O1717*$P1717,2)</f>
        <v>2871.64</v>
      </c>
      <c r="S1717" s="65" t="n">
        <f aca="false">ROUND($O1717*$Q1717,2)</f>
        <v>1681.98</v>
      </c>
      <c r="T1717" s="65" t="n">
        <f aca="false">ROUND($R1717*SUMIFS(Parametros!$E$28:$E$43,Parametros!$B$28:$B$43,$J1717,Parametros!$C$28:$C$43,$C1717,Parametros!$D$28:$D$43,$D1717),2)</f>
        <v>212.5</v>
      </c>
      <c r="U1717" s="65" t="n">
        <f aca="false">$R1717-$S1717-$T1717</f>
        <v>977.16</v>
      </c>
      <c r="V1717" s="66" t="n">
        <f aca="false">IFERROR($U1717/$R1717,0)</f>
        <v>0.340279422211698</v>
      </c>
      <c r="W1717" s="67" t="str">
        <f aca="false">IF(AND($V1717&gt;=Parametros!$C$8,$R1717&gt;=Parametros!$C$12),"Alta rentabilidad",IF(OR($V1717&lt;Parametros!$C$11,$R1717&lt;Parametros!$C$13),"Revisar","Estandar"))</f>
        <v>Estandar</v>
      </c>
      <c r="X1717" s="67" t="str">
        <f aca="false">IF(AND($J1717="E-commerce",IFERROR($T1717/$R1717,0)&gt;Parametros!$C$14),"Alerta","OK")</f>
        <v>Alerta</v>
      </c>
      <c r="Y1717" s="61" t="str">
        <f aca="false">IF($R1717&gt;=Parametros!$C$12,"Alto",IF($R1717&lt;Parametros!$C$13,"Bajo","Medio"))</f>
        <v>Medio</v>
      </c>
      <c r="Z1717" s="61" t="n">
        <v>2386</v>
      </c>
      <c r="AA1717" s="61" t="str">
        <f aca="false">IF(MATCH($A1717,Datos_Origen!$A$2:$A$2459,0)=$Z1717,"OK","REVISAR")</f>
        <v>OK</v>
      </c>
      <c r="AB1717" s="62" t="n">
        <f aca="false">INDEX(Datos_Origen!$B$2:$B$2459,$Z1717)</f>
        <v>45833</v>
      </c>
      <c r="AC1717" s="61" t="n">
        <f aca="false">INDEX(Datos_Origen!$H$2:$H$2459,$Z1717)</f>
        <v>34</v>
      </c>
      <c r="AD1717" s="61" t="str">
        <f aca="false">INDEX(Datos_Origen!$D$2:$D$2459,$Z1717)&amp;""</f>
        <v>Buenos Aires</v>
      </c>
    </row>
    <row r="1718" customFormat="false" ht="15" hidden="false" customHeight="false" outlineLevel="0" collapsed="false">
      <c r="A1718" s="61" t="n">
        <f aca="false">INDEX(Datos_Origen!$A$2:$A$2459,$Z1718)</f>
        <v>1717</v>
      </c>
      <c r="B1718" s="62" t="n">
        <f aca="false">IF(ISNUMBER($AB1718),$AB1718,IF(MID($AB1718,5,1)="-",DATE(VALUE(LEFT($AB1718,4)),VALUE(MID($AB1718,6,2)),VALUE(RIGHT($AB1718,2))),DATE(VALUE(RIGHT($AB1718,4)),VALUE(MID($AB1718,4,2)),VALUE(LEFT($AB1718,2)))))</f>
        <v>45813</v>
      </c>
      <c r="C1718" s="61" t="n">
        <f aca="false">YEAR($B1718)</f>
        <v>2025</v>
      </c>
      <c r="D1718" s="61" t="str">
        <f aca="false">"Q"&amp;ROUNDUP(MONTH($B1718)/3,0)</f>
        <v>Q2</v>
      </c>
      <c r="E1718" s="61" t="n">
        <f aca="false">MONTH($B1718)</f>
        <v>6</v>
      </c>
      <c r="F1718" s="61" t="str">
        <f aca="false">INDEX(Parametros!$I$5:$I$16,$E1718)</f>
        <v>Jun</v>
      </c>
      <c r="G1718" s="61" t="str">
        <f aca="false">TEXT($C1718,"0000")&amp;"-"&amp;TEXT($E1718,"00")</f>
        <v>2025-06</v>
      </c>
      <c r="H1718" s="61" t="str">
        <f aca="false">INDEX(Parametros!$C$71:$C$91,MATCH(TRIM(INDEX(Datos_Origen!$C$2:$C$2459,$Z1718)),Parametros!$B$71:$B$91,0))</f>
        <v>AMBA</v>
      </c>
      <c r="I1718" s="61" t="str">
        <f aca="false">IF(TRIM($AD1718)="",INDEX(Parametros!$I$20:$I$24,MATCH($H1718,Parametros!$H$20:$H$24,0)),TRIM($AD1718))</f>
        <v>Buenos Aires</v>
      </c>
      <c r="J1718" s="61" t="str">
        <f aca="false">INDEX(Parametros!$C$95:$C$106,MATCH(TRIM(INDEX(Datos_Origen!$E$2:$E$2459,$Z1718)),Parametros!$B$95:$B$106,0))</f>
        <v>Tienda fisica</v>
      </c>
      <c r="K1718" s="61" t="str">
        <f aca="false">INDEX(Parametros!$C$48:$C$67,MATCH(TRIM(INDEX(Datos_Origen!$F$2:$F$2459,$Z1718)),Parametros!$B$48:$B$67,0))</f>
        <v>Almacenamiento</v>
      </c>
      <c r="L1718" s="61" t="str">
        <f aca="false">$K1718&amp;" "&amp;$C1718</f>
        <v>Almacenamiento 2025</v>
      </c>
      <c r="M1718" s="61" t="str">
        <f aca="false">TRIM(INDEX(Datos_Origen!$G$2:$G$2459,$Z1718))</f>
        <v>SSD Externo 1TB</v>
      </c>
      <c r="N1718" s="61" t="str">
        <f aca="false">$M1718&amp;" "&amp;$C1718</f>
        <v>SSD Externo 1TB 2025</v>
      </c>
      <c r="O1718" s="63" t="n">
        <f aca="false">IF(ISTEXT($AC1718),VALUE($AC1718),$AC1718)</f>
        <v>48</v>
      </c>
      <c r="P1718" s="64" t="n">
        <f aca="false">INDEX(Datos_Origen!$I$2:$I$2459,$Z1718)</f>
        <v>129.17</v>
      </c>
      <c r="Q1718" s="64" t="n">
        <f aca="false">INDEX(Datos_Origen!$J$2:$J$2459,$Z1718)</f>
        <v>78.33</v>
      </c>
      <c r="R1718" s="65" t="n">
        <f aca="false">ROUND($O1718*$P1718,2)</f>
        <v>6200.16</v>
      </c>
      <c r="S1718" s="65" t="n">
        <f aca="false">ROUND($O1718*$Q1718,2)</f>
        <v>3759.84</v>
      </c>
      <c r="T1718" s="65" t="n">
        <f aca="false">ROUND($R1718*SUMIFS(Parametros!$E$28:$E$43,Parametros!$B$28:$B$43,$J1718,Parametros!$C$28:$C$43,$C1718,Parametros!$D$28:$D$43,$D1718),2)</f>
        <v>86.8</v>
      </c>
      <c r="U1718" s="65" t="n">
        <f aca="false">$R1718-$S1718-$T1718</f>
        <v>2353.52</v>
      </c>
      <c r="V1718" s="66" t="n">
        <f aca="false">IFERROR($U1718/$R1718,0)</f>
        <v>0.379590204123765</v>
      </c>
      <c r="W1718" s="67" t="str">
        <f aca="false">IF(AND($V1718&gt;=Parametros!$C$8,$R1718&gt;=Parametros!$C$12),"Alta rentabilidad",IF(OR($V1718&lt;Parametros!$C$11,$R1718&lt;Parametros!$C$13),"Revisar","Estandar"))</f>
        <v>Alta rentabilidad</v>
      </c>
      <c r="X1718" s="67" t="str">
        <f aca="false">IF(AND($J1718="E-commerce",IFERROR($T1718/$R1718,0)&gt;Parametros!$C$14),"Alerta","OK")</f>
        <v>OK</v>
      </c>
      <c r="Y1718" s="61" t="str">
        <f aca="false">IF($R1718&gt;=Parametros!$C$12,"Alto",IF($R1718&lt;Parametros!$C$13,"Bajo","Medio"))</f>
        <v>Alto</v>
      </c>
      <c r="Z1718" s="61" t="n">
        <v>370</v>
      </c>
      <c r="AA1718" s="61" t="str">
        <f aca="false">IF(MATCH($A1718,Datos_Origen!$A$2:$A$2459,0)=$Z1718,"OK","REVISAR")</f>
        <v>OK</v>
      </c>
      <c r="AB1718" s="62" t="n">
        <f aca="false">INDEX(Datos_Origen!$B$2:$B$2459,$Z1718)</f>
        <v>45813</v>
      </c>
      <c r="AC1718" s="61" t="n">
        <f aca="false">INDEX(Datos_Origen!$H$2:$H$2459,$Z1718)</f>
        <v>48</v>
      </c>
      <c r="AD1718" s="61" t="str">
        <f aca="false">INDEX(Datos_Origen!$D$2:$D$2459,$Z1718)&amp;""</f>
        <v>Buenos Aires</v>
      </c>
    </row>
    <row r="1719" customFormat="false" ht="15" hidden="false" customHeight="false" outlineLevel="0" collapsed="false">
      <c r="A1719" s="61" t="n">
        <f aca="false">INDEX(Datos_Origen!$A$2:$A$2459,$Z1719)</f>
        <v>1718</v>
      </c>
      <c r="B1719" s="62" t="n">
        <f aca="false">IF(ISNUMBER($AB1719),$AB1719,IF(MID($AB1719,5,1)="-",DATE(VALUE(LEFT($AB1719,4)),VALUE(MID($AB1719,6,2)),VALUE(RIGHT($AB1719,2))),DATE(VALUE(RIGHT($AB1719,4)),VALUE(MID($AB1719,4,2)),VALUE(LEFT($AB1719,2)))))</f>
        <v>45820</v>
      </c>
      <c r="C1719" s="61" t="n">
        <f aca="false">YEAR($B1719)</f>
        <v>2025</v>
      </c>
      <c r="D1719" s="61" t="str">
        <f aca="false">"Q"&amp;ROUNDUP(MONTH($B1719)/3,0)</f>
        <v>Q2</v>
      </c>
      <c r="E1719" s="61" t="n">
        <f aca="false">MONTH($B1719)</f>
        <v>6</v>
      </c>
      <c r="F1719" s="61" t="str">
        <f aca="false">INDEX(Parametros!$I$5:$I$16,$E1719)</f>
        <v>Jun</v>
      </c>
      <c r="G1719" s="61" t="str">
        <f aca="false">TEXT($C1719,"0000")&amp;"-"&amp;TEXT($E1719,"00")</f>
        <v>2025-06</v>
      </c>
      <c r="H1719" s="61" t="str">
        <f aca="false">INDEX(Parametros!$C$71:$C$91,MATCH(TRIM(INDEX(Datos_Origen!$C$2:$C$2459,$Z1719)),Parametros!$B$71:$B$91,0))</f>
        <v>AMBA</v>
      </c>
      <c r="I1719" s="61" t="str">
        <f aca="false">IF(TRIM($AD1719)="",INDEX(Parametros!$I$20:$I$24,MATCH($H1719,Parametros!$H$20:$H$24,0)),TRIM($AD1719))</f>
        <v>Buenos Aires</v>
      </c>
      <c r="J1719" s="61" t="str">
        <f aca="false">INDEX(Parametros!$C$95:$C$106,MATCH(TRIM(INDEX(Datos_Origen!$E$2:$E$2459,$Z1719)),Parametros!$B$95:$B$106,0))</f>
        <v>E-commerce</v>
      </c>
      <c r="K1719" s="61" t="str">
        <f aca="false">INDEX(Parametros!$C$48:$C$67,MATCH(TRIM(INDEX(Datos_Origen!$F$2:$F$2459,$Z1719)),Parametros!$B$48:$B$67,0))</f>
        <v>Almacenamiento</v>
      </c>
      <c r="L1719" s="61" t="str">
        <f aca="false">$K1719&amp;" "&amp;$C1719</f>
        <v>Almacenamiento 2025</v>
      </c>
      <c r="M1719" s="61" t="str">
        <f aca="false">TRIM(INDEX(Datos_Origen!$G$2:$G$2459,$Z1719))</f>
        <v>SSD Externo 1TB</v>
      </c>
      <c r="N1719" s="61" t="str">
        <f aca="false">$M1719&amp;" "&amp;$C1719</f>
        <v>SSD Externo 1TB 2025</v>
      </c>
      <c r="O1719" s="63" t="n">
        <f aca="false">IF(ISTEXT($AC1719),VALUE($AC1719),$AC1719)</f>
        <v>36</v>
      </c>
      <c r="P1719" s="64" t="n">
        <f aca="false">INDEX(Datos_Origen!$I$2:$I$2459,$Z1719)</f>
        <v>129.17</v>
      </c>
      <c r="Q1719" s="64" t="n">
        <f aca="false">INDEX(Datos_Origen!$J$2:$J$2459,$Z1719)</f>
        <v>78.33</v>
      </c>
      <c r="R1719" s="65" t="n">
        <f aca="false">ROUND($O1719*$P1719,2)</f>
        <v>4650.12</v>
      </c>
      <c r="S1719" s="65" t="n">
        <f aca="false">ROUND($O1719*$Q1719,2)</f>
        <v>2819.88</v>
      </c>
      <c r="T1719" s="65" t="n">
        <f aca="false">ROUND($R1719*SUMIFS(Parametros!$E$28:$E$43,Parametros!$B$28:$B$43,$J1719,Parametros!$C$28:$C$43,$C1719,Parametros!$D$28:$D$43,$D1719),2)</f>
        <v>344.11</v>
      </c>
      <c r="U1719" s="65" t="n">
        <f aca="false">$R1719-$S1719-$T1719</f>
        <v>1486.13</v>
      </c>
      <c r="V1719" s="66" t="n">
        <f aca="false">IFERROR($U1719/$R1719,0)</f>
        <v>0.319589601988766</v>
      </c>
      <c r="W1719" s="67" t="str">
        <f aca="false">IF(AND($V1719&gt;=Parametros!$C$8,$R1719&gt;=Parametros!$C$12),"Alta rentabilidad",IF(OR($V1719&lt;Parametros!$C$11,$R1719&lt;Parametros!$C$13),"Revisar","Estandar"))</f>
        <v>Estandar</v>
      </c>
      <c r="X1719" s="67" t="str">
        <f aca="false">IF(AND($J1719="E-commerce",IFERROR($T1719/$R1719,0)&gt;Parametros!$C$14),"Alerta","OK")</f>
        <v>Alerta</v>
      </c>
      <c r="Y1719" s="61" t="str">
        <f aca="false">IF($R1719&gt;=Parametros!$C$12,"Alto",IF($R1719&lt;Parametros!$C$13,"Bajo","Medio"))</f>
        <v>Alto</v>
      </c>
      <c r="Z1719" s="61" t="n">
        <v>649</v>
      </c>
      <c r="AA1719" s="61" t="str">
        <f aca="false">IF(MATCH($A1719,Datos_Origen!$A$2:$A$2459,0)=$Z1719,"OK","REVISAR")</f>
        <v>OK</v>
      </c>
      <c r="AB1719" s="61" t="str">
        <f aca="false">INDEX(Datos_Origen!$B$2:$B$2459,$Z1719)</f>
        <v>2025-06-12</v>
      </c>
      <c r="AC1719" s="61" t="n">
        <f aca="false">INDEX(Datos_Origen!$H$2:$H$2459,$Z1719)</f>
        <v>36</v>
      </c>
      <c r="AD1719" s="61" t="str">
        <f aca="false">INDEX(Datos_Origen!$D$2:$D$2459,$Z1719)&amp;""</f>
        <v>Buenos Aires</v>
      </c>
    </row>
    <row r="1720" customFormat="false" ht="15" hidden="false" customHeight="false" outlineLevel="0" collapsed="false">
      <c r="A1720" s="61" t="n">
        <f aca="false">INDEX(Datos_Origen!$A$2:$A$2459,$Z1720)</f>
        <v>1719</v>
      </c>
      <c r="B1720" s="62" t="n">
        <f aca="false">IF(ISNUMBER($AB1720),$AB1720,IF(MID($AB1720,5,1)="-",DATE(VALUE(LEFT($AB1720,4)),VALUE(MID($AB1720,6,2)),VALUE(RIGHT($AB1720,2))),DATE(VALUE(RIGHT($AB1720,4)),VALUE(MID($AB1720,4,2)),VALUE(LEFT($AB1720,2)))))</f>
        <v>45827</v>
      </c>
      <c r="C1720" s="61" t="n">
        <f aca="false">YEAR($B1720)</f>
        <v>2025</v>
      </c>
      <c r="D1720" s="61" t="str">
        <f aca="false">"Q"&amp;ROUNDUP(MONTH($B1720)/3,0)</f>
        <v>Q2</v>
      </c>
      <c r="E1720" s="61" t="n">
        <f aca="false">MONTH($B1720)</f>
        <v>6</v>
      </c>
      <c r="F1720" s="61" t="str">
        <f aca="false">INDEX(Parametros!$I$5:$I$16,$E1720)</f>
        <v>Jun</v>
      </c>
      <c r="G1720" s="61" t="str">
        <f aca="false">TEXT($C1720,"0000")&amp;"-"&amp;TEXT($E1720,"00")</f>
        <v>2025-06</v>
      </c>
      <c r="H1720" s="61" t="str">
        <f aca="false">INDEX(Parametros!$C$71:$C$91,MATCH(TRIM(INDEX(Datos_Origen!$C$2:$C$2459,$Z1720)),Parametros!$B$71:$B$91,0))</f>
        <v>AMBA</v>
      </c>
      <c r="I1720" s="61" t="str">
        <f aca="false">IF(TRIM($AD1720)="",INDEX(Parametros!$I$20:$I$24,MATCH($H1720,Parametros!$H$20:$H$24,0)),TRIM($AD1720))</f>
        <v>Buenos Aires</v>
      </c>
      <c r="J1720" s="61" t="str">
        <f aca="false">INDEX(Parametros!$C$95:$C$106,MATCH(TRIM(INDEX(Datos_Origen!$E$2:$E$2459,$Z1720)),Parametros!$B$95:$B$106,0))</f>
        <v>Tienda fisica</v>
      </c>
      <c r="K1720" s="61" t="str">
        <f aca="false">INDEX(Parametros!$C$48:$C$67,MATCH(TRIM(INDEX(Datos_Origen!$F$2:$F$2459,$Z1720)),Parametros!$B$48:$B$67,0))</f>
        <v>Almacenamiento</v>
      </c>
      <c r="L1720" s="61" t="str">
        <f aca="false">$K1720&amp;" "&amp;$C1720</f>
        <v>Almacenamiento 2025</v>
      </c>
      <c r="M1720" s="61" t="str">
        <f aca="false">TRIM(INDEX(Datos_Origen!$G$2:$G$2459,$Z1720))</f>
        <v>Pendrive 256GB</v>
      </c>
      <c r="N1720" s="61" t="str">
        <f aca="false">$M1720&amp;" "&amp;$C1720</f>
        <v>Pendrive 256GB 2025</v>
      </c>
      <c r="O1720" s="63" t="n">
        <f aca="false">IF(ISTEXT($AC1720),VALUE($AC1720),$AC1720)</f>
        <v>48</v>
      </c>
      <c r="P1720" s="64" t="n">
        <f aca="false">INDEX(Datos_Origen!$I$2:$I$2459,$Z1720)</f>
        <v>34.78</v>
      </c>
      <c r="Q1720" s="64" t="n">
        <f aca="false">INDEX(Datos_Origen!$J$2:$J$2459,$Z1720)</f>
        <v>18.39</v>
      </c>
      <c r="R1720" s="65" t="n">
        <f aca="false">ROUND($O1720*$P1720,2)</f>
        <v>1669.44</v>
      </c>
      <c r="S1720" s="65" t="n">
        <f aca="false">ROUND($O1720*$Q1720,2)</f>
        <v>882.72</v>
      </c>
      <c r="T1720" s="65" t="n">
        <f aca="false">ROUND($R1720*SUMIFS(Parametros!$E$28:$E$43,Parametros!$B$28:$B$43,$J1720,Parametros!$C$28:$C$43,$C1720,Parametros!$D$28:$D$43,$D1720),2)</f>
        <v>23.37</v>
      </c>
      <c r="U1720" s="65" t="n">
        <f aca="false">$R1720-$S1720-$T1720</f>
        <v>763.35</v>
      </c>
      <c r="V1720" s="66" t="n">
        <f aca="false">IFERROR($U1720/$R1720,0)</f>
        <v>0.457249137435308</v>
      </c>
      <c r="W1720" s="67" t="str">
        <f aca="false">IF(AND($V1720&gt;=Parametros!$C$8,$R1720&gt;=Parametros!$C$12),"Alta rentabilidad",IF(OR($V1720&lt;Parametros!$C$11,$R1720&lt;Parametros!$C$13),"Revisar","Estandar"))</f>
        <v>Estandar</v>
      </c>
      <c r="X1720" s="67" t="str">
        <f aca="false">IF(AND($J1720="E-commerce",IFERROR($T1720/$R1720,0)&gt;Parametros!$C$14),"Alerta","OK")</f>
        <v>OK</v>
      </c>
      <c r="Y1720" s="61" t="str">
        <f aca="false">IF($R1720&gt;=Parametros!$C$12,"Alto",IF($R1720&lt;Parametros!$C$13,"Bajo","Medio"))</f>
        <v>Medio</v>
      </c>
      <c r="Z1720" s="61" t="n">
        <v>1477</v>
      </c>
      <c r="AA1720" s="61" t="str">
        <f aca="false">IF(MATCH($A1720,Datos_Origen!$A$2:$A$2459,0)=$Z1720,"OK","REVISAR")</f>
        <v>OK</v>
      </c>
      <c r="AB1720" s="61" t="str">
        <f aca="false">INDEX(Datos_Origen!$B$2:$B$2459,$Z1720)</f>
        <v>19/06/2025</v>
      </c>
      <c r="AC1720" s="61" t="n">
        <f aca="false">INDEX(Datos_Origen!$H$2:$H$2459,$Z1720)</f>
        <v>48</v>
      </c>
      <c r="AD1720" s="61" t="str">
        <f aca="false">INDEX(Datos_Origen!$D$2:$D$2459,$Z1720)&amp;""</f>
        <v>Buenos Aires</v>
      </c>
    </row>
    <row r="1721" customFormat="false" ht="15" hidden="false" customHeight="false" outlineLevel="0" collapsed="false">
      <c r="A1721" s="61" t="n">
        <f aca="false">INDEX(Datos_Origen!$A$2:$A$2459,$Z1721)</f>
        <v>1720</v>
      </c>
      <c r="B1721" s="62" t="n">
        <f aca="false">IF(ISNUMBER($AB1721),$AB1721,IF(MID($AB1721,5,1)="-",DATE(VALUE(LEFT($AB1721,4)),VALUE(MID($AB1721,6,2)),VALUE(RIGHT($AB1721,2))),DATE(VALUE(RIGHT($AB1721,4)),VALUE(MID($AB1721,4,2)),VALUE(LEFT($AB1721,2)))))</f>
        <v>45834</v>
      </c>
      <c r="C1721" s="61" t="n">
        <f aca="false">YEAR($B1721)</f>
        <v>2025</v>
      </c>
      <c r="D1721" s="61" t="str">
        <f aca="false">"Q"&amp;ROUNDUP(MONTH($B1721)/3,0)</f>
        <v>Q2</v>
      </c>
      <c r="E1721" s="61" t="n">
        <f aca="false">MONTH($B1721)</f>
        <v>6</v>
      </c>
      <c r="F1721" s="61" t="str">
        <f aca="false">INDEX(Parametros!$I$5:$I$16,$E1721)</f>
        <v>Jun</v>
      </c>
      <c r="G1721" s="61" t="str">
        <f aca="false">TEXT($C1721,"0000")&amp;"-"&amp;TEXT($E1721,"00")</f>
        <v>2025-06</v>
      </c>
      <c r="H1721" s="61" t="str">
        <f aca="false">INDEX(Parametros!$C$71:$C$91,MATCH(TRIM(INDEX(Datos_Origen!$C$2:$C$2459,$Z1721)),Parametros!$B$71:$B$91,0))</f>
        <v>AMBA</v>
      </c>
      <c r="I1721" s="61" t="str">
        <f aca="false">IF(TRIM($AD1721)="",INDEX(Parametros!$I$20:$I$24,MATCH($H1721,Parametros!$H$20:$H$24,0)),TRIM($AD1721))</f>
        <v>Buenos Aires</v>
      </c>
      <c r="J1721" s="61" t="str">
        <f aca="false">INDEX(Parametros!$C$95:$C$106,MATCH(TRIM(INDEX(Datos_Origen!$E$2:$E$2459,$Z1721)),Parametros!$B$95:$B$106,0))</f>
        <v>E-commerce</v>
      </c>
      <c r="K1721" s="61" t="str">
        <f aca="false">INDEX(Parametros!$C$48:$C$67,MATCH(TRIM(INDEX(Datos_Origen!$F$2:$F$2459,$Z1721)),Parametros!$B$48:$B$67,0))</f>
        <v>Almacenamiento</v>
      </c>
      <c r="L1721" s="61" t="str">
        <f aca="false">$K1721&amp;" "&amp;$C1721</f>
        <v>Almacenamiento 2025</v>
      </c>
      <c r="M1721" s="61" t="str">
        <f aca="false">TRIM(INDEX(Datos_Origen!$G$2:$G$2459,$Z1721))</f>
        <v>Pendrive 256GB</v>
      </c>
      <c r="N1721" s="61" t="str">
        <f aca="false">$M1721&amp;" "&amp;$C1721</f>
        <v>Pendrive 256GB 2025</v>
      </c>
      <c r="O1721" s="63" t="n">
        <f aca="false">IF(ISTEXT($AC1721),VALUE($AC1721),$AC1721)</f>
        <v>41</v>
      </c>
      <c r="P1721" s="64" t="n">
        <f aca="false">INDEX(Datos_Origen!$I$2:$I$2459,$Z1721)</f>
        <v>34.78</v>
      </c>
      <c r="Q1721" s="64" t="n">
        <f aca="false">INDEX(Datos_Origen!$J$2:$J$2459,$Z1721)</f>
        <v>18.39</v>
      </c>
      <c r="R1721" s="65" t="n">
        <f aca="false">ROUND($O1721*$P1721,2)</f>
        <v>1425.98</v>
      </c>
      <c r="S1721" s="65" t="n">
        <f aca="false">ROUND($O1721*$Q1721,2)</f>
        <v>753.99</v>
      </c>
      <c r="T1721" s="65" t="n">
        <f aca="false">ROUND($R1721*SUMIFS(Parametros!$E$28:$E$43,Parametros!$B$28:$B$43,$J1721,Parametros!$C$28:$C$43,$C1721,Parametros!$D$28:$D$43,$D1721),2)</f>
        <v>105.52</v>
      </c>
      <c r="U1721" s="65" t="n">
        <f aca="false">$R1721-$S1721-$T1721</f>
        <v>566.47</v>
      </c>
      <c r="V1721" s="66" t="n">
        <f aca="false">IFERROR($U1721/$R1721,0)</f>
        <v>0.39724961079398</v>
      </c>
      <c r="W1721" s="67" t="str">
        <f aca="false">IF(AND($V1721&gt;=Parametros!$C$8,$R1721&gt;=Parametros!$C$12),"Alta rentabilidad",IF(OR($V1721&lt;Parametros!$C$11,$R1721&lt;Parametros!$C$13),"Revisar","Estandar"))</f>
        <v>Estandar</v>
      </c>
      <c r="X1721" s="67" t="str">
        <f aca="false">IF(AND($J1721="E-commerce",IFERROR($T1721/$R1721,0)&gt;Parametros!$C$14),"Alerta","OK")</f>
        <v>Alerta</v>
      </c>
      <c r="Y1721" s="61" t="str">
        <f aca="false">IF($R1721&gt;=Parametros!$C$12,"Alto",IF($R1721&lt;Parametros!$C$13,"Bajo","Medio"))</f>
        <v>Medio</v>
      </c>
      <c r="Z1721" s="61" t="n">
        <v>577</v>
      </c>
      <c r="AA1721" s="61" t="str">
        <f aca="false">IF(MATCH($A1721,Datos_Origen!$A$2:$A$2459,0)=$Z1721,"OK","REVISAR")</f>
        <v>OK</v>
      </c>
      <c r="AB1721" s="62" t="n">
        <f aca="false">INDEX(Datos_Origen!$B$2:$B$2459,$Z1721)</f>
        <v>45834</v>
      </c>
      <c r="AC1721" s="61" t="n">
        <f aca="false">INDEX(Datos_Origen!$H$2:$H$2459,$Z1721)</f>
        <v>41</v>
      </c>
      <c r="AD1721" s="61" t="str">
        <f aca="false">INDEX(Datos_Origen!$D$2:$D$2459,$Z1721)&amp;""</f>
        <v>Buenos Aires</v>
      </c>
    </row>
    <row r="1722" customFormat="false" ht="15" hidden="false" customHeight="false" outlineLevel="0" collapsed="false">
      <c r="A1722" s="61" t="n">
        <f aca="false">INDEX(Datos_Origen!$A$2:$A$2459,$Z1722)</f>
        <v>1721</v>
      </c>
      <c r="B1722" s="62" t="n">
        <f aca="false">IF(ISNUMBER($AB1722),$AB1722,IF(MID($AB1722,5,1)="-",DATE(VALUE(LEFT($AB1722,4)),VALUE(MID($AB1722,6,2)),VALUE(RIGHT($AB1722,2))),DATE(VALUE(RIGHT($AB1722,4)),VALUE(MID($AB1722,4,2)),VALUE(LEFT($AB1722,2)))))</f>
        <v>45814</v>
      </c>
      <c r="C1722" s="61" t="n">
        <f aca="false">YEAR($B1722)</f>
        <v>2025</v>
      </c>
      <c r="D1722" s="61" t="str">
        <f aca="false">"Q"&amp;ROUNDUP(MONTH($B1722)/3,0)</f>
        <v>Q2</v>
      </c>
      <c r="E1722" s="61" t="n">
        <f aca="false">MONTH($B1722)</f>
        <v>6</v>
      </c>
      <c r="F1722" s="61" t="str">
        <f aca="false">INDEX(Parametros!$I$5:$I$16,$E1722)</f>
        <v>Jun</v>
      </c>
      <c r="G1722" s="61" t="str">
        <f aca="false">TEXT($C1722,"0000")&amp;"-"&amp;TEXT($E1722,"00")</f>
        <v>2025-06</v>
      </c>
      <c r="H1722" s="61" t="str">
        <f aca="false">INDEX(Parametros!$C$71:$C$91,MATCH(TRIM(INDEX(Datos_Origen!$C$2:$C$2459,$Z1722)),Parametros!$B$71:$B$91,0))</f>
        <v>Centro</v>
      </c>
      <c r="I1722" s="61" t="str">
        <f aca="false">IF(TRIM($AD1722)="",INDEX(Parametros!$I$20:$I$24,MATCH($H1722,Parametros!$H$20:$H$24,0)),TRIM($AD1722))</f>
        <v>Cordoba</v>
      </c>
      <c r="J1722" s="61" t="str">
        <f aca="false">INDEX(Parametros!$C$95:$C$106,MATCH(TRIM(INDEX(Datos_Origen!$E$2:$E$2459,$Z1722)),Parametros!$B$95:$B$106,0))</f>
        <v>Tienda fisica</v>
      </c>
      <c r="K1722" s="61" t="str">
        <f aca="false">INDEX(Parametros!$C$48:$C$67,MATCH(TRIM(INDEX(Datos_Origen!$F$2:$F$2459,$Z1722)),Parametros!$B$48:$B$67,0))</f>
        <v>Computacion</v>
      </c>
      <c r="L1722" s="61" t="str">
        <f aca="false">$K1722&amp;" "&amp;$C1722</f>
        <v>Computacion 2025</v>
      </c>
      <c r="M1722" s="61" t="str">
        <f aca="false">TRIM(INDEX(Datos_Origen!$G$2:$G$2459,$Z1722))</f>
        <v>Laptop Pro 15</v>
      </c>
      <c r="N1722" s="61" t="str">
        <f aca="false">$M1722&amp;" "&amp;$C1722</f>
        <v>Laptop Pro 15 2025</v>
      </c>
      <c r="O1722" s="63" t="n">
        <f aca="false">IF(ISTEXT($AC1722),VALUE($AC1722),$AC1722)</f>
        <v>11</v>
      </c>
      <c r="P1722" s="64" t="n">
        <f aca="false">INDEX(Datos_Origen!$I$2:$I$2459,$Z1722)</f>
        <v>1155.06</v>
      </c>
      <c r="Q1722" s="64" t="n">
        <f aca="false">INDEX(Datos_Origen!$J$2:$J$2459,$Z1722)</f>
        <v>766.32</v>
      </c>
      <c r="R1722" s="65" t="n">
        <f aca="false">ROUND($O1722*$P1722,2)</f>
        <v>12705.66</v>
      </c>
      <c r="S1722" s="65" t="n">
        <f aca="false">ROUND($O1722*$Q1722,2)</f>
        <v>8429.52</v>
      </c>
      <c r="T1722" s="65" t="n">
        <f aca="false">ROUND($R1722*SUMIFS(Parametros!$E$28:$E$43,Parametros!$B$28:$B$43,$J1722,Parametros!$C$28:$C$43,$C1722,Parametros!$D$28:$D$43,$D1722),2)</f>
        <v>177.88</v>
      </c>
      <c r="U1722" s="65" t="n">
        <f aca="false">$R1722-$S1722-$T1722</f>
        <v>4098.26</v>
      </c>
      <c r="V1722" s="66" t="n">
        <f aca="false">IFERROR($U1722/$R1722,0)</f>
        <v>0.322553885433736</v>
      </c>
      <c r="W1722" s="67" t="str">
        <f aca="false">IF(AND($V1722&gt;=Parametros!$C$8,$R1722&gt;=Parametros!$C$12),"Alta rentabilidad",IF(OR($V1722&lt;Parametros!$C$11,$R1722&lt;Parametros!$C$13),"Revisar","Estandar"))</f>
        <v>Estandar</v>
      </c>
      <c r="X1722" s="67" t="str">
        <f aca="false">IF(AND($J1722="E-commerce",IFERROR($T1722/$R1722,0)&gt;Parametros!$C$14),"Alerta","OK")</f>
        <v>OK</v>
      </c>
      <c r="Y1722" s="61" t="str">
        <f aca="false">IF($R1722&gt;=Parametros!$C$12,"Alto",IF($R1722&lt;Parametros!$C$13,"Bajo","Medio"))</f>
        <v>Alto</v>
      </c>
      <c r="Z1722" s="61" t="n">
        <v>1997</v>
      </c>
      <c r="AA1722" s="61" t="str">
        <f aca="false">IF(MATCH($A1722,Datos_Origen!$A$2:$A$2459,0)=$Z1722,"OK","REVISAR")</f>
        <v>OK</v>
      </c>
      <c r="AB1722" s="61" t="str">
        <f aca="false">INDEX(Datos_Origen!$B$2:$B$2459,$Z1722)</f>
        <v>06/06/2025</v>
      </c>
      <c r="AC1722" s="61" t="n">
        <f aca="false">INDEX(Datos_Origen!$H$2:$H$2459,$Z1722)</f>
        <v>11</v>
      </c>
      <c r="AD1722" s="61" t="str">
        <f aca="false">INDEX(Datos_Origen!$D$2:$D$2459,$Z1722)&amp;""</f>
        <v>Cordoba</v>
      </c>
    </row>
    <row r="1723" customFormat="false" ht="15" hidden="false" customHeight="false" outlineLevel="0" collapsed="false">
      <c r="A1723" s="61" t="n">
        <f aca="false">INDEX(Datos_Origen!$A$2:$A$2459,$Z1723)</f>
        <v>1722</v>
      </c>
      <c r="B1723" s="62" t="n">
        <f aca="false">IF(ISNUMBER($AB1723),$AB1723,IF(MID($AB1723,5,1)="-",DATE(VALUE(LEFT($AB1723,4)),VALUE(MID($AB1723,6,2)),VALUE(RIGHT($AB1723,2))),DATE(VALUE(RIGHT($AB1723,4)),VALUE(MID($AB1723,4,2)),VALUE(LEFT($AB1723,2)))))</f>
        <v>45821</v>
      </c>
      <c r="C1723" s="61" t="n">
        <f aca="false">YEAR($B1723)</f>
        <v>2025</v>
      </c>
      <c r="D1723" s="61" t="str">
        <f aca="false">"Q"&amp;ROUNDUP(MONTH($B1723)/3,0)</f>
        <v>Q2</v>
      </c>
      <c r="E1723" s="61" t="n">
        <f aca="false">MONTH($B1723)</f>
        <v>6</v>
      </c>
      <c r="F1723" s="61" t="str">
        <f aca="false">INDEX(Parametros!$I$5:$I$16,$E1723)</f>
        <v>Jun</v>
      </c>
      <c r="G1723" s="61" t="str">
        <f aca="false">TEXT($C1723,"0000")&amp;"-"&amp;TEXT($E1723,"00")</f>
        <v>2025-06</v>
      </c>
      <c r="H1723" s="61" t="str">
        <f aca="false">INDEX(Parametros!$C$71:$C$91,MATCH(TRIM(INDEX(Datos_Origen!$C$2:$C$2459,$Z1723)),Parametros!$B$71:$B$91,0))</f>
        <v>Centro</v>
      </c>
      <c r="I1723" s="61" t="str">
        <f aca="false">IF(TRIM($AD1723)="",INDEX(Parametros!$I$20:$I$24,MATCH($H1723,Parametros!$H$20:$H$24,0)),TRIM($AD1723))</f>
        <v>Cordoba</v>
      </c>
      <c r="J1723" s="61" t="str">
        <f aca="false">INDEX(Parametros!$C$95:$C$106,MATCH(TRIM(INDEX(Datos_Origen!$E$2:$E$2459,$Z1723)),Parametros!$B$95:$B$106,0))</f>
        <v>E-commerce</v>
      </c>
      <c r="K1723" s="61" t="str">
        <f aca="false">INDEX(Parametros!$C$48:$C$67,MATCH(TRIM(INDEX(Datos_Origen!$F$2:$F$2459,$Z1723)),Parametros!$B$48:$B$67,0))</f>
        <v>Computacion</v>
      </c>
      <c r="L1723" s="61" t="str">
        <f aca="false">$K1723&amp;" "&amp;$C1723</f>
        <v>Computacion 2025</v>
      </c>
      <c r="M1723" s="61" t="str">
        <f aca="false">TRIM(INDEX(Datos_Origen!$G$2:$G$2459,$Z1723))</f>
        <v>Laptop Pro 15</v>
      </c>
      <c r="N1723" s="61" t="str">
        <f aca="false">$M1723&amp;" "&amp;$C1723</f>
        <v>Laptop Pro 15 2025</v>
      </c>
      <c r="O1723" s="63" t="n">
        <f aca="false">IF(ISTEXT($AC1723),VALUE($AC1723),$AC1723)</f>
        <v>8</v>
      </c>
      <c r="P1723" s="64" t="n">
        <f aca="false">INDEX(Datos_Origen!$I$2:$I$2459,$Z1723)</f>
        <v>1155.06</v>
      </c>
      <c r="Q1723" s="64" t="n">
        <f aca="false">INDEX(Datos_Origen!$J$2:$J$2459,$Z1723)</f>
        <v>766.32</v>
      </c>
      <c r="R1723" s="65" t="n">
        <f aca="false">ROUND($O1723*$P1723,2)</f>
        <v>9240.48</v>
      </c>
      <c r="S1723" s="65" t="n">
        <f aca="false">ROUND($O1723*$Q1723,2)</f>
        <v>6130.56</v>
      </c>
      <c r="T1723" s="65" t="n">
        <f aca="false">ROUND($R1723*SUMIFS(Parametros!$E$28:$E$43,Parametros!$B$28:$B$43,$J1723,Parametros!$C$28:$C$43,$C1723,Parametros!$D$28:$D$43,$D1723),2)</f>
        <v>683.8</v>
      </c>
      <c r="U1723" s="65" t="n">
        <f aca="false">$R1723-$S1723-$T1723</f>
        <v>2426.12</v>
      </c>
      <c r="V1723" s="66" t="n">
        <f aca="false">IFERROR($U1723/$R1723,0)</f>
        <v>0.262553460426298</v>
      </c>
      <c r="W1723" s="67" t="str">
        <f aca="false">IF(AND($V1723&gt;=Parametros!$C$8,$R1723&gt;=Parametros!$C$12),"Alta rentabilidad",IF(OR($V1723&lt;Parametros!$C$11,$R1723&lt;Parametros!$C$13),"Revisar","Estandar"))</f>
        <v>Revisar</v>
      </c>
      <c r="X1723" s="67" t="str">
        <f aca="false">IF(AND($J1723="E-commerce",IFERROR($T1723/$R1723,0)&gt;Parametros!$C$14),"Alerta","OK")</f>
        <v>Alerta</v>
      </c>
      <c r="Y1723" s="61" t="str">
        <f aca="false">IF($R1723&gt;=Parametros!$C$12,"Alto",IF($R1723&lt;Parametros!$C$13,"Bajo","Medio"))</f>
        <v>Alto</v>
      </c>
      <c r="Z1723" s="61" t="n">
        <v>2155</v>
      </c>
      <c r="AA1723" s="61" t="str">
        <f aca="false">IF(MATCH($A1723,Datos_Origen!$A$2:$A$2459,0)=$Z1723,"OK","REVISAR")</f>
        <v>OK</v>
      </c>
      <c r="AB1723" s="62" t="n">
        <f aca="false">INDEX(Datos_Origen!$B$2:$B$2459,$Z1723)</f>
        <v>45821</v>
      </c>
      <c r="AC1723" s="61" t="n">
        <f aca="false">INDEX(Datos_Origen!$H$2:$H$2459,$Z1723)</f>
        <v>8</v>
      </c>
      <c r="AD1723" s="61" t="str">
        <f aca="false">INDEX(Datos_Origen!$D$2:$D$2459,$Z1723)&amp;""</f>
        <v>Cordoba</v>
      </c>
    </row>
    <row r="1724" customFormat="false" ht="15" hidden="false" customHeight="false" outlineLevel="0" collapsed="false">
      <c r="A1724" s="61" t="n">
        <f aca="false">INDEX(Datos_Origen!$A$2:$A$2459,$Z1724)</f>
        <v>1723</v>
      </c>
      <c r="B1724" s="62" t="n">
        <f aca="false">IF(ISNUMBER($AB1724),$AB1724,IF(MID($AB1724,5,1)="-",DATE(VALUE(LEFT($AB1724,4)),VALUE(MID($AB1724,6,2)),VALUE(RIGHT($AB1724,2))),DATE(VALUE(RIGHT($AB1724,4)),VALUE(MID($AB1724,4,2)),VALUE(LEFT($AB1724,2)))))</f>
        <v>45828</v>
      </c>
      <c r="C1724" s="61" t="n">
        <f aca="false">YEAR($B1724)</f>
        <v>2025</v>
      </c>
      <c r="D1724" s="61" t="str">
        <f aca="false">"Q"&amp;ROUNDUP(MONTH($B1724)/3,0)</f>
        <v>Q2</v>
      </c>
      <c r="E1724" s="61" t="n">
        <f aca="false">MONTH($B1724)</f>
        <v>6</v>
      </c>
      <c r="F1724" s="61" t="str">
        <f aca="false">INDEX(Parametros!$I$5:$I$16,$E1724)</f>
        <v>Jun</v>
      </c>
      <c r="G1724" s="61" t="str">
        <f aca="false">TEXT($C1724,"0000")&amp;"-"&amp;TEXT($E1724,"00")</f>
        <v>2025-06</v>
      </c>
      <c r="H1724" s="61" t="str">
        <f aca="false">INDEX(Parametros!$C$71:$C$91,MATCH(TRIM(INDEX(Datos_Origen!$C$2:$C$2459,$Z1724)),Parametros!$B$71:$B$91,0))</f>
        <v>Centro</v>
      </c>
      <c r="I1724" s="61" t="str">
        <f aca="false">IF(TRIM($AD1724)="",INDEX(Parametros!$I$20:$I$24,MATCH($H1724,Parametros!$H$20:$H$24,0)),TRIM($AD1724))</f>
        <v>Cordoba</v>
      </c>
      <c r="J1724" s="61" t="str">
        <f aca="false">INDEX(Parametros!$C$95:$C$106,MATCH(TRIM(INDEX(Datos_Origen!$E$2:$E$2459,$Z1724)),Parametros!$B$95:$B$106,0))</f>
        <v>Tienda fisica</v>
      </c>
      <c r="K1724" s="61" t="str">
        <f aca="false">INDEX(Parametros!$C$48:$C$67,MATCH(TRIM(INDEX(Datos_Origen!$F$2:$F$2459,$Z1724)),Parametros!$B$48:$B$67,0))</f>
        <v>Computacion</v>
      </c>
      <c r="L1724" s="61" t="str">
        <f aca="false">$K1724&amp;" "&amp;$C1724</f>
        <v>Computacion 2025</v>
      </c>
      <c r="M1724" s="61" t="str">
        <f aca="false">TRIM(INDEX(Datos_Origen!$G$2:$G$2459,$Z1724))</f>
        <v>Monitor 4K 27</v>
      </c>
      <c r="N1724" s="61" t="str">
        <f aca="false">$M1724&amp;" "&amp;$C1724</f>
        <v>Monitor 4K 27 2025</v>
      </c>
      <c r="O1724" s="63" t="n">
        <f aca="false">IF(ISTEXT($AC1724),VALUE($AC1724),$AC1724)</f>
        <v>14</v>
      </c>
      <c r="P1724" s="64" t="n">
        <f aca="false">INDEX(Datos_Origen!$I$2:$I$2459,$Z1724)</f>
        <v>433.15</v>
      </c>
      <c r="Q1724" s="64" t="n">
        <f aca="false">INDEX(Datos_Origen!$J$2:$J$2459,$Z1724)</f>
        <v>280.42</v>
      </c>
      <c r="R1724" s="65" t="n">
        <f aca="false">ROUND($O1724*$P1724,2)</f>
        <v>6064.1</v>
      </c>
      <c r="S1724" s="65" t="n">
        <f aca="false">ROUND($O1724*$Q1724,2)</f>
        <v>3925.88</v>
      </c>
      <c r="T1724" s="65" t="n">
        <f aca="false">ROUND($R1724*SUMIFS(Parametros!$E$28:$E$43,Parametros!$B$28:$B$43,$J1724,Parametros!$C$28:$C$43,$C1724,Parametros!$D$28:$D$43,$D1724),2)</f>
        <v>84.9</v>
      </c>
      <c r="U1724" s="65" t="n">
        <f aca="false">$R1724-$S1724-$T1724</f>
        <v>2053.32</v>
      </c>
      <c r="V1724" s="66" t="n">
        <f aca="false">IFERROR($U1724/$R1724,0)</f>
        <v>0.338602595603635</v>
      </c>
      <c r="W1724" s="67" t="str">
        <f aca="false">IF(AND($V1724&gt;=Parametros!$C$8,$R1724&gt;=Parametros!$C$12),"Alta rentabilidad",IF(OR($V1724&lt;Parametros!$C$11,$R1724&lt;Parametros!$C$13),"Revisar","Estandar"))</f>
        <v>Estandar</v>
      </c>
      <c r="X1724" s="67" t="str">
        <f aca="false">IF(AND($J1724="E-commerce",IFERROR($T1724/$R1724,0)&gt;Parametros!$C$14),"Alerta","OK")</f>
        <v>OK</v>
      </c>
      <c r="Y1724" s="61" t="str">
        <f aca="false">IF($R1724&gt;=Parametros!$C$12,"Alto",IF($R1724&lt;Parametros!$C$13,"Bajo","Medio"))</f>
        <v>Alto</v>
      </c>
      <c r="Z1724" s="61" t="n">
        <v>1858</v>
      </c>
      <c r="AA1724" s="61" t="str">
        <f aca="false">IF(MATCH($A1724,Datos_Origen!$A$2:$A$2459,0)=$Z1724,"OK","REVISAR")</f>
        <v>OK</v>
      </c>
      <c r="AB1724" s="62" t="n">
        <f aca="false">INDEX(Datos_Origen!$B$2:$B$2459,$Z1724)</f>
        <v>45828</v>
      </c>
      <c r="AC1724" s="61" t="n">
        <f aca="false">INDEX(Datos_Origen!$H$2:$H$2459,$Z1724)</f>
        <v>14</v>
      </c>
      <c r="AD1724" s="61" t="str">
        <f aca="false">INDEX(Datos_Origen!$D$2:$D$2459,$Z1724)&amp;""</f>
        <v>Cordoba</v>
      </c>
    </row>
    <row r="1725" customFormat="false" ht="15" hidden="false" customHeight="false" outlineLevel="0" collapsed="false">
      <c r="A1725" s="61" t="n">
        <f aca="false">INDEX(Datos_Origen!$A$2:$A$2459,$Z1725)</f>
        <v>1724</v>
      </c>
      <c r="B1725" s="62" t="n">
        <f aca="false">IF(ISNUMBER($AB1725),$AB1725,IF(MID($AB1725,5,1)="-",DATE(VALUE(LEFT($AB1725,4)),VALUE(MID($AB1725,6,2)),VALUE(RIGHT($AB1725,2))),DATE(VALUE(RIGHT($AB1725,4)),VALUE(MID($AB1725,4,2)),VALUE(LEFT($AB1725,2)))))</f>
        <v>45835</v>
      </c>
      <c r="C1725" s="61" t="n">
        <f aca="false">YEAR($B1725)</f>
        <v>2025</v>
      </c>
      <c r="D1725" s="61" t="str">
        <f aca="false">"Q"&amp;ROUNDUP(MONTH($B1725)/3,0)</f>
        <v>Q2</v>
      </c>
      <c r="E1725" s="61" t="n">
        <f aca="false">MONTH($B1725)</f>
        <v>6</v>
      </c>
      <c r="F1725" s="61" t="str">
        <f aca="false">INDEX(Parametros!$I$5:$I$16,$E1725)</f>
        <v>Jun</v>
      </c>
      <c r="G1725" s="61" t="str">
        <f aca="false">TEXT($C1725,"0000")&amp;"-"&amp;TEXT($E1725,"00")</f>
        <v>2025-06</v>
      </c>
      <c r="H1725" s="61" t="str">
        <f aca="false">INDEX(Parametros!$C$71:$C$91,MATCH(TRIM(INDEX(Datos_Origen!$C$2:$C$2459,$Z1725)),Parametros!$B$71:$B$91,0))</f>
        <v>Centro</v>
      </c>
      <c r="I1725" s="61" t="str">
        <f aca="false">IF(TRIM($AD1725)="",INDEX(Parametros!$I$20:$I$24,MATCH($H1725,Parametros!$H$20:$H$24,0)),TRIM($AD1725))</f>
        <v>Cordoba</v>
      </c>
      <c r="J1725" s="61" t="str">
        <f aca="false">INDEX(Parametros!$C$95:$C$106,MATCH(TRIM(INDEX(Datos_Origen!$E$2:$E$2459,$Z1725)),Parametros!$B$95:$B$106,0))</f>
        <v>E-commerce</v>
      </c>
      <c r="K1725" s="61" t="str">
        <f aca="false">INDEX(Parametros!$C$48:$C$67,MATCH(TRIM(INDEX(Datos_Origen!$F$2:$F$2459,$Z1725)),Parametros!$B$48:$B$67,0))</f>
        <v>Computacion</v>
      </c>
      <c r="L1725" s="61" t="str">
        <f aca="false">$K1725&amp;" "&amp;$C1725</f>
        <v>Computacion 2025</v>
      </c>
      <c r="M1725" s="61" t="str">
        <f aca="false">TRIM(INDEX(Datos_Origen!$G$2:$G$2459,$Z1725))</f>
        <v>Monitor 4K 27</v>
      </c>
      <c r="N1725" s="61" t="str">
        <f aca="false">$M1725&amp;" "&amp;$C1725</f>
        <v>Monitor 4K 27 2025</v>
      </c>
      <c r="O1725" s="63" t="n">
        <f aca="false">IF(ISTEXT($AC1725),VALUE($AC1725),$AC1725)</f>
        <v>10</v>
      </c>
      <c r="P1725" s="64" t="n">
        <f aca="false">INDEX(Datos_Origen!$I$2:$I$2459,$Z1725)</f>
        <v>433.15</v>
      </c>
      <c r="Q1725" s="64" t="n">
        <f aca="false">INDEX(Datos_Origen!$J$2:$J$2459,$Z1725)</f>
        <v>280.42</v>
      </c>
      <c r="R1725" s="65" t="n">
        <f aca="false">ROUND($O1725*$P1725,2)</f>
        <v>4331.5</v>
      </c>
      <c r="S1725" s="65" t="n">
        <f aca="false">ROUND($O1725*$Q1725,2)</f>
        <v>2804.2</v>
      </c>
      <c r="T1725" s="65" t="n">
        <f aca="false">ROUND($R1725*SUMIFS(Parametros!$E$28:$E$43,Parametros!$B$28:$B$43,$J1725,Parametros!$C$28:$C$43,$C1725,Parametros!$D$28:$D$43,$D1725),2)</f>
        <v>320.53</v>
      </c>
      <c r="U1725" s="65" t="n">
        <f aca="false">$R1725-$S1725-$T1725</f>
        <v>1206.77</v>
      </c>
      <c r="V1725" s="66" t="n">
        <f aca="false">IFERROR($U1725/$R1725,0)</f>
        <v>0.278603255223364</v>
      </c>
      <c r="W1725" s="67" t="str">
        <f aca="false">IF(AND($V1725&gt;=Parametros!$C$8,$R1725&gt;=Parametros!$C$12),"Alta rentabilidad",IF(OR($V1725&lt;Parametros!$C$11,$R1725&lt;Parametros!$C$13),"Revisar","Estandar"))</f>
        <v>Revisar</v>
      </c>
      <c r="X1725" s="67" t="str">
        <f aca="false">IF(AND($J1725="E-commerce",IFERROR($T1725/$R1725,0)&gt;Parametros!$C$14),"Alerta","OK")</f>
        <v>Alerta</v>
      </c>
      <c r="Y1725" s="61" t="str">
        <f aca="false">IF($R1725&gt;=Parametros!$C$12,"Alto",IF($R1725&lt;Parametros!$C$13,"Bajo","Medio"))</f>
        <v>Alto</v>
      </c>
      <c r="Z1725" s="61" t="n">
        <v>1</v>
      </c>
      <c r="AA1725" s="61" t="str">
        <f aca="false">IF(MATCH($A1725,Datos_Origen!$A$2:$A$2459,0)=$Z1725,"OK","REVISAR")</f>
        <v>OK</v>
      </c>
      <c r="AB1725" s="62" t="n">
        <f aca="false">INDEX(Datos_Origen!$B$2:$B$2459,$Z1725)</f>
        <v>45835</v>
      </c>
      <c r="AC1725" s="61" t="n">
        <f aca="false">INDEX(Datos_Origen!$H$2:$H$2459,$Z1725)</f>
        <v>10</v>
      </c>
      <c r="AD1725" s="61" t="str">
        <f aca="false">INDEX(Datos_Origen!$D$2:$D$2459,$Z1725)&amp;""</f>
        <v>Cordoba</v>
      </c>
    </row>
    <row r="1726" customFormat="false" ht="15" hidden="false" customHeight="false" outlineLevel="0" collapsed="false">
      <c r="A1726" s="61" t="n">
        <f aca="false">INDEX(Datos_Origen!$A$2:$A$2459,$Z1726)</f>
        <v>1725</v>
      </c>
      <c r="B1726" s="62" t="n">
        <f aca="false">IF(ISNUMBER($AB1726),$AB1726,IF(MID($AB1726,5,1)="-",DATE(VALUE(LEFT($AB1726,4)),VALUE(MID($AB1726,6,2)),VALUE(RIGHT($AB1726,2))),DATE(VALUE(RIGHT($AB1726,4)),VALUE(MID($AB1726,4,2)),VALUE(LEFT($AB1726,2)))))</f>
        <v>45815</v>
      </c>
      <c r="C1726" s="61" t="n">
        <f aca="false">YEAR($B1726)</f>
        <v>2025</v>
      </c>
      <c r="D1726" s="61" t="str">
        <f aca="false">"Q"&amp;ROUNDUP(MONTH($B1726)/3,0)</f>
        <v>Q2</v>
      </c>
      <c r="E1726" s="61" t="n">
        <f aca="false">MONTH($B1726)</f>
        <v>6</v>
      </c>
      <c r="F1726" s="61" t="str">
        <f aca="false">INDEX(Parametros!$I$5:$I$16,$E1726)</f>
        <v>Jun</v>
      </c>
      <c r="G1726" s="61" t="str">
        <f aca="false">TEXT($C1726,"0000")&amp;"-"&amp;TEXT($E1726,"00")</f>
        <v>2025-06</v>
      </c>
      <c r="H1726" s="61" t="str">
        <f aca="false">INDEX(Parametros!$C$71:$C$91,MATCH(TRIM(INDEX(Datos_Origen!$C$2:$C$2459,$Z1726)),Parametros!$B$71:$B$91,0))</f>
        <v>Centro</v>
      </c>
      <c r="I1726" s="61" t="str">
        <f aca="false">IF(TRIM($AD1726)="",INDEX(Parametros!$I$20:$I$24,MATCH($H1726,Parametros!$H$20:$H$24,0)),TRIM($AD1726))</f>
        <v>Cordoba</v>
      </c>
      <c r="J1726" s="61" t="str">
        <f aca="false">INDEX(Parametros!$C$95:$C$106,MATCH(TRIM(INDEX(Datos_Origen!$E$2:$E$2459,$Z1726)),Parametros!$B$95:$B$106,0))</f>
        <v>Tienda fisica</v>
      </c>
      <c r="K1726" s="61" t="str">
        <f aca="false">INDEX(Parametros!$C$48:$C$67,MATCH(TRIM(INDEX(Datos_Origen!$F$2:$F$2459,$Z1726)),Parametros!$B$48:$B$67,0))</f>
        <v>Computacion</v>
      </c>
      <c r="L1726" s="61" t="str">
        <f aca="false">$K1726&amp;" "&amp;$C1726</f>
        <v>Computacion 2025</v>
      </c>
      <c r="M1726" s="61" t="str">
        <f aca="false">TRIM(INDEX(Datos_Origen!$G$2:$G$2459,$Z1726))</f>
        <v>PC Gamer Ryzen</v>
      </c>
      <c r="N1726" s="61" t="str">
        <f aca="false">$M1726&amp;" "&amp;$C1726</f>
        <v>PC Gamer Ryzen 2025</v>
      </c>
      <c r="O1726" s="63" t="n">
        <f aca="false">IF(ISTEXT($AC1726),VALUE($AC1726),$AC1726)</f>
        <v>10</v>
      </c>
      <c r="P1726" s="64" t="n">
        <f aca="false">INDEX(Datos_Origen!$I$2:$I$2459,$Z1726)</f>
        <v>1588.21</v>
      </c>
      <c r="Q1726" s="64" t="n">
        <f aca="false">INDEX(Datos_Origen!$J$2:$J$2459,$Z1726)</f>
        <v>1155.66</v>
      </c>
      <c r="R1726" s="65" t="n">
        <f aca="false">ROUND($O1726*$P1726,2)</f>
        <v>15882.1</v>
      </c>
      <c r="S1726" s="65" t="n">
        <f aca="false">ROUND($O1726*$Q1726,2)</f>
        <v>11556.6</v>
      </c>
      <c r="T1726" s="65" t="n">
        <f aca="false">ROUND($R1726*SUMIFS(Parametros!$E$28:$E$43,Parametros!$B$28:$B$43,$J1726,Parametros!$C$28:$C$43,$C1726,Parametros!$D$28:$D$43,$D1726),2)</f>
        <v>222.35</v>
      </c>
      <c r="U1726" s="65" t="n">
        <f aca="false">$R1726-$S1726-$T1726</f>
        <v>4103.15</v>
      </c>
      <c r="V1726" s="66" t="n">
        <f aca="false">IFERROR($U1726/$R1726,0)</f>
        <v>0.258350595953936</v>
      </c>
      <c r="W1726" s="67" t="str">
        <f aca="false">IF(AND($V1726&gt;=Parametros!$C$8,$R1726&gt;=Parametros!$C$12),"Alta rentabilidad",IF(OR($V1726&lt;Parametros!$C$11,$R1726&lt;Parametros!$C$13),"Revisar","Estandar"))</f>
        <v>Revisar</v>
      </c>
      <c r="X1726" s="67" t="str">
        <f aca="false">IF(AND($J1726="E-commerce",IFERROR($T1726/$R1726,0)&gt;Parametros!$C$14),"Alerta","OK")</f>
        <v>OK</v>
      </c>
      <c r="Y1726" s="61" t="str">
        <f aca="false">IF($R1726&gt;=Parametros!$C$12,"Alto",IF($R1726&lt;Parametros!$C$13,"Bajo","Medio"))</f>
        <v>Alto</v>
      </c>
      <c r="Z1726" s="61" t="n">
        <v>816</v>
      </c>
      <c r="AA1726" s="61" t="str">
        <f aca="false">IF(MATCH($A1726,Datos_Origen!$A$2:$A$2459,0)=$Z1726,"OK","REVISAR")</f>
        <v>OK</v>
      </c>
      <c r="AB1726" s="62" t="n">
        <f aca="false">INDEX(Datos_Origen!$B$2:$B$2459,$Z1726)</f>
        <v>45815</v>
      </c>
      <c r="AC1726" s="61" t="n">
        <f aca="false">INDEX(Datos_Origen!$H$2:$H$2459,$Z1726)</f>
        <v>10</v>
      </c>
      <c r="AD1726" s="61" t="str">
        <f aca="false">INDEX(Datos_Origen!$D$2:$D$2459,$Z1726)&amp;""</f>
        <v>Cordoba</v>
      </c>
    </row>
    <row r="1727" customFormat="false" ht="15" hidden="false" customHeight="false" outlineLevel="0" collapsed="false">
      <c r="A1727" s="61" t="n">
        <f aca="false">INDEX(Datos_Origen!$A$2:$A$2459,$Z1727)</f>
        <v>1726</v>
      </c>
      <c r="B1727" s="62" t="n">
        <f aca="false">IF(ISNUMBER($AB1727),$AB1727,IF(MID($AB1727,5,1)="-",DATE(VALUE(LEFT($AB1727,4)),VALUE(MID($AB1727,6,2)),VALUE(RIGHT($AB1727,2))),DATE(VALUE(RIGHT($AB1727,4)),VALUE(MID($AB1727,4,2)),VALUE(LEFT($AB1727,2)))))</f>
        <v>45822</v>
      </c>
      <c r="C1727" s="61" t="n">
        <f aca="false">YEAR($B1727)</f>
        <v>2025</v>
      </c>
      <c r="D1727" s="61" t="str">
        <f aca="false">"Q"&amp;ROUNDUP(MONTH($B1727)/3,0)</f>
        <v>Q2</v>
      </c>
      <c r="E1727" s="61" t="n">
        <f aca="false">MONTH($B1727)</f>
        <v>6</v>
      </c>
      <c r="F1727" s="61" t="str">
        <f aca="false">INDEX(Parametros!$I$5:$I$16,$E1727)</f>
        <v>Jun</v>
      </c>
      <c r="G1727" s="61" t="str">
        <f aca="false">TEXT($C1727,"0000")&amp;"-"&amp;TEXT($E1727,"00")</f>
        <v>2025-06</v>
      </c>
      <c r="H1727" s="61" t="str">
        <f aca="false">INDEX(Parametros!$C$71:$C$91,MATCH(TRIM(INDEX(Datos_Origen!$C$2:$C$2459,$Z1727)),Parametros!$B$71:$B$91,0))</f>
        <v>Centro</v>
      </c>
      <c r="I1727" s="61" t="str">
        <f aca="false">IF(TRIM($AD1727)="",INDEX(Parametros!$I$20:$I$24,MATCH($H1727,Parametros!$H$20:$H$24,0)),TRIM($AD1727))</f>
        <v>Cordoba</v>
      </c>
      <c r="J1727" s="61" t="str">
        <f aca="false">INDEX(Parametros!$C$95:$C$106,MATCH(TRIM(INDEX(Datos_Origen!$E$2:$E$2459,$Z1727)),Parametros!$B$95:$B$106,0))</f>
        <v>E-commerce</v>
      </c>
      <c r="K1727" s="61" t="str">
        <f aca="false">INDEX(Parametros!$C$48:$C$67,MATCH(TRIM(INDEX(Datos_Origen!$F$2:$F$2459,$Z1727)),Parametros!$B$48:$B$67,0))</f>
        <v>Computacion</v>
      </c>
      <c r="L1727" s="61" t="str">
        <f aca="false">$K1727&amp;" "&amp;$C1727</f>
        <v>Computacion 2025</v>
      </c>
      <c r="M1727" s="61" t="str">
        <f aca="false">TRIM(INDEX(Datos_Origen!$G$2:$G$2459,$Z1727))</f>
        <v>PC Gamer Ryzen</v>
      </c>
      <c r="N1727" s="61" t="str">
        <f aca="false">$M1727&amp;" "&amp;$C1727</f>
        <v>PC Gamer Ryzen 2025</v>
      </c>
      <c r="O1727" s="63" t="n">
        <f aca="false">IF(ISTEXT($AC1727),VALUE($AC1727),$AC1727)</f>
        <v>7</v>
      </c>
      <c r="P1727" s="64" t="n">
        <f aca="false">INDEX(Datos_Origen!$I$2:$I$2459,$Z1727)</f>
        <v>1588.21</v>
      </c>
      <c r="Q1727" s="64" t="n">
        <f aca="false">INDEX(Datos_Origen!$J$2:$J$2459,$Z1727)</f>
        <v>1155.66</v>
      </c>
      <c r="R1727" s="65" t="n">
        <f aca="false">ROUND($O1727*$P1727,2)</f>
        <v>11117.47</v>
      </c>
      <c r="S1727" s="65" t="n">
        <f aca="false">ROUND($O1727*$Q1727,2)</f>
        <v>8089.62</v>
      </c>
      <c r="T1727" s="65" t="n">
        <f aca="false">ROUND($R1727*SUMIFS(Parametros!$E$28:$E$43,Parametros!$B$28:$B$43,$J1727,Parametros!$C$28:$C$43,$C1727,Parametros!$D$28:$D$43,$D1727),2)</f>
        <v>822.69</v>
      </c>
      <c r="U1727" s="65" t="n">
        <f aca="false">$R1727-$S1727-$T1727</f>
        <v>2205.16</v>
      </c>
      <c r="V1727" s="66" t="n">
        <f aca="false">IFERROR($U1727/$R1727,0)</f>
        <v>0.198350883789207</v>
      </c>
      <c r="W1727" s="67" t="str">
        <f aca="false">IF(AND($V1727&gt;=Parametros!$C$8,$R1727&gt;=Parametros!$C$12),"Alta rentabilidad",IF(OR($V1727&lt;Parametros!$C$11,$R1727&lt;Parametros!$C$13),"Revisar","Estandar"))</f>
        <v>Revisar</v>
      </c>
      <c r="X1727" s="67" t="str">
        <f aca="false">IF(AND($J1727="E-commerce",IFERROR($T1727/$R1727,0)&gt;Parametros!$C$14),"Alerta","OK")</f>
        <v>Alerta</v>
      </c>
      <c r="Y1727" s="61" t="str">
        <f aca="false">IF($R1727&gt;=Parametros!$C$12,"Alto",IF($R1727&lt;Parametros!$C$13,"Bajo","Medio"))</f>
        <v>Alto</v>
      </c>
      <c r="Z1727" s="61" t="n">
        <v>535</v>
      </c>
      <c r="AA1727" s="61" t="str">
        <f aca="false">IF(MATCH($A1727,Datos_Origen!$A$2:$A$2459,0)=$Z1727,"OK","REVISAR")</f>
        <v>OK</v>
      </c>
      <c r="AB1727" s="61" t="str">
        <f aca="false">INDEX(Datos_Origen!$B$2:$B$2459,$Z1727)</f>
        <v>2025-06-14</v>
      </c>
      <c r="AC1727" s="61" t="n">
        <f aca="false">INDEX(Datos_Origen!$H$2:$H$2459,$Z1727)</f>
        <v>7</v>
      </c>
      <c r="AD1727" s="61" t="str">
        <f aca="false">INDEX(Datos_Origen!$D$2:$D$2459,$Z1727)&amp;""</f>
        <v>Cordoba</v>
      </c>
    </row>
    <row r="1728" customFormat="false" ht="15" hidden="false" customHeight="false" outlineLevel="0" collapsed="false">
      <c r="A1728" s="61" t="n">
        <f aca="false">INDEX(Datos_Origen!$A$2:$A$2459,$Z1728)</f>
        <v>1727</v>
      </c>
      <c r="B1728" s="62" t="n">
        <f aca="false">IF(ISNUMBER($AB1728),$AB1728,IF(MID($AB1728,5,1)="-",DATE(VALUE(LEFT($AB1728,4)),VALUE(MID($AB1728,6,2)),VALUE(RIGHT($AB1728,2))),DATE(VALUE(RIGHT($AB1728,4)),VALUE(MID($AB1728,4,2)),VALUE(LEFT($AB1728,2)))))</f>
        <v>45829</v>
      </c>
      <c r="C1728" s="61" t="n">
        <f aca="false">YEAR($B1728)</f>
        <v>2025</v>
      </c>
      <c r="D1728" s="61" t="str">
        <f aca="false">"Q"&amp;ROUNDUP(MONTH($B1728)/3,0)</f>
        <v>Q2</v>
      </c>
      <c r="E1728" s="61" t="n">
        <f aca="false">MONTH($B1728)</f>
        <v>6</v>
      </c>
      <c r="F1728" s="61" t="str">
        <f aca="false">INDEX(Parametros!$I$5:$I$16,$E1728)</f>
        <v>Jun</v>
      </c>
      <c r="G1728" s="61" t="str">
        <f aca="false">TEXT($C1728,"0000")&amp;"-"&amp;TEXT($E1728,"00")</f>
        <v>2025-06</v>
      </c>
      <c r="H1728" s="61" t="str">
        <f aca="false">INDEX(Parametros!$C$71:$C$91,MATCH(TRIM(INDEX(Datos_Origen!$C$2:$C$2459,$Z1728)),Parametros!$B$71:$B$91,0))</f>
        <v>Centro</v>
      </c>
      <c r="I1728" s="61" t="str">
        <f aca="false">IF(TRIM($AD1728)="",INDEX(Parametros!$I$20:$I$24,MATCH($H1728,Parametros!$H$20:$H$24,0)),TRIM($AD1728))</f>
        <v>Cordoba</v>
      </c>
      <c r="J1728" s="61" t="str">
        <f aca="false">INDEX(Parametros!$C$95:$C$106,MATCH(TRIM(INDEX(Datos_Origen!$E$2:$E$2459,$Z1728)),Parametros!$B$95:$B$106,0))</f>
        <v>Tienda fisica</v>
      </c>
      <c r="K1728" s="61" t="str">
        <f aca="false">INDEX(Parametros!$C$48:$C$67,MATCH(TRIM(INDEX(Datos_Origen!$F$2:$F$2459,$Z1728)),Parametros!$B$48:$B$67,0))</f>
        <v>Accesorios</v>
      </c>
      <c r="L1728" s="61" t="str">
        <f aca="false">$K1728&amp;" "&amp;$C1728</f>
        <v>Accesorios 2025</v>
      </c>
      <c r="M1728" s="61" t="str">
        <f aca="false">TRIM(INDEX(Datos_Origen!$G$2:$G$2459,$Z1728))</f>
        <v>Mouse Inalambrico</v>
      </c>
      <c r="N1728" s="61" t="str">
        <f aca="false">$M1728&amp;" "&amp;$C1728</f>
        <v>Mouse Inalambrico 2025</v>
      </c>
      <c r="O1728" s="63" t="n">
        <f aca="false">IF(ISTEXT($AC1728),VALUE($AC1728),$AC1728)</f>
        <v>64</v>
      </c>
      <c r="P1728" s="64" t="n">
        <f aca="false">INDEX(Datos_Origen!$I$2:$I$2459,$Z1728)</f>
        <v>27.82</v>
      </c>
      <c r="Q1728" s="64" t="n">
        <f aca="false">INDEX(Datos_Origen!$J$2:$J$2459,$Z1728)</f>
        <v>13.84</v>
      </c>
      <c r="R1728" s="65" t="n">
        <f aca="false">ROUND($O1728*$P1728,2)</f>
        <v>1780.48</v>
      </c>
      <c r="S1728" s="65" t="n">
        <f aca="false">ROUND($O1728*$Q1728,2)</f>
        <v>885.76</v>
      </c>
      <c r="T1728" s="65" t="n">
        <f aca="false">ROUND($R1728*SUMIFS(Parametros!$E$28:$E$43,Parametros!$B$28:$B$43,$J1728,Parametros!$C$28:$C$43,$C1728,Parametros!$D$28:$D$43,$D1728),2)</f>
        <v>24.93</v>
      </c>
      <c r="U1728" s="65" t="n">
        <f aca="false">$R1728-$S1728-$T1728</f>
        <v>869.79</v>
      </c>
      <c r="V1728" s="66" t="n">
        <f aca="false">IFERROR($U1728/$R1728,0)</f>
        <v>0.488514333213516</v>
      </c>
      <c r="W1728" s="67" t="str">
        <f aca="false">IF(AND($V1728&gt;=Parametros!$C$8,$R1728&gt;=Parametros!$C$12),"Alta rentabilidad",IF(OR($V1728&lt;Parametros!$C$11,$R1728&lt;Parametros!$C$13),"Revisar","Estandar"))</f>
        <v>Estandar</v>
      </c>
      <c r="X1728" s="67" t="str">
        <f aca="false">IF(AND($J1728="E-commerce",IFERROR($T1728/$R1728,0)&gt;Parametros!$C$14),"Alerta","OK")</f>
        <v>OK</v>
      </c>
      <c r="Y1728" s="61" t="str">
        <f aca="false">IF($R1728&gt;=Parametros!$C$12,"Alto",IF($R1728&lt;Parametros!$C$13,"Bajo","Medio"))</f>
        <v>Medio</v>
      </c>
      <c r="Z1728" s="61" t="n">
        <v>945</v>
      </c>
      <c r="AA1728" s="61" t="str">
        <f aca="false">IF(MATCH($A1728,Datos_Origen!$A$2:$A$2459,0)=$Z1728,"OK","REVISAR")</f>
        <v>OK</v>
      </c>
      <c r="AB1728" s="62" t="n">
        <f aca="false">INDEX(Datos_Origen!$B$2:$B$2459,$Z1728)</f>
        <v>45829</v>
      </c>
      <c r="AC1728" s="61" t="n">
        <f aca="false">INDEX(Datos_Origen!$H$2:$H$2459,$Z1728)</f>
        <v>64</v>
      </c>
      <c r="AD1728" s="61" t="str">
        <f aca="false">INDEX(Datos_Origen!$D$2:$D$2459,$Z1728)&amp;""</f>
        <v>Cordoba</v>
      </c>
    </row>
    <row r="1729" customFormat="false" ht="15" hidden="false" customHeight="false" outlineLevel="0" collapsed="false">
      <c r="A1729" s="61" t="n">
        <f aca="false">INDEX(Datos_Origen!$A$2:$A$2459,$Z1729)</f>
        <v>1728</v>
      </c>
      <c r="B1729" s="62" t="n">
        <f aca="false">IF(ISNUMBER($AB1729),$AB1729,IF(MID($AB1729,5,1)="-",DATE(VALUE(LEFT($AB1729,4)),VALUE(MID($AB1729,6,2)),VALUE(RIGHT($AB1729,2))),DATE(VALUE(RIGHT($AB1729,4)),VALUE(MID($AB1729,4,2)),VALUE(LEFT($AB1729,2)))))</f>
        <v>45809</v>
      </c>
      <c r="C1729" s="61" t="n">
        <f aca="false">YEAR($B1729)</f>
        <v>2025</v>
      </c>
      <c r="D1729" s="61" t="str">
        <f aca="false">"Q"&amp;ROUNDUP(MONTH($B1729)/3,0)</f>
        <v>Q2</v>
      </c>
      <c r="E1729" s="61" t="n">
        <f aca="false">MONTH($B1729)</f>
        <v>6</v>
      </c>
      <c r="F1729" s="61" t="str">
        <f aca="false">INDEX(Parametros!$I$5:$I$16,$E1729)</f>
        <v>Jun</v>
      </c>
      <c r="G1729" s="61" t="str">
        <f aca="false">TEXT($C1729,"0000")&amp;"-"&amp;TEXT($E1729,"00")</f>
        <v>2025-06</v>
      </c>
      <c r="H1729" s="61" t="str">
        <f aca="false">INDEX(Parametros!$C$71:$C$91,MATCH(TRIM(INDEX(Datos_Origen!$C$2:$C$2459,$Z1729)),Parametros!$B$71:$B$91,0))</f>
        <v>Centro</v>
      </c>
      <c r="I1729" s="61" t="str">
        <f aca="false">IF(TRIM($AD1729)="",INDEX(Parametros!$I$20:$I$24,MATCH($H1729,Parametros!$H$20:$H$24,0)),TRIM($AD1729))</f>
        <v>Cordoba</v>
      </c>
      <c r="J1729" s="61" t="str">
        <f aca="false">INDEX(Parametros!$C$95:$C$106,MATCH(TRIM(INDEX(Datos_Origen!$E$2:$E$2459,$Z1729)),Parametros!$B$95:$B$106,0))</f>
        <v>E-commerce</v>
      </c>
      <c r="K1729" s="61" t="str">
        <f aca="false">INDEX(Parametros!$C$48:$C$67,MATCH(TRIM(INDEX(Datos_Origen!$F$2:$F$2459,$Z1729)),Parametros!$B$48:$B$67,0))</f>
        <v>Accesorios</v>
      </c>
      <c r="L1729" s="61" t="str">
        <f aca="false">$K1729&amp;" "&amp;$C1729</f>
        <v>Accesorios 2025</v>
      </c>
      <c r="M1729" s="61" t="str">
        <f aca="false">TRIM(INDEX(Datos_Origen!$G$2:$G$2459,$Z1729))</f>
        <v>Mouse Inalambrico</v>
      </c>
      <c r="N1729" s="61" t="str">
        <f aca="false">$M1729&amp;" "&amp;$C1729</f>
        <v>Mouse Inalambrico 2025</v>
      </c>
      <c r="O1729" s="63" t="n">
        <f aca="false">IF(ISTEXT($AC1729),VALUE($AC1729),$AC1729)</f>
        <v>37</v>
      </c>
      <c r="P1729" s="64" t="n">
        <f aca="false">INDEX(Datos_Origen!$I$2:$I$2459,$Z1729)</f>
        <v>27.82</v>
      </c>
      <c r="Q1729" s="64" t="n">
        <f aca="false">INDEX(Datos_Origen!$J$2:$J$2459,$Z1729)</f>
        <v>13.84</v>
      </c>
      <c r="R1729" s="65" t="n">
        <f aca="false">ROUND($O1729*$P1729,2)</f>
        <v>1029.34</v>
      </c>
      <c r="S1729" s="65" t="n">
        <f aca="false">ROUND($O1729*$Q1729,2)</f>
        <v>512.08</v>
      </c>
      <c r="T1729" s="65" t="n">
        <f aca="false">ROUND($R1729*SUMIFS(Parametros!$E$28:$E$43,Parametros!$B$28:$B$43,$J1729,Parametros!$C$28:$C$43,$C1729,Parametros!$D$28:$D$43,$D1729),2)</f>
        <v>76.17</v>
      </c>
      <c r="U1729" s="65" t="n">
        <f aca="false">$R1729-$S1729-$T1729</f>
        <v>441.09</v>
      </c>
      <c r="V1729" s="66" t="n">
        <f aca="false">IFERROR($U1729/$R1729,0)</f>
        <v>0.428517302349078</v>
      </c>
      <c r="W1729" s="67" t="str">
        <f aca="false">IF(AND($V1729&gt;=Parametros!$C$8,$R1729&gt;=Parametros!$C$12),"Alta rentabilidad",IF(OR($V1729&lt;Parametros!$C$11,$R1729&lt;Parametros!$C$13),"Revisar","Estandar"))</f>
        <v>Estandar</v>
      </c>
      <c r="X1729" s="67" t="str">
        <f aca="false">IF(AND($J1729="E-commerce",IFERROR($T1729/$R1729,0)&gt;Parametros!$C$14),"Alerta","OK")</f>
        <v>Alerta</v>
      </c>
      <c r="Y1729" s="61" t="str">
        <f aca="false">IF($R1729&gt;=Parametros!$C$12,"Alto",IF($R1729&lt;Parametros!$C$13,"Bajo","Medio"))</f>
        <v>Medio</v>
      </c>
      <c r="Z1729" s="61" t="n">
        <v>754</v>
      </c>
      <c r="AA1729" s="61" t="str">
        <f aca="false">IF(MATCH($A1729,Datos_Origen!$A$2:$A$2459,0)=$Z1729,"OK","REVISAR")</f>
        <v>OK</v>
      </c>
      <c r="AB1729" s="61" t="str">
        <f aca="false">INDEX(Datos_Origen!$B$2:$B$2459,$Z1729)</f>
        <v>01/06/2025</v>
      </c>
      <c r="AC1729" s="61" t="n">
        <f aca="false">INDEX(Datos_Origen!$H$2:$H$2459,$Z1729)</f>
        <v>37</v>
      </c>
      <c r="AD1729" s="61" t="str">
        <f aca="false">INDEX(Datos_Origen!$D$2:$D$2459,$Z1729)&amp;""</f>
        <v>Cordoba</v>
      </c>
    </row>
    <row r="1730" customFormat="false" ht="15" hidden="false" customHeight="false" outlineLevel="0" collapsed="false">
      <c r="A1730" s="61" t="n">
        <f aca="false">INDEX(Datos_Origen!$A$2:$A$2459,$Z1730)</f>
        <v>1729</v>
      </c>
      <c r="B1730" s="62" t="n">
        <f aca="false">IF(ISNUMBER($AB1730),$AB1730,IF(MID($AB1730,5,1)="-",DATE(VALUE(LEFT($AB1730,4)),VALUE(MID($AB1730,6,2)),VALUE(RIGHT($AB1730,2))),DATE(VALUE(RIGHT($AB1730,4)),VALUE(MID($AB1730,4,2)),VALUE(LEFT($AB1730,2)))))</f>
        <v>45816</v>
      </c>
      <c r="C1730" s="61" t="n">
        <f aca="false">YEAR($B1730)</f>
        <v>2025</v>
      </c>
      <c r="D1730" s="61" t="str">
        <f aca="false">"Q"&amp;ROUNDUP(MONTH($B1730)/3,0)</f>
        <v>Q2</v>
      </c>
      <c r="E1730" s="61" t="n">
        <f aca="false">MONTH($B1730)</f>
        <v>6</v>
      </c>
      <c r="F1730" s="61" t="str">
        <f aca="false">INDEX(Parametros!$I$5:$I$16,$E1730)</f>
        <v>Jun</v>
      </c>
      <c r="G1730" s="61" t="str">
        <f aca="false">TEXT($C1730,"0000")&amp;"-"&amp;TEXT($E1730,"00")</f>
        <v>2025-06</v>
      </c>
      <c r="H1730" s="61" t="str">
        <f aca="false">INDEX(Parametros!$C$71:$C$91,MATCH(TRIM(INDEX(Datos_Origen!$C$2:$C$2459,$Z1730)),Parametros!$B$71:$B$91,0))</f>
        <v>Centro</v>
      </c>
      <c r="I1730" s="61" t="str">
        <f aca="false">IF(TRIM($AD1730)="",INDEX(Parametros!$I$20:$I$24,MATCH($H1730,Parametros!$H$20:$H$24,0)),TRIM($AD1730))</f>
        <v>Cordoba</v>
      </c>
      <c r="J1730" s="61" t="str">
        <f aca="false">INDEX(Parametros!$C$95:$C$106,MATCH(TRIM(INDEX(Datos_Origen!$E$2:$E$2459,$Z1730)),Parametros!$B$95:$B$106,0))</f>
        <v>Tienda fisica</v>
      </c>
      <c r="K1730" s="61" t="str">
        <f aca="false">INDEX(Parametros!$C$48:$C$67,MATCH(TRIM(INDEX(Datos_Origen!$F$2:$F$2459,$Z1730)),Parametros!$B$48:$B$67,0))</f>
        <v>Accesorios</v>
      </c>
      <c r="L1730" s="61" t="str">
        <f aca="false">$K1730&amp;" "&amp;$C1730</f>
        <v>Accesorios 2025</v>
      </c>
      <c r="M1730" s="61" t="str">
        <f aca="false">TRIM(INDEX(Datos_Origen!$G$2:$G$2459,$Z1730))</f>
        <v>Teclado Mecanico</v>
      </c>
      <c r="N1730" s="61" t="str">
        <f aca="false">$M1730&amp;" "&amp;$C1730</f>
        <v>Teclado Mecanico 2025</v>
      </c>
      <c r="O1730" s="63" t="n">
        <f aca="false">IF(ISTEXT($AC1730),VALUE($AC1730),$AC1730)</f>
        <v>58</v>
      </c>
      <c r="P1730" s="64" t="n">
        <f aca="false">INDEX(Datos_Origen!$I$2:$I$2459,$Z1730)</f>
        <v>94.39</v>
      </c>
      <c r="Q1730" s="64" t="n">
        <f aca="false">INDEX(Datos_Origen!$J$2:$J$2459,$Z1730)</f>
        <v>49.41</v>
      </c>
      <c r="R1730" s="65" t="n">
        <f aca="false">ROUND($O1730*$P1730,2)</f>
        <v>5474.62</v>
      </c>
      <c r="S1730" s="65" t="n">
        <f aca="false">ROUND($O1730*$Q1730,2)</f>
        <v>2865.78</v>
      </c>
      <c r="T1730" s="65" t="n">
        <f aca="false">ROUND($R1730*SUMIFS(Parametros!$E$28:$E$43,Parametros!$B$28:$B$43,$J1730,Parametros!$C$28:$C$43,$C1730,Parametros!$D$28:$D$43,$D1730),2)</f>
        <v>76.64</v>
      </c>
      <c r="U1730" s="65" t="n">
        <f aca="false">$R1730-$S1730-$T1730</f>
        <v>2532.2</v>
      </c>
      <c r="V1730" s="66" t="n">
        <f aca="false">IFERROR($U1730/$R1730,0)</f>
        <v>0.462534385948248</v>
      </c>
      <c r="W1730" s="67" t="str">
        <f aca="false">IF(AND($V1730&gt;=Parametros!$C$8,$R1730&gt;=Parametros!$C$12),"Alta rentabilidad",IF(OR($V1730&lt;Parametros!$C$11,$R1730&lt;Parametros!$C$13),"Revisar","Estandar"))</f>
        <v>Alta rentabilidad</v>
      </c>
      <c r="X1730" s="67" t="str">
        <f aca="false">IF(AND($J1730="E-commerce",IFERROR($T1730/$R1730,0)&gt;Parametros!$C$14),"Alerta","OK")</f>
        <v>OK</v>
      </c>
      <c r="Y1730" s="61" t="str">
        <f aca="false">IF($R1730&gt;=Parametros!$C$12,"Alto",IF($R1730&lt;Parametros!$C$13,"Bajo","Medio"))</f>
        <v>Alto</v>
      </c>
      <c r="Z1730" s="61" t="n">
        <v>575</v>
      </c>
      <c r="AA1730" s="61" t="str">
        <f aca="false">IF(MATCH($A1730,Datos_Origen!$A$2:$A$2459,0)=$Z1730,"OK","REVISAR")</f>
        <v>OK</v>
      </c>
      <c r="AB1730" s="62" t="n">
        <f aca="false">INDEX(Datos_Origen!$B$2:$B$2459,$Z1730)</f>
        <v>45816</v>
      </c>
      <c r="AC1730" s="61" t="str">
        <f aca="false">INDEX(Datos_Origen!$H$2:$H$2459,$Z1730)</f>
        <v>58</v>
      </c>
      <c r="AD1730" s="61" t="str">
        <f aca="false">INDEX(Datos_Origen!$D$2:$D$2459,$Z1730)&amp;""</f>
        <v/>
      </c>
    </row>
    <row r="1731" customFormat="false" ht="15" hidden="false" customHeight="false" outlineLevel="0" collapsed="false">
      <c r="A1731" s="61" t="n">
        <f aca="false">INDEX(Datos_Origen!$A$2:$A$2459,$Z1731)</f>
        <v>1730</v>
      </c>
      <c r="B1731" s="62" t="n">
        <f aca="false">IF(ISNUMBER($AB1731),$AB1731,IF(MID($AB1731,5,1)="-",DATE(VALUE(LEFT($AB1731,4)),VALUE(MID($AB1731,6,2)),VALUE(RIGHT($AB1731,2))),DATE(VALUE(RIGHT($AB1731,4)),VALUE(MID($AB1731,4,2)),VALUE(LEFT($AB1731,2)))))</f>
        <v>45823</v>
      </c>
      <c r="C1731" s="61" t="n">
        <f aca="false">YEAR($B1731)</f>
        <v>2025</v>
      </c>
      <c r="D1731" s="61" t="str">
        <f aca="false">"Q"&amp;ROUNDUP(MONTH($B1731)/3,0)</f>
        <v>Q2</v>
      </c>
      <c r="E1731" s="61" t="n">
        <f aca="false">MONTH($B1731)</f>
        <v>6</v>
      </c>
      <c r="F1731" s="61" t="str">
        <f aca="false">INDEX(Parametros!$I$5:$I$16,$E1731)</f>
        <v>Jun</v>
      </c>
      <c r="G1731" s="61" t="str">
        <f aca="false">TEXT($C1731,"0000")&amp;"-"&amp;TEXT($E1731,"00")</f>
        <v>2025-06</v>
      </c>
      <c r="H1731" s="61" t="str">
        <f aca="false">INDEX(Parametros!$C$71:$C$91,MATCH(TRIM(INDEX(Datos_Origen!$C$2:$C$2459,$Z1731)),Parametros!$B$71:$B$91,0))</f>
        <v>Centro</v>
      </c>
      <c r="I1731" s="61" t="str">
        <f aca="false">IF(TRIM($AD1731)="",INDEX(Parametros!$I$20:$I$24,MATCH($H1731,Parametros!$H$20:$H$24,0)),TRIM($AD1731))</f>
        <v>Cordoba</v>
      </c>
      <c r="J1731" s="61" t="str">
        <f aca="false">INDEX(Parametros!$C$95:$C$106,MATCH(TRIM(INDEX(Datos_Origen!$E$2:$E$2459,$Z1731)),Parametros!$B$95:$B$106,0))</f>
        <v>E-commerce</v>
      </c>
      <c r="K1731" s="61" t="str">
        <f aca="false">INDEX(Parametros!$C$48:$C$67,MATCH(TRIM(INDEX(Datos_Origen!$F$2:$F$2459,$Z1731)),Parametros!$B$48:$B$67,0))</f>
        <v>Accesorios</v>
      </c>
      <c r="L1731" s="61" t="str">
        <f aca="false">$K1731&amp;" "&amp;$C1731</f>
        <v>Accesorios 2025</v>
      </c>
      <c r="M1731" s="61" t="str">
        <f aca="false">TRIM(INDEX(Datos_Origen!$G$2:$G$2459,$Z1731))</f>
        <v>Teclado Mecanico</v>
      </c>
      <c r="N1731" s="61" t="str">
        <f aca="false">$M1731&amp;" "&amp;$C1731</f>
        <v>Teclado Mecanico 2025</v>
      </c>
      <c r="O1731" s="63" t="n">
        <f aca="false">IF(ISTEXT($AC1731),VALUE($AC1731),$AC1731)</f>
        <v>46</v>
      </c>
      <c r="P1731" s="64" t="n">
        <f aca="false">INDEX(Datos_Origen!$I$2:$I$2459,$Z1731)</f>
        <v>94.39</v>
      </c>
      <c r="Q1731" s="64" t="n">
        <f aca="false">INDEX(Datos_Origen!$J$2:$J$2459,$Z1731)</f>
        <v>49.41</v>
      </c>
      <c r="R1731" s="65" t="n">
        <f aca="false">ROUND($O1731*$P1731,2)</f>
        <v>4341.94</v>
      </c>
      <c r="S1731" s="65" t="n">
        <f aca="false">ROUND($O1731*$Q1731,2)</f>
        <v>2272.86</v>
      </c>
      <c r="T1731" s="65" t="n">
        <f aca="false">ROUND($R1731*SUMIFS(Parametros!$E$28:$E$43,Parametros!$B$28:$B$43,$J1731,Parametros!$C$28:$C$43,$C1731,Parametros!$D$28:$D$43,$D1731),2)</f>
        <v>321.3</v>
      </c>
      <c r="U1731" s="65" t="n">
        <f aca="false">$R1731-$S1731-$T1731</f>
        <v>1747.78</v>
      </c>
      <c r="V1731" s="66" t="n">
        <f aca="false">IFERROR($U1731/$R1731,0)</f>
        <v>0.40253435100439</v>
      </c>
      <c r="W1731" s="67" t="str">
        <f aca="false">IF(AND($V1731&gt;=Parametros!$C$8,$R1731&gt;=Parametros!$C$12),"Alta rentabilidad",IF(OR($V1731&lt;Parametros!$C$11,$R1731&lt;Parametros!$C$13),"Revisar","Estandar"))</f>
        <v>Alta rentabilidad</v>
      </c>
      <c r="X1731" s="67" t="str">
        <f aca="false">IF(AND($J1731="E-commerce",IFERROR($T1731/$R1731,0)&gt;Parametros!$C$14),"Alerta","OK")</f>
        <v>Alerta</v>
      </c>
      <c r="Y1731" s="61" t="str">
        <f aca="false">IF($R1731&gt;=Parametros!$C$12,"Alto",IF($R1731&lt;Parametros!$C$13,"Bajo","Medio"))</f>
        <v>Alto</v>
      </c>
      <c r="Z1731" s="61" t="n">
        <v>2005</v>
      </c>
      <c r="AA1731" s="61" t="str">
        <f aca="false">IF(MATCH($A1731,Datos_Origen!$A$2:$A$2459,0)=$Z1731,"OK","REVISAR")</f>
        <v>OK</v>
      </c>
      <c r="AB1731" s="61" t="str">
        <f aca="false">INDEX(Datos_Origen!$B$2:$B$2459,$Z1731)</f>
        <v>15/06/2025</v>
      </c>
      <c r="AC1731" s="61" t="str">
        <f aca="false">INDEX(Datos_Origen!$H$2:$H$2459,$Z1731)</f>
        <v>46</v>
      </c>
      <c r="AD1731" s="61" t="str">
        <f aca="false">INDEX(Datos_Origen!$D$2:$D$2459,$Z1731)&amp;""</f>
        <v>Cordoba</v>
      </c>
    </row>
    <row r="1732" customFormat="false" ht="15" hidden="false" customHeight="false" outlineLevel="0" collapsed="false">
      <c r="A1732" s="61" t="n">
        <f aca="false">INDEX(Datos_Origen!$A$2:$A$2459,$Z1732)</f>
        <v>1731</v>
      </c>
      <c r="B1732" s="62" t="n">
        <f aca="false">IF(ISNUMBER($AB1732),$AB1732,IF(MID($AB1732,5,1)="-",DATE(VALUE(LEFT($AB1732,4)),VALUE(MID($AB1732,6,2)),VALUE(RIGHT($AB1732,2))),DATE(VALUE(RIGHT($AB1732,4)),VALUE(MID($AB1732,4,2)),VALUE(LEFT($AB1732,2)))))</f>
        <v>45830</v>
      </c>
      <c r="C1732" s="61" t="n">
        <f aca="false">YEAR($B1732)</f>
        <v>2025</v>
      </c>
      <c r="D1732" s="61" t="str">
        <f aca="false">"Q"&amp;ROUNDUP(MONTH($B1732)/3,0)</f>
        <v>Q2</v>
      </c>
      <c r="E1732" s="61" t="n">
        <f aca="false">MONTH($B1732)</f>
        <v>6</v>
      </c>
      <c r="F1732" s="61" t="str">
        <f aca="false">INDEX(Parametros!$I$5:$I$16,$E1732)</f>
        <v>Jun</v>
      </c>
      <c r="G1732" s="61" t="str">
        <f aca="false">TEXT($C1732,"0000")&amp;"-"&amp;TEXT($E1732,"00")</f>
        <v>2025-06</v>
      </c>
      <c r="H1732" s="61" t="str">
        <f aca="false">INDEX(Parametros!$C$71:$C$91,MATCH(TRIM(INDEX(Datos_Origen!$C$2:$C$2459,$Z1732)),Parametros!$B$71:$B$91,0))</f>
        <v>Centro</v>
      </c>
      <c r="I1732" s="61" t="str">
        <f aca="false">IF(TRIM($AD1732)="",INDEX(Parametros!$I$20:$I$24,MATCH($H1732,Parametros!$H$20:$H$24,0)),TRIM($AD1732))</f>
        <v>Cordoba</v>
      </c>
      <c r="J1732" s="61" t="str">
        <f aca="false">INDEX(Parametros!$C$95:$C$106,MATCH(TRIM(INDEX(Datos_Origen!$E$2:$E$2459,$Z1732)),Parametros!$B$95:$B$106,0))</f>
        <v>Tienda fisica</v>
      </c>
      <c r="K1732" s="61" t="str">
        <f aca="false">INDEX(Parametros!$C$48:$C$67,MATCH(TRIM(INDEX(Datos_Origen!$F$2:$F$2459,$Z1732)),Parametros!$B$48:$B$67,0))</f>
        <v>Accesorios</v>
      </c>
      <c r="L1732" s="61" t="str">
        <f aca="false">$K1732&amp;" "&amp;$C1732</f>
        <v>Accesorios 2025</v>
      </c>
      <c r="M1732" s="61" t="str">
        <f aca="false">TRIM(INDEX(Datos_Origen!$G$2:$G$2459,$Z1732))</f>
        <v>Webcam Full HD</v>
      </c>
      <c r="N1732" s="61" t="str">
        <f aca="false">$M1732&amp;" "&amp;$C1732</f>
        <v>Webcam Full HD 2025</v>
      </c>
      <c r="O1732" s="63" t="n">
        <f aca="false">IF(ISTEXT($AC1732),VALUE($AC1732),$AC1732)</f>
        <v>64</v>
      </c>
      <c r="P1732" s="64" t="n">
        <f aca="false">INDEX(Datos_Origen!$I$2:$I$2459,$Z1732)</f>
        <v>64.58</v>
      </c>
      <c r="Q1732" s="64" t="n">
        <f aca="false">INDEX(Datos_Origen!$J$2:$J$2459,$Z1732)</f>
        <v>36.49</v>
      </c>
      <c r="R1732" s="65" t="n">
        <f aca="false">ROUND($O1732*$P1732,2)</f>
        <v>4133.12</v>
      </c>
      <c r="S1732" s="65" t="n">
        <f aca="false">ROUND($O1732*$Q1732,2)</f>
        <v>2335.36</v>
      </c>
      <c r="T1732" s="65" t="n">
        <f aca="false">ROUND($R1732*SUMIFS(Parametros!$E$28:$E$43,Parametros!$B$28:$B$43,$J1732,Parametros!$C$28:$C$43,$C1732,Parametros!$D$28:$D$43,$D1732),2)</f>
        <v>57.86</v>
      </c>
      <c r="U1732" s="65" t="n">
        <f aca="false">$R1732-$S1732-$T1732</f>
        <v>1739.9</v>
      </c>
      <c r="V1732" s="66" t="n">
        <f aca="false">IFERROR($U1732/$R1732,0)</f>
        <v>0.420965275627129</v>
      </c>
      <c r="W1732" s="67" t="str">
        <f aca="false">IF(AND($V1732&gt;=Parametros!$C$8,$R1732&gt;=Parametros!$C$12),"Alta rentabilidad",IF(OR($V1732&lt;Parametros!$C$11,$R1732&lt;Parametros!$C$13),"Revisar","Estandar"))</f>
        <v>Alta rentabilidad</v>
      </c>
      <c r="X1732" s="67" t="str">
        <f aca="false">IF(AND($J1732="E-commerce",IFERROR($T1732/$R1732,0)&gt;Parametros!$C$14),"Alerta","OK")</f>
        <v>OK</v>
      </c>
      <c r="Y1732" s="61" t="str">
        <f aca="false">IF($R1732&gt;=Parametros!$C$12,"Alto",IF($R1732&lt;Parametros!$C$13,"Bajo","Medio"))</f>
        <v>Alto</v>
      </c>
      <c r="Z1732" s="61" t="n">
        <v>1673</v>
      </c>
      <c r="AA1732" s="61" t="str">
        <f aca="false">IF(MATCH($A1732,Datos_Origen!$A$2:$A$2459,0)=$Z1732,"OK","REVISAR")</f>
        <v>OK</v>
      </c>
      <c r="AB1732" s="62" t="n">
        <f aca="false">INDEX(Datos_Origen!$B$2:$B$2459,$Z1732)</f>
        <v>45830</v>
      </c>
      <c r="AC1732" s="61" t="str">
        <f aca="false">INDEX(Datos_Origen!$H$2:$H$2459,$Z1732)</f>
        <v>64</v>
      </c>
      <c r="AD1732" s="61" t="str">
        <f aca="false">INDEX(Datos_Origen!$D$2:$D$2459,$Z1732)&amp;""</f>
        <v>Cordoba</v>
      </c>
    </row>
    <row r="1733" customFormat="false" ht="15" hidden="false" customHeight="false" outlineLevel="0" collapsed="false">
      <c r="A1733" s="61" t="n">
        <f aca="false">INDEX(Datos_Origen!$A$2:$A$2459,$Z1733)</f>
        <v>1732</v>
      </c>
      <c r="B1733" s="62" t="n">
        <f aca="false">IF(ISNUMBER($AB1733),$AB1733,IF(MID($AB1733,5,1)="-",DATE(VALUE(LEFT($AB1733,4)),VALUE(MID($AB1733,6,2)),VALUE(RIGHT($AB1733,2))),DATE(VALUE(RIGHT($AB1733,4)),VALUE(MID($AB1733,4,2)),VALUE(LEFT($AB1733,2)))))</f>
        <v>45810</v>
      </c>
      <c r="C1733" s="61" t="n">
        <f aca="false">YEAR($B1733)</f>
        <v>2025</v>
      </c>
      <c r="D1733" s="61" t="str">
        <f aca="false">"Q"&amp;ROUNDUP(MONTH($B1733)/3,0)</f>
        <v>Q2</v>
      </c>
      <c r="E1733" s="61" t="n">
        <f aca="false">MONTH($B1733)</f>
        <v>6</v>
      </c>
      <c r="F1733" s="61" t="str">
        <f aca="false">INDEX(Parametros!$I$5:$I$16,$E1733)</f>
        <v>Jun</v>
      </c>
      <c r="G1733" s="61" t="str">
        <f aca="false">TEXT($C1733,"0000")&amp;"-"&amp;TEXT($E1733,"00")</f>
        <v>2025-06</v>
      </c>
      <c r="H1733" s="61" t="str">
        <f aca="false">INDEX(Parametros!$C$71:$C$91,MATCH(TRIM(INDEX(Datos_Origen!$C$2:$C$2459,$Z1733)),Parametros!$B$71:$B$91,0))</f>
        <v>Centro</v>
      </c>
      <c r="I1733" s="61" t="str">
        <f aca="false">IF(TRIM($AD1733)="",INDEX(Parametros!$I$20:$I$24,MATCH($H1733,Parametros!$H$20:$H$24,0)),TRIM($AD1733))</f>
        <v>Cordoba</v>
      </c>
      <c r="J1733" s="61" t="str">
        <f aca="false">INDEX(Parametros!$C$95:$C$106,MATCH(TRIM(INDEX(Datos_Origen!$E$2:$E$2459,$Z1733)),Parametros!$B$95:$B$106,0))</f>
        <v>E-commerce</v>
      </c>
      <c r="K1733" s="61" t="str">
        <f aca="false">INDEX(Parametros!$C$48:$C$67,MATCH(TRIM(INDEX(Datos_Origen!$F$2:$F$2459,$Z1733)),Parametros!$B$48:$B$67,0))</f>
        <v>Accesorios</v>
      </c>
      <c r="L1733" s="61" t="str">
        <f aca="false">$K1733&amp;" "&amp;$C1733</f>
        <v>Accesorios 2025</v>
      </c>
      <c r="M1733" s="61" t="str">
        <f aca="false">TRIM(INDEX(Datos_Origen!$G$2:$G$2459,$Z1733))</f>
        <v>Webcam Full HD</v>
      </c>
      <c r="N1733" s="61" t="str">
        <f aca="false">$M1733&amp;" "&amp;$C1733</f>
        <v>Webcam Full HD 2025</v>
      </c>
      <c r="O1733" s="63" t="n">
        <f aca="false">IF(ISTEXT($AC1733),VALUE($AC1733),$AC1733)</f>
        <v>43</v>
      </c>
      <c r="P1733" s="64" t="n">
        <f aca="false">INDEX(Datos_Origen!$I$2:$I$2459,$Z1733)</f>
        <v>64.58</v>
      </c>
      <c r="Q1733" s="64" t="n">
        <f aca="false">INDEX(Datos_Origen!$J$2:$J$2459,$Z1733)</f>
        <v>36.49</v>
      </c>
      <c r="R1733" s="65" t="n">
        <f aca="false">ROUND($O1733*$P1733,2)</f>
        <v>2776.94</v>
      </c>
      <c r="S1733" s="65" t="n">
        <f aca="false">ROUND($O1733*$Q1733,2)</f>
        <v>1569.07</v>
      </c>
      <c r="T1733" s="65" t="n">
        <f aca="false">ROUND($R1733*SUMIFS(Parametros!$E$28:$E$43,Parametros!$B$28:$B$43,$J1733,Parametros!$C$28:$C$43,$C1733,Parametros!$D$28:$D$43,$D1733),2)</f>
        <v>205.49</v>
      </c>
      <c r="U1733" s="65" t="n">
        <f aca="false">$R1733-$S1733-$T1733</f>
        <v>1002.38</v>
      </c>
      <c r="V1733" s="66" t="n">
        <f aca="false">IFERROR($U1733/$R1733,0)</f>
        <v>0.360965667245241</v>
      </c>
      <c r="W1733" s="67" t="str">
        <f aca="false">IF(AND($V1733&gt;=Parametros!$C$8,$R1733&gt;=Parametros!$C$12),"Alta rentabilidad",IF(OR($V1733&lt;Parametros!$C$11,$R1733&lt;Parametros!$C$13),"Revisar","Estandar"))</f>
        <v>Estandar</v>
      </c>
      <c r="X1733" s="67" t="str">
        <f aca="false">IF(AND($J1733="E-commerce",IFERROR($T1733/$R1733,0)&gt;Parametros!$C$14),"Alerta","OK")</f>
        <v>Alerta</v>
      </c>
      <c r="Y1733" s="61" t="str">
        <f aca="false">IF($R1733&gt;=Parametros!$C$12,"Alto",IF($R1733&lt;Parametros!$C$13,"Bajo","Medio"))</f>
        <v>Medio</v>
      </c>
      <c r="Z1733" s="61" t="n">
        <v>2065</v>
      </c>
      <c r="AA1733" s="61" t="str">
        <f aca="false">IF(MATCH($A1733,Datos_Origen!$A$2:$A$2459,0)=$Z1733,"OK","REVISAR")</f>
        <v>OK</v>
      </c>
      <c r="AB1733" s="62" t="n">
        <f aca="false">INDEX(Datos_Origen!$B$2:$B$2459,$Z1733)</f>
        <v>45810</v>
      </c>
      <c r="AC1733" s="61" t="n">
        <f aca="false">INDEX(Datos_Origen!$H$2:$H$2459,$Z1733)</f>
        <v>43</v>
      </c>
      <c r="AD1733" s="61" t="str">
        <f aca="false">INDEX(Datos_Origen!$D$2:$D$2459,$Z1733)&amp;""</f>
        <v>Cordoba</v>
      </c>
    </row>
    <row r="1734" customFormat="false" ht="15" hidden="false" customHeight="false" outlineLevel="0" collapsed="false">
      <c r="A1734" s="61" t="n">
        <f aca="false">INDEX(Datos_Origen!$A$2:$A$2459,$Z1734)</f>
        <v>1733</v>
      </c>
      <c r="B1734" s="62" t="n">
        <f aca="false">IF(ISNUMBER($AB1734),$AB1734,IF(MID($AB1734,5,1)="-",DATE(VALUE(LEFT($AB1734,4)),VALUE(MID($AB1734,6,2)),VALUE(RIGHT($AB1734,2))),DATE(VALUE(RIGHT($AB1734,4)),VALUE(MID($AB1734,4,2)),VALUE(LEFT($AB1734,2)))))</f>
        <v>45817</v>
      </c>
      <c r="C1734" s="61" t="n">
        <f aca="false">YEAR($B1734)</f>
        <v>2025</v>
      </c>
      <c r="D1734" s="61" t="str">
        <f aca="false">"Q"&amp;ROUNDUP(MONTH($B1734)/3,0)</f>
        <v>Q2</v>
      </c>
      <c r="E1734" s="61" t="n">
        <f aca="false">MONTH($B1734)</f>
        <v>6</v>
      </c>
      <c r="F1734" s="61" t="str">
        <f aca="false">INDEX(Parametros!$I$5:$I$16,$E1734)</f>
        <v>Jun</v>
      </c>
      <c r="G1734" s="61" t="str">
        <f aca="false">TEXT($C1734,"0000")&amp;"-"&amp;TEXT($E1734,"00")</f>
        <v>2025-06</v>
      </c>
      <c r="H1734" s="61" t="str">
        <f aca="false">INDEX(Parametros!$C$71:$C$91,MATCH(TRIM(INDEX(Datos_Origen!$C$2:$C$2459,$Z1734)),Parametros!$B$71:$B$91,0))</f>
        <v>Centro</v>
      </c>
      <c r="I1734" s="61" t="str">
        <f aca="false">IF(TRIM($AD1734)="",INDEX(Parametros!$I$20:$I$24,MATCH($H1734,Parametros!$H$20:$H$24,0)),TRIM($AD1734))</f>
        <v>Cordoba</v>
      </c>
      <c r="J1734" s="61" t="str">
        <f aca="false">INDEX(Parametros!$C$95:$C$106,MATCH(TRIM(INDEX(Datos_Origen!$E$2:$E$2459,$Z1734)),Parametros!$B$95:$B$106,0))</f>
        <v>Tienda fisica</v>
      </c>
      <c r="K1734" s="61" t="str">
        <f aca="false">INDEX(Parametros!$C$48:$C$67,MATCH(TRIM(INDEX(Datos_Origen!$F$2:$F$2459,$Z1734)),Parametros!$B$48:$B$67,0))</f>
        <v>Audio</v>
      </c>
      <c r="L1734" s="61" t="str">
        <f aca="false">$K1734&amp;" "&amp;$C1734</f>
        <v>Audio 2025</v>
      </c>
      <c r="M1734" s="61" t="str">
        <f aca="false">TRIM(INDEX(Datos_Origen!$G$2:$G$2459,$Z1734))</f>
        <v>Auriculares BT Pro</v>
      </c>
      <c r="N1734" s="61" t="str">
        <f aca="false">$M1734&amp;" "&amp;$C1734</f>
        <v>Auriculares BT Pro 2025</v>
      </c>
      <c r="O1734" s="63" t="n">
        <f aca="false">IF(ISTEXT($AC1734),VALUE($AC1734),$AC1734)</f>
        <v>28</v>
      </c>
      <c r="P1734" s="64" t="n">
        <f aca="false">INDEX(Datos_Origen!$I$2:$I$2459,$Z1734)</f>
        <v>119.23</v>
      </c>
      <c r="Q1734" s="64" t="n">
        <f aca="false">INDEX(Datos_Origen!$J$2:$J$2459,$Z1734)</f>
        <v>65.51</v>
      </c>
      <c r="R1734" s="65" t="n">
        <f aca="false">ROUND($O1734*$P1734,2)</f>
        <v>3338.44</v>
      </c>
      <c r="S1734" s="65" t="n">
        <f aca="false">ROUND($O1734*$Q1734,2)</f>
        <v>1834.28</v>
      </c>
      <c r="T1734" s="65" t="n">
        <f aca="false">ROUND($R1734*SUMIFS(Parametros!$E$28:$E$43,Parametros!$B$28:$B$43,$J1734,Parametros!$C$28:$C$43,$C1734,Parametros!$D$28:$D$43,$D1734),2)</f>
        <v>46.74</v>
      </c>
      <c r="U1734" s="65" t="n">
        <f aca="false">$R1734-$S1734-$T1734</f>
        <v>1457.42</v>
      </c>
      <c r="V1734" s="66" t="n">
        <f aca="false">IFERROR($U1734/$R1734,0)</f>
        <v>0.436557194378213</v>
      </c>
      <c r="W1734" s="67" t="str">
        <f aca="false">IF(AND($V1734&gt;=Parametros!$C$8,$R1734&gt;=Parametros!$C$12),"Alta rentabilidad",IF(OR($V1734&lt;Parametros!$C$11,$R1734&lt;Parametros!$C$13),"Revisar","Estandar"))</f>
        <v>Alta rentabilidad</v>
      </c>
      <c r="X1734" s="67" t="str">
        <f aca="false">IF(AND($J1734="E-commerce",IFERROR($T1734/$R1734,0)&gt;Parametros!$C$14),"Alerta","OK")</f>
        <v>OK</v>
      </c>
      <c r="Y1734" s="61" t="str">
        <f aca="false">IF($R1734&gt;=Parametros!$C$12,"Alto",IF($R1734&lt;Parametros!$C$13,"Bajo","Medio"))</f>
        <v>Alto</v>
      </c>
      <c r="Z1734" s="61" t="n">
        <v>2179</v>
      </c>
      <c r="AA1734" s="61" t="str">
        <f aca="false">IF(MATCH($A1734,Datos_Origen!$A$2:$A$2459,0)=$Z1734,"OK","REVISAR")</f>
        <v>OK</v>
      </c>
      <c r="AB1734" s="62" t="n">
        <f aca="false">INDEX(Datos_Origen!$B$2:$B$2459,$Z1734)</f>
        <v>45817</v>
      </c>
      <c r="AC1734" s="61" t="n">
        <f aca="false">INDEX(Datos_Origen!$H$2:$H$2459,$Z1734)</f>
        <v>28</v>
      </c>
      <c r="AD1734" s="61" t="str">
        <f aca="false">INDEX(Datos_Origen!$D$2:$D$2459,$Z1734)&amp;""</f>
        <v>Cordoba</v>
      </c>
    </row>
    <row r="1735" customFormat="false" ht="15" hidden="false" customHeight="false" outlineLevel="0" collapsed="false">
      <c r="A1735" s="61" t="n">
        <f aca="false">INDEX(Datos_Origen!$A$2:$A$2459,$Z1735)</f>
        <v>1734</v>
      </c>
      <c r="B1735" s="62" t="n">
        <f aca="false">IF(ISNUMBER($AB1735),$AB1735,IF(MID($AB1735,5,1)="-",DATE(VALUE(LEFT($AB1735,4)),VALUE(MID($AB1735,6,2)),VALUE(RIGHT($AB1735,2))),DATE(VALUE(RIGHT($AB1735,4)),VALUE(MID($AB1735,4,2)),VALUE(LEFT($AB1735,2)))))</f>
        <v>45824</v>
      </c>
      <c r="C1735" s="61" t="n">
        <f aca="false">YEAR($B1735)</f>
        <v>2025</v>
      </c>
      <c r="D1735" s="61" t="str">
        <f aca="false">"Q"&amp;ROUNDUP(MONTH($B1735)/3,0)</f>
        <v>Q2</v>
      </c>
      <c r="E1735" s="61" t="n">
        <f aca="false">MONTH($B1735)</f>
        <v>6</v>
      </c>
      <c r="F1735" s="61" t="str">
        <f aca="false">INDEX(Parametros!$I$5:$I$16,$E1735)</f>
        <v>Jun</v>
      </c>
      <c r="G1735" s="61" t="str">
        <f aca="false">TEXT($C1735,"0000")&amp;"-"&amp;TEXT($E1735,"00")</f>
        <v>2025-06</v>
      </c>
      <c r="H1735" s="61" t="str">
        <f aca="false">INDEX(Parametros!$C$71:$C$91,MATCH(TRIM(INDEX(Datos_Origen!$C$2:$C$2459,$Z1735)),Parametros!$B$71:$B$91,0))</f>
        <v>Centro</v>
      </c>
      <c r="I1735" s="61" t="str">
        <f aca="false">IF(TRIM($AD1735)="",INDEX(Parametros!$I$20:$I$24,MATCH($H1735,Parametros!$H$20:$H$24,0)),TRIM($AD1735))</f>
        <v>Cordoba</v>
      </c>
      <c r="J1735" s="61" t="str">
        <f aca="false">INDEX(Parametros!$C$95:$C$106,MATCH(TRIM(INDEX(Datos_Origen!$E$2:$E$2459,$Z1735)),Parametros!$B$95:$B$106,0))</f>
        <v>E-commerce</v>
      </c>
      <c r="K1735" s="61" t="str">
        <f aca="false">INDEX(Parametros!$C$48:$C$67,MATCH(TRIM(INDEX(Datos_Origen!$F$2:$F$2459,$Z1735)),Parametros!$B$48:$B$67,0))</f>
        <v>Audio</v>
      </c>
      <c r="L1735" s="61" t="str">
        <f aca="false">$K1735&amp;" "&amp;$C1735</f>
        <v>Audio 2025</v>
      </c>
      <c r="M1735" s="61" t="str">
        <f aca="false">TRIM(INDEX(Datos_Origen!$G$2:$G$2459,$Z1735))</f>
        <v>Auriculares BT Pro</v>
      </c>
      <c r="N1735" s="61" t="str">
        <f aca="false">$M1735&amp;" "&amp;$C1735</f>
        <v>Auriculares BT Pro 2025</v>
      </c>
      <c r="O1735" s="63" t="n">
        <f aca="false">IF(ISTEXT($AC1735),VALUE($AC1735),$AC1735)</f>
        <v>16</v>
      </c>
      <c r="P1735" s="64" t="n">
        <f aca="false">INDEX(Datos_Origen!$I$2:$I$2459,$Z1735)</f>
        <v>119.23</v>
      </c>
      <c r="Q1735" s="64" t="n">
        <f aca="false">INDEX(Datos_Origen!$J$2:$J$2459,$Z1735)</f>
        <v>65.51</v>
      </c>
      <c r="R1735" s="65" t="n">
        <f aca="false">ROUND($O1735*$P1735,2)</f>
        <v>1907.68</v>
      </c>
      <c r="S1735" s="65" t="n">
        <f aca="false">ROUND($O1735*$Q1735,2)</f>
        <v>1048.16</v>
      </c>
      <c r="T1735" s="65" t="n">
        <f aca="false">ROUND($R1735*SUMIFS(Parametros!$E$28:$E$43,Parametros!$B$28:$B$43,$J1735,Parametros!$C$28:$C$43,$C1735,Parametros!$D$28:$D$43,$D1735),2)</f>
        <v>141.17</v>
      </c>
      <c r="U1735" s="65" t="n">
        <f aca="false">$R1735-$S1735-$T1735</f>
        <v>718.35</v>
      </c>
      <c r="V1735" s="66" t="n">
        <f aca="false">IFERROR($U1735/$R1735,0)</f>
        <v>0.376556864882999</v>
      </c>
      <c r="W1735" s="67" t="str">
        <f aca="false">IF(AND($V1735&gt;=Parametros!$C$8,$R1735&gt;=Parametros!$C$12),"Alta rentabilidad",IF(OR($V1735&lt;Parametros!$C$11,$R1735&lt;Parametros!$C$13),"Revisar","Estandar"))</f>
        <v>Estandar</v>
      </c>
      <c r="X1735" s="67" t="str">
        <f aca="false">IF(AND($J1735="E-commerce",IFERROR($T1735/$R1735,0)&gt;Parametros!$C$14),"Alerta","OK")</f>
        <v>Alerta</v>
      </c>
      <c r="Y1735" s="61" t="str">
        <f aca="false">IF($R1735&gt;=Parametros!$C$12,"Alto",IF($R1735&lt;Parametros!$C$13,"Bajo","Medio"))</f>
        <v>Medio</v>
      </c>
      <c r="Z1735" s="61" t="n">
        <v>2393</v>
      </c>
      <c r="AA1735" s="61" t="str">
        <f aca="false">IF(MATCH($A1735,Datos_Origen!$A$2:$A$2459,0)=$Z1735,"OK","REVISAR")</f>
        <v>OK</v>
      </c>
      <c r="AB1735" s="62" t="n">
        <f aca="false">INDEX(Datos_Origen!$B$2:$B$2459,$Z1735)</f>
        <v>45824</v>
      </c>
      <c r="AC1735" s="61" t="n">
        <f aca="false">INDEX(Datos_Origen!$H$2:$H$2459,$Z1735)</f>
        <v>16</v>
      </c>
      <c r="AD1735" s="61" t="str">
        <f aca="false">INDEX(Datos_Origen!$D$2:$D$2459,$Z1735)&amp;""</f>
        <v>Cordoba</v>
      </c>
    </row>
    <row r="1736" customFormat="false" ht="15" hidden="false" customHeight="false" outlineLevel="0" collapsed="false">
      <c r="A1736" s="61" t="n">
        <f aca="false">INDEX(Datos_Origen!$A$2:$A$2459,$Z1736)</f>
        <v>1735</v>
      </c>
      <c r="B1736" s="62" t="n">
        <f aca="false">IF(ISNUMBER($AB1736),$AB1736,IF(MID($AB1736,5,1)="-",DATE(VALUE(LEFT($AB1736,4)),VALUE(MID($AB1736,6,2)),VALUE(RIGHT($AB1736,2))),DATE(VALUE(RIGHT($AB1736,4)),VALUE(MID($AB1736,4,2)),VALUE(LEFT($AB1736,2)))))</f>
        <v>45831</v>
      </c>
      <c r="C1736" s="61" t="n">
        <f aca="false">YEAR($B1736)</f>
        <v>2025</v>
      </c>
      <c r="D1736" s="61" t="str">
        <f aca="false">"Q"&amp;ROUNDUP(MONTH($B1736)/3,0)</f>
        <v>Q2</v>
      </c>
      <c r="E1736" s="61" t="n">
        <f aca="false">MONTH($B1736)</f>
        <v>6</v>
      </c>
      <c r="F1736" s="61" t="str">
        <f aca="false">INDEX(Parametros!$I$5:$I$16,$E1736)</f>
        <v>Jun</v>
      </c>
      <c r="G1736" s="61" t="str">
        <f aca="false">TEXT($C1736,"0000")&amp;"-"&amp;TEXT($E1736,"00")</f>
        <v>2025-06</v>
      </c>
      <c r="H1736" s="61" t="str">
        <f aca="false">INDEX(Parametros!$C$71:$C$91,MATCH(TRIM(INDEX(Datos_Origen!$C$2:$C$2459,$Z1736)),Parametros!$B$71:$B$91,0))</f>
        <v>Centro</v>
      </c>
      <c r="I1736" s="61" t="str">
        <f aca="false">IF(TRIM($AD1736)="",INDEX(Parametros!$I$20:$I$24,MATCH($H1736,Parametros!$H$20:$H$24,0)),TRIM($AD1736))</f>
        <v>Cordoba</v>
      </c>
      <c r="J1736" s="61" t="str">
        <f aca="false">INDEX(Parametros!$C$95:$C$106,MATCH(TRIM(INDEX(Datos_Origen!$E$2:$E$2459,$Z1736)),Parametros!$B$95:$B$106,0))</f>
        <v>Tienda fisica</v>
      </c>
      <c r="K1736" s="61" t="str">
        <f aca="false">INDEX(Parametros!$C$48:$C$67,MATCH(TRIM(INDEX(Datos_Origen!$F$2:$F$2459,$Z1736)),Parametros!$B$48:$B$67,0))</f>
        <v>Audio</v>
      </c>
      <c r="L1736" s="61" t="str">
        <f aca="false">$K1736&amp;" "&amp;$C1736</f>
        <v>Audio 2025</v>
      </c>
      <c r="M1736" s="61" t="str">
        <f aca="false">TRIM(INDEX(Datos_Origen!$G$2:$G$2459,$Z1736))</f>
        <v>Parlante Bluetooth</v>
      </c>
      <c r="N1736" s="61" t="str">
        <f aca="false">$M1736&amp;" "&amp;$C1736</f>
        <v>Parlante Bluetooth 2025</v>
      </c>
      <c r="O1736" s="63" t="n">
        <f aca="false">IF(ISTEXT($AC1736),VALUE($AC1736),$AC1736)</f>
        <v>30</v>
      </c>
      <c r="P1736" s="64" t="n">
        <f aca="false">INDEX(Datos_Origen!$I$2:$I$2459,$Z1736)</f>
        <v>84.46</v>
      </c>
      <c r="Q1736" s="64" t="n">
        <f aca="false">INDEX(Datos_Origen!$J$2:$J$2459,$Z1736)</f>
        <v>49.47</v>
      </c>
      <c r="R1736" s="65" t="n">
        <f aca="false">ROUND($O1736*$P1736,2)</f>
        <v>2533.8</v>
      </c>
      <c r="S1736" s="65" t="n">
        <f aca="false">ROUND($O1736*$Q1736,2)</f>
        <v>1484.1</v>
      </c>
      <c r="T1736" s="65" t="n">
        <f aca="false">ROUND($R1736*SUMIFS(Parametros!$E$28:$E$43,Parametros!$B$28:$B$43,$J1736,Parametros!$C$28:$C$43,$C1736,Parametros!$D$28:$D$43,$D1736),2)</f>
        <v>35.47</v>
      </c>
      <c r="U1736" s="65" t="n">
        <f aca="false">$R1736-$S1736-$T1736</f>
        <v>1014.23</v>
      </c>
      <c r="V1736" s="66" t="n">
        <f aca="false">IFERROR($U1736/$R1736,0)</f>
        <v>0.40028021153998</v>
      </c>
      <c r="W1736" s="67" t="str">
        <f aca="false">IF(AND($V1736&gt;=Parametros!$C$8,$R1736&gt;=Parametros!$C$12),"Alta rentabilidad",IF(OR($V1736&lt;Parametros!$C$11,$R1736&lt;Parametros!$C$13),"Revisar","Estandar"))</f>
        <v>Estandar</v>
      </c>
      <c r="X1736" s="67" t="str">
        <f aca="false">IF(AND($J1736="E-commerce",IFERROR($T1736/$R1736,0)&gt;Parametros!$C$14),"Alerta","OK")</f>
        <v>OK</v>
      </c>
      <c r="Y1736" s="61" t="str">
        <f aca="false">IF($R1736&gt;=Parametros!$C$12,"Alto",IF($R1736&lt;Parametros!$C$13,"Bajo","Medio"))</f>
        <v>Medio</v>
      </c>
      <c r="Z1736" s="61" t="n">
        <v>688</v>
      </c>
      <c r="AA1736" s="61" t="str">
        <f aca="false">IF(MATCH($A1736,Datos_Origen!$A$2:$A$2459,0)=$Z1736,"OK","REVISAR")</f>
        <v>OK</v>
      </c>
      <c r="AB1736" s="62" t="n">
        <f aca="false">INDEX(Datos_Origen!$B$2:$B$2459,$Z1736)</f>
        <v>45831</v>
      </c>
      <c r="AC1736" s="61" t="n">
        <f aca="false">INDEX(Datos_Origen!$H$2:$H$2459,$Z1736)</f>
        <v>30</v>
      </c>
      <c r="AD1736" s="61" t="str">
        <f aca="false">INDEX(Datos_Origen!$D$2:$D$2459,$Z1736)&amp;""</f>
        <v>Cordoba</v>
      </c>
    </row>
    <row r="1737" customFormat="false" ht="15" hidden="false" customHeight="false" outlineLevel="0" collapsed="false">
      <c r="A1737" s="61" t="n">
        <f aca="false">INDEX(Datos_Origen!$A$2:$A$2459,$Z1737)</f>
        <v>1736</v>
      </c>
      <c r="B1737" s="62" t="n">
        <f aca="false">IF(ISNUMBER($AB1737),$AB1737,IF(MID($AB1737,5,1)="-",DATE(VALUE(LEFT($AB1737,4)),VALUE(MID($AB1737,6,2)),VALUE(RIGHT($AB1737,2))),DATE(VALUE(RIGHT($AB1737,4)),VALUE(MID($AB1737,4,2)),VALUE(LEFT($AB1737,2)))))</f>
        <v>45811</v>
      </c>
      <c r="C1737" s="61" t="n">
        <f aca="false">YEAR($B1737)</f>
        <v>2025</v>
      </c>
      <c r="D1737" s="61" t="str">
        <f aca="false">"Q"&amp;ROUNDUP(MONTH($B1737)/3,0)</f>
        <v>Q2</v>
      </c>
      <c r="E1737" s="61" t="n">
        <f aca="false">MONTH($B1737)</f>
        <v>6</v>
      </c>
      <c r="F1737" s="61" t="str">
        <f aca="false">INDEX(Parametros!$I$5:$I$16,$E1737)</f>
        <v>Jun</v>
      </c>
      <c r="G1737" s="61" t="str">
        <f aca="false">TEXT($C1737,"0000")&amp;"-"&amp;TEXT($E1737,"00")</f>
        <v>2025-06</v>
      </c>
      <c r="H1737" s="61" t="str">
        <f aca="false">INDEX(Parametros!$C$71:$C$91,MATCH(TRIM(INDEX(Datos_Origen!$C$2:$C$2459,$Z1737)),Parametros!$B$71:$B$91,0))</f>
        <v>Centro</v>
      </c>
      <c r="I1737" s="61" t="str">
        <f aca="false">IF(TRIM($AD1737)="",INDEX(Parametros!$I$20:$I$24,MATCH($H1737,Parametros!$H$20:$H$24,0)),TRIM($AD1737))</f>
        <v>Cordoba</v>
      </c>
      <c r="J1737" s="61" t="str">
        <f aca="false">INDEX(Parametros!$C$95:$C$106,MATCH(TRIM(INDEX(Datos_Origen!$E$2:$E$2459,$Z1737)),Parametros!$B$95:$B$106,0))</f>
        <v>E-commerce</v>
      </c>
      <c r="K1737" s="61" t="str">
        <f aca="false">INDEX(Parametros!$C$48:$C$67,MATCH(TRIM(INDEX(Datos_Origen!$F$2:$F$2459,$Z1737)),Parametros!$B$48:$B$67,0))</f>
        <v>Audio</v>
      </c>
      <c r="L1737" s="61" t="str">
        <f aca="false">$K1737&amp;" "&amp;$C1737</f>
        <v>Audio 2025</v>
      </c>
      <c r="M1737" s="61" t="str">
        <f aca="false">TRIM(INDEX(Datos_Origen!$G$2:$G$2459,$Z1737))</f>
        <v>Parlante Bluetooth</v>
      </c>
      <c r="N1737" s="61" t="str">
        <f aca="false">$M1737&amp;" "&amp;$C1737</f>
        <v>Parlante Bluetooth 2025</v>
      </c>
      <c r="O1737" s="63" t="n">
        <f aca="false">IF(ISTEXT($AC1737),VALUE($AC1737),$AC1737)</f>
        <v>20</v>
      </c>
      <c r="P1737" s="64" t="n">
        <f aca="false">INDEX(Datos_Origen!$I$2:$I$2459,$Z1737)</f>
        <v>84.46</v>
      </c>
      <c r="Q1737" s="64" t="n">
        <f aca="false">INDEX(Datos_Origen!$J$2:$J$2459,$Z1737)</f>
        <v>49.47</v>
      </c>
      <c r="R1737" s="65" t="n">
        <f aca="false">ROUND($O1737*$P1737,2)</f>
        <v>1689.2</v>
      </c>
      <c r="S1737" s="65" t="n">
        <f aca="false">ROUND($O1737*$Q1737,2)</f>
        <v>989.4</v>
      </c>
      <c r="T1737" s="65" t="n">
        <f aca="false">ROUND($R1737*SUMIFS(Parametros!$E$28:$E$43,Parametros!$B$28:$B$43,$J1737,Parametros!$C$28:$C$43,$C1737,Parametros!$D$28:$D$43,$D1737),2)</f>
        <v>125</v>
      </c>
      <c r="U1737" s="65" t="n">
        <f aca="false">$R1737-$S1737-$T1737</f>
        <v>574.8</v>
      </c>
      <c r="V1737" s="66" t="n">
        <f aca="false">IFERROR($U1737/$R1737,0)</f>
        <v>0.340279422211698</v>
      </c>
      <c r="W1737" s="67" t="str">
        <f aca="false">IF(AND($V1737&gt;=Parametros!$C$8,$R1737&gt;=Parametros!$C$12),"Alta rentabilidad",IF(OR($V1737&lt;Parametros!$C$11,$R1737&lt;Parametros!$C$13),"Revisar","Estandar"))</f>
        <v>Estandar</v>
      </c>
      <c r="X1737" s="67" t="str">
        <f aca="false">IF(AND($J1737="E-commerce",IFERROR($T1737/$R1737,0)&gt;Parametros!$C$14),"Alerta","OK")</f>
        <v>Alerta</v>
      </c>
      <c r="Y1737" s="61" t="str">
        <f aca="false">IF($R1737&gt;=Parametros!$C$12,"Alto",IF($R1737&lt;Parametros!$C$13,"Bajo","Medio"))</f>
        <v>Medio</v>
      </c>
      <c r="Z1737" s="61" t="n">
        <v>1660</v>
      </c>
      <c r="AA1737" s="61" t="str">
        <f aca="false">IF(MATCH($A1737,Datos_Origen!$A$2:$A$2459,0)=$Z1737,"OK","REVISAR")</f>
        <v>OK</v>
      </c>
      <c r="AB1737" s="62" t="n">
        <f aca="false">INDEX(Datos_Origen!$B$2:$B$2459,$Z1737)</f>
        <v>45811</v>
      </c>
      <c r="AC1737" s="61" t="n">
        <f aca="false">INDEX(Datos_Origen!$H$2:$H$2459,$Z1737)</f>
        <v>20</v>
      </c>
      <c r="AD1737" s="61" t="str">
        <f aca="false">INDEX(Datos_Origen!$D$2:$D$2459,$Z1737)&amp;""</f>
        <v>Cordoba</v>
      </c>
    </row>
    <row r="1738" customFormat="false" ht="15" hidden="false" customHeight="false" outlineLevel="0" collapsed="false">
      <c r="A1738" s="61" t="n">
        <f aca="false">INDEX(Datos_Origen!$A$2:$A$2459,$Z1738)</f>
        <v>1737</v>
      </c>
      <c r="B1738" s="62" t="n">
        <f aca="false">IF(ISNUMBER($AB1738),$AB1738,IF(MID($AB1738,5,1)="-",DATE(VALUE(LEFT($AB1738,4)),VALUE(MID($AB1738,6,2)),VALUE(RIGHT($AB1738,2))),DATE(VALUE(RIGHT($AB1738,4)),VALUE(MID($AB1738,4,2)),VALUE(LEFT($AB1738,2)))))</f>
        <v>45818</v>
      </c>
      <c r="C1738" s="61" t="n">
        <f aca="false">YEAR($B1738)</f>
        <v>2025</v>
      </c>
      <c r="D1738" s="61" t="str">
        <f aca="false">"Q"&amp;ROUNDUP(MONTH($B1738)/3,0)</f>
        <v>Q2</v>
      </c>
      <c r="E1738" s="61" t="n">
        <f aca="false">MONTH($B1738)</f>
        <v>6</v>
      </c>
      <c r="F1738" s="61" t="str">
        <f aca="false">INDEX(Parametros!$I$5:$I$16,$E1738)</f>
        <v>Jun</v>
      </c>
      <c r="G1738" s="61" t="str">
        <f aca="false">TEXT($C1738,"0000")&amp;"-"&amp;TEXT($E1738,"00")</f>
        <v>2025-06</v>
      </c>
      <c r="H1738" s="61" t="str">
        <f aca="false">INDEX(Parametros!$C$71:$C$91,MATCH(TRIM(INDEX(Datos_Origen!$C$2:$C$2459,$Z1738)),Parametros!$B$71:$B$91,0))</f>
        <v>Centro</v>
      </c>
      <c r="I1738" s="61" t="str">
        <f aca="false">IF(TRIM($AD1738)="",INDEX(Parametros!$I$20:$I$24,MATCH($H1738,Parametros!$H$20:$H$24,0)),TRIM($AD1738))</f>
        <v>Cordoba</v>
      </c>
      <c r="J1738" s="61" t="str">
        <f aca="false">INDEX(Parametros!$C$95:$C$106,MATCH(TRIM(INDEX(Datos_Origen!$E$2:$E$2459,$Z1738)),Parametros!$B$95:$B$106,0))</f>
        <v>Tienda fisica</v>
      </c>
      <c r="K1738" s="61" t="str">
        <f aca="false">INDEX(Parametros!$C$48:$C$67,MATCH(TRIM(INDEX(Datos_Origen!$F$2:$F$2459,$Z1738)),Parametros!$B$48:$B$67,0))</f>
        <v>Almacenamiento</v>
      </c>
      <c r="L1738" s="61" t="str">
        <f aca="false">$K1738&amp;" "&amp;$C1738</f>
        <v>Almacenamiento 2025</v>
      </c>
      <c r="M1738" s="61" t="str">
        <f aca="false">TRIM(INDEX(Datos_Origen!$G$2:$G$2459,$Z1738))</f>
        <v>SSD Externo 1TB</v>
      </c>
      <c r="N1738" s="61" t="str">
        <f aca="false">$M1738&amp;" "&amp;$C1738</f>
        <v>SSD Externo 1TB 2025</v>
      </c>
      <c r="O1738" s="63" t="n">
        <f aca="false">IF(ISTEXT($AC1738),VALUE($AC1738),$AC1738)</f>
        <v>35</v>
      </c>
      <c r="P1738" s="64" t="n">
        <f aca="false">INDEX(Datos_Origen!$I$2:$I$2459,$Z1738)</f>
        <v>129.17</v>
      </c>
      <c r="Q1738" s="64" t="n">
        <f aca="false">INDEX(Datos_Origen!$J$2:$J$2459,$Z1738)</f>
        <v>78.33</v>
      </c>
      <c r="R1738" s="65" t="n">
        <f aca="false">ROUND($O1738*$P1738,2)</f>
        <v>4520.95</v>
      </c>
      <c r="S1738" s="65" t="n">
        <f aca="false">ROUND($O1738*$Q1738,2)</f>
        <v>2741.55</v>
      </c>
      <c r="T1738" s="65" t="n">
        <f aca="false">ROUND($R1738*SUMIFS(Parametros!$E$28:$E$43,Parametros!$B$28:$B$43,$J1738,Parametros!$C$28:$C$43,$C1738,Parametros!$D$28:$D$43,$D1738),2)</f>
        <v>63.29</v>
      </c>
      <c r="U1738" s="65" t="n">
        <f aca="false">$R1738-$S1738-$T1738</f>
        <v>1716.11</v>
      </c>
      <c r="V1738" s="66" t="n">
        <f aca="false">IFERROR($U1738/$R1738,0)</f>
        <v>0.379590572777845</v>
      </c>
      <c r="W1738" s="67" t="str">
        <f aca="false">IF(AND($V1738&gt;=Parametros!$C$8,$R1738&gt;=Parametros!$C$12),"Alta rentabilidad",IF(OR($V1738&lt;Parametros!$C$11,$R1738&lt;Parametros!$C$13),"Revisar","Estandar"))</f>
        <v>Alta rentabilidad</v>
      </c>
      <c r="X1738" s="67" t="str">
        <f aca="false">IF(AND($J1738="E-commerce",IFERROR($T1738/$R1738,0)&gt;Parametros!$C$14),"Alerta","OK")</f>
        <v>OK</v>
      </c>
      <c r="Y1738" s="61" t="str">
        <f aca="false">IF($R1738&gt;=Parametros!$C$12,"Alto",IF($R1738&lt;Parametros!$C$13,"Bajo","Medio"))</f>
        <v>Alto</v>
      </c>
      <c r="Z1738" s="61" t="n">
        <v>1933</v>
      </c>
      <c r="AA1738" s="61" t="str">
        <f aca="false">IF(MATCH($A1738,Datos_Origen!$A$2:$A$2459,0)=$Z1738,"OK","REVISAR")</f>
        <v>OK</v>
      </c>
      <c r="AB1738" s="61" t="str">
        <f aca="false">INDEX(Datos_Origen!$B$2:$B$2459,$Z1738)</f>
        <v>10/06/2025</v>
      </c>
      <c r="AC1738" s="61" t="n">
        <f aca="false">INDEX(Datos_Origen!$H$2:$H$2459,$Z1738)</f>
        <v>35</v>
      </c>
      <c r="AD1738" s="61" t="str">
        <f aca="false">INDEX(Datos_Origen!$D$2:$D$2459,$Z1738)&amp;""</f>
        <v>Cordoba</v>
      </c>
    </row>
    <row r="1739" customFormat="false" ht="15" hidden="false" customHeight="false" outlineLevel="0" collapsed="false">
      <c r="A1739" s="61" t="n">
        <f aca="false">INDEX(Datos_Origen!$A$2:$A$2459,$Z1739)</f>
        <v>1738</v>
      </c>
      <c r="B1739" s="62" t="n">
        <f aca="false">IF(ISNUMBER($AB1739),$AB1739,IF(MID($AB1739,5,1)="-",DATE(VALUE(LEFT($AB1739,4)),VALUE(MID($AB1739,6,2)),VALUE(RIGHT($AB1739,2))),DATE(VALUE(RIGHT($AB1739,4)),VALUE(MID($AB1739,4,2)),VALUE(LEFT($AB1739,2)))))</f>
        <v>45825</v>
      </c>
      <c r="C1739" s="61" t="n">
        <f aca="false">YEAR($B1739)</f>
        <v>2025</v>
      </c>
      <c r="D1739" s="61" t="str">
        <f aca="false">"Q"&amp;ROUNDUP(MONTH($B1739)/3,0)</f>
        <v>Q2</v>
      </c>
      <c r="E1739" s="61" t="n">
        <f aca="false">MONTH($B1739)</f>
        <v>6</v>
      </c>
      <c r="F1739" s="61" t="str">
        <f aca="false">INDEX(Parametros!$I$5:$I$16,$E1739)</f>
        <v>Jun</v>
      </c>
      <c r="G1739" s="61" t="str">
        <f aca="false">TEXT($C1739,"0000")&amp;"-"&amp;TEXT($E1739,"00")</f>
        <v>2025-06</v>
      </c>
      <c r="H1739" s="61" t="str">
        <f aca="false">INDEX(Parametros!$C$71:$C$91,MATCH(TRIM(INDEX(Datos_Origen!$C$2:$C$2459,$Z1739)),Parametros!$B$71:$B$91,0))</f>
        <v>Centro</v>
      </c>
      <c r="I1739" s="61" t="str">
        <f aca="false">IF(TRIM($AD1739)="",INDEX(Parametros!$I$20:$I$24,MATCH($H1739,Parametros!$H$20:$H$24,0)),TRIM($AD1739))</f>
        <v>Cordoba</v>
      </c>
      <c r="J1739" s="61" t="str">
        <f aca="false">INDEX(Parametros!$C$95:$C$106,MATCH(TRIM(INDEX(Datos_Origen!$E$2:$E$2459,$Z1739)),Parametros!$B$95:$B$106,0))</f>
        <v>E-commerce</v>
      </c>
      <c r="K1739" s="61" t="str">
        <f aca="false">INDEX(Parametros!$C$48:$C$67,MATCH(TRIM(INDEX(Datos_Origen!$F$2:$F$2459,$Z1739)),Parametros!$B$48:$B$67,0))</f>
        <v>Almacenamiento</v>
      </c>
      <c r="L1739" s="61" t="str">
        <f aca="false">$K1739&amp;" "&amp;$C1739</f>
        <v>Almacenamiento 2025</v>
      </c>
      <c r="M1739" s="61" t="str">
        <f aca="false">TRIM(INDEX(Datos_Origen!$G$2:$G$2459,$Z1739))</f>
        <v>SSD Externo 1TB</v>
      </c>
      <c r="N1739" s="61" t="str">
        <f aca="false">$M1739&amp;" "&amp;$C1739</f>
        <v>SSD Externo 1TB 2025</v>
      </c>
      <c r="O1739" s="63" t="n">
        <f aca="false">IF(ISTEXT($AC1739),VALUE($AC1739),$AC1739)</f>
        <v>21</v>
      </c>
      <c r="P1739" s="64" t="n">
        <f aca="false">INDEX(Datos_Origen!$I$2:$I$2459,$Z1739)</f>
        <v>129.17</v>
      </c>
      <c r="Q1739" s="64" t="n">
        <f aca="false">INDEX(Datos_Origen!$J$2:$J$2459,$Z1739)</f>
        <v>78.33</v>
      </c>
      <c r="R1739" s="65" t="n">
        <f aca="false">ROUND($O1739*$P1739,2)</f>
        <v>2712.57</v>
      </c>
      <c r="S1739" s="65" t="n">
        <f aca="false">ROUND($O1739*$Q1739,2)</f>
        <v>1644.93</v>
      </c>
      <c r="T1739" s="65" t="n">
        <f aca="false">ROUND($R1739*SUMIFS(Parametros!$E$28:$E$43,Parametros!$B$28:$B$43,$J1739,Parametros!$C$28:$C$43,$C1739,Parametros!$D$28:$D$43,$D1739),2)</f>
        <v>200.73</v>
      </c>
      <c r="U1739" s="65" t="n">
        <f aca="false">$R1739-$S1739-$T1739</f>
        <v>866.91</v>
      </c>
      <c r="V1739" s="66" t="n">
        <f aca="false">IFERROR($U1739/$R1739,0)</f>
        <v>0.3195899092005</v>
      </c>
      <c r="W1739" s="67" t="str">
        <f aca="false">IF(AND($V1739&gt;=Parametros!$C$8,$R1739&gt;=Parametros!$C$12),"Alta rentabilidad",IF(OR($V1739&lt;Parametros!$C$11,$R1739&lt;Parametros!$C$13),"Revisar","Estandar"))</f>
        <v>Estandar</v>
      </c>
      <c r="X1739" s="67" t="str">
        <f aca="false">IF(AND($J1739="E-commerce",IFERROR($T1739/$R1739,0)&gt;Parametros!$C$14),"Alerta","OK")</f>
        <v>Alerta</v>
      </c>
      <c r="Y1739" s="61" t="str">
        <f aca="false">IF($R1739&gt;=Parametros!$C$12,"Alto",IF($R1739&lt;Parametros!$C$13,"Bajo","Medio"))</f>
        <v>Medio</v>
      </c>
      <c r="Z1739" s="61" t="n">
        <v>110</v>
      </c>
      <c r="AA1739" s="61" t="str">
        <f aca="false">IF(MATCH($A1739,Datos_Origen!$A$2:$A$2459,0)=$Z1739,"OK","REVISAR")</f>
        <v>OK</v>
      </c>
      <c r="AB1739" s="62" t="n">
        <f aca="false">INDEX(Datos_Origen!$B$2:$B$2459,$Z1739)</f>
        <v>45825</v>
      </c>
      <c r="AC1739" s="61" t="n">
        <f aca="false">INDEX(Datos_Origen!$H$2:$H$2459,$Z1739)</f>
        <v>21</v>
      </c>
      <c r="AD1739" s="61" t="str">
        <f aca="false">INDEX(Datos_Origen!$D$2:$D$2459,$Z1739)&amp;""</f>
        <v>Cordoba</v>
      </c>
    </row>
    <row r="1740" customFormat="false" ht="15" hidden="false" customHeight="false" outlineLevel="0" collapsed="false">
      <c r="A1740" s="61" t="n">
        <f aca="false">INDEX(Datos_Origen!$A$2:$A$2459,$Z1740)</f>
        <v>1739</v>
      </c>
      <c r="B1740" s="62" t="n">
        <f aca="false">IF(ISNUMBER($AB1740),$AB1740,IF(MID($AB1740,5,1)="-",DATE(VALUE(LEFT($AB1740,4)),VALUE(MID($AB1740,6,2)),VALUE(RIGHT($AB1740,2))),DATE(VALUE(RIGHT($AB1740,4)),VALUE(MID($AB1740,4,2)),VALUE(LEFT($AB1740,2)))))</f>
        <v>45832</v>
      </c>
      <c r="C1740" s="61" t="n">
        <f aca="false">YEAR($B1740)</f>
        <v>2025</v>
      </c>
      <c r="D1740" s="61" t="str">
        <f aca="false">"Q"&amp;ROUNDUP(MONTH($B1740)/3,0)</f>
        <v>Q2</v>
      </c>
      <c r="E1740" s="61" t="n">
        <f aca="false">MONTH($B1740)</f>
        <v>6</v>
      </c>
      <c r="F1740" s="61" t="str">
        <f aca="false">INDEX(Parametros!$I$5:$I$16,$E1740)</f>
        <v>Jun</v>
      </c>
      <c r="G1740" s="61" t="str">
        <f aca="false">TEXT($C1740,"0000")&amp;"-"&amp;TEXT($E1740,"00")</f>
        <v>2025-06</v>
      </c>
      <c r="H1740" s="61" t="str">
        <f aca="false">INDEX(Parametros!$C$71:$C$91,MATCH(TRIM(INDEX(Datos_Origen!$C$2:$C$2459,$Z1740)),Parametros!$B$71:$B$91,0))</f>
        <v>Centro</v>
      </c>
      <c r="I1740" s="61" t="str">
        <f aca="false">IF(TRIM($AD1740)="",INDEX(Parametros!$I$20:$I$24,MATCH($H1740,Parametros!$H$20:$H$24,0)),TRIM($AD1740))</f>
        <v>Cordoba</v>
      </c>
      <c r="J1740" s="61" t="str">
        <f aca="false">INDEX(Parametros!$C$95:$C$106,MATCH(TRIM(INDEX(Datos_Origen!$E$2:$E$2459,$Z1740)),Parametros!$B$95:$B$106,0))</f>
        <v>Tienda fisica</v>
      </c>
      <c r="K1740" s="61" t="str">
        <f aca="false">INDEX(Parametros!$C$48:$C$67,MATCH(TRIM(INDEX(Datos_Origen!$F$2:$F$2459,$Z1740)),Parametros!$B$48:$B$67,0))</f>
        <v>Almacenamiento</v>
      </c>
      <c r="L1740" s="61" t="str">
        <f aca="false">$K1740&amp;" "&amp;$C1740</f>
        <v>Almacenamiento 2025</v>
      </c>
      <c r="M1740" s="61" t="str">
        <f aca="false">TRIM(INDEX(Datos_Origen!$G$2:$G$2459,$Z1740))</f>
        <v>Pendrive 256GB</v>
      </c>
      <c r="N1740" s="61" t="str">
        <f aca="false">$M1740&amp;" "&amp;$C1740</f>
        <v>Pendrive 256GB 2025</v>
      </c>
      <c r="O1740" s="63" t="n">
        <f aca="false">IF(ISTEXT($AC1740),VALUE($AC1740),$AC1740)</f>
        <v>38</v>
      </c>
      <c r="P1740" s="64" t="n">
        <f aca="false">INDEX(Datos_Origen!$I$2:$I$2459,$Z1740)</f>
        <v>34.78</v>
      </c>
      <c r="Q1740" s="64" t="n">
        <f aca="false">INDEX(Datos_Origen!$J$2:$J$2459,$Z1740)</f>
        <v>18.39</v>
      </c>
      <c r="R1740" s="65" t="n">
        <f aca="false">ROUND($O1740*$P1740,2)</f>
        <v>1321.64</v>
      </c>
      <c r="S1740" s="65" t="n">
        <f aca="false">ROUND($O1740*$Q1740,2)</f>
        <v>698.82</v>
      </c>
      <c r="T1740" s="65" t="n">
        <f aca="false">ROUND($R1740*SUMIFS(Parametros!$E$28:$E$43,Parametros!$B$28:$B$43,$J1740,Parametros!$C$28:$C$43,$C1740,Parametros!$D$28:$D$43,$D1740),2)</f>
        <v>18.5</v>
      </c>
      <c r="U1740" s="65" t="n">
        <f aca="false">$R1740-$S1740-$T1740</f>
        <v>604.32</v>
      </c>
      <c r="V1740" s="66" t="n">
        <f aca="false">IFERROR($U1740/$R1740,0)</f>
        <v>0.457250083229926</v>
      </c>
      <c r="W1740" s="67" t="str">
        <f aca="false">IF(AND($V1740&gt;=Parametros!$C$8,$R1740&gt;=Parametros!$C$12),"Alta rentabilidad",IF(OR($V1740&lt;Parametros!$C$11,$R1740&lt;Parametros!$C$13),"Revisar","Estandar"))</f>
        <v>Estandar</v>
      </c>
      <c r="X1740" s="67" t="str">
        <f aca="false">IF(AND($J1740="E-commerce",IFERROR($T1740/$R1740,0)&gt;Parametros!$C$14),"Alerta","OK")</f>
        <v>OK</v>
      </c>
      <c r="Y1740" s="61" t="str">
        <f aca="false">IF($R1740&gt;=Parametros!$C$12,"Alto",IF($R1740&lt;Parametros!$C$13,"Bajo","Medio"))</f>
        <v>Medio</v>
      </c>
      <c r="Z1740" s="61" t="n">
        <v>1901</v>
      </c>
      <c r="AA1740" s="61" t="str">
        <f aca="false">IF(MATCH($A1740,Datos_Origen!$A$2:$A$2459,0)=$Z1740,"OK","REVISAR")</f>
        <v>OK</v>
      </c>
      <c r="AB1740" s="62" t="n">
        <f aca="false">INDEX(Datos_Origen!$B$2:$B$2459,$Z1740)</f>
        <v>45832</v>
      </c>
      <c r="AC1740" s="61" t="n">
        <f aca="false">INDEX(Datos_Origen!$H$2:$H$2459,$Z1740)</f>
        <v>38</v>
      </c>
      <c r="AD1740" s="61" t="str">
        <f aca="false">INDEX(Datos_Origen!$D$2:$D$2459,$Z1740)&amp;""</f>
        <v/>
      </c>
    </row>
    <row r="1741" customFormat="false" ht="15" hidden="false" customHeight="false" outlineLevel="0" collapsed="false">
      <c r="A1741" s="61" t="n">
        <f aca="false">INDEX(Datos_Origen!$A$2:$A$2459,$Z1741)</f>
        <v>1740</v>
      </c>
      <c r="B1741" s="62" t="n">
        <f aca="false">IF(ISNUMBER($AB1741),$AB1741,IF(MID($AB1741,5,1)="-",DATE(VALUE(LEFT($AB1741,4)),VALUE(MID($AB1741,6,2)),VALUE(RIGHT($AB1741,2))),DATE(VALUE(RIGHT($AB1741,4)),VALUE(MID($AB1741,4,2)),VALUE(LEFT($AB1741,2)))))</f>
        <v>45812</v>
      </c>
      <c r="C1741" s="61" t="n">
        <f aca="false">YEAR($B1741)</f>
        <v>2025</v>
      </c>
      <c r="D1741" s="61" t="str">
        <f aca="false">"Q"&amp;ROUNDUP(MONTH($B1741)/3,0)</f>
        <v>Q2</v>
      </c>
      <c r="E1741" s="61" t="n">
        <f aca="false">MONTH($B1741)</f>
        <v>6</v>
      </c>
      <c r="F1741" s="61" t="str">
        <f aca="false">INDEX(Parametros!$I$5:$I$16,$E1741)</f>
        <v>Jun</v>
      </c>
      <c r="G1741" s="61" t="str">
        <f aca="false">TEXT($C1741,"0000")&amp;"-"&amp;TEXT($E1741,"00")</f>
        <v>2025-06</v>
      </c>
      <c r="H1741" s="61" t="str">
        <f aca="false">INDEX(Parametros!$C$71:$C$91,MATCH(TRIM(INDEX(Datos_Origen!$C$2:$C$2459,$Z1741)),Parametros!$B$71:$B$91,0))</f>
        <v>Centro</v>
      </c>
      <c r="I1741" s="61" t="str">
        <f aca="false">IF(TRIM($AD1741)="",INDEX(Parametros!$I$20:$I$24,MATCH($H1741,Parametros!$H$20:$H$24,0)),TRIM($AD1741))</f>
        <v>Cordoba</v>
      </c>
      <c r="J1741" s="61" t="str">
        <f aca="false">INDEX(Parametros!$C$95:$C$106,MATCH(TRIM(INDEX(Datos_Origen!$E$2:$E$2459,$Z1741)),Parametros!$B$95:$B$106,0))</f>
        <v>E-commerce</v>
      </c>
      <c r="K1741" s="61" t="str">
        <f aca="false">INDEX(Parametros!$C$48:$C$67,MATCH(TRIM(INDEX(Datos_Origen!$F$2:$F$2459,$Z1741)),Parametros!$B$48:$B$67,0))</f>
        <v>Almacenamiento</v>
      </c>
      <c r="L1741" s="61" t="str">
        <f aca="false">$K1741&amp;" "&amp;$C1741</f>
        <v>Almacenamiento 2025</v>
      </c>
      <c r="M1741" s="61" t="str">
        <f aca="false">TRIM(INDEX(Datos_Origen!$G$2:$G$2459,$Z1741))</f>
        <v>Pendrive 256GB</v>
      </c>
      <c r="N1741" s="61" t="str">
        <f aca="false">$M1741&amp;" "&amp;$C1741</f>
        <v>Pendrive 256GB 2025</v>
      </c>
      <c r="O1741" s="63" t="n">
        <f aca="false">IF(ISTEXT($AC1741),VALUE($AC1741),$AC1741)</f>
        <v>23</v>
      </c>
      <c r="P1741" s="64" t="n">
        <f aca="false">INDEX(Datos_Origen!$I$2:$I$2459,$Z1741)</f>
        <v>34.78</v>
      </c>
      <c r="Q1741" s="64" t="n">
        <f aca="false">INDEX(Datos_Origen!$J$2:$J$2459,$Z1741)</f>
        <v>18.39</v>
      </c>
      <c r="R1741" s="65" t="n">
        <f aca="false">ROUND($O1741*$P1741,2)</f>
        <v>799.94</v>
      </c>
      <c r="S1741" s="65" t="n">
        <f aca="false">ROUND($O1741*$Q1741,2)</f>
        <v>422.97</v>
      </c>
      <c r="T1741" s="65" t="n">
        <f aca="false">ROUND($R1741*SUMIFS(Parametros!$E$28:$E$43,Parametros!$B$28:$B$43,$J1741,Parametros!$C$28:$C$43,$C1741,Parametros!$D$28:$D$43,$D1741),2)</f>
        <v>59.2</v>
      </c>
      <c r="U1741" s="65" t="n">
        <f aca="false">$R1741-$S1741-$T1741</f>
        <v>317.77</v>
      </c>
      <c r="V1741" s="66" t="n">
        <f aca="false">IFERROR($U1741/$R1741,0)</f>
        <v>0.397242293171988</v>
      </c>
      <c r="W1741" s="67" t="str">
        <f aca="false">IF(AND($V1741&gt;=Parametros!$C$8,$R1741&gt;=Parametros!$C$12),"Alta rentabilidad",IF(OR($V1741&lt;Parametros!$C$11,$R1741&lt;Parametros!$C$13),"Revisar","Estandar"))</f>
        <v>Estandar</v>
      </c>
      <c r="X1741" s="67" t="str">
        <f aca="false">IF(AND($J1741="E-commerce",IFERROR($T1741/$R1741,0)&gt;Parametros!$C$14),"Alerta","OK")</f>
        <v>Alerta</v>
      </c>
      <c r="Y1741" s="61" t="str">
        <f aca="false">IF($R1741&gt;=Parametros!$C$12,"Alto",IF($R1741&lt;Parametros!$C$13,"Bajo","Medio"))</f>
        <v>Medio</v>
      </c>
      <c r="Z1741" s="61" t="n">
        <v>111</v>
      </c>
      <c r="AA1741" s="61" t="str">
        <f aca="false">IF(MATCH($A1741,Datos_Origen!$A$2:$A$2459,0)=$Z1741,"OK","REVISAR")</f>
        <v>OK</v>
      </c>
      <c r="AB1741" s="61" t="str">
        <f aca="false">INDEX(Datos_Origen!$B$2:$B$2459,$Z1741)</f>
        <v>04/06/2025</v>
      </c>
      <c r="AC1741" s="61" t="str">
        <f aca="false">INDEX(Datos_Origen!$H$2:$H$2459,$Z1741)</f>
        <v>23</v>
      </c>
      <c r="AD1741" s="61" t="str">
        <f aca="false">INDEX(Datos_Origen!$D$2:$D$2459,$Z1741)&amp;""</f>
        <v>Cordoba</v>
      </c>
    </row>
    <row r="1742" customFormat="false" ht="15" hidden="false" customHeight="false" outlineLevel="0" collapsed="false">
      <c r="A1742" s="61" t="n">
        <f aca="false">INDEX(Datos_Origen!$A$2:$A$2459,$Z1742)</f>
        <v>1741</v>
      </c>
      <c r="B1742" s="62" t="n">
        <f aca="false">IF(ISNUMBER($AB1742),$AB1742,IF(MID($AB1742,5,1)="-",DATE(VALUE(LEFT($AB1742,4)),VALUE(MID($AB1742,6,2)),VALUE(RIGHT($AB1742,2))),DATE(VALUE(RIGHT($AB1742,4)),VALUE(MID($AB1742,4,2)),VALUE(LEFT($AB1742,2)))))</f>
        <v>45819</v>
      </c>
      <c r="C1742" s="61" t="n">
        <f aca="false">YEAR($B1742)</f>
        <v>2025</v>
      </c>
      <c r="D1742" s="61" t="str">
        <f aca="false">"Q"&amp;ROUNDUP(MONTH($B1742)/3,0)</f>
        <v>Q2</v>
      </c>
      <c r="E1742" s="61" t="n">
        <f aca="false">MONTH($B1742)</f>
        <v>6</v>
      </c>
      <c r="F1742" s="61" t="str">
        <f aca="false">INDEX(Parametros!$I$5:$I$16,$E1742)</f>
        <v>Jun</v>
      </c>
      <c r="G1742" s="61" t="str">
        <f aca="false">TEXT($C1742,"0000")&amp;"-"&amp;TEXT($E1742,"00")</f>
        <v>2025-06</v>
      </c>
      <c r="H1742" s="61" t="str">
        <f aca="false">INDEX(Parametros!$C$71:$C$91,MATCH(TRIM(INDEX(Datos_Origen!$C$2:$C$2459,$Z1742)),Parametros!$B$71:$B$91,0))</f>
        <v>Litoral</v>
      </c>
      <c r="I1742" s="61" t="str">
        <f aca="false">IF(TRIM($AD1742)="",INDEX(Parametros!$I$20:$I$24,MATCH($H1742,Parametros!$H$20:$H$24,0)),TRIM($AD1742))</f>
        <v>Rosario</v>
      </c>
      <c r="J1742" s="61" t="str">
        <f aca="false">INDEX(Parametros!$C$95:$C$106,MATCH(TRIM(INDEX(Datos_Origen!$E$2:$E$2459,$Z1742)),Parametros!$B$95:$B$106,0))</f>
        <v>Tienda fisica</v>
      </c>
      <c r="K1742" s="61" t="str">
        <f aca="false">INDEX(Parametros!$C$48:$C$67,MATCH(TRIM(INDEX(Datos_Origen!$F$2:$F$2459,$Z1742)),Parametros!$B$48:$B$67,0))</f>
        <v>Computacion</v>
      </c>
      <c r="L1742" s="61" t="str">
        <f aca="false">$K1742&amp;" "&amp;$C1742</f>
        <v>Computacion 2025</v>
      </c>
      <c r="M1742" s="61" t="str">
        <f aca="false">TRIM(INDEX(Datos_Origen!$G$2:$G$2459,$Z1742))</f>
        <v>Laptop Pro 15</v>
      </c>
      <c r="N1742" s="61" t="str">
        <f aca="false">$M1742&amp;" "&amp;$C1742</f>
        <v>Laptop Pro 15 2025</v>
      </c>
      <c r="O1742" s="63" t="n">
        <f aca="false">IF(ISTEXT($AC1742),VALUE($AC1742),$AC1742)</f>
        <v>8</v>
      </c>
      <c r="P1742" s="64" t="n">
        <f aca="false">INDEX(Datos_Origen!$I$2:$I$2459,$Z1742)</f>
        <v>1155.06</v>
      </c>
      <c r="Q1742" s="64" t="n">
        <f aca="false">INDEX(Datos_Origen!$J$2:$J$2459,$Z1742)</f>
        <v>766.32</v>
      </c>
      <c r="R1742" s="65" t="n">
        <f aca="false">ROUND($O1742*$P1742,2)</f>
        <v>9240.48</v>
      </c>
      <c r="S1742" s="65" t="n">
        <f aca="false">ROUND($O1742*$Q1742,2)</f>
        <v>6130.56</v>
      </c>
      <c r="T1742" s="65" t="n">
        <f aca="false">ROUND($R1742*SUMIFS(Parametros!$E$28:$E$43,Parametros!$B$28:$B$43,$J1742,Parametros!$C$28:$C$43,$C1742,Parametros!$D$28:$D$43,$D1742),2)</f>
        <v>129.37</v>
      </c>
      <c r="U1742" s="65" t="n">
        <f aca="false">$R1742-$S1742-$T1742</f>
        <v>2980.55</v>
      </c>
      <c r="V1742" s="66" t="n">
        <f aca="false">IFERROR($U1742/$R1742,0)</f>
        <v>0.322553590289682</v>
      </c>
      <c r="W1742" s="67" t="str">
        <f aca="false">IF(AND($V1742&gt;=Parametros!$C$8,$R1742&gt;=Parametros!$C$12),"Alta rentabilidad",IF(OR($V1742&lt;Parametros!$C$11,$R1742&lt;Parametros!$C$13),"Revisar","Estandar"))</f>
        <v>Estandar</v>
      </c>
      <c r="X1742" s="67" t="str">
        <f aca="false">IF(AND($J1742="E-commerce",IFERROR($T1742/$R1742,0)&gt;Parametros!$C$14),"Alerta","OK")</f>
        <v>OK</v>
      </c>
      <c r="Y1742" s="61" t="str">
        <f aca="false">IF($R1742&gt;=Parametros!$C$12,"Alto",IF($R1742&lt;Parametros!$C$13,"Bajo","Medio"))</f>
        <v>Alto</v>
      </c>
      <c r="Z1742" s="61" t="n">
        <v>1039</v>
      </c>
      <c r="AA1742" s="61" t="str">
        <f aca="false">IF(MATCH($A1742,Datos_Origen!$A$2:$A$2459,0)=$Z1742,"OK","REVISAR")</f>
        <v>OK</v>
      </c>
      <c r="AB1742" s="61" t="str">
        <f aca="false">INDEX(Datos_Origen!$B$2:$B$2459,$Z1742)</f>
        <v>11/06/2025</v>
      </c>
      <c r="AC1742" s="61" t="n">
        <f aca="false">INDEX(Datos_Origen!$H$2:$H$2459,$Z1742)</f>
        <v>8</v>
      </c>
      <c r="AD1742" s="61" t="str">
        <f aca="false">INDEX(Datos_Origen!$D$2:$D$2459,$Z1742)&amp;""</f>
        <v>Rosario</v>
      </c>
    </row>
    <row r="1743" customFormat="false" ht="15" hidden="false" customHeight="false" outlineLevel="0" collapsed="false">
      <c r="A1743" s="61" t="n">
        <f aca="false">INDEX(Datos_Origen!$A$2:$A$2459,$Z1743)</f>
        <v>1742</v>
      </c>
      <c r="B1743" s="62" t="n">
        <f aca="false">IF(ISNUMBER($AB1743),$AB1743,IF(MID($AB1743,5,1)="-",DATE(VALUE(LEFT($AB1743,4)),VALUE(MID($AB1743,6,2)),VALUE(RIGHT($AB1743,2))),DATE(VALUE(RIGHT($AB1743,4)),VALUE(MID($AB1743,4,2)),VALUE(LEFT($AB1743,2)))))</f>
        <v>45826</v>
      </c>
      <c r="C1743" s="61" t="n">
        <f aca="false">YEAR($B1743)</f>
        <v>2025</v>
      </c>
      <c r="D1743" s="61" t="str">
        <f aca="false">"Q"&amp;ROUNDUP(MONTH($B1743)/3,0)</f>
        <v>Q2</v>
      </c>
      <c r="E1743" s="61" t="n">
        <f aca="false">MONTH($B1743)</f>
        <v>6</v>
      </c>
      <c r="F1743" s="61" t="str">
        <f aca="false">INDEX(Parametros!$I$5:$I$16,$E1743)</f>
        <v>Jun</v>
      </c>
      <c r="G1743" s="61" t="str">
        <f aca="false">TEXT($C1743,"0000")&amp;"-"&amp;TEXT($E1743,"00")</f>
        <v>2025-06</v>
      </c>
      <c r="H1743" s="61" t="str">
        <f aca="false">INDEX(Parametros!$C$71:$C$91,MATCH(TRIM(INDEX(Datos_Origen!$C$2:$C$2459,$Z1743)),Parametros!$B$71:$B$91,0))</f>
        <v>Litoral</v>
      </c>
      <c r="I1743" s="61" t="str">
        <f aca="false">IF(TRIM($AD1743)="",INDEX(Parametros!$I$20:$I$24,MATCH($H1743,Parametros!$H$20:$H$24,0)),TRIM($AD1743))</f>
        <v>Rosario</v>
      </c>
      <c r="J1743" s="61" t="str">
        <f aca="false">INDEX(Parametros!$C$95:$C$106,MATCH(TRIM(INDEX(Datos_Origen!$E$2:$E$2459,$Z1743)),Parametros!$B$95:$B$106,0))</f>
        <v>E-commerce</v>
      </c>
      <c r="K1743" s="61" t="str">
        <f aca="false">INDEX(Parametros!$C$48:$C$67,MATCH(TRIM(INDEX(Datos_Origen!$F$2:$F$2459,$Z1743)),Parametros!$B$48:$B$67,0))</f>
        <v>Computacion</v>
      </c>
      <c r="L1743" s="61" t="str">
        <f aca="false">$K1743&amp;" "&amp;$C1743</f>
        <v>Computacion 2025</v>
      </c>
      <c r="M1743" s="61" t="str">
        <f aca="false">TRIM(INDEX(Datos_Origen!$G$2:$G$2459,$Z1743))</f>
        <v>Laptop Pro 15</v>
      </c>
      <c r="N1743" s="61" t="str">
        <f aca="false">$M1743&amp;" "&amp;$C1743</f>
        <v>Laptop Pro 15 2025</v>
      </c>
      <c r="O1743" s="63" t="n">
        <f aca="false">IF(ISTEXT($AC1743),VALUE($AC1743),$AC1743)</f>
        <v>6</v>
      </c>
      <c r="P1743" s="64" t="n">
        <f aca="false">INDEX(Datos_Origen!$I$2:$I$2459,$Z1743)</f>
        <v>1155.06</v>
      </c>
      <c r="Q1743" s="64" t="n">
        <f aca="false">INDEX(Datos_Origen!$J$2:$J$2459,$Z1743)</f>
        <v>766.32</v>
      </c>
      <c r="R1743" s="65" t="n">
        <f aca="false">ROUND($O1743*$P1743,2)</f>
        <v>6930.36</v>
      </c>
      <c r="S1743" s="65" t="n">
        <f aca="false">ROUND($O1743*$Q1743,2)</f>
        <v>4597.92</v>
      </c>
      <c r="T1743" s="65" t="n">
        <f aca="false">ROUND($R1743*SUMIFS(Parametros!$E$28:$E$43,Parametros!$B$28:$B$43,$J1743,Parametros!$C$28:$C$43,$C1743,Parametros!$D$28:$D$43,$D1743),2)</f>
        <v>512.85</v>
      </c>
      <c r="U1743" s="65" t="n">
        <f aca="false">$R1743-$S1743-$T1743</f>
        <v>1819.59</v>
      </c>
      <c r="V1743" s="66" t="n">
        <f aca="false">IFERROR($U1743/$R1743,0)</f>
        <v>0.262553460426298</v>
      </c>
      <c r="W1743" s="67" t="str">
        <f aca="false">IF(AND($V1743&gt;=Parametros!$C$8,$R1743&gt;=Parametros!$C$12),"Alta rentabilidad",IF(OR($V1743&lt;Parametros!$C$11,$R1743&lt;Parametros!$C$13),"Revisar","Estandar"))</f>
        <v>Revisar</v>
      </c>
      <c r="X1743" s="67" t="str">
        <f aca="false">IF(AND($J1743="E-commerce",IFERROR($T1743/$R1743,0)&gt;Parametros!$C$14),"Alerta","OK")</f>
        <v>Alerta</v>
      </c>
      <c r="Y1743" s="61" t="str">
        <f aca="false">IF($R1743&gt;=Parametros!$C$12,"Alto",IF($R1743&lt;Parametros!$C$13,"Bajo","Medio"))</f>
        <v>Alto</v>
      </c>
      <c r="Z1743" s="61" t="n">
        <v>1024</v>
      </c>
      <c r="AA1743" s="61" t="str">
        <f aca="false">IF(MATCH($A1743,Datos_Origen!$A$2:$A$2459,0)=$Z1743,"OK","REVISAR")</f>
        <v>OK</v>
      </c>
      <c r="AB1743" s="62" t="n">
        <f aca="false">INDEX(Datos_Origen!$B$2:$B$2459,$Z1743)</f>
        <v>45826</v>
      </c>
      <c r="AC1743" s="61" t="n">
        <f aca="false">INDEX(Datos_Origen!$H$2:$H$2459,$Z1743)</f>
        <v>6</v>
      </c>
      <c r="AD1743" s="61" t="str">
        <f aca="false">INDEX(Datos_Origen!$D$2:$D$2459,$Z1743)&amp;""</f>
        <v>Rosario</v>
      </c>
    </row>
    <row r="1744" customFormat="false" ht="15" hidden="false" customHeight="false" outlineLevel="0" collapsed="false">
      <c r="A1744" s="61" t="n">
        <f aca="false">INDEX(Datos_Origen!$A$2:$A$2459,$Z1744)</f>
        <v>1743</v>
      </c>
      <c r="B1744" s="62" t="n">
        <f aca="false">IF(ISNUMBER($AB1744),$AB1744,IF(MID($AB1744,5,1)="-",DATE(VALUE(LEFT($AB1744,4)),VALUE(MID($AB1744,6,2)),VALUE(RIGHT($AB1744,2))),DATE(VALUE(RIGHT($AB1744,4)),VALUE(MID($AB1744,4,2)),VALUE(LEFT($AB1744,2)))))</f>
        <v>45833</v>
      </c>
      <c r="C1744" s="61" t="n">
        <f aca="false">YEAR($B1744)</f>
        <v>2025</v>
      </c>
      <c r="D1744" s="61" t="str">
        <f aca="false">"Q"&amp;ROUNDUP(MONTH($B1744)/3,0)</f>
        <v>Q2</v>
      </c>
      <c r="E1744" s="61" t="n">
        <f aca="false">MONTH($B1744)</f>
        <v>6</v>
      </c>
      <c r="F1744" s="61" t="str">
        <f aca="false">INDEX(Parametros!$I$5:$I$16,$E1744)</f>
        <v>Jun</v>
      </c>
      <c r="G1744" s="61" t="str">
        <f aca="false">TEXT($C1744,"0000")&amp;"-"&amp;TEXT($E1744,"00")</f>
        <v>2025-06</v>
      </c>
      <c r="H1744" s="61" t="str">
        <f aca="false">INDEX(Parametros!$C$71:$C$91,MATCH(TRIM(INDEX(Datos_Origen!$C$2:$C$2459,$Z1744)),Parametros!$B$71:$B$91,0))</f>
        <v>Litoral</v>
      </c>
      <c r="I1744" s="61" t="str">
        <f aca="false">IF(TRIM($AD1744)="",INDEX(Parametros!$I$20:$I$24,MATCH($H1744,Parametros!$H$20:$H$24,0)),TRIM($AD1744))</f>
        <v>Rosario</v>
      </c>
      <c r="J1744" s="61" t="str">
        <f aca="false">INDEX(Parametros!$C$95:$C$106,MATCH(TRIM(INDEX(Datos_Origen!$E$2:$E$2459,$Z1744)),Parametros!$B$95:$B$106,0))</f>
        <v>Tienda fisica</v>
      </c>
      <c r="K1744" s="61" t="str">
        <f aca="false">INDEX(Parametros!$C$48:$C$67,MATCH(TRIM(INDEX(Datos_Origen!$F$2:$F$2459,$Z1744)),Parametros!$B$48:$B$67,0))</f>
        <v>Computacion</v>
      </c>
      <c r="L1744" s="61" t="str">
        <f aca="false">$K1744&amp;" "&amp;$C1744</f>
        <v>Computacion 2025</v>
      </c>
      <c r="M1744" s="61" t="str">
        <f aca="false">TRIM(INDEX(Datos_Origen!$G$2:$G$2459,$Z1744))</f>
        <v>Monitor 4K 27</v>
      </c>
      <c r="N1744" s="61" t="str">
        <f aca="false">$M1744&amp;" "&amp;$C1744</f>
        <v>Monitor 4K 27 2025</v>
      </c>
      <c r="O1744" s="63" t="n">
        <f aca="false">IF(ISTEXT($AC1744),VALUE($AC1744),$AC1744)</f>
        <v>8</v>
      </c>
      <c r="P1744" s="64" t="n">
        <f aca="false">INDEX(Datos_Origen!$I$2:$I$2459,$Z1744)</f>
        <v>433.15</v>
      </c>
      <c r="Q1744" s="64" t="n">
        <f aca="false">INDEX(Datos_Origen!$J$2:$J$2459,$Z1744)</f>
        <v>280.42</v>
      </c>
      <c r="R1744" s="65" t="n">
        <f aca="false">ROUND($O1744*$P1744,2)</f>
        <v>3465.2</v>
      </c>
      <c r="S1744" s="65" t="n">
        <f aca="false">ROUND($O1744*$Q1744,2)</f>
        <v>2243.36</v>
      </c>
      <c r="T1744" s="65" t="n">
        <f aca="false">ROUND($R1744*SUMIFS(Parametros!$E$28:$E$43,Parametros!$B$28:$B$43,$J1744,Parametros!$C$28:$C$43,$C1744,Parametros!$D$28:$D$43,$D1744),2)</f>
        <v>48.51</v>
      </c>
      <c r="U1744" s="65" t="n">
        <f aca="false">$R1744-$S1744-$T1744</f>
        <v>1173.33</v>
      </c>
      <c r="V1744" s="66" t="n">
        <f aca="false">IFERROR($U1744/$R1744,0)</f>
        <v>0.338603832390627</v>
      </c>
      <c r="W1744" s="67" t="str">
        <f aca="false">IF(AND($V1744&gt;=Parametros!$C$8,$R1744&gt;=Parametros!$C$12),"Alta rentabilidad",IF(OR($V1744&lt;Parametros!$C$11,$R1744&lt;Parametros!$C$13),"Revisar","Estandar"))</f>
        <v>Estandar</v>
      </c>
      <c r="X1744" s="67" t="str">
        <f aca="false">IF(AND($J1744="E-commerce",IFERROR($T1744/$R1744,0)&gt;Parametros!$C$14),"Alerta","OK")</f>
        <v>OK</v>
      </c>
      <c r="Y1744" s="61" t="str">
        <f aca="false">IF($R1744&gt;=Parametros!$C$12,"Alto",IF($R1744&lt;Parametros!$C$13,"Bajo","Medio"))</f>
        <v>Alto</v>
      </c>
      <c r="Z1744" s="61" t="n">
        <v>230</v>
      </c>
      <c r="AA1744" s="61" t="str">
        <f aca="false">IF(MATCH($A1744,Datos_Origen!$A$2:$A$2459,0)=$Z1744,"OK","REVISAR")</f>
        <v>OK</v>
      </c>
      <c r="AB1744" s="62" t="n">
        <f aca="false">INDEX(Datos_Origen!$B$2:$B$2459,$Z1744)</f>
        <v>45833</v>
      </c>
      <c r="AC1744" s="61" t="n">
        <f aca="false">INDEX(Datos_Origen!$H$2:$H$2459,$Z1744)</f>
        <v>8</v>
      </c>
      <c r="AD1744" s="61" t="str">
        <f aca="false">INDEX(Datos_Origen!$D$2:$D$2459,$Z1744)&amp;""</f>
        <v>Rosario</v>
      </c>
    </row>
    <row r="1745" customFormat="false" ht="15" hidden="false" customHeight="false" outlineLevel="0" collapsed="false">
      <c r="A1745" s="61" t="n">
        <f aca="false">INDEX(Datos_Origen!$A$2:$A$2459,$Z1745)</f>
        <v>1744</v>
      </c>
      <c r="B1745" s="62" t="n">
        <f aca="false">IF(ISNUMBER($AB1745),$AB1745,IF(MID($AB1745,5,1)="-",DATE(VALUE(LEFT($AB1745,4)),VALUE(MID($AB1745,6,2)),VALUE(RIGHT($AB1745,2))),DATE(VALUE(RIGHT($AB1745,4)),VALUE(MID($AB1745,4,2)),VALUE(LEFT($AB1745,2)))))</f>
        <v>45813</v>
      </c>
      <c r="C1745" s="61" t="n">
        <f aca="false">YEAR($B1745)</f>
        <v>2025</v>
      </c>
      <c r="D1745" s="61" t="str">
        <f aca="false">"Q"&amp;ROUNDUP(MONTH($B1745)/3,0)</f>
        <v>Q2</v>
      </c>
      <c r="E1745" s="61" t="n">
        <f aca="false">MONTH($B1745)</f>
        <v>6</v>
      </c>
      <c r="F1745" s="61" t="str">
        <f aca="false">INDEX(Parametros!$I$5:$I$16,$E1745)</f>
        <v>Jun</v>
      </c>
      <c r="G1745" s="61" t="str">
        <f aca="false">TEXT($C1745,"0000")&amp;"-"&amp;TEXT($E1745,"00")</f>
        <v>2025-06</v>
      </c>
      <c r="H1745" s="61" t="str">
        <f aca="false">INDEX(Parametros!$C$71:$C$91,MATCH(TRIM(INDEX(Datos_Origen!$C$2:$C$2459,$Z1745)),Parametros!$B$71:$B$91,0))</f>
        <v>Litoral</v>
      </c>
      <c r="I1745" s="61" t="str">
        <f aca="false">IF(TRIM($AD1745)="",INDEX(Parametros!$I$20:$I$24,MATCH($H1745,Parametros!$H$20:$H$24,0)),TRIM($AD1745))</f>
        <v>Rosario</v>
      </c>
      <c r="J1745" s="61" t="str">
        <f aca="false">INDEX(Parametros!$C$95:$C$106,MATCH(TRIM(INDEX(Datos_Origen!$E$2:$E$2459,$Z1745)),Parametros!$B$95:$B$106,0))</f>
        <v>E-commerce</v>
      </c>
      <c r="K1745" s="61" t="str">
        <f aca="false">INDEX(Parametros!$C$48:$C$67,MATCH(TRIM(INDEX(Datos_Origen!$F$2:$F$2459,$Z1745)),Parametros!$B$48:$B$67,0))</f>
        <v>Computacion</v>
      </c>
      <c r="L1745" s="61" t="str">
        <f aca="false">$K1745&amp;" "&amp;$C1745</f>
        <v>Computacion 2025</v>
      </c>
      <c r="M1745" s="61" t="str">
        <f aca="false">TRIM(INDEX(Datos_Origen!$G$2:$G$2459,$Z1745))</f>
        <v>Monitor 4K 27</v>
      </c>
      <c r="N1745" s="61" t="str">
        <f aca="false">$M1745&amp;" "&amp;$C1745</f>
        <v>Monitor 4K 27 2025</v>
      </c>
      <c r="O1745" s="63" t="n">
        <f aca="false">IF(ISTEXT($AC1745),VALUE($AC1745),$AC1745)</f>
        <v>6</v>
      </c>
      <c r="P1745" s="64" t="n">
        <f aca="false">INDEX(Datos_Origen!$I$2:$I$2459,$Z1745)</f>
        <v>433.15</v>
      </c>
      <c r="Q1745" s="64" t="n">
        <f aca="false">INDEX(Datos_Origen!$J$2:$J$2459,$Z1745)</f>
        <v>280.42</v>
      </c>
      <c r="R1745" s="65" t="n">
        <f aca="false">ROUND($O1745*$P1745,2)</f>
        <v>2598.9</v>
      </c>
      <c r="S1745" s="65" t="n">
        <f aca="false">ROUND($O1745*$Q1745,2)</f>
        <v>1682.52</v>
      </c>
      <c r="T1745" s="65" t="n">
        <f aca="false">ROUND($R1745*SUMIFS(Parametros!$E$28:$E$43,Parametros!$B$28:$B$43,$J1745,Parametros!$C$28:$C$43,$C1745,Parametros!$D$28:$D$43,$D1745),2)</f>
        <v>192.32</v>
      </c>
      <c r="U1745" s="65" t="n">
        <f aca="false">$R1745-$S1745-$T1745</f>
        <v>724.06</v>
      </c>
      <c r="V1745" s="66" t="n">
        <f aca="false">IFERROR($U1745/$R1745,0)</f>
        <v>0.278602485667013</v>
      </c>
      <c r="W1745" s="67" t="str">
        <f aca="false">IF(AND($V1745&gt;=Parametros!$C$8,$R1745&gt;=Parametros!$C$12),"Alta rentabilidad",IF(OR($V1745&lt;Parametros!$C$11,$R1745&lt;Parametros!$C$13),"Revisar","Estandar"))</f>
        <v>Revisar</v>
      </c>
      <c r="X1745" s="67" t="str">
        <f aca="false">IF(AND($J1745="E-commerce",IFERROR($T1745/$R1745,0)&gt;Parametros!$C$14),"Alerta","OK")</f>
        <v>Alerta</v>
      </c>
      <c r="Y1745" s="61" t="str">
        <f aca="false">IF($R1745&gt;=Parametros!$C$12,"Alto",IF($R1745&lt;Parametros!$C$13,"Bajo","Medio"))</f>
        <v>Medio</v>
      </c>
      <c r="Z1745" s="61" t="n">
        <v>723</v>
      </c>
      <c r="AA1745" s="61" t="str">
        <f aca="false">IF(MATCH($A1745,Datos_Origen!$A$2:$A$2459,0)=$Z1745,"OK","REVISAR")</f>
        <v>OK</v>
      </c>
      <c r="AB1745" s="61" t="str">
        <f aca="false">INDEX(Datos_Origen!$B$2:$B$2459,$Z1745)</f>
        <v>05/06/2025</v>
      </c>
      <c r="AC1745" s="61" t="n">
        <f aca="false">INDEX(Datos_Origen!$H$2:$H$2459,$Z1745)</f>
        <v>6</v>
      </c>
      <c r="AD1745" s="61" t="str">
        <f aca="false">INDEX(Datos_Origen!$D$2:$D$2459,$Z1745)&amp;""</f>
        <v>Rosario</v>
      </c>
    </row>
    <row r="1746" customFormat="false" ht="15" hidden="false" customHeight="false" outlineLevel="0" collapsed="false">
      <c r="A1746" s="61" t="n">
        <f aca="false">INDEX(Datos_Origen!$A$2:$A$2459,$Z1746)</f>
        <v>1745</v>
      </c>
      <c r="B1746" s="62" t="n">
        <f aca="false">IF(ISNUMBER($AB1746),$AB1746,IF(MID($AB1746,5,1)="-",DATE(VALUE(LEFT($AB1746,4)),VALUE(MID($AB1746,6,2)),VALUE(RIGHT($AB1746,2))),DATE(VALUE(RIGHT($AB1746,4)),VALUE(MID($AB1746,4,2)),VALUE(LEFT($AB1746,2)))))</f>
        <v>45820</v>
      </c>
      <c r="C1746" s="61" t="n">
        <f aca="false">YEAR($B1746)</f>
        <v>2025</v>
      </c>
      <c r="D1746" s="61" t="str">
        <f aca="false">"Q"&amp;ROUNDUP(MONTH($B1746)/3,0)</f>
        <v>Q2</v>
      </c>
      <c r="E1746" s="61" t="n">
        <f aca="false">MONTH($B1746)</f>
        <v>6</v>
      </c>
      <c r="F1746" s="61" t="str">
        <f aca="false">INDEX(Parametros!$I$5:$I$16,$E1746)</f>
        <v>Jun</v>
      </c>
      <c r="G1746" s="61" t="str">
        <f aca="false">TEXT($C1746,"0000")&amp;"-"&amp;TEXT($E1746,"00")</f>
        <v>2025-06</v>
      </c>
      <c r="H1746" s="61" t="str">
        <f aca="false">INDEX(Parametros!$C$71:$C$91,MATCH(TRIM(INDEX(Datos_Origen!$C$2:$C$2459,$Z1746)),Parametros!$B$71:$B$91,0))</f>
        <v>Litoral</v>
      </c>
      <c r="I1746" s="61" t="str">
        <f aca="false">IF(TRIM($AD1746)="",INDEX(Parametros!$I$20:$I$24,MATCH($H1746,Parametros!$H$20:$H$24,0)),TRIM($AD1746))</f>
        <v>Rosario</v>
      </c>
      <c r="J1746" s="61" t="str">
        <f aca="false">INDEX(Parametros!$C$95:$C$106,MATCH(TRIM(INDEX(Datos_Origen!$E$2:$E$2459,$Z1746)),Parametros!$B$95:$B$106,0))</f>
        <v>Tienda fisica</v>
      </c>
      <c r="K1746" s="61" t="str">
        <f aca="false">INDEX(Parametros!$C$48:$C$67,MATCH(TRIM(INDEX(Datos_Origen!$F$2:$F$2459,$Z1746)),Parametros!$B$48:$B$67,0))</f>
        <v>Computacion</v>
      </c>
      <c r="L1746" s="61" t="str">
        <f aca="false">$K1746&amp;" "&amp;$C1746</f>
        <v>Computacion 2025</v>
      </c>
      <c r="M1746" s="61" t="str">
        <f aca="false">TRIM(INDEX(Datos_Origen!$G$2:$G$2459,$Z1746))</f>
        <v>PC Gamer Ryzen</v>
      </c>
      <c r="N1746" s="61" t="str">
        <f aca="false">$M1746&amp;" "&amp;$C1746</f>
        <v>PC Gamer Ryzen 2025</v>
      </c>
      <c r="O1746" s="63" t="n">
        <f aca="false">IF(ISTEXT($AC1746),VALUE($AC1746),$AC1746)</f>
        <v>10</v>
      </c>
      <c r="P1746" s="64" t="n">
        <f aca="false">INDEX(Datos_Origen!$I$2:$I$2459,$Z1746)</f>
        <v>1588.21</v>
      </c>
      <c r="Q1746" s="64" t="n">
        <f aca="false">INDEX(Datos_Origen!$J$2:$J$2459,$Z1746)</f>
        <v>1155.66</v>
      </c>
      <c r="R1746" s="65" t="n">
        <f aca="false">ROUND($O1746*$P1746,2)</f>
        <v>15882.1</v>
      </c>
      <c r="S1746" s="65" t="n">
        <f aca="false">ROUND($O1746*$Q1746,2)</f>
        <v>11556.6</v>
      </c>
      <c r="T1746" s="65" t="n">
        <f aca="false">ROUND($R1746*SUMIFS(Parametros!$E$28:$E$43,Parametros!$B$28:$B$43,$J1746,Parametros!$C$28:$C$43,$C1746,Parametros!$D$28:$D$43,$D1746),2)</f>
        <v>222.35</v>
      </c>
      <c r="U1746" s="65" t="n">
        <f aca="false">$R1746-$S1746-$T1746</f>
        <v>4103.15</v>
      </c>
      <c r="V1746" s="66" t="n">
        <f aca="false">IFERROR($U1746/$R1746,0)</f>
        <v>0.258350595953936</v>
      </c>
      <c r="W1746" s="67" t="str">
        <f aca="false">IF(AND($V1746&gt;=Parametros!$C$8,$R1746&gt;=Parametros!$C$12),"Alta rentabilidad",IF(OR($V1746&lt;Parametros!$C$11,$R1746&lt;Parametros!$C$13),"Revisar","Estandar"))</f>
        <v>Revisar</v>
      </c>
      <c r="X1746" s="67" t="str">
        <f aca="false">IF(AND($J1746="E-commerce",IFERROR($T1746/$R1746,0)&gt;Parametros!$C$14),"Alerta","OK")</f>
        <v>OK</v>
      </c>
      <c r="Y1746" s="61" t="str">
        <f aca="false">IF($R1746&gt;=Parametros!$C$12,"Alto",IF($R1746&lt;Parametros!$C$13,"Bajo","Medio"))</f>
        <v>Alto</v>
      </c>
      <c r="Z1746" s="61" t="n">
        <v>1425</v>
      </c>
      <c r="AA1746" s="61" t="str">
        <f aca="false">IF(MATCH($A1746,Datos_Origen!$A$2:$A$2459,0)=$Z1746,"OK","REVISAR")</f>
        <v>OK</v>
      </c>
      <c r="AB1746" s="61" t="str">
        <f aca="false">INDEX(Datos_Origen!$B$2:$B$2459,$Z1746)</f>
        <v>12/06/2025</v>
      </c>
      <c r="AC1746" s="61" t="n">
        <f aca="false">INDEX(Datos_Origen!$H$2:$H$2459,$Z1746)</f>
        <v>10</v>
      </c>
      <c r="AD1746" s="61" t="str">
        <f aca="false">INDEX(Datos_Origen!$D$2:$D$2459,$Z1746)&amp;""</f>
        <v>Rosario</v>
      </c>
    </row>
    <row r="1747" customFormat="false" ht="15" hidden="false" customHeight="false" outlineLevel="0" collapsed="false">
      <c r="A1747" s="61" t="n">
        <f aca="false">INDEX(Datos_Origen!$A$2:$A$2459,$Z1747)</f>
        <v>1746</v>
      </c>
      <c r="B1747" s="62" t="n">
        <f aca="false">IF(ISNUMBER($AB1747),$AB1747,IF(MID($AB1747,5,1)="-",DATE(VALUE(LEFT($AB1747,4)),VALUE(MID($AB1747,6,2)),VALUE(RIGHT($AB1747,2))),DATE(VALUE(RIGHT($AB1747,4)),VALUE(MID($AB1747,4,2)),VALUE(LEFT($AB1747,2)))))</f>
        <v>45827</v>
      </c>
      <c r="C1747" s="61" t="n">
        <f aca="false">YEAR($B1747)</f>
        <v>2025</v>
      </c>
      <c r="D1747" s="61" t="str">
        <f aca="false">"Q"&amp;ROUNDUP(MONTH($B1747)/3,0)</f>
        <v>Q2</v>
      </c>
      <c r="E1747" s="61" t="n">
        <f aca="false">MONTH($B1747)</f>
        <v>6</v>
      </c>
      <c r="F1747" s="61" t="str">
        <f aca="false">INDEX(Parametros!$I$5:$I$16,$E1747)</f>
        <v>Jun</v>
      </c>
      <c r="G1747" s="61" t="str">
        <f aca="false">TEXT($C1747,"0000")&amp;"-"&amp;TEXT($E1747,"00")</f>
        <v>2025-06</v>
      </c>
      <c r="H1747" s="61" t="str">
        <f aca="false">INDEX(Parametros!$C$71:$C$91,MATCH(TRIM(INDEX(Datos_Origen!$C$2:$C$2459,$Z1747)),Parametros!$B$71:$B$91,0))</f>
        <v>Litoral</v>
      </c>
      <c r="I1747" s="61" t="str">
        <f aca="false">IF(TRIM($AD1747)="",INDEX(Parametros!$I$20:$I$24,MATCH($H1747,Parametros!$H$20:$H$24,0)),TRIM($AD1747))</f>
        <v>Rosario</v>
      </c>
      <c r="J1747" s="61" t="str">
        <f aca="false">INDEX(Parametros!$C$95:$C$106,MATCH(TRIM(INDEX(Datos_Origen!$E$2:$E$2459,$Z1747)),Parametros!$B$95:$B$106,0))</f>
        <v>E-commerce</v>
      </c>
      <c r="K1747" s="61" t="str">
        <f aca="false">INDEX(Parametros!$C$48:$C$67,MATCH(TRIM(INDEX(Datos_Origen!$F$2:$F$2459,$Z1747)),Parametros!$B$48:$B$67,0))</f>
        <v>Computacion</v>
      </c>
      <c r="L1747" s="61" t="str">
        <f aca="false">$K1747&amp;" "&amp;$C1747</f>
        <v>Computacion 2025</v>
      </c>
      <c r="M1747" s="61" t="str">
        <f aca="false">TRIM(INDEX(Datos_Origen!$G$2:$G$2459,$Z1747))</f>
        <v>PC Gamer Ryzen</v>
      </c>
      <c r="N1747" s="61" t="str">
        <f aca="false">$M1747&amp;" "&amp;$C1747</f>
        <v>PC Gamer Ryzen 2025</v>
      </c>
      <c r="O1747" s="63" t="n">
        <f aca="false">IF(ISTEXT($AC1747),VALUE($AC1747),$AC1747)</f>
        <v>7</v>
      </c>
      <c r="P1747" s="64" t="n">
        <f aca="false">INDEX(Datos_Origen!$I$2:$I$2459,$Z1747)</f>
        <v>1588.21</v>
      </c>
      <c r="Q1747" s="64" t="n">
        <f aca="false">INDEX(Datos_Origen!$J$2:$J$2459,$Z1747)</f>
        <v>1155.66</v>
      </c>
      <c r="R1747" s="65" t="n">
        <f aca="false">ROUND($O1747*$P1747,2)</f>
        <v>11117.47</v>
      </c>
      <c r="S1747" s="65" t="n">
        <f aca="false">ROUND($O1747*$Q1747,2)</f>
        <v>8089.62</v>
      </c>
      <c r="T1747" s="65" t="n">
        <f aca="false">ROUND($R1747*SUMIFS(Parametros!$E$28:$E$43,Parametros!$B$28:$B$43,$J1747,Parametros!$C$28:$C$43,$C1747,Parametros!$D$28:$D$43,$D1747),2)</f>
        <v>822.69</v>
      </c>
      <c r="U1747" s="65" t="n">
        <f aca="false">$R1747-$S1747-$T1747</f>
        <v>2205.16</v>
      </c>
      <c r="V1747" s="66" t="n">
        <f aca="false">IFERROR($U1747/$R1747,0)</f>
        <v>0.198350883789207</v>
      </c>
      <c r="W1747" s="67" t="str">
        <f aca="false">IF(AND($V1747&gt;=Parametros!$C$8,$R1747&gt;=Parametros!$C$12),"Alta rentabilidad",IF(OR($V1747&lt;Parametros!$C$11,$R1747&lt;Parametros!$C$13),"Revisar","Estandar"))</f>
        <v>Revisar</v>
      </c>
      <c r="X1747" s="67" t="str">
        <f aca="false">IF(AND($J1747="E-commerce",IFERROR($T1747/$R1747,0)&gt;Parametros!$C$14),"Alerta","OK")</f>
        <v>Alerta</v>
      </c>
      <c r="Y1747" s="61" t="str">
        <f aca="false">IF($R1747&gt;=Parametros!$C$12,"Alto",IF($R1747&lt;Parametros!$C$13,"Bajo","Medio"))</f>
        <v>Alto</v>
      </c>
      <c r="Z1747" s="61" t="n">
        <v>395</v>
      </c>
      <c r="AA1747" s="61" t="str">
        <f aca="false">IF(MATCH($A1747,Datos_Origen!$A$2:$A$2459,0)=$Z1747,"OK","REVISAR")</f>
        <v>OK</v>
      </c>
      <c r="AB1747" s="62" t="n">
        <f aca="false">INDEX(Datos_Origen!$B$2:$B$2459,$Z1747)</f>
        <v>45827</v>
      </c>
      <c r="AC1747" s="61" t="n">
        <f aca="false">INDEX(Datos_Origen!$H$2:$H$2459,$Z1747)</f>
        <v>7</v>
      </c>
      <c r="AD1747" s="61" t="str">
        <f aca="false">INDEX(Datos_Origen!$D$2:$D$2459,$Z1747)&amp;""</f>
        <v>Rosario</v>
      </c>
    </row>
    <row r="1748" customFormat="false" ht="15" hidden="false" customHeight="false" outlineLevel="0" collapsed="false">
      <c r="A1748" s="61" t="n">
        <f aca="false">INDEX(Datos_Origen!$A$2:$A$2459,$Z1748)</f>
        <v>1747</v>
      </c>
      <c r="B1748" s="62" t="n">
        <f aca="false">IF(ISNUMBER($AB1748),$AB1748,IF(MID($AB1748,5,1)="-",DATE(VALUE(LEFT($AB1748,4)),VALUE(MID($AB1748,6,2)),VALUE(RIGHT($AB1748,2))),DATE(VALUE(RIGHT($AB1748,4)),VALUE(MID($AB1748,4,2)),VALUE(LEFT($AB1748,2)))))</f>
        <v>45834</v>
      </c>
      <c r="C1748" s="61" t="n">
        <f aca="false">YEAR($B1748)</f>
        <v>2025</v>
      </c>
      <c r="D1748" s="61" t="str">
        <f aca="false">"Q"&amp;ROUNDUP(MONTH($B1748)/3,0)</f>
        <v>Q2</v>
      </c>
      <c r="E1748" s="61" t="n">
        <f aca="false">MONTH($B1748)</f>
        <v>6</v>
      </c>
      <c r="F1748" s="61" t="str">
        <f aca="false">INDEX(Parametros!$I$5:$I$16,$E1748)</f>
        <v>Jun</v>
      </c>
      <c r="G1748" s="61" t="str">
        <f aca="false">TEXT($C1748,"0000")&amp;"-"&amp;TEXT($E1748,"00")</f>
        <v>2025-06</v>
      </c>
      <c r="H1748" s="61" t="str">
        <f aca="false">INDEX(Parametros!$C$71:$C$91,MATCH(TRIM(INDEX(Datos_Origen!$C$2:$C$2459,$Z1748)),Parametros!$B$71:$B$91,0))</f>
        <v>Litoral</v>
      </c>
      <c r="I1748" s="61" t="str">
        <f aca="false">IF(TRIM($AD1748)="",INDEX(Parametros!$I$20:$I$24,MATCH($H1748,Parametros!$H$20:$H$24,0)),TRIM($AD1748))</f>
        <v>Rosario</v>
      </c>
      <c r="J1748" s="61" t="str">
        <f aca="false">INDEX(Parametros!$C$95:$C$106,MATCH(TRIM(INDEX(Datos_Origen!$E$2:$E$2459,$Z1748)),Parametros!$B$95:$B$106,0))</f>
        <v>Tienda fisica</v>
      </c>
      <c r="K1748" s="61" t="str">
        <f aca="false">INDEX(Parametros!$C$48:$C$67,MATCH(TRIM(INDEX(Datos_Origen!$F$2:$F$2459,$Z1748)),Parametros!$B$48:$B$67,0))</f>
        <v>Accesorios</v>
      </c>
      <c r="L1748" s="61" t="str">
        <f aca="false">$K1748&amp;" "&amp;$C1748</f>
        <v>Accesorios 2025</v>
      </c>
      <c r="M1748" s="61" t="str">
        <f aca="false">TRIM(INDEX(Datos_Origen!$G$2:$G$2459,$Z1748))</f>
        <v>Mouse Inalambrico</v>
      </c>
      <c r="N1748" s="61" t="str">
        <f aca="false">$M1748&amp;" "&amp;$C1748</f>
        <v>Mouse Inalambrico 2025</v>
      </c>
      <c r="O1748" s="63" t="n">
        <f aca="false">IF(ISTEXT($AC1748),VALUE($AC1748),$AC1748)</f>
        <v>47</v>
      </c>
      <c r="P1748" s="64" t="n">
        <f aca="false">INDEX(Datos_Origen!$I$2:$I$2459,$Z1748)</f>
        <v>27.82</v>
      </c>
      <c r="Q1748" s="64" t="n">
        <f aca="false">INDEX(Datos_Origen!$J$2:$J$2459,$Z1748)</f>
        <v>13.84</v>
      </c>
      <c r="R1748" s="65" t="n">
        <f aca="false">ROUND($O1748*$P1748,2)</f>
        <v>1307.54</v>
      </c>
      <c r="S1748" s="65" t="n">
        <f aca="false">ROUND($O1748*$Q1748,2)</f>
        <v>650.48</v>
      </c>
      <c r="T1748" s="65" t="n">
        <f aca="false">ROUND($R1748*SUMIFS(Parametros!$E$28:$E$43,Parametros!$B$28:$B$43,$J1748,Parametros!$C$28:$C$43,$C1748,Parametros!$D$28:$D$43,$D1748),2)</f>
        <v>18.31</v>
      </c>
      <c r="U1748" s="65" t="n">
        <f aca="false">$R1748-$S1748-$T1748</f>
        <v>638.75</v>
      </c>
      <c r="V1748" s="66" t="n">
        <f aca="false">IFERROR($U1748/$R1748,0)</f>
        <v>0.488512779723756</v>
      </c>
      <c r="W1748" s="67" t="str">
        <f aca="false">IF(AND($V1748&gt;=Parametros!$C$8,$R1748&gt;=Parametros!$C$12),"Alta rentabilidad",IF(OR($V1748&lt;Parametros!$C$11,$R1748&lt;Parametros!$C$13),"Revisar","Estandar"))</f>
        <v>Estandar</v>
      </c>
      <c r="X1748" s="67" t="str">
        <f aca="false">IF(AND($J1748="E-commerce",IFERROR($T1748/$R1748,0)&gt;Parametros!$C$14),"Alerta","OK")</f>
        <v>OK</v>
      </c>
      <c r="Y1748" s="61" t="str">
        <f aca="false">IF($R1748&gt;=Parametros!$C$12,"Alto",IF($R1748&lt;Parametros!$C$13,"Bajo","Medio"))</f>
        <v>Medio</v>
      </c>
      <c r="Z1748" s="61" t="n">
        <v>570</v>
      </c>
      <c r="AA1748" s="61" t="str">
        <f aca="false">IF(MATCH($A1748,Datos_Origen!$A$2:$A$2459,0)=$Z1748,"OK","REVISAR")</f>
        <v>OK</v>
      </c>
      <c r="AB1748" s="61" t="str">
        <f aca="false">INDEX(Datos_Origen!$B$2:$B$2459,$Z1748)</f>
        <v>26/06/2025</v>
      </c>
      <c r="AC1748" s="61" t="str">
        <f aca="false">INDEX(Datos_Origen!$H$2:$H$2459,$Z1748)</f>
        <v>47</v>
      </c>
      <c r="AD1748" s="61" t="str">
        <f aca="false">INDEX(Datos_Origen!$D$2:$D$2459,$Z1748)&amp;""</f>
        <v>Rosario</v>
      </c>
    </row>
    <row r="1749" customFormat="false" ht="15" hidden="false" customHeight="false" outlineLevel="0" collapsed="false">
      <c r="A1749" s="61" t="n">
        <f aca="false">INDEX(Datos_Origen!$A$2:$A$2459,$Z1749)</f>
        <v>1748</v>
      </c>
      <c r="B1749" s="62" t="n">
        <f aca="false">IF(ISNUMBER($AB1749),$AB1749,IF(MID($AB1749,5,1)="-",DATE(VALUE(LEFT($AB1749,4)),VALUE(MID($AB1749,6,2)),VALUE(RIGHT($AB1749,2))),DATE(VALUE(RIGHT($AB1749,4)),VALUE(MID($AB1749,4,2)),VALUE(LEFT($AB1749,2)))))</f>
        <v>45814</v>
      </c>
      <c r="C1749" s="61" t="n">
        <f aca="false">YEAR($B1749)</f>
        <v>2025</v>
      </c>
      <c r="D1749" s="61" t="str">
        <f aca="false">"Q"&amp;ROUNDUP(MONTH($B1749)/3,0)</f>
        <v>Q2</v>
      </c>
      <c r="E1749" s="61" t="n">
        <f aca="false">MONTH($B1749)</f>
        <v>6</v>
      </c>
      <c r="F1749" s="61" t="str">
        <f aca="false">INDEX(Parametros!$I$5:$I$16,$E1749)</f>
        <v>Jun</v>
      </c>
      <c r="G1749" s="61" t="str">
        <f aca="false">TEXT($C1749,"0000")&amp;"-"&amp;TEXT($E1749,"00")</f>
        <v>2025-06</v>
      </c>
      <c r="H1749" s="61" t="str">
        <f aca="false">INDEX(Parametros!$C$71:$C$91,MATCH(TRIM(INDEX(Datos_Origen!$C$2:$C$2459,$Z1749)),Parametros!$B$71:$B$91,0))</f>
        <v>Litoral</v>
      </c>
      <c r="I1749" s="61" t="str">
        <f aca="false">IF(TRIM($AD1749)="",INDEX(Parametros!$I$20:$I$24,MATCH($H1749,Parametros!$H$20:$H$24,0)),TRIM($AD1749))</f>
        <v>Rosario</v>
      </c>
      <c r="J1749" s="61" t="str">
        <f aca="false">INDEX(Parametros!$C$95:$C$106,MATCH(TRIM(INDEX(Datos_Origen!$E$2:$E$2459,$Z1749)),Parametros!$B$95:$B$106,0))</f>
        <v>E-commerce</v>
      </c>
      <c r="K1749" s="61" t="str">
        <f aca="false">INDEX(Parametros!$C$48:$C$67,MATCH(TRIM(INDEX(Datos_Origen!$F$2:$F$2459,$Z1749)),Parametros!$B$48:$B$67,0))</f>
        <v>Accesorios</v>
      </c>
      <c r="L1749" s="61" t="str">
        <f aca="false">$K1749&amp;" "&amp;$C1749</f>
        <v>Accesorios 2025</v>
      </c>
      <c r="M1749" s="61" t="str">
        <f aca="false">TRIM(INDEX(Datos_Origen!$G$2:$G$2459,$Z1749))</f>
        <v>Mouse Inalambrico</v>
      </c>
      <c r="N1749" s="61" t="str">
        <f aca="false">$M1749&amp;" "&amp;$C1749</f>
        <v>Mouse Inalambrico 2025</v>
      </c>
      <c r="O1749" s="63" t="n">
        <f aca="false">IF(ISTEXT($AC1749),VALUE($AC1749),$AC1749)</f>
        <v>27</v>
      </c>
      <c r="P1749" s="64" t="n">
        <f aca="false">INDEX(Datos_Origen!$I$2:$I$2459,$Z1749)</f>
        <v>27.82</v>
      </c>
      <c r="Q1749" s="64" t="n">
        <f aca="false">INDEX(Datos_Origen!$J$2:$J$2459,$Z1749)</f>
        <v>13.84</v>
      </c>
      <c r="R1749" s="65" t="n">
        <f aca="false">ROUND($O1749*$P1749,2)</f>
        <v>751.14</v>
      </c>
      <c r="S1749" s="65" t="n">
        <f aca="false">ROUND($O1749*$Q1749,2)</f>
        <v>373.68</v>
      </c>
      <c r="T1749" s="65" t="n">
        <f aca="false">ROUND($R1749*SUMIFS(Parametros!$E$28:$E$43,Parametros!$B$28:$B$43,$J1749,Parametros!$C$28:$C$43,$C1749,Parametros!$D$28:$D$43,$D1749),2)</f>
        <v>55.58</v>
      </c>
      <c r="U1749" s="65" t="n">
        <f aca="false">$R1749-$S1749-$T1749</f>
        <v>321.88</v>
      </c>
      <c r="V1749" s="66" t="n">
        <f aca="false">IFERROR($U1749/$R1749,0)</f>
        <v>0.428521979923849</v>
      </c>
      <c r="W1749" s="67" t="str">
        <f aca="false">IF(AND($V1749&gt;=Parametros!$C$8,$R1749&gt;=Parametros!$C$12),"Alta rentabilidad",IF(OR($V1749&lt;Parametros!$C$11,$R1749&lt;Parametros!$C$13),"Revisar","Estandar"))</f>
        <v>Estandar</v>
      </c>
      <c r="X1749" s="67" t="str">
        <f aca="false">IF(AND($J1749="E-commerce",IFERROR($T1749/$R1749,0)&gt;Parametros!$C$14),"Alerta","OK")</f>
        <v>Alerta</v>
      </c>
      <c r="Y1749" s="61" t="str">
        <f aca="false">IF($R1749&gt;=Parametros!$C$12,"Alto",IF($R1749&lt;Parametros!$C$13,"Bajo","Medio"))</f>
        <v>Medio</v>
      </c>
      <c r="Z1749" s="61" t="n">
        <v>1612</v>
      </c>
      <c r="AA1749" s="61" t="str">
        <f aca="false">IF(MATCH($A1749,Datos_Origen!$A$2:$A$2459,0)=$Z1749,"OK","REVISAR")</f>
        <v>OK</v>
      </c>
      <c r="AB1749" s="62" t="n">
        <f aca="false">INDEX(Datos_Origen!$B$2:$B$2459,$Z1749)</f>
        <v>45814</v>
      </c>
      <c r="AC1749" s="61" t="str">
        <f aca="false">INDEX(Datos_Origen!$H$2:$H$2459,$Z1749)</f>
        <v>27</v>
      </c>
      <c r="AD1749" s="61" t="str">
        <f aca="false">INDEX(Datos_Origen!$D$2:$D$2459,$Z1749)&amp;""</f>
        <v>Rosario</v>
      </c>
    </row>
    <row r="1750" customFormat="false" ht="15" hidden="false" customHeight="false" outlineLevel="0" collapsed="false">
      <c r="A1750" s="61" t="n">
        <f aca="false">INDEX(Datos_Origen!$A$2:$A$2459,$Z1750)</f>
        <v>1749</v>
      </c>
      <c r="B1750" s="62" t="n">
        <f aca="false">IF(ISNUMBER($AB1750),$AB1750,IF(MID($AB1750,5,1)="-",DATE(VALUE(LEFT($AB1750,4)),VALUE(MID($AB1750,6,2)),VALUE(RIGHT($AB1750,2))),DATE(VALUE(RIGHT($AB1750,4)),VALUE(MID($AB1750,4,2)),VALUE(LEFT($AB1750,2)))))</f>
        <v>45821</v>
      </c>
      <c r="C1750" s="61" t="n">
        <f aca="false">YEAR($B1750)</f>
        <v>2025</v>
      </c>
      <c r="D1750" s="61" t="str">
        <f aca="false">"Q"&amp;ROUNDUP(MONTH($B1750)/3,0)</f>
        <v>Q2</v>
      </c>
      <c r="E1750" s="61" t="n">
        <f aca="false">MONTH($B1750)</f>
        <v>6</v>
      </c>
      <c r="F1750" s="61" t="str">
        <f aca="false">INDEX(Parametros!$I$5:$I$16,$E1750)</f>
        <v>Jun</v>
      </c>
      <c r="G1750" s="61" t="str">
        <f aca="false">TEXT($C1750,"0000")&amp;"-"&amp;TEXT($E1750,"00")</f>
        <v>2025-06</v>
      </c>
      <c r="H1750" s="61" t="str">
        <f aca="false">INDEX(Parametros!$C$71:$C$91,MATCH(TRIM(INDEX(Datos_Origen!$C$2:$C$2459,$Z1750)),Parametros!$B$71:$B$91,0))</f>
        <v>Litoral</v>
      </c>
      <c r="I1750" s="61" t="str">
        <f aca="false">IF(TRIM($AD1750)="",INDEX(Parametros!$I$20:$I$24,MATCH($H1750,Parametros!$H$20:$H$24,0)),TRIM($AD1750))</f>
        <v>Rosario</v>
      </c>
      <c r="J1750" s="61" t="str">
        <f aca="false">INDEX(Parametros!$C$95:$C$106,MATCH(TRIM(INDEX(Datos_Origen!$E$2:$E$2459,$Z1750)),Parametros!$B$95:$B$106,0))</f>
        <v>Tienda fisica</v>
      </c>
      <c r="K1750" s="61" t="str">
        <f aca="false">INDEX(Parametros!$C$48:$C$67,MATCH(TRIM(INDEX(Datos_Origen!$F$2:$F$2459,$Z1750)),Parametros!$B$48:$B$67,0))</f>
        <v>Accesorios</v>
      </c>
      <c r="L1750" s="61" t="str">
        <f aca="false">$K1750&amp;" "&amp;$C1750</f>
        <v>Accesorios 2025</v>
      </c>
      <c r="M1750" s="61" t="str">
        <f aca="false">TRIM(INDEX(Datos_Origen!$G$2:$G$2459,$Z1750))</f>
        <v>Teclado Mecanico</v>
      </c>
      <c r="N1750" s="61" t="str">
        <f aca="false">$M1750&amp;" "&amp;$C1750</f>
        <v>Teclado Mecanico 2025</v>
      </c>
      <c r="O1750" s="63" t="n">
        <f aca="false">IF(ISTEXT($AC1750),VALUE($AC1750),$AC1750)</f>
        <v>44</v>
      </c>
      <c r="P1750" s="64" t="n">
        <f aca="false">INDEX(Datos_Origen!$I$2:$I$2459,$Z1750)</f>
        <v>94.39</v>
      </c>
      <c r="Q1750" s="64" t="n">
        <f aca="false">INDEX(Datos_Origen!$J$2:$J$2459,$Z1750)</f>
        <v>49.41</v>
      </c>
      <c r="R1750" s="65" t="n">
        <f aca="false">ROUND($O1750*$P1750,2)</f>
        <v>4153.16</v>
      </c>
      <c r="S1750" s="65" t="n">
        <f aca="false">ROUND($O1750*$Q1750,2)</f>
        <v>2174.04</v>
      </c>
      <c r="T1750" s="65" t="n">
        <f aca="false">ROUND($R1750*SUMIFS(Parametros!$E$28:$E$43,Parametros!$B$28:$B$43,$J1750,Parametros!$C$28:$C$43,$C1750,Parametros!$D$28:$D$43,$D1750),2)</f>
        <v>58.14</v>
      </c>
      <c r="U1750" s="65" t="n">
        <f aca="false">$R1750-$S1750-$T1750</f>
        <v>1920.98</v>
      </c>
      <c r="V1750" s="66" t="n">
        <f aca="false">IFERROR($U1750/$R1750,0)</f>
        <v>0.462534552003775</v>
      </c>
      <c r="W1750" s="67" t="str">
        <f aca="false">IF(AND($V1750&gt;=Parametros!$C$8,$R1750&gt;=Parametros!$C$12),"Alta rentabilidad",IF(OR($V1750&lt;Parametros!$C$11,$R1750&lt;Parametros!$C$13),"Revisar","Estandar"))</f>
        <v>Alta rentabilidad</v>
      </c>
      <c r="X1750" s="67" t="str">
        <f aca="false">IF(AND($J1750="E-commerce",IFERROR($T1750/$R1750,0)&gt;Parametros!$C$14),"Alerta","OK")</f>
        <v>OK</v>
      </c>
      <c r="Y1750" s="61" t="str">
        <f aca="false">IF($R1750&gt;=Parametros!$C$12,"Alto",IF($R1750&lt;Parametros!$C$13,"Bajo","Medio"))</f>
        <v>Alto</v>
      </c>
      <c r="Z1750" s="61" t="n">
        <v>799</v>
      </c>
      <c r="AA1750" s="61" t="str">
        <f aca="false">IF(MATCH($A1750,Datos_Origen!$A$2:$A$2459,0)=$Z1750,"OK","REVISAR")</f>
        <v>OK</v>
      </c>
      <c r="AB1750" s="62" t="n">
        <f aca="false">INDEX(Datos_Origen!$B$2:$B$2459,$Z1750)</f>
        <v>45821</v>
      </c>
      <c r="AC1750" s="61" t="n">
        <f aca="false">INDEX(Datos_Origen!$H$2:$H$2459,$Z1750)</f>
        <v>44</v>
      </c>
      <c r="AD1750" s="61" t="str">
        <f aca="false">INDEX(Datos_Origen!$D$2:$D$2459,$Z1750)&amp;""</f>
        <v>Rosario</v>
      </c>
    </row>
    <row r="1751" customFormat="false" ht="15" hidden="false" customHeight="false" outlineLevel="0" collapsed="false">
      <c r="A1751" s="61" t="n">
        <f aca="false">INDEX(Datos_Origen!$A$2:$A$2459,$Z1751)</f>
        <v>1750</v>
      </c>
      <c r="B1751" s="62" t="n">
        <f aca="false">IF(ISNUMBER($AB1751),$AB1751,IF(MID($AB1751,5,1)="-",DATE(VALUE(LEFT($AB1751,4)),VALUE(MID($AB1751,6,2)),VALUE(RIGHT($AB1751,2))),DATE(VALUE(RIGHT($AB1751,4)),VALUE(MID($AB1751,4,2)),VALUE(LEFT($AB1751,2)))))</f>
        <v>45828</v>
      </c>
      <c r="C1751" s="61" t="n">
        <f aca="false">YEAR($B1751)</f>
        <v>2025</v>
      </c>
      <c r="D1751" s="61" t="str">
        <f aca="false">"Q"&amp;ROUNDUP(MONTH($B1751)/3,0)</f>
        <v>Q2</v>
      </c>
      <c r="E1751" s="61" t="n">
        <f aca="false">MONTH($B1751)</f>
        <v>6</v>
      </c>
      <c r="F1751" s="61" t="str">
        <f aca="false">INDEX(Parametros!$I$5:$I$16,$E1751)</f>
        <v>Jun</v>
      </c>
      <c r="G1751" s="61" t="str">
        <f aca="false">TEXT($C1751,"0000")&amp;"-"&amp;TEXT($E1751,"00")</f>
        <v>2025-06</v>
      </c>
      <c r="H1751" s="61" t="str">
        <f aca="false">INDEX(Parametros!$C$71:$C$91,MATCH(TRIM(INDEX(Datos_Origen!$C$2:$C$2459,$Z1751)),Parametros!$B$71:$B$91,0))</f>
        <v>Litoral</v>
      </c>
      <c r="I1751" s="61" t="str">
        <f aca="false">IF(TRIM($AD1751)="",INDEX(Parametros!$I$20:$I$24,MATCH($H1751,Parametros!$H$20:$H$24,0)),TRIM($AD1751))</f>
        <v>Rosario</v>
      </c>
      <c r="J1751" s="61" t="str">
        <f aca="false">INDEX(Parametros!$C$95:$C$106,MATCH(TRIM(INDEX(Datos_Origen!$E$2:$E$2459,$Z1751)),Parametros!$B$95:$B$106,0))</f>
        <v>E-commerce</v>
      </c>
      <c r="K1751" s="61" t="str">
        <f aca="false">INDEX(Parametros!$C$48:$C$67,MATCH(TRIM(INDEX(Datos_Origen!$F$2:$F$2459,$Z1751)),Parametros!$B$48:$B$67,0))</f>
        <v>Accesorios</v>
      </c>
      <c r="L1751" s="61" t="str">
        <f aca="false">$K1751&amp;" "&amp;$C1751</f>
        <v>Accesorios 2025</v>
      </c>
      <c r="M1751" s="61" t="str">
        <f aca="false">TRIM(INDEX(Datos_Origen!$G$2:$G$2459,$Z1751))</f>
        <v>Teclado Mecanico</v>
      </c>
      <c r="N1751" s="61" t="str">
        <f aca="false">$M1751&amp;" "&amp;$C1751</f>
        <v>Teclado Mecanico 2025</v>
      </c>
      <c r="O1751" s="63" t="n">
        <f aca="false">IF(ISTEXT($AC1751),VALUE($AC1751),$AC1751)</f>
        <v>24</v>
      </c>
      <c r="P1751" s="64" t="n">
        <f aca="false">INDEX(Datos_Origen!$I$2:$I$2459,$Z1751)</f>
        <v>94.39</v>
      </c>
      <c r="Q1751" s="64" t="n">
        <f aca="false">INDEX(Datos_Origen!$J$2:$J$2459,$Z1751)</f>
        <v>49.41</v>
      </c>
      <c r="R1751" s="65" t="n">
        <f aca="false">ROUND($O1751*$P1751,2)</f>
        <v>2265.36</v>
      </c>
      <c r="S1751" s="65" t="n">
        <f aca="false">ROUND($O1751*$Q1751,2)</f>
        <v>1185.84</v>
      </c>
      <c r="T1751" s="65" t="n">
        <f aca="false">ROUND($R1751*SUMIFS(Parametros!$E$28:$E$43,Parametros!$B$28:$B$43,$J1751,Parametros!$C$28:$C$43,$C1751,Parametros!$D$28:$D$43,$D1751),2)</f>
        <v>167.64</v>
      </c>
      <c r="U1751" s="65" t="n">
        <f aca="false">$R1751-$S1751-$T1751</f>
        <v>911.88</v>
      </c>
      <c r="V1751" s="66" t="n">
        <f aca="false">IFERROR($U1751/$R1751,0)</f>
        <v>0.402532047886429</v>
      </c>
      <c r="W1751" s="67" t="str">
        <f aca="false">IF(AND($V1751&gt;=Parametros!$C$8,$R1751&gt;=Parametros!$C$12),"Alta rentabilidad",IF(OR($V1751&lt;Parametros!$C$11,$R1751&lt;Parametros!$C$13),"Revisar","Estandar"))</f>
        <v>Estandar</v>
      </c>
      <c r="X1751" s="67" t="str">
        <f aca="false">IF(AND($J1751="E-commerce",IFERROR($T1751/$R1751,0)&gt;Parametros!$C$14),"Alerta","OK")</f>
        <v>Alerta</v>
      </c>
      <c r="Y1751" s="61" t="str">
        <f aca="false">IF($R1751&gt;=Parametros!$C$12,"Alto",IF($R1751&lt;Parametros!$C$13,"Bajo","Medio"))</f>
        <v>Medio</v>
      </c>
      <c r="Z1751" s="61" t="n">
        <v>58</v>
      </c>
      <c r="AA1751" s="61" t="str">
        <f aca="false">IF(MATCH($A1751,Datos_Origen!$A$2:$A$2459,0)=$Z1751,"OK","REVISAR")</f>
        <v>OK</v>
      </c>
      <c r="AB1751" s="62" t="n">
        <f aca="false">INDEX(Datos_Origen!$B$2:$B$2459,$Z1751)</f>
        <v>45828</v>
      </c>
      <c r="AC1751" s="61" t="n">
        <f aca="false">INDEX(Datos_Origen!$H$2:$H$2459,$Z1751)</f>
        <v>24</v>
      </c>
      <c r="AD1751" s="61" t="str">
        <f aca="false">INDEX(Datos_Origen!$D$2:$D$2459,$Z1751)&amp;""</f>
        <v>Rosario</v>
      </c>
    </row>
    <row r="1752" customFormat="false" ht="15" hidden="false" customHeight="false" outlineLevel="0" collapsed="false">
      <c r="A1752" s="61" t="n">
        <f aca="false">INDEX(Datos_Origen!$A$2:$A$2459,$Z1752)</f>
        <v>1751</v>
      </c>
      <c r="B1752" s="62" t="n">
        <f aca="false">IF(ISNUMBER($AB1752),$AB1752,IF(MID($AB1752,5,1)="-",DATE(VALUE(LEFT($AB1752,4)),VALUE(MID($AB1752,6,2)),VALUE(RIGHT($AB1752,2))),DATE(VALUE(RIGHT($AB1752,4)),VALUE(MID($AB1752,4,2)),VALUE(LEFT($AB1752,2)))))</f>
        <v>45835</v>
      </c>
      <c r="C1752" s="61" t="n">
        <f aca="false">YEAR($B1752)</f>
        <v>2025</v>
      </c>
      <c r="D1752" s="61" t="str">
        <f aca="false">"Q"&amp;ROUNDUP(MONTH($B1752)/3,0)</f>
        <v>Q2</v>
      </c>
      <c r="E1752" s="61" t="n">
        <f aca="false">MONTH($B1752)</f>
        <v>6</v>
      </c>
      <c r="F1752" s="61" t="str">
        <f aca="false">INDEX(Parametros!$I$5:$I$16,$E1752)</f>
        <v>Jun</v>
      </c>
      <c r="G1752" s="61" t="str">
        <f aca="false">TEXT($C1752,"0000")&amp;"-"&amp;TEXT($E1752,"00")</f>
        <v>2025-06</v>
      </c>
      <c r="H1752" s="61" t="str">
        <f aca="false">INDEX(Parametros!$C$71:$C$91,MATCH(TRIM(INDEX(Datos_Origen!$C$2:$C$2459,$Z1752)),Parametros!$B$71:$B$91,0))</f>
        <v>Litoral</v>
      </c>
      <c r="I1752" s="61" t="str">
        <f aca="false">IF(TRIM($AD1752)="",INDEX(Parametros!$I$20:$I$24,MATCH($H1752,Parametros!$H$20:$H$24,0)),TRIM($AD1752))</f>
        <v>Rosario</v>
      </c>
      <c r="J1752" s="61" t="str">
        <f aca="false">INDEX(Parametros!$C$95:$C$106,MATCH(TRIM(INDEX(Datos_Origen!$E$2:$E$2459,$Z1752)),Parametros!$B$95:$B$106,0))</f>
        <v>Tienda fisica</v>
      </c>
      <c r="K1752" s="61" t="str">
        <f aca="false">INDEX(Parametros!$C$48:$C$67,MATCH(TRIM(INDEX(Datos_Origen!$F$2:$F$2459,$Z1752)),Parametros!$B$48:$B$67,0))</f>
        <v>Accesorios</v>
      </c>
      <c r="L1752" s="61" t="str">
        <f aca="false">$K1752&amp;" "&amp;$C1752</f>
        <v>Accesorios 2025</v>
      </c>
      <c r="M1752" s="61" t="str">
        <f aca="false">TRIM(INDEX(Datos_Origen!$G$2:$G$2459,$Z1752))</f>
        <v>Webcam Full HD</v>
      </c>
      <c r="N1752" s="61" t="str">
        <f aca="false">$M1752&amp;" "&amp;$C1752</f>
        <v>Webcam Full HD 2025</v>
      </c>
      <c r="O1752" s="63" t="n">
        <f aca="false">IF(ISTEXT($AC1752),VALUE($AC1752),$AC1752)</f>
        <v>35</v>
      </c>
      <c r="P1752" s="64" t="n">
        <f aca="false">INDEX(Datos_Origen!$I$2:$I$2459,$Z1752)</f>
        <v>64.58</v>
      </c>
      <c r="Q1752" s="64" t="n">
        <f aca="false">INDEX(Datos_Origen!$J$2:$J$2459,$Z1752)</f>
        <v>36.49</v>
      </c>
      <c r="R1752" s="65" t="n">
        <f aca="false">ROUND($O1752*$P1752,2)</f>
        <v>2260.3</v>
      </c>
      <c r="S1752" s="65" t="n">
        <f aca="false">ROUND($O1752*$Q1752,2)</f>
        <v>1277.15</v>
      </c>
      <c r="T1752" s="65" t="n">
        <f aca="false">ROUND($R1752*SUMIFS(Parametros!$E$28:$E$43,Parametros!$B$28:$B$43,$J1752,Parametros!$C$28:$C$43,$C1752,Parametros!$D$28:$D$43,$D1752),2)</f>
        <v>31.64</v>
      </c>
      <c r="U1752" s="65" t="n">
        <f aca="false">$R1752-$S1752-$T1752</f>
        <v>951.51</v>
      </c>
      <c r="V1752" s="66" t="n">
        <f aca="false">IFERROR($U1752/$R1752,0)</f>
        <v>0.420966243419015</v>
      </c>
      <c r="W1752" s="67" t="str">
        <f aca="false">IF(AND($V1752&gt;=Parametros!$C$8,$R1752&gt;=Parametros!$C$12),"Alta rentabilidad",IF(OR($V1752&lt;Parametros!$C$11,$R1752&lt;Parametros!$C$13),"Revisar","Estandar"))</f>
        <v>Estandar</v>
      </c>
      <c r="X1752" s="67" t="str">
        <f aca="false">IF(AND($J1752="E-commerce",IFERROR($T1752/$R1752,0)&gt;Parametros!$C$14),"Alerta","OK")</f>
        <v>OK</v>
      </c>
      <c r="Y1752" s="61" t="str">
        <f aca="false">IF($R1752&gt;=Parametros!$C$12,"Alto",IF($R1752&lt;Parametros!$C$13,"Bajo","Medio"))</f>
        <v>Medio</v>
      </c>
      <c r="Z1752" s="61" t="n">
        <v>202</v>
      </c>
      <c r="AA1752" s="61" t="str">
        <f aca="false">IF(MATCH($A1752,Datos_Origen!$A$2:$A$2459,0)=$Z1752,"OK","REVISAR")</f>
        <v>OK</v>
      </c>
      <c r="AB1752" s="62" t="n">
        <f aca="false">INDEX(Datos_Origen!$B$2:$B$2459,$Z1752)</f>
        <v>45835</v>
      </c>
      <c r="AC1752" s="61" t="n">
        <f aca="false">INDEX(Datos_Origen!$H$2:$H$2459,$Z1752)</f>
        <v>35</v>
      </c>
      <c r="AD1752" s="61" t="str">
        <f aca="false">INDEX(Datos_Origen!$D$2:$D$2459,$Z1752)&amp;""</f>
        <v>Rosario</v>
      </c>
    </row>
    <row r="1753" customFormat="false" ht="15" hidden="false" customHeight="false" outlineLevel="0" collapsed="false">
      <c r="A1753" s="61" t="n">
        <f aca="false">INDEX(Datos_Origen!$A$2:$A$2459,$Z1753)</f>
        <v>1752</v>
      </c>
      <c r="B1753" s="62" t="n">
        <f aca="false">IF(ISNUMBER($AB1753),$AB1753,IF(MID($AB1753,5,1)="-",DATE(VALUE(LEFT($AB1753,4)),VALUE(MID($AB1753,6,2)),VALUE(RIGHT($AB1753,2))),DATE(VALUE(RIGHT($AB1753,4)),VALUE(MID($AB1753,4,2)),VALUE(LEFT($AB1753,2)))))</f>
        <v>45815</v>
      </c>
      <c r="C1753" s="61" t="n">
        <f aca="false">YEAR($B1753)</f>
        <v>2025</v>
      </c>
      <c r="D1753" s="61" t="str">
        <f aca="false">"Q"&amp;ROUNDUP(MONTH($B1753)/3,0)</f>
        <v>Q2</v>
      </c>
      <c r="E1753" s="61" t="n">
        <f aca="false">MONTH($B1753)</f>
        <v>6</v>
      </c>
      <c r="F1753" s="61" t="str">
        <f aca="false">INDEX(Parametros!$I$5:$I$16,$E1753)</f>
        <v>Jun</v>
      </c>
      <c r="G1753" s="61" t="str">
        <f aca="false">TEXT($C1753,"0000")&amp;"-"&amp;TEXT($E1753,"00")</f>
        <v>2025-06</v>
      </c>
      <c r="H1753" s="61" t="str">
        <f aca="false">INDEX(Parametros!$C$71:$C$91,MATCH(TRIM(INDEX(Datos_Origen!$C$2:$C$2459,$Z1753)),Parametros!$B$71:$B$91,0))</f>
        <v>Litoral</v>
      </c>
      <c r="I1753" s="61" t="str">
        <f aca="false">IF(TRIM($AD1753)="",INDEX(Parametros!$I$20:$I$24,MATCH($H1753,Parametros!$H$20:$H$24,0)),TRIM($AD1753))</f>
        <v>Rosario</v>
      </c>
      <c r="J1753" s="61" t="str">
        <f aca="false">INDEX(Parametros!$C$95:$C$106,MATCH(TRIM(INDEX(Datos_Origen!$E$2:$E$2459,$Z1753)),Parametros!$B$95:$B$106,0))</f>
        <v>E-commerce</v>
      </c>
      <c r="K1753" s="61" t="str">
        <f aca="false">INDEX(Parametros!$C$48:$C$67,MATCH(TRIM(INDEX(Datos_Origen!$F$2:$F$2459,$Z1753)),Parametros!$B$48:$B$67,0))</f>
        <v>Accesorios</v>
      </c>
      <c r="L1753" s="61" t="str">
        <f aca="false">$K1753&amp;" "&amp;$C1753</f>
        <v>Accesorios 2025</v>
      </c>
      <c r="M1753" s="61" t="str">
        <f aca="false">TRIM(INDEX(Datos_Origen!$G$2:$G$2459,$Z1753))</f>
        <v>Webcam Full HD</v>
      </c>
      <c r="N1753" s="61" t="str">
        <f aca="false">$M1753&amp;" "&amp;$C1753</f>
        <v>Webcam Full HD 2025</v>
      </c>
      <c r="O1753" s="63" t="n">
        <f aca="false">IF(ISTEXT($AC1753),VALUE($AC1753),$AC1753)</f>
        <v>29</v>
      </c>
      <c r="P1753" s="64" t="n">
        <f aca="false">INDEX(Datos_Origen!$I$2:$I$2459,$Z1753)</f>
        <v>64.58</v>
      </c>
      <c r="Q1753" s="64" t="n">
        <f aca="false">INDEX(Datos_Origen!$J$2:$J$2459,$Z1753)</f>
        <v>36.49</v>
      </c>
      <c r="R1753" s="65" t="n">
        <f aca="false">ROUND($O1753*$P1753,2)</f>
        <v>1872.82</v>
      </c>
      <c r="S1753" s="65" t="n">
        <f aca="false">ROUND($O1753*$Q1753,2)</f>
        <v>1058.21</v>
      </c>
      <c r="T1753" s="65" t="n">
        <f aca="false">ROUND($R1753*SUMIFS(Parametros!$E$28:$E$43,Parametros!$B$28:$B$43,$J1753,Parametros!$C$28:$C$43,$C1753,Parametros!$D$28:$D$43,$D1753),2)</f>
        <v>138.59</v>
      </c>
      <c r="U1753" s="65" t="n">
        <f aca="false">$R1753-$S1753-$T1753</f>
        <v>676.02</v>
      </c>
      <c r="V1753" s="66" t="n">
        <f aca="false">IFERROR($U1753/$R1753,0)</f>
        <v>0.360963680439124</v>
      </c>
      <c r="W1753" s="67" t="str">
        <f aca="false">IF(AND($V1753&gt;=Parametros!$C$8,$R1753&gt;=Parametros!$C$12),"Alta rentabilidad",IF(OR($V1753&lt;Parametros!$C$11,$R1753&lt;Parametros!$C$13),"Revisar","Estandar"))</f>
        <v>Estandar</v>
      </c>
      <c r="X1753" s="67" t="str">
        <f aca="false">IF(AND($J1753="E-commerce",IFERROR($T1753/$R1753,0)&gt;Parametros!$C$14),"Alerta","OK")</f>
        <v>Alerta</v>
      </c>
      <c r="Y1753" s="61" t="str">
        <f aca="false">IF($R1753&gt;=Parametros!$C$12,"Alto",IF($R1753&lt;Parametros!$C$13,"Bajo","Medio"))</f>
        <v>Medio</v>
      </c>
      <c r="Z1753" s="61" t="n">
        <v>734</v>
      </c>
      <c r="AA1753" s="61" t="str">
        <f aca="false">IF(MATCH($A1753,Datos_Origen!$A$2:$A$2459,0)=$Z1753,"OK","REVISAR")</f>
        <v>OK</v>
      </c>
      <c r="AB1753" s="61" t="str">
        <f aca="false">INDEX(Datos_Origen!$B$2:$B$2459,$Z1753)</f>
        <v>07/06/2025</v>
      </c>
      <c r="AC1753" s="61" t="n">
        <f aca="false">INDEX(Datos_Origen!$H$2:$H$2459,$Z1753)</f>
        <v>29</v>
      </c>
      <c r="AD1753" s="61" t="str">
        <f aca="false">INDEX(Datos_Origen!$D$2:$D$2459,$Z1753)&amp;""</f>
        <v>Rosario</v>
      </c>
    </row>
    <row r="1754" customFormat="false" ht="15" hidden="false" customHeight="false" outlineLevel="0" collapsed="false">
      <c r="A1754" s="61" t="n">
        <f aca="false">INDEX(Datos_Origen!$A$2:$A$2459,$Z1754)</f>
        <v>1753</v>
      </c>
      <c r="B1754" s="62" t="n">
        <f aca="false">IF(ISNUMBER($AB1754),$AB1754,IF(MID($AB1754,5,1)="-",DATE(VALUE(LEFT($AB1754,4)),VALUE(MID($AB1754,6,2)),VALUE(RIGHT($AB1754,2))),DATE(VALUE(RIGHT($AB1754,4)),VALUE(MID($AB1754,4,2)),VALUE(LEFT($AB1754,2)))))</f>
        <v>45822</v>
      </c>
      <c r="C1754" s="61" t="n">
        <f aca="false">YEAR($B1754)</f>
        <v>2025</v>
      </c>
      <c r="D1754" s="61" t="str">
        <f aca="false">"Q"&amp;ROUNDUP(MONTH($B1754)/3,0)</f>
        <v>Q2</v>
      </c>
      <c r="E1754" s="61" t="n">
        <f aca="false">MONTH($B1754)</f>
        <v>6</v>
      </c>
      <c r="F1754" s="61" t="str">
        <f aca="false">INDEX(Parametros!$I$5:$I$16,$E1754)</f>
        <v>Jun</v>
      </c>
      <c r="G1754" s="61" t="str">
        <f aca="false">TEXT($C1754,"0000")&amp;"-"&amp;TEXT($E1754,"00")</f>
        <v>2025-06</v>
      </c>
      <c r="H1754" s="61" t="str">
        <f aca="false">INDEX(Parametros!$C$71:$C$91,MATCH(TRIM(INDEX(Datos_Origen!$C$2:$C$2459,$Z1754)),Parametros!$B$71:$B$91,0))</f>
        <v>Litoral</v>
      </c>
      <c r="I1754" s="61" t="str">
        <f aca="false">IF(TRIM($AD1754)="",INDEX(Parametros!$I$20:$I$24,MATCH($H1754,Parametros!$H$20:$H$24,0)),TRIM($AD1754))</f>
        <v>Rosario</v>
      </c>
      <c r="J1754" s="61" t="str">
        <f aca="false">INDEX(Parametros!$C$95:$C$106,MATCH(TRIM(INDEX(Datos_Origen!$E$2:$E$2459,$Z1754)),Parametros!$B$95:$B$106,0))</f>
        <v>Tienda fisica</v>
      </c>
      <c r="K1754" s="61" t="str">
        <f aca="false">INDEX(Parametros!$C$48:$C$67,MATCH(TRIM(INDEX(Datos_Origen!$F$2:$F$2459,$Z1754)),Parametros!$B$48:$B$67,0))</f>
        <v>Audio</v>
      </c>
      <c r="L1754" s="61" t="str">
        <f aca="false">$K1754&amp;" "&amp;$C1754</f>
        <v>Audio 2025</v>
      </c>
      <c r="M1754" s="61" t="str">
        <f aca="false">TRIM(INDEX(Datos_Origen!$G$2:$G$2459,$Z1754))</f>
        <v>Auriculares BT Pro</v>
      </c>
      <c r="N1754" s="61" t="str">
        <f aca="false">$M1754&amp;" "&amp;$C1754</f>
        <v>Auriculares BT Pro 2025</v>
      </c>
      <c r="O1754" s="63" t="n">
        <f aca="false">IF(ISTEXT($AC1754),VALUE($AC1754),$AC1754)</f>
        <v>18</v>
      </c>
      <c r="P1754" s="64" t="n">
        <f aca="false">INDEX(Datos_Origen!$I$2:$I$2459,$Z1754)</f>
        <v>119.23</v>
      </c>
      <c r="Q1754" s="64" t="n">
        <f aca="false">INDEX(Datos_Origen!$J$2:$J$2459,$Z1754)</f>
        <v>65.51</v>
      </c>
      <c r="R1754" s="65" t="n">
        <f aca="false">ROUND($O1754*$P1754,2)</f>
        <v>2146.14</v>
      </c>
      <c r="S1754" s="65" t="n">
        <f aca="false">ROUND($O1754*$Q1754,2)</f>
        <v>1179.18</v>
      </c>
      <c r="T1754" s="65" t="n">
        <f aca="false">ROUND($R1754*SUMIFS(Parametros!$E$28:$E$43,Parametros!$B$28:$B$43,$J1754,Parametros!$C$28:$C$43,$C1754,Parametros!$D$28:$D$43,$D1754),2)</f>
        <v>30.05</v>
      </c>
      <c r="U1754" s="65" t="n">
        <f aca="false">$R1754-$S1754-$T1754</f>
        <v>936.91</v>
      </c>
      <c r="V1754" s="66" t="n">
        <f aca="false">IFERROR($U1754/$R1754,0)</f>
        <v>0.436555863084421</v>
      </c>
      <c r="W1754" s="67" t="str">
        <f aca="false">IF(AND($V1754&gt;=Parametros!$C$8,$R1754&gt;=Parametros!$C$12),"Alta rentabilidad",IF(OR($V1754&lt;Parametros!$C$11,$R1754&lt;Parametros!$C$13),"Revisar","Estandar"))</f>
        <v>Estandar</v>
      </c>
      <c r="X1754" s="67" t="str">
        <f aca="false">IF(AND($J1754="E-commerce",IFERROR($T1754/$R1754,0)&gt;Parametros!$C$14),"Alerta","OK")</f>
        <v>OK</v>
      </c>
      <c r="Y1754" s="61" t="str">
        <f aca="false">IF($R1754&gt;=Parametros!$C$12,"Alto",IF($R1754&lt;Parametros!$C$13,"Bajo","Medio"))</f>
        <v>Medio</v>
      </c>
      <c r="Z1754" s="61" t="n">
        <v>220</v>
      </c>
      <c r="AA1754" s="61" t="str">
        <f aca="false">IF(MATCH($A1754,Datos_Origen!$A$2:$A$2459,0)=$Z1754,"OK","REVISAR")</f>
        <v>OK</v>
      </c>
      <c r="AB1754" s="61" t="str">
        <f aca="false">INDEX(Datos_Origen!$B$2:$B$2459,$Z1754)</f>
        <v>14/06/2025</v>
      </c>
      <c r="AC1754" s="61" t="n">
        <f aca="false">INDEX(Datos_Origen!$H$2:$H$2459,$Z1754)</f>
        <v>18</v>
      </c>
      <c r="AD1754" s="61" t="str">
        <f aca="false">INDEX(Datos_Origen!$D$2:$D$2459,$Z1754)&amp;""</f>
        <v>Rosario</v>
      </c>
    </row>
    <row r="1755" customFormat="false" ht="15" hidden="false" customHeight="false" outlineLevel="0" collapsed="false">
      <c r="A1755" s="61" t="n">
        <f aca="false">INDEX(Datos_Origen!$A$2:$A$2459,$Z1755)</f>
        <v>1754</v>
      </c>
      <c r="B1755" s="62" t="n">
        <f aca="false">IF(ISNUMBER($AB1755),$AB1755,IF(MID($AB1755,5,1)="-",DATE(VALUE(LEFT($AB1755,4)),VALUE(MID($AB1755,6,2)),VALUE(RIGHT($AB1755,2))),DATE(VALUE(RIGHT($AB1755,4)),VALUE(MID($AB1755,4,2)),VALUE(LEFT($AB1755,2)))))</f>
        <v>45829</v>
      </c>
      <c r="C1755" s="61" t="n">
        <f aca="false">YEAR($B1755)</f>
        <v>2025</v>
      </c>
      <c r="D1755" s="61" t="str">
        <f aca="false">"Q"&amp;ROUNDUP(MONTH($B1755)/3,0)</f>
        <v>Q2</v>
      </c>
      <c r="E1755" s="61" t="n">
        <f aca="false">MONTH($B1755)</f>
        <v>6</v>
      </c>
      <c r="F1755" s="61" t="str">
        <f aca="false">INDEX(Parametros!$I$5:$I$16,$E1755)</f>
        <v>Jun</v>
      </c>
      <c r="G1755" s="61" t="str">
        <f aca="false">TEXT($C1755,"0000")&amp;"-"&amp;TEXT($E1755,"00")</f>
        <v>2025-06</v>
      </c>
      <c r="H1755" s="61" t="str">
        <f aca="false">INDEX(Parametros!$C$71:$C$91,MATCH(TRIM(INDEX(Datos_Origen!$C$2:$C$2459,$Z1755)),Parametros!$B$71:$B$91,0))</f>
        <v>Litoral</v>
      </c>
      <c r="I1755" s="61" t="str">
        <f aca="false">IF(TRIM($AD1755)="",INDEX(Parametros!$I$20:$I$24,MATCH($H1755,Parametros!$H$20:$H$24,0)),TRIM($AD1755))</f>
        <v>Rosario</v>
      </c>
      <c r="J1755" s="61" t="str">
        <f aca="false">INDEX(Parametros!$C$95:$C$106,MATCH(TRIM(INDEX(Datos_Origen!$E$2:$E$2459,$Z1755)),Parametros!$B$95:$B$106,0))</f>
        <v>E-commerce</v>
      </c>
      <c r="K1755" s="61" t="str">
        <f aca="false">INDEX(Parametros!$C$48:$C$67,MATCH(TRIM(INDEX(Datos_Origen!$F$2:$F$2459,$Z1755)),Parametros!$B$48:$B$67,0))</f>
        <v>Audio</v>
      </c>
      <c r="L1755" s="61" t="str">
        <f aca="false">$K1755&amp;" "&amp;$C1755</f>
        <v>Audio 2025</v>
      </c>
      <c r="M1755" s="61" t="str">
        <f aca="false">TRIM(INDEX(Datos_Origen!$G$2:$G$2459,$Z1755))</f>
        <v>Auriculares BT Pro</v>
      </c>
      <c r="N1755" s="61" t="str">
        <f aca="false">$M1755&amp;" "&amp;$C1755</f>
        <v>Auriculares BT Pro 2025</v>
      </c>
      <c r="O1755" s="63" t="n">
        <f aca="false">IF(ISTEXT($AC1755),VALUE($AC1755),$AC1755)</f>
        <v>14</v>
      </c>
      <c r="P1755" s="64" t="n">
        <f aca="false">INDEX(Datos_Origen!$I$2:$I$2459,$Z1755)</f>
        <v>119.23</v>
      </c>
      <c r="Q1755" s="64" t="n">
        <f aca="false">INDEX(Datos_Origen!$J$2:$J$2459,$Z1755)</f>
        <v>65.51</v>
      </c>
      <c r="R1755" s="65" t="n">
        <f aca="false">ROUND($O1755*$P1755,2)</f>
        <v>1669.22</v>
      </c>
      <c r="S1755" s="65" t="n">
        <f aca="false">ROUND($O1755*$Q1755,2)</f>
        <v>917.14</v>
      </c>
      <c r="T1755" s="65" t="n">
        <f aca="false">ROUND($R1755*SUMIFS(Parametros!$E$28:$E$43,Parametros!$B$28:$B$43,$J1755,Parametros!$C$28:$C$43,$C1755,Parametros!$D$28:$D$43,$D1755),2)</f>
        <v>123.52</v>
      </c>
      <c r="U1755" s="65" t="n">
        <f aca="false">$R1755-$S1755-$T1755</f>
        <v>628.56</v>
      </c>
      <c r="V1755" s="66" t="n">
        <f aca="false">IFERROR($U1755/$R1755,0)</f>
        <v>0.376559111441272</v>
      </c>
      <c r="W1755" s="67" t="str">
        <f aca="false">IF(AND($V1755&gt;=Parametros!$C$8,$R1755&gt;=Parametros!$C$12),"Alta rentabilidad",IF(OR($V1755&lt;Parametros!$C$11,$R1755&lt;Parametros!$C$13),"Revisar","Estandar"))</f>
        <v>Estandar</v>
      </c>
      <c r="X1755" s="67" t="str">
        <f aca="false">IF(AND($J1755="E-commerce",IFERROR($T1755/$R1755,0)&gt;Parametros!$C$14),"Alerta","OK")</f>
        <v>Alerta</v>
      </c>
      <c r="Y1755" s="61" t="str">
        <f aca="false">IF($R1755&gt;=Parametros!$C$12,"Alto",IF($R1755&lt;Parametros!$C$13,"Bajo","Medio"))</f>
        <v>Medio</v>
      </c>
      <c r="Z1755" s="61" t="n">
        <v>173</v>
      </c>
      <c r="AA1755" s="61" t="str">
        <f aca="false">IF(MATCH($A1755,Datos_Origen!$A$2:$A$2459,0)=$Z1755,"OK","REVISAR")</f>
        <v>OK</v>
      </c>
      <c r="AB1755" s="62" t="n">
        <f aca="false">INDEX(Datos_Origen!$B$2:$B$2459,$Z1755)</f>
        <v>45829</v>
      </c>
      <c r="AC1755" s="61" t="n">
        <f aca="false">INDEX(Datos_Origen!$H$2:$H$2459,$Z1755)</f>
        <v>14</v>
      </c>
      <c r="AD1755" s="61" t="str">
        <f aca="false">INDEX(Datos_Origen!$D$2:$D$2459,$Z1755)&amp;""</f>
        <v>Rosario</v>
      </c>
    </row>
    <row r="1756" customFormat="false" ht="15" hidden="false" customHeight="false" outlineLevel="0" collapsed="false">
      <c r="A1756" s="61" t="n">
        <f aca="false">INDEX(Datos_Origen!$A$2:$A$2459,$Z1756)</f>
        <v>1755</v>
      </c>
      <c r="B1756" s="62" t="n">
        <f aca="false">IF(ISNUMBER($AB1756),$AB1756,IF(MID($AB1756,5,1)="-",DATE(VALUE(LEFT($AB1756,4)),VALUE(MID($AB1756,6,2)),VALUE(RIGHT($AB1756,2))),DATE(VALUE(RIGHT($AB1756,4)),VALUE(MID($AB1756,4,2)),VALUE(LEFT($AB1756,2)))))</f>
        <v>45809</v>
      </c>
      <c r="C1756" s="61" t="n">
        <f aca="false">YEAR($B1756)</f>
        <v>2025</v>
      </c>
      <c r="D1756" s="61" t="str">
        <f aca="false">"Q"&amp;ROUNDUP(MONTH($B1756)/3,0)</f>
        <v>Q2</v>
      </c>
      <c r="E1756" s="61" t="n">
        <f aca="false">MONTH($B1756)</f>
        <v>6</v>
      </c>
      <c r="F1756" s="61" t="str">
        <f aca="false">INDEX(Parametros!$I$5:$I$16,$E1756)</f>
        <v>Jun</v>
      </c>
      <c r="G1756" s="61" t="str">
        <f aca="false">TEXT($C1756,"0000")&amp;"-"&amp;TEXT($E1756,"00")</f>
        <v>2025-06</v>
      </c>
      <c r="H1756" s="61" t="str">
        <f aca="false">INDEX(Parametros!$C$71:$C$91,MATCH(TRIM(INDEX(Datos_Origen!$C$2:$C$2459,$Z1756)),Parametros!$B$71:$B$91,0))</f>
        <v>Litoral</v>
      </c>
      <c r="I1756" s="61" t="str">
        <f aca="false">IF(TRIM($AD1756)="",INDEX(Parametros!$I$20:$I$24,MATCH($H1756,Parametros!$H$20:$H$24,0)),TRIM($AD1756))</f>
        <v>Rosario</v>
      </c>
      <c r="J1756" s="61" t="str">
        <f aca="false">INDEX(Parametros!$C$95:$C$106,MATCH(TRIM(INDEX(Datos_Origen!$E$2:$E$2459,$Z1756)),Parametros!$B$95:$B$106,0))</f>
        <v>Tienda fisica</v>
      </c>
      <c r="K1756" s="61" t="str">
        <f aca="false">INDEX(Parametros!$C$48:$C$67,MATCH(TRIM(INDEX(Datos_Origen!$F$2:$F$2459,$Z1756)),Parametros!$B$48:$B$67,0))</f>
        <v>Audio</v>
      </c>
      <c r="L1756" s="61" t="str">
        <f aca="false">$K1756&amp;" "&amp;$C1756</f>
        <v>Audio 2025</v>
      </c>
      <c r="M1756" s="61" t="str">
        <f aca="false">TRIM(INDEX(Datos_Origen!$G$2:$G$2459,$Z1756))</f>
        <v>Parlante Bluetooth</v>
      </c>
      <c r="N1756" s="61" t="str">
        <f aca="false">$M1756&amp;" "&amp;$C1756</f>
        <v>Parlante Bluetooth 2025</v>
      </c>
      <c r="O1756" s="63" t="n">
        <f aca="false">IF(ISTEXT($AC1756),VALUE($AC1756),$AC1756)</f>
        <v>16</v>
      </c>
      <c r="P1756" s="64" t="n">
        <f aca="false">INDEX(Datos_Origen!$I$2:$I$2459,$Z1756)</f>
        <v>84.46</v>
      </c>
      <c r="Q1756" s="64" t="n">
        <f aca="false">INDEX(Datos_Origen!$J$2:$J$2459,$Z1756)</f>
        <v>49.47</v>
      </c>
      <c r="R1756" s="65" t="n">
        <f aca="false">ROUND($O1756*$P1756,2)</f>
        <v>1351.36</v>
      </c>
      <c r="S1756" s="65" t="n">
        <f aca="false">ROUND($O1756*$Q1756,2)</f>
        <v>791.52</v>
      </c>
      <c r="T1756" s="65" t="n">
        <f aca="false">ROUND($R1756*SUMIFS(Parametros!$E$28:$E$43,Parametros!$B$28:$B$43,$J1756,Parametros!$C$28:$C$43,$C1756,Parametros!$D$28:$D$43,$D1756),2)</f>
        <v>18.92</v>
      </c>
      <c r="U1756" s="65" t="n">
        <f aca="false">$R1756-$S1756-$T1756</f>
        <v>540.92</v>
      </c>
      <c r="V1756" s="66" t="n">
        <f aca="false">IFERROR($U1756/$R1756,0)</f>
        <v>0.400278238219275</v>
      </c>
      <c r="W1756" s="67" t="str">
        <f aca="false">IF(AND($V1756&gt;=Parametros!$C$8,$R1756&gt;=Parametros!$C$12),"Alta rentabilidad",IF(OR($V1756&lt;Parametros!$C$11,$R1756&lt;Parametros!$C$13),"Revisar","Estandar"))</f>
        <v>Estandar</v>
      </c>
      <c r="X1756" s="67" t="str">
        <f aca="false">IF(AND($J1756="E-commerce",IFERROR($T1756/$R1756,0)&gt;Parametros!$C$14),"Alerta","OK")</f>
        <v>OK</v>
      </c>
      <c r="Y1756" s="61" t="str">
        <f aca="false">IF($R1756&gt;=Parametros!$C$12,"Alto",IF($R1756&lt;Parametros!$C$13,"Bajo","Medio"))</f>
        <v>Medio</v>
      </c>
      <c r="Z1756" s="61" t="n">
        <v>1427</v>
      </c>
      <c r="AA1756" s="61" t="str">
        <f aca="false">IF(MATCH($A1756,Datos_Origen!$A$2:$A$2459,0)=$Z1756,"OK","REVISAR")</f>
        <v>OK</v>
      </c>
      <c r="AB1756" s="61" t="str">
        <f aca="false">INDEX(Datos_Origen!$B$2:$B$2459,$Z1756)</f>
        <v>2025-06-01</v>
      </c>
      <c r="AC1756" s="61" t="n">
        <f aca="false">INDEX(Datos_Origen!$H$2:$H$2459,$Z1756)</f>
        <v>16</v>
      </c>
      <c r="AD1756" s="61" t="str">
        <f aca="false">INDEX(Datos_Origen!$D$2:$D$2459,$Z1756)&amp;""</f>
        <v>Rosario</v>
      </c>
    </row>
    <row r="1757" customFormat="false" ht="15" hidden="false" customHeight="false" outlineLevel="0" collapsed="false">
      <c r="A1757" s="61" t="n">
        <f aca="false">INDEX(Datos_Origen!$A$2:$A$2459,$Z1757)</f>
        <v>1756</v>
      </c>
      <c r="B1757" s="62" t="n">
        <f aca="false">IF(ISNUMBER($AB1757),$AB1757,IF(MID($AB1757,5,1)="-",DATE(VALUE(LEFT($AB1757,4)),VALUE(MID($AB1757,6,2)),VALUE(RIGHT($AB1757,2))),DATE(VALUE(RIGHT($AB1757,4)),VALUE(MID($AB1757,4,2)),VALUE(LEFT($AB1757,2)))))</f>
        <v>45816</v>
      </c>
      <c r="C1757" s="61" t="n">
        <f aca="false">YEAR($B1757)</f>
        <v>2025</v>
      </c>
      <c r="D1757" s="61" t="str">
        <f aca="false">"Q"&amp;ROUNDUP(MONTH($B1757)/3,0)</f>
        <v>Q2</v>
      </c>
      <c r="E1757" s="61" t="n">
        <f aca="false">MONTH($B1757)</f>
        <v>6</v>
      </c>
      <c r="F1757" s="61" t="str">
        <f aca="false">INDEX(Parametros!$I$5:$I$16,$E1757)</f>
        <v>Jun</v>
      </c>
      <c r="G1757" s="61" t="str">
        <f aca="false">TEXT($C1757,"0000")&amp;"-"&amp;TEXT($E1757,"00")</f>
        <v>2025-06</v>
      </c>
      <c r="H1757" s="61" t="str">
        <f aca="false">INDEX(Parametros!$C$71:$C$91,MATCH(TRIM(INDEX(Datos_Origen!$C$2:$C$2459,$Z1757)),Parametros!$B$71:$B$91,0))</f>
        <v>Litoral</v>
      </c>
      <c r="I1757" s="61" t="str">
        <f aca="false">IF(TRIM($AD1757)="",INDEX(Parametros!$I$20:$I$24,MATCH($H1757,Parametros!$H$20:$H$24,0)),TRIM($AD1757))</f>
        <v>Rosario</v>
      </c>
      <c r="J1757" s="61" t="str">
        <f aca="false">INDEX(Parametros!$C$95:$C$106,MATCH(TRIM(INDEX(Datos_Origen!$E$2:$E$2459,$Z1757)),Parametros!$B$95:$B$106,0))</f>
        <v>E-commerce</v>
      </c>
      <c r="K1757" s="61" t="str">
        <f aca="false">INDEX(Parametros!$C$48:$C$67,MATCH(TRIM(INDEX(Datos_Origen!$F$2:$F$2459,$Z1757)),Parametros!$B$48:$B$67,0))</f>
        <v>Audio</v>
      </c>
      <c r="L1757" s="61" t="str">
        <f aca="false">$K1757&amp;" "&amp;$C1757</f>
        <v>Audio 2025</v>
      </c>
      <c r="M1757" s="61" t="str">
        <f aca="false">TRIM(INDEX(Datos_Origen!$G$2:$G$2459,$Z1757))</f>
        <v>Parlante Bluetooth</v>
      </c>
      <c r="N1757" s="61" t="str">
        <f aca="false">$M1757&amp;" "&amp;$C1757</f>
        <v>Parlante Bluetooth 2025</v>
      </c>
      <c r="O1757" s="63" t="n">
        <f aca="false">IF(ISTEXT($AC1757),VALUE($AC1757),$AC1757)</f>
        <v>14</v>
      </c>
      <c r="P1757" s="64" t="n">
        <f aca="false">INDEX(Datos_Origen!$I$2:$I$2459,$Z1757)</f>
        <v>84.46</v>
      </c>
      <c r="Q1757" s="64" t="n">
        <f aca="false">INDEX(Datos_Origen!$J$2:$J$2459,$Z1757)</f>
        <v>49.47</v>
      </c>
      <c r="R1757" s="65" t="n">
        <f aca="false">ROUND($O1757*$P1757,2)</f>
        <v>1182.44</v>
      </c>
      <c r="S1757" s="65" t="n">
        <f aca="false">ROUND($O1757*$Q1757,2)</f>
        <v>692.58</v>
      </c>
      <c r="T1757" s="65" t="n">
        <f aca="false">ROUND($R1757*SUMIFS(Parametros!$E$28:$E$43,Parametros!$B$28:$B$43,$J1757,Parametros!$C$28:$C$43,$C1757,Parametros!$D$28:$D$43,$D1757),2)</f>
        <v>87.5</v>
      </c>
      <c r="U1757" s="65" t="n">
        <f aca="false">$R1757-$S1757-$T1757</f>
        <v>402.36</v>
      </c>
      <c r="V1757" s="66" t="n">
        <f aca="false">IFERROR($U1757/$R1757,0)</f>
        <v>0.340279422211698</v>
      </c>
      <c r="W1757" s="67" t="str">
        <f aca="false">IF(AND($V1757&gt;=Parametros!$C$8,$R1757&gt;=Parametros!$C$12),"Alta rentabilidad",IF(OR($V1757&lt;Parametros!$C$11,$R1757&lt;Parametros!$C$13),"Revisar","Estandar"))</f>
        <v>Estandar</v>
      </c>
      <c r="X1757" s="67" t="str">
        <f aca="false">IF(AND($J1757="E-commerce",IFERROR($T1757/$R1757,0)&gt;Parametros!$C$14),"Alerta","OK")</f>
        <v>Alerta</v>
      </c>
      <c r="Y1757" s="61" t="str">
        <f aca="false">IF($R1757&gt;=Parametros!$C$12,"Alto",IF($R1757&lt;Parametros!$C$13,"Bajo","Medio"))</f>
        <v>Medio</v>
      </c>
      <c r="Z1757" s="61" t="n">
        <v>705</v>
      </c>
      <c r="AA1757" s="61" t="str">
        <f aca="false">IF(MATCH($A1757,Datos_Origen!$A$2:$A$2459,0)=$Z1757,"OK","REVISAR")</f>
        <v>OK</v>
      </c>
      <c r="AB1757" s="62" t="n">
        <f aca="false">INDEX(Datos_Origen!$B$2:$B$2459,$Z1757)</f>
        <v>45816</v>
      </c>
      <c r="AC1757" s="61" t="n">
        <f aca="false">INDEX(Datos_Origen!$H$2:$H$2459,$Z1757)</f>
        <v>14</v>
      </c>
      <c r="AD1757" s="61" t="str">
        <f aca="false">INDEX(Datos_Origen!$D$2:$D$2459,$Z1757)&amp;""</f>
        <v>Rosario</v>
      </c>
    </row>
    <row r="1758" customFormat="false" ht="15" hidden="false" customHeight="false" outlineLevel="0" collapsed="false">
      <c r="A1758" s="61" t="n">
        <f aca="false">INDEX(Datos_Origen!$A$2:$A$2459,$Z1758)</f>
        <v>1757</v>
      </c>
      <c r="B1758" s="62" t="n">
        <f aca="false">IF(ISNUMBER($AB1758),$AB1758,IF(MID($AB1758,5,1)="-",DATE(VALUE(LEFT($AB1758,4)),VALUE(MID($AB1758,6,2)),VALUE(RIGHT($AB1758,2))),DATE(VALUE(RIGHT($AB1758,4)),VALUE(MID($AB1758,4,2)),VALUE(LEFT($AB1758,2)))))</f>
        <v>45823</v>
      </c>
      <c r="C1758" s="61" t="n">
        <f aca="false">YEAR($B1758)</f>
        <v>2025</v>
      </c>
      <c r="D1758" s="61" t="str">
        <f aca="false">"Q"&amp;ROUNDUP(MONTH($B1758)/3,0)</f>
        <v>Q2</v>
      </c>
      <c r="E1758" s="61" t="n">
        <f aca="false">MONTH($B1758)</f>
        <v>6</v>
      </c>
      <c r="F1758" s="61" t="str">
        <f aca="false">INDEX(Parametros!$I$5:$I$16,$E1758)</f>
        <v>Jun</v>
      </c>
      <c r="G1758" s="61" t="str">
        <f aca="false">TEXT($C1758,"0000")&amp;"-"&amp;TEXT($E1758,"00")</f>
        <v>2025-06</v>
      </c>
      <c r="H1758" s="61" t="str">
        <f aca="false">INDEX(Parametros!$C$71:$C$91,MATCH(TRIM(INDEX(Datos_Origen!$C$2:$C$2459,$Z1758)),Parametros!$B$71:$B$91,0))</f>
        <v>Litoral</v>
      </c>
      <c r="I1758" s="61" t="str">
        <f aca="false">IF(TRIM($AD1758)="",INDEX(Parametros!$I$20:$I$24,MATCH($H1758,Parametros!$H$20:$H$24,0)),TRIM($AD1758))</f>
        <v>Rosario</v>
      </c>
      <c r="J1758" s="61" t="str">
        <f aca="false">INDEX(Parametros!$C$95:$C$106,MATCH(TRIM(INDEX(Datos_Origen!$E$2:$E$2459,$Z1758)),Parametros!$B$95:$B$106,0))</f>
        <v>Tienda fisica</v>
      </c>
      <c r="K1758" s="61" t="str">
        <f aca="false">INDEX(Parametros!$C$48:$C$67,MATCH(TRIM(INDEX(Datos_Origen!$F$2:$F$2459,$Z1758)),Parametros!$B$48:$B$67,0))</f>
        <v>Almacenamiento</v>
      </c>
      <c r="L1758" s="61" t="str">
        <f aca="false">$K1758&amp;" "&amp;$C1758</f>
        <v>Almacenamiento 2025</v>
      </c>
      <c r="M1758" s="61" t="str">
        <f aca="false">TRIM(INDEX(Datos_Origen!$G$2:$G$2459,$Z1758))</f>
        <v>SSD Externo 1TB</v>
      </c>
      <c r="N1758" s="61" t="str">
        <f aca="false">$M1758&amp;" "&amp;$C1758</f>
        <v>SSD Externo 1TB 2025</v>
      </c>
      <c r="O1758" s="63" t="n">
        <f aca="false">IF(ISTEXT($AC1758),VALUE($AC1758),$AC1758)</f>
        <v>24</v>
      </c>
      <c r="P1758" s="64" t="n">
        <f aca="false">INDEX(Datos_Origen!$I$2:$I$2459,$Z1758)</f>
        <v>129.17</v>
      </c>
      <c r="Q1758" s="64" t="n">
        <f aca="false">INDEX(Datos_Origen!$J$2:$J$2459,$Z1758)</f>
        <v>78.33</v>
      </c>
      <c r="R1758" s="65" t="n">
        <f aca="false">ROUND($O1758*$P1758,2)</f>
        <v>3100.08</v>
      </c>
      <c r="S1758" s="65" t="n">
        <f aca="false">ROUND($O1758*$Q1758,2)</f>
        <v>1879.92</v>
      </c>
      <c r="T1758" s="65" t="n">
        <f aca="false">ROUND($R1758*SUMIFS(Parametros!$E$28:$E$43,Parametros!$B$28:$B$43,$J1758,Parametros!$C$28:$C$43,$C1758,Parametros!$D$28:$D$43,$D1758),2)</f>
        <v>43.4</v>
      </c>
      <c r="U1758" s="65" t="n">
        <f aca="false">$R1758-$S1758-$T1758</f>
        <v>1176.76</v>
      </c>
      <c r="V1758" s="66" t="n">
        <f aca="false">IFERROR($U1758/$R1758,0)</f>
        <v>0.379590204123765</v>
      </c>
      <c r="W1758" s="67" t="str">
        <f aca="false">IF(AND($V1758&gt;=Parametros!$C$8,$R1758&gt;=Parametros!$C$12),"Alta rentabilidad",IF(OR($V1758&lt;Parametros!$C$11,$R1758&lt;Parametros!$C$13),"Revisar","Estandar"))</f>
        <v>Alta rentabilidad</v>
      </c>
      <c r="X1758" s="67" t="str">
        <f aca="false">IF(AND($J1758="E-commerce",IFERROR($T1758/$R1758,0)&gt;Parametros!$C$14),"Alerta","OK")</f>
        <v>OK</v>
      </c>
      <c r="Y1758" s="61" t="str">
        <f aca="false">IF($R1758&gt;=Parametros!$C$12,"Alto",IF($R1758&lt;Parametros!$C$13,"Bajo","Medio"))</f>
        <v>Alto</v>
      </c>
      <c r="Z1758" s="61" t="n">
        <v>14</v>
      </c>
      <c r="AA1758" s="61" t="str">
        <f aca="false">IF(MATCH($A1758,Datos_Origen!$A$2:$A$2459,0)=$Z1758,"OK","REVISAR")</f>
        <v>OK</v>
      </c>
      <c r="AB1758" s="61" t="str">
        <f aca="false">INDEX(Datos_Origen!$B$2:$B$2459,$Z1758)</f>
        <v>2025-06-15</v>
      </c>
      <c r="AC1758" s="61" t="n">
        <f aca="false">INDEX(Datos_Origen!$H$2:$H$2459,$Z1758)</f>
        <v>24</v>
      </c>
      <c r="AD1758" s="61" t="str">
        <f aca="false">INDEX(Datos_Origen!$D$2:$D$2459,$Z1758)&amp;""</f>
        <v>Rosario</v>
      </c>
    </row>
    <row r="1759" customFormat="false" ht="15" hidden="false" customHeight="false" outlineLevel="0" collapsed="false">
      <c r="A1759" s="61" t="n">
        <f aca="false">INDEX(Datos_Origen!$A$2:$A$2459,$Z1759)</f>
        <v>1758</v>
      </c>
      <c r="B1759" s="62" t="n">
        <f aca="false">IF(ISNUMBER($AB1759),$AB1759,IF(MID($AB1759,5,1)="-",DATE(VALUE(LEFT($AB1759,4)),VALUE(MID($AB1759,6,2)),VALUE(RIGHT($AB1759,2))),DATE(VALUE(RIGHT($AB1759,4)),VALUE(MID($AB1759,4,2)),VALUE(LEFT($AB1759,2)))))</f>
        <v>45830</v>
      </c>
      <c r="C1759" s="61" t="n">
        <f aca="false">YEAR($B1759)</f>
        <v>2025</v>
      </c>
      <c r="D1759" s="61" t="str">
        <f aca="false">"Q"&amp;ROUNDUP(MONTH($B1759)/3,0)</f>
        <v>Q2</v>
      </c>
      <c r="E1759" s="61" t="n">
        <f aca="false">MONTH($B1759)</f>
        <v>6</v>
      </c>
      <c r="F1759" s="61" t="str">
        <f aca="false">INDEX(Parametros!$I$5:$I$16,$E1759)</f>
        <v>Jun</v>
      </c>
      <c r="G1759" s="61" t="str">
        <f aca="false">TEXT($C1759,"0000")&amp;"-"&amp;TEXT($E1759,"00")</f>
        <v>2025-06</v>
      </c>
      <c r="H1759" s="61" t="str">
        <f aca="false">INDEX(Parametros!$C$71:$C$91,MATCH(TRIM(INDEX(Datos_Origen!$C$2:$C$2459,$Z1759)),Parametros!$B$71:$B$91,0))</f>
        <v>Litoral</v>
      </c>
      <c r="I1759" s="61" t="str">
        <f aca="false">IF(TRIM($AD1759)="",INDEX(Parametros!$I$20:$I$24,MATCH($H1759,Parametros!$H$20:$H$24,0)),TRIM($AD1759))</f>
        <v>Rosario</v>
      </c>
      <c r="J1759" s="61" t="str">
        <f aca="false">INDEX(Parametros!$C$95:$C$106,MATCH(TRIM(INDEX(Datos_Origen!$E$2:$E$2459,$Z1759)),Parametros!$B$95:$B$106,0))</f>
        <v>E-commerce</v>
      </c>
      <c r="K1759" s="61" t="str">
        <f aca="false">INDEX(Parametros!$C$48:$C$67,MATCH(TRIM(INDEX(Datos_Origen!$F$2:$F$2459,$Z1759)),Parametros!$B$48:$B$67,0))</f>
        <v>Almacenamiento</v>
      </c>
      <c r="L1759" s="61" t="str">
        <f aca="false">$K1759&amp;" "&amp;$C1759</f>
        <v>Almacenamiento 2025</v>
      </c>
      <c r="M1759" s="61" t="str">
        <f aca="false">TRIM(INDEX(Datos_Origen!$G$2:$G$2459,$Z1759))</f>
        <v>SSD Externo 1TB</v>
      </c>
      <c r="N1759" s="61" t="str">
        <f aca="false">$M1759&amp;" "&amp;$C1759</f>
        <v>SSD Externo 1TB 2025</v>
      </c>
      <c r="O1759" s="63" t="n">
        <f aca="false">IF(ISTEXT($AC1759),VALUE($AC1759),$AC1759)</f>
        <v>17</v>
      </c>
      <c r="P1759" s="64" t="n">
        <f aca="false">INDEX(Datos_Origen!$I$2:$I$2459,$Z1759)</f>
        <v>129.17</v>
      </c>
      <c r="Q1759" s="64" t="n">
        <f aca="false">INDEX(Datos_Origen!$J$2:$J$2459,$Z1759)</f>
        <v>78.33</v>
      </c>
      <c r="R1759" s="65" t="n">
        <f aca="false">ROUND($O1759*$P1759,2)</f>
        <v>2195.89</v>
      </c>
      <c r="S1759" s="65" t="n">
        <f aca="false">ROUND($O1759*$Q1759,2)</f>
        <v>1331.61</v>
      </c>
      <c r="T1759" s="65" t="n">
        <f aca="false">ROUND($R1759*SUMIFS(Parametros!$E$28:$E$43,Parametros!$B$28:$B$43,$J1759,Parametros!$C$28:$C$43,$C1759,Parametros!$D$28:$D$43,$D1759),2)</f>
        <v>162.5</v>
      </c>
      <c r="U1759" s="65" t="n">
        <f aca="false">$R1759-$S1759-$T1759</f>
        <v>701.78</v>
      </c>
      <c r="V1759" s="66" t="n">
        <f aca="false">IFERROR($U1759/$R1759,0)</f>
        <v>0.319587957502425</v>
      </c>
      <c r="W1759" s="67" t="str">
        <f aca="false">IF(AND($V1759&gt;=Parametros!$C$8,$R1759&gt;=Parametros!$C$12),"Alta rentabilidad",IF(OR($V1759&lt;Parametros!$C$11,$R1759&lt;Parametros!$C$13),"Revisar","Estandar"))</f>
        <v>Estandar</v>
      </c>
      <c r="X1759" s="67" t="str">
        <f aca="false">IF(AND($J1759="E-commerce",IFERROR($T1759/$R1759,0)&gt;Parametros!$C$14),"Alerta","OK")</f>
        <v>Alerta</v>
      </c>
      <c r="Y1759" s="61" t="str">
        <f aca="false">IF($R1759&gt;=Parametros!$C$12,"Alto",IF($R1759&lt;Parametros!$C$13,"Bajo","Medio"))</f>
        <v>Medio</v>
      </c>
      <c r="Z1759" s="61" t="n">
        <v>1664</v>
      </c>
      <c r="AA1759" s="61" t="str">
        <f aca="false">IF(MATCH($A1759,Datos_Origen!$A$2:$A$2459,0)=$Z1759,"OK","REVISAR")</f>
        <v>OK</v>
      </c>
      <c r="AB1759" s="62" t="n">
        <f aca="false">INDEX(Datos_Origen!$B$2:$B$2459,$Z1759)</f>
        <v>45830</v>
      </c>
      <c r="AC1759" s="61" t="n">
        <f aca="false">INDEX(Datos_Origen!$H$2:$H$2459,$Z1759)</f>
        <v>17</v>
      </c>
      <c r="AD1759" s="61" t="str">
        <f aca="false">INDEX(Datos_Origen!$D$2:$D$2459,$Z1759)&amp;""</f>
        <v/>
      </c>
    </row>
    <row r="1760" customFormat="false" ht="15" hidden="false" customHeight="false" outlineLevel="0" collapsed="false">
      <c r="A1760" s="61" t="n">
        <f aca="false">INDEX(Datos_Origen!$A$2:$A$2459,$Z1760)</f>
        <v>1759</v>
      </c>
      <c r="B1760" s="62" t="n">
        <f aca="false">IF(ISNUMBER($AB1760),$AB1760,IF(MID($AB1760,5,1)="-",DATE(VALUE(LEFT($AB1760,4)),VALUE(MID($AB1760,6,2)),VALUE(RIGHT($AB1760,2))),DATE(VALUE(RIGHT($AB1760,4)),VALUE(MID($AB1760,4,2)),VALUE(LEFT($AB1760,2)))))</f>
        <v>45810</v>
      </c>
      <c r="C1760" s="61" t="n">
        <f aca="false">YEAR($B1760)</f>
        <v>2025</v>
      </c>
      <c r="D1760" s="61" t="str">
        <f aca="false">"Q"&amp;ROUNDUP(MONTH($B1760)/3,0)</f>
        <v>Q2</v>
      </c>
      <c r="E1760" s="61" t="n">
        <f aca="false">MONTH($B1760)</f>
        <v>6</v>
      </c>
      <c r="F1760" s="61" t="str">
        <f aca="false">INDEX(Parametros!$I$5:$I$16,$E1760)</f>
        <v>Jun</v>
      </c>
      <c r="G1760" s="61" t="str">
        <f aca="false">TEXT($C1760,"0000")&amp;"-"&amp;TEXT($E1760,"00")</f>
        <v>2025-06</v>
      </c>
      <c r="H1760" s="61" t="str">
        <f aca="false">INDEX(Parametros!$C$71:$C$91,MATCH(TRIM(INDEX(Datos_Origen!$C$2:$C$2459,$Z1760)),Parametros!$B$71:$B$91,0))</f>
        <v>Litoral</v>
      </c>
      <c r="I1760" s="61" t="str">
        <f aca="false">IF(TRIM($AD1760)="",INDEX(Parametros!$I$20:$I$24,MATCH($H1760,Parametros!$H$20:$H$24,0)),TRIM($AD1760))</f>
        <v>Rosario</v>
      </c>
      <c r="J1760" s="61" t="str">
        <f aca="false">INDEX(Parametros!$C$95:$C$106,MATCH(TRIM(INDEX(Datos_Origen!$E$2:$E$2459,$Z1760)),Parametros!$B$95:$B$106,0))</f>
        <v>Tienda fisica</v>
      </c>
      <c r="K1760" s="61" t="str">
        <f aca="false">INDEX(Parametros!$C$48:$C$67,MATCH(TRIM(INDEX(Datos_Origen!$F$2:$F$2459,$Z1760)),Parametros!$B$48:$B$67,0))</f>
        <v>Almacenamiento</v>
      </c>
      <c r="L1760" s="61" t="str">
        <f aca="false">$K1760&amp;" "&amp;$C1760</f>
        <v>Almacenamiento 2025</v>
      </c>
      <c r="M1760" s="61" t="str">
        <f aca="false">TRIM(INDEX(Datos_Origen!$G$2:$G$2459,$Z1760))</f>
        <v>Pendrive 256GB</v>
      </c>
      <c r="N1760" s="61" t="str">
        <f aca="false">$M1760&amp;" "&amp;$C1760</f>
        <v>Pendrive 256GB 2025</v>
      </c>
      <c r="O1760" s="63" t="n">
        <f aca="false">IF(ISTEXT($AC1760),VALUE($AC1760),$AC1760)</f>
        <v>28</v>
      </c>
      <c r="P1760" s="64" t="n">
        <f aca="false">INDEX(Datos_Origen!$I$2:$I$2459,$Z1760)</f>
        <v>34.78</v>
      </c>
      <c r="Q1760" s="64" t="n">
        <f aca="false">INDEX(Datos_Origen!$J$2:$J$2459,$Z1760)</f>
        <v>18.39</v>
      </c>
      <c r="R1760" s="65" t="n">
        <f aca="false">ROUND($O1760*$P1760,2)</f>
        <v>973.84</v>
      </c>
      <c r="S1760" s="65" t="n">
        <f aca="false">ROUND($O1760*$Q1760,2)</f>
        <v>514.92</v>
      </c>
      <c r="T1760" s="65" t="n">
        <f aca="false">ROUND($R1760*SUMIFS(Parametros!$E$28:$E$43,Parametros!$B$28:$B$43,$J1760,Parametros!$C$28:$C$43,$C1760,Parametros!$D$28:$D$43,$D1760),2)</f>
        <v>13.63</v>
      </c>
      <c r="U1760" s="65" t="n">
        <f aca="false">$R1760-$S1760-$T1760</f>
        <v>445.29</v>
      </c>
      <c r="V1760" s="66" t="n">
        <f aca="false">IFERROR($U1760/$R1760,0)</f>
        <v>0.45725170459213</v>
      </c>
      <c r="W1760" s="67" t="str">
        <f aca="false">IF(AND($V1760&gt;=Parametros!$C$8,$R1760&gt;=Parametros!$C$12),"Alta rentabilidad",IF(OR($V1760&lt;Parametros!$C$11,$R1760&lt;Parametros!$C$13),"Revisar","Estandar"))</f>
        <v>Estandar</v>
      </c>
      <c r="X1760" s="67" t="str">
        <f aca="false">IF(AND($J1760="E-commerce",IFERROR($T1760/$R1760,0)&gt;Parametros!$C$14),"Alerta","OK")</f>
        <v>OK</v>
      </c>
      <c r="Y1760" s="61" t="str">
        <f aca="false">IF($R1760&gt;=Parametros!$C$12,"Alto",IF($R1760&lt;Parametros!$C$13,"Bajo","Medio"))</f>
        <v>Medio</v>
      </c>
      <c r="Z1760" s="61" t="n">
        <v>421</v>
      </c>
      <c r="AA1760" s="61" t="str">
        <f aca="false">IF(MATCH($A1760,Datos_Origen!$A$2:$A$2459,0)=$Z1760,"OK","REVISAR")</f>
        <v>OK</v>
      </c>
      <c r="AB1760" s="61" t="str">
        <f aca="false">INDEX(Datos_Origen!$B$2:$B$2459,$Z1760)</f>
        <v>2025-06-02</v>
      </c>
      <c r="AC1760" s="61" t="n">
        <f aca="false">INDEX(Datos_Origen!$H$2:$H$2459,$Z1760)</f>
        <v>28</v>
      </c>
      <c r="AD1760" s="61" t="str">
        <f aca="false">INDEX(Datos_Origen!$D$2:$D$2459,$Z1760)&amp;""</f>
        <v>Rosario</v>
      </c>
    </row>
    <row r="1761" customFormat="false" ht="15" hidden="false" customHeight="false" outlineLevel="0" collapsed="false">
      <c r="A1761" s="61" t="n">
        <f aca="false">INDEX(Datos_Origen!$A$2:$A$2459,$Z1761)</f>
        <v>1760</v>
      </c>
      <c r="B1761" s="62" t="n">
        <f aca="false">IF(ISNUMBER($AB1761),$AB1761,IF(MID($AB1761,5,1)="-",DATE(VALUE(LEFT($AB1761,4)),VALUE(MID($AB1761,6,2)),VALUE(RIGHT($AB1761,2))),DATE(VALUE(RIGHT($AB1761,4)),VALUE(MID($AB1761,4,2)),VALUE(LEFT($AB1761,2)))))</f>
        <v>45817</v>
      </c>
      <c r="C1761" s="61" t="n">
        <f aca="false">YEAR($B1761)</f>
        <v>2025</v>
      </c>
      <c r="D1761" s="61" t="str">
        <f aca="false">"Q"&amp;ROUNDUP(MONTH($B1761)/3,0)</f>
        <v>Q2</v>
      </c>
      <c r="E1761" s="61" t="n">
        <f aca="false">MONTH($B1761)</f>
        <v>6</v>
      </c>
      <c r="F1761" s="61" t="str">
        <f aca="false">INDEX(Parametros!$I$5:$I$16,$E1761)</f>
        <v>Jun</v>
      </c>
      <c r="G1761" s="61" t="str">
        <f aca="false">TEXT($C1761,"0000")&amp;"-"&amp;TEXT($E1761,"00")</f>
        <v>2025-06</v>
      </c>
      <c r="H1761" s="61" t="str">
        <f aca="false">INDEX(Parametros!$C$71:$C$91,MATCH(TRIM(INDEX(Datos_Origen!$C$2:$C$2459,$Z1761)),Parametros!$B$71:$B$91,0))</f>
        <v>Litoral</v>
      </c>
      <c r="I1761" s="61" t="str">
        <f aca="false">IF(TRIM($AD1761)="",INDEX(Parametros!$I$20:$I$24,MATCH($H1761,Parametros!$H$20:$H$24,0)),TRIM($AD1761))</f>
        <v>Rosario</v>
      </c>
      <c r="J1761" s="61" t="str">
        <f aca="false">INDEX(Parametros!$C$95:$C$106,MATCH(TRIM(INDEX(Datos_Origen!$E$2:$E$2459,$Z1761)),Parametros!$B$95:$B$106,0))</f>
        <v>E-commerce</v>
      </c>
      <c r="K1761" s="61" t="str">
        <f aca="false">INDEX(Parametros!$C$48:$C$67,MATCH(TRIM(INDEX(Datos_Origen!$F$2:$F$2459,$Z1761)),Parametros!$B$48:$B$67,0))</f>
        <v>Almacenamiento</v>
      </c>
      <c r="L1761" s="61" t="str">
        <f aca="false">$K1761&amp;" "&amp;$C1761</f>
        <v>Almacenamiento 2025</v>
      </c>
      <c r="M1761" s="61" t="str">
        <f aca="false">TRIM(INDEX(Datos_Origen!$G$2:$G$2459,$Z1761))</f>
        <v>Pendrive 256GB</v>
      </c>
      <c r="N1761" s="61" t="str">
        <f aca="false">$M1761&amp;" "&amp;$C1761</f>
        <v>Pendrive 256GB 2025</v>
      </c>
      <c r="O1761" s="63" t="n">
        <f aca="false">IF(ISTEXT($AC1761),VALUE($AC1761),$AC1761)</f>
        <v>16</v>
      </c>
      <c r="P1761" s="64" t="n">
        <f aca="false">INDEX(Datos_Origen!$I$2:$I$2459,$Z1761)</f>
        <v>34.78</v>
      </c>
      <c r="Q1761" s="64" t="n">
        <f aca="false">INDEX(Datos_Origen!$J$2:$J$2459,$Z1761)</f>
        <v>18.39</v>
      </c>
      <c r="R1761" s="65" t="n">
        <f aca="false">ROUND($O1761*$P1761,2)</f>
        <v>556.48</v>
      </c>
      <c r="S1761" s="65" t="n">
        <f aca="false">ROUND($O1761*$Q1761,2)</f>
        <v>294.24</v>
      </c>
      <c r="T1761" s="65" t="n">
        <f aca="false">ROUND($R1761*SUMIFS(Parametros!$E$28:$E$43,Parametros!$B$28:$B$43,$J1761,Parametros!$C$28:$C$43,$C1761,Parametros!$D$28:$D$43,$D1761),2)</f>
        <v>41.18</v>
      </c>
      <c r="U1761" s="65" t="n">
        <f aca="false">$R1761-$S1761-$T1761</f>
        <v>221.06</v>
      </c>
      <c r="V1761" s="66" t="n">
        <f aca="false">IFERROR($U1761/$R1761,0)</f>
        <v>0.397246981023577</v>
      </c>
      <c r="W1761" s="67" t="str">
        <f aca="false">IF(AND($V1761&gt;=Parametros!$C$8,$R1761&gt;=Parametros!$C$12),"Alta rentabilidad",IF(OR($V1761&lt;Parametros!$C$11,$R1761&lt;Parametros!$C$13),"Revisar","Estandar"))</f>
        <v>Estandar</v>
      </c>
      <c r="X1761" s="67" t="str">
        <f aca="false">IF(AND($J1761="E-commerce",IFERROR($T1761/$R1761,0)&gt;Parametros!$C$14),"Alerta","OK")</f>
        <v>Alerta</v>
      </c>
      <c r="Y1761" s="61" t="str">
        <f aca="false">IF($R1761&gt;=Parametros!$C$12,"Alto",IF($R1761&lt;Parametros!$C$13,"Bajo","Medio"))</f>
        <v>Medio</v>
      </c>
      <c r="Z1761" s="61" t="n">
        <v>356</v>
      </c>
      <c r="AA1761" s="61" t="str">
        <f aca="false">IF(MATCH($A1761,Datos_Origen!$A$2:$A$2459,0)=$Z1761,"OK","REVISAR")</f>
        <v>OK</v>
      </c>
      <c r="AB1761" s="61" t="str">
        <f aca="false">INDEX(Datos_Origen!$B$2:$B$2459,$Z1761)</f>
        <v>2025-06-09</v>
      </c>
      <c r="AC1761" s="61" t="n">
        <f aca="false">INDEX(Datos_Origen!$H$2:$H$2459,$Z1761)</f>
        <v>16</v>
      </c>
      <c r="AD1761" s="61" t="str">
        <f aca="false">INDEX(Datos_Origen!$D$2:$D$2459,$Z1761)&amp;""</f>
        <v/>
      </c>
    </row>
    <row r="1762" customFormat="false" ht="15" hidden="false" customHeight="false" outlineLevel="0" collapsed="false">
      <c r="A1762" s="61" t="n">
        <f aca="false">INDEX(Datos_Origen!$A$2:$A$2459,$Z1762)</f>
        <v>1761</v>
      </c>
      <c r="B1762" s="62" t="n">
        <f aca="false">IF(ISNUMBER($AB1762),$AB1762,IF(MID($AB1762,5,1)="-",DATE(VALUE(LEFT($AB1762,4)),VALUE(MID($AB1762,6,2)),VALUE(RIGHT($AB1762,2))),DATE(VALUE(RIGHT($AB1762,4)),VALUE(MID($AB1762,4,2)),VALUE(LEFT($AB1762,2)))))</f>
        <v>45824</v>
      </c>
      <c r="C1762" s="61" t="n">
        <f aca="false">YEAR($B1762)</f>
        <v>2025</v>
      </c>
      <c r="D1762" s="61" t="str">
        <f aca="false">"Q"&amp;ROUNDUP(MONTH($B1762)/3,0)</f>
        <v>Q2</v>
      </c>
      <c r="E1762" s="61" t="n">
        <f aca="false">MONTH($B1762)</f>
        <v>6</v>
      </c>
      <c r="F1762" s="61" t="str">
        <f aca="false">INDEX(Parametros!$I$5:$I$16,$E1762)</f>
        <v>Jun</v>
      </c>
      <c r="G1762" s="61" t="str">
        <f aca="false">TEXT($C1762,"0000")&amp;"-"&amp;TEXT($E1762,"00")</f>
        <v>2025-06</v>
      </c>
      <c r="H1762" s="61" t="str">
        <f aca="false">INDEX(Parametros!$C$71:$C$91,MATCH(TRIM(INDEX(Datos_Origen!$C$2:$C$2459,$Z1762)),Parametros!$B$71:$B$91,0))</f>
        <v>Cuyo</v>
      </c>
      <c r="I1762" s="61" t="str">
        <f aca="false">IF(TRIM($AD1762)="",INDEX(Parametros!$I$20:$I$24,MATCH($H1762,Parametros!$H$20:$H$24,0)),TRIM($AD1762))</f>
        <v>Mendoza</v>
      </c>
      <c r="J1762" s="61" t="str">
        <f aca="false">INDEX(Parametros!$C$95:$C$106,MATCH(TRIM(INDEX(Datos_Origen!$E$2:$E$2459,$Z1762)),Parametros!$B$95:$B$106,0))</f>
        <v>Tienda fisica</v>
      </c>
      <c r="K1762" s="61" t="str">
        <f aca="false">INDEX(Parametros!$C$48:$C$67,MATCH(TRIM(INDEX(Datos_Origen!$F$2:$F$2459,$Z1762)),Parametros!$B$48:$B$67,0))</f>
        <v>Computacion</v>
      </c>
      <c r="L1762" s="61" t="str">
        <f aca="false">$K1762&amp;" "&amp;$C1762</f>
        <v>Computacion 2025</v>
      </c>
      <c r="M1762" s="61" t="str">
        <f aca="false">TRIM(INDEX(Datos_Origen!$G$2:$G$2459,$Z1762))</f>
        <v>Laptop Pro 15</v>
      </c>
      <c r="N1762" s="61" t="str">
        <f aca="false">$M1762&amp;" "&amp;$C1762</f>
        <v>Laptop Pro 15 2025</v>
      </c>
      <c r="O1762" s="63" t="n">
        <f aca="false">IF(ISTEXT($AC1762),VALUE($AC1762),$AC1762)</f>
        <v>7</v>
      </c>
      <c r="P1762" s="64" t="n">
        <f aca="false">INDEX(Datos_Origen!$I$2:$I$2459,$Z1762)</f>
        <v>1155.06</v>
      </c>
      <c r="Q1762" s="64" t="n">
        <f aca="false">INDEX(Datos_Origen!$J$2:$J$2459,$Z1762)</f>
        <v>766.32</v>
      </c>
      <c r="R1762" s="65" t="n">
        <f aca="false">ROUND($O1762*$P1762,2)</f>
        <v>8085.42</v>
      </c>
      <c r="S1762" s="65" t="n">
        <f aca="false">ROUND($O1762*$Q1762,2)</f>
        <v>5364.24</v>
      </c>
      <c r="T1762" s="65" t="n">
        <f aca="false">ROUND($R1762*SUMIFS(Parametros!$E$28:$E$43,Parametros!$B$28:$B$43,$J1762,Parametros!$C$28:$C$43,$C1762,Parametros!$D$28:$D$43,$D1762),2)</f>
        <v>113.2</v>
      </c>
      <c r="U1762" s="65" t="n">
        <f aca="false">$R1762-$S1762-$T1762</f>
        <v>2607.98</v>
      </c>
      <c r="V1762" s="66" t="n">
        <f aca="false">IFERROR($U1762/$R1762,0)</f>
        <v>0.322553435690416</v>
      </c>
      <c r="W1762" s="67" t="str">
        <f aca="false">IF(AND($V1762&gt;=Parametros!$C$8,$R1762&gt;=Parametros!$C$12),"Alta rentabilidad",IF(OR($V1762&lt;Parametros!$C$11,$R1762&lt;Parametros!$C$13),"Revisar","Estandar"))</f>
        <v>Estandar</v>
      </c>
      <c r="X1762" s="67" t="str">
        <f aca="false">IF(AND($J1762="E-commerce",IFERROR($T1762/$R1762,0)&gt;Parametros!$C$14),"Alerta","OK")</f>
        <v>OK</v>
      </c>
      <c r="Y1762" s="61" t="str">
        <f aca="false">IF($R1762&gt;=Parametros!$C$12,"Alto",IF($R1762&lt;Parametros!$C$13,"Bajo","Medio"))</f>
        <v>Alto</v>
      </c>
      <c r="Z1762" s="61" t="n">
        <v>1227</v>
      </c>
      <c r="AA1762" s="61" t="str">
        <f aca="false">IF(MATCH($A1762,Datos_Origen!$A$2:$A$2459,0)=$Z1762,"OK","REVISAR")</f>
        <v>OK</v>
      </c>
      <c r="AB1762" s="61" t="str">
        <f aca="false">INDEX(Datos_Origen!$B$2:$B$2459,$Z1762)</f>
        <v>2025-06-16</v>
      </c>
      <c r="AC1762" s="61" t="n">
        <f aca="false">INDEX(Datos_Origen!$H$2:$H$2459,$Z1762)</f>
        <v>7</v>
      </c>
      <c r="AD1762" s="61" t="str">
        <f aca="false">INDEX(Datos_Origen!$D$2:$D$2459,$Z1762)&amp;""</f>
        <v/>
      </c>
    </row>
    <row r="1763" customFormat="false" ht="15" hidden="false" customHeight="false" outlineLevel="0" collapsed="false">
      <c r="A1763" s="61" t="n">
        <f aca="false">INDEX(Datos_Origen!$A$2:$A$2459,$Z1763)</f>
        <v>1762</v>
      </c>
      <c r="B1763" s="62" t="n">
        <f aca="false">IF(ISNUMBER($AB1763),$AB1763,IF(MID($AB1763,5,1)="-",DATE(VALUE(LEFT($AB1763,4)),VALUE(MID($AB1763,6,2)),VALUE(RIGHT($AB1763,2))),DATE(VALUE(RIGHT($AB1763,4)),VALUE(MID($AB1763,4,2)),VALUE(LEFT($AB1763,2)))))</f>
        <v>45831</v>
      </c>
      <c r="C1763" s="61" t="n">
        <f aca="false">YEAR($B1763)</f>
        <v>2025</v>
      </c>
      <c r="D1763" s="61" t="str">
        <f aca="false">"Q"&amp;ROUNDUP(MONTH($B1763)/3,0)</f>
        <v>Q2</v>
      </c>
      <c r="E1763" s="61" t="n">
        <f aca="false">MONTH($B1763)</f>
        <v>6</v>
      </c>
      <c r="F1763" s="61" t="str">
        <f aca="false">INDEX(Parametros!$I$5:$I$16,$E1763)</f>
        <v>Jun</v>
      </c>
      <c r="G1763" s="61" t="str">
        <f aca="false">TEXT($C1763,"0000")&amp;"-"&amp;TEXT($E1763,"00")</f>
        <v>2025-06</v>
      </c>
      <c r="H1763" s="61" t="str">
        <f aca="false">INDEX(Parametros!$C$71:$C$91,MATCH(TRIM(INDEX(Datos_Origen!$C$2:$C$2459,$Z1763)),Parametros!$B$71:$B$91,0))</f>
        <v>Cuyo</v>
      </c>
      <c r="I1763" s="61" t="str">
        <f aca="false">IF(TRIM($AD1763)="",INDEX(Parametros!$I$20:$I$24,MATCH($H1763,Parametros!$H$20:$H$24,0)),TRIM($AD1763))</f>
        <v>Mendoza</v>
      </c>
      <c r="J1763" s="61" t="str">
        <f aca="false">INDEX(Parametros!$C$95:$C$106,MATCH(TRIM(INDEX(Datos_Origen!$E$2:$E$2459,$Z1763)),Parametros!$B$95:$B$106,0))</f>
        <v>E-commerce</v>
      </c>
      <c r="K1763" s="61" t="str">
        <f aca="false">INDEX(Parametros!$C$48:$C$67,MATCH(TRIM(INDEX(Datos_Origen!$F$2:$F$2459,$Z1763)),Parametros!$B$48:$B$67,0))</f>
        <v>Computacion</v>
      </c>
      <c r="L1763" s="61" t="str">
        <f aca="false">$K1763&amp;" "&amp;$C1763</f>
        <v>Computacion 2025</v>
      </c>
      <c r="M1763" s="61" t="str">
        <f aca="false">TRIM(INDEX(Datos_Origen!$G$2:$G$2459,$Z1763))</f>
        <v>Laptop Pro 15</v>
      </c>
      <c r="N1763" s="61" t="str">
        <f aca="false">$M1763&amp;" "&amp;$C1763</f>
        <v>Laptop Pro 15 2025</v>
      </c>
      <c r="O1763" s="63" t="n">
        <f aca="false">IF(ISTEXT($AC1763),VALUE($AC1763),$AC1763)</f>
        <v>5</v>
      </c>
      <c r="P1763" s="64" t="n">
        <f aca="false">INDEX(Datos_Origen!$I$2:$I$2459,$Z1763)</f>
        <v>1155.06</v>
      </c>
      <c r="Q1763" s="64" t="n">
        <f aca="false">INDEX(Datos_Origen!$J$2:$J$2459,$Z1763)</f>
        <v>766.32</v>
      </c>
      <c r="R1763" s="65" t="n">
        <f aca="false">ROUND($O1763*$P1763,2)</f>
        <v>5775.3</v>
      </c>
      <c r="S1763" s="65" t="n">
        <f aca="false">ROUND($O1763*$Q1763,2)</f>
        <v>3831.6</v>
      </c>
      <c r="T1763" s="65" t="n">
        <f aca="false">ROUND($R1763*SUMIFS(Parametros!$E$28:$E$43,Parametros!$B$28:$B$43,$J1763,Parametros!$C$28:$C$43,$C1763,Parametros!$D$28:$D$43,$D1763),2)</f>
        <v>427.37</v>
      </c>
      <c r="U1763" s="65" t="n">
        <f aca="false">$R1763-$S1763-$T1763</f>
        <v>1516.33</v>
      </c>
      <c r="V1763" s="66" t="n">
        <f aca="false">IFERROR($U1763/$R1763,0)</f>
        <v>0.26255432618219</v>
      </c>
      <c r="W1763" s="67" t="str">
        <f aca="false">IF(AND($V1763&gt;=Parametros!$C$8,$R1763&gt;=Parametros!$C$12),"Alta rentabilidad",IF(OR($V1763&lt;Parametros!$C$11,$R1763&lt;Parametros!$C$13),"Revisar","Estandar"))</f>
        <v>Revisar</v>
      </c>
      <c r="X1763" s="67" t="str">
        <f aca="false">IF(AND($J1763="E-commerce",IFERROR($T1763/$R1763,0)&gt;Parametros!$C$14),"Alerta","OK")</f>
        <v>Alerta</v>
      </c>
      <c r="Y1763" s="61" t="str">
        <f aca="false">IF($R1763&gt;=Parametros!$C$12,"Alto",IF($R1763&lt;Parametros!$C$13,"Bajo","Medio"))</f>
        <v>Alto</v>
      </c>
      <c r="Z1763" s="61" t="n">
        <v>1297</v>
      </c>
      <c r="AA1763" s="61" t="str">
        <f aca="false">IF(MATCH($A1763,Datos_Origen!$A$2:$A$2459,0)=$Z1763,"OK","REVISAR")</f>
        <v>OK</v>
      </c>
      <c r="AB1763" s="61" t="str">
        <f aca="false">INDEX(Datos_Origen!$B$2:$B$2459,$Z1763)</f>
        <v>2025-06-23</v>
      </c>
      <c r="AC1763" s="61" t="n">
        <f aca="false">INDEX(Datos_Origen!$H$2:$H$2459,$Z1763)</f>
        <v>5</v>
      </c>
      <c r="AD1763" s="61" t="str">
        <f aca="false">INDEX(Datos_Origen!$D$2:$D$2459,$Z1763)&amp;""</f>
        <v>Mendoza</v>
      </c>
    </row>
    <row r="1764" customFormat="false" ht="15" hidden="false" customHeight="false" outlineLevel="0" collapsed="false">
      <c r="A1764" s="61" t="n">
        <f aca="false">INDEX(Datos_Origen!$A$2:$A$2459,$Z1764)</f>
        <v>1763</v>
      </c>
      <c r="B1764" s="62" t="n">
        <f aca="false">IF(ISNUMBER($AB1764),$AB1764,IF(MID($AB1764,5,1)="-",DATE(VALUE(LEFT($AB1764,4)),VALUE(MID($AB1764,6,2)),VALUE(RIGHT($AB1764,2))),DATE(VALUE(RIGHT($AB1764,4)),VALUE(MID($AB1764,4,2)),VALUE(LEFT($AB1764,2)))))</f>
        <v>45811</v>
      </c>
      <c r="C1764" s="61" t="n">
        <f aca="false">YEAR($B1764)</f>
        <v>2025</v>
      </c>
      <c r="D1764" s="61" t="str">
        <f aca="false">"Q"&amp;ROUNDUP(MONTH($B1764)/3,0)</f>
        <v>Q2</v>
      </c>
      <c r="E1764" s="61" t="n">
        <f aca="false">MONTH($B1764)</f>
        <v>6</v>
      </c>
      <c r="F1764" s="61" t="str">
        <f aca="false">INDEX(Parametros!$I$5:$I$16,$E1764)</f>
        <v>Jun</v>
      </c>
      <c r="G1764" s="61" t="str">
        <f aca="false">TEXT($C1764,"0000")&amp;"-"&amp;TEXT($E1764,"00")</f>
        <v>2025-06</v>
      </c>
      <c r="H1764" s="61" t="str">
        <f aca="false">INDEX(Parametros!$C$71:$C$91,MATCH(TRIM(INDEX(Datos_Origen!$C$2:$C$2459,$Z1764)),Parametros!$B$71:$B$91,0))</f>
        <v>Cuyo</v>
      </c>
      <c r="I1764" s="61" t="str">
        <f aca="false">IF(TRIM($AD1764)="",INDEX(Parametros!$I$20:$I$24,MATCH($H1764,Parametros!$H$20:$H$24,0)),TRIM($AD1764))</f>
        <v>Mendoza</v>
      </c>
      <c r="J1764" s="61" t="str">
        <f aca="false">INDEX(Parametros!$C$95:$C$106,MATCH(TRIM(INDEX(Datos_Origen!$E$2:$E$2459,$Z1764)),Parametros!$B$95:$B$106,0))</f>
        <v>Tienda fisica</v>
      </c>
      <c r="K1764" s="61" t="str">
        <f aca="false">INDEX(Parametros!$C$48:$C$67,MATCH(TRIM(INDEX(Datos_Origen!$F$2:$F$2459,$Z1764)),Parametros!$B$48:$B$67,0))</f>
        <v>Computacion</v>
      </c>
      <c r="L1764" s="61" t="str">
        <f aca="false">$K1764&amp;" "&amp;$C1764</f>
        <v>Computacion 2025</v>
      </c>
      <c r="M1764" s="61" t="str">
        <f aca="false">TRIM(INDEX(Datos_Origen!$G$2:$G$2459,$Z1764))</f>
        <v>Monitor 4K 27</v>
      </c>
      <c r="N1764" s="61" t="str">
        <f aca="false">$M1764&amp;" "&amp;$C1764</f>
        <v>Monitor 4K 27 2025</v>
      </c>
      <c r="O1764" s="63" t="n">
        <f aca="false">IF(ISTEXT($AC1764),VALUE($AC1764),$AC1764)</f>
        <v>7</v>
      </c>
      <c r="P1764" s="64" t="n">
        <f aca="false">INDEX(Datos_Origen!$I$2:$I$2459,$Z1764)</f>
        <v>433.15</v>
      </c>
      <c r="Q1764" s="64" t="n">
        <f aca="false">INDEX(Datos_Origen!$J$2:$J$2459,$Z1764)</f>
        <v>280.42</v>
      </c>
      <c r="R1764" s="65" t="n">
        <f aca="false">ROUND($O1764*$P1764,2)</f>
        <v>3032.05</v>
      </c>
      <c r="S1764" s="65" t="n">
        <f aca="false">ROUND($O1764*$Q1764,2)</f>
        <v>1962.94</v>
      </c>
      <c r="T1764" s="65" t="n">
        <f aca="false">ROUND($R1764*SUMIFS(Parametros!$E$28:$E$43,Parametros!$B$28:$B$43,$J1764,Parametros!$C$28:$C$43,$C1764,Parametros!$D$28:$D$43,$D1764),2)</f>
        <v>42.45</v>
      </c>
      <c r="U1764" s="65" t="n">
        <f aca="false">$R1764-$S1764-$T1764</f>
        <v>1026.66</v>
      </c>
      <c r="V1764" s="66" t="n">
        <f aca="false">IFERROR($U1764/$R1764,0)</f>
        <v>0.338602595603635</v>
      </c>
      <c r="W1764" s="67" t="str">
        <f aca="false">IF(AND($V1764&gt;=Parametros!$C$8,$R1764&gt;=Parametros!$C$12),"Alta rentabilidad",IF(OR($V1764&lt;Parametros!$C$11,$R1764&lt;Parametros!$C$13),"Revisar","Estandar"))</f>
        <v>Estandar</v>
      </c>
      <c r="X1764" s="67" t="str">
        <f aca="false">IF(AND($J1764="E-commerce",IFERROR($T1764/$R1764,0)&gt;Parametros!$C$14),"Alerta","OK")</f>
        <v>OK</v>
      </c>
      <c r="Y1764" s="61" t="str">
        <f aca="false">IF($R1764&gt;=Parametros!$C$12,"Alto",IF($R1764&lt;Parametros!$C$13,"Bajo","Medio"))</f>
        <v>Alto</v>
      </c>
      <c r="Z1764" s="61" t="n">
        <v>2169</v>
      </c>
      <c r="AA1764" s="61" t="str">
        <f aca="false">IF(MATCH($A1764,Datos_Origen!$A$2:$A$2459,0)=$Z1764,"OK","REVISAR")</f>
        <v>OK</v>
      </c>
      <c r="AB1764" s="61" t="str">
        <f aca="false">INDEX(Datos_Origen!$B$2:$B$2459,$Z1764)</f>
        <v>2025-06-03</v>
      </c>
      <c r="AC1764" s="61" t="n">
        <f aca="false">INDEX(Datos_Origen!$H$2:$H$2459,$Z1764)</f>
        <v>7</v>
      </c>
      <c r="AD1764" s="61" t="str">
        <f aca="false">INDEX(Datos_Origen!$D$2:$D$2459,$Z1764)&amp;""</f>
        <v>Mendoza</v>
      </c>
    </row>
    <row r="1765" customFormat="false" ht="15" hidden="false" customHeight="false" outlineLevel="0" collapsed="false">
      <c r="A1765" s="61" t="n">
        <f aca="false">INDEX(Datos_Origen!$A$2:$A$2459,$Z1765)</f>
        <v>1764</v>
      </c>
      <c r="B1765" s="62" t="n">
        <f aca="false">IF(ISNUMBER($AB1765),$AB1765,IF(MID($AB1765,5,1)="-",DATE(VALUE(LEFT($AB1765,4)),VALUE(MID($AB1765,6,2)),VALUE(RIGHT($AB1765,2))),DATE(VALUE(RIGHT($AB1765,4)),VALUE(MID($AB1765,4,2)),VALUE(LEFT($AB1765,2)))))</f>
        <v>45818</v>
      </c>
      <c r="C1765" s="61" t="n">
        <f aca="false">YEAR($B1765)</f>
        <v>2025</v>
      </c>
      <c r="D1765" s="61" t="str">
        <f aca="false">"Q"&amp;ROUNDUP(MONTH($B1765)/3,0)</f>
        <v>Q2</v>
      </c>
      <c r="E1765" s="61" t="n">
        <f aca="false">MONTH($B1765)</f>
        <v>6</v>
      </c>
      <c r="F1765" s="61" t="str">
        <f aca="false">INDEX(Parametros!$I$5:$I$16,$E1765)</f>
        <v>Jun</v>
      </c>
      <c r="G1765" s="61" t="str">
        <f aca="false">TEXT($C1765,"0000")&amp;"-"&amp;TEXT($E1765,"00")</f>
        <v>2025-06</v>
      </c>
      <c r="H1765" s="61" t="str">
        <f aca="false">INDEX(Parametros!$C$71:$C$91,MATCH(TRIM(INDEX(Datos_Origen!$C$2:$C$2459,$Z1765)),Parametros!$B$71:$B$91,0))</f>
        <v>Cuyo</v>
      </c>
      <c r="I1765" s="61" t="str">
        <f aca="false">IF(TRIM($AD1765)="",INDEX(Parametros!$I$20:$I$24,MATCH($H1765,Parametros!$H$20:$H$24,0)),TRIM($AD1765))</f>
        <v>Mendoza</v>
      </c>
      <c r="J1765" s="61" t="str">
        <f aca="false">INDEX(Parametros!$C$95:$C$106,MATCH(TRIM(INDEX(Datos_Origen!$E$2:$E$2459,$Z1765)),Parametros!$B$95:$B$106,0))</f>
        <v>E-commerce</v>
      </c>
      <c r="K1765" s="61" t="str">
        <f aca="false">INDEX(Parametros!$C$48:$C$67,MATCH(TRIM(INDEX(Datos_Origen!$F$2:$F$2459,$Z1765)),Parametros!$B$48:$B$67,0))</f>
        <v>Computacion</v>
      </c>
      <c r="L1765" s="61" t="str">
        <f aca="false">$K1765&amp;" "&amp;$C1765</f>
        <v>Computacion 2025</v>
      </c>
      <c r="M1765" s="61" t="str">
        <f aca="false">TRIM(INDEX(Datos_Origen!$G$2:$G$2459,$Z1765))</f>
        <v>Monitor 4K 27</v>
      </c>
      <c r="N1765" s="61" t="str">
        <f aca="false">$M1765&amp;" "&amp;$C1765</f>
        <v>Monitor 4K 27 2025</v>
      </c>
      <c r="O1765" s="63" t="n">
        <f aca="false">IF(ISTEXT($AC1765),VALUE($AC1765),$AC1765)</f>
        <v>5</v>
      </c>
      <c r="P1765" s="64" t="n">
        <f aca="false">INDEX(Datos_Origen!$I$2:$I$2459,$Z1765)</f>
        <v>433.15</v>
      </c>
      <c r="Q1765" s="64" t="n">
        <f aca="false">INDEX(Datos_Origen!$J$2:$J$2459,$Z1765)</f>
        <v>280.42</v>
      </c>
      <c r="R1765" s="65" t="n">
        <f aca="false">ROUND($O1765*$P1765,2)</f>
        <v>2165.75</v>
      </c>
      <c r="S1765" s="65" t="n">
        <f aca="false">ROUND($O1765*$Q1765,2)</f>
        <v>1402.1</v>
      </c>
      <c r="T1765" s="65" t="n">
        <f aca="false">ROUND($R1765*SUMIFS(Parametros!$E$28:$E$43,Parametros!$B$28:$B$43,$J1765,Parametros!$C$28:$C$43,$C1765,Parametros!$D$28:$D$43,$D1765),2)</f>
        <v>160.27</v>
      </c>
      <c r="U1765" s="65" t="n">
        <f aca="false">$R1765-$S1765-$T1765</f>
        <v>603.38</v>
      </c>
      <c r="V1765" s="66" t="n">
        <f aca="false">IFERROR($U1765/$R1765,0)</f>
        <v>0.278600946554312</v>
      </c>
      <c r="W1765" s="67" t="str">
        <f aca="false">IF(AND($V1765&gt;=Parametros!$C$8,$R1765&gt;=Parametros!$C$12),"Alta rentabilidad",IF(OR($V1765&lt;Parametros!$C$11,$R1765&lt;Parametros!$C$13),"Revisar","Estandar"))</f>
        <v>Revisar</v>
      </c>
      <c r="X1765" s="67" t="str">
        <f aca="false">IF(AND($J1765="E-commerce",IFERROR($T1765/$R1765,0)&gt;Parametros!$C$14),"Alerta","OK")</f>
        <v>Alerta</v>
      </c>
      <c r="Y1765" s="61" t="str">
        <f aca="false">IF($R1765&gt;=Parametros!$C$12,"Alto",IF($R1765&lt;Parametros!$C$13,"Bajo","Medio"))</f>
        <v>Medio</v>
      </c>
      <c r="Z1765" s="61" t="n">
        <v>436</v>
      </c>
      <c r="AA1765" s="61" t="str">
        <f aca="false">IF(MATCH($A1765,Datos_Origen!$A$2:$A$2459,0)=$Z1765,"OK","REVISAR")</f>
        <v>OK</v>
      </c>
      <c r="AB1765" s="62" t="n">
        <f aca="false">INDEX(Datos_Origen!$B$2:$B$2459,$Z1765)</f>
        <v>45818</v>
      </c>
      <c r="AC1765" s="61" t="n">
        <f aca="false">INDEX(Datos_Origen!$H$2:$H$2459,$Z1765)</f>
        <v>5</v>
      </c>
      <c r="AD1765" s="61" t="str">
        <f aca="false">INDEX(Datos_Origen!$D$2:$D$2459,$Z1765)&amp;""</f>
        <v>Mendoza</v>
      </c>
    </row>
    <row r="1766" customFormat="false" ht="15" hidden="false" customHeight="false" outlineLevel="0" collapsed="false">
      <c r="A1766" s="61" t="n">
        <f aca="false">INDEX(Datos_Origen!$A$2:$A$2459,$Z1766)</f>
        <v>1765</v>
      </c>
      <c r="B1766" s="62" t="n">
        <f aca="false">IF(ISNUMBER($AB1766),$AB1766,IF(MID($AB1766,5,1)="-",DATE(VALUE(LEFT($AB1766,4)),VALUE(MID($AB1766,6,2)),VALUE(RIGHT($AB1766,2))),DATE(VALUE(RIGHT($AB1766,4)),VALUE(MID($AB1766,4,2)),VALUE(LEFT($AB1766,2)))))</f>
        <v>45825</v>
      </c>
      <c r="C1766" s="61" t="n">
        <f aca="false">YEAR($B1766)</f>
        <v>2025</v>
      </c>
      <c r="D1766" s="61" t="str">
        <f aca="false">"Q"&amp;ROUNDUP(MONTH($B1766)/3,0)</f>
        <v>Q2</v>
      </c>
      <c r="E1766" s="61" t="n">
        <f aca="false">MONTH($B1766)</f>
        <v>6</v>
      </c>
      <c r="F1766" s="61" t="str">
        <f aca="false">INDEX(Parametros!$I$5:$I$16,$E1766)</f>
        <v>Jun</v>
      </c>
      <c r="G1766" s="61" t="str">
        <f aca="false">TEXT($C1766,"0000")&amp;"-"&amp;TEXT($E1766,"00")</f>
        <v>2025-06</v>
      </c>
      <c r="H1766" s="61" t="str">
        <f aca="false">INDEX(Parametros!$C$71:$C$91,MATCH(TRIM(INDEX(Datos_Origen!$C$2:$C$2459,$Z1766)),Parametros!$B$71:$B$91,0))</f>
        <v>Cuyo</v>
      </c>
      <c r="I1766" s="61" t="str">
        <f aca="false">IF(TRIM($AD1766)="",INDEX(Parametros!$I$20:$I$24,MATCH($H1766,Parametros!$H$20:$H$24,0)),TRIM($AD1766))</f>
        <v>Mendoza</v>
      </c>
      <c r="J1766" s="61" t="str">
        <f aca="false">INDEX(Parametros!$C$95:$C$106,MATCH(TRIM(INDEX(Datos_Origen!$E$2:$E$2459,$Z1766)),Parametros!$B$95:$B$106,0))</f>
        <v>Tienda fisica</v>
      </c>
      <c r="K1766" s="61" t="str">
        <f aca="false">INDEX(Parametros!$C$48:$C$67,MATCH(TRIM(INDEX(Datos_Origen!$F$2:$F$2459,$Z1766)),Parametros!$B$48:$B$67,0))</f>
        <v>Computacion</v>
      </c>
      <c r="L1766" s="61" t="str">
        <f aca="false">$K1766&amp;" "&amp;$C1766</f>
        <v>Computacion 2025</v>
      </c>
      <c r="M1766" s="61" t="str">
        <f aca="false">TRIM(INDEX(Datos_Origen!$G$2:$G$2459,$Z1766))</f>
        <v>PC Gamer Ryzen</v>
      </c>
      <c r="N1766" s="61" t="str">
        <f aca="false">$M1766&amp;" "&amp;$C1766</f>
        <v>PC Gamer Ryzen 2025</v>
      </c>
      <c r="O1766" s="63" t="n">
        <f aca="false">IF(ISTEXT($AC1766),VALUE($AC1766),$AC1766)</f>
        <v>8</v>
      </c>
      <c r="P1766" s="64" t="n">
        <f aca="false">INDEX(Datos_Origen!$I$2:$I$2459,$Z1766)</f>
        <v>1588.21</v>
      </c>
      <c r="Q1766" s="64" t="n">
        <f aca="false">INDEX(Datos_Origen!$J$2:$J$2459,$Z1766)</f>
        <v>1155.66</v>
      </c>
      <c r="R1766" s="65" t="n">
        <f aca="false">ROUND($O1766*$P1766,2)</f>
        <v>12705.68</v>
      </c>
      <c r="S1766" s="65" t="n">
        <f aca="false">ROUND($O1766*$Q1766,2)</f>
        <v>9245.28</v>
      </c>
      <c r="T1766" s="65" t="n">
        <f aca="false">ROUND($R1766*SUMIFS(Parametros!$E$28:$E$43,Parametros!$B$28:$B$43,$J1766,Parametros!$C$28:$C$43,$C1766,Parametros!$D$28:$D$43,$D1766),2)</f>
        <v>177.88</v>
      </c>
      <c r="U1766" s="65" t="n">
        <f aca="false">$R1766-$S1766-$T1766</f>
        <v>3282.52</v>
      </c>
      <c r="V1766" s="66" t="n">
        <f aca="false">IFERROR($U1766/$R1766,0)</f>
        <v>0.258350595953936</v>
      </c>
      <c r="W1766" s="67" t="str">
        <f aca="false">IF(AND($V1766&gt;=Parametros!$C$8,$R1766&gt;=Parametros!$C$12),"Alta rentabilidad",IF(OR($V1766&lt;Parametros!$C$11,$R1766&lt;Parametros!$C$13),"Revisar","Estandar"))</f>
        <v>Revisar</v>
      </c>
      <c r="X1766" s="67" t="str">
        <f aca="false">IF(AND($J1766="E-commerce",IFERROR($T1766/$R1766,0)&gt;Parametros!$C$14),"Alerta","OK")</f>
        <v>OK</v>
      </c>
      <c r="Y1766" s="61" t="str">
        <f aca="false">IF($R1766&gt;=Parametros!$C$12,"Alto",IF($R1766&lt;Parametros!$C$13,"Bajo","Medio"))</f>
        <v>Alto</v>
      </c>
      <c r="Z1766" s="61" t="n">
        <v>1828</v>
      </c>
      <c r="AA1766" s="61" t="str">
        <f aca="false">IF(MATCH($A1766,Datos_Origen!$A$2:$A$2459,0)=$Z1766,"OK","REVISAR")</f>
        <v>OK</v>
      </c>
      <c r="AB1766" s="62" t="n">
        <f aca="false">INDEX(Datos_Origen!$B$2:$B$2459,$Z1766)</f>
        <v>45825</v>
      </c>
      <c r="AC1766" s="61" t="n">
        <f aca="false">INDEX(Datos_Origen!$H$2:$H$2459,$Z1766)</f>
        <v>8</v>
      </c>
      <c r="AD1766" s="61" t="str">
        <f aca="false">INDEX(Datos_Origen!$D$2:$D$2459,$Z1766)&amp;""</f>
        <v>Mendoza</v>
      </c>
    </row>
    <row r="1767" customFormat="false" ht="15" hidden="false" customHeight="false" outlineLevel="0" collapsed="false">
      <c r="A1767" s="61" t="n">
        <f aca="false">INDEX(Datos_Origen!$A$2:$A$2459,$Z1767)</f>
        <v>1766</v>
      </c>
      <c r="B1767" s="62" t="n">
        <f aca="false">IF(ISNUMBER($AB1767),$AB1767,IF(MID($AB1767,5,1)="-",DATE(VALUE(LEFT($AB1767,4)),VALUE(MID($AB1767,6,2)),VALUE(RIGHT($AB1767,2))),DATE(VALUE(RIGHT($AB1767,4)),VALUE(MID($AB1767,4,2)),VALUE(LEFT($AB1767,2)))))</f>
        <v>45832</v>
      </c>
      <c r="C1767" s="61" t="n">
        <f aca="false">YEAR($B1767)</f>
        <v>2025</v>
      </c>
      <c r="D1767" s="61" t="str">
        <f aca="false">"Q"&amp;ROUNDUP(MONTH($B1767)/3,0)</f>
        <v>Q2</v>
      </c>
      <c r="E1767" s="61" t="n">
        <f aca="false">MONTH($B1767)</f>
        <v>6</v>
      </c>
      <c r="F1767" s="61" t="str">
        <f aca="false">INDEX(Parametros!$I$5:$I$16,$E1767)</f>
        <v>Jun</v>
      </c>
      <c r="G1767" s="61" t="str">
        <f aca="false">TEXT($C1767,"0000")&amp;"-"&amp;TEXT($E1767,"00")</f>
        <v>2025-06</v>
      </c>
      <c r="H1767" s="61" t="str">
        <f aca="false">INDEX(Parametros!$C$71:$C$91,MATCH(TRIM(INDEX(Datos_Origen!$C$2:$C$2459,$Z1767)),Parametros!$B$71:$B$91,0))</f>
        <v>Cuyo</v>
      </c>
      <c r="I1767" s="61" t="str">
        <f aca="false">IF(TRIM($AD1767)="",INDEX(Parametros!$I$20:$I$24,MATCH($H1767,Parametros!$H$20:$H$24,0)),TRIM($AD1767))</f>
        <v>Mendoza</v>
      </c>
      <c r="J1767" s="61" t="str">
        <f aca="false">INDEX(Parametros!$C$95:$C$106,MATCH(TRIM(INDEX(Datos_Origen!$E$2:$E$2459,$Z1767)),Parametros!$B$95:$B$106,0))</f>
        <v>E-commerce</v>
      </c>
      <c r="K1767" s="61" t="str">
        <f aca="false">INDEX(Parametros!$C$48:$C$67,MATCH(TRIM(INDEX(Datos_Origen!$F$2:$F$2459,$Z1767)),Parametros!$B$48:$B$67,0))</f>
        <v>Computacion</v>
      </c>
      <c r="L1767" s="61" t="str">
        <f aca="false">$K1767&amp;" "&amp;$C1767</f>
        <v>Computacion 2025</v>
      </c>
      <c r="M1767" s="61" t="str">
        <f aca="false">TRIM(INDEX(Datos_Origen!$G$2:$G$2459,$Z1767))</f>
        <v>PC Gamer Ryzen</v>
      </c>
      <c r="N1767" s="61" t="str">
        <f aca="false">$M1767&amp;" "&amp;$C1767</f>
        <v>PC Gamer Ryzen 2025</v>
      </c>
      <c r="O1767" s="63" t="n">
        <f aca="false">IF(ISTEXT($AC1767),VALUE($AC1767),$AC1767)</f>
        <v>4</v>
      </c>
      <c r="P1767" s="64" t="n">
        <f aca="false">INDEX(Datos_Origen!$I$2:$I$2459,$Z1767)</f>
        <v>1588.21</v>
      </c>
      <c r="Q1767" s="64" t="n">
        <f aca="false">INDEX(Datos_Origen!$J$2:$J$2459,$Z1767)</f>
        <v>1155.66</v>
      </c>
      <c r="R1767" s="65" t="n">
        <f aca="false">ROUND($O1767*$P1767,2)</f>
        <v>6352.84</v>
      </c>
      <c r="S1767" s="65" t="n">
        <f aca="false">ROUND($O1767*$Q1767,2)</f>
        <v>4622.64</v>
      </c>
      <c r="T1767" s="65" t="n">
        <f aca="false">ROUND($R1767*SUMIFS(Parametros!$E$28:$E$43,Parametros!$B$28:$B$43,$J1767,Parametros!$C$28:$C$43,$C1767,Parametros!$D$28:$D$43,$D1767),2)</f>
        <v>470.11</v>
      </c>
      <c r="U1767" s="65" t="n">
        <f aca="false">$R1767-$S1767-$T1767</f>
        <v>1260.09</v>
      </c>
      <c r="V1767" s="66" t="n">
        <f aca="false">IFERROR($U1767/$R1767,0)</f>
        <v>0.198350658917901</v>
      </c>
      <c r="W1767" s="67" t="str">
        <f aca="false">IF(AND($V1767&gt;=Parametros!$C$8,$R1767&gt;=Parametros!$C$12),"Alta rentabilidad",IF(OR($V1767&lt;Parametros!$C$11,$R1767&lt;Parametros!$C$13),"Revisar","Estandar"))</f>
        <v>Revisar</v>
      </c>
      <c r="X1767" s="67" t="str">
        <f aca="false">IF(AND($J1767="E-commerce",IFERROR($T1767/$R1767,0)&gt;Parametros!$C$14),"Alerta","OK")</f>
        <v>Alerta</v>
      </c>
      <c r="Y1767" s="61" t="str">
        <f aca="false">IF($R1767&gt;=Parametros!$C$12,"Alto",IF($R1767&lt;Parametros!$C$13,"Bajo","Medio"))</f>
        <v>Alto</v>
      </c>
      <c r="Z1767" s="61" t="n">
        <v>2006</v>
      </c>
      <c r="AA1767" s="61" t="str">
        <f aca="false">IF(MATCH($A1767,Datos_Origen!$A$2:$A$2459,0)=$Z1767,"OK","REVISAR")</f>
        <v>OK</v>
      </c>
      <c r="AB1767" s="62" t="n">
        <f aca="false">INDEX(Datos_Origen!$B$2:$B$2459,$Z1767)</f>
        <v>45832</v>
      </c>
      <c r="AC1767" s="61" t="n">
        <f aca="false">INDEX(Datos_Origen!$H$2:$H$2459,$Z1767)</f>
        <v>4</v>
      </c>
      <c r="AD1767" s="61" t="str">
        <f aca="false">INDEX(Datos_Origen!$D$2:$D$2459,$Z1767)&amp;""</f>
        <v/>
      </c>
    </row>
    <row r="1768" customFormat="false" ht="15" hidden="false" customHeight="false" outlineLevel="0" collapsed="false">
      <c r="A1768" s="61" t="n">
        <f aca="false">INDEX(Datos_Origen!$A$2:$A$2459,$Z1768)</f>
        <v>1767</v>
      </c>
      <c r="B1768" s="62" t="n">
        <f aca="false">IF(ISNUMBER($AB1768),$AB1768,IF(MID($AB1768,5,1)="-",DATE(VALUE(LEFT($AB1768,4)),VALUE(MID($AB1768,6,2)),VALUE(RIGHT($AB1768,2))),DATE(VALUE(RIGHT($AB1768,4)),VALUE(MID($AB1768,4,2)),VALUE(LEFT($AB1768,2)))))</f>
        <v>45812</v>
      </c>
      <c r="C1768" s="61" t="n">
        <f aca="false">YEAR($B1768)</f>
        <v>2025</v>
      </c>
      <c r="D1768" s="61" t="str">
        <f aca="false">"Q"&amp;ROUNDUP(MONTH($B1768)/3,0)</f>
        <v>Q2</v>
      </c>
      <c r="E1768" s="61" t="n">
        <f aca="false">MONTH($B1768)</f>
        <v>6</v>
      </c>
      <c r="F1768" s="61" t="str">
        <f aca="false">INDEX(Parametros!$I$5:$I$16,$E1768)</f>
        <v>Jun</v>
      </c>
      <c r="G1768" s="61" t="str">
        <f aca="false">TEXT($C1768,"0000")&amp;"-"&amp;TEXT($E1768,"00")</f>
        <v>2025-06</v>
      </c>
      <c r="H1768" s="61" t="str">
        <f aca="false">INDEX(Parametros!$C$71:$C$91,MATCH(TRIM(INDEX(Datos_Origen!$C$2:$C$2459,$Z1768)),Parametros!$B$71:$B$91,0))</f>
        <v>Cuyo</v>
      </c>
      <c r="I1768" s="61" t="str">
        <f aca="false">IF(TRIM($AD1768)="",INDEX(Parametros!$I$20:$I$24,MATCH($H1768,Parametros!$H$20:$H$24,0)),TRIM($AD1768))</f>
        <v>Mendoza</v>
      </c>
      <c r="J1768" s="61" t="str">
        <f aca="false">INDEX(Parametros!$C$95:$C$106,MATCH(TRIM(INDEX(Datos_Origen!$E$2:$E$2459,$Z1768)),Parametros!$B$95:$B$106,0))</f>
        <v>Tienda fisica</v>
      </c>
      <c r="K1768" s="61" t="str">
        <f aca="false">INDEX(Parametros!$C$48:$C$67,MATCH(TRIM(INDEX(Datos_Origen!$F$2:$F$2459,$Z1768)),Parametros!$B$48:$B$67,0))</f>
        <v>Accesorios</v>
      </c>
      <c r="L1768" s="61" t="str">
        <f aca="false">$K1768&amp;" "&amp;$C1768</f>
        <v>Accesorios 2025</v>
      </c>
      <c r="M1768" s="61" t="str">
        <f aca="false">TRIM(INDEX(Datos_Origen!$G$2:$G$2459,$Z1768))</f>
        <v>Mouse Inalambrico</v>
      </c>
      <c r="N1768" s="61" t="str">
        <f aca="false">$M1768&amp;" "&amp;$C1768</f>
        <v>Mouse Inalambrico 2025</v>
      </c>
      <c r="O1768" s="63" t="n">
        <f aca="false">IF(ISTEXT($AC1768),VALUE($AC1768),$AC1768)</f>
        <v>30</v>
      </c>
      <c r="P1768" s="64" t="n">
        <f aca="false">INDEX(Datos_Origen!$I$2:$I$2459,$Z1768)</f>
        <v>27.82</v>
      </c>
      <c r="Q1768" s="64" t="n">
        <f aca="false">INDEX(Datos_Origen!$J$2:$J$2459,$Z1768)</f>
        <v>13.84</v>
      </c>
      <c r="R1768" s="65" t="n">
        <f aca="false">ROUND($O1768*$P1768,2)</f>
        <v>834.6</v>
      </c>
      <c r="S1768" s="65" t="n">
        <f aca="false">ROUND($O1768*$Q1768,2)</f>
        <v>415.2</v>
      </c>
      <c r="T1768" s="65" t="n">
        <f aca="false">ROUND($R1768*SUMIFS(Parametros!$E$28:$E$43,Parametros!$B$28:$B$43,$J1768,Parametros!$C$28:$C$43,$C1768,Parametros!$D$28:$D$43,$D1768),2)</f>
        <v>11.68</v>
      </c>
      <c r="U1768" s="65" t="n">
        <f aca="false">$R1768-$S1768-$T1768</f>
        <v>407.72</v>
      </c>
      <c r="V1768" s="66" t="n">
        <f aca="false">IFERROR($U1768/$R1768,0)</f>
        <v>0.488521447399952</v>
      </c>
      <c r="W1768" s="67" t="str">
        <f aca="false">IF(AND($V1768&gt;=Parametros!$C$8,$R1768&gt;=Parametros!$C$12),"Alta rentabilidad",IF(OR($V1768&lt;Parametros!$C$11,$R1768&lt;Parametros!$C$13),"Revisar","Estandar"))</f>
        <v>Estandar</v>
      </c>
      <c r="X1768" s="67" t="str">
        <f aca="false">IF(AND($J1768="E-commerce",IFERROR($T1768/$R1768,0)&gt;Parametros!$C$14),"Alerta","OK")</f>
        <v>OK</v>
      </c>
      <c r="Y1768" s="61" t="str">
        <f aca="false">IF($R1768&gt;=Parametros!$C$12,"Alto",IF($R1768&lt;Parametros!$C$13,"Bajo","Medio"))</f>
        <v>Medio</v>
      </c>
      <c r="Z1768" s="61" t="n">
        <v>2108</v>
      </c>
      <c r="AA1768" s="61" t="str">
        <f aca="false">IF(MATCH($A1768,Datos_Origen!$A$2:$A$2459,0)=$Z1768,"OK","REVISAR")</f>
        <v>OK</v>
      </c>
      <c r="AB1768" s="61" t="str">
        <f aca="false">INDEX(Datos_Origen!$B$2:$B$2459,$Z1768)</f>
        <v>2025-06-04</v>
      </c>
      <c r="AC1768" s="61" t="n">
        <f aca="false">INDEX(Datos_Origen!$H$2:$H$2459,$Z1768)</f>
        <v>30</v>
      </c>
      <c r="AD1768" s="61" t="str">
        <f aca="false">INDEX(Datos_Origen!$D$2:$D$2459,$Z1768)&amp;""</f>
        <v>Mendoza</v>
      </c>
    </row>
    <row r="1769" customFormat="false" ht="15" hidden="false" customHeight="false" outlineLevel="0" collapsed="false">
      <c r="A1769" s="61" t="n">
        <f aca="false">INDEX(Datos_Origen!$A$2:$A$2459,$Z1769)</f>
        <v>1768</v>
      </c>
      <c r="B1769" s="62" t="n">
        <f aca="false">IF(ISNUMBER($AB1769),$AB1769,IF(MID($AB1769,5,1)="-",DATE(VALUE(LEFT($AB1769,4)),VALUE(MID($AB1769,6,2)),VALUE(RIGHT($AB1769,2))),DATE(VALUE(RIGHT($AB1769,4)),VALUE(MID($AB1769,4,2)),VALUE(LEFT($AB1769,2)))))</f>
        <v>45819</v>
      </c>
      <c r="C1769" s="61" t="n">
        <f aca="false">YEAR($B1769)</f>
        <v>2025</v>
      </c>
      <c r="D1769" s="61" t="str">
        <f aca="false">"Q"&amp;ROUNDUP(MONTH($B1769)/3,0)</f>
        <v>Q2</v>
      </c>
      <c r="E1769" s="61" t="n">
        <f aca="false">MONTH($B1769)</f>
        <v>6</v>
      </c>
      <c r="F1769" s="61" t="str">
        <f aca="false">INDEX(Parametros!$I$5:$I$16,$E1769)</f>
        <v>Jun</v>
      </c>
      <c r="G1769" s="61" t="str">
        <f aca="false">TEXT($C1769,"0000")&amp;"-"&amp;TEXT($E1769,"00")</f>
        <v>2025-06</v>
      </c>
      <c r="H1769" s="61" t="str">
        <f aca="false">INDEX(Parametros!$C$71:$C$91,MATCH(TRIM(INDEX(Datos_Origen!$C$2:$C$2459,$Z1769)),Parametros!$B$71:$B$91,0))</f>
        <v>Cuyo</v>
      </c>
      <c r="I1769" s="61" t="str">
        <f aca="false">IF(TRIM($AD1769)="",INDEX(Parametros!$I$20:$I$24,MATCH($H1769,Parametros!$H$20:$H$24,0)),TRIM($AD1769))</f>
        <v>Mendoza</v>
      </c>
      <c r="J1769" s="61" t="str">
        <f aca="false">INDEX(Parametros!$C$95:$C$106,MATCH(TRIM(INDEX(Datos_Origen!$E$2:$E$2459,$Z1769)),Parametros!$B$95:$B$106,0))</f>
        <v>E-commerce</v>
      </c>
      <c r="K1769" s="61" t="str">
        <f aca="false">INDEX(Parametros!$C$48:$C$67,MATCH(TRIM(INDEX(Datos_Origen!$F$2:$F$2459,$Z1769)),Parametros!$B$48:$B$67,0))</f>
        <v>Accesorios</v>
      </c>
      <c r="L1769" s="61" t="str">
        <f aca="false">$K1769&amp;" "&amp;$C1769</f>
        <v>Accesorios 2025</v>
      </c>
      <c r="M1769" s="61" t="str">
        <f aca="false">TRIM(INDEX(Datos_Origen!$G$2:$G$2459,$Z1769))</f>
        <v>Mouse Inalambrico</v>
      </c>
      <c r="N1769" s="61" t="str">
        <f aca="false">$M1769&amp;" "&amp;$C1769</f>
        <v>Mouse Inalambrico 2025</v>
      </c>
      <c r="O1769" s="63" t="n">
        <f aca="false">IF(ISTEXT($AC1769),VALUE($AC1769),$AC1769)</f>
        <v>21</v>
      </c>
      <c r="P1769" s="64" t="n">
        <f aca="false">INDEX(Datos_Origen!$I$2:$I$2459,$Z1769)</f>
        <v>27.82</v>
      </c>
      <c r="Q1769" s="64" t="n">
        <f aca="false">INDEX(Datos_Origen!$J$2:$J$2459,$Z1769)</f>
        <v>13.84</v>
      </c>
      <c r="R1769" s="65" t="n">
        <f aca="false">ROUND($O1769*$P1769,2)</f>
        <v>584.22</v>
      </c>
      <c r="S1769" s="65" t="n">
        <f aca="false">ROUND($O1769*$Q1769,2)</f>
        <v>290.64</v>
      </c>
      <c r="T1769" s="65" t="n">
        <f aca="false">ROUND($R1769*SUMIFS(Parametros!$E$28:$E$43,Parametros!$B$28:$B$43,$J1769,Parametros!$C$28:$C$43,$C1769,Parametros!$D$28:$D$43,$D1769),2)</f>
        <v>43.23</v>
      </c>
      <c r="U1769" s="65" t="n">
        <f aca="false">$R1769-$S1769-$T1769</f>
        <v>250.35</v>
      </c>
      <c r="V1769" s="66" t="n">
        <f aca="false">IFERROR($U1769/$R1769,0)</f>
        <v>0.428520078052788</v>
      </c>
      <c r="W1769" s="67" t="str">
        <f aca="false">IF(AND($V1769&gt;=Parametros!$C$8,$R1769&gt;=Parametros!$C$12),"Alta rentabilidad",IF(OR($V1769&lt;Parametros!$C$11,$R1769&lt;Parametros!$C$13),"Revisar","Estandar"))</f>
        <v>Estandar</v>
      </c>
      <c r="X1769" s="67" t="str">
        <f aca="false">IF(AND($J1769="E-commerce",IFERROR($T1769/$R1769,0)&gt;Parametros!$C$14),"Alerta","OK")</f>
        <v>Alerta</v>
      </c>
      <c r="Y1769" s="61" t="str">
        <f aca="false">IF($R1769&gt;=Parametros!$C$12,"Alto",IF($R1769&lt;Parametros!$C$13,"Bajo","Medio"))</f>
        <v>Medio</v>
      </c>
      <c r="Z1769" s="61" t="n">
        <v>123</v>
      </c>
      <c r="AA1769" s="61" t="str">
        <f aca="false">IF(MATCH($A1769,Datos_Origen!$A$2:$A$2459,0)=$Z1769,"OK","REVISAR")</f>
        <v>OK</v>
      </c>
      <c r="AB1769" s="61" t="str">
        <f aca="false">INDEX(Datos_Origen!$B$2:$B$2459,$Z1769)</f>
        <v>11/06/2025</v>
      </c>
      <c r="AC1769" s="61" t="n">
        <f aca="false">INDEX(Datos_Origen!$H$2:$H$2459,$Z1769)</f>
        <v>21</v>
      </c>
      <c r="AD1769" s="61" t="str">
        <f aca="false">INDEX(Datos_Origen!$D$2:$D$2459,$Z1769)&amp;""</f>
        <v>Mendoza</v>
      </c>
    </row>
    <row r="1770" customFormat="false" ht="15" hidden="false" customHeight="false" outlineLevel="0" collapsed="false">
      <c r="A1770" s="61" t="n">
        <f aca="false">INDEX(Datos_Origen!$A$2:$A$2459,$Z1770)</f>
        <v>1769</v>
      </c>
      <c r="B1770" s="62" t="n">
        <f aca="false">IF(ISNUMBER($AB1770),$AB1770,IF(MID($AB1770,5,1)="-",DATE(VALUE(LEFT($AB1770,4)),VALUE(MID($AB1770,6,2)),VALUE(RIGHT($AB1770,2))),DATE(VALUE(RIGHT($AB1770,4)),VALUE(MID($AB1770,4,2)),VALUE(LEFT($AB1770,2)))))</f>
        <v>45826</v>
      </c>
      <c r="C1770" s="61" t="n">
        <f aca="false">YEAR($B1770)</f>
        <v>2025</v>
      </c>
      <c r="D1770" s="61" t="str">
        <f aca="false">"Q"&amp;ROUNDUP(MONTH($B1770)/3,0)</f>
        <v>Q2</v>
      </c>
      <c r="E1770" s="61" t="n">
        <f aca="false">MONTH($B1770)</f>
        <v>6</v>
      </c>
      <c r="F1770" s="61" t="str">
        <f aca="false">INDEX(Parametros!$I$5:$I$16,$E1770)</f>
        <v>Jun</v>
      </c>
      <c r="G1770" s="61" t="str">
        <f aca="false">TEXT($C1770,"0000")&amp;"-"&amp;TEXT($E1770,"00")</f>
        <v>2025-06</v>
      </c>
      <c r="H1770" s="61" t="str">
        <f aca="false">INDEX(Parametros!$C$71:$C$91,MATCH(TRIM(INDEX(Datos_Origen!$C$2:$C$2459,$Z1770)),Parametros!$B$71:$B$91,0))</f>
        <v>Cuyo</v>
      </c>
      <c r="I1770" s="61" t="str">
        <f aca="false">IF(TRIM($AD1770)="",INDEX(Parametros!$I$20:$I$24,MATCH($H1770,Parametros!$H$20:$H$24,0)),TRIM($AD1770))</f>
        <v>Mendoza</v>
      </c>
      <c r="J1770" s="61" t="str">
        <f aca="false">INDEX(Parametros!$C$95:$C$106,MATCH(TRIM(INDEX(Datos_Origen!$E$2:$E$2459,$Z1770)),Parametros!$B$95:$B$106,0))</f>
        <v>Tienda fisica</v>
      </c>
      <c r="K1770" s="61" t="str">
        <f aca="false">INDEX(Parametros!$C$48:$C$67,MATCH(TRIM(INDEX(Datos_Origen!$F$2:$F$2459,$Z1770)),Parametros!$B$48:$B$67,0))</f>
        <v>Accesorios</v>
      </c>
      <c r="L1770" s="61" t="str">
        <f aca="false">$K1770&amp;" "&amp;$C1770</f>
        <v>Accesorios 2025</v>
      </c>
      <c r="M1770" s="61" t="str">
        <f aca="false">TRIM(INDEX(Datos_Origen!$G$2:$G$2459,$Z1770))</f>
        <v>Teclado Mecanico</v>
      </c>
      <c r="N1770" s="61" t="str">
        <f aca="false">$M1770&amp;" "&amp;$C1770</f>
        <v>Teclado Mecanico 2025</v>
      </c>
      <c r="O1770" s="63" t="n">
        <f aca="false">IF(ISTEXT($AC1770),VALUE($AC1770),$AC1770)</f>
        <v>28</v>
      </c>
      <c r="P1770" s="64" t="n">
        <f aca="false">INDEX(Datos_Origen!$I$2:$I$2459,$Z1770)</f>
        <v>94.39</v>
      </c>
      <c r="Q1770" s="64" t="n">
        <f aca="false">INDEX(Datos_Origen!$J$2:$J$2459,$Z1770)</f>
        <v>49.41</v>
      </c>
      <c r="R1770" s="65" t="n">
        <f aca="false">ROUND($O1770*$P1770,2)</f>
        <v>2642.92</v>
      </c>
      <c r="S1770" s="65" t="n">
        <f aca="false">ROUND($O1770*$Q1770,2)</f>
        <v>1383.48</v>
      </c>
      <c r="T1770" s="65" t="n">
        <f aca="false">ROUND($R1770*SUMIFS(Parametros!$E$28:$E$43,Parametros!$B$28:$B$43,$J1770,Parametros!$C$28:$C$43,$C1770,Parametros!$D$28:$D$43,$D1770),2)</f>
        <v>37</v>
      </c>
      <c r="U1770" s="65" t="n">
        <f aca="false">$R1770-$S1770-$T1770</f>
        <v>1222.44</v>
      </c>
      <c r="V1770" s="66" t="n">
        <f aca="false">IFERROR($U1770/$R1770,0)</f>
        <v>0.462533864059449</v>
      </c>
      <c r="W1770" s="67" t="str">
        <f aca="false">IF(AND($V1770&gt;=Parametros!$C$8,$R1770&gt;=Parametros!$C$12),"Alta rentabilidad",IF(OR($V1770&lt;Parametros!$C$11,$R1770&lt;Parametros!$C$13),"Revisar","Estandar"))</f>
        <v>Estandar</v>
      </c>
      <c r="X1770" s="67" t="str">
        <f aca="false">IF(AND($J1770="E-commerce",IFERROR($T1770/$R1770,0)&gt;Parametros!$C$14),"Alerta","OK")</f>
        <v>OK</v>
      </c>
      <c r="Y1770" s="61" t="str">
        <f aca="false">IF($R1770&gt;=Parametros!$C$12,"Alto",IF($R1770&lt;Parametros!$C$13,"Bajo","Medio"))</f>
        <v>Medio</v>
      </c>
      <c r="Z1770" s="61" t="n">
        <v>2018</v>
      </c>
      <c r="AA1770" s="61" t="str">
        <f aca="false">IF(MATCH($A1770,Datos_Origen!$A$2:$A$2459,0)=$Z1770,"OK","REVISAR")</f>
        <v>OK</v>
      </c>
      <c r="AB1770" s="61" t="str">
        <f aca="false">INDEX(Datos_Origen!$B$2:$B$2459,$Z1770)</f>
        <v>2025-06-18</v>
      </c>
      <c r="AC1770" s="61" t="n">
        <f aca="false">INDEX(Datos_Origen!$H$2:$H$2459,$Z1770)</f>
        <v>28</v>
      </c>
      <c r="AD1770" s="61" t="str">
        <f aca="false">INDEX(Datos_Origen!$D$2:$D$2459,$Z1770)&amp;""</f>
        <v>Mendoza</v>
      </c>
    </row>
    <row r="1771" customFormat="false" ht="15" hidden="false" customHeight="false" outlineLevel="0" collapsed="false">
      <c r="A1771" s="61" t="n">
        <f aca="false">INDEX(Datos_Origen!$A$2:$A$2459,$Z1771)</f>
        <v>1770</v>
      </c>
      <c r="B1771" s="62" t="n">
        <f aca="false">IF(ISNUMBER($AB1771),$AB1771,IF(MID($AB1771,5,1)="-",DATE(VALUE(LEFT($AB1771,4)),VALUE(MID($AB1771,6,2)),VALUE(RIGHT($AB1771,2))),DATE(VALUE(RIGHT($AB1771,4)),VALUE(MID($AB1771,4,2)),VALUE(LEFT($AB1771,2)))))</f>
        <v>45833</v>
      </c>
      <c r="C1771" s="61" t="n">
        <f aca="false">YEAR($B1771)</f>
        <v>2025</v>
      </c>
      <c r="D1771" s="61" t="str">
        <f aca="false">"Q"&amp;ROUNDUP(MONTH($B1771)/3,0)</f>
        <v>Q2</v>
      </c>
      <c r="E1771" s="61" t="n">
        <f aca="false">MONTH($B1771)</f>
        <v>6</v>
      </c>
      <c r="F1771" s="61" t="str">
        <f aca="false">INDEX(Parametros!$I$5:$I$16,$E1771)</f>
        <v>Jun</v>
      </c>
      <c r="G1771" s="61" t="str">
        <f aca="false">TEXT($C1771,"0000")&amp;"-"&amp;TEXT($E1771,"00")</f>
        <v>2025-06</v>
      </c>
      <c r="H1771" s="61" t="str">
        <f aca="false">INDEX(Parametros!$C$71:$C$91,MATCH(TRIM(INDEX(Datos_Origen!$C$2:$C$2459,$Z1771)),Parametros!$B$71:$B$91,0))</f>
        <v>Cuyo</v>
      </c>
      <c r="I1771" s="61" t="str">
        <f aca="false">IF(TRIM($AD1771)="",INDEX(Parametros!$I$20:$I$24,MATCH($H1771,Parametros!$H$20:$H$24,0)),TRIM($AD1771))</f>
        <v>Mendoza</v>
      </c>
      <c r="J1771" s="61" t="str">
        <f aca="false">INDEX(Parametros!$C$95:$C$106,MATCH(TRIM(INDEX(Datos_Origen!$E$2:$E$2459,$Z1771)),Parametros!$B$95:$B$106,0))</f>
        <v>E-commerce</v>
      </c>
      <c r="K1771" s="61" t="str">
        <f aca="false">INDEX(Parametros!$C$48:$C$67,MATCH(TRIM(INDEX(Datos_Origen!$F$2:$F$2459,$Z1771)),Parametros!$B$48:$B$67,0))</f>
        <v>Accesorios</v>
      </c>
      <c r="L1771" s="61" t="str">
        <f aca="false">$K1771&amp;" "&amp;$C1771</f>
        <v>Accesorios 2025</v>
      </c>
      <c r="M1771" s="61" t="str">
        <f aca="false">TRIM(INDEX(Datos_Origen!$G$2:$G$2459,$Z1771))</f>
        <v>Teclado Mecanico</v>
      </c>
      <c r="N1771" s="61" t="str">
        <f aca="false">$M1771&amp;" "&amp;$C1771</f>
        <v>Teclado Mecanico 2025</v>
      </c>
      <c r="O1771" s="63" t="n">
        <f aca="false">IF(ISTEXT($AC1771),VALUE($AC1771),$AC1771)</f>
        <v>19</v>
      </c>
      <c r="P1771" s="64" t="n">
        <f aca="false">INDEX(Datos_Origen!$I$2:$I$2459,$Z1771)</f>
        <v>94.39</v>
      </c>
      <c r="Q1771" s="64" t="n">
        <f aca="false">INDEX(Datos_Origen!$J$2:$J$2459,$Z1771)</f>
        <v>49.41</v>
      </c>
      <c r="R1771" s="65" t="n">
        <f aca="false">ROUND($O1771*$P1771,2)</f>
        <v>1793.41</v>
      </c>
      <c r="S1771" s="65" t="n">
        <f aca="false">ROUND($O1771*$Q1771,2)</f>
        <v>938.79</v>
      </c>
      <c r="T1771" s="65" t="n">
        <f aca="false">ROUND($R1771*SUMIFS(Parametros!$E$28:$E$43,Parametros!$B$28:$B$43,$J1771,Parametros!$C$28:$C$43,$C1771,Parametros!$D$28:$D$43,$D1771),2)</f>
        <v>132.71</v>
      </c>
      <c r="U1771" s="65" t="n">
        <f aca="false">$R1771-$S1771-$T1771</f>
        <v>721.91</v>
      </c>
      <c r="V1771" s="66" t="n">
        <f aca="false">IFERROR($U1771/$R1771,0)</f>
        <v>0.402534835871329</v>
      </c>
      <c r="W1771" s="67" t="str">
        <f aca="false">IF(AND($V1771&gt;=Parametros!$C$8,$R1771&gt;=Parametros!$C$12),"Alta rentabilidad",IF(OR($V1771&lt;Parametros!$C$11,$R1771&lt;Parametros!$C$13),"Revisar","Estandar"))</f>
        <v>Estandar</v>
      </c>
      <c r="X1771" s="67" t="str">
        <f aca="false">IF(AND($J1771="E-commerce",IFERROR($T1771/$R1771,0)&gt;Parametros!$C$14),"Alerta","OK")</f>
        <v>Alerta</v>
      </c>
      <c r="Y1771" s="61" t="str">
        <f aca="false">IF($R1771&gt;=Parametros!$C$12,"Alto",IF($R1771&lt;Parametros!$C$13,"Bajo","Medio"))</f>
        <v>Medio</v>
      </c>
      <c r="Z1771" s="61" t="n">
        <v>1035</v>
      </c>
      <c r="AA1771" s="61" t="str">
        <f aca="false">IF(MATCH($A1771,Datos_Origen!$A$2:$A$2459,0)=$Z1771,"OK","REVISAR")</f>
        <v>OK</v>
      </c>
      <c r="AB1771" s="62" t="n">
        <f aca="false">INDEX(Datos_Origen!$B$2:$B$2459,$Z1771)</f>
        <v>45833</v>
      </c>
      <c r="AC1771" s="61" t="n">
        <f aca="false">INDEX(Datos_Origen!$H$2:$H$2459,$Z1771)</f>
        <v>19</v>
      </c>
      <c r="AD1771" s="61" t="str">
        <f aca="false">INDEX(Datos_Origen!$D$2:$D$2459,$Z1771)&amp;""</f>
        <v>Mendoza</v>
      </c>
    </row>
    <row r="1772" customFormat="false" ht="15" hidden="false" customHeight="false" outlineLevel="0" collapsed="false">
      <c r="A1772" s="61" t="n">
        <f aca="false">INDEX(Datos_Origen!$A$2:$A$2459,$Z1772)</f>
        <v>1771</v>
      </c>
      <c r="B1772" s="62" t="n">
        <f aca="false">IF(ISNUMBER($AB1772),$AB1772,IF(MID($AB1772,5,1)="-",DATE(VALUE(LEFT($AB1772,4)),VALUE(MID($AB1772,6,2)),VALUE(RIGHT($AB1772,2))),DATE(VALUE(RIGHT($AB1772,4)),VALUE(MID($AB1772,4,2)),VALUE(LEFT($AB1772,2)))))</f>
        <v>45813</v>
      </c>
      <c r="C1772" s="61" t="n">
        <f aca="false">YEAR($B1772)</f>
        <v>2025</v>
      </c>
      <c r="D1772" s="61" t="str">
        <f aca="false">"Q"&amp;ROUNDUP(MONTH($B1772)/3,0)</f>
        <v>Q2</v>
      </c>
      <c r="E1772" s="61" t="n">
        <f aca="false">MONTH($B1772)</f>
        <v>6</v>
      </c>
      <c r="F1772" s="61" t="str">
        <f aca="false">INDEX(Parametros!$I$5:$I$16,$E1772)</f>
        <v>Jun</v>
      </c>
      <c r="G1772" s="61" t="str">
        <f aca="false">TEXT($C1772,"0000")&amp;"-"&amp;TEXT($E1772,"00")</f>
        <v>2025-06</v>
      </c>
      <c r="H1772" s="61" t="str">
        <f aca="false">INDEX(Parametros!$C$71:$C$91,MATCH(TRIM(INDEX(Datos_Origen!$C$2:$C$2459,$Z1772)),Parametros!$B$71:$B$91,0))</f>
        <v>Cuyo</v>
      </c>
      <c r="I1772" s="61" t="str">
        <f aca="false">IF(TRIM($AD1772)="",INDEX(Parametros!$I$20:$I$24,MATCH($H1772,Parametros!$H$20:$H$24,0)),TRIM($AD1772))</f>
        <v>Mendoza</v>
      </c>
      <c r="J1772" s="61" t="str">
        <f aca="false">INDEX(Parametros!$C$95:$C$106,MATCH(TRIM(INDEX(Datos_Origen!$E$2:$E$2459,$Z1772)),Parametros!$B$95:$B$106,0))</f>
        <v>Tienda fisica</v>
      </c>
      <c r="K1772" s="61" t="str">
        <f aca="false">INDEX(Parametros!$C$48:$C$67,MATCH(TRIM(INDEX(Datos_Origen!$F$2:$F$2459,$Z1772)),Parametros!$B$48:$B$67,0))</f>
        <v>Accesorios</v>
      </c>
      <c r="L1772" s="61" t="str">
        <f aca="false">$K1772&amp;" "&amp;$C1772</f>
        <v>Accesorios 2025</v>
      </c>
      <c r="M1772" s="61" t="str">
        <f aca="false">TRIM(INDEX(Datos_Origen!$G$2:$G$2459,$Z1772))</f>
        <v>Webcam Full HD</v>
      </c>
      <c r="N1772" s="61" t="str">
        <f aca="false">$M1772&amp;" "&amp;$C1772</f>
        <v>Webcam Full HD 2025</v>
      </c>
      <c r="O1772" s="63" t="n">
        <f aca="false">IF(ISTEXT($AC1772),VALUE($AC1772),$AC1772)</f>
        <v>30</v>
      </c>
      <c r="P1772" s="64" t="n">
        <f aca="false">INDEX(Datos_Origen!$I$2:$I$2459,$Z1772)</f>
        <v>64.58</v>
      </c>
      <c r="Q1772" s="64" t="n">
        <f aca="false">INDEX(Datos_Origen!$J$2:$J$2459,$Z1772)</f>
        <v>36.49</v>
      </c>
      <c r="R1772" s="65" t="n">
        <f aca="false">ROUND($O1772*$P1772,2)</f>
        <v>1937.4</v>
      </c>
      <c r="S1772" s="65" t="n">
        <f aca="false">ROUND($O1772*$Q1772,2)</f>
        <v>1094.7</v>
      </c>
      <c r="T1772" s="65" t="n">
        <f aca="false">ROUND($R1772*SUMIFS(Parametros!$E$28:$E$43,Parametros!$B$28:$B$43,$J1772,Parametros!$C$28:$C$43,$C1772,Parametros!$D$28:$D$43,$D1772),2)</f>
        <v>27.12</v>
      </c>
      <c r="U1772" s="65" t="n">
        <f aca="false">$R1772-$S1772-$T1772</f>
        <v>815.58</v>
      </c>
      <c r="V1772" s="66" t="n">
        <f aca="false">IFERROR($U1772/$R1772,0)</f>
        <v>0.420966243419015</v>
      </c>
      <c r="W1772" s="67" t="str">
        <f aca="false">IF(AND($V1772&gt;=Parametros!$C$8,$R1772&gt;=Parametros!$C$12),"Alta rentabilidad",IF(OR($V1772&lt;Parametros!$C$11,$R1772&lt;Parametros!$C$13),"Revisar","Estandar"))</f>
        <v>Estandar</v>
      </c>
      <c r="X1772" s="67" t="str">
        <f aca="false">IF(AND($J1772="E-commerce",IFERROR($T1772/$R1772,0)&gt;Parametros!$C$14),"Alerta","OK")</f>
        <v>OK</v>
      </c>
      <c r="Y1772" s="61" t="str">
        <f aca="false">IF($R1772&gt;=Parametros!$C$12,"Alto",IF($R1772&lt;Parametros!$C$13,"Bajo","Medio"))</f>
        <v>Medio</v>
      </c>
      <c r="Z1772" s="61" t="n">
        <v>1069</v>
      </c>
      <c r="AA1772" s="61" t="str">
        <f aca="false">IF(MATCH($A1772,Datos_Origen!$A$2:$A$2459,0)=$Z1772,"OK","REVISAR")</f>
        <v>OK</v>
      </c>
      <c r="AB1772" s="62" t="n">
        <f aca="false">INDEX(Datos_Origen!$B$2:$B$2459,$Z1772)</f>
        <v>45813</v>
      </c>
      <c r="AC1772" s="61" t="n">
        <f aca="false">INDEX(Datos_Origen!$H$2:$H$2459,$Z1772)</f>
        <v>30</v>
      </c>
      <c r="AD1772" s="61" t="str">
        <f aca="false">INDEX(Datos_Origen!$D$2:$D$2459,$Z1772)&amp;""</f>
        <v>Mendoza</v>
      </c>
    </row>
    <row r="1773" customFormat="false" ht="15" hidden="false" customHeight="false" outlineLevel="0" collapsed="false">
      <c r="A1773" s="61" t="n">
        <f aca="false">INDEX(Datos_Origen!$A$2:$A$2459,$Z1773)</f>
        <v>1772</v>
      </c>
      <c r="B1773" s="62" t="n">
        <f aca="false">IF(ISNUMBER($AB1773),$AB1773,IF(MID($AB1773,5,1)="-",DATE(VALUE(LEFT($AB1773,4)),VALUE(MID($AB1773,6,2)),VALUE(RIGHT($AB1773,2))),DATE(VALUE(RIGHT($AB1773,4)),VALUE(MID($AB1773,4,2)),VALUE(LEFT($AB1773,2)))))</f>
        <v>45820</v>
      </c>
      <c r="C1773" s="61" t="n">
        <f aca="false">YEAR($B1773)</f>
        <v>2025</v>
      </c>
      <c r="D1773" s="61" t="str">
        <f aca="false">"Q"&amp;ROUNDUP(MONTH($B1773)/3,0)</f>
        <v>Q2</v>
      </c>
      <c r="E1773" s="61" t="n">
        <f aca="false">MONTH($B1773)</f>
        <v>6</v>
      </c>
      <c r="F1773" s="61" t="str">
        <f aca="false">INDEX(Parametros!$I$5:$I$16,$E1773)</f>
        <v>Jun</v>
      </c>
      <c r="G1773" s="61" t="str">
        <f aca="false">TEXT($C1773,"0000")&amp;"-"&amp;TEXT($E1773,"00")</f>
        <v>2025-06</v>
      </c>
      <c r="H1773" s="61" t="str">
        <f aca="false">INDEX(Parametros!$C$71:$C$91,MATCH(TRIM(INDEX(Datos_Origen!$C$2:$C$2459,$Z1773)),Parametros!$B$71:$B$91,0))</f>
        <v>Cuyo</v>
      </c>
      <c r="I1773" s="61" t="str">
        <f aca="false">IF(TRIM($AD1773)="",INDEX(Parametros!$I$20:$I$24,MATCH($H1773,Parametros!$H$20:$H$24,0)),TRIM($AD1773))</f>
        <v>Mendoza</v>
      </c>
      <c r="J1773" s="61" t="str">
        <f aca="false">INDEX(Parametros!$C$95:$C$106,MATCH(TRIM(INDEX(Datos_Origen!$E$2:$E$2459,$Z1773)),Parametros!$B$95:$B$106,0))</f>
        <v>E-commerce</v>
      </c>
      <c r="K1773" s="61" t="str">
        <f aca="false">INDEX(Parametros!$C$48:$C$67,MATCH(TRIM(INDEX(Datos_Origen!$F$2:$F$2459,$Z1773)),Parametros!$B$48:$B$67,0))</f>
        <v>Accesorios</v>
      </c>
      <c r="L1773" s="61" t="str">
        <f aca="false">$K1773&amp;" "&amp;$C1773</f>
        <v>Accesorios 2025</v>
      </c>
      <c r="M1773" s="61" t="str">
        <f aca="false">TRIM(INDEX(Datos_Origen!$G$2:$G$2459,$Z1773))</f>
        <v>Webcam Full HD</v>
      </c>
      <c r="N1773" s="61" t="str">
        <f aca="false">$M1773&amp;" "&amp;$C1773</f>
        <v>Webcam Full HD 2025</v>
      </c>
      <c r="O1773" s="63" t="n">
        <f aca="false">IF(ISTEXT($AC1773),VALUE($AC1773),$AC1773)</f>
        <v>22</v>
      </c>
      <c r="P1773" s="64" t="n">
        <f aca="false">INDEX(Datos_Origen!$I$2:$I$2459,$Z1773)</f>
        <v>64.58</v>
      </c>
      <c r="Q1773" s="64" t="n">
        <f aca="false">INDEX(Datos_Origen!$J$2:$J$2459,$Z1773)</f>
        <v>36.49</v>
      </c>
      <c r="R1773" s="65" t="n">
        <f aca="false">ROUND($O1773*$P1773,2)</f>
        <v>1420.76</v>
      </c>
      <c r="S1773" s="65" t="n">
        <f aca="false">ROUND($O1773*$Q1773,2)</f>
        <v>802.78</v>
      </c>
      <c r="T1773" s="65" t="n">
        <f aca="false">ROUND($R1773*SUMIFS(Parametros!$E$28:$E$43,Parametros!$B$28:$B$43,$J1773,Parametros!$C$28:$C$43,$C1773,Parametros!$D$28:$D$43,$D1773),2)</f>
        <v>105.14</v>
      </c>
      <c r="U1773" s="65" t="n">
        <f aca="false">$R1773-$S1773-$T1773</f>
        <v>512.84</v>
      </c>
      <c r="V1773" s="66" t="n">
        <f aca="false">IFERROR($U1773/$R1773,0)</f>
        <v>0.360961738787691</v>
      </c>
      <c r="W1773" s="67" t="str">
        <f aca="false">IF(AND($V1773&gt;=Parametros!$C$8,$R1773&gt;=Parametros!$C$12),"Alta rentabilidad",IF(OR($V1773&lt;Parametros!$C$11,$R1773&lt;Parametros!$C$13),"Revisar","Estandar"))</f>
        <v>Estandar</v>
      </c>
      <c r="X1773" s="67" t="str">
        <f aca="false">IF(AND($J1773="E-commerce",IFERROR($T1773/$R1773,0)&gt;Parametros!$C$14),"Alerta","OK")</f>
        <v>Alerta</v>
      </c>
      <c r="Y1773" s="61" t="str">
        <f aca="false">IF($R1773&gt;=Parametros!$C$12,"Alto",IF($R1773&lt;Parametros!$C$13,"Bajo","Medio"))</f>
        <v>Medio</v>
      </c>
      <c r="Z1773" s="61" t="n">
        <v>1598</v>
      </c>
      <c r="AA1773" s="61" t="str">
        <f aca="false">IF(MATCH($A1773,Datos_Origen!$A$2:$A$2459,0)=$Z1773,"OK","REVISAR")</f>
        <v>OK</v>
      </c>
      <c r="AB1773" s="62" t="n">
        <f aca="false">INDEX(Datos_Origen!$B$2:$B$2459,$Z1773)</f>
        <v>45820</v>
      </c>
      <c r="AC1773" s="61" t="n">
        <f aca="false">INDEX(Datos_Origen!$H$2:$H$2459,$Z1773)</f>
        <v>22</v>
      </c>
      <c r="AD1773" s="61" t="str">
        <f aca="false">INDEX(Datos_Origen!$D$2:$D$2459,$Z1773)&amp;""</f>
        <v/>
      </c>
    </row>
    <row r="1774" customFormat="false" ht="15" hidden="false" customHeight="false" outlineLevel="0" collapsed="false">
      <c r="A1774" s="61" t="n">
        <f aca="false">INDEX(Datos_Origen!$A$2:$A$2459,$Z1774)</f>
        <v>1773</v>
      </c>
      <c r="B1774" s="62" t="n">
        <f aca="false">IF(ISNUMBER($AB1774),$AB1774,IF(MID($AB1774,5,1)="-",DATE(VALUE(LEFT($AB1774,4)),VALUE(MID($AB1774,6,2)),VALUE(RIGHT($AB1774,2))),DATE(VALUE(RIGHT($AB1774,4)),VALUE(MID($AB1774,4,2)),VALUE(LEFT($AB1774,2)))))</f>
        <v>45827</v>
      </c>
      <c r="C1774" s="61" t="n">
        <f aca="false">YEAR($B1774)</f>
        <v>2025</v>
      </c>
      <c r="D1774" s="61" t="str">
        <f aca="false">"Q"&amp;ROUNDUP(MONTH($B1774)/3,0)</f>
        <v>Q2</v>
      </c>
      <c r="E1774" s="61" t="n">
        <f aca="false">MONTH($B1774)</f>
        <v>6</v>
      </c>
      <c r="F1774" s="61" t="str">
        <f aca="false">INDEX(Parametros!$I$5:$I$16,$E1774)</f>
        <v>Jun</v>
      </c>
      <c r="G1774" s="61" t="str">
        <f aca="false">TEXT($C1774,"0000")&amp;"-"&amp;TEXT($E1774,"00")</f>
        <v>2025-06</v>
      </c>
      <c r="H1774" s="61" t="str">
        <f aca="false">INDEX(Parametros!$C$71:$C$91,MATCH(TRIM(INDEX(Datos_Origen!$C$2:$C$2459,$Z1774)),Parametros!$B$71:$B$91,0))</f>
        <v>Cuyo</v>
      </c>
      <c r="I1774" s="61" t="str">
        <f aca="false">IF(TRIM($AD1774)="",INDEX(Parametros!$I$20:$I$24,MATCH($H1774,Parametros!$H$20:$H$24,0)),TRIM($AD1774))</f>
        <v>Mendoza</v>
      </c>
      <c r="J1774" s="61" t="str">
        <f aca="false">INDEX(Parametros!$C$95:$C$106,MATCH(TRIM(INDEX(Datos_Origen!$E$2:$E$2459,$Z1774)),Parametros!$B$95:$B$106,0))</f>
        <v>Tienda fisica</v>
      </c>
      <c r="K1774" s="61" t="str">
        <f aca="false">INDEX(Parametros!$C$48:$C$67,MATCH(TRIM(INDEX(Datos_Origen!$F$2:$F$2459,$Z1774)),Parametros!$B$48:$B$67,0))</f>
        <v>Audio</v>
      </c>
      <c r="L1774" s="61" t="str">
        <f aca="false">$K1774&amp;" "&amp;$C1774</f>
        <v>Audio 2025</v>
      </c>
      <c r="M1774" s="61" t="str">
        <f aca="false">TRIM(INDEX(Datos_Origen!$G$2:$G$2459,$Z1774))</f>
        <v>Auriculares BT Pro</v>
      </c>
      <c r="N1774" s="61" t="str">
        <f aca="false">$M1774&amp;" "&amp;$C1774</f>
        <v>Auriculares BT Pro 2025</v>
      </c>
      <c r="O1774" s="63" t="n">
        <f aca="false">IF(ISTEXT($AC1774),VALUE($AC1774),$AC1774)</f>
        <v>14</v>
      </c>
      <c r="P1774" s="64" t="n">
        <f aca="false">INDEX(Datos_Origen!$I$2:$I$2459,$Z1774)</f>
        <v>119.23</v>
      </c>
      <c r="Q1774" s="64" t="n">
        <f aca="false">INDEX(Datos_Origen!$J$2:$J$2459,$Z1774)</f>
        <v>65.51</v>
      </c>
      <c r="R1774" s="65" t="n">
        <f aca="false">ROUND($O1774*$P1774,2)</f>
        <v>1669.22</v>
      </c>
      <c r="S1774" s="65" t="n">
        <f aca="false">ROUND($O1774*$Q1774,2)</f>
        <v>917.14</v>
      </c>
      <c r="T1774" s="65" t="n">
        <f aca="false">ROUND($R1774*SUMIFS(Parametros!$E$28:$E$43,Parametros!$B$28:$B$43,$J1774,Parametros!$C$28:$C$43,$C1774,Parametros!$D$28:$D$43,$D1774),2)</f>
        <v>23.37</v>
      </c>
      <c r="U1774" s="65" t="n">
        <f aca="false">$R1774-$S1774-$T1774</f>
        <v>728.71</v>
      </c>
      <c r="V1774" s="66" t="n">
        <f aca="false">IFERROR($U1774/$R1774,0)</f>
        <v>0.436557194378213</v>
      </c>
      <c r="W1774" s="67" t="str">
        <f aca="false">IF(AND($V1774&gt;=Parametros!$C$8,$R1774&gt;=Parametros!$C$12),"Alta rentabilidad",IF(OR($V1774&lt;Parametros!$C$11,$R1774&lt;Parametros!$C$13),"Revisar","Estandar"))</f>
        <v>Estandar</v>
      </c>
      <c r="X1774" s="67" t="str">
        <f aca="false">IF(AND($J1774="E-commerce",IFERROR($T1774/$R1774,0)&gt;Parametros!$C$14),"Alerta","OK")</f>
        <v>OK</v>
      </c>
      <c r="Y1774" s="61" t="str">
        <f aca="false">IF($R1774&gt;=Parametros!$C$12,"Alto",IF($R1774&lt;Parametros!$C$13,"Bajo","Medio"))</f>
        <v>Medio</v>
      </c>
      <c r="Z1774" s="61" t="n">
        <v>624</v>
      </c>
      <c r="AA1774" s="61" t="str">
        <f aca="false">IF(MATCH($A1774,Datos_Origen!$A$2:$A$2459,0)=$Z1774,"OK","REVISAR")</f>
        <v>OK</v>
      </c>
      <c r="AB1774" s="62" t="n">
        <f aca="false">INDEX(Datos_Origen!$B$2:$B$2459,$Z1774)</f>
        <v>45827</v>
      </c>
      <c r="AC1774" s="61" t="n">
        <f aca="false">INDEX(Datos_Origen!$H$2:$H$2459,$Z1774)</f>
        <v>14</v>
      </c>
      <c r="AD1774" s="61" t="str">
        <f aca="false">INDEX(Datos_Origen!$D$2:$D$2459,$Z1774)&amp;""</f>
        <v>Mendoza</v>
      </c>
    </row>
    <row r="1775" customFormat="false" ht="15" hidden="false" customHeight="false" outlineLevel="0" collapsed="false">
      <c r="A1775" s="61" t="n">
        <f aca="false">INDEX(Datos_Origen!$A$2:$A$2459,$Z1775)</f>
        <v>1774</v>
      </c>
      <c r="B1775" s="62" t="n">
        <f aca="false">IF(ISNUMBER($AB1775),$AB1775,IF(MID($AB1775,5,1)="-",DATE(VALUE(LEFT($AB1775,4)),VALUE(MID($AB1775,6,2)),VALUE(RIGHT($AB1775,2))),DATE(VALUE(RIGHT($AB1775,4)),VALUE(MID($AB1775,4,2)),VALUE(LEFT($AB1775,2)))))</f>
        <v>45834</v>
      </c>
      <c r="C1775" s="61" t="n">
        <f aca="false">YEAR($B1775)</f>
        <v>2025</v>
      </c>
      <c r="D1775" s="61" t="str">
        <f aca="false">"Q"&amp;ROUNDUP(MONTH($B1775)/3,0)</f>
        <v>Q2</v>
      </c>
      <c r="E1775" s="61" t="n">
        <f aca="false">MONTH($B1775)</f>
        <v>6</v>
      </c>
      <c r="F1775" s="61" t="str">
        <f aca="false">INDEX(Parametros!$I$5:$I$16,$E1775)</f>
        <v>Jun</v>
      </c>
      <c r="G1775" s="61" t="str">
        <f aca="false">TEXT($C1775,"0000")&amp;"-"&amp;TEXT($E1775,"00")</f>
        <v>2025-06</v>
      </c>
      <c r="H1775" s="61" t="str">
        <f aca="false">INDEX(Parametros!$C$71:$C$91,MATCH(TRIM(INDEX(Datos_Origen!$C$2:$C$2459,$Z1775)),Parametros!$B$71:$B$91,0))</f>
        <v>Cuyo</v>
      </c>
      <c r="I1775" s="61" t="str">
        <f aca="false">IF(TRIM($AD1775)="",INDEX(Parametros!$I$20:$I$24,MATCH($H1775,Parametros!$H$20:$H$24,0)),TRIM($AD1775))</f>
        <v>Mendoza</v>
      </c>
      <c r="J1775" s="61" t="str">
        <f aca="false">INDEX(Parametros!$C$95:$C$106,MATCH(TRIM(INDEX(Datos_Origen!$E$2:$E$2459,$Z1775)),Parametros!$B$95:$B$106,0))</f>
        <v>E-commerce</v>
      </c>
      <c r="K1775" s="61" t="str">
        <f aca="false">INDEX(Parametros!$C$48:$C$67,MATCH(TRIM(INDEX(Datos_Origen!$F$2:$F$2459,$Z1775)),Parametros!$B$48:$B$67,0))</f>
        <v>Audio</v>
      </c>
      <c r="L1775" s="61" t="str">
        <f aca="false">$K1775&amp;" "&amp;$C1775</f>
        <v>Audio 2025</v>
      </c>
      <c r="M1775" s="61" t="str">
        <f aca="false">TRIM(INDEX(Datos_Origen!$G$2:$G$2459,$Z1775))</f>
        <v>Auriculares BT Pro</v>
      </c>
      <c r="N1775" s="61" t="str">
        <f aca="false">$M1775&amp;" "&amp;$C1775</f>
        <v>Auriculares BT Pro 2025</v>
      </c>
      <c r="O1775" s="63" t="n">
        <f aca="false">IF(ISTEXT($AC1775),VALUE($AC1775),$AC1775)</f>
        <v>9</v>
      </c>
      <c r="P1775" s="64" t="n">
        <f aca="false">INDEX(Datos_Origen!$I$2:$I$2459,$Z1775)</f>
        <v>119.23</v>
      </c>
      <c r="Q1775" s="64" t="n">
        <f aca="false">INDEX(Datos_Origen!$J$2:$J$2459,$Z1775)</f>
        <v>65.51</v>
      </c>
      <c r="R1775" s="65" t="n">
        <f aca="false">ROUND($O1775*$P1775,2)</f>
        <v>1073.07</v>
      </c>
      <c r="S1775" s="65" t="n">
        <f aca="false">ROUND($O1775*$Q1775,2)</f>
        <v>589.59</v>
      </c>
      <c r="T1775" s="65" t="n">
        <f aca="false">ROUND($R1775*SUMIFS(Parametros!$E$28:$E$43,Parametros!$B$28:$B$43,$J1775,Parametros!$C$28:$C$43,$C1775,Parametros!$D$28:$D$43,$D1775),2)</f>
        <v>79.41</v>
      </c>
      <c r="U1775" s="65" t="n">
        <f aca="false">$R1775-$S1775-$T1775</f>
        <v>404.07</v>
      </c>
      <c r="V1775" s="66" t="n">
        <f aca="false">IFERROR($U1775/$R1775,0)</f>
        <v>0.376555117559898</v>
      </c>
      <c r="W1775" s="67" t="str">
        <f aca="false">IF(AND($V1775&gt;=Parametros!$C$8,$R1775&gt;=Parametros!$C$12),"Alta rentabilidad",IF(OR($V1775&lt;Parametros!$C$11,$R1775&lt;Parametros!$C$13),"Revisar","Estandar"))</f>
        <v>Estandar</v>
      </c>
      <c r="X1775" s="67" t="str">
        <f aca="false">IF(AND($J1775="E-commerce",IFERROR($T1775/$R1775,0)&gt;Parametros!$C$14),"Alerta","OK")</f>
        <v>Alerta</v>
      </c>
      <c r="Y1775" s="61" t="str">
        <f aca="false">IF($R1775&gt;=Parametros!$C$12,"Alto",IF($R1775&lt;Parametros!$C$13,"Bajo","Medio"))</f>
        <v>Medio</v>
      </c>
      <c r="Z1775" s="61" t="n">
        <v>1944</v>
      </c>
      <c r="AA1775" s="61" t="str">
        <f aca="false">IF(MATCH($A1775,Datos_Origen!$A$2:$A$2459,0)=$Z1775,"OK","REVISAR")</f>
        <v>OK</v>
      </c>
      <c r="AB1775" s="62" t="n">
        <f aca="false">INDEX(Datos_Origen!$B$2:$B$2459,$Z1775)</f>
        <v>45834</v>
      </c>
      <c r="AC1775" s="61" t="n">
        <f aca="false">INDEX(Datos_Origen!$H$2:$H$2459,$Z1775)</f>
        <v>9</v>
      </c>
      <c r="AD1775" s="61" t="str">
        <f aca="false">INDEX(Datos_Origen!$D$2:$D$2459,$Z1775)&amp;""</f>
        <v>Mendoza</v>
      </c>
    </row>
    <row r="1776" customFormat="false" ht="15" hidden="false" customHeight="false" outlineLevel="0" collapsed="false">
      <c r="A1776" s="61" t="n">
        <f aca="false">INDEX(Datos_Origen!$A$2:$A$2459,$Z1776)</f>
        <v>1775</v>
      </c>
      <c r="B1776" s="62" t="n">
        <f aca="false">IF(ISNUMBER($AB1776),$AB1776,IF(MID($AB1776,5,1)="-",DATE(VALUE(LEFT($AB1776,4)),VALUE(MID($AB1776,6,2)),VALUE(RIGHT($AB1776,2))),DATE(VALUE(RIGHT($AB1776,4)),VALUE(MID($AB1776,4,2)),VALUE(LEFT($AB1776,2)))))</f>
        <v>45814</v>
      </c>
      <c r="C1776" s="61" t="n">
        <f aca="false">YEAR($B1776)</f>
        <v>2025</v>
      </c>
      <c r="D1776" s="61" t="str">
        <f aca="false">"Q"&amp;ROUNDUP(MONTH($B1776)/3,0)</f>
        <v>Q2</v>
      </c>
      <c r="E1776" s="61" t="n">
        <f aca="false">MONTH($B1776)</f>
        <v>6</v>
      </c>
      <c r="F1776" s="61" t="str">
        <f aca="false">INDEX(Parametros!$I$5:$I$16,$E1776)</f>
        <v>Jun</v>
      </c>
      <c r="G1776" s="61" t="str">
        <f aca="false">TEXT($C1776,"0000")&amp;"-"&amp;TEXT($E1776,"00")</f>
        <v>2025-06</v>
      </c>
      <c r="H1776" s="61" t="str">
        <f aca="false">INDEX(Parametros!$C$71:$C$91,MATCH(TRIM(INDEX(Datos_Origen!$C$2:$C$2459,$Z1776)),Parametros!$B$71:$B$91,0))</f>
        <v>Cuyo</v>
      </c>
      <c r="I1776" s="61" t="str">
        <f aca="false">IF(TRIM($AD1776)="",INDEX(Parametros!$I$20:$I$24,MATCH($H1776,Parametros!$H$20:$H$24,0)),TRIM($AD1776))</f>
        <v>Mendoza</v>
      </c>
      <c r="J1776" s="61" t="str">
        <f aca="false">INDEX(Parametros!$C$95:$C$106,MATCH(TRIM(INDEX(Datos_Origen!$E$2:$E$2459,$Z1776)),Parametros!$B$95:$B$106,0))</f>
        <v>Tienda fisica</v>
      </c>
      <c r="K1776" s="61" t="str">
        <f aca="false">INDEX(Parametros!$C$48:$C$67,MATCH(TRIM(INDEX(Datos_Origen!$F$2:$F$2459,$Z1776)),Parametros!$B$48:$B$67,0))</f>
        <v>Audio</v>
      </c>
      <c r="L1776" s="61" t="str">
        <f aca="false">$K1776&amp;" "&amp;$C1776</f>
        <v>Audio 2025</v>
      </c>
      <c r="M1776" s="61" t="str">
        <f aca="false">TRIM(INDEX(Datos_Origen!$G$2:$G$2459,$Z1776))</f>
        <v>Parlante Bluetooth</v>
      </c>
      <c r="N1776" s="61" t="str">
        <f aca="false">$M1776&amp;" "&amp;$C1776</f>
        <v>Parlante Bluetooth 2025</v>
      </c>
      <c r="O1776" s="63" t="n">
        <f aca="false">IF(ISTEXT($AC1776),VALUE($AC1776),$AC1776)</f>
        <v>16</v>
      </c>
      <c r="P1776" s="64" t="n">
        <f aca="false">INDEX(Datos_Origen!$I$2:$I$2459,$Z1776)</f>
        <v>84.46</v>
      </c>
      <c r="Q1776" s="64" t="n">
        <f aca="false">INDEX(Datos_Origen!$J$2:$J$2459,$Z1776)</f>
        <v>49.47</v>
      </c>
      <c r="R1776" s="65" t="n">
        <f aca="false">ROUND($O1776*$P1776,2)</f>
        <v>1351.36</v>
      </c>
      <c r="S1776" s="65" t="n">
        <f aca="false">ROUND($O1776*$Q1776,2)</f>
        <v>791.52</v>
      </c>
      <c r="T1776" s="65" t="n">
        <f aca="false">ROUND($R1776*SUMIFS(Parametros!$E$28:$E$43,Parametros!$B$28:$B$43,$J1776,Parametros!$C$28:$C$43,$C1776,Parametros!$D$28:$D$43,$D1776),2)</f>
        <v>18.92</v>
      </c>
      <c r="U1776" s="65" t="n">
        <f aca="false">$R1776-$S1776-$T1776</f>
        <v>540.92</v>
      </c>
      <c r="V1776" s="66" t="n">
        <f aca="false">IFERROR($U1776/$R1776,0)</f>
        <v>0.400278238219275</v>
      </c>
      <c r="W1776" s="67" t="str">
        <f aca="false">IF(AND($V1776&gt;=Parametros!$C$8,$R1776&gt;=Parametros!$C$12),"Alta rentabilidad",IF(OR($V1776&lt;Parametros!$C$11,$R1776&lt;Parametros!$C$13),"Revisar","Estandar"))</f>
        <v>Estandar</v>
      </c>
      <c r="X1776" s="67" t="str">
        <f aca="false">IF(AND($J1776="E-commerce",IFERROR($T1776/$R1776,0)&gt;Parametros!$C$14),"Alerta","OK")</f>
        <v>OK</v>
      </c>
      <c r="Y1776" s="61" t="str">
        <f aca="false">IF($R1776&gt;=Parametros!$C$12,"Alto",IF($R1776&lt;Parametros!$C$13,"Bajo","Medio"))</f>
        <v>Medio</v>
      </c>
      <c r="Z1776" s="61" t="n">
        <v>1256</v>
      </c>
      <c r="AA1776" s="61" t="str">
        <f aca="false">IF(MATCH($A1776,Datos_Origen!$A$2:$A$2459,0)=$Z1776,"OK","REVISAR")</f>
        <v>OK</v>
      </c>
      <c r="AB1776" s="61" t="str">
        <f aca="false">INDEX(Datos_Origen!$B$2:$B$2459,$Z1776)</f>
        <v>2025-06-06</v>
      </c>
      <c r="AC1776" s="61" t="n">
        <f aca="false">INDEX(Datos_Origen!$H$2:$H$2459,$Z1776)</f>
        <v>16</v>
      </c>
      <c r="AD1776" s="61" t="str">
        <f aca="false">INDEX(Datos_Origen!$D$2:$D$2459,$Z1776)&amp;""</f>
        <v>Mendoza</v>
      </c>
    </row>
    <row r="1777" customFormat="false" ht="15" hidden="false" customHeight="false" outlineLevel="0" collapsed="false">
      <c r="A1777" s="61" t="n">
        <f aca="false">INDEX(Datos_Origen!$A$2:$A$2459,$Z1777)</f>
        <v>1776</v>
      </c>
      <c r="B1777" s="62" t="n">
        <f aca="false">IF(ISNUMBER($AB1777),$AB1777,IF(MID($AB1777,5,1)="-",DATE(VALUE(LEFT($AB1777,4)),VALUE(MID($AB1777,6,2)),VALUE(RIGHT($AB1777,2))),DATE(VALUE(RIGHT($AB1777,4)),VALUE(MID($AB1777,4,2)),VALUE(LEFT($AB1777,2)))))</f>
        <v>45821</v>
      </c>
      <c r="C1777" s="61" t="n">
        <f aca="false">YEAR($B1777)</f>
        <v>2025</v>
      </c>
      <c r="D1777" s="61" t="str">
        <f aca="false">"Q"&amp;ROUNDUP(MONTH($B1777)/3,0)</f>
        <v>Q2</v>
      </c>
      <c r="E1777" s="61" t="n">
        <f aca="false">MONTH($B1777)</f>
        <v>6</v>
      </c>
      <c r="F1777" s="61" t="str">
        <f aca="false">INDEX(Parametros!$I$5:$I$16,$E1777)</f>
        <v>Jun</v>
      </c>
      <c r="G1777" s="61" t="str">
        <f aca="false">TEXT($C1777,"0000")&amp;"-"&amp;TEXT($E1777,"00")</f>
        <v>2025-06</v>
      </c>
      <c r="H1777" s="61" t="str">
        <f aca="false">INDEX(Parametros!$C$71:$C$91,MATCH(TRIM(INDEX(Datos_Origen!$C$2:$C$2459,$Z1777)),Parametros!$B$71:$B$91,0))</f>
        <v>Cuyo</v>
      </c>
      <c r="I1777" s="61" t="str">
        <f aca="false">IF(TRIM($AD1777)="",INDEX(Parametros!$I$20:$I$24,MATCH($H1777,Parametros!$H$20:$H$24,0)),TRIM($AD1777))</f>
        <v>Mendoza</v>
      </c>
      <c r="J1777" s="61" t="str">
        <f aca="false">INDEX(Parametros!$C$95:$C$106,MATCH(TRIM(INDEX(Datos_Origen!$E$2:$E$2459,$Z1777)),Parametros!$B$95:$B$106,0))</f>
        <v>E-commerce</v>
      </c>
      <c r="K1777" s="61" t="str">
        <f aca="false">INDEX(Parametros!$C$48:$C$67,MATCH(TRIM(INDEX(Datos_Origen!$F$2:$F$2459,$Z1777)),Parametros!$B$48:$B$67,0))</f>
        <v>Audio</v>
      </c>
      <c r="L1777" s="61" t="str">
        <f aca="false">$K1777&amp;" "&amp;$C1777</f>
        <v>Audio 2025</v>
      </c>
      <c r="M1777" s="61" t="str">
        <f aca="false">TRIM(INDEX(Datos_Origen!$G$2:$G$2459,$Z1777))</f>
        <v>Parlante Bluetooth</v>
      </c>
      <c r="N1777" s="61" t="str">
        <f aca="false">$M1777&amp;" "&amp;$C1777</f>
        <v>Parlante Bluetooth 2025</v>
      </c>
      <c r="O1777" s="63" t="n">
        <f aca="false">IF(ISTEXT($AC1777),VALUE($AC1777),$AC1777)</f>
        <v>10</v>
      </c>
      <c r="P1777" s="64" t="n">
        <f aca="false">INDEX(Datos_Origen!$I$2:$I$2459,$Z1777)</f>
        <v>84.46</v>
      </c>
      <c r="Q1777" s="64" t="n">
        <f aca="false">INDEX(Datos_Origen!$J$2:$J$2459,$Z1777)</f>
        <v>49.47</v>
      </c>
      <c r="R1777" s="65" t="n">
        <f aca="false">ROUND($O1777*$P1777,2)</f>
        <v>844.6</v>
      </c>
      <c r="S1777" s="65" t="n">
        <f aca="false">ROUND($O1777*$Q1777,2)</f>
        <v>494.7</v>
      </c>
      <c r="T1777" s="65" t="n">
        <f aca="false">ROUND($R1777*SUMIFS(Parametros!$E$28:$E$43,Parametros!$B$28:$B$43,$J1777,Parametros!$C$28:$C$43,$C1777,Parametros!$D$28:$D$43,$D1777),2)</f>
        <v>62.5</v>
      </c>
      <c r="U1777" s="65" t="n">
        <f aca="false">$R1777-$S1777-$T1777</f>
        <v>287.4</v>
      </c>
      <c r="V1777" s="66" t="n">
        <f aca="false">IFERROR($U1777/$R1777,0)</f>
        <v>0.340279422211698</v>
      </c>
      <c r="W1777" s="67" t="str">
        <f aca="false">IF(AND($V1777&gt;=Parametros!$C$8,$R1777&gt;=Parametros!$C$12),"Alta rentabilidad",IF(OR($V1777&lt;Parametros!$C$11,$R1777&lt;Parametros!$C$13),"Revisar","Estandar"))</f>
        <v>Estandar</v>
      </c>
      <c r="X1777" s="67" t="str">
        <f aca="false">IF(AND($J1777="E-commerce",IFERROR($T1777/$R1777,0)&gt;Parametros!$C$14),"Alerta","OK")</f>
        <v>Alerta</v>
      </c>
      <c r="Y1777" s="61" t="str">
        <f aca="false">IF($R1777&gt;=Parametros!$C$12,"Alto",IF($R1777&lt;Parametros!$C$13,"Bajo","Medio"))</f>
        <v>Medio</v>
      </c>
      <c r="Z1777" s="61" t="n">
        <v>2210</v>
      </c>
      <c r="AA1777" s="61" t="str">
        <f aca="false">IF(MATCH($A1777,Datos_Origen!$A$2:$A$2459,0)=$Z1777,"OK","REVISAR")</f>
        <v>OK</v>
      </c>
      <c r="AB1777" s="61" t="str">
        <f aca="false">INDEX(Datos_Origen!$B$2:$B$2459,$Z1777)</f>
        <v>13/06/2025</v>
      </c>
      <c r="AC1777" s="61" t="n">
        <f aca="false">INDEX(Datos_Origen!$H$2:$H$2459,$Z1777)</f>
        <v>10</v>
      </c>
      <c r="AD1777" s="61" t="str">
        <f aca="false">INDEX(Datos_Origen!$D$2:$D$2459,$Z1777)&amp;""</f>
        <v>Mendoza</v>
      </c>
    </row>
    <row r="1778" customFormat="false" ht="15" hidden="false" customHeight="false" outlineLevel="0" collapsed="false">
      <c r="A1778" s="61" t="n">
        <f aca="false">INDEX(Datos_Origen!$A$2:$A$2459,$Z1778)</f>
        <v>1777</v>
      </c>
      <c r="B1778" s="62" t="n">
        <f aca="false">IF(ISNUMBER($AB1778),$AB1778,IF(MID($AB1778,5,1)="-",DATE(VALUE(LEFT($AB1778,4)),VALUE(MID($AB1778,6,2)),VALUE(RIGHT($AB1778,2))),DATE(VALUE(RIGHT($AB1778,4)),VALUE(MID($AB1778,4,2)),VALUE(LEFT($AB1778,2)))))</f>
        <v>45828</v>
      </c>
      <c r="C1778" s="61" t="n">
        <f aca="false">YEAR($B1778)</f>
        <v>2025</v>
      </c>
      <c r="D1778" s="61" t="str">
        <f aca="false">"Q"&amp;ROUNDUP(MONTH($B1778)/3,0)</f>
        <v>Q2</v>
      </c>
      <c r="E1778" s="61" t="n">
        <f aca="false">MONTH($B1778)</f>
        <v>6</v>
      </c>
      <c r="F1778" s="61" t="str">
        <f aca="false">INDEX(Parametros!$I$5:$I$16,$E1778)</f>
        <v>Jun</v>
      </c>
      <c r="G1778" s="61" t="str">
        <f aca="false">TEXT($C1778,"0000")&amp;"-"&amp;TEXT($E1778,"00")</f>
        <v>2025-06</v>
      </c>
      <c r="H1778" s="61" t="str">
        <f aca="false">INDEX(Parametros!$C$71:$C$91,MATCH(TRIM(INDEX(Datos_Origen!$C$2:$C$2459,$Z1778)),Parametros!$B$71:$B$91,0))</f>
        <v>Cuyo</v>
      </c>
      <c r="I1778" s="61" t="str">
        <f aca="false">IF(TRIM($AD1778)="",INDEX(Parametros!$I$20:$I$24,MATCH($H1778,Parametros!$H$20:$H$24,0)),TRIM($AD1778))</f>
        <v>Mendoza</v>
      </c>
      <c r="J1778" s="61" t="str">
        <f aca="false">INDEX(Parametros!$C$95:$C$106,MATCH(TRIM(INDEX(Datos_Origen!$E$2:$E$2459,$Z1778)),Parametros!$B$95:$B$106,0))</f>
        <v>Tienda fisica</v>
      </c>
      <c r="K1778" s="61" t="str">
        <f aca="false">INDEX(Parametros!$C$48:$C$67,MATCH(TRIM(INDEX(Datos_Origen!$F$2:$F$2459,$Z1778)),Parametros!$B$48:$B$67,0))</f>
        <v>Almacenamiento</v>
      </c>
      <c r="L1778" s="61" t="str">
        <f aca="false">$K1778&amp;" "&amp;$C1778</f>
        <v>Almacenamiento 2025</v>
      </c>
      <c r="M1778" s="61" t="str">
        <f aca="false">TRIM(INDEX(Datos_Origen!$G$2:$G$2459,$Z1778))</f>
        <v>SSD Externo 1TB</v>
      </c>
      <c r="N1778" s="61" t="str">
        <f aca="false">$M1778&amp;" "&amp;$C1778</f>
        <v>SSD Externo 1TB 2025</v>
      </c>
      <c r="O1778" s="63" t="n">
        <f aca="false">IF(ISTEXT($AC1778),VALUE($AC1778),$AC1778)</f>
        <v>19</v>
      </c>
      <c r="P1778" s="64" t="n">
        <f aca="false">INDEX(Datos_Origen!$I$2:$I$2459,$Z1778)</f>
        <v>129.17</v>
      </c>
      <c r="Q1778" s="64" t="n">
        <f aca="false">INDEX(Datos_Origen!$J$2:$J$2459,$Z1778)</f>
        <v>78.33</v>
      </c>
      <c r="R1778" s="65" t="n">
        <f aca="false">ROUND($O1778*$P1778,2)</f>
        <v>2454.23</v>
      </c>
      <c r="S1778" s="65" t="n">
        <f aca="false">ROUND($O1778*$Q1778,2)</f>
        <v>1488.27</v>
      </c>
      <c r="T1778" s="65" t="n">
        <f aca="false">ROUND($R1778*SUMIFS(Parametros!$E$28:$E$43,Parametros!$B$28:$B$43,$J1778,Parametros!$C$28:$C$43,$C1778,Parametros!$D$28:$D$43,$D1778),2)</f>
        <v>34.36</v>
      </c>
      <c r="U1778" s="65" t="n">
        <f aca="false">$R1778-$S1778-$T1778</f>
        <v>931.6</v>
      </c>
      <c r="V1778" s="66" t="n">
        <f aca="false">IFERROR($U1778/$R1778,0)</f>
        <v>0.379589525024142</v>
      </c>
      <c r="W1778" s="67" t="str">
        <f aca="false">IF(AND($V1778&gt;=Parametros!$C$8,$R1778&gt;=Parametros!$C$12),"Alta rentabilidad",IF(OR($V1778&lt;Parametros!$C$11,$R1778&lt;Parametros!$C$13),"Revisar","Estandar"))</f>
        <v>Estandar</v>
      </c>
      <c r="X1778" s="67" t="str">
        <f aca="false">IF(AND($J1778="E-commerce",IFERROR($T1778/$R1778,0)&gt;Parametros!$C$14),"Alerta","OK")</f>
        <v>OK</v>
      </c>
      <c r="Y1778" s="61" t="str">
        <f aca="false">IF($R1778&gt;=Parametros!$C$12,"Alto",IF($R1778&lt;Parametros!$C$13,"Bajo","Medio"))</f>
        <v>Medio</v>
      </c>
      <c r="Z1778" s="61" t="n">
        <v>2207</v>
      </c>
      <c r="AA1778" s="61" t="str">
        <f aca="false">IF(MATCH($A1778,Datos_Origen!$A$2:$A$2459,0)=$Z1778,"OK","REVISAR")</f>
        <v>OK</v>
      </c>
      <c r="AB1778" s="62" t="n">
        <f aca="false">INDEX(Datos_Origen!$B$2:$B$2459,$Z1778)</f>
        <v>45828</v>
      </c>
      <c r="AC1778" s="61" t="n">
        <f aca="false">INDEX(Datos_Origen!$H$2:$H$2459,$Z1778)</f>
        <v>19</v>
      </c>
      <c r="AD1778" s="61" t="str">
        <f aca="false">INDEX(Datos_Origen!$D$2:$D$2459,$Z1778)&amp;""</f>
        <v>Mendoza</v>
      </c>
    </row>
    <row r="1779" customFormat="false" ht="15" hidden="false" customHeight="false" outlineLevel="0" collapsed="false">
      <c r="A1779" s="61" t="n">
        <f aca="false">INDEX(Datos_Origen!$A$2:$A$2459,$Z1779)</f>
        <v>1778</v>
      </c>
      <c r="B1779" s="62" t="n">
        <f aca="false">IF(ISNUMBER($AB1779),$AB1779,IF(MID($AB1779,5,1)="-",DATE(VALUE(LEFT($AB1779,4)),VALUE(MID($AB1779,6,2)),VALUE(RIGHT($AB1779,2))),DATE(VALUE(RIGHT($AB1779,4)),VALUE(MID($AB1779,4,2)),VALUE(LEFT($AB1779,2)))))</f>
        <v>45835</v>
      </c>
      <c r="C1779" s="61" t="n">
        <f aca="false">YEAR($B1779)</f>
        <v>2025</v>
      </c>
      <c r="D1779" s="61" t="str">
        <f aca="false">"Q"&amp;ROUNDUP(MONTH($B1779)/3,0)</f>
        <v>Q2</v>
      </c>
      <c r="E1779" s="61" t="n">
        <f aca="false">MONTH($B1779)</f>
        <v>6</v>
      </c>
      <c r="F1779" s="61" t="str">
        <f aca="false">INDEX(Parametros!$I$5:$I$16,$E1779)</f>
        <v>Jun</v>
      </c>
      <c r="G1779" s="61" t="str">
        <f aca="false">TEXT($C1779,"0000")&amp;"-"&amp;TEXT($E1779,"00")</f>
        <v>2025-06</v>
      </c>
      <c r="H1779" s="61" t="str">
        <f aca="false">INDEX(Parametros!$C$71:$C$91,MATCH(TRIM(INDEX(Datos_Origen!$C$2:$C$2459,$Z1779)),Parametros!$B$71:$B$91,0))</f>
        <v>Cuyo</v>
      </c>
      <c r="I1779" s="61" t="str">
        <f aca="false">IF(TRIM($AD1779)="",INDEX(Parametros!$I$20:$I$24,MATCH($H1779,Parametros!$H$20:$H$24,0)),TRIM($AD1779))</f>
        <v>Mendoza</v>
      </c>
      <c r="J1779" s="61" t="str">
        <f aca="false">INDEX(Parametros!$C$95:$C$106,MATCH(TRIM(INDEX(Datos_Origen!$E$2:$E$2459,$Z1779)),Parametros!$B$95:$B$106,0))</f>
        <v>E-commerce</v>
      </c>
      <c r="K1779" s="61" t="str">
        <f aca="false">INDEX(Parametros!$C$48:$C$67,MATCH(TRIM(INDEX(Datos_Origen!$F$2:$F$2459,$Z1779)),Parametros!$B$48:$B$67,0))</f>
        <v>Almacenamiento</v>
      </c>
      <c r="L1779" s="61" t="str">
        <f aca="false">$K1779&amp;" "&amp;$C1779</f>
        <v>Almacenamiento 2025</v>
      </c>
      <c r="M1779" s="61" t="str">
        <f aca="false">TRIM(INDEX(Datos_Origen!$G$2:$G$2459,$Z1779))</f>
        <v>SSD Externo 1TB</v>
      </c>
      <c r="N1779" s="61" t="str">
        <f aca="false">$M1779&amp;" "&amp;$C1779</f>
        <v>SSD Externo 1TB 2025</v>
      </c>
      <c r="O1779" s="63" t="n">
        <f aca="false">IF(ISTEXT($AC1779),VALUE($AC1779),$AC1779)</f>
        <v>10</v>
      </c>
      <c r="P1779" s="64" t="n">
        <f aca="false">INDEX(Datos_Origen!$I$2:$I$2459,$Z1779)</f>
        <v>129.17</v>
      </c>
      <c r="Q1779" s="64" t="n">
        <f aca="false">INDEX(Datos_Origen!$J$2:$J$2459,$Z1779)</f>
        <v>78.33</v>
      </c>
      <c r="R1779" s="65" t="n">
        <f aca="false">ROUND($O1779*$P1779,2)</f>
        <v>1291.7</v>
      </c>
      <c r="S1779" s="65" t="n">
        <f aca="false">ROUND($O1779*$Q1779,2)</f>
        <v>783.3</v>
      </c>
      <c r="T1779" s="65" t="n">
        <f aca="false">ROUND($R1779*SUMIFS(Parametros!$E$28:$E$43,Parametros!$B$28:$B$43,$J1779,Parametros!$C$28:$C$43,$C1779,Parametros!$D$28:$D$43,$D1779),2)</f>
        <v>95.59</v>
      </c>
      <c r="U1779" s="65" t="n">
        <f aca="false">$R1779-$S1779-$T1779</f>
        <v>412.81</v>
      </c>
      <c r="V1779" s="66" t="n">
        <f aca="false">IFERROR($U1779/$R1779,0)</f>
        <v>0.319586591313773</v>
      </c>
      <c r="W1779" s="67" t="str">
        <f aca="false">IF(AND($V1779&gt;=Parametros!$C$8,$R1779&gt;=Parametros!$C$12),"Alta rentabilidad",IF(OR($V1779&lt;Parametros!$C$11,$R1779&lt;Parametros!$C$13),"Revisar","Estandar"))</f>
        <v>Estandar</v>
      </c>
      <c r="X1779" s="67" t="str">
        <f aca="false">IF(AND($J1779="E-commerce",IFERROR($T1779/$R1779,0)&gt;Parametros!$C$14),"Alerta","OK")</f>
        <v>Alerta</v>
      </c>
      <c r="Y1779" s="61" t="str">
        <f aca="false">IF($R1779&gt;=Parametros!$C$12,"Alto",IF($R1779&lt;Parametros!$C$13,"Bajo","Medio"))</f>
        <v>Medio</v>
      </c>
      <c r="Z1779" s="61" t="n">
        <v>2038</v>
      </c>
      <c r="AA1779" s="61" t="str">
        <f aca="false">IF(MATCH($A1779,Datos_Origen!$A$2:$A$2459,0)=$Z1779,"OK","REVISAR")</f>
        <v>OK</v>
      </c>
      <c r="AB1779" s="61" t="str">
        <f aca="false">INDEX(Datos_Origen!$B$2:$B$2459,$Z1779)</f>
        <v>27/06/2025</v>
      </c>
      <c r="AC1779" s="61" t="n">
        <f aca="false">INDEX(Datos_Origen!$H$2:$H$2459,$Z1779)</f>
        <v>10</v>
      </c>
      <c r="AD1779" s="61" t="str">
        <f aca="false">INDEX(Datos_Origen!$D$2:$D$2459,$Z1779)&amp;""</f>
        <v>Mendoza</v>
      </c>
    </row>
    <row r="1780" customFormat="false" ht="15" hidden="false" customHeight="false" outlineLevel="0" collapsed="false">
      <c r="A1780" s="61" t="n">
        <f aca="false">INDEX(Datos_Origen!$A$2:$A$2459,$Z1780)</f>
        <v>1779</v>
      </c>
      <c r="B1780" s="62" t="n">
        <f aca="false">IF(ISNUMBER($AB1780),$AB1780,IF(MID($AB1780,5,1)="-",DATE(VALUE(LEFT($AB1780,4)),VALUE(MID($AB1780,6,2)),VALUE(RIGHT($AB1780,2))),DATE(VALUE(RIGHT($AB1780,4)),VALUE(MID($AB1780,4,2)),VALUE(LEFT($AB1780,2)))))</f>
        <v>45815</v>
      </c>
      <c r="C1780" s="61" t="n">
        <f aca="false">YEAR($B1780)</f>
        <v>2025</v>
      </c>
      <c r="D1780" s="61" t="str">
        <f aca="false">"Q"&amp;ROUNDUP(MONTH($B1780)/3,0)</f>
        <v>Q2</v>
      </c>
      <c r="E1780" s="61" t="n">
        <f aca="false">MONTH($B1780)</f>
        <v>6</v>
      </c>
      <c r="F1780" s="61" t="str">
        <f aca="false">INDEX(Parametros!$I$5:$I$16,$E1780)</f>
        <v>Jun</v>
      </c>
      <c r="G1780" s="61" t="str">
        <f aca="false">TEXT($C1780,"0000")&amp;"-"&amp;TEXT($E1780,"00")</f>
        <v>2025-06</v>
      </c>
      <c r="H1780" s="61" t="str">
        <f aca="false">INDEX(Parametros!$C$71:$C$91,MATCH(TRIM(INDEX(Datos_Origen!$C$2:$C$2459,$Z1780)),Parametros!$B$71:$B$91,0))</f>
        <v>Cuyo</v>
      </c>
      <c r="I1780" s="61" t="str">
        <f aca="false">IF(TRIM($AD1780)="",INDEX(Parametros!$I$20:$I$24,MATCH($H1780,Parametros!$H$20:$H$24,0)),TRIM($AD1780))</f>
        <v>Mendoza</v>
      </c>
      <c r="J1780" s="61" t="str">
        <f aca="false">INDEX(Parametros!$C$95:$C$106,MATCH(TRIM(INDEX(Datos_Origen!$E$2:$E$2459,$Z1780)),Parametros!$B$95:$B$106,0))</f>
        <v>Tienda fisica</v>
      </c>
      <c r="K1780" s="61" t="str">
        <f aca="false">INDEX(Parametros!$C$48:$C$67,MATCH(TRIM(INDEX(Datos_Origen!$F$2:$F$2459,$Z1780)),Parametros!$B$48:$B$67,0))</f>
        <v>Almacenamiento</v>
      </c>
      <c r="L1780" s="61" t="str">
        <f aca="false">$K1780&amp;" "&amp;$C1780</f>
        <v>Almacenamiento 2025</v>
      </c>
      <c r="M1780" s="61" t="str">
        <f aca="false">TRIM(INDEX(Datos_Origen!$G$2:$G$2459,$Z1780))</f>
        <v>Pendrive 256GB</v>
      </c>
      <c r="N1780" s="61" t="str">
        <f aca="false">$M1780&amp;" "&amp;$C1780</f>
        <v>Pendrive 256GB 2025</v>
      </c>
      <c r="O1780" s="63" t="n">
        <f aca="false">IF(ISTEXT($AC1780),VALUE($AC1780),$AC1780)</f>
        <v>21</v>
      </c>
      <c r="P1780" s="64" t="n">
        <f aca="false">INDEX(Datos_Origen!$I$2:$I$2459,$Z1780)</f>
        <v>34.78</v>
      </c>
      <c r="Q1780" s="64" t="n">
        <f aca="false">INDEX(Datos_Origen!$J$2:$J$2459,$Z1780)</f>
        <v>18.39</v>
      </c>
      <c r="R1780" s="65" t="n">
        <f aca="false">ROUND($O1780*$P1780,2)</f>
        <v>730.38</v>
      </c>
      <c r="S1780" s="65" t="n">
        <f aca="false">ROUND($O1780*$Q1780,2)</f>
        <v>386.19</v>
      </c>
      <c r="T1780" s="65" t="n">
        <f aca="false">ROUND($R1780*SUMIFS(Parametros!$E$28:$E$43,Parametros!$B$28:$B$43,$J1780,Parametros!$C$28:$C$43,$C1780,Parametros!$D$28:$D$43,$D1780),2)</f>
        <v>10.23</v>
      </c>
      <c r="U1780" s="65" t="n">
        <f aca="false">$R1780-$S1780-$T1780</f>
        <v>333.96</v>
      </c>
      <c r="V1780" s="66" t="n">
        <f aca="false">IFERROR($U1780/$R1780,0)</f>
        <v>0.45724143596484</v>
      </c>
      <c r="W1780" s="67" t="str">
        <f aca="false">IF(AND($V1780&gt;=Parametros!$C$8,$R1780&gt;=Parametros!$C$12),"Alta rentabilidad",IF(OR($V1780&lt;Parametros!$C$11,$R1780&lt;Parametros!$C$13),"Revisar","Estandar"))</f>
        <v>Estandar</v>
      </c>
      <c r="X1780" s="67" t="str">
        <f aca="false">IF(AND($J1780="E-commerce",IFERROR($T1780/$R1780,0)&gt;Parametros!$C$14),"Alerta","OK")</f>
        <v>OK</v>
      </c>
      <c r="Y1780" s="61" t="str">
        <f aca="false">IF($R1780&gt;=Parametros!$C$12,"Alto",IF($R1780&lt;Parametros!$C$13,"Bajo","Medio"))</f>
        <v>Medio</v>
      </c>
      <c r="Z1780" s="61" t="n">
        <v>513</v>
      </c>
      <c r="AA1780" s="61" t="str">
        <f aca="false">IF(MATCH($A1780,Datos_Origen!$A$2:$A$2459,0)=$Z1780,"OK","REVISAR")</f>
        <v>OK</v>
      </c>
      <c r="AB1780" s="61" t="str">
        <f aca="false">INDEX(Datos_Origen!$B$2:$B$2459,$Z1780)</f>
        <v>07/06/2025</v>
      </c>
      <c r="AC1780" s="61" t="n">
        <f aca="false">INDEX(Datos_Origen!$H$2:$H$2459,$Z1780)</f>
        <v>21</v>
      </c>
      <c r="AD1780" s="61" t="str">
        <f aca="false">INDEX(Datos_Origen!$D$2:$D$2459,$Z1780)&amp;""</f>
        <v>Mendoza</v>
      </c>
    </row>
    <row r="1781" customFormat="false" ht="15" hidden="false" customHeight="false" outlineLevel="0" collapsed="false">
      <c r="A1781" s="61" t="n">
        <f aca="false">INDEX(Datos_Origen!$A$2:$A$2459,$Z1781)</f>
        <v>1780</v>
      </c>
      <c r="B1781" s="62" t="n">
        <f aca="false">IF(ISNUMBER($AB1781),$AB1781,IF(MID($AB1781,5,1)="-",DATE(VALUE(LEFT($AB1781,4)),VALUE(MID($AB1781,6,2)),VALUE(RIGHT($AB1781,2))),DATE(VALUE(RIGHT($AB1781,4)),VALUE(MID($AB1781,4,2)),VALUE(LEFT($AB1781,2)))))</f>
        <v>45822</v>
      </c>
      <c r="C1781" s="61" t="n">
        <f aca="false">YEAR($B1781)</f>
        <v>2025</v>
      </c>
      <c r="D1781" s="61" t="str">
        <f aca="false">"Q"&amp;ROUNDUP(MONTH($B1781)/3,0)</f>
        <v>Q2</v>
      </c>
      <c r="E1781" s="61" t="n">
        <f aca="false">MONTH($B1781)</f>
        <v>6</v>
      </c>
      <c r="F1781" s="61" t="str">
        <f aca="false">INDEX(Parametros!$I$5:$I$16,$E1781)</f>
        <v>Jun</v>
      </c>
      <c r="G1781" s="61" t="str">
        <f aca="false">TEXT($C1781,"0000")&amp;"-"&amp;TEXT($E1781,"00")</f>
        <v>2025-06</v>
      </c>
      <c r="H1781" s="61" t="str">
        <f aca="false">INDEX(Parametros!$C$71:$C$91,MATCH(TRIM(INDEX(Datos_Origen!$C$2:$C$2459,$Z1781)),Parametros!$B$71:$B$91,0))</f>
        <v>Cuyo</v>
      </c>
      <c r="I1781" s="61" t="str">
        <f aca="false">IF(TRIM($AD1781)="",INDEX(Parametros!$I$20:$I$24,MATCH($H1781,Parametros!$H$20:$H$24,0)),TRIM($AD1781))</f>
        <v>Mendoza</v>
      </c>
      <c r="J1781" s="61" t="str">
        <f aca="false">INDEX(Parametros!$C$95:$C$106,MATCH(TRIM(INDEX(Datos_Origen!$E$2:$E$2459,$Z1781)),Parametros!$B$95:$B$106,0))</f>
        <v>E-commerce</v>
      </c>
      <c r="K1781" s="61" t="str">
        <f aca="false">INDEX(Parametros!$C$48:$C$67,MATCH(TRIM(INDEX(Datos_Origen!$F$2:$F$2459,$Z1781)),Parametros!$B$48:$B$67,0))</f>
        <v>Almacenamiento</v>
      </c>
      <c r="L1781" s="61" t="str">
        <f aca="false">$K1781&amp;" "&amp;$C1781</f>
        <v>Almacenamiento 2025</v>
      </c>
      <c r="M1781" s="61" t="str">
        <f aca="false">TRIM(INDEX(Datos_Origen!$G$2:$G$2459,$Z1781))</f>
        <v>Pendrive 256GB</v>
      </c>
      <c r="N1781" s="61" t="str">
        <f aca="false">$M1781&amp;" "&amp;$C1781</f>
        <v>Pendrive 256GB 2025</v>
      </c>
      <c r="O1781" s="63" t="n">
        <f aca="false">IF(ISTEXT($AC1781),VALUE($AC1781),$AC1781)</f>
        <v>12</v>
      </c>
      <c r="P1781" s="64" t="n">
        <f aca="false">INDEX(Datos_Origen!$I$2:$I$2459,$Z1781)</f>
        <v>34.78</v>
      </c>
      <c r="Q1781" s="64" t="n">
        <f aca="false">INDEX(Datos_Origen!$J$2:$J$2459,$Z1781)</f>
        <v>18.39</v>
      </c>
      <c r="R1781" s="65" t="n">
        <f aca="false">ROUND($O1781*$P1781,2)</f>
        <v>417.36</v>
      </c>
      <c r="S1781" s="65" t="n">
        <f aca="false">ROUND($O1781*$Q1781,2)</f>
        <v>220.68</v>
      </c>
      <c r="T1781" s="65" t="n">
        <f aca="false">ROUND($R1781*SUMIFS(Parametros!$E$28:$E$43,Parametros!$B$28:$B$43,$J1781,Parametros!$C$28:$C$43,$C1781,Parametros!$D$28:$D$43,$D1781),2)</f>
        <v>30.88</v>
      </c>
      <c r="U1781" s="65" t="n">
        <f aca="false">$R1781-$S1781-$T1781</f>
        <v>165.8</v>
      </c>
      <c r="V1781" s="66" t="n">
        <f aca="false">IFERROR($U1781/$R1781,0)</f>
        <v>0.397258961088748</v>
      </c>
      <c r="W1781" s="67" t="str">
        <f aca="false">IF(AND($V1781&gt;=Parametros!$C$8,$R1781&gt;=Parametros!$C$12),"Alta rentabilidad",IF(OR($V1781&lt;Parametros!$C$11,$R1781&lt;Parametros!$C$13),"Revisar","Estandar"))</f>
        <v>Estandar</v>
      </c>
      <c r="X1781" s="67" t="str">
        <f aca="false">IF(AND($J1781="E-commerce",IFERROR($T1781/$R1781,0)&gt;Parametros!$C$14),"Alerta","OK")</f>
        <v>Alerta</v>
      </c>
      <c r="Y1781" s="61" t="str">
        <f aca="false">IF($R1781&gt;=Parametros!$C$12,"Alto",IF($R1781&lt;Parametros!$C$13,"Bajo","Medio"))</f>
        <v>Medio</v>
      </c>
      <c r="Z1781" s="61" t="n">
        <v>991</v>
      </c>
      <c r="AA1781" s="61" t="str">
        <f aca="false">IF(MATCH($A1781,Datos_Origen!$A$2:$A$2459,0)=$Z1781,"OK","REVISAR")</f>
        <v>OK</v>
      </c>
      <c r="AB1781" s="61" t="str">
        <f aca="false">INDEX(Datos_Origen!$B$2:$B$2459,$Z1781)</f>
        <v>2025-06-14</v>
      </c>
      <c r="AC1781" s="61" t="n">
        <f aca="false">INDEX(Datos_Origen!$H$2:$H$2459,$Z1781)</f>
        <v>12</v>
      </c>
      <c r="AD1781" s="61" t="str">
        <f aca="false">INDEX(Datos_Origen!$D$2:$D$2459,$Z1781)&amp;""</f>
        <v>Mendoza</v>
      </c>
    </row>
    <row r="1782" customFormat="false" ht="15" hidden="false" customHeight="false" outlineLevel="0" collapsed="false">
      <c r="A1782" s="61" t="n">
        <f aca="false">INDEX(Datos_Origen!$A$2:$A$2459,$Z1782)</f>
        <v>1781</v>
      </c>
      <c r="B1782" s="62" t="n">
        <f aca="false">IF(ISNUMBER($AB1782),$AB1782,IF(MID($AB1782,5,1)="-",DATE(VALUE(LEFT($AB1782,4)),VALUE(MID($AB1782,6,2)),VALUE(RIGHT($AB1782,2))),DATE(VALUE(RIGHT($AB1782,4)),VALUE(MID($AB1782,4,2)),VALUE(LEFT($AB1782,2)))))</f>
        <v>45829</v>
      </c>
      <c r="C1782" s="61" t="n">
        <f aca="false">YEAR($B1782)</f>
        <v>2025</v>
      </c>
      <c r="D1782" s="61" t="str">
        <f aca="false">"Q"&amp;ROUNDUP(MONTH($B1782)/3,0)</f>
        <v>Q2</v>
      </c>
      <c r="E1782" s="61" t="n">
        <f aca="false">MONTH($B1782)</f>
        <v>6</v>
      </c>
      <c r="F1782" s="61" t="str">
        <f aca="false">INDEX(Parametros!$I$5:$I$16,$E1782)</f>
        <v>Jun</v>
      </c>
      <c r="G1782" s="61" t="str">
        <f aca="false">TEXT($C1782,"0000")&amp;"-"&amp;TEXT($E1782,"00")</f>
        <v>2025-06</v>
      </c>
      <c r="H1782" s="61" t="str">
        <f aca="false">INDEX(Parametros!$C$71:$C$91,MATCH(TRIM(INDEX(Datos_Origen!$C$2:$C$2459,$Z1782)),Parametros!$B$71:$B$91,0))</f>
        <v>NOA</v>
      </c>
      <c r="I1782" s="61" t="str">
        <f aca="false">IF(TRIM($AD1782)="",INDEX(Parametros!$I$20:$I$24,MATCH($H1782,Parametros!$H$20:$H$24,0)),TRIM($AD1782))</f>
        <v>Tucuman</v>
      </c>
      <c r="J1782" s="61" t="str">
        <f aca="false">INDEX(Parametros!$C$95:$C$106,MATCH(TRIM(INDEX(Datos_Origen!$E$2:$E$2459,$Z1782)),Parametros!$B$95:$B$106,0))</f>
        <v>Tienda fisica</v>
      </c>
      <c r="K1782" s="61" t="str">
        <f aca="false">INDEX(Parametros!$C$48:$C$67,MATCH(TRIM(INDEX(Datos_Origen!$F$2:$F$2459,$Z1782)),Parametros!$B$48:$B$67,0))</f>
        <v>Computacion</v>
      </c>
      <c r="L1782" s="61" t="str">
        <f aca="false">$K1782&amp;" "&amp;$C1782</f>
        <v>Computacion 2025</v>
      </c>
      <c r="M1782" s="61" t="str">
        <f aca="false">TRIM(INDEX(Datos_Origen!$G$2:$G$2459,$Z1782))</f>
        <v>Laptop Pro 15</v>
      </c>
      <c r="N1782" s="61" t="str">
        <f aca="false">$M1782&amp;" "&amp;$C1782</f>
        <v>Laptop Pro 15 2025</v>
      </c>
      <c r="O1782" s="63" t="n">
        <f aca="false">IF(ISTEXT($AC1782),VALUE($AC1782),$AC1782)</f>
        <v>8</v>
      </c>
      <c r="P1782" s="64" t="n">
        <f aca="false">INDEX(Datos_Origen!$I$2:$I$2459,$Z1782)</f>
        <v>1155.06</v>
      </c>
      <c r="Q1782" s="64" t="n">
        <f aca="false">INDEX(Datos_Origen!$J$2:$J$2459,$Z1782)</f>
        <v>766.32</v>
      </c>
      <c r="R1782" s="65" t="n">
        <f aca="false">ROUND($O1782*$P1782,2)</f>
        <v>9240.48</v>
      </c>
      <c r="S1782" s="65" t="n">
        <f aca="false">ROUND($O1782*$Q1782,2)</f>
        <v>6130.56</v>
      </c>
      <c r="T1782" s="65" t="n">
        <f aca="false">ROUND($R1782*SUMIFS(Parametros!$E$28:$E$43,Parametros!$B$28:$B$43,$J1782,Parametros!$C$28:$C$43,$C1782,Parametros!$D$28:$D$43,$D1782),2)</f>
        <v>129.37</v>
      </c>
      <c r="U1782" s="65" t="n">
        <f aca="false">$R1782-$S1782-$T1782</f>
        <v>2980.55</v>
      </c>
      <c r="V1782" s="66" t="n">
        <f aca="false">IFERROR($U1782/$R1782,0)</f>
        <v>0.322553590289682</v>
      </c>
      <c r="W1782" s="67" t="str">
        <f aca="false">IF(AND($V1782&gt;=Parametros!$C$8,$R1782&gt;=Parametros!$C$12),"Alta rentabilidad",IF(OR($V1782&lt;Parametros!$C$11,$R1782&lt;Parametros!$C$13),"Revisar","Estandar"))</f>
        <v>Estandar</v>
      </c>
      <c r="X1782" s="67" t="str">
        <f aca="false">IF(AND($J1782="E-commerce",IFERROR($T1782/$R1782,0)&gt;Parametros!$C$14),"Alerta","OK")</f>
        <v>OK</v>
      </c>
      <c r="Y1782" s="61" t="str">
        <f aca="false">IF($R1782&gt;=Parametros!$C$12,"Alto",IF($R1782&lt;Parametros!$C$13,"Bajo","Medio"))</f>
        <v>Alto</v>
      </c>
      <c r="Z1782" s="61" t="n">
        <v>68</v>
      </c>
      <c r="AA1782" s="61" t="str">
        <f aca="false">IF(MATCH($A1782,Datos_Origen!$A$2:$A$2459,0)=$Z1782,"OK","REVISAR")</f>
        <v>OK</v>
      </c>
      <c r="AB1782" s="62" t="n">
        <f aca="false">INDEX(Datos_Origen!$B$2:$B$2459,$Z1782)</f>
        <v>45829</v>
      </c>
      <c r="AC1782" s="61" t="n">
        <f aca="false">INDEX(Datos_Origen!$H$2:$H$2459,$Z1782)</f>
        <v>8</v>
      </c>
      <c r="AD1782" s="61" t="str">
        <f aca="false">INDEX(Datos_Origen!$D$2:$D$2459,$Z1782)&amp;""</f>
        <v>Tucuman</v>
      </c>
    </row>
    <row r="1783" customFormat="false" ht="15" hidden="false" customHeight="false" outlineLevel="0" collapsed="false">
      <c r="A1783" s="61" t="n">
        <f aca="false">INDEX(Datos_Origen!$A$2:$A$2459,$Z1783)</f>
        <v>1782</v>
      </c>
      <c r="B1783" s="62" t="n">
        <f aca="false">IF(ISNUMBER($AB1783),$AB1783,IF(MID($AB1783,5,1)="-",DATE(VALUE(LEFT($AB1783,4)),VALUE(MID($AB1783,6,2)),VALUE(RIGHT($AB1783,2))),DATE(VALUE(RIGHT($AB1783,4)),VALUE(MID($AB1783,4,2)),VALUE(LEFT($AB1783,2)))))</f>
        <v>45809</v>
      </c>
      <c r="C1783" s="61" t="n">
        <f aca="false">YEAR($B1783)</f>
        <v>2025</v>
      </c>
      <c r="D1783" s="61" t="str">
        <f aca="false">"Q"&amp;ROUNDUP(MONTH($B1783)/3,0)</f>
        <v>Q2</v>
      </c>
      <c r="E1783" s="61" t="n">
        <f aca="false">MONTH($B1783)</f>
        <v>6</v>
      </c>
      <c r="F1783" s="61" t="str">
        <f aca="false">INDEX(Parametros!$I$5:$I$16,$E1783)</f>
        <v>Jun</v>
      </c>
      <c r="G1783" s="61" t="str">
        <f aca="false">TEXT($C1783,"0000")&amp;"-"&amp;TEXT($E1783,"00")</f>
        <v>2025-06</v>
      </c>
      <c r="H1783" s="61" t="str">
        <f aca="false">INDEX(Parametros!$C$71:$C$91,MATCH(TRIM(INDEX(Datos_Origen!$C$2:$C$2459,$Z1783)),Parametros!$B$71:$B$91,0))</f>
        <v>NOA</v>
      </c>
      <c r="I1783" s="61" t="str">
        <f aca="false">IF(TRIM($AD1783)="",INDEX(Parametros!$I$20:$I$24,MATCH($H1783,Parametros!$H$20:$H$24,0)),TRIM($AD1783))</f>
        <v>Tucuman</v>
      </c>
      <c r="J1783" s="61" t="str">
        <f aca="false">INDEX(Parametros!$C$95:$C$106,MATCH(TRIM(INDEX(Datos_Origen!$E$2:$E$2459,$Z1783)),Parametros!$B$95:$B$106,0))</f>
        <v>E-commerce</v>
      </c>
      <c r="K1783" s="61" t="str">
        <f aca="false">INDEX(Parametros!$C$48:$C$67,MATCH(TRIM(INDEX(Datos_Origen!$F$2:$F$2459,$Z1783)),Parametros!$B$48:$B$67,0))</f>
        <v>Computacion</v>
      </c>
      <c r="L1783" s="61" t="str">
        <f aca="false">$K1783&amp;" "&amp;$C1783</f>
        <v>Computacion 2025</v>
      </c>
      <c r="M1783" s="61" t="str">
        <f aca="false">TRIM(INDEX(Datos_Origen!$G$2:$G$2459,$Z1783))</f>
        <v>Laptop Pro 15</v>
      </c>
      <c r="N1783" s="61" t="str">
        <f aca="false">$M1783&amp;" "&amp;$C1783</f>
        <v>Laptop Pro 15 2025</v>
      </c>
      <c r="O1783" s="63" t="n">
        <f aca="false">IF(ISTEXT($AC1783),VALUE($AC1783),$AC1783)</f>
        <v>4</v>
      </c>
      <c r="P1783" s="64" t="n">
        <f aca="false">INDEX(Datos_Origen!$I$2:$I$2459,$Z1783)</f>
        <v>1155.06</v>
      </c>
      <c r="Q1783" s="64" t="n">
        <f aca="false">INDEX(Datos_Origen!$J$2:$J$2459,$Z1783)</f>
        <v>766.32</v>
      </c>
      <c r="R1783" s="65" t="n">
        <f aca="false">ROUND($O1783*$P1783,2)</f>
        <v>4620.24</v>
      </c>
      <c r="S1783" s="65" t="n">
        <f aca="false">ROUND($O1783*$Q1783,2)</f>
        <v>3065.28</v>
      </c>
      <c r="T1783" s="65" t="n">
        <f aca="false">ROUND($R1783*SUMIFS(Parametros!$E$28:$E$43,Parametros!$B$28:$B$43,$J1783,Parametros!$C$28:$C$43,$C1783,Parametros!$D$28:$D$43,$D1783),2)</f>
        <v>341.9</v>
      </c>
      <c r="U1783" s="65" t="n">
        <f aca="false">$R1783-$S1783-$T1783</f>
        <v>1213.06</v>
      </c>
      <c r="V1783" s="66" t="n">
        <f aca="false">IFERROR($U1783/$R1783,0)</f>
        <v>0.262553460426298</v>
      </c>
      <c r="W1783" s="67" t="str">
        <f aca="false">IF(AND($V1783&gt;=Parametros!$C$8,$R1783&gt;=Parametros!$C$12),"Alta rentabilidad",IF(OR($V1783&lt;Parametros!$C$11,$R1783&lt;Parametros!$C$13),"Revisar","Estandar"))</f>
        <v>Revisar</v>
      </c>
      <c r="X1783" s="67" t="str">
        <f aca="false">IF(AND($J1783="E-commerce",IFERROR($T1783/$R1783,0)&gt;Parametros!$C$14),"Alerta","OK")</f>
        <v>Alerta</v>
      </c>
      <c r="Y1783" s="61" t="str">
        <f aca="false">IF($R1783&gt;=Parametros!$C$12,"Alto",IF($R1783&lt;Parametros!$C$13,"Bajo","Medio"))</f>
        <v>Alto</v>
      </c>
      <c r="Z1783" s="61" t="n">
        <v>1822</v>
      </c>
      <c r="AA1783" s="61" t="str">
        <f aca="false">IF(MATCH($A1783,Datos_Origen!$A$2:$A$2459,0)=$Z1783,"OK","REVISAR")</f>
        <v>OK</v>
      </c>
      <c r="AB1783" s="62" t="n">
        <f aca="false">INDEX(Datos_Origen!$B$2:$B$2459,$Z1783)</f>
        <v>45809</v>
      </c>
      <c r="AC1783" s="61" t="n">
        <f aca="false">INDEX(Datos_Origen!$H$2:$H$2459,$Z1783)</f>
        <v>4</v>
      </c>
      <c r="AD1783" s="61" t="str">
        <f aca="false">INDEX(Datos_Origen!$D$2:$D$2459,$Z1783)&amp;""</f>
        <v>Tucuman</v>
      </c>
    </row>
    <row r="1784" customFormat="false" ht="15" hidden="false" customHeight="false" outlineLevel="0" collapsed="false">
      <c r="A1784" s="61" t="n">
        <f aca="false">INDEX(Datos_Origen!$A$2:$A$2459,$Z1784)</f>
        <v>1783</v>
      </c>
      <c r="B1784" s="62" t="n">
        <f aca="false">IF(ISNUMBER($AB1784),$AB1784,IF(MID($AB1784,5,1)="-",DATE(VALUE(LEFT($AB1784,4)),VALUE(MID($AB1784,6,2)),VALUE(RIGHT($AB1784,2))),DATE(VALUE(RIGHT($AB1784,4)),VALUE(MID($AB1784,4,2)),VALUE(LEFT($AB1784,2)))))</f>
        <v>45816</v>
      </c>
      <c r="C1784" s="61" t="n">
        <f aca="false">YEAR($B1784)</f>
        <v>2025</v>
      </c>
      <c r="D1784" s="61" t="str">
        <f aca="false">"Q"&amp;ROUNDUP(MONTH($B1784)/3,0)</f>
        <v>Q2</v>
      </c>
      <c r="E1784" s="61" t="n">
        <f aca="false">MONTH($B1784)</f>
        <v>6</v>
      </c>
      <c r="F1784" s="61" t="str">
        <f aca="false">INDEX(Parametros!$I$5:$I$16,$E1784)</f>
        <v>Jun</v>
      </c>
      <c r="G1784" s="61" t="str">
        <f aca="false">TEXT($C1784,"0000")&amp;"-"&amp;TEXT($E1784,"00")</f>
        <v>2025-06</v>
      </c>
      <c r="H1784" s="61" t="str">
        <f aca="false">INDEX(Parametros!$C$71:$C$91,MATCH(TRIM(INDEX(Datos_Origen!$C$2:$C$2459,$Z1784)),Parametros!$B$71:$B$91,0))</f>
        <v>NOA</v>
      </c>
      <c r="I1784" s="61" t="str">
        <f aca="false">IF(TRIM($AD1784)="",INDEX(Parametros!$I$20:$I$24,MATCH($H1784,Parametros!$H$20:$H$24,0)),TRIM($AD1784))</f>
        <v>Tucuman</v>
      </c>
      <c r="J1784" s="61" t="str">
        <f aca="false">INDEX(Parametros!$C$95:$C$106,MATCH(TRIM(INDEX(Datos_Origen!$E$2:$E$2459,$Z1784)),Parametros!$B$95:$B$106,0))</f>
        <v>Tienda fisica</v>
      </c>
      <c r="K1784" s="61" t="str">
        <f aca="false">INDEX(Parametros!$C$48:$C$67,MATCH(TRIM(INDEX(Datos_Origen!$F$2:$F$2459,$Z1784)),Parametros!$B$48:$B$67,0))</f>
        <v>Computacion</v>
      </c>
      <c r="L1784" s="61" t="str">
        <f aca="false">$K1784&amp;" "&amp;$C1784</f>
        <v>Computacion 2025</v>
      </c>
      <c r="M1784" s="61" t="str">
        <f aca="false">TRIM(INDEX(Datos_Origen!$G$2:$G$2459,$Z1784))</f>
        <v>Monitor 4K 27</v>
      </c>
      <c r="N1784" s="61" t="str">
        <f aca="false">$M1784&amp;" "&amp;$C1784</f>
        <v>Monitor 4K 27 2025</v>
      </c>
      <c r="O1784" s="63" t="n">
        <f aca="false">IF(ISTEXT($AC1784),VALUE($AC1784),$AC1784)</f>
        <v>7</v>
      </c>
      <c r="P1784" s="64" t="n">
        <f aca="false">INDEX(Datos_Origen!$I$2:$I$2459,$Z1784)</f>
        <v>433.15</v>
      </c>
      <c r="Q1784" s="64" t="n">
        <f aca="false">INDEX(Datos_Origen!$J$2:$J$2459,$Z1784)</f>
        <v>280.42</v>
      </c>
      <c r="R1784" s="65" t="n">
        <f aca="false">ROUND($O1784*$P1784,2)</f>
        <v>3032.05</v>
      </c>
      <c r="S1784" s="65" t="n">
        <f aca="false">ROUND($O1784*$Q1784,2)</f>
        <v>1962.94</v>
      </c>
      <c r="T1784" s="65" t="n">
        <f aca="false">ROUND($R1784*SUMIFS(Parametros!$E$28:$E$43,Parametros!$B$28:$B$43,$J1784,Parametros!$C$28:$C$43,$C1784,Parametros!$D$28:$D$43,$D1784),2)</f>
        <v>42.45</v>
      </c>
      <c r="U1784" s="65" t="n">
        <f aca="false">$R1784-$S1784-$T1784</f>
        <v>1026.66</v>
      </c>
      <c r="V1784" s="66" t="n">
        <f aca="false">IFERROR($U1784/$R1784,0)</f>
        <v>0.338602595603635</v>
      </c>
      <c r="W1784" s="67" t="str">
        <f aca="false">IF(AND($V1784&gt;=Parametros!$C$8,$R1784&gt;=Parametros!$C$12),"Alta rentabilidad",IF(OR($V1784&lt;Parametros!$C$11,$R1784&lt;Parametros!$C$13),"Revisar","Estandar"))</f>
        <v>Estandar</v>
      </c>
      <c r="X1784" s="67" t="str">
        <f aca="false">IF(AND($J1784="E-commerce",IFERROR($T1784/$R1784,0)&gt;Parametros!$C$14),"Alerta","OK")</f>
        <v>OK</v>
      </c>
      <c r="Y1784" s="61" t="str">
        <f aca="false">IF($R1784&gt;=Parametros!$C$12,"Alto",IF($R1784&lt;Parametros!$C$13,"Bajo","Medio"))</f>
        <v>Alto</v>
      </c>
      <c r="Z1784" s="61" t="n">
        <v>2121</v>
      </c>
      <c r="AA1784" s="61" t="str">
        <f aca="false">IF(MATCH($A1784,Datos_Origen!$A$2:$A$2459,0)=$Z1784,"OK","REVISAR")</f>
        <v>OK</v>
      </c>
      <c r="AB1784" s="62" t="n">
        <f aca="false">INDEX(Datos_Origen!$B$2:$B$2459,$Z1784)</f>
        <v>45816</v>
      </c>
      <c r="AC1784" s="61" t="n">
        <f aca="false">INDEX(Datos_Origen!$H$2:$H$2459,$Z1784)</f>
        <v>7</v>
      </c>
      <c r="AD1784" s="61" t="str">
        <f aca="false">INDEX(Datos_Origen!$D$2:$D$2459,$Z1784)&amp;""</f>
        <v>Tucuman</v>
      </c>
    </row>
    <row r="1785" customFormat="false" ht="15" hidden="false" customHeight="false" outlineLevel="0" collapsed="false">
      <c r="A1785" s="61" t="n">
        <f aca="false">INDEX(Datos_Origen!$A$2:$A$2459,$Z1785)</f>
        <v>1784</v>
      </c>
      <c r="B1785" s="62" t="n">
        <f aca="false">IF(ISNUMBER($AB1785),$AB1785,IF(MID($AB1785,5,1)="-",DATE(VALUE(LEFT($AB1785,4)),VALUE(MID($AB1785,6,2)),VALUE(RIGHT($AB1785,2))),DATE(VALUE(RIGHT($AB1785,4)),VALUE(MID($AB1785,4,2)),VALUE(LEFT($AB1785,2)))))</f>
        <v>45823</v>
      </c>
      <c r="C1785" s="61" t="n">
        <f aca="false">YEAR($B1785)</f>
        <v>2025</v>
      </c>
      <c r="D1785" s="61" t="str">
        <f aca="false">"Q"&amp;ROUNDUP(MONTH($B1785)/3,0)</f>
        <v>Q2</v>
      </c>
      <c r="E1785" s="61" t="n">
        <f aca="false">MONTH($B1785)</f>
        <v>6</v>
      </c>
      <c r="F1785" s="61" t="str">
        <f aca="false">INDEX(Parametros!$I$5:$I$16,$E1785)</f>
        <v>Jun</v>
      </c>
      <c r="G1785" s="61" t="str">
        <f aca="false">TEXT($C1785,"0000")&amp;"-"&amp;TEXT($E1785,"00")</f>
        <v>2025-06</v>
      </c>
      <c r="H1785" s="61" t="str">
        <f aca="false">INDEX(Parametros!$C$71:$C$91,MATCH(TRIM(INDEX(Datos_Origen!$C$2:$C$2459,$Z1785)),Parametros!$B$71:$B$91,0))</f>
        <v>NOA</v>
      </c>
      <c r="I1785" s="61" t="str">
        <f aca="false">IF(TRIM($AD1785)="",INDEX(Parametros!$I$20:$I$24,MATCH($H1785,Parametros!$H$20:$H$24,0)),TRIM($AD1785))</f>
        <v>Tucuman</v>
      </c>
      <c r="J1785" s="61" t="str">
        <f aca="false">INDEX(Parametros!$C$95:$C$106,MATCH(TRIM(INDEX(Datos_Origen!$E$2:$E$2459,$Z1785)),Parametros!$B$95:$B$106,0))</f>
        <v>E-commerce</v>
      </c>
      <c r="K1785" s="61" t="str">
        <f aca="false">INDEX(Parametros!$C$48:$C$67,MATCH(TRIM(INDEX(Datos_Origen!$F$2:$F$2459,$Z1785)),Parametros!$B$48:$B$67,0))</f>
        <v>Computacion</v>
      </c>
      <c r="L1785" s="61" t="str">
        <f aca="false">$K1785&amp;" "&amp;$C1785</f>
        <v>Computacion 2025</v>
      </c>
      <c r="M1785" s="61" t="str">
        <f aca="false">TRIM(INDEX(Datos_Origen!$G$2:$G$2459,$Z1785))</f>
        <v>Monitor 4K 27</v>
      </c>
      <c r="N1785" s="61" t="str">
        <f aca="false">$M1785&amp;" "&amp;$C1785</f>
        <v>Monitor 4K 27 2025</v>
      </c>
      <c r="O1785" s="63" t="n">
        <f aca="false">IF(ISTEXT($AC1785),VALUE($AC1785),$AC1785)</f>
        <v>4</v>
      </c>
      <c r="P1785" s="64" t="n">
        <f aca="false">INDEX(Datos_Origen!$I$2:$I$2459,$Z1785)</f>
        <v>433.15</v>
      </c>
      <c r="Q1785" s="64" t="n">
        <f aca="false">INDEX(Datos_Origen!$J$2:$J$2459,$Z1785)</f>
        <v>280.42</v>
      </c>
      <c r="R1785" s="65" t="n">
        <f aca="false">ROUND($O1785*$P1785,2)</f>
        <v>1732.6</v>
      </c>
      <c r="S1785" s="65" t="n">
        <f aca="false">ROUND($O1785*$Q1785,2)</f>
        <v>1121.68</v>
      </c>
      <c r="T1785" s="65" t="n">
        <f aca="false">ROUND($R1785*SUMIFS(Parametros!$E$28:$E$43,Parametros!$B$28:$B$43,$J1785,Parametros!$C$28:$C$43,$C1785,Parametros!$D$28:$D$43,$D1785),2)</f>
        <v>128.21</v>
      </c>
      <c r="U1785" s="65" t="n">
        <f aca="false">$R1785-$S1785-$T1785</f>
        <v>482.71</v>
      </c>
      <c r="V1785" s="66" t="n">
        <f aca="false">IFERROR($U1785/$R1785,0)</f>
        <v>0.27860440955789</v>
      </c>
      <c r="W1785" s="67" t="str">
        <f aca="false">IF(AND($V1785&gt;=Parametros!$C$8,$R1785&gt;=Parametros!$C$12),"Alta rentabilidad",IF(OR($V1785&lt;Parametros!$C$11,$R1785&lt;Parametros!$C$13),"Revisar","Estandar"))</f>
        <v>Revisar</v>
      </c>
      <c r="X1785" s="67" t="str">
        <f aca="false">IF(AND($J1785="E-commerce",IFERROR($T1785/$R1785,0)&gt;Parametros!$C$14),"Alerta","OK")</f>
        <v>Alerta</v>
      </c>
      <c r="Y1785" s="61" t="str">
        <f aca="false">IF($R1785&gt;=Parametros!$C$12,"Alto",IF($R1785&lt;Parametros!$C$13,"Bajo","Medio"))</f>
        <v>Medio</v>
      </c>
      <c r="Z1785" s="61" t="n">
        <v>2281</v>
      </c>
      <c r="AA1785" s="61" t="str">
        <f aca="false">IF(MATCH($A1785,Datos_Origen!$A$2:$A$2459,0)=$Z1785,"OK","REVISAR")</f>
        <v>OK</v>
      </c>
      <c r="AB1785" s="62" t="n">
        <f aca="false">INDEX(Datos_Origen!$B$2:$B$2459,$Z1785)</f>
        <v>45823</v>
      </c>
      <c r="AC1785" s="61" t="n">
        <f aca="false">INDEX(Datos_Origen!$H$2:$H$2459,$Z1785)</f>
        <v>4</v>
      </c>
      <c r="AD1785" s="61" t="str">
        <f aca="false">INDEX(Datos_Origen!$D$2:$D$2459,$Z1785)&amp;""</f>
        <v/>
      </c>
    </row>
    <row r="1786" customFormat="false" ht="15" hidden="false" customHeight="false" outlineLevel="0" collapsed="false">
      <c r="A1786" s="61" t="n">
        <f aca="false">INDEX(Datos_Origen!$A$2:$A$2459,$Z1786)</f>
        <v>1785</v>
      </c>
      <c r="B1786" s="62" t="n">
        <f aca="false">IF(ISNUMBER($AB1786),$AB1786,IF(MID($AB1786,5,1)="-",DATE(VALUE(LEFT($AB1786,4)),VALUE(MID($AB1786,6,2)),VALUE(RIGHT($AB1786,2))),DATE(VALUE(RIGHT($AB1786,4)),VALUE(MID($AB1786,4,2)),VALUE(LEFT($AB1786,2)))))</f>
        <v>45830</v>
      </c>
      <c r="C1786" s="61" t="n">
        <f aca="false">YEAR($B1786)</f>
        <v>2025</v>
      </c>
      <c r="D1786" s="61" t="str">
        <f aca="false">"Q"&amp;ROUNDUP(MONTH($B1786)/3,0)</f>
        <v>Q2</v>
      </c>
      <c r="E1786" s="61" t="n">
        <f aca="false">MONTH($B1786)</f>
        <v>6</v>
      </c>
      <c r="F1786" s="61" t="str">
        <f aca="false">INDEX(Parametros!$I$5:$I$16,$E1786)</f>
        <v>Jun</v>
      </c>
      <c r="G1786" s="61" t="str">
        <f aca="false">TEXT($C1786,"0000")&amp;"-"&amp;TEXT($E1786,"00")</f>
        <v>2025-06</v>
      </c>
      <c r="H1786" s="61" t="str">
        <f aca="false">INDEX(Parametros!$C$71:$C$91,MATCH(TRIM(INDEX(Datos_Origen!$C$2:$C$2459,$Z1786)),Parametros!$B$71:$B$91,0))</f>
        <v>NOA</v>
      </c>
      <c r="I1786" s="61" t="str">
        <f aca="false">IF(TRIM($AD1786)="",INDEX(Parametros!$I$20:$I$24,MATCH($H1786,Parametros!$H$20:$H$24,0)),TRIM($AD1786))</f>
        <v>Tucuman</v>
      </c>
      <c r="J1786" s="61" t="str">
        <f aca="false">INDEX(Parametros!$C$95:$C$106,MATCH(TRIM(INDEX(Datos_Origen!$E$2:$E$2459,$Z1786)),Parametros!$B$95:$B$106,0))</f>
        <v>Tienda fisica</v>
      </c>
      <c r="K1786" s="61" t="str">
        <f aca="false">INDEX(Parametros!$C$48:$C$67,MATCH(TRIM(INDEX(Datos_Origen!$F$2:$F$2459,$Z1786)),Parametros!$B$48:$B$67,0))</f>
        <v>Computacion</v>
      </c>
      <c r="L1786" s="61" t="str">
        <f aca="false">$K1786&amp;" "&amp;$C1786</f>
        <v>Computacion 2025</v>
      </c>
      <c r="M1786" s="61" t="str">
        <f aca="false">TRIM(INDEX(Datos_Origen!$G$2:$G$2459,$Z1786))</f>
        <v>PC Gamer Ryzen</v>
      </c>
      <c r="N1786" s="61" t="str">
        <f aca="false">$M1786&amp;" "&amp;$C1786</f>
        <v>PC Gamer Ryzen 2025</v>
      </c>
      <c r="O1786" s="63" t="n">
        <f aca="false">IF(ISTEXT($AC1786),VALUE($AC1786),$AC1786)</f>
        <v>7</v>
      </c>
      <c r="P1786" s="64" t="n">
        <f aca="false">INDEX(Datos_Origen!$I$2:$I$2459,$Z1786)</f>
        <v>1588.21</v>
      </c>
      <c r="Q1786" s="64" t="n">
        <f aca="false">INDEX(Datos_Origen!$J$2:$J$2459,$Z1786)</f>
        <v>1155.66</v>
      </c>
      <c r="R1786" s="65" t="n">
        <f aca="false">ROUND($O1786*$P1786,2)</f>
        <v>11117.47</v>
      </c>
      <c r="S1786" s="65" t="n">
        <f aca="false">ROUND($O1786*$Q1786,2)</f>
        <v>8089.62</v>
      </c>
      <c r="T1786" s="65" t="n">
        <f aca="false">ROUND($R1786*SUMIFS(Parametros!$E$28:$E$43,Parametros!$B$28:$B$43,$J1786,Parametros!$C$28:$C$43,$C1786,Parametros!$D$28:$D$43,$D1786),2)</f>
        <v>155.64</v>
      </c>
      <c r="U1786" s="65" t="n">
        <f aca="false">$R1786-$S1786-$T1786</f>
        <v>2872.21</v>
      </c>
      <c r="V1786" s="66" t="n">
        <f aca="false">IFERROR($U1786/$R1786,0)</f>
        <v>0.258351045696548</v>
      </c>
      <c r="W1786" s="67" t="str">
        <f aca="false">IF(AND($V1786&gt;=Parametros!$C$8,$R1786&gt;=Parametros!$C$12),"Alta rentabilidad",IF(OR($V1786&lt;Parametros!$C$11,$R1786&lt;Parametros!$C$13),"Revisar","Estandar"))</f>
        <v>Revisar</v>
      </c>
      <c r="X1786" s="67" t="str">
        <f aca="false">IF(AND($J1786="E-commerce",IFERROR($T1786/$R1786,0)&gt;Parametros!$C$14),"Alerta","OK")</f>
        <v>OK</v>
      </c>
      <c r="Y1786" s="61" t="str">
        <f aca="false">IF($R1786&gt;=Parametros!$C$12,"Alto",IF($R1786&lt;Parametros!$C$13,"Bajo","Medio"))</f>
        <v>Alto</v>
      </c>
      <c r="Z1786" s="61" t="n">
        <v>1061</v>
      </c>
      <c r="AA1786" s="61" t="str">
        <f aca="false">IF(MATCH($A1786,Datos_Origen!$A$2:$A$2459,0)=$Z1786,"OK","REVISAR")</f>
        <v>OK</v>
      </c>
      <c r="AB1786" s="61" t="str">
        <f aca="false">INDEX(Datos_Origen!$B$2:$B$2459,$Z1786)</f>
        <v>22/06/2025</v>
      </c>
      <c r="AC1786" s="61" t="n">
        <f aca="false">INDEX(Datos_Origen!$H$2:$H$2459,$Z1786)</f>
        <v>7</v>
      </c>
      <c r="AD1786" s="61" t="str">
        <f aca="false">INDEX(Datos_Origen!$D$2:$D$2459,$Z1786)&amp;""</f>
        <v>Tucuman</v>
      </c>
    </row>
    <row r="1787" customFormat="false" ht="15" hidden="false" customHeight="false" outlineLevel="0" collapsed="false">
      <c r="A1787" s="61" t="n">
        <f aca="false">INDEX(Datos_Origen!$A$2:$A$2459,$Z1787)</f>
        <v>1786</v>
      </c>
      <c r="B1787" s="62" t="n">
        <f aca="false">IF(ISNUMBER($AB1787),$AB1787,IF(MID($AB1787,5,1)="-",DATE(VALUE(LEFT($AB1787,4)),VALUE(MID($AB1787,6,2)),VALUE(RIGHT($AB1787,2))),DATE(VALUE(RIGHT($AB1787,4)),VALUE(MID($AB1787,4,2)),VALUE(LEFT($AB1787,2)))))</f>
        <v>45810</v>
      </c>
      <c r="C1787" s="61" t="n">
        <f aca="false">YEAR($B1787)</f>
        <v>2025</v>
      </c>
      <c r="D1787" s="61" t="str">
        <f aca="false">"Q"&amp;ROUNDUP(MONTH($B1787)/3,0)</f>
        <v>Q2</v>
      </c>
      <c r="E1787" s="61" t="n">
        <f aca="false">MONTH($B1787)</f>
        <v>6</v>
      </c>
      <c r="F1787" s="61" t="str">
        <f aca="false">INDEX(Parametros!$I$5:$I$16,$E1787)</f>
        <v>Jun</v>
      </c>
      <c r="G1787" s="61" t="str">
        <f aca="false">TEXT($C1787,"0000")&amp;"-"&amp;TEXT($E1787,"00")</f>
        <v>2025-06</v>
      </c>
      <c r="H1787" s="61" t="str">
        <f aca="false">INDEX(Parametros!$C$71:$C$91,MATCH(TRIM(INDEX(Datos_Origen!$C$2:$C$2459,$Z1787)),Parametros!$B$71:$B$91,0))</f>
        <v>NOA</v>
      </c>
      <c r="I1787" s="61" t="str">
        <f aca="false">IF(TRIM($AD1787)="",INDEX(Parametros!$I$20:$I$24,MATCH($H1787,Parametros!$H$20:$H$24,0)),TRIM($AD1787))</f>
        <v>Tucuman</v>
      </c>
      <c r="J1787" s="61" t="str">
        <f aca="false">INDEX(Parametros!$C$95:$C$106,MATCH(TRIM(INDEX(Datos_Origen!$E$2:$E$2459,$Z1787)),Parametros!$B$95:$B$106,0))</f>
        <v>E-commerce</v>
      </c>
      <c r="K1787" s="61" t="str">
        <f aca="false">INDEX(Parametros!$C$48:$C$67,MATCH(TRIM(INDEX(Datos_Origen!$F$2:$F$2459,$Z1787)),Parametros!$B$48:$B$67,0))</f>
        <v>Computacion</v>
      </c>
      <c r="L1787" s="61" t="str">
        <f aca="false">$K1787&amp;" "&amp;$C1787</f>
        <v>Computacion 2025</v>
      </c>
      <c r="M1787" s="61" t="str">
        <f aca="false">TRIM(INDEX(Datos_Origen!$G$2:$G$2459,$Z1787))</f>
        <v>PC Gamer Ryzen</v>
      </c>
      <c r="N1787" s="61" t="str">
        <f aca="false">$M1787&amp;" "&amp;$C1787</f>
        <v>PC Gamer Ryzen 2025</v>
      </c>
      <c r="O1787" s="63" t="n">
        <f aca="false">IF(ISTEXT($AC1787),VALUE($AC1787),$AC1787)</f>
        <v>5</v>
      </c>
      <c r="P1787" s="64" t="n">
        <f aca="false">INDEX(Datos_Origen!$I$2:$I$2459,$Z1787)</f>
        <v>1588.21</v>
      </c>
      <c r="Q1787" s="64" t="n">
        <f aca="false">INDEX(Datos_Origen!$J$2:$J$2459,$Z1787)</f>
        <v>1155.66</v>
      </c>
      <c r="R1787" s="65" t="n">
        <f aca="false">ROUND($O1787*$P1787,2)</f>
        <v>7941.05</v>
      </c>
      <c r="S1787" s="65" t="n">
        <f aca="false">ROUND($O1787*$Q1787,2)</f>
        <v>5778.3</v>
      </c>
      <c r="T1787" s="65" t="n">
        <f aca="false">ROUND($R1787*SUMIFS(Parametros!$E$28:$E$43,Parametros!$B$28:$B$43,$J1787,Parametros!$C$28:$C$43,$C1787,Parametros!$D$28:$D$43,$D1787),2)</f>
        <v>587.64</v>
      </c>
      <c r="U1787" s="65" t="n">
        <f aca="false">$R1787-$S1787-$T1787</f>
        <v>1575.11</v>
      </c>
      <c r="V1787" s="66" t="n">
        <f aca="false">IFERROR($U1787/$R1787,0)</f>
        <v>0.198350344098073</v>
      </c>
      <c r="W1787" s="67" t="str">
        <f aca="false">IF(AND($V1787&gt;=Parametros!$C$8,$R1787&gt;=Parametros!$C$12),"Alta rentabilidad",IF(OR($V1787&lt;Parametros!$C$11,$R1787&lt;Parametros!$C$13),"Revisar","Estandar"))</f>
        <v>Revisar</v>
      </c>
      <c r="X1787" s="67" t="str">
        <f aca="false">IF(AND($J1787="E-commerce",IFERROR($T1787/$R1787,0)&gt;Parametros!$C$14),"Alerta","OK")</f>
        <v>Alerta</v>
      </c>
      <c r="Y1787" s="61" t="str">
        <f aca="false">IF($R1787&gt;=Parametros!$C$12,"Alto",IF($R1787&lt;Parametros!$C$13,"Bajo","Medio"))</f>
        <v>Alto</v>
      </c>
      <c r="Z1787" s="61" t="n">
        <v>279</v>
      </c>
      <c r="AA1787" s="61" t="str">
        <f aca="false">IF(MATCH($A1787,Datos_Origen!$A$2:$A$2459,0)=$Z1787,"OK","REVISAR")</f>
        <v>OK</v>
      </c>
      <c r="AB1787" s="62" t="n">
        <f aca="false">INDEX(Datos_Origen!$B$2:$B$2459,$Z1787)</f>
        <v>45810</v>
      </c>
      <c r="AC1787" s="61" t="n">
        <f aca="false">INDEX(Datos_Origen!$H$2:$H$2459,$Z1787)</f>
        <v>5</v>
      </c>
      <c r="AD1787" s="61" t="str">
        <f aca="false">INDEX(Datos_Origen!$D$2:$D$2459,$Z1787)&amp;""</f>
        <v>Tucuman</v>
      </c>
    </row>
    <row r="1788" customFormat="false" ht="15" hidden="false" customHeight="false" outlineLevel="0" collapsed="false">
      <c r="A1788" s="61" t="n">
        <f aca="false">INDEX(Datos_Origen!$A$2:$A$2459,$Z1788)</f>
        <v>1787</v>
      </c>
      <c r="B1788" s="62" t="n">
        <f aca="false">IF(ISNUMBER($AB1788),$AB1788,IF(MID($AB1788,5,1)="-",DATE(VALUE(LEFT($AB1788,4)),VALUE(MID($AB1788,6,2)),VALUE(RIGHT($AB1788,2))),DATE(VALUE(RIGHT($AB1788,4)),VALUE(MID($AB1788,4,2)),VALUE(LEFT($AB1788,2)))))</f>
        <v>45817</v>
      </c>
      <c r="C1788" s="61" t="n">
        <f aca="false">YEAR($B1788)</f>
        <v>2025</v>
      </c>
      <c r="D1788" s="61" t="str">
        <f aca="false">"Q"&amp;ROUNDUP(MONTH($B1788)/3,0)</f>
        <v>Q2</v>
      </c>
      <c r="E1788" s="61" t="n">
        <f aca="false">MONTH($B1788)</f>
        <v>6</v>
      </c>
      <c r="F1788" s="61" t="str">
        <f aca="false">INDEX(Parametros!$I$5:$I$16,$E1788)</f>
        <v>Jun</v>
      </c>
      <c r="G1788" s="61" t="str">
        <f aca="false">TEXT($C1788,"0000")&amp;"-"&amp;TEXT($E1788,"00")</f>
        <v>2025-06</v>
      </c>
      <c r="H1788" s="61" t="str">
        <f aca="false">INDEX(Parametros!$C$71:$C$91,MATCH(TRIM(INDEX(Datos_Origen!$C$2:$C$2459,$Z1788)),Parametros!$B$71:$B$91,0))</f>
        <v>NOA</v>
      </c>
      <c r="I1788" s="61" t="str">
        <f aca="false">IF(TRIM($AD1788)="",INDEX(Parametros!$I$20:$I$24,MATCH($H1788,Parametros!$H$20:$H$24,0)),TRIM($AD1788))</f>
        <v>Tucuman</v>
      </c>
      <c r="J1788" s="61" t="str">
        <f aca="false">INDEX(Parametros!$C$95:$C$106,MATCH(TRIM(INDEX(Datos_Origen!$E$2:$E$2459,$Z1788)),Parametros!$B$95:$B$106,0))</f>
        <v>Tienda fisica</v>
      </c>
      <c r="K1788" s="61" t="str">
        <f aca="false">INDEX(Parametros!$C$48:$C$67,MATCH(TRIM(INDEX(Datos_Origen!$F$2:$F$2459,$Z1788)),Parametros!$B$48:$B$67,0))</f>
        <v>Accesorios</v>
      </c>
      <c r="L1788" s="61" t="str">
        <f aca="false">$K1788&amp;" "&amp;$C1788</f>
        <v>Accesorios 2025</v>
      </c>
      <c r="M1788" s="61" t="str">
        <f aca="false">TRIM(INDEX(Datos_Origen!$G$2:$G$2459,$Z1788))</f>
        <v>Mouse Inalambrico</v>
      </c>
      <c r="N1788" s="61" t="str">
        <f aca="false">$M1788&amp;" "&amp;$C1788</f>
        <v>Mouse Inalambrico 2025</v>
      </c>
      <c r="O1788" s="63" t="n">
        <f aca="false">IF(ISTEXT($AC1788),VALUE($AC1788),$AC1788)</f>
        <v>36</v>
      </c>
      <c r="P1788" s="64" t="n">
        <f aca="false">INDEX(Datos_Origen!$I$2:$I$2459,$Z1788)</f>
        <v>27.82</v>
      </c>
      <c r="Q1788" s="64" t="n">
        <f aca="false">INDEX(Datos_Origen!$J$2:$J$2459,$Z1788)</f>
        <v>13.84</v>
      </c>
      <c r="R1788" s="65" t="n">
        <f aca="false">ROUND($O1788*$P1788,2)</f>
        <v>1001.52</v>
      </c>
      <c r="S1788" s="65" t="n">
        <f aca="false">ROUND($O1788*$Q1788,2)</f>
        <v>498.24</v>
      </c>
      <c r="T1788" s="65" t="n">
        <f aca="false">ROUND($R1788*SUMIFS(Parametros!$E$28:$E$43,Parametros!$B$28:$B$43,$J1788,Parametros!$C$28:$C$43,$C1788,Parametros!$D$28:$D$43,$D1788),2)</f>
        <v>14.02</v>
      </c>
      <c r="U1788" s="65" t="n">
        <f aca="false">$R1788-$S1788-$T1788</f>
        <v>489.26</v>
      </c>
      <c r="V1788" s="66" t="n">
        <f aca="false">IFERROR($U1788/$R1788,0)</f>
        <v>0.488517453470725</v>
      </c>
      <c r="W1788" s="67" t="str">
        <f aca="false">IF(AND($V1788&gt;=Parametros!$C$8,$R1788&gt;=Parametros!$C$12),"Alta rentabilidad",IF(OR($V1788&lt;Parametros!$C$11,$R1788&lt;Parametros!$C$13),"Revisar","Estandar"))</f>
        <v>Estandar</v>
      </c>
      <c r="X1788" s="67" t="str">
        <f aca="false">IF(AND($J1788="E-commerce",IFERROR($T1788/$R1788,0)&gt;Parametros!$C$14),"Alerta","OK")</f>
        <v>OK</v>
      </c>
      <c r="Y1788" s="61" t="str">
        <f aca="false">IF($R1788&gt;=Parametros!$C$12,"Alto",IF($R1788&lt;Parametros!$C$13,"Bajo","Medio"))</f>
        <v>Medio</v>
      </c>
      <c r="Z1788" s="61" t="n">
        <v>1988</v>
      </c>
      <c r="AA1788" s="61" t="str">
        <f aca="false">IF(MATCH($A1788,Datos_Origen!$A$2:$A$2459,0)=$Z1788,"OK","REVISAR")</f>
        <v>OK</v>
      </c>
      <c r="AB1788" s="62" t="n">
        <f aca="false">INDEX(Datos_Origen!$B$2:$B$2459,$Z1788)</f>
        <v>45817</v>
      </c>
      <c r="AC1788" s="61" t="n">
        <f aca="false">INDEX(Datos_Origen!$H$2:$H$2459,$Z1788)</f>
        <v>36</v>
      </c>
      <c r="AD1788" s="61" t="str">
        <f aca="false">INDEX(Datos_Origen!$D$2:$D$2459,$Z1788)&amp;""</f>
        <v>Tucuman</v>
      </c>
    </row>
    <row r="1789" customFormat="false" ht="15" hidden="false" customHeight="false" outlineLevel="0" collapsed="false">
      <c r="A1789" s="61" t="n">
        <f aca="false">INDEX(Datos_Origen!$A$2:$A$2459,$Z1789)</f>
        <v>1788</v>
      </c>
      <c r="B1789" s="62" t="n">
        <f aca="false">IF(ISNUMBER($AB1789),$AB1789,IF(MID($AB1789,5,1)="-",DATE(VALUE(LEFT($AB1789,4)),VALUE(MID($AB1789,6,2)),VALUE(RIGHT($AB1789,2))),DATE(VALUE(RIGHT($AB1789,4)),VALUE(MID($AB1789,4,2)),VALUE(LEFT($AB1789,2)))))</f>
        <v>45824</v>
      </c>
      <c r="C1789" s="61" t="n">
        <f aca="false">YEAR($B1789)</f>
        <v>2025</v>
      </c>
      <c r="D1789" s="61" t="str">
        <f aca="false">"Q"&amp;ROUNDUP(MONTH($B1789)/3,0)</f>
        <v>Q2</v>
      </c>
      <c r="E1789" s="61" t="n">
        <f aca="false">MONTH($B1789)</f>
        <v>6</v>
      </c>
      <c r="F1789" s="61" t="str">
        <f aca="false">INDEX(Parametros!$I$5:$I$16,$E1789)</f>
        <v>Jun</v>
      </c>
      <c r="G1789" s="61" t="str">
        <f aca="false">TEXT($C1789,"0000")&amp;"-"&amp;TEXT($E1789,"00")</f>
        <v>2025-06</v>
      </c>
      <c r="H1789" s="61" t="str">
        <f aca="false">INDEX(Parametros!$C$71:$C$91,MATCH(TRIM(INDEX(Datos_Origen!$C$2:$C$2459,$Z1789)),Parametros!$B$71:$B$91,0))</f>
        <v>NOA</v>
      </c>
      <c r="I1789" s="61" t="str">
        <f aca="false">IF(TRIM($AD1789)="",INDEX(Parametros!$I$20:$I$24,MATCH($H1789,Parametros!$H$20:$H$24,0)),TRIM($AD1789))</f>
        <v>Tucuman</v>
      </c>
      <c r="J1789" s="61" t="str">
        <f aca="false">INDEX(Parametros!$C$95:$C$106,MATCH(TRIM(INDEX(Datos_Origen!$E$2:$E$2459,$Z1789)),Parametros!$B$95:$B$106,0))</f>
        <v>E-commerce</v>
      </c>
      <c r="K1789" s="61" t="str">
        <f aca="false">INDEX(Parametros!$C$48:$C$67,MATCH(TRIM(INDEX(Datos_Origen!$F$2:$F$2459,$Z1789)),Parametros!$B$48:$B$67,0))</f>
        <v>Accesorios</v>
      </c>
      <c r="L1789" s="61" t="str">
        <f aca="false">$K1789&amp;" "&amp;$C1789</f>
        <v>Accesorios 2025</v>
      </c>
      <c r="M1789" s="61" t="str">
        <f aca="false">TRIM(INDEX(Datos_Origen!$G$2:$G$2459,$Z1789))</f>
        <v>Mouse Inalambrico</v>
      </c>
      <c r="N1789" s="61" t="str">
        <f aca="false">$M1789&amp;" "&amp;$C1789</f>
        <v>Mouse Inalambrico 2025</v>
      </c>
      <c r="O1789" s="63" t="n">
        <f aca="false">IF(ISTEXT($AC1789),VALUE($AC1789),$AC1789)</f>
        <v>23</v>
      </c>
      <c r="P1789" s="64" t="n">
        <f aca="false">INDEX(Datos_Origen!$I$2:$I$2459,$Z1789)</f>
        <v>27.82</v>
      </c>
      <c r="Q1789" s="64" t="n">
        <f aca="false">INDEX(Datos_Origen!$J$2:$J$2459,$Z1789)</f>
        <v>13.84</v>
      </c>
      <c r="R1789" s="65" t="n">
        <f aca="false">ROUND($O1789*$P1789,2)</f>
        <v>639.86</v>
      </c>
      <c r="S1789" s="65" t="n">
        <f aca="false">ROUND($O1789*$Q1789,2)</f>
        <v>318.32</v>
      </c>
      <c r="T1789" s="65" t="n">
        <f aca="false">ROUND($R1789*SUMIFS(Parametros!$E$28:$E$43,Parametros!$B$28:$B$43,$J1789,Parametros!$C$28:$C$43,$C1789,Parametros!$D$28:$D$43,$D1789),2)</f>
        <v>47.35</v>
      </c>
      <c r="U1789" s="65" t="n">
        <f aca="false">$R1789-$S1789-$T1789</f>
        <v>274.19</v>
      </c>
      <c r="V1789" s="66" t="n">
        <f aca="false">IFERROR($U1789/$R1789,0)</f>
        <v>0.428515612790298</v>
      </c>
      <c r="W1789" s="67" t="str">
        <f aca="false">IF(AND($V1789&gt;=Parametros!$C$8,$R1789&gt;=Parametros!$C$12),"Alta rentabilidad",IF(OR($V1789&lt;Parametros!$C$11,$R1789&lt;Parametros!$C$13),"Revisar","Estandar"))</f>
        <v>Estandar</v>
      </c>
      <c r="X1789" s="67" t="str">
        <f aca="false">IF(AND($J1789="E-commerce",IFERROR($T1789/$R1789,0)&gt;Parametros!$C$14),"Alerta","OK")</f>
        <v>Alerta</v>
      </c>
      <c r="Y1789" s="61" t="str">
        <f aca="false">IF($R1789&gt;=Parametros!$C$12,"Alto",IF($R1789&lt;Parametros!$C$13,"Bajo","Medio"))</f>
        <v>Medio</v>
      </c>
      <c r="Z1789" s="61" t="n">
        <v>2391</v>
      </c>
      <c r="AA1789" s="61" t="str">
        <f aca="false">IF(MATCH($A1789,Datos_Origen!$A$2:$A$2459,0)=$Z1789,"OK","REVISAR")</f>
        <v>OK</v>
      </c>
      <c r="AB1789" s="62" t="n">
        <f aca="false">INDEX(Datos_Origen!$B$2:$B$2459,$Z1789)</f>
        <v>45824</v>
      </c>
      <c r="AC1789" s="61" t="n">
        <f aca="false">INDEX(Datos_Origen!$H$2:$H$2459,$Z1789)</f>
        <v>23</v>
      </c>
      <c r="AD1789" s="61" t="str">
        <f aca="false">INDEX(Datos_Origen!$D$2:$D$2459,$Z1789)&amp;""</f>
        <v>Tucuman</v>
      </c>
    </row>
    <row r="1790" customFormat="false" ht="15" hidden="false" customHeight="false" outlineLevel="0" collapsed="false">
      <c r="A1790" s="61" t="n">
        <f aca="false">INDEX(Datos_Origen!$A$2:$A$2459,$Z1790)</f>
        <v>1789</v>
      </c>
      <c r="B1790" s="62" t="n">
        <f aca="false">IF(ISNUMBER($AB1790),$AB1790,IF(MID($AB1790,5,1)="-",DATE(VALUE(LEFT($AB1790,4)),VALUE(MID($AB1790,6,2)),VALUE(RIGHT($AB1790,2))),DATE(VALUE(RIGHT($AB1790,4)),VALUE(MID($AB1790,4,2)),VALUE(LEFT($AB1790,2)))))</f>
        <v>45831</v>
      </c>
      <c r="C1790" s="61" t="n">
        <f aca="false">YEAR($B1790)</f>
        <v>2025</v>
      </c>
      <c r="D1790" s="61" t="str">
        <f aca="false">"Q"&amp;ROUNDUP(MONTH($B1790)/3,0)</f>
        <v>Q2</v>
      </c>
      <c r="E1790" s="61" t="n">
        <f aca="false">MONTH($B1790)</f>
        <v>6</v>
      </c>
      <c r="F1790" s="61" t="str">
        <f aca="false">INDEX(Parametros!$I$5:$I$16,$E1790)</f>
        <v>Jun</v>
      </c>
      <c r="G1790" s="61" t="str">
        <f aca="false">TEXT($C1790,"0000")&amp;"-"&amp;TEXT($E1790,"00")</f>
        <v>2025-06</v>
      </c>
      <c r="H1790" s="61" t="str">
        <f aca="false">INDEX(Parametros!$C$71:$C$91,MATCH(TRIM(INDEX(Datos_Origen!$C$2:$C$2459,$Z1790)),Parametros!$B$71:$B$91,0))</f>
        <v>NOA</v>
      </c>
      <c r="I1790" s="61" t="str">
        <f aca="false">IF(TRIM($AD1790)="",INDEX(Parametros!$I$20:$I$24,MATCH($H1790,Parametros!$H$20:$H$24,0)),TRIM($AD1790))</f>
        <v>Tucuman</v>
      </c>
      <c r="J1790" s="61" t="str">
        <f aca="false">INDEX(Parametros!$C$95:$C$106,MATCH(TRIM(INDEX(Datos_Origen!$E$2:$E$2459,$Z1790)),Parametros!$B$95:$B$106,0))</f>
        <v>Tienda fisica</v>
      </c>
      <c r="K1790" s="61" t="str">
        <f aca="false">INDEX(Parametros!$C$48:$C$67,MATCH(TRIM(INDEX(Datos_Origen!$F$2:$F$2459,$Z1790)),Parametros!$B$48:$B$67,0))</f>
        <v>Accesorios</v>
      </c>
      <c r="L1790" s="61" t="str">
        <f aca="false">$K1790&amp;" "&amp;$C1790</f>
        <v>Accesorios 2025</v>
      </c>
      <c r="M1790" s="61" t="str">
        <f aca="false">TRIM(INDEX(Datos_Origen!$G$2:$G$2459,$Z1790))</f>
        <v>Teclado Mecanico</v>
      </c>
      <c r="N1790" s="61" t="str">
        <f aca="false">$M1790&amp;" "&amp;$C1790</f>
        <v>Teclado Mecanico 2025</v>
      </c>
      <c r="O1790" s="63" t="n">
        <f aca="false">IF(ISTEXT($AC1790),VALUE($AC1790),$AC1790)</f>
        <v>32</v>
      </c>
      <c r="P1790" s="64" t="n">
        <f aca="false">INDEX(Datos_Origen!$I$2:$I$2459,$Z1790)</f>
        <v>94.39</v>
      </c>
      <c r="Q1790" s="64" t="n">
        <f aca="false">INDEX(Datos_Origen!$J$2:$J$2459,$Z1790)</f>
        <v>49.41</v>
      </c>
      <c r="R1790" s="65" t="n">
        <f aca="false">ROUND($O1790*$P1790,2)</f>
        <v>3020.48</v>
      </c>
      <c r="S1790" s="65" t="n">
        <f aca="false">ROUND($O1790*$Q1790,2)</f>
        <v>1581.12</v>
      </c>
      <c r="T1790" s="65" t="n">
        <f aca="false">ROUND($R1790*SUMIFS(Parametros!$E$28:$E$43,Parametros!$B$28:$B$43,$J1790,Parametros!$C$28:$C$43,$C1790,Parametros!$D$28:$D$43,$D1790),2)</f>
        <v>42.29</v>
      </c>
      <c r="U1790" s="65" t="n">
        <f aca="false">$R1790-$S1790-$T1790</f>
        <v>1397.07</v>
      </c>
      <c r="V1790" s="66" t="n">
        <f aca="false">IFERROR($U1790/$R1790,0)</f>
        <v>0.462532445174277</v>
      </c>
      <c r="W1790" s="67" t="str">
        <f aca="false">IF(AND($V1790&gt;=Parametros!$C$8,$R1790&gt;=Parametros!$C$12),"Alta rentabilidad",IF(OR($V1790&lt;Parametros!$C$11,$R1790&lt;Parametros!$C$13),"Revisar","Estandar"))</f>
        <v>Alta rentabilidad</v>
      </c>
      <c r="X1790" s="67" t="str">
        <f aca="false">IF(AND($J1790="E-commerce",IFERROR($T1790/$R1790,0)&gt;Parametros!$C$14),"Alerta","OK")</f>
        <v>OK</v>
      </c>
      <c r="Y1790" s="61" t="str">
        <f aca="false">IF($R1790&gt;=Parametros!$C$12,"Alto",IF($R1790&lt;Parametros!$C$13,"Bajo","Medio"))</f>
        <v>Alto</v>
      </c>
      <c r="Z1790" s="61" t="n">
        <v>1602</v>
      </c>
      <c r="AA1790" s="61" t="str">
        <f aca="false">IF(MATCH($A1790,Datos_Origen!$A$2:$A$2459,0)=$Z1790,"OK","REVISAR")</f>
        <v>OK</v>
      </c>
      <c r="AB1790" s="61" t="str">
        <f aca="false">INDEX(Datos_Origen!$B$2:$B$2459,$Z1790)</f>
        <v>2025-06-23</v>
      </c>
      <c r="AC1790" s="61" t="n">
        <f aca="false">INDEX(Datos_Origen!$H$2:$H$2459,$Z1790)</f>
        <v>32</v>
      </c>
      <c r="AD1790" s="61" t="str">
        <f aca="false">INDEX(Datos_Origen!$D$2:$D$2459,$Z1790)&amp;""</f>
        <v>Tucuman</v>
      </c>
    </row>
    <row r="1791" customFormat="false" ht="15" hidden="false" customHeight="false" outlineLevel="0" collapsed="false">
      <c r="A1791" s="61" t="n">
        <f aca="false">INDEX(Datos_Origen!$A$2:$A$2459,$Z1791)</f>
        <v>1790</v>
      </c>
      <c r="B1791" s="62" t="n">
        <f aca="false">IF(ISNUMBER($AB1791),$AB1791,IF(MID($AB1791,5,1)="-",DATE(VALUE(LEFT($AB1791,4)),VALUE(MID($AB1791,6,2)),VALUE(RIGHT($AB1791,2))),DATE(VALUE(RIGHT($AB1791,4)),VALUE(MID($AB1791,4,2)),VALUE(LEFT($AB1791,2)))))</f>
        <v>45811</v>
      </c>
      <c r="C1791" s="61" t="n">
        <f aca="false">YEAR($B1791)</f>
        <v>2025</v>
      </c>
      <c r="D1791" s="61" t="str">
        <f aca="false">"Q"&amp;ROUNDUP(MONTH($B1791)/3,0)</f>
        <v>Q2</v>
      </c>
      <c r="E1791" s="61" t="n">
        <f aca="false">MONTH($B1791)</f>
        <v>6</v>
      </c>
      <c r="F1791" s="61" t="str">
        <f aca="false">INDEX(Parametros!$I$5:$I$16,$E1791)</f>
        <v>Jun</v>
      </c>
      <c r="G1791" s="61" t="str">
        <f aca="false">TEXT($C1791,"0000")&amp;"-"&amp;TEXT($E1791,"00")</f>
        <v>2025-06</v>
      </c>
      <c r="H1791" s="61" t="str">
        <f aca="false">INDEX(Parametros!$C$71:$C$91,MATCH(TRIM(INDEX(Datos_Origen!$C$2:$C$2459,$Z1791)),Parametros!$B$71:$B$91,0))</f>
        <v>NOA</v>
      </c>
      <c r="I1791" s="61" t="str">
        <f aca="false">IF(TRIM($AD1791)="",INDEX(Parametros!$I$20:$I$24,MATCH($H1791,Parametros!$H$20:$H$24,0)),TRIM($AD1791))</f>
        <v>Tucuman</v>
      </c>
      <c r="J1791" s="61" t="str">
        <f aca="false">INDEX(Parametros!$C$95:$C$106,MATCH(TRIM(INDEX(Datos_Origen!$E$2:$E$2459,$Z1791)),Parametros!$B$95:$B$106,0))</f>
        <v>E-commerce</v>
      </c>
      <c r="K1791" s="61" t="str">
        <f aca="false">INDEX(Parametros!$C$48:$C$67,MATCH(TRIM(INDEX(Datos_Origen!$F$2:$F$2459,$Z1791)),Parametros!$B$48:$B$67,0))</f>
        <v>Accesorios</v>
      </c>
      <c r="L1791" s="61" t="str">
        <f aca="false">$K1791&amp;" "&amp;$C1791</f>
        <v>Accesorios 2025</v>
      </c>
      <c r="M1791" s="61" t="str">
        <f aca="false">TRIM(INDEX(Datos_Origen!$G$2:$G$2459,$Z1791))</f>
        <v>Teclado Mecanico</v>
      </c>
      <c r="N1791" s="61" t="str">
        <f aca="false">$M1791&amp;" "&amp;$C1791</f>
        <v>Teclado Mecanico 2025</v>
      </c>
      <c r="O1791" s="63" t="n">
        <f aca="false">IF(ISTEXT($AC1791),VALUE($AC1791),$AC1791)</f>
        <v>24</v>
      </c>
      <c r="P1791" s="64" t="n">
        <f aca="false">INDEX(Datos_Origen!$I$2:$I$2459,$Z1791)</f>
        <v>94.39</v>
      </c>
      <c r="Q1791" s="64" t="n">
        <f aca="false">INDEX(Datos_Origen!$J$2:$J$2459,$Z1791)</f>
        <v>49.41</v>
      </c>
      <c r="R1791" s="65" t="n">
        <f aca="false">ROUND($O1791*$P1791,2)</f>
        <v>2265.36</v>
      </c>
      <c r="S1791" s="65" t="n">
        <f aca="false">ROUND($O1791*$Q1791,2)</f>
        <v>1185.84</v>
      </c>
      <c r="T1791" s="65" t="n">
        <f aca="false">ROUND($R1791*SUMIFS(Parametros!$E$28:$E$43,Parametros!$B$28:$B$43,$J1791,Parametros!$C$28:$C$43,$C1791,Parametros!$D$28:$D$43,$D1791),2)</f>
        <v>167.64</v>
      </c>
      <c r="U1791" s="65" t="n">
        <f aca="false">$R1791-$S1791-$T1791</f>
        <v>911.88</v>
      </c>
      <c r="V1791" s="66" t="n">
        <f aca="false">IFERROR($U1791/$R1791,0)</f>
        <v>0.402532047886429</v>
      </c>
      <c r="W1791" s="67" t="str">
        <f aca="false">IF(AND($V1791&gt;=Parametros!$C$8,$R1791&gt;=Parametros!$C$12),"Alta rentabilidad",IF(OR($V1791&lt;Parametros!$C$11,$R1791&lt;Parametros!$C$13),"Revisar","Estandar"))</f>
        <v>Estandar</v>
      </c>
      <c r="X1791" s="67" t="str">
        <f aca="false">IF(AND($J1791="E-commerce",IFERROR($T1791/$R1791,0)&gt;Parametros!$C$14),"Alerta","OK")</f>
        <v>Alerta</v>
      </c>
      <c r="Y1791" s="61" t="str">
        <f aca="false">IF($R1791&gt;=Parametros!$C$12,"Alto",IF($R1791&lt;Parametros!$C$13,"Bajo","Medio"))</f>
        <v>Medio</v>
      </c>
      <c r="Z1791" s="61" t="n">
        <v>469</v>
      </c>
      <c r="AA1791" s="61" t="str">
        <f aca="false">IF(MATCH($A1791,Datos_Origen!$A$2:$A$2459,0)=$Z1791,"OK","REVISAR")</f>
        <v>OK</v>
      </c>
      <c r="AB1791" s="62" t="n">
        <f aca="false">INDEX(Datos_Origen!$B$2:$B$2459,$Z1791)</f>
        <v>45811</v>
      </c>
      <c r="AC1791" s="61" t="n">
        <f aca="false">INDEX(Datos_Origen!$H$2:$H$2459,$Z1791)</f>
        <v>24</v>
      </c>
      <c r="AD1791" s="61" t="str">
        <f aca="false">INDEX(Datos_Origen!$D$2:$D$2459,$Z1791)&amp;""</f>
        <v>Tucuman</v>
      </c>
    </row>
    <row r="1792" customFormat="false" ht="15" hidden="false" customHeight="false" outlineLevel="0" collapsed="false">
      <c r="A1792" s="61" t="n">
        <f aca="false">INDEX(Datos_Origen!$A$2:$A$2459,$Z1792)</f>
        <v>1791</v>
      </c>
      <c r="B1792" s="62" t="n">
        <f aca="false">IF(ISNUMBER($AB1792),$AB1792,IF(MID($AB1792,5,1)="-",DATE(VALUE(LEFT($AB1792,4)),VALUE(MID($AB1792,6,2)),VALUE(RIGHT($AB1792,2))),DATE(VALUE(RIGHT($AB1792,4)),VALUE(MID($AB1792,4,2)),VALUE(LEFT($AB1792,2)))))</f>
        <v>45818</v>
      </c>
      <c r="C1792" s="61" t="n">
        <f aca="false">YEAR($B1792)</f>
        <v>2025</v>
      </c>
      <c r="D1792" s="61" t="str">
        <f aca="false">"Q"&amp;ROUNDUP(MONTH($B1792)/3,0)</f>
        <v>Q2</v>
      </c>
      <c r="E1792" s="61" t="n">
        <f aca="false">MONTH($B1792)</f>
        <v>6</v>
      </c>
      <c r="F1792" s="61" t="str">
        <f aca="false">INDEX(Parametros!$I$5:$I$16,$E1792)</f>
        <v>Jun</v>
      </c>
      <c r="G1792" s="61" t="str">
        <f aca="false">TEXT($C1792,"0000")&amp;"-"&amp;TEXT($E1792,"00")</f>
        <v>2025-06</v>
      </c>
      <c r="H1792" s="61" t="str">
        <f aca="false">INDEX(Parametros!$C$71:$C$91,MATCH(TRIM(INDEX(Datos_Origen!$C$2:$C$2459,$Z1792)),Parametros!$B$71:$B$91,0))</f>
        <v>NOA</v>
      </c>
      <c r="I1792" s="61" t="str">
        <f aca="false">IF(TRIM($AD1792)="",INDEX(Parametros!$I$20:$I$24,MATCH($H1792,Parametros!$H$20:$H$24,0)),TRIM($AD1792))</f>
        <v>Tucuman</v>
      </c>
      <c r="J1792" s="61" t="str">
        <f aca="false">INDEX(Parametros!$C$95:$C$106,MATCH(TRIM(INDEX(Datos_Origen!$E$2:$E$2459,$Z1792)),Parametros!$B$95:$B$106,0))</f>
        <v>Tienda fisica</v>
      </c>
      <c r="K1792" s="61" t="str">
        <f aca="false">INDEX(Parametros!$C$48:$C$67,MATCH(TRIM(INDEX(Datos_Origen!$F$2:$F$2459,$Z1792)),Parametros!$B$48:$B$67,0))</f>
        <v>Accesorios</v>
      </c>
      <c r="L1792" s="61" t="str">
        <f aca="false">$K1792&amp;" "&amp;$C1792</f>
        <v>Accesorios 2025</v>
      </c>
      <c r="M1792" s="61" t="str">
        <f aca="false">TRIM(INDEX(Datos_Origen!$G$2:$G$2459,$Z1792))</f>
        <v>Webcam Full HD</v>
      </c>
      <c r="N1792" s="61" t="str">
        <f aca="false">$M1792&amp;" "&amp;$C1792</f>
        <v>Webcam Full HD 2025</v>
      </c>
      <c r="O1792" s="63" t="n">
        <f aca="false">IF(ISTEXT($AC1792),VALUE($AC1792),$AC1792)</f>
        <v>29</v>
      </c>
      <c r="P1792" s="64" t="n">
        <f aca="false">INDEX(Datos_Origen!$I$2:$I$2459,$Z1792)</f>
        <v>64.58</v>
      </c>
      <c r="Q1792" s="64" t="n">
        <f aca="false">INDEX(Datos_Origen!$J$2:$J$2459,$Z1792)</f>
        <v>36.49</v>
      </c>
      <c r="R1792" s="65" t="n">
        <f aca="false">ROUND($O1792*$P1792,2)</f>
        <v>1872.82</v>
      </c>
      <c r="S1792" s="65" t="n">
        <f aca="false">ROUND($O1792*$Q1792,2)</f>
        <v>1058.21</v>
      </c>
      <c r="T1792" s="65" t="n">
        <f aca="false">ROUND($R1792*SUMIFS(Parametros!$E$28:$E$43,Parametros!$B$28:$B$43,$J1792,Parametros!$C$28:$C$43,$C1792,Parametros!$D$28:$D$43,$D1792),2)</f>
        <v>26.22</v>
      </c>
      <c r="U1792" s="65" t="n">
        <f aca="false">$R1792-$S1792-$T1792</f>
        <v>788.39</v>
      </c>
      <c r="V1792" s="66" t="n">
        <f aca="false">IFERROR($U1792/$R1792,0)</f>
        <v>0.420964107602439</v>
      </c>
      <c r="W1792" s="67" t="str">
        <f aca="false">IF(AND($V1792&gt;=Parametros!$C$8,$R1792&gt;=Parametros!$C$12),"Alta rentabilidad",IF(OR($V1792&lt;Parametros!$C$11,$R1792&lt;Parametros!$C$13),"Revisar","Estandar"))</f>
        <v>Estandar</v>
      </c>
      <c r="X1792" s="67" t="str">
        <f aca="false">IF(AND($J1792="E-commerce",IFERROR($T1792/$R1792,0)&gt;Parametros!$C$14),"Alerta","OK")</f>
        <v>OK</v>
      </c>
      <c r="Y1792" s="61" t="str">
        <f aca="false">IF($R1792&gt;=Parametros!$C$12,"Alto",IF($R1792&lt;Parametros!$C$13,"Bajo","Medio"))</f>
        <v>Medio</v>
      </c>
      <c r="Z1792" s="61" t="n">
        <v>2419</v>
      </c>
      <c r="AA1792" s="61" t="str">
        <f aca="false">IF(MATCH($A1792,Datos_Origen!$A$2:$A$2459,0)=$Z1792,"OK","REVISAR")</f>
        <v>OK</v>
      </c>
      <c r="AB1792" s="62" t="n">
        <f aca="false">INDEX(Datos_Origen!$B$2:$B$2459,$Z1792)</f>
        <v>45818</v>
      </c>
      <c r="AC1792" s="61" t="n">
        <f aca="false">INDEX(Datos_Origen!$H$2:$H$2459,$Z1792)</f>
        <v>29</v>
      </c>
      <c r="AD1792" s="61" t="str">
        <f aca="false">INDEX(Datos_Origen!$D$2:$D$2459,$Z1792)&amp;""</f>
        <v>Tucuman</v>
      </c>
    </row>
    <row r="1793" customFormat="false" ht="15" hidden="false" customHeight="false" outlineLevel="0" collapsed="false">
      <c r="A1793" s="61" t="n">
        <f aca="false">INDEX(Datos_Origen!$A$2:$A$2459,$Z1793)</f>
        <v>1792</v>
      </c>
      <c r="B1793" s="62" t="n">
        <f aca="false">IF(ISNUMBER($AB1793),$AB1793,IF(MID($AB1793,5,1)="-",DATE(VALUE(LEFT($AB1793,4)),VALUE(MID($AB1793,6,2)),VALUE(RIGHT($AB1793,2))),DATE(VALUE(RIGHT($AB1793,4)),VALUE(MID($AB1793,4,2)),VALUE(LEFT($AB1793,2)))))</f>
        <v>45825</v>
      </c>
      <c r="C1793" s="61" t="n">
        <f aca="false">YEAR($B1793)</f>
        <v>2025</v>
      </c>
      <c r="D1793" s="61" t="str">
        <f aca="false">"Q"&amp;ROUNDUP(MONTH($B1793)/3,0)</f>
        <v>Q2</v>
      </c>
      <c r="E1793" s="61" t="n">
        <f aca="false">MONTH($B1793)</f>
        <v>6</v>
      </c>
      <c r="F1793" s="61" t="str">
        <f aca="false">INDEX(Parametros!$I$5:$I$16,$E1793)</f>
        <v>Jun</v>
      </c>
      <c r="G1793" s="61" t="str">
        <f aca="false">TEXT($C1793,"0000")&amp;"-"&amp;TEXT($E1793,"00")</f>
        <v>2025-06</v>
      </c>
      <c r="H1793" s="61" t="str">
        <f aca="false">INDEX(Parametros!$C$71:$C$91,MATCH(TRIM(INDEX(Datos_Origen!$C$2:$C$2459,$Z1793)),Parametros!$B$71:$B$91,0))</f>
        <v>NOA</v>
      </c>
      <c r="I1793" s="61" t="str">
        <f aca="false">IF(TRIM($AD1793)="",INDEX(Parametros!$I$20:$I$24,MATCH($H1793,Parametros!$H$20:$H$24,0)),TRIM($AD1793))</f>
        <v>Tucuman</v>
      </c>
      <c r="J1793" s="61" t="str">
        <f aca="false">INDEX(Parametros!$C$95:$C$106,MATCH(TRIM(INDEX(Datos_Origen!$E$2:$E$2459,$Z1793)),Parametros!$B$95:$B$106,0))</f>
        <v>E-commerce</v>
      </c>
      <c r="K1793" s="61" t="str">
        <f aca="false">INDEX(Parametros!$C$48:$C$67,MATCH(TRIM(INDEX(Datos_Origen!$F$2:$F$2459,$Z1793)),Parametros!$B$48:$B$67,0))</f>
        <v>Accesorios</v>
      </c>
      <c r="L1793" s="61" t="str">
        <f aca="false">$K1793&amp;" "&amp;$C1793</f>
        <v>Accesorios 2025</v>
      </c>
      <c r="M1793" s="61" t="str">
        <f aca="false">TRIM(INDEX(Datos_Origen!$G$2:$G$2459,$Z1793))</f>
        <v>Webcam Full HD</v>
      </c>
      <c r="N1793" s="61" t="str">
        <f aca="false">$M1793&amp;" "&amp;$C1793</f>
        <v>Webcam Full HD 2025</v>
      </c>
      <c r="O1793" s="63" t="n">
        <f aca="false">IF(ISTEXT($AC1793),VALUE($AC1793),$AC1793)</f>
        <v>20</v>
      </c>
      <c r="P1793" s="64" t="n">
        <f aca="false">INDEX(Datos_Origen!$I$2:$I$2459,$Z1793)</f>
        <v>64.58</v>
      </c>
      <c r="Q1793" s="64" t="n">
        <f aca="false">INDEX(Datos_Origen!$J$2:$J$2459,$Z1793)</f>
        <v>36.49</v>
      </c>
      <c r="R1793" s="65" t="n">
        <f aca="false">ROUND($O1793*$P1793,2)</f>
        <v>1291.6</v>
      </c>
      <c r="S1793" s="65" t="n">
        <f aca="false">ROUND($O1793*$Q1793,2)</f>
        <v>729.8</v>
      </c>
      <c r="T1793" s="65" t="n">
        <f aca="false">ROUND($R1793*SUMIFS(Parametros!$E$28:$E$43,Parametros!$B$28:$B$43,$J1793,Parametros!$C$28:$C$43,$C1793,Parametros!$D$28:$D$43,$D1793),2)</f>
        <v>95.58</v>
      </c>
      <c r="U1793" s="65" t="n">
        <f aca="false">$R1793-$S1793-$T1793</f>
        <v>466.22</v>
      </c>
      <c r="V1793" s="66" t="n">
        <f aca="false">IFERROR($U1793/$R1793,0)</f>
        <v>0.36096314648498</v>
      </c>
      <c r="W1793" s="67" t="str">
        <f aca="false">IF(AND($V1793&gt;=Parametros!$C$8,$R1793&gt;=Parametros!$C$12),"Alta rentabilidad",IF(OR($V1793&lt;Parametros!$C$11,$R1793&lt;Parametros!$C$13),"Revisar","Estandar"))</f>
        <v>Estandar</v>
      </c>
      <c r="X1793" s="67" t="str">
        <f aca="false">IF(AND($J1793="E-commerce",IFERROR($T1793/$R1793,0)&gt;Parametros!$C$14),"Alerta","OK")</f>
        <v>Alerta</v>
      </c>
      <c r="Y1793" s="61" t="str">
        <f aca="false">IF($R1793&gt;=Parametros!$C$12,"Alto",IF($R1793&lt;Parametros!$C$13,"Bajo","Medio"))</f>
        <v>Medio</v>
      </c>
      <c r="Z1793" s="61" t="n">
        <v>1177</v>
      </c>
      <c r="AA1793" s="61" t="str">
        <f aca="false">IF(MATCH($A1793,Datos_Origen!$A$2:$A$2459,0)=$Z1793,"OK","REVISAR")</f>
        <v>OK</v>
      </c>
      <c r="AB1793" s="61" t="str">
        <f aca="false">INDEX(Datos_Origen!$B$2:$B$2459,$Z1793)</f>
        <v>2025-06-17</v>
      </c>
      <c r="AC1793" s="61" t="n">
        <f aca="false">INDEX(Datos_Origen!$H$2:$H$2459,$Z1793)</f>
        <v>20</v>
      </c>
      <c r="AD1793" s="61" t="str">
        <f aca="false">INDEX(Datos_Origen!$D$2:$D$2459,$Z1793)&amp;""</f>
        <v/>
      </c>
    </row>
    <row r="1794" customFormat="false" ht="15" hidden="false" customHeight="false" outlineLevel="0" collapsed="false">
      <c r="A1794" s="61" t="n">
        <f aca="false">INDEX(Datos_Origen!$A$2:$A$2459,$Z1794)</f>
        <v>1793</v>
      </c>
      <c r="B1794" s="62" t="n">
        <f aca="false">IF(ISNUMBER($AB1794),$AB1794,IF(MID($AB1794,5,1)="-",DATE(VALUE(LEFT($AB1794,4)),VALUE(MID($AB1794,6,2)),VALUE(RIGHT($AB1794,2))),DATE(VALUE(RIGHT($AB1794,4)),VALUE(MID($AB1794,4,2)),VALUE(LEFT($AB1794,2)))))</f>
        <v>45832</v>
      </c>
      <c r="C1794" s="61" t="n">
        <f aca="false">YEAR($B1794)</f>
        <v>2025</v>
      </c>
      <c r="D1794" s="61" t="str">
        <f aca="false">"Q"&amp;ROUNDUP(MONTH($B1794)/3,0)</f>
        <v>Q2</v>
      </c>
      <c r="E1794" s="61" t="n">
        <f aca="false">MONTH($B1794)</f>
        <v>6</v>
      </c>
      <c r="F1794" s="61" t="str">
        <f aca="false">INDEX(Parametros!$I$5:$I$16,$E1794)</f>
        <v>Jun</v>
      </c>
      <c r="G1794" s="61" t="str">
        <f aca="false">TEXT($C1794,"0000")&amp;"-"&amp;TEXT($E1794,"00")</f>
        <v>2025-06</v>
      </c>
      <c r="H1794" s="61" t="str">
        <f aca="false">INDEX(Parametros!$C$71:$C$91,MATCH(TRIM(INDEX(Datos_Origen!$C$2:$C$2459,$Z1794)),Parametros!$B$71:$B$91,0))</f>
        <v>NOA</v>
      </c>
      <c r="I1794" s="61" t="str">
        <f aca="false">IF(TRIM($AD1794)="",INDEX(Parametros!$I$20:$I$24,MATCH($H1794,Parametros!$H$20:$H$24,0)),TRIM($AD1794))</f>
        <v>Tucuman</v>
      </c>
      <c r="J1794" s="61" t="str">
        <f aca="false">INDEX(Parametros!$C$95:$C$106,MATCH(TRIM(INDEX(Datos_Origen!$E$2:$E$2459,$Z1794)),Parametros!$B$95:$B$106,0))</f>
        <v>Tienda fisica</v>
      </c>
      <c r="K1794" s="61" t="str">
        <f aca="false">INDEX(Parametros!$C$48:$C$67,MATCH(TRIM(INDEX(Datos_Origen!$F$2:$F$2459,$Z1794)),Parametros!$B$48:$B$67,0))</f>
        <v>Audio</v>
      </c>
      <c r="L1794" s="61" t="str">
        <f aca="false">$K1794&amp;" "&amp;$C1794</f>
        <v>Audio 2025</v>
      </c>
      <c r="M1794" s="61" t="str">
        <f aca="false">TRIM(INDEX(Datos_Origen!$G$2:$G$2459,$Z1794))</f>
        <v>Auriculares BT Pro</v>
      </c>
      <c r="N1794" s="61" t="str">
        <f aca="false">$M1794&amp;" "&amp;$C1794</f>
        <v>Auriculares BT Pro 2025</v>
      </c>
      <c r="O1794" s="63" t="n">
        <f aca="false">IF(ISTEXT($AC1794),VALUE($AC1794),$AC1794)</f>
        <v>15</v>
      </c>
      <c r="P1794" s="64" t="n">
        <f aca="false">INDEX(Datos_Origen!$I$2:$I$2459,$Z1794)</f>
        <v>119.23</v>
      </c>
      <c r="Q1794" s="64" t="n">
        <f aca="false">INDEX(Datos_Origen!$J$2:$J$2459,$Z1794)</f>
        <v>65.51</v>
      </c>
      <c r="R1794" s="65" t="n">
        <f aca="false">ROUND($O1794*$P1794,2)</f>
        <v>1788.45</v>
      </c>
      <c r="S1794" s="65" t="n">
        <f aca="false">ROUND($O1794*$Q1794,2)</f>
        <v>982.65</v>
      </c>
      <c r="T1794" s="65" t="n">
        <f aca="false">ROUND($R1794*SUMIFS(Parametros!$E$28:$E$43,Parametros!$B$28:$B$43,$J1794,Parametros!$C$28:$C$43,$C1794,Parametros!$D$28:$D$43,$D1794),2)</f>
        <v>25.04</v>
      </c>
      <c r="U1794" s="65" t="n">
        <f aca="false">$R1794-$S1794-$T1794</f>
        <v>780.76</v>
      </c>
      <c r="V1794" s="66" t="n">
        <f aca="false">IFERROR($U1794/$R1794,0)</f>
        <v>0.436556794990075</v>
      </c>
      <c r="W1794" s="67" t="str">
        <f aca="false">IF(AND($V1794&gt;=Parametros!$C$8,$R1794&gt;=Parametros!$C$12),"Alta rentabilidad",IF(OR($V1794&lt;Parametros!$C$11,$R1794&lt;Parametros!$C$13),"Revisar","Estandar"))</f>
        <v>Estandar</v>
      </c>
      <c r="X1794" s="67" t="str">
        <f aca="false">IF(AND($J1794="E-commerce",IFERROR($T1794/$R1794,0)&gt;Parametros!$C$14),"Alerta","OK")</f>
        <v>OK</v>
      </c>
      <c r="Y1794" s="61" t="str">
        <f aca="false">IF($R1794&gt;=Parametros!$C$12,"Alto",IF($R1794&lt;Parametros!$C$13,"Bajo","Medio"))</f>
        <v>Medio</v>
      </c>
      <c r="Z1794" s="61" t="n">
        <v>369</v>
      </c>
      <c r="AA1794" s="61" t="str">
        <f aca="false">IF(MATCH($A1794,Datos_Origen!$A$2:$A$2459,0)=$Z1794,"OK","REVISAR")</f>
        <v>OK</v>
      </c>
      <c r="AB1794" s="62" t="n">
        <f aca="false">INDEX(Datos_Origen!$B$2:$B$2459,$Z1794)</f>
        <v>45832</v>
      </c>
      <c r="AC1794" s="61" t="n">
        <f aca="false">INDEX(Datos_Origen!$H$2:$H$2459,$Z1794)</f>
        <v>15</v>
      </c>
      <c r="AD1794" s="61" t="str">
        <f aca="false">INDEX(Datos_Origen!$D$2:$D$2459,$Z1794)&amp;""</f>
        <v>Tucuman</v>
      </c>
    </row>
    <row r="1795" customFormat="false" ht="15" hidden="false" customHeight="false" outlineLevel="0" collapsed="false">
      <c r="A1795" s="61" t="n">
        <f aca="false">INDEX(Datos_Origen!$A$2:$A$2459,$Z1795)</f>
        <v>1794</v>
      </c>
      <c r="B1795" s="62" t="n">
        <f aca="false">IF(ISNUMBER($AB1795),$AB1795,IF(MID($AB1795,5,1)="-",DATE(VALUE(LEFT($AB1795,4)),VALUE(MID($AB1795,6,2)),VALUE(RIGHT($AB1795,2))),DATE(VALUE(RIGHT($AB1795,4)),VALUE(MID($AB1795,4,2)),VALUE(LEFT($AB1795,2)))))</f>
        <v>45812</v>
      </c>
      <c r="C1795" s="61" t="n">
        <f aca="false">YEAR($B1795)</f>
        <v>2025</v>
      </c>
      <c r="D1795" s="61" t="str">
        <f aca="false">"Q"&amp;ROUNDUP(MONTH($B1795)/3,0)</f>
        <v>Q2</v>
      </c>
      <c r="E1795" s="61" t="n">
        <f aca="false">MONTH($B1795)</f>
        <v>6</v>
      </c>
      <c r="F1795" s="61" t="str">
        <f aca="false">INDEX(Parametros!$I$5:$I$16,$E1795)</f>
        <v>Jun</v>
      </c>
      <c r="G1795" s="61" t="str">
        <f aca="false">TEXT($C1795,"0000")&amp;"-"&amp;TEXT($E1795,"00")</f>
        <v>2025-06</v>
      </c>
      <c r="H1795" s="61" t="str">
        <f aca="false">INDEX(Parametros!$C$71:$C$91,MATCH(TRIM(INDEX(Datos_Origen!$C$2:$C$2459,$Z1795)),Parametros!$B$71:$B$91,0))</f>
        <v>NOA</v>
      </c>
      <c r="I1795" s="61" t="str">
        <f aca="false">IF(TRIM($AD1795)="",INDEX(Parametros!$I$20:$I$24,MATCH($H1795,Parametros!$H$20:$H$24,0)),TRIM($AD1795))</f>
        <v>Tucuman</v>
      </c>
      <c r="J1795" s="61" t="str">
        <f aca="false">INDEX(Parametros!$C$95:$C$106,MATCH(TRIM(INDEX(Datos_Origen!$E$2:$E$2459,$Z1795)),Parametros!$B$95:$B$106,0))</f>
        <v>E-commerce</v>
      </c>
      <c r="K1795" s="61" t="str">
        <f aca="false">INDEX(Parametros!$C$48:$C$67,MATCH(TRIM(INDEX(Datos_Origen!$F$2:$F$2459,$Z1795)),Parametros!$B$48:$B$67,0))</f>
        <v>Audio</v>
      </c>
      <c r="L1795" s="61" t="str">
        <f aca="false">$K1795&amp;" "&amp;$C1795</f>
        <v>Audio 2025</v>
      </c>
      <c r="M1795" s="61" t="str">
        <f aca="false">TRIM(INDEX(Datos_Origen!$G$2:$G$2459,$Z1795))</f>
        <v>Auriculares BT Pro</v>
      </c>
      <c r="N1795" s="61" t="str">
        <f aca="false">$M1795&amp;" "&amp;$C1795</f>
        <v>Auriculares BT Pro 2025</v>
      </c>
      <c r="O1795" s="63" t="n">
        <f aca="false">IF(ISTEXT($AC1795),VALUE($AC1795),$AC1795)</f>
        <v>11</v>
      </c>
      <c r="P1795" s="64" t="n">
        <f aca="false">INDEX(Datos_Origen!$I$2:$I$2459,$Z1795)</f>
        <v>119.23</v>
      </c>
      <c r="Q1795" s="64" t="n">
        <f aca="false">INDEX(Datos_Origen!$J$2:$J$2459,$Z1795)</f>
        <v>65.51</v>
      </c>
      <c r="R1795" s="65" t="n">
        <f aca="false">ROUND($O1795*$P1795,2)</f>
        <v>1311.53</v>
      </c>
      <c r="S1795" s="65" t="n">
        <f aca="false">ROUND($O1795*$Q1795,2)</f>
        <v>720.61</v>
      </c>
      <c r="T1795" s="65" t="n">
        <f aca="false">ROUND($R1795*SUMIFS(Parametros!$E$28:$E$43,Parametros!$B$28:$B$43,$J1795,Parametros!$C$28:$C$43,$C1795,Parametros!$D$28:$D$43,$D1795),2)</f>
        <v>97.05</v>
      </c>
      <c r="U1795" s="65" t="n">
        <f aca="false">$R1795-$S1795-$T1795</f>
        <v>493.87</v>
      </c>
      <c r="V1795" s="66" t="n">
        <f aca="false">IFERROR($U1795/$R1795,0)</f>
        <v>0.376560200681647</v>
      </c>
      <c r="W1795" s="67" t="str">
        <f aca="false">IF(AND($V1795&gt;=Parametros!$C$8,$R1795&gt;=Parametros!$C$12),"Alta rentabilidad",IF(OR($V1795&lt;Parametros!$C$11,$R1795&lt;Parametros!$C$13),"Revisar","Estandar"))</f>
        <v>Estandar</v>
      </c>
      <c r="X1795" s="67" t="str">
        <f aca="false">IF(AND($J1795="E-commerce",IFERROR($T1795/$R1795,0)&gt;Parametros!$C$14),"Alerta","OK")</f>
        <v>Alerta</v>
      </c>
      <c r="Y1795" s="61" t="str">
        <f aca="false">IF($R1795&gt;=Parametros!$C$12,"Alto",IF($R1795&lt;Parametros!$C$13,"Bajo","Medio"))</f>
        <v>Medio</v>
      </c>
      <c r="Z1795" s="61" t="n">
        <v>1793</v>
      </c>
      <c r="AA1795" s="61" t="str">
        <f aca="false">IF(MATCH($A1795,Datos_Origen!$A$2:$A$2459,0)=$Z1795,"OK","REVISAR")</f>
        <v>OK</v>
      </c>
      <c r="AB1795" s="62" t="n">
        <f aca="false">INDEX(Datos_Origen!$B$2:$B$2459,$Z1795)</f>
        <v>45812</v>
      </c>
      <c r="AC1795" s="61" t="str">
        <f aca="false">INDEX(Datos_Origen!$H$2:$H$2459,$Z1795)</f>
        <v>11</v>
      </c>
      <c r="AD1795" s="61" t="str">
        <f aca="false">INDEX(Datos_Origen!$D$2:$D$2459,$Z1795)&amp;""</f>
        <v>Tucuman</v>
      </c>
    </row>
    <row r="1796" customFormat="false" ht="15" hidden="false" customHeight="false" outlineLevel="0" collapsed="false">
      <c r="A1796" s="61" t="n">
        <f aca="false">INDEX(Datos_Origen!$A$2:$A$2459,$Z1796)</f>
        <v>1795</v>
      </c>
      <c r="B1796" s="62" t="n">
        <f aca="false">IF(ISNUMBER($AB1796),$AB1796,IF(MID($AB1796,5,1)="-",DATE(VALUE(LEFT($AB1796,4)),VALUE(MID($AB1796,6,2)),VALUE(RIGHT($AB1796,2))),DATE(VALUE(RIGHT($AB1796,4)),VALUE(MID($AB1796,4,2)),VALUE(LEFT($AB1796,2)))))</f>
        <v>45819</v>
      </c>
      <c r="C1796" s="61" t="n">
        <f aca="false">YEAR($B1796)</f>
        <v>2025</v>
      </c>
      <c r="D1796" s="61" t="str">
        <f aca="false">"Q"&amp;ROUNDUP(MONTH($B1796)/3,0)</f>
        <v>Q2</v>
      </c>
      <c r="E1796" s="61" t="n">
        <f aca="false">MONTH($B1796)</f>
        <v>6</v>
      </c>
      <c r="F1796" s="61" t="str">
        <f aca="false">INDEX(Parametros!$I$5:$I$16,$E1796)</f>
        <v>Jun</v>
      </c>
      <c r="G1796" s="61" t="str">
        <f aca="false">TEXT($C1796,"0000")&amp;"-"&amp;TEXT($E1796,"00")</f>
        <v>2025-06</v>
      </c>
      <c r="H1796" s="61" t="str">
        <f aca="false">INDEX(Parametros!$C$71:$C$91,MATCH(TRIM(INDEX(Datos_Origen!$C$2:$C$2459,$Z1796)),Parametros!$B$71:$B$91,0))</f>
        <v>NOA</v>
      </c>
      <c r="I1796" s="61" t="str">
        <f aca="false">IF(TRIM($AD1796)="",INDEX(Parametros!$I$20:$I$24,MATCH($H1796,Parametros!$H$20:$H$24,0)),TRIM($AD1796))</f>
        <v>Tucuman</v>
      </c>
      <c r="J1796" s="61" t="str">
        <f aca="false">INDEX(Parametros!$C$95:$C$106,MATCH(TRIM(INDEX(Datos_Origen!$E$2:$E$2459,$Z1796)),Parametros!$B$95:$B$106,0))</f>
        <v>Tienda fisica</v>
      </c>
      <c r="K1796" s="61" t="str">
        <f aca="false">INDEX(Parametros!$C$48:$C$67,MATCH(TRIM(INDEX(Datos_Origen!$F$2:$F$2459,$Z1796)),Parametros!$B$48:$B$67,0))</f>
        <v>Audio</v>
      </c>
      <c r="L1796" s="61" t="str">
        <f aca="false">$K1796&amp;" "&amp;$C1796</f>
        <v>Audio 2025</v>
      </c>
      <c r="M1796" s="61" t="str">
        <f aca="false">TRIM(INDEX(Datos_Origen!$G$2:$G$2459,$Z1796))</f>
        <v>Parlante Bluetooth</v>
      </c>
      <c r="N1796" s="61" t="str">
        <f aca="false">$M1796&amp;" "&amp;$C1796</f>
        <v>Parlante Bluetooth 2025</v>
      </c>
      <c r="O1796" s="63" t="n">
        <f aca="false">IF(ISTEXT($AC1796),VALUE($AC1796),$AC1796)</f>
        <v>16</v>
      </c>
      <c r="P1796" s="64" t="n">
        <f aca="false">INDEX(Datos_Origen!$I$2:$I$2459,$Z1796)</f>
        <v>84.46</v>
      </c>
      <c r="Q1796" s="64" t="n">
        <f aca="false">INDEX(Datos_Origen!$J$2:$J$2459,$Z1796)</f>
        <v>49.47</v>
      </c>
      <c r="R1796" s="65" t="n">
        <f aca="false">ROUND($O1796*$P1796,2)</f>
        <v>1351.36</v>
      </c>
      <c r="S1796" s="65" t="n">
        <f aca="false">ROUND($O1796*$Q1796,2)</f>
        <v>791.52</v>
      </c>
      <c r="T1796" s="65" t="n">
        <f aca="false">ROUND($R1796*SUMIFS(Parametros!$E$28:$E$43,Parametros!$B$28:$B$43,$J1796,Parametros!$C$28:$C$43,$C1796,Parametros!$D$28:$D$43,$D1796),2)</f>
        <v>18.92</v>
      </c>
      <c r="U1796" s="65" t="n">
        <f aca="false">$R1796-$S1796-$T1796</f>
        <v>540.92</v>
      </c>
      <c r="V1796" s="66" t="n">
        <f aca="false">IFERROR($U1796/$R1796,0)</f>
        <v>0.400278238219275</v>
      </c>
      <c r="W1796" s="67" t="str">
        <f aca="false">IF(AND($V1796&gt;=Parametros!$C$8,$R1796&gt;=Parametros!$C$12),"Alta rentabilidad",IF(OR($V1796&lt;Parametros!$C$11,$R1796&lt;Parametros!$C$13),"Revisar","Estandar"))</f>
        <v>Estandar</v>
      </c>
      <c r="X1796" s="67" t="str">
        <f aca="false">IF(AND($J1796="E-commerce",IFERROR($T1796/$R1796,0)&gt;Parametros!$C$14),"Alerta","OK")</f>
        <v>OK</v>
      </c>
      <c r="Y1796" s="61" t="str">
        <f aca="false">IF($R1796&gt;=Parametros!$C$12,"Alto",IF($R1796&lt;Parametros!$C$13,"Bajo","Medio"))</f>
        <v>Medio</v>
      </c>
      <c r="Z1796" s="61" t="n">
        <v>154</v>
      </c>
      <c r="AA1796" s="61" t="str">
        <f aca="false">IF(MATCH($A1796,Datos_Origen!$A$2:$A$2459,0)=$Z1796,"OK","REVISAR")</f>
        <v>OK</v>
      </c>
      <c r="AB1796" s="62" t="n">
        <f aca="false">INDEX(Datos_Origen!$B$2:$B$2459,$Z1796)</f>
        <v>45819</v>
      </c>
      <c r="AC1796" s="61" t="str">
        <f aca="false">INDEX(Datos_Origen!$H$2:$H$2459,$Z1796)</f>
        <v>16</v>
      </c>
      <c r="AD1796" s="61" t="str">
        <f aca="false">INDEX(Datos_Origen!$D$2:$D$2459,$Z1796)&amp;""</f>
        <v>Tucuman</v>
      </c>
    </row>
    <row r="1797" customFormat="false" ht="15" hidden="false" customHeight="false" outlineLevel="0" collapsed="false">
      <c r="A1797" s="61" t="n">
        <f aca="false">INDEX(Datos_Origen!$A$2:$A$2459,$Z1797)</f>
        <v>1796</v>
      </c>
      <c r="B1797" s="62" t="n">
        <f aca="false">IF(ISNUMBER($AB1797),$AB1797,IF(MID($AB1797,5,1)="-",DATE(VALUE(LEFT($AB1797,4)),VALUE(MID($AB1797,6,2)),VALUE(RIGHT($AB1797,2))),DATE(VALUE(RIGHT($AB1797,4)),VALUE(MID($AB1797,4,2)),VALUE(LEFT($AB1797,2)))))</f>
        <v>45826</v>
      </c>
      <c r="C1797" s="61" t="n">
        <f aca="false">YEAR($B1797)</f>
        <v>2025</v>
      </c>
      <c r="D1797" s="61" t="str">
        <f aca="false">"Q"&amp;ROUNDUP(MONTH($B1797)/3,0)</f>
        <v>Q2</v>
      </c>
      <c r="E1797" s="61" t="n">
        <f aca="false">MONTH($B1797)</f>
        <v>6</v>
      </c>
      <c r="F1797" s="61" t="str">
        <f aca="false">INDEX(Parametros!$I$5:$I$16,$E1797)</f>
        <v>Jun</v>
      </c>
      <c r="G1797" s="61" t="str">
        <f aca="false">TEXT($C1797,"0000")&amp;"-"&amp;TEXT($E1797,"00")</f>
        <v>2025-06</v>
      </c>
      <c r="H1797" s="61" t="str">
        <f aca="false">INDEX(Parametros!$C$71:$C$91,MATCH(TRIM(INDEX(Datos_Origen!$C$2:$C$2459,$Z1797)),Parametros!$B$71:$B$91,0))</f>
        <v>NOA</v>
      </c>
      <c r="I1797" s="61" t="str">
        <f aca="false">IF(TRIM($AD1797)="",INDEX(Parametros!$I$20:$I$24,MATCH($H1797,Parametros!$H$20:$H$24,0)),TRIM($AD1797))</f>
        <v>Tucuman</v>
      </c>
      <c r="J1797" s="61" t="str">
        <f aca="false">INDEX(Parametros!$C$95:$C$106,MATCH(TRIM(INDEX(Datos_Origen!$E$2:$E$2459,$Z1797)),Parametros!$B$95:$B$106,0))</f>
        <v>E-commerce</v>
      </c>
      <c r="K1797" s="61" t="str">
        <f aca="false">INDEX(Parametros!$C$48:$C$67,MATCH(TRIM(INDEX(Datos_Origen!$F$2:$F$2459,$Z1797)),Parametros!$B$48:$B$67,0))</f>
        <v>Audio</v>
      </c>
      <c r="L1797" s="61" t="str">
        <f aca="false">$K1797&amp;" "&amp;$C1797</f>
        <v>Audio 2025</v>
      </c>
      <c r="M1797" s="61" t="str">
        <f aca="false">TRIM(INDEX(Datos_Origen!$G$2:$G$2459,$Z1797))</f>
        <v>Parlante Bluetooth</v>
      </c>
      <c r="N1797" s="61" t="str">
        <f aca="false">$M1797&amp;" "&amp;$C1797</f>
        <v>Parlante Bluetooth 2025</v>
      </c>
      <c r="O1797" s="63" t="n">
        <f aca="false">IF(ISTEXT($AC1797),VALUE($AC1797),$AC1797)</f>
        <v>11</v>
      </c>
      <c r="P1797" s="64" t="n">
        <f aca="false">INDEX(Datos_Origen!$I$2:$I$2459,$Z1797)</f>
        <v>84.46</v>
      </c>
      <c r="Q1797" s="64" t="n">
        <f aca="false">INDEX(Datos_Origen!$J$2:$J$2459,$Z1797)</f>
        <v>49.47</v>
      </c>
      <c r="R1797" s="65" t="n">
        <f aca="false">ROUND($O1797*$P1797,2)</f>
        <v>929.06</v>
      </c>
      <c r="S1797" s="65" t="n">
        <f aca="false">ROUND($O1797*$Q1797,2)</f>
        <v>544.17</v>
      </c>
      <c r="T1797" s="65" t="n">
        <f aca="false">ROUND($R1797*SUMIFS(Parametros!$E$28:$E$43,Parametros!$B$28:$B$43,$J1797,Parametros!$C$28:$C$43,$C1797,Parametros!$D$28:$D$43,$D1797),2)</f>
        <v>68.75</v>
      </c>
      <c r="U1797" s="65" t="n">
        <f aca="false">$R1797-$S1797-$T1797</f>
        <v>316.14</v>
      </c>
      <c r="V1797" s="66" t="n">
        <f aca="false">IFERROR($U1797/$R1797,0)</f>
        <v>0.340279422211698</v>
      </c>
      <c r="W1797" s="67" t="str">
        <f aca="false">IF(AND($V1797&gt;=Parametros!$C$8,$R1797&gt;=Parametros!$C$12),"Alta rentabilidad",IF(OR($V1797&lt;Parametros!$C$11,$R1797&lt;Parametros!$C$13),"Revisar","Estandar"))</f>
        <v>Estandar</v>
      </c>
      <c r="X1797" s="67" t="str">
        <f aca="false">IF(AND($J1797="E-commerce",IFERROR($T1797/$R1797,0)&gt;Parametros!$C$14),"Alerta","OK")</f>
        <v>Alerta</v>
      </c>
      <c r="Y1797" s="61" t="str">
        <f aca="false">IF($R1797&gt;=Parametros!$C$12,"Alto",IF($R1797&lt;Parametros!$C$13,"Bajo","Medio"))</f>
        <v>Medio</v>
      </c>
      <c r="Z1797" s="61" t="n">
        <v>1649</v>
      </c>
      <c r="AA1797" s="61" t="str">
        <f aca="false">IF(MATCH($A1797,Datos_Origen!$A$2:$A$2459,0)=$Z1797,"OK","REVISAR")</f>
        <v>OK</v>
      </c>
      <c r="AB1797" s="62" t="n">
        <f aca="false">INDEX(Datos_Origen!$B$2:$B$2459,$Z1797)</f>
        <v>45826</v>
      </c>
      <c r="AC1797" s="61" t="n">
        <f aca="false">INDEX(Datos_Origen!$H$2:$H$2459,$Z1797)</f>
        <v>11</v>
      </c>
      <c r="AD1797" s="61" t="str">
        <f aca="false">INDEX(Datos_Origen!$D$2:$D$2459,$Z1797)&amp;""</f>
        <v>Tucuman</v>
      </c>
    </row>
    <row r="1798" customFormat="false" ht="15" hidden="false" customHeight="false" outlineLevel="0" collapsed="false">
      <c r="A1798" s="61" t="n">
        <f aca="false">INDEX(Datos_Origen!$A$2:$A$2459,$Z1798)</f>
        <v>1797</v>
      </c>
      <c r="B1798" s="62" t="n">
        <f aca="false">IF(ISNUMBER($AB1798),$AB1798,IF(MID($AB1798,5,1)="-",DATE(VALUE(LEFT($AB1798,4)),VALUE(MID($AB1798,6,2)),VALUE(RIGHT($AB1798,2))),DATE(VALUE(RIGHT($AB1798,4)),VALUE(MID($AB1798,4,2)),VALUE(LEFT($AB1798,2)))))</f>
        <v>45833</v>
      </c>
      <c r="C1798" s="61" t="n">
        <f aca="false">YEAR($B1798)</f>
        <v>2025</v>
      </c>
      <c r="D1798" s="61" t="str">
        <f aca="false">"Q"&amp;ROUNDUP(MONTH($B1798)/3,0)</f>
        <v>Q2</v>
      </c>
      <c r="E1798" s="61" t="n">
        <f aca="false">MONTH($B1798)</f>
        <v>6</v>
      </c>
      <c r="F1798" s="61" t="str">
        <f aca="false">INDEX(Parametros!$I$5:$I$16,$E1798)</f>
        <v>Jun</v>
      </c>
      <c r="G1798" s="61" t="str">
        <f aca="false">TEXT($C1798,"0000")&amp;"-"&amp;TEXT($E1798,"00")</f>
        <v>2025-06</v>
      </c>
      <c r="H1798" s="61" t="str">
        <f aca="false">INDEX(Parametros!$C$71:$C$91,MATCH(TRIM(INDEX(Datos_Origen!$C$2:$C$2459,$Z1798)),Parametros!$B$71:$B$91,0))</f>
        <v>NOA</v>
      </c>
      <c r="I1798" s="61" t="str">
        <f aca="false">IF(TRIM($AD1798)="",INDEX(Parametros!$I$20:$I$24,MATCH($H1798,Parametros!$H$20:$H$24,0)),TRIM($AD1798))</f>
        <v>Tucuman</v>
      </c>
      <c r="J1798" s="61" t="str">
        <f aca="false">INDEX(Parametros!$C$95:$C$106,MATCH(TRIM(INDEX(Datos_Origen!$E$2:$E$2459,$Z1798)),Parametros!$B$95:$B$106,0))</f>
        <v>Tienda fisica</v>
      </c>
      <c r="K1798" s="61" t="str">
        <f aca="false">INDEX(Parametros!$C$48:$C$67,MATCH(TRIM(INDEX(Datos_Origen!$F$2:$F$2459,$Z1798)),Parametros!$B$48:$B$67,0))</f>
        <v>Almacenamiento</v>
      </c>
      <c r="L1798" s="61" t="str">
        <f aca="false">$K1798&amp;" "&amp;$C1798</f>
        <v>Almacenamiento 2025</v>
      </c>
      <c r="M1798" s="61" t="str">
        <f aca="false">TRIM(INDEX(Datos_Origen!$G$2:$G$2459,$Z1798))</f>
        <v>SSD Externo 1TB</v>
      </c>
      <c r="N1798" s="61" t="str">
        <f aca="false">$M1798&amp;" "&amp;$C1798</f>
        <v>SSD Externo 1TB 2025</v>
      </c>
      <c r="O1798" s="63" t="n">
        <f aca="false">IF(ISTEXT($AC1798),VALUE($AC1798),$AC1798)</f>
        <v>19</v>
      </c>
      <c r="P1798" s="64" t="n">
        <f aca="false">INDEX(Datos_Origen!$I$2:$I$2459,$Z1798)</f>
        <v>129.17</v>
      </c>
      <c r="Q1798" s="64" t="n">
        <f aca="false">INDEX(Datos_Origen!$J$2:$J$2459,$Z1798)</f>
        <v>78.33</v>
      </c>
      <c r="R1798" s="65" t="n">
        <f aca="false">ROUND($O1798*$P1798,2)</f>
        <v>2454.23</v>
      </c>
      <c r="S1798" s="65" t="n">
        <f aca="false">ROUND($O1798*$Q1798,2)</f>
        <v>1488.27</v>
      </c>
      <c r="T1798" s="65" t="n">
        <f aca="false">ROUND($R1798*SUMIFS(Parametros!$E$28:$E$43,Parametros!$B$28:$B$43,$J1798,Parametros!$C$28:$C$43,$C1798,Parametros!$D$28:$D$43,$D1798),2)</f>
        <v>34.36</v>
      </c>
      <c r="U1798" s="65" t="n">
        <f aca="false">$R1798-$S1798-$T1798</f>
        <v>931.6</v>
      </c>
      <c r="V1798" s="66" t="n">
        <f aca="false">IFERROR($U1798/$R1798,0)</f>
        <v>0.379589525024142</v>
      </c>
      <c r="W1798" s="67" t="str">
        <f aca="false">IF(AND($V1798&gt;=Parametros!$C$8,$R1798&gt;=Parametros!$C$12),"Alta rentabilidad",IF(OR($V1798&lt;Parametros!$C$11,$R1798&lt;Parametros!$C$13),"Revisar","Estandar"))</f>
        <v>Estandar</v>
      </c>
      <c r="X1798" s="67" t="str">
        <f aca="false">IF(AND($J1798="E-commerce",IFERROR($T1798/$R1798,0)&gt;Parametros!$C$14),"Alerta","OK")</f>
        <v>OK</v>
      </c>
      <c r="Y1798" s="61" t="str">
        <f aca="false">IF($R1798&gt;=Parametros!$C$12,"Alto",IF($R1798&lt;Parametros!$C$13,"Bajo","Medio"))</f>
        <v>Medio</v>
      </c>
      <c r="Z1798" s="61" t="n">
        <v>2143</v>
      </c>
      <c r="AA1798" s="61" t="str">
        <f aca="false">IF(MATCH($A1798,Datos_Origen!$A$2:$A$2459,0)=$Z1798,"OK","REVISAR")</f>
        <v>OK</v>
      </c>
      <c r="AB1798" s="61" t="str">
        <f aca="false">INDEX(Datos_Origen!$B$2:$B$2459,$Z1798)</f>
        <v>25/06/2025</v>
      </c>
      <c r="AC1798" s="61" t="n">
        <f aca="false">INDEX(Datos_Origen!$H$2:$H$2459,$Z1798)</f>
        <v>19</v>
      </c>
      <c r="AD1798" s="61" t="str">
        <f aca="false">INDEX(Datos_Origen!$D$2:$D$2459,$Z1798)&amp;""</f>
        <v>Tucuman</v>
      </c>
    </row>
    <row r="1799" customFormat="false" ht="15" hidden="false" customHeight="false" outlineLevel="0" collapsed="false">
      <c r="A1799" s="61" t="n">
        <f aca="false">INDEX(Datos_Origen!$A$2:$A$2459,$Z1799)</f>
        <v>1798</v>
      </c>
      <c r="B1799" s="62" t="n">
        <f aca="false">IF(ISNUMBER($AB1799),$AB1799,IF(MID($AB1799,5,1)="-",DATE(VALUE(LEFT($AB1799,4)),VALUE(MID($AB1799,6,2)),VALUE(RIGHT($AB1799,2))),DATE(VALUE(RIGHT($AB1799,4)),VALUE(MID($AB1799,4,2)),VALUE(LEFT($AB1799,2)))))</f>
        <v>45813</v>
      </c>
      <c r="C1799" s="61" t="n">
        <f aca="false">YEAR($B1799)</f>
        <v>2025</v>
      </c>
      <c r="D1799" s="61" t="str">
        <f aca="false">"Q"&amp;ROUNDUP(MONTH($B1799)/3,0)</f>
        <v>Q2</v>
      </c>
      <c r="E1799" s="61" t="n">
        <f aca="false">MONTH($B1799)</f>
        <v>6</v>
      </c>
      <c r="F1799" s="61" t="str">
        <f aca="false">INDEX(Parametros!$I$5:$I$16,$E1799)</f>
        <v>Jun</v>
      </c>
      <c r="G1799" s="61" t="str">
        <f aca="false">TEXT($C1799,"0000")&amp;"-"&amp;TEXT($E1799,"00")</f>
        <v>2025-06</v>
      </c>
      <c r="H1799" s="61" t="str">
        <f aca="false">INDEX(Parametros!$C$71:$C$91,MATCH(TRIM(INDEX(Datos_Origen!$C$2:$C$2459,$Z1799)),Parametros!$B$71:$B$91,0))</f>
        <v>NOA</v>
      </c>
      <c r="I1799" s="61" t="str">
        <f aca="false">IF(TRIM($AD1799)="",INDEX(Parametros!$I$20:$I$24,MATCH($H1799,Parametros!$H$20:$H$24,0)),TRIM($AD1799))</f>
        <v>Tucuman</v>
      </c>
      <c r="J1799" s="61" t="str">
        <f aca="false">INDEX(Parametros!$C$95:$C$106,MATCH(TRIM(INDEX(Datos_Origen!$E$2:$E$2459,$Z1799)),Parametros!$B$95:$B$106,0))</f>
        <v>E-commerce</v>
      </c>
      <c r="K1799" s="61" t="str">
        <f aca="false">INDEX(Parametros!$C$48:$C$67,MATCH(TRIM(INDEX(Datos_Origen!$F$2:$F$2459,$Z1799)),Parametros!$B$48:$B$67,0))</f>
        <v>Almacenamiento</v>
      </c>
      <c r="L1799" s="61" t="str">
        <f aca="false">$K1799&amp;" "&amp;$C1799</f>
        <v>Almacenamiento 2025</v>
      </c>
      <c r="M1799" s="61" t="str">
        <f aca="false">TRIM(INDEX(Datos_Origen!$G$2:$G$2459,$Z1799))</f>
        <v>SSD Externo 1TB</v>
      </c>
      <c r="N1799" s="61" t="str">
        <f aca="false">$M1799&amp;" "&amp;$C1799</f>
        <v>SSD Externo 1TB 2025</v>
      </c>
      <c r="O1799" s="63" t="n">
        <f aca="false">IF(ISTEXT($AC1799),VALUE($AC1799),$AC1799)</f>
        <v>12</v>
      </c>
      <c r="P1799" s="64" t="n">
        <f aca="false">INDEX(Datos_Origen!$I$2:$I$2459,$Z1799)</f>
        <v>129.17</v>
      </c>
      <c r="Q1799" s="64" t="n">
        <f aca="false">INDEX(Datos_Origen!$J$2:$J$2459,$Z1799)</f>
        <v>78.33</v>
      </c>
      <c r="R1799" s="65" t="n">
        <f aca="false">ROUND($O1799*$P1799,2)</f>
        <v>1550.04</v>
      </c>
      <c r="S1799" s="65" t="n">
        <f aca="false">ROUND($O1799*$Q1799,2)</f>
        <v>939.96</v>
      </c>
      <c r="T1799" s="65" t="n">
        <f aca="false">ROUND($R1799*SUMIFS(Parametros!$E$28:$E$43,Parametros!$B$28:$B$43,$J1799,Parametros!$C$28:$C$43,$C1799,Parametros!$D$28:$D$43,$D1799),2)</f>
        <v>114.7</v>
      </c>
      <c r="U1799" s="65" t="n">
        <f aca="false">$R1799-$S1799-$T1799</f>
        <v>495.38</v>
      </c>
      <c r="V1799" s="66" t="n">
        <f aca="false">IFERROR($U1799/$R1799,0)</f>
        <v>0.319591752470904</v>
      </c>
      <c r="W1799" s="67" t="str">
        <f aca="false">IF(AND($V1799&gt;=Parametros!$C$8,$R1799&gt;=Parametros!$C$12),"Alta rentabilidad",IF(OR($V1799&lt;Parametros!$C$11,$R1799&lt;Parametros!$C$13),"Revisar","Estandar"))</f>
        <v>Estandar</v>
      </c>
      <c r="X1799" s="67" t="str">
        <f aca="false">IF(AND($J1799="E-commerce",IFERROR($T1799/$R1799,0)&gt;Parametros!$C$14),"Alerta","OK")</f>
        <v>Alerta</v>
      </c>
      <c r="Y1799" s="61" t="str">
        <f aca="false">IF($R1799&gt;=Parametros!$C$12,"Alto",IF($R1799&lt;Parametros!$C$13,"Bajo","Medio"))</f>
        <v>Medio</v>
      </c>
      <c r="Z1799" s="61" t="n">
        <v>287</v>
      </c>
      <c r="AA1799" s="61" t="str">
        <f aca="false">IF(MATCH($A1799,Datos_Origen!$A$2:$A$2459,0)=$Z1799,"OK","REVISAR")</f>
        <v>OK</v>
      </c>
      <c r="AB1799" s="62" t="n">
        <f aca="false">INDEX(Datos_Origen!$B$2:$B$2459,$Z1799)</f>
        <v>45813</v>
      </c>
      <c r="AC1799" s="61" t="n">
        <f aca="false">INDEX(Datos_Origen!$H$2:$H$2459,$Z1799)</f>
        <v>12</v>
      </c>
      <c r="AD1799" s="61" t="str">
        <f aca="false">INDEX(Datos_Origen!$D$2:$D$2459,$Z1799)&amp;""</f>
        <v>Tucuman</v>
      </c>
    </row>
    <row r="1800" customFormat="false" ht="15" hidden="false" customHeight="false" outlineLevel="0" collapsed="false">
      <c r="A1800" s="61" t="n">
        <f aca="false">INDEX(Datos_Origen!$A$2:$A$2459,$Z1800)</f>
        <v>1799</v>
      </c>
      <c r="B1800" s="62" t="n">
        <f aca="false">IF(ISNUMBER($AB1800),$AB1800,IF(MID($AB1800,5,1)="-",DATE(VALUE(LEFT($AB1800,4)),VALUE(MID($AB1800,6,2)),VALUE(RIGHT($AB1800,2))),DATE(VALUE(RIGHT($AB1800,4)),VALUE(MID($AB1800,4,2)),VALUE(LEFT($AB1800,2)))))</f>
        <v>45820</v>
      </c>
      <c r="C1800" s="61" t="n">
        <f aca="false">YEAR($B1800)</f>
        <v>2025</v>
      </c>
      <c r="D1800" s="61" t="str">
        <f aca="false">"Q"&amp;ROUNDUP(MONTH($B1800)/3,0)</f>
        <v>Q2</v>
      </c>
      <c r="E1800" s="61" t="n">
        <f aca="false">MONTH($B1800)</f>
        <v>6</v>
      </c>
      <c r="F1800" s="61" t="str">
        <f aca="false">INDEX(Parametros!$I$5:$I$16,$E1800)</f>
        <v>Jun</v>
      </c>
      <c r="G1800" s="61" t="str">
        <f aca="false">TEXT($C1800,"0000")&amp;"-"&amp;TEXT($E1800,"00")</f>
        <v>2025-06</v>
      </c>
      <c r="H1800" s="61" t="str">
        <f aca="false">INDEX(Parametros!$C$71:$C$91,MATCH(TRIM(INDEX(Datos_Origen!$C$2:$C$2459,$Z1800)),Parametros!$B$71:$B$91,0))</f>
        <v>NOA</v>
      </c>
      <c r="I1800" s="61" t="str">
        <f aca="false">IF(TRIM($AD1800)="",INDEX(Parametros!$I$20:$I$24,MATCH($H1800,Parametros!$H$20:$H$24,0)),TRIM($AD1800))</f>
        <v>Tucuman</v>
      </c>
      <c r="J1800" s="61" t="str">
        <f aca="false">INDEX(Parametros!$C$95:$C$106,MATCH(TRIM(INDEX(Datos_Origen!$E$2:$E$2459,$Z1800)),Parametros!$B$95:$B$106,0))</f>
        <v>Tienda fisica</v>
      </c>
      <c r="K1800" s="61" t="str">
        <f aca="false">INDEX(Parametros!$C$48:$C$67,MATCH(TRIM(INDEX(Datos_Origen!$F$2:$F$2459,$Z1800)),Parametros!$B$48:$B$67,0))</f>
        <v>Almacenamiento</v>
      </c>
      <c r="L1800" s="61" t="str">
        <f aca="false">$K1800&amp;" "&amp;$C1800</f>
        <v>Almacenamiento 2025</v>
      </c>
      <c r="M1800" s="61" t="str">
        <f aca="false">TRIM(INDEX(Datos_Origen!$G$2:$G$2459,$Z1800))</f>
        <v>Pendrive 256GB</v>
      </c>
      <c r="N1800" s="61" t="str">
        <f aca="false">$M1800&amp;" "&amp;$C1800</f>
        <v>Pendrive 256GB 2025</v>
      </c>
      <c r="O1800" s="63" t="n">
        <f aca="false">IF(ISTEXT($AC1800),VALUE($AC1800),$AC1800)</f>
        <v>19</v>
      </c>
      <c r="P1800" s="64" t="n">
        <f aca="false">INDEX(Datos_Origen!$I$2:$I$2459,$Z1800)</f>
        <v>34.78</v>
      </c>
      <c r="Q1800" s="64" t="n">
        <f aca="false">INDEX(Datos_Origen!$J$2:$J$2459,$Z1800)</f>
        <v>18.39</v>
      </c>
      <c r="R1800" s="65" t="n">
        <f aca="false">ROUND($O1800*$P1800,2)</f>
        <v>660.82</v>
      </c>
      <c r="S1800" s="65" t="n">
        <f aca="false">ROUND($O1800*$Q1800,2)</f>
        <v>349.41</v>
      </c>
      <c r="T1800" s="65" t="n">
        <f aca="false">ROUND($R1800*SUMIFS(Parametros!$E$28:$E$43,Parametros!$B$28:$B$43,$J1800,Parametros!$C$28:$C$43,$C1800,Parametros!$D$28:$D$43,$D1800),2)</f>
        <v>9.25</v>
      </c>
      <c r="U1800" s="65" t="n">
        <f aca="false">$R1800-$S1800-$T1800</f>
        <v>302.16</v>
      </c>
      <c r="V1800" s="66" t="n">
        <f aca="false">IFERROR($U1800/$R1800,0)</f>
        <v>0.457250083229926</v>
      </c>
      <c r="W1800" s="67" t="str">
        <f aca="false">IF(AND($V1800&gt;=Parametros!$C$8,$R1800&gt;=Parametros!$C$12),"Alta rentabilidad",IF(OR($V1800&lt;Parametros!$C$11,$R1800&lt;Parametros!$C$13),"Revisar","Estandar"))</f>
        <v>Estandar</v>
      </c>
      <c r="X1800" s="67" t="str">
        <f aca="false">IF(AND($J1800="E-commerce",IFERROR($T1800/$R1800,0)&gt;Parametros!$C$14),"Alerta","OK")</f>
        <v>OK</v>
      </c>
      <c r="Y1800" s="61" t="str">
        <f aca="false">IF($R1800&gt;=Parametros!$C$12,"Alto",IF($R1800&lt;Parametros!$C$13,"Bajo","Medio"))</f>
        <v>Medio</v>
      </c>
      <c r="Z1800" s="61" t="n">
        <v>1702</v>
      </c>
      <c r="AA1800" s="61" t="str">
        <f aca="false">IF(MATCH($A1800,Datos_Origen!$A$2:$A$2459,0)=$Z1800,"OK","REVISAR")</f>
        <v>OK</v>
      </c>
      <c r="AB1800" s="62" t="n">
        <f aca="false">INDEX(Datos_Origen!$B$2:$B$2459,$Z1800)</f>
        <v>45820</v>
      </c>
      <c r="AC1800" s="61" t="n">
        <f aca="false">INDEX(Datos_Origen!$H$2:$H$2459,$Z1800)</f>
        <v>19</v>
      </c>
      <c r="AD1800" s="61" t="str">
        <f aca="false">INDEX(Datos_Origen!$D$2:$D$2459,$Z1800)&amp;""</f>
        <v>Tucuman</v>
      </c>
    </row>
    <row r="1801" customFormat="false" ht="15" hidden="false" customHeight="false" outlineLevel="0" collapsed="false">
      <c r="A1801" s="61" t="n">
        <f aca="false">INDEX(Datos_Origen!$A$2:$A$2459,$Z1801)</f>
        <v>1800</v>
      </c>
      <c r="B1801" s="62" t="n">
        <f aca="false">IF(ISNUMBER($AB1801),$AB1801,IF(MID($AB1801,5,1)="-",DATE(VALUE(LEFT($AB1801,4)),VALUE(MID($AB1801,6,2)),VALUE(RIGHT($AB1801,2))),DATE(VALUE(RIGHT($AB1801,4)),VALUE(MID($AB1801,4,2)),VALUE(LEFT($AB1801,2)))))</f>
        <v>45827</v>
      </c>
      <c r="C1801" s="61" t="n">
        <f aca="false">YEAR($B1801)</f>
        <v>2025</v>
      </c>
      <c r="D1801" s="61" t="str">
        <f aca="false">"Q"&amp;ROUNDUP(MONTH($B1801)/3,0)</f>
        <v>Q2</v>
      </c>
      <c r="E1801" s="61" t="n">
        <f aca="false">MONTH($B1801)</f>
        <v>6</v>
      </c>
      <c r="F1801" s="61" t="str">
        <f aca="false">INDEX(Parametros!$I$5:$I$16,$E1801)</f>
        <v>Jun</v>
      </c>
      <c r="G1801" s="61" t="str">
        <f aca="false">TEXT($C1801,"0000")&amp;"-"&amp;TEXT($E1801,"00")</f>
        <v>2025-06</v>
      </c>
      <c r="H1801" s="61" t="str">
        <f aca="false">INDEX(Parametros!$C$71:$C$91,MATCH(TRIM(INDEX(Datos_Origen!$C$2:$C$2459,$Z1801)),Parametros!$B$71:$B$91,0))</f>
        <v>NOA</v>
      </c>
      <c r="I1801" s="61" t="str">
        <f aca="false">IF(TRIM($AD1801)="",INDEX(Parametros!$I$20:$I$24,MATCH($H1801,Parametros!$H$20:$H$24,0)),TRIM($AD1801))</f>
        <v>Tucuman</v>
      </c>
      <c r="J1801" s="61" t="str">
        <f aca="false">INDEX(Parametros!$C$95:$C$106,MATCH(TRIM(INDEX(Datos_Origen!$E$2:$E$2459,$Z1801)),Parametros!$B$95:$B$106,0))</f>
        <v>E-commerce</v>
      </c>
      <c r="K1801" s="61" t="str">
        <f aca="false">INDEX(Parametros!$C$48:$C$67,MATCH(TRIM(INDEX(Datos_Origen!$F$2:$F$2459,$Z1801)),Parametros!$B$48:$B$67,0))</f>
        <v>Almacenamiento</v>
      </c>
      <c r="L1801" s="61" t="str">
        <f aca="false">$K1801&amp;" "&amp;$C1801</f>
        <v>Almacenamiento 2025</v>
      </c>
      <c r="M1801" s="61" t="str">
        <f aca="false">TRIM(INDEX(Datos_Origen!$G$2:$G$2459,$Z1801))</f>
        <v>Pendrive 256GB</v>
      </c>
      <c r="N1801" s="61" t="str">
        <f aca="false">$M1801&amp;" "&amp;$C1801</f>
        <v>Pendrive 256GB 2025</v>
      </c>
      <c r="O1801" s="63" t="n">
        <f aca="false">IF(ISTEXT($AC1801),VALUE($AC1801),$AC1801)</f>
        <v>15</v>
      </c>
      <c r="P1801" s="64" t="n">
        <f aca="false">INDEX(Datos_Origen!$I$2:$I$2459,$Z1801)</f>
        <v>34.78</v>
      </c>
      <c r="Q1801" s="64" t="n">
        <f aca="false">INDEX(Datos_Origen!$J$2:$J$2459,$Z1801)</f>
        <v>18.39</v>
      </c>
      <c r="R1801" s="65" t="n">
        <f aca="false">ROUND($O1801*$P1801,2)</f>
        <v>521.7</v>
      </c>
      <c r="S1801" s="65" t="n">
        <f aca="false">ROUND($O1801*$Q1801,2)</f>
        <v>275.85</v>
      </c>
      <c r="T1801" s="65" t="n">
        <f aca="false">ROUND($R1801*SUMIFS(Parametros!$E$28:$E$43,Parametros!$B$28:$B$43,$J1801,Parametros!$C$28:$C$43,$C1801,Parametros!$D$28:$D$43,$D1801),2)</f>
        <v>38.61</v>
      </c>
      <c r="U1801" s="65" t="n">
        <f aca="false">$R1801-$S1801-$T1801</f>
        <v>207.24</v>
      </c>
      <c r="V1801" s="66" t="n">
        <f aca="false">IFERROR($U1801/$R1801,0)</f>
        <v>0.397239792984474</v>
      </c>
      <c r="W1801" s="67" t="str">
        <f aca="false">IF(AND($V1801&gt;=Parametros!$C$8,$R1801&gt;=Parametros!$C$12),"Alta rentabilidad",IF(OR($V1801&lt;Parametros!$C$11,$R1801&lt;Parametros!$C$13),"Revisar","Estandar"))</f>
        <v>Estandar</v>
      </c>
      <c r="X1801" s="67" t="str">
        <f aca="false">IF(AND($J1801="E-commerce",IFERROR($T1801/$R1801,0)&gt;Parametros!$C$14),"Alerta","OK")</f>
        <v>Alerta</v>
      </c>
      <c r="Y1801" s="61" t="str">
        <f aca="false">IF($R1801&gt;=Parametros!$C$12,"Alto",IF($R1801&lt;Parametros!$C$13,"Bajo","Medio"))</f>
        <v>Medio</v>
      </c>
      <c r="Z1801" s="61" t="n">
        <v>2173</v>
      </c>
      <c r="AA1801" s="61" t="str">
        <f aca="false">IF(MATCH($A1801,Datos_Origen!$A$2:$A$2459,0)=$Z1801,"OK","REVISAR")</f>
        <v>OK</v>
      </c>
      <c r="AB1801" s="61" t="str">
        <f aca="false">INDEX(Datos_Origen!$B$2:$B$2459,$Z1801)</f>
        <v>19/06/2025</v>
      </c>
      <c r="AC1801" s="61" t="n">
        <f aca="false">INDEX(Datos_Origen!$H$2:$H$2459,$Z1801)</f>
        <v>15</v>
      </c>
      <c r="AD1801" s="61" t="str">
        <f aca="false">INDEX(Datos_Origen!$D$2:$D$2459,$Z1801)&amp;""</f>
        <v>Tucuman</v>
      </c>
    </row>
    <row r="1802" customFormat="false" ht="15" hidden="false" customHeight="false" outlineLevel="0" collapsed="false">
      <c r="A1802" s="61" t="n">
        <f aca="false">INDEX(Datos_Origen!$A$2:$A$2459,$Z1802)</f>
        <v>1801</v>
      </c>
      <c r="B1802" s="62" t="n">
        <f aca="false">IF(ISNUMBER($AB1802),$AB1802,IF(MID($AB1802,5,1)="-",DATE(VALUE(LEFT($AB1802,4)),VALUE(MID($AB1802,6,2)),VALUE(RIGHT($AB1802,2))),DATE(VALUE(RIGHT($AB1802,4)),VALUE(MID($AB1802,4,2)),VALUE(LEFT($AB1802,2)))))</f>
        <v>45864</v>
      </c>
      <c r="C1802" s="61" t="n">
        <f aca="false">YEAR($B1802)</f>
        <v>2025</v>
      </c>
      <c r="D1802" s="61" t="str">
        <f aca="false">"Q"&amp;ROUNDUP(MONTH($B1802)/3,0)</f>
        <v>Q3</v>
      </c>
      <c r="E1802" s="61" t="n">
        <f aca="false">MONTH($B1802)</f>
        <v>7</v>
      </c>
      <c r="F1802" s="61" t="str">
        <f aca="false">INDEX(Parametros!$I$5:$I$16,$E1802)</f>
        <v>Jul</v>
      </c>
      <c r="G1802" s="61" t="str">
        <f aca="false">TEXT($C1802,"0000")&amp;"-"&amp;TEXT($E1802,"00")</f>
        <v>2025-07</v>
      </c>
      <c r="H1802" s="61" t="str">
        <f aca="false">INDEX(Parametros!$C$71:$C$91,MATCH(TRIM(INDEX(Datos_Origen!$C$2:$C$2459,$Z1802)),Parametros!$B$71:$B$91,0))</f>
        <v>AMBA</v>
      </c>
      <c r="I1802" s="61" t="str">
        <f aca="false">IF(TRIM($AD1802)="",INDEX(Parametros!$I$20:$I$24,MATCH($H1802,Parametros!$H$20:$H$24,0)),TRIM($AD1802))</f>
        <v>Buenos Aires</v>
      </c>
      <c r="J1802" s="61" t="str">
        <f aca="false">INDEX(Parametros!$C$95:$C$106,MATCH(TRIM(INDEX(Datos_Origen!$E$2:$E$2459,$Z1802)),Parametros!$B$95:$B$106,0))</f>
        <v>Tienda fisica</v>
      </c>
      <c r="K1802" s="61" t="str">
        <f aca="false">INDEX(Parametros!$C$48:$C$67,MATCH(TRIM(INDEX(Datos_Origen!$F$2:$F$2459,$Z1802)),Parametros!$B$48:$B$67,0))</f>
        <v>Computacion</v>
      </c>
      <c r="L1802" s="61" t="str">
        <f aca="false">$K1802&amp;" "&amp;$C1802</f>
        <v>Computacion 2025</v>
      </c>
      <c r="M1802" s="61" t="str">
        <f aca="false">TRIM(INDEX(Datos_Origen!$G$2:$G$2459,$Z1802))</f>
        <v>Laptop Pro 15</v>
      </c>
      <c r="N1802" s="61" t="str">
        <f aca="false">$M1802&amp;" "&amp;$C1802</f>
        <v>Laptop Pro 15 2025</v>
      </c>
      <c r="O1802" s="63" t="n">
        <f aca="false">IF(ISTEXT($AC1802),VALUE($AC1802),$AC1802)</f>
        <v>20</v>
      </c>
      <c r="P1802" s="64" t="n">
        <f aca="false">INDEX(Datos_Origen!$I$2:$I$2459,$Z1802)</f>
        <v>1204.74</v>
      </c>
      <c r="Q1802" s="64" t="n">
        <f aca="false">INDEX(Datos_Origen!$J$2:$J$2459,$Z1802)</f>
        <v>766.32</v>
      </c>
      <c r="R1802" s="65" t="n">
        <f aca="false">ROUND($O1802*$P1802,2)</f>
        <v>24094.8</v>
      </c>
      <c r="S1802" s="65" t="n">
        <f aca="false">ROUND($O1802*$Q1802,2)</f>
        <v>15326.4</v>
      </c>
      <c r="T1802" s="65" t="n">
        <f aca="false">ROUND($R1802*SUMIFS(Parametros!$E$28:$E$43,Parametros!$B$28:$B$43,$J1802,Parametros!$C$28:$C$43,$C1802,Parametros!$D$28:$D$43,$D1802),2)</f>
        <v>313.23</v>
      </c>
      <c r="U1802" s="65" t="n">
        <f aca="false">$R1802-$S1802-$T1802</f>
        <v>8455.17</v>
      </c>
      <c r="V1802" s="66" t="n">
        <f aca="false">IFERROR($U1802/$R1802,0)</f>
        <v>0.350912645052044</v>
      </c>
      <c r="W1802" s="67" t="str">
        <f aca="false">IF(AND($V1802&gt;=Parametros!$C$8,$R1802&gt;=Parametros!$C$12),"Alta rentabilidad",IF(OR($V1802&lt;Parametros!$C$11,$R1802&lt;Parametros!$C$13),"Revisar","Estandar"))</f>
        <v>Alta rentabilidad</v>
      </c>
      <c r="X1802" s="67" t="str">
        <f aca="false">IF(AND($J1802="E-commerce",IFERROR($T1802/$R1802,0)&gt;Parametros!$C$14),"Alerta","OK")</f>
        <v>OK</v>
      </c>
      <c r="Y1802" s="61" t="str">
        <f aca="false">IF($R1802&gt;=Parametros!$C$12,"Alto",IF($R1802&lt;Parametros!$C$13,"Bajo","Medio"))</f>
        <v>Alto</v>
      </c>
      <c r="Z1802" s="61" t="n">
        <v>129</v>
      </c>
      <c r="AA1802" s="61" t="str">
        <f aca="false">IF(MATCH($A1802,Datos_Origen!$A$2:$A$2459,0)=$Z1802,"OK","REVISAR")</f>
        <v>OK</v>
      </c>
      <c r="AB1802" s="61" t="str">
        <f aca="false">INDEX(Datos_Origen!$B$2:$B$2459,$Z1802)</f>
        <v>2025-07-26</v>
      </c>
      <c r="AC1802" s="61" t="n">
        <f aca="false">INDEX(Datos_Origen!$H$2:$H$2459,$Z1802)</f>
        <v>20</v>
      </c>
      <c r="AD1802" s="61" t="str">
        <f aca="false">INDEX(Datos_Origen!$D$2:$D$2459,$Z1802)&amp;""</f>
        <v>Buenos Aires</v>
      </c>
    </row>
    <row r="1803" customFormat="false" ht="15" hidden="false" customHeight="false" outlineLevel="0" collapsed="false">
      <c r="A1803" s="61" t="n">
        <f aca="false">INDEX(Datos_Origen!$A$2:$A$2459,$Z1803)</f>
        <v>1802</v>
      </c>
      <c r="B1803" s="62" t="n">
        <f aca="false">IF(ISNUMBER($AB1803),$AB1803,IF(MID($AB1803,5,1)="-",DATE(VALUE(LEFT($AB1803,4)),VALUE(MID($AB1803,6,2)),VALUE(RIGHT($AB1803,2))),DATE(VALUE(RIGHT($AB1803,4)),VALUE(MID($AB1803,4,2)),VALUE(LEFT($AB1803,2)))))</f>
        <v>45844</v>
      </c>
      <c r="C1803" s="61" t="n">
        <f aca="false">YEAR($B1803)</f>
        <v>2025</v>
      </c>
      <c r="D1803" s="61" t="str">
        <f aca="false">"Q"&amp;ROUNDUP(MONTH($B1803)/3,0)</f>
        <v>Q3</v>
      </c>
      <c r="E1803" s="61" t="n">
        <f aca="false">MONTH($B1803)</f>
        <v>7</v>
      </c>
      <c r="F1803" s="61" t="str">
        <f aca="false">INDEX(Parametros!$I$5:$I$16,$E1803)</f>
        <v>Jul</v>
      </c>
      <c r="G1803" s="61" t="str">
        <f aca="false">TEXT($C1803,"0000")&amp;"-"&amp;TEXT($E1803,"00")</f>
        <v>2025-07</v>
      </c>
      <c r="H1803" s="61" t="str">
        <f aca="false">INDEX(Parametros!$C$71:$C$91,MATCH(TRIM(INDEX(Datos_Origen!$C$2:$C$2459,$Z1803)),Parametros!$B$71:$B$91,0))</f>
        <v>AMBA</v>
      </c>
      <c r="I1803" s="61" t="str">
        <f aca="false">IF(TRIM($AD1803)="",INDEX(Parametros!$I$20:$I$24,MATCH($H1803,Parametros!$H$20:$H$24,0)),TRIM($AD1803))</f>
        <v>Buenos Aires</v>
      </c>
      <c r="J1803" s="61" t="str">
        <f aca="false">INDEX(Parametros!$C$95:$C$106,MATCH(TRIM(INDEX(Datos_Origen!$E$2:$E$2459,$Z1803)),Parametros!$B$95:$B$106,0))</f>
        <v>E-commerce</v>
      </c>
      <c r="K1803" s="61" t="str">
        <f aca="false">INDEX(Parametros!$C$48:$C$67,MATCH(TRIM(INDEX(Datos_Origen!$F$2:$F$2459,$Z1803)),Parametros!$B$48:$B$67,0))</f>
        <v>Computacion</v>
      </c>
      <c r="L1803" s="61" t="str">
        <f aca="false">$K1803&amp;" "&amp;$C1803</f>
        <v>Computacion 2025</v>
      </c>
      <c r="M1803" s="61" t="str">
        <f aca="false">TRIM(INDEX(Datos_Origen!$G$2:$G$2459,$Z1803))</f>
        <v>Laptop Pro 15</v>
      </c>
      <c r="N1803" s="61" t="str">
        <f aca="false">$M1803&amp;" "&amp;$C1803</f>
        <v>Laptop Pro 15 2025</v>
      </c>
      <c r="O1803" s="63" t="n">
        <f aca="false">IF(ISTEXT($AC1803),VALUE($AC1803),$AC1803)</f>
        <v>13</v>
      </c>
      <c r="P1803" s="64" t="n">
        <f aca="false">INDEX(Datos_Origen!$I$2:$I$2459,$Z1803)</f>
        <v>1204.74</v>
      </c>
      <c r="Q1803" s="64" t="n">
        <f aca="false">INDEX(Datos_Origen!$J$2:$J$2459,$Z1803)</f>
        <v>766.32</v>
      </c>
      <c r="R1803" s="65" t="n">
        <f aca="false">ROUND($O1803*$P1803,2)</f>
        <v>15661.62</v>
      </c>
      <c r="S1803" s="65" t="n">
        <f aca="false">ROUND($O1803*$Q1803,2)</f>
        <v>9962.16</v>
      </c>
      <c r="T1803" s="65" t="n">
        <f aca="false">ROUND($R1803*SUMIFS(Parametros!$E$28:$E$43,Parametros!$B$28:$B$43,$J1803,Parametros!$C$28:$C$43,$C1803,Parametros!$D$28:$D$43,$D1803),2)</f>
        <v>877.05</v>
      </c>
      <c r="U1803" s="65" t="n">
        <f aca="false">$R1803-$S1803-$T1803</f>
        <v>4822.41</v>
      </c>
      <c r="V1803" s="66" t="n">
        <f aca="false">IFERROR($U1803/$R1803,0)</f>
        <v>0.307912591417746</v>
      </c>
      <c r="W1803" s="67" t="str">
        <f aca="false">IF(AND($V1803&gt;=Parametros!$C$8,$R1803&gt;=Parametros!$C$12),"Alta rentabilidad",IF(OR($V1803&lt;Parametros!$C$11,$R1803&lt;Parametros!$C$13),"Revisar","Estandar"))</f>
        <v>Estandar</v>
      </c>
      <c r="X1803" s="67" t="str">
        <f aca="false">IF(AND($J1803="E-commerce",IFERROR($T1803/$R1803,0)&gt;Parametros!$C$14),"Alerta","OK")</f>
        <v>Alerta</v>
      </c>
      <c r="Y1803" s="61" t="str">
        <f aca="false">IF($R1803&gt;=Parametros!$C$12,"Alto",IF($R1803&lt;Parametros!$C$13,"Bajo","Medio"))</f>
        <v>Alto</v>
      </c>
      <c r="Z1803" s="61" t="n">
        <v>425</v>
      </c>
      <c r="AA1803" s="61" t="str">
        <f aca="false">IF(MATCH($A1803,Datos_Origen!$A$2:$A$2459,0)=$Z1803,"OK","REVISAR")</f>
        <v>OK</v>
      </c>
      <c r="AB1803" s="62" t="n">
        <f aca="false">INDEX(Datos_Origen!$B$2:$B$2459,$Z1803)</f>
        <v>45844</v>
      </c>
      <c r="AC1803" s="61" t="n">
        <f aca="false">INDEX(Datos_Origen!$H$2:$H$2459,$Z1803)</f>
        <v>13</v>
      </c>
      <c r="AD1803" s="61" t="str">
        <f aca="false">INDEX(Datos_Origen!$D$2:$D$2459,$Z1803)&amp;""</f>
        <v>Buenos Aires</v>
      </c>
    </row>
    <row r="1804" customFormat="false" ht="15" hidden="false" customHeight="false" outlineLevel="0" collapsed="false">
      <c r="A1804" s="61" t="n">
        <f aca="false">INDEX(Datos_Origen!$A$2:$A$2459,$Z1804)</f>
        <v>1803</v>
      </c>
      <c r="B1804" s="62" t="n">
        <f aca="false">IF(ISNUMBER($AB1804),$AB1804,IF(MID($AB1804,5,1)="-",DATE(VALUE(LEFT($AB1804,4)),VALUE(MID($AB1804,6,2)),VALUE(RIGHT($AB1804,2))),DATE(VALUE(RIGHT($AB1804,4)),VALUE(MID($AB1804,4,2)),VALUE(LEFT($AB1804,2)))))</f>
        <v>45851</v>
      </c>
      <c r="C1804" s="61" t="n">
        <f aca="false">YEAR($B1804)</f>
        <v>2025</v>
      </c>
      <c r="D1804" s="61" t="str">
        <f aca="false">"Q"&amp;ROUNDUP(MONTH($B1804)/3,0)</f>
        <v>Q3</v>
      </c>
      <c r="E1804" s="61" t="n">
        <f aca="false">MONTH($B1804)</f>
        <v>7</v>
      </c>
      <c r="F1804" s="61" t="str">
        <f aca="false">INDEX(Parametros!$I$5:$I$16,$E1804)</f>
        <v>Jul</v>
      </c>
      <c r="G1804" s="61" t="str">
        <f aca="false">TEXT($C1804,"0000")&amp;"-"&amp;TEXT($E1804,"00")</f>
        <v>2025-07</v>
      </c>
      <c r="H1804" s="61" t="str">
        <f aca="false">INDEX(Parametros!$C$71:$C$91,MATCH(TRIM(INDEX(Datos_Origen!$C$2:$C$2459,$Z1804)),Parametros!$B$71:$B$91,0))</f>
        <v>AMBA</v>
      </c>
      <c r="I1804" s="61" t="str">
        <f aca="false">IF(TRIM($AD1804)="",INDEX(Parametros!$I$20:$I$24,MATCH($H1804,Parametros!$H$20:$H$24,0)),TRIM($AD1804))</f>
        <v>Buenos Aires</v>
      </c>
      <c r="J1804" s="61" t="str">
        <f aca="false">INDEX(Parametros!$C$95:$C$106,MATCH(TRIM(INDEX(Datos_Origen!$E$2:$E$2459,$Z1804)),Parametros!$B$95:$B$106,0))</f>
        <v>Tienda fisica</v>
      </c>
      <c r="K1804" s="61" t="str">
        <f aca="false">INDEX(Parametros!$C$48:$C$67,MATCH(TRIM(INDEX(Datos_Origen!$F$2:$F$2459,$Z1804)),Parametros!$B$48:$B$67,0))</f>
        <v>Computacion</v>
      </c>
      <c r="L1804" s="61" t="str">
        <f aca="false">$K1804&amp;" "&amp;$C1804</f>
        <v>Computacion 2025</v>
      </c>
      <c r="M1804" s="61" t="str">
        <f aca="false">TRIM(INDEX(Datos_Origen!$G$2:$G$2459,$Z1804))</f>
        <v>Monitor 4K 27</v>
      </c>
      <c r="N1804" s="61" t="str">
        <f aca="false">$M1804&amp;" "&amp;$C1804</f>
        <v>Monitor 4K 27 2025</v>
      </c>
      <c r="O1804" s="63" t="n">
        <f aca="false">IF(ISTEXT($AC1804),VALUE($AC1804),$AC1804)</f>
        <v>22</v>
      </c>
      <c r="P1804" s="64" t="n">
        <f aca="false">INDEX(Datos_Origen!$I$2:$I$2459,$Z1804)</f>
        <v>451.78</v>
      </c>
      <c r="Q1804" s="64" t="n">
        <f aca="false">INDEX(Datos_Origen!$J$2:$J$2459,$Z1804)</f>
        <v>280.42</v>
      </c>
      <c r="R1804" s="65" t="n">
        <f aca="false">ROUND($O1804*$P1804,2)</f>
        <v>9939.16</v>
      </c>
      <c r="S1804" s="65" t="n">
        <f aca="false">ROUND($O1804*$Q1804,2)</f>
        <v>6169.24</v>
      </c>
      <c r="T1804" s="65" t="n">
        <f aca="false">ROUND($R1804*SUMIFS(Parametros!$E$28:$E$43,Parametros!$B$28:$B$43,$J1804,Parametros!$C$28:$C$43,$C1804,Parametros!$D$28:$D$43,$D1804),2)</f>
        <v>129.21</v>
      </c>
      <c r="U1804" s="65" t="n">
        <f aca="false">$R1804-$S1804-$T1804</f>
        <v>3640.71</v>
      </c>
      <c r="V1804" s="66" t="n">
        <f aca="false">IFERROR($U1804/$R1804,0)</f>
        <v>0.366299566562969</v>
      </c>
      <c r="W1804" s="67" t="str">
        <f aca="false">IF(AND($V1804&gt;=Parametros!$C$8,$R1804&gt;=Parametros!$C$12),"Alta rentabilidad",IF(OR($V1804&lt;Parametros!$C$11,$R1804&lt;Parametros!$C$13),"Revisar","Estandar"))</f>
        <v>Alta rentabilidad</v>
      </c>
      <c r="X1804" s="67" t="str">
        <f aca="false">IF(AND($J1804="E-commerce",IFERROR($T1804/$R1804,0)&gt;Parametros!$C$14),"Alerta","OK")</f>
        <v>OK</v>
      </c>
      <c r="Y1804" s="61" t="str">
        <f aca="false">IF($R1804&gt;=Parametros!$C$12,"Alto",IF($R1804&lt;Parametros!$C$13,"Bajo","Medio"))</f>
        <v>Alto</v>
      </c>
      <c r="Z1804" s="61" t="n">
        <v>157</v>
      </c>
      <c r="AA1804" s="61" t="str">
        <f aca="false">IF(MATCH($A1804,Datos_Origen!$A$2:$A$2459,0)=$Z1804,"OK","REVISAR")</f>
        <v>OK</v>
      </c>
      <c r="AB1804" s="62" t="n">
        <f aca="false">INDEX(Datos_Origen!$B$2:$B$2459,$Z1804)</f>
        <v>45851</v>
      </c>
      <c r="AC1804" s="61" t="n">
        <f aca="false">INDEX(Datos_Origen!$H$2:$H$2459,$Z1804)</f>
        <v>22</v>
      </c>
      <c r="AD1804" s="61" t="str">
        <f aca="false">INDEX(Datos_Origen!$D$2:$D$2459,$Z1804)&amp;""</f>
        <v>Buenos Aires</v>
      </c>
    </row>
    <row r="1805" customFormat="false" ht="15" hidden="false" customHeight="false" outlineLevel="0" collapsed="false">
      <c r="A1805" s="61" t="n">
        <f aca="false">INDEX(Datos_Origen!$A$2:$A$2459,$Z1805)</f>
        <v>1804</v>
      </c>
      <c r="B1805" s="62" t="n">
        <f aca="false">IF(ISNUMBER($AB1805),$AB1805,IF(MID($AB1805,5,1)="-",DATE(VALUE(LEFT($AB1805,4)),VALUE(MID($AB1805,6,2)),VALUE(RIGHT($AB1805,2))),DATE(VALUE(RIGHT($AB1805,4)),VALUE(MID($AB1805,4,2)),VALUE(LEFT($AB1805,2)))))</f>
        <v>45858</v>
      </c>
      <c r="C1805" s="61" t="n">
        <f aca="false">YEAR($B1805)</f>
        <v>2025</v>
      </c>
      <c r="D1805" s="61" t="str">
        <f aca="false">"Q"&amp;ROUNDUP(MONTH($B1805)/3,0)</f>
        <v>Q3</v>
      </c>
      <c r="E1805" s="61" t="n">
        <f aca="false">MONTH($B1805)</f>
        <v>7</v>
      </c>
      <c r="F1805" s="61" t="str">
        <f aca="false">INDEX(Parametros!$I$5:$I$16,$E1805)</f>
        <v>Jul</v>
      </c>
      <c r="G1805" s="61" t="str">
        <f aca="false">TEXT($C1805,"0000")&amp;"-"&amp;TEXT($E1805,"00")</f>
        <v>2025-07</v>
      </c>
      <c r="H1805" s="61" t="str">
        <f aca="false">INDEX(Parametros!$C$71:$C$91,MATCH(TRIM(INDEX(Datos_Origen!$C$2:$C$2459,$Z1805)),Parametros!$B$71:$B$91,0))</f>
        <v>AMBA</v>
      </c>
      <c r="I1805" s="61" t="str">
        <f aca="false">IF(TRIM($AD1805)="",INDEX(Parametros!$I$20:$I$24,MATCH($H1805,Parametros!$H$20:$H$24,0)),TRIM($AD1805))</f>
        <v>Buenos Aires</v>
      </c>
      <c r="J1805" s="61" t="str">
        <f aca="false">INDEX(Parametros!$C$95:$C$106,MATCH(TRIM(INDEX(Datos_Origen!$E$2:$E$2459,$Z1805)),Parametros!$B$95:$B$106,0))</f>
        <v>E-commerce</v>
      </c>
      <c r="K1805" s="61" t="str">
        <f aca="false">INDEX(Parametros!$C$48:$C$67,MATCH(TRIM(INDEX(Datos_Origen!$F$2:$F$2459,$Z1805)),Parametros!$B$48:$B$67,0))</f>
        <v>Computacion</v>
      </c>
      <c r="L1805" s="61" t="str">
        <f aca="false">$K1805&amp;" "&amp;$C1805</f>
        <v>Computacion 2025</v>
      </c>
      <c r="M1805" s="61" t="str">
        <f aca="false">TRIM(INDEX(Datos_Origen!$G$2:$G$2459,$Z1805))</f>
        <v>Monitor 4K 27</v>
      </c>
      <c r="N1805" s="61" t="str">
        <f aca="false">$M1805&amp;" "&amp;$C1805</f>
        <v>Monitor 4K 27 2025</v>
      </c>
      <c r="O1805" s="63" t="n">
        <f aca="false">IF(ISTEXT($AC1805),VALUE($AC1805),$AC1805)</f>
        <v>17</v>
      </c>
      <c r="P1805" s="64" t="n">
        <f aca="false">INDEX(Datos_Origen!$I$2:$I$2459,$Z1805)</f>
        <v>451.78</v>
      </c>
      <c r="Q1805" s="64" t="n">
        <f aca="false">INDEX(Datos_Origen!$J$2:$J$2459,$Z1805)</f>
        <v>280.42</v>
      </c>
      <c r="R1805" s="65" t="n">
        <f aca="false">ROUND($O1805*$P1805,2)</f>
        <v>7680.26</v>
      </c>
      <c r="S1805" s="65" t="n">
        <f aca="false">ROUND($O1805*$Q1805,2)</f>
        <v>4767.14</v>
      </c>
      <c r="T1805" s="65" t="n">
        <f aca="false">ROUND($R1805*SUMIFS(Parametros!$E$28:$E$43,Parametros!$B$28:$B$43,$J1805,Parametros!$C$28:$C$43,$C1805,Parametros!$D$28:$D$43,$D1805),2)</f>
        <v>430.09</v>
      </c>
      <c r="U1805" s="65" t="n">
        <f aca="false">$R1805-$S1805-$T1805</f>
        <v>2483.03</v>
      </c>
      <c r="V1805" s="66" t="n">
        <f aca="false">IFERROR($U1805/$R1805,0)</f>
        <v>0.323300252856023</v>
      </c>
      <c r="W1805" s="67" t="str">
        <f aca="false">IF(AND($V1805&gt;=Parametros!$C$8,$R1805&gt;=Parametros!$C$12),"Alta rentabilidad",IF(OR($V1805&lt;Parametros!$C$11,$R1805&lt;Parametros!$C$13),"Revisar","Estandar"))</f>
        <v>Estandar</v>
      </c>
      <c r="X1805" s="67" t="str">
        <f aca="false">IF(AND($J1805="E-commerce",IFERROR($T1805/$R1805,0)&gt;Parametros!$C$14),"Alerta","OK")</f>
        <v>Alerta</v>
      </c>
      <c r="Y1805" s="61" t="str">
        <f aca="false">IF($R1805&gt;=Parametros!$C$12,"Alto",IF($R1805&lt;Parametros!$C$13,"Bajo","Medio"))</f>
        <v>Alto</v>
      </c>
      <c r="Z1805" s="61" t="n">
        <v>176</v>
      </c>
      <c r="AA1805" s="61" t="str">
        <f aca="false">IF(MATCH($A1805,Datos_Origen!$A$2:$A$2459,0)=$Z1805,"OK","REVISAR")</f>
        <v>OK</v>
      </c>
      <c r="AB1805" s="62" t="n">
        <f aca="false">INDEX(Datos_Origen!$B$2:$B$2459,$Z1805)</f>
        <v>45858</v>
      </c>
      <c r="AC1805" s="61" t="n">
        <f aca="false">INDEX(Datos_Origen!$H$2:$H$2459,$Z1805)</f>
        <v>17</v>
      </c>
      <c r="AD1805" s="61" t="str">
        <f aca="false">INDEX(Datos_Origen!$D$2:$D$2459,$Z1805)&amp;""</f>
        <v>Buenos Aires</v>
      </c>
    </row>
    <row r="1806" customFormat="false" ht="15" hidden="false" customHeight="false" outlineLevel="0" collapsed="false">
      <c r="A1806" s="61" t="n">
        <f aca="false">INDEX(Datos_Origen!$A$2:$A$2459,$Z1806)</f>
        <v>1805</v>
      </c>
      <c r="B1806" s="62" t="n">
        <f aca="false">IF(ISNUMBER($AB1806),$AB1806,IF(MID($AB1806,5,1)="-",DATE(VALUE(LEFT($AB1806,4)),VALUE(MID($AB1806,6,2)),VALUE(RIGHT($AB1806,2))),DATE(VALUE(RIGHT($AB1806,4)),VALUE(MID($AB1806,4,2)),VALUE(LEFT($AB1806,2)))))</f>
        <v>45865</v>
      </c>
      <c r="C1806" s="61" t="n">
        <f aca="false">YEAR($B1806)</f>
        <v>2025</v>
      </c>
      <c r="D1806" s="61" t="str">
        <f aca="false">"Q"&amp;ROUNDUP(MONTH($B1806)/3,0)</f>
        <v>Q3</v>
      </c>
      <c r="E1806" s="61" t="n">
        <f aca="false">MONTH($B1806)</f>
        <v>7</v>
      </c>
      <c r="F1806" s="61" t="str">
        <f aca="false">INDEX(Parametros!$I$5:$I$16,$E1806)</f>
        <v>Jul</v>
      </c>
      <c r="G1806" s="61" t="str">
        <f aca="false">TEXT($C1806,"0000")&amp;"-"&amp;TEXT($E1806,"00")</f>
        <v>2025-07</v>
      </c>
      <c r="H1806" s="61" t="str">
        <f aca="false">INDEX(Parametros!$C$71:$C$91,MATCH(TRIM(INDEX(Datos_Origen!$C$2:$C$2459,$Z1806)),Parametros!$B$71:$B$91,0))</f>
        <v>AMBA</v>
      </c>
      <c r="I1806" s="61" t="str">
        <f aca="false">IF(TRIM($AD1806)="",INDEX(Parametros!$I$20:$I$24,MATCH($H1806,Parametros!$H$20:$H$24,0)),TRIM($AD1806))</f>
        <v>Buenos Aires</v>
      </c>
      <c r="J1806" s="61" t="str">
        <f aca="false">INDEX(Parametros!$C$95:$C$106,MATCH(TRIM(INDEX(Datos_Origen!$E$2:$E$2459,$Z1806)),Parametros!$B$95:$B$106,0))</f>
        <v>Tienda fisica</v>
      </c>
      <c r="K1806" s="61" t="str">
        <f aca="false">INDEX(Parametros!$C$48:$C$67,MATCH(TRIM(INDEX(Datos_Origen!$F$2:$F$2459,$Z1806)),Parametros!$B$48:$B$67,0))</f>
        <v>Computacion</v>
      </c>
      <c r="L1806" s="61" t="str">
        <f aca="false">$K1806&amp;" "&amp;$C1806</f>
        <v>Computacion 2025</v>
      </c>
      <c r="M1806" s="61" t="str">
        <f aca="false">TRIM(INDEX(Datos_Origen!$G$2:$G$2459,$Z1806))</f>
        <v>PC Gamer Ryzen</v>
      </c>
      <c r="N1806" s="61" t="str">
        <f aca="false">$M1806&amp;" "&amp;$C1806</f>
        <v>PC Gamer Ryzen 2025</v>
      </c>
      <c r="O1806" s="63" t="n">
        <f aca="false">IF(ISTEXT($AC1806),VALUE($AC1806),$AC1806)</f>
        <v>22</v>
      </c>
      <c r="P1806" s="64" t="n">
        <f aca="false">INDEX(Datos_Origen!$I$2:$I$2459,$Z1806)</f>
        <v>1656.52</v>
      </c>
      <c r="Q1806" s="64" t="n">
        <f aca="false">INDEX(Datos_Origen!$J$2:$J$2459,$Z1806)</f>
        <v>1155.66</v>
      </c>
      <c r="R1806" s="65" t="n">
        <f aca="false">ROUND($O1806*$P1806,2)</f>
        <v>36443.44</v>
      </c>
      <c r="S1806" s="65" t="n">
        <f aca="false">ROUND($O1806*$Q1806,2)</f>
        <v>25424.52</v>
      </c>
      <c r="T1806" s="65" t="n">
        <f aca="false">ROUND($R1806*SUMIFS(Parametros!$E$28:$E$43,Parametros!$B$28:$B$43,$J1806,Parametros!$C$28:$C$43,$C1806,Parametros!$D$28:$D$43,$D1806),2)</f>
        <v>473.76</v>
      </c>
      <c r="U1806" s="65" t="n">
        <f aca="false">$R1806-$S1806-$T1806</f>
        <v>10545.16</v>
      </c>
      <c r="V1806" s="66" t="n">
        <f aca="false">IFERROR($U1806/$R1806,0)</f>
        <v>0.289356877396865</v>
      </c>
      <c r="W1806" s="67" t="str">
        <f aca="false">IF(AND($V1806&gt;=Parametros!$C$8,$R1806&gt;=Parametros!$C$12),"Alta rentabilidad",IF(OR($V1806&lt;Parametros!$C$11,$R1806&lt;Parametros!$C$13),"Revisar","Estandar"))</f>
        <v>Estandar</v>
      </c>
      <c r="X1806" s="67" t="str">
        <f aca="false">IF(AND($J1806="E-commerce",IFERROR($T1806/$R1806,0)&gt;Parametros!$C$14),"Alerta","OK")</f>
        <v>OK</v>
      </c>
      <c r="Y1806" s="61" t="str">
        <f aca="false">IF($R1806&gt;=Parametros!$C$12,"Alto",IF($R1806&lt;Parametros!$C$13,"Bajo","Medio"))</f>
        <v>Alto</v>
      </c>
      <c r="Z1806" s="61" t="n">
        <v>1074</v>
      </c>
      <c r="AA1806" s="61" t="str">
        <f aca="false">IF(MATCH($A1806,Datos_Origen!$A$2:$A$2459,0)=$Z1806,"OK","REVISAR")</f>
        <v>OK</v>
      </c>
      <c r="AB1806" s="62" t="n">
        <f aca="false">INDEX(Datos_Origen!$B$2:$B$2459,$Z1806)</f>
        <v>45865</v>
      </c>
      <c r="AC1806" s="61" t="n">
        <f aca="false">INDEX(Datos_Origen!$H$2:$H$2459,$Z1806)</f>
        <v>22</v>
      </c>
      <c r="AD1806" s="61" t="str">
        <f aca="false">INDEX(Datos_Origen!$D$2:$D$2459,$Z1806)&amp;""</f>
        <v>Buenos Aires</v>
      </c>
    </row>
    <row r="1807" customFormat="false" ht="15" hidden="false" customHeight="false" outlineLevel="0" collapsed="false">
      <c r="A1807" s="61" t="n">
        <f aca="false">INDEX(Datos_Origen!$A$2:$A$2459,$Z1807)</f>
        <v>1806</v>
      </c>
      <c r="B1807" s="62" t="n">
        <f aca="false">IF(ISNUMBER($AB1807),$AB1807,IF(MID($AB1807,5,1)="-",DATE(VALUE(LEFT($AB1807,4)),VALUE(MID($AB1807,6,2)),VALUE(RIGHT($AB1807,2))),DATE(VALUE(RIGHT($AB1807,4)),VALUE(MID($AB1807,4,2)),VALUE(LEFT($AB1807,2)))))</f>
        <v>45845</v>
      </c>
      <c r="C1807" s="61" t="n">
        <f aca="false">YEAR($B1807)</f>
        <v>2025</v>
      </c>
      <c r="D1807" s="61" t="str">
        <f aca="false">"Q"&amp;ROUNDUP(MONTH($B1807)/3,0)</f>
        <v>Q3</v>
      </c>
      <c r="E1807" s="61" t="n">
        <f aca="false">MONTH($B1807)</f>
        <v>7</v>
      </c>
      <c r="F1807" s="61" t="str">
        <f aca="false">INDEX(Parametros!$I$5:$I$16,$E1807)</f>
        <v>Jul</v>
      </c>
      <c r="G1807" s="61" t="str">
        <f aca="false">TEXT($C1807,"0000")&amp;"-"&amp;TEXT($E1807,"00")</f>
        <v>2025-07</v>
      </c>
      <c r="H1807" s="61" t="str">
        <f aca="false">INDEX(Parametros!$C$71:$C$91,MATCH(TRIM(INDEX(Datos_Origen!$C$2:$C$2459,$Z1807)),Parametros!$B$71:$B$91,0))</f>
        <v>AMBA</v>
      </c>
      <c r="I1807" s="61" t="str">
        <f aca="false">IF(TRIM($AD1807)="",INDEX(Parametros!$I$20:$I$24,MATCH($H1807,Parametros!$H$20:$H$24,0)),TRIM($AD1807))</f>
        <v>Buenos Aires</v>
      </c>
      <c r="J1807" s="61" t="str">
        <f aca="false">INDEX(Parametros!$C$95:$C$106,MATCH(TRIM(INDEX(Datos_Origen!$E$2:$E$2459,$Z1807)),Parametros!$B$95:$B$106,0))</f>
        <v>E-commerce</v>
      </c>
      <c r="K1807" s="61" t="str">
        <f aca="false">INDEX(Parametros!$C$48:$C$67,MATCH(TRIM(INDEX(Datos_Origen!$F$2:$F$2459,$Z1807)),Parametros!$B$48:$B$67,0))</f>
        <v>Computacion</v>
      </c>
      <c r="L1807" s="61" t="str">
        <f aca="false">$K1807&amp;" "&amp;$C1807</f>
        <v>Computacion 2025</v>
      </c>
      <c r="M1807" s="61" t="str">
        <f aca="false">TRIM(INDEX(Datos_Origen!$G$2:$G$2459,$Z1807))</f>
        <v>PC Gamer Ryzen</v>
      </c>
      <c r="N1807" s="61" t="str">
        <f aca="false">$M1807&amp;" "&amp;$C1807</f>
        <v>PC Gamer Ryzen 2025</v>
      </c>
      <c r="O1807" s="63" t="n">
        <f aca="false">IF(ISTEXT($AC1807),VALUE($AC1807),$AC1807)</f>
        <v>18</v>
      </c>
      <c r="P1807" s="64" t="n">
        <f aca="false">INDEX(Datos_Origen!$I$2:$I$2459,$Z1807)</f>
        <v>1656.52</v>
      </c>
      <c r="Q1807" s="64" t="n">
        <f aca="false">INDEX(Datos_Origen!$J$2:$J$2459,$Z1807)</f>
        <v>1155.66</v>
      </c>
      <c r="R1807" s="65" t="n">
        <f aca="false">ROUND($O1807*$P1807,2)</f>
        <v>29817.36</v>
      </c>
      <c r="S1807" s="65" t="n">
        <f aca="false">ROUND($O1807*$Q1807,2)</f>
        <v>20801.88</v>
      </c>
      <c r="T1807" s="65" t="n">
        <f aca="false">ROUND($R1807*SUMIFS(Parametros!$E$28:$E$43,Parametros!$B$28:$B$43,$J1807,Parametros!$C$28:$C$43,$C1807,Parametros!$D$28:$D$43,$D1807),2)</f>
        <v>1669.77</v>
      </c>
      <c r="U1807" s="65" t="n">
        <f aca="false">$R1807-$S1807-$T1807</f>
        <v>7345.71</v>
      </c>
      <c r="V1807" s="66" t="n">
        <f aca="false">IFERROR($U1807/$R1807,0)</f>
        <v>0.246356820322121</v>
      </c>
      <c r="W1807" s="67" t="str">
        <f aca="false">IF(AND($V1807&gt;=Parametros!$C$8,$R1807&gt;=Parametros!$C$12),"Alta rentabilidad",IF(OR($V1807&lt;Parametros!$C$11,$R1807&lt;Parametros!$C$13),"Revisar","Estandar"))</f>
        <v>Revisar</v>
      </c>
      <c r="X1807" s="67" t="str">
        <f aca="false">IF(AND($J1807="E-commerce",IFERROR($T1807/$R1807,0)&gt;Parametros!$C$14),"Alerta","OK")</f>
        <v>Alerta</v>
      </c>
      <c r="Y1807" s="61" t="str">
        <f aca="false">IF($R1807&gt;=Parametros!$C$12,"Alto",IF($R1807&lt;Parametros!$C$13,"Bajo","Medio"))</f>
        <v>Alto</v>
      </c>
      <c r="Z1807" s="61" t="n">
        <v>320</v>
      </c>
      <c r="AA1807" s="61" t="str">
        <f aca="false">IF(MATCH($A1807,Datos_Origen!$A$2:$A$2459,0)=$Z1807,"OK","REVISAR")</f>
        <v>OK</v>
      </c>
      <c r="AB1807" s="62" t="n">
        <f aca="false">INDEX(Datos_Origen!$B$2:$B$2459,$Z1807)</f>
        <v>45845</v>
      </c>
      <c r="AC1807" s="61" t="n">
        <f aca="false">INDEX(Datos_Origen!$H$2:$H$2459,$Z1807)</f>
        <v>18</v>
      </c>
      <c r="AD1807" s="61" t="str">
        <f aca="false">INDEX(Datos_Origen!$D$2:$D$2459,$Z1807)&amp;""</f>
        <v>Buenos Aires</v>
      </c>
    </row>
    <row r="1808" customFormat="false" ht="15" hidden="false" customHeight="false" outlineLevel="0" collapsed="false">
      <c r="A1808" s="61" t="n">
        <f aca="false">INDEX(Datos_Origen!$A$2:$A$2459,$Z1808)</f>
        <v>1807</v>
      </c>
      <c r="B1808" s="62" t="n">
        <f aca="false">IF(ISNUMBER($AB1808),$AB1808,IF(MID($AB1808,5,1)="-",DATE(VALUE(LEFT($AB1808,4)),VALUE(MID($AB1808,6,2)),VALUE(RIGHT($AB1808,2))),DATE(VALUE(RIGHT($AB1808,4)),VALUE(MID($AB1808,4,2)),VALUE(LEFT($AB1808,2)))))</f>
        <v>45852</v>
      </c>
      <c r="C1808" s="61" t="n">
        <f aca="false">YEAR($B1808)</f>
        <v>2025</v>
      </c>
      <c r="D1808" s="61" t="str">
        <f aca="false">"Q"&amp;ROUNDUP(MONTH($B1808)/3,0)</f>
        <v>Q3</v>
      </c>
      <c r="E1808" s="61" t="n">
        <f aca="false">MONTH($B1808)</f>
        <v>7</v>
      </c>
      <c r="F1808" s="61" t="str">
        <f aca="false">INDEX(Parametros!$I$5:$I$16,$E1808)</f>
        <v>Jul</v>
      </c>
      <c r="G1808" s="61" t="str">
        <f aca="false">TEXT($C1808,"0000")&amp;"-"&amp;TEXT($E1808,"00")</f>
        <v>2025-07</v>
      </c>
      <c r="H1808" s="61" t="str">
        <f aca="false">INDEX(Parametros!$C$71:$C$91,MATCH(TRIM(INDEX(Datos_Origen!$C$2:$C$2459,$Z1808)),Parametros!$B$71:$B$91,0))</f>
        <v>AMBA</v>
      </c>
      <c r="I1808" s="61" t="str">
        <f aca="false">IF(TRIM($AD1808)="",INDEX(Parametros!$I$20:$I$24,MATCH($H1808,Parametros!$H$20:$H$24,0)),TRIM($AD1808))</f>
        <v>Buenos Aires</v>
      </c>
      <c r="J1808" s="61" t="str">
        <f aca="false">INDEX(Parametros!$C$95:$C$106,MATCH(TRIM(INDEX(Datos_Origen!$E$2:$E$2459,$Z1808)),Parametros!$B$95:$B$106,0))</f>
        <v>Tienda fisica</v>
      </c>
      <c r="K1808" s="61" t="str">
        <f aca="false">INDEX(Parametros!$C$48:$C$67,MATCH(TRIM(INDEX(Datos_Origen!$F$2:$F$2459,$Z1808)),Parametros!$B$48:$B$67,0))</f>
        <v>Accesorios</v>
      </c>
      <c r="L1808" s="61" t="str">
        <f aca="false">$K1808&amp;" "&amp;$C1808</f>
        <v>Accesorios 2025</v>
      </c>
      <c r="M1808" s="61" t="str">
        <f aca="false">TRIM(INDEX(Datos_Origen!$G$2:$G$2459,$Z1808))</f>
        <v>Mouse Inalambrico</v>
      </c>
      <c r="N1808" s="61" t="str">
        <f aca="false">$M1808&amp;" "&amp;$C1808</f>
        <v>Mouse Inalambrico 2025</v>
      </c>
      <c r="O1808" s="63" t="n">
        <f aca="false">IF(ISTEXT($AC1808),VALUE($AC1808),$AC1808)</f>
        <v>95</v>
      </c>
      <c r="P1808" s="64" t="n">
        <f aca="false">INDEX(Datos_Origen!$I$2:$I$2459,$Z1808)</f>
        <v>28.11</v>
      </c>
      <c r="Q1808" s="64" t="n">
        <f aca="false">INDEX(Datos_Origen!$J$2:$J$2459,$Z1808)</f>
        <v>13.84</v>
      </c>
      <c r="R1808" s="65" t="n">
        <f aca="false">ROUND($O1808*$P1808,2)</f>
        <v>2670.45</v>
      </c>
      <c r="S1808" s="65" t="n">
        <f aca="false">ROUND($O1808*$Q1808,2)</f>
        <v>1314.8</v>
      </c>
      <c r="T1808" s="65" t="n">
        <f aca="false">ROUND($R1808*SUMIFS(Parametros!$E$28:$E$43,Parametros!$B$28:$B$43,$J1808,Parametros!$C$28:$C$43,$C1808,Parametros!$D$28:$D$43,$D1808),2)</f>
        <v>34.72</v>
      </c>
      <c r="U1808" s="65" t="n">
        <f aca="false">$R1808-$S1808-$T1808</f>
        <v>1320.93</v>
      </c>
      <c r="V1808" s="66" t="n">
        <f aca="false">IFERROR($U1808/$R1808,0)</f>
        <v>0.494646969611863</v>
      </c>
      <c r="W1808" s="67" t="str">
        <f aca="false">IF(AND($V1808&gt;=Parametros!$C$8,$R1808&gt;=Parametros!$C$12),"Alta rentabilidad",IF(OR($V1808&lt;Parametros!$C$11,$R1808&lt;Parametros!$C$13),"Revisar","Estandar"))</f>
        <v>Estandar</v>
      </c>
      <c r="X1808" s="67" t="str">
        <f aca="false">IF(AND($J1808="E-commerce",IFERROR($T1808/$R1808,0)&gt;Parametros!$C$14),"Alerta","OK")</f>
        <v>OK</v>
      </c>
      <c r="Y1808" s="61" t="str">
        <f aca="false">IF($R1808&gt;=Parametros!$C$12,"Alto",IF($R1808&lt;Parametros!$C$13,"Bajo","Medio"))</f>
        <v>Medio</v>
      </c>
      <c r="Z1808" s="61" t="n">
        <v>4</v>
      </c>
      <c r="AA1808" s="61" t="str">
        <f aca="false">IF(MATCH($A1808,Datos_Origen!$A$2:$A$2459,0)=$Z1808,"OK","REVISAR")</f>
        <v>OK</v>
      </c>
      <c r="AB1808" s="62" t="n">
        <f aca="false">INDEX(Datos_Origen!$B$2:$B$2459,$Z1808)</f>
        <v>45852</v>
      </c>
      <c r="AC1808" s="61" t="str">
        <f aca="false">INDEX(Datos_Origen!$H$2:$H$2459,$Z1808)</f>
        <v>95</v>
      </c>
      <c r="AD1808" s="61" t="str">
        <f aca="false">INDEX(Datos_Origen!$D$2:$D$2459,$Z1808)&amp;""</f>
        <v>Buenos Aires</v>
      </c>
    </row>
    <row r="1809" customFormat="false" ht="15" hidden="false" customHeight="false" outlineLevel="0" collapsed="false">
      <c r="A1809" s="61" t="n">
        <f aca="false">INDEX(Datos_Origen!$A$2:$A$2459,$Z1809)</f>
        <v>1808</v>
      </c>
      <c r="B1809" s="62" t="n">
        <f aca="false">IF(ISNUMBER($AB1809),$AB1809,IF(MID($AB1809,5,1)="-",DATE(VALUE(LEFT($AB1809,4)),VALUE(MID($AB1809,6,2)),VALUE(RIGHT($AB1809,2))),DATE(VALUE(RIGHT($AB1809,4)),VALUE(MID($AB1809,4,2)),VALUE(LEFT($AB1809,2)))))</f>
        <v>45859</v>
      </c>
      <c r="C1809" s="61" t="n">
        <f aca="false">YEAR($B1809)</f>
        <v>2025</v>
      </c>
      <c r="D1809" s="61" t="str">
        <f aca="false">"Q"&amp;ROUNDUP(MONTH($B1809)/3,0)</f>
        <v>Q3</v>
      </c>
      <c r="E1809" s="61" t="n">
        <f aca="false">MONTH($B1809)</f>
        <v>7</v>
      </c>
      <c r="F1809" s="61" t="str">
        <f aca="false">INDEX(Parametros!$I$5:$I$16,$E1809)</f>
        <v>Jul</v>
      </c>
      <c r="G1809" s="61" t="str">
        <f aca="false">TEXT($C1809,"0000")&amp;"-"&amp;TEXT($E1809,"00")</f>
        <v>2025-07</v>
      </c>
      <c r="H1809" s="61" t="str">
        <f aca="false">INDEX(Parametros!$C$71:$C$91,MATCH(TRIM(INDEX(Datos_Origen!$C$2:$C$2459,$Z1809)),Parametros!$B$71:$B$91,0))</f>
        <v>AMBA</v>
      </c>
      <c r="I1809" s="61" t="str">
        <f aca="false">IF(TRIM($AD1809)="",INDEX(Parametros!$I$20:$I$24,MATCH($H1809,Parametros!$H$20:$H$24,0)),TRIM($AD1809))</f>
        <v>Buenos Aires</v>
      </c>
      <c r="J1809" s="61" t="str">
        <f aca="false">INDEX(Parametros!$C$95:$C$106,MATCH(TRIM(INDEX(Datos_Origen!$E$2:$E$2459,$Z1809)),Parametros!$B$95:$B$106,0))</f>
        <v>E-commerce</v>
      </c>
      <c r="K1809" s="61" t="str">
        <f aca="false">INDEX(Parametros!$C$48:$C$67,MATCH(TRIM(INDEX(Datos_Origen!$F$2:$F$2459,$Z1809)),Parametros!$B$48:$B$67,0))</f>
        <v>Accesorios</v>
      </c>
      <c r="L1809" s="61" t="str">
        <f aca="false">$K1809&amp;" "&amp;$C1809</f>
        <v>Accesorios 2025</v>
      </c>
      <c r="M1809" s="61" t="str">
        <f aca="false">TRIM(INDEX(Datos_Origen!$G$2:$G$2459,$Z1809))</f>
        <v>Mouse Inalambrico</v>
      </c>
      <c r="N1809" s="61" t="str">
        <f aca="false">$M1809&amp;" "&amp;$C1809</f>
        <v>Mouse Inalambrico 2025</v>
      </c>
      <c r="O1809" s="63" t="n">
        <f aca="false">IF(ISTEXT($AC1809),VALUE($AC1809),$AC1809)</f>
        <v>81</v>
      </c>
      <c r="P1809" s="64" t="n">
        <f aca="false">INDEX(Datos_Origen!$I$2:$I$2459,$Z1809)</f>
        <v>28.11</v>
      </c>
      <c r="Q1809" s="64" t="n">
        <f aca="false">INDEX(Datos_Origen!$J$2:$J$2459,$Z1809)</f>
        <v>13.84</v>
      </c>
      <c r="R1809" s="65" t="n">
        <f aca="false">ROUND($O1809*$P1809,2)</f>
        <v>2276.91</v>
      </c>
      <c r="S1809" s="65" t="n">
        <f aca="false">ROUND($O1809*$Q1809,2)</f>
        <v>1121.04</v>
      </c>
      <c r="T1809" s="65" t="n">
        <f aca="false">ROUND($R1809*SUMIFS(Parametros!$E$28:$E$43,Parametros!$B$28:$B$43,$J1809,Parametros!$C$28:$C$43,$C1809,Parametros!$D$28:$D$43,$D1809),2)</f>
        <v>127.51</v>
      </c>
      <c r="U1809" s="65" t="n">
        <f aca="false">$R1809-$S1809-$T1809</f>
        <v>1028.36</v>
      </c>
      <c r="V1809" s="66" t="n">
        <f aca="false">IFERROR($U1809/$R1809,0)</f>
        <v>0.451647188514258</v>
      </c>
      <c r="W1809" s="67" t="str">
        <f aca="false">IF(AND($V1809&gt;=Parametros!$C$8,$R1809&gt;=Parametros!$C$12),"Alta rentabilidad",IF(OR($V1809&lt;Parametros!$C$11,$R1809&lt;Parametros!$C$13),"Revisar","Estandar"))</f>
        <v>Estandar</v>
      </c>
      <c r="X1809" s="67" t="str">
        <f aca="false">IF(AND($J1809="E-commerce",IFERROR($T1809/$R1809,0)&gt;Parametros!$C$14),"Alerta","OK")</f>
        <v>Alerta</v>
      </c>
      <c r="Y1809" s="61" t="str">
        <f aca="false">IF($R1809&gt;=Parametros!$C$12,"Alto",IF($R1809&lt;Parametros!$C$13,"Bajo","Medio"))</f>
        <v>Medio</v>
      </c>
      <c r="Z1809" s="61" t="n">
        <v>2332</v>
      </c>
      <c r="AA1809" s="61" t="str">
        <f aca="false">IF(MATCH($A1809,Datos_Origen!$A$2:$A$2459,0)=$Z1809,"OK","REVISAR")</f>
        <v>OK</v>
      </c>
      <c r="AB1809" s="62" t="n">
        <f aca="false">INDEX(Datos_Origen!$B$2:$B$2459,$Z1809)</f>
        <v>45859</v>
      </c>
      <c r="AC1809" s="61" t="n">
        <f aca="false">INDEX(Datos_Origen!$H$2:$H$2459,$Z1809)</f>
        <v>81</v>
      </c>
      <c r="AD1809" s="61" t="str">
        <f aca="false">INDEX(Datos_Origen!$D$2:$D$2459,$Z1809)&amp;""</f>
        <v>Buenos Aires</v>
      </c>
    </row>
    <row r="1810" customFormat="false" ht="15" hidden="false" customHeight="false" outlineLevel="0" collapsed="false">
      <c r="A1810" s="61" t="n">
        <f aca="false">INDEX(Datos_Origen!$A$2:$A$2459,$Z1810)</f>
        <v>1809</v>
      </c>
      <c r="B1810" s="62" t="n">
        <f aca="false">IF(ISNUMBER($AB1810),$AB1810,IF(MID($AB1810,5,1)="-",DATE(VALUE(LEFT($AB1810,4)),VALUE(MID($AB1810,6,2)),VALUE(RIGHT($AB1810,2))),DATE(VALUE(RIGHT($AB1810,4)),VALUE(MID($AB1810,4,2)),VALUE(LEFT($AB1810,2)))))</f>
        <v>45839</v>
      </c>
      <c r="C1810" s="61" t="n">
        <f aca="false">YEAR($B1810)</f>
        <v>2025</v>
      </c>
      <c r="D1810" s="61" t="str">
        <f aca="false">"Q"&amp;ROUNDUP(MONTH($B1810)/3,0)</f>
        <v>Q3</v>
      </c>
      <c r="E1810" s="61" t="n">
        <f aca="false">MONTH($B1810)</f>
        <v>7</v>
      </c>
      <c r="F1810" s="61" t="str">
        <f aca="false">INDEX(Parametros!$I$5:$I$16,$E1810)</f>
        <v>Jul</v>
      </c>
      <c r="G1810" s="61" t="str">
        <f aca="false">TEXT($C1810,"0000")&amp;"-"&amp;TEXT($E1810,"00")</f>
        <v>2025-07</v>
      </c>
      <c r="H1810" s="61" t="str">
        <f aca="false">INDEX(Parametros!$C$71:$C$91,MATCH(TRIM(INDEX(Datos_Origen!$C$2:$C$2459,$Z1810)),Parametros!$B$71:$B$91,0))</f>
        <v>AMBA</v>
      </c>
      <c r="I1810" s="61" t="str">
        <f aca="false">IF(TRIM($AD1810)="",INDEX(Parametros!$I$20:$I$24,MATCH($H1810,Parametros!$H$20:$H$24,0)),TRIM($AD1810))</f>
        <v>Buenos Aires</v>
      </c>
      <c r="J1810" s="61" t="str">
        <f aca="false">INDEX(Parametros!$C$95:$C$106,MATCH(TRIM(INDEX(Datos_Origen!$E$2:$E$2459,$Z1810)),Parametros!$B$95:$B$106,0))</f>
        <v>Tienda fisica</v>
      </c>
      <c r="K1810" s="61" t="str">
        <f aca="false">INDEX(Parametros!$C$48:$C$67,MATCH(TRIM(INDEX(Datos_Origen!$F$2:$F$2459,$Z1810)),Parametros!$B$48:$B$67,0))</f>
        <v>Accesorios</v>
      </c>
      <c r="L1810" s="61" t="str">
        <f aca="false">$K1810&amp;" "&amp;$C1810</f>
        <v>Accesorios 2025</v>
      </c>
      <c r="M1810" s="61" t="str">
        <f aca="false">TRIM(INDEX(Datos_Origen!$G$2:$G$2459,$Z1810))</f>
        <v>Teclado Mecanico</v>
      </c>
      <c r="N1810" s="61" t="str">
        <f aca="false">$M1810&amp;" "&amp;$C1810</f>
        <v>Teclado Mecanico 2025</v>
      </c>
      <c r="O1810" s="63" t="n">
        <f aca="false">IF(ISTEXT($AC1810),VALUE($AC1810),$AC1810)</f>
        <v>92</v>
      </c>
      <c r="P1810" s="64" t="n">
        <f aca="false">INDEX(Datos_Origen!$I$2:$I$2459,$Z1810)</f>
        <v>95.38</v>
      </c>
      <c r="Q1810" s="64" t="n">
        <f aca="false">INDEX(Datos_Origen!$J$2:$J$2459,$Z1810)</f>
        <v>49.41</v>
      </c>
      <c r="R1810" s="65" t="n">
        <f aca="false">ROUND($O1810*$P1810,2)</f>
        <v>8774.96</v>
      </c>
      <c r="S1810" s="65" t="n">
        <f aca="false">ROUND($O1810*$Q1810,2)</f>
        <v>4545.72</v>
      </c>
      <c r="T1810" s="65" t="n">
        <f aca="false">ROUND($R1810*SUMIFS(Parametros!$E$28:$E$43,Parametros!$B$28:$B$43,$J1810,Parametros!$C$28:$C$43,$C1810,Parametros!$D$28:$D$43,$D1810),2)</f>
        <v>114.07</v>
      </c>
      <c r="U1810" s="65" t="n">
        <f aca="false">$R1810-$S1810-$T1810</f>
        <v>4115.17</v>
      </c>
      <c r="V1810" s="66" t="n">
        <f aca="false">IFERROR($U1810/$R1810,0)</f>
        <v>0.468967379908284</v>
      </c>
      <c r="W1810" s="67" t="str">
        <f aca="false">IF(AND($V1810&gt;=Parametros!$C$8,$R1810&gt;=Parametros!$C$12),"Alta rentabilidad",IF(OR($V1810&lt;Parametros!$C$11,$R1810&lt;Parametros!$C$13),"Revisar","Estandar"))</f>
        <v>Alta rentabilidad</v>
      </c>
      <c r="X1810" s="67" t="str">
        <f aca="false">IF(AND($J1810="E-commerce",IFERROR($T1810/$R1810,0)&gt;Parametros!$C$14),"Alerta","OK")</f>
        <v>OK</v>
      </c>
      <c r="Y1810" s="61" t="str">
        <f aca="false">IF($R1810&gt;=Parametros!$C$12,"Alto",IF($R1810&lt;Parametros!$C$13,"Bajo","Medio"))</f>
        <v>Alto</v>
      </c>
      <c r="Z1810" s="61" t="n">
        <v>151</v>
      </c>
      <c r="AA1810" s="61" t="str">
        <f aca="false">IF(MATCH($A1810,Datos_Origen!$A$2:$A$2459,0)=$Z1810,"OK","REVISAR")</f>
        <v>OK</v>
      </c>
      <c r="AB1810" s="61" t="str">
        <f aca="false">INDEX(Datos_Origen!$B$2:$B$2459,$Z1810)</f>
        <v>01/07/2025</v>
      </c>
      <c r="AC1810" s="61" t="n">
        <f aca="false">INDEX(Datos_Origen!$H$2:$H$2459,$Z1810)</f>
        <v>92</v>
      </c>
      <c r="AD1810" s="61" t="str">
        <f aca="false">INDEX(Datos_Origen!$D$2:$D$2459,$Z1810)&amp;""</f>
        <v>Buenos Aires</v>
      </c>
    </row>
    <row r="1811" customFormat="false" ht="15" hidden="false" customHeight="false" outlineLevel="0" collapsed="false">
      <c r="A1811" s="61" t="n">
        <f aca="false">INDEX(Datos_Origen!$A$2:$A$2459,$Z1811)</f>
        <v>1810</v>
      </c>
      <c r="B1811" s="62" t="n">
        <f aca="false">IF(ISNUMBER($AB1811),$AB1811,IF(MID($AB1811,5,1)="-",DATE(VALUE(LEFT($AB1811,4)),VALUE(MID($AB1811,6,2)),VALUE(RIGHT($AB1811,2))),DATE(VALUE(RIGHT($AB1811,4)),VALUE(MID($AB1811,4,2)),VALUE(LEFT($AB1811,2)))))</f>
        <v>45846</v>
      </c>
      <c r="C1811" s="61" t="n">
        <f aca="false">YEAR($B1811)</f>
        <v>2025</v>
      </c>
      <c r="D1811" s="61" t="str">
        <f aca="false">"Q"&amp;ROUNDUP(MONTH($B1811)/3,0)</f>
        <v>Q3</v>
      </c>
      <c r="E1811" s="61" t="n">
        <f aca="false">MONTH($B1811)</f>
        <v>7</v>
      </c>
      <c r="F1811" s="61" t="str">
        <f aca="false">INDEX(Parametros!$I$5:$I$16,$E1811)</f>
        <v>Jul</v>
      </c>
      <c r="G1811" s="61" t="str">
        <f aca="false">TEXT($C1811,"0000")&amp;"-"&amp;TEXT($E1811,"00")</f>
        <v>2025-07</v>
      </c>
      <c r="H1811" s="61" t="str">
        <f aca="false">INDEX(Parametros!$C$71:$C$91,MATCH(TRIM(INDEX(Datos_Origen!$C$2:$C$2459,$Z1811)),Parametros!$B$71:$B$91,0))</f>
        <v>AMBA</v>
      </c>
      <c r="I1811" s="61" t="str">
        <f aca="false">IF(TRIM($AD1811)="",INDEX(Parametros!$I$20:$I$24,MATCH($H1811,Parametros!$H$20:$H$24,0)),TRIM($AD1811))</f>
        <v>Buenos Aires</v>
      </c>
      <c r="J1811" s="61" t="str">
        <f aca="false">INDEX(Parametros!$C$95:$C$106,MATCH(TRIM(INDEX(Datos_Origen!$E$2:$E$2459,$Z1811)),Parametros!$B$95:$B$106,0))</f>
        <v>E-commerce</v>
      </c>
      <c r="K1811" s="61" t="str">
        <f aca="false">INDEX(Parametros!$C$48:$C$67,MATCH(TRIM(INDEX(Datos_Origen!$F$2:$F$2459,$Z1811)),Parametros!$B$48:$B$67,0))</f>
        <v>Accesorios</v>
      </c>
      <c r="L1811" s="61" t="str">
        <f aca="false">$K1811&amp;" "&amp;$C1811</f>
        <v>Accesorios 2025</v>
      </c>
      <c r="M1811" s="61" t="str">
        <f aca="false">TRIM(INDEX(Datos_Origen!$G$2:$G$2459,$Z1811))</f>
        <v>Teclado Mecanico</v>
      </c>
      <c r="N1811" s="61" t="str">
        <f aca="false">$M1811&amp;" "&amp;$C1811</f>
        <v>Teclado Mecanico 2025</v>
      </c>
      <c r="O1811" s="63" t="n">
        <f aca="false">IF(ISTEXT($AC1811),VALUE($AC1811),$AC1811)</f>
        <v>60</v>
      </c>
      <c r="P1811" s="64" t="n">
        <f aca="false">INDEX(Datos_Origen!$I$2:$I$2459,$Z1811)</f>
        <v>95.38</v>
      </c>
      <c r="Q1811" s="64" t="n">
        <f aca="false">INDEX(Datos_Origen!$J$2:$J$2459,$Z1811)</f>
        <v>49.41</v>
      </c>
      <c r="R1811" s="65" t="n">
        <f aca="false">ROUND($O1811*$P1811,2)</f>
        <v>5722.8</v>
      </c>
      <c r="S1811" s="65" t="n">
        <f aca="false">ROUND($O1811*$Q1811,2)</f>
        <v>2964.6</v>
      </c>
      <c r="T1811" s="65" t="n">
        <f aca="false">ROUND($R1811*SUMIFS(Parametros!$E$28:$E$43,Parametros!$B$28:$B$43,$J1811,Parametros!$C$28:$C$43,$C1811,Parametros!$D$28:$D$43,$D1811),2)</f>
        <v>320.48</v>
      </c>
      <c r="U1811" s="65" t="n">
        <f aca="false">$R1811-$S1811-$T1811</f>
        <v>2437.72</v>
      </c>
      <c r="V1811" s="66" t="n">
        <f aca="false">IFERROR($U1811/$R1811,0)</f>
        <v>0.425966310197805</v>
      </c>
      <c r="W1811" s="67" t="str">
        <f aca="false">IF(AND($V1811&gt;=Parametros!$C$8,$R1811&gt;=Parametros!$C$12),"Alta rentabilidad",IF(OR($V1811&lt;Parametros!$C$11,$R1811&lt;Parametros!$C$13),"Revisar","Estandar"))</f>
        <v>Alta rentabilidad</v>
      </c>
      <c r="X1811" s="67" t="str">
        <f aca="false">IF(AND($J1811="E-commerce",IFERROR($T1811/$R1811,0)&gt;Parametros!$C$14),"Alerta","OK")</f>
        <v>Alerta</v>
      </c>
      <c r="Y1811" s="61" t="str">
        <f aca="false">IF($R1811&gt;=Parametros!$C$12,"Alto",IF($R1811&lt;Parametros!$C$13,"Bajo","Medio"))</f>
        <v>Alto</v>
      </c>
      <c r="Z1811" s="61" t="n">
        <v>671</v>
      </c>
      <c r="AA1811" s="61" t="str">
        <f aca="false">IF(MATCH($A1811,Datos_Origen!$A$2:$A$2459,0)=$Z1811,"OK","REVISAR")</f>
        <v>OK</v>
      </c>
      <c r="AB1811" s="61" t="str">
        <f aca="false">INDEX(Datos_Origen!$B$2:$B$2459,$Z1811)</f>
        <v>2025-07-08</v>
      </c>
      <c r="AC1811" s="61" t="n">
        <f aca="false">INDEX(Datos_Origen!$H$2:$H$2459,$Z1811)</f>
        <v>60</v>
      </c>
      <c r="AD1811" s="61" t="str">
        <f aca="false">INDEX(Datos_Origen!$D$2:$D$2459,$Z1811)&amp;""</f>
        <v>Buenos Aires</v>
      </c>
    </row>
    <row r="1812" customFormat="false" ht="15" hidden="false" customHeight="false" outlineLevel="0" collapsed="false">
      <c r="A1812" s="61" t="n">
        <f aca="false">INDEX(Datos_Origen!$A$2:$A$2459,$Z1812)</f>
        <v>1811</v>
      </c>
      <c r="B1812" s="62" t="n">
        <f aca="false">IF(ISNUMBER($AB1812),$AB1812,IF(MID($AB1812,5,1)="-",DATE(VALUE(LEFT($AB1812,4)),VALUE(MID($AB1812,6,2)),VALUE(RIGHT($AB1812,2))),DATE(VALUE(RIGHT($AB1812,4)),VALUE(MID($AB1812,4,2)),VALUE(LEFT($AB1812,2)))))</f>
        <v>45853</v>
      </c>
      <c r="C1812" s="61" t="n">
        <f aca="false">YEAR($B1812)</f>
        <v>2025</v>
      </c>
      <c r="D1812" s="61" t="str">
        <f aca="false">"Q"&amp;ROUNDUP(MONTH($B1812)/3,0)</f>
        <v>Q3</v>
      </c>
      <c r="E1812" s="61" t="n">
        <f aca="false">MONTH($B1812)</f>
        <v>7</v>
      </c>
      <c r="F1812" s="61" t="str">
        <f aca="false">INDEX(Parametros!$I$5:$I$16,$E1812)</f>
        <v>Jul</v>
      </c>
      <c r="G1812" s="61" t="str">
        <f aca="false">TEXT($C1812,"0000")&amp;"-"&amp;TEXT($E1812,"00")</f>
        <v>2025-07</v>
      </c>
      <c r="H1812" s="61" t="str">
        <f aca="false">INDEX(Parametros!$C$71:$C$91,MATCH(TRIM(INDEX(Datos_Origen!$C$2:$C$2459,$Z1812)),Parametros!$B$71:$B$91,0))</f>
        <v>AMBA</v>
      </c>
      <c r="I1812" s="61" t="str">
        <f aca="false">IF(TRIM($AD1812)="",INDEX(Parametros!$I$20:$I$24,MATCH($H1812,Parametros!$H$20:$H$24,0)),TRIM($AD1812))</f>
        <v>Buenos Aires</v>
      </c>
      <c r="J1812" s="61" t="str">
        <f aca="false">INDEX(Parametros!$C$95:$C$106,MATCH(TRIM(INDEX(Datos_Origen!$E$2:$E$2459,$Z1812)),Parametros!$B$95:$B$106,0))</f>
        <v>Tienda fisica</v>
      </c>
      <c r="K1812" s="61" t="str">
        <f aca="false">INDEX(Parametros!$C$48:$C$67,MATCH(TRIM(INDEX(Datos_Origen!$F$2:$F$2459,$Z1812)),Parametros!$B$48:$B$67,0))</f>
        <v>Accesorios</v>
      </c>
      <c r="L1812" s="61" t="str">
        <f aca="false">$K1812&amp;" "&amp;$C1812</f>
        <v>Accesorios 2025</v>
      </c>
      <c r="M1812" s="61" t="str">
        <f aca="false">TRIM(INDEX(Datos_Origen!$G$2:$G$2459,$Z1812))</f>
        <v>Webcam Full HD</v>
      </c>
      <c r="N1812" s="61" t="str">
        <f aca="false">$M1812&amp;" "&amp;$C1812</f>
        <v>Webcam Full HD 2025</v>
      </c>
      <c r="O1812" s="63" t="n">
        <f aca="false">IF(ISTEXT($AC1812),VALUE($AC1812),$AC1812)</f>
        <v>88</v>
      </c>
      <c r="P1812" s="64" t="n">
        <f aca="false">INDEX(Datos_Origen!$I$2:$I$2459,$Z1812)</f>
        <v>65.26</v>
      </c>
      <c r="Q1812" s="64" t="n">
        <f aca="false">INDEX(Datos_Origen!$J$2:$J$2459,$Z1812)</f>
        <v>36.49</v>
      </c>
      <c r="R1812" s="65" t="n">
        <f aca="false">ROUND($O1812*$P1812,2)</f>
        <v>5742.88</v>
      </c>
      <c r="S1812" s="65" t="n">
        <f aca="false">ROUND($O1812*$Q1812,2)</f>
        <v>3211.12</v>
      </c>
      <c r="T1812" s="65" t="n">
        <f aca="false">ROUND($R1812*SUMIFS(Parametros!$E$28:$E$43,Parametros!$B$28:$B$43,$J1812,Parametros!$C$28:$C$43,$C1812,Parametros!$D$28:$D$43,$D1812),2)</f>
        <v>74.66</v>
      </c>
      <c r="U1812" s="65" t="n">
        <f aca="false">$R1812-$S1812-$T1812</f>
        <v>2457.1</v>
      </c>
      <c r="V1812" s="66" t="n">
        <f aca="false">IFERROR($U1812/$R1812,0)</f>
        <v>0.42785153093918</v>
      </c>
      <c r="W1812" s="67" t="str">
        <f aca="false">IF(AND($V1812&gt;=Parametros!$C$8,$R1812&gt;=Parametros!$C$12),"Alta rentabilidad",IF(OR($V1812&lt;Parametros!$C$11,$R1812&lt;Parametros!$C$13),"Revisar","Estandar"))</f>
        <v>Alta rentabilidad</v>
      </c>
      <c r="X1812" s="67" t="str">
        <f aca="false">IF(AND($J1812="E-commerce",IFERROR($T1812/$R1812,0)&gt;Parametros!$C$14),"Alerta","OK")</f>
        <v>OK</v>
      </c>
      <c r="Y1812" s="61" t="str">
        <f aca="false">IF($R1812&gt;=Parametros!$C$12,"Alto",IF($R1812&lt;Parametros!$C$13,"Bajo","Medio"))</f>
        <v>Alto</v>
      </c>
      <c r="Z1812" s="61" t="n">
        <v>1228</v>
      </c>
      <c r="AA1812" s="61" t="str">
        <f aca="false">IF(MATCH($A1812,Datos_Origen!$A$2:$A$2459,0)=$Z1812,"OK","REVISAR")</f>
        <v>OK</v>
      </c>
      <c r="AB1812" s="62" t="n">
        <f aca="false">INDEX(Datos_Origen!$B$2:$B$2459,$Z1812)</f>
        <v>45853</v>
      </c>
      <c r="AC1812" s="61" t="n">
        <f aca="false">INDEX(Datos_Origen!$H$2:$H$2459,$Z1812)</f>
        <v>88</v>
      </c>
      <c r="AD1812" s="61" t="str">
        <f aca="false">INDEX(Datos_Origen!$D$2:$D$2459,$Z1812)&amp;""</f>
        <v>Buenos Aires</v>
      </c>
    </row>
    <row r="1813" customFormat="false" ht="15" hidden="false" customHeight="false" outlineLevel="0" collapsed="false">
      <c r="A1813" s="61" t="n">
        <f aca="false">INDEX(Datos_Origen!$A$2:$A$2459,$Z1813)</f>
        <v>1812</v>
      </c>
      <c r="B1813" s="62" t="n">
        <f aca="false">IF(ISNUMBER($AB1813),$AB1813,IF(MID($AB1813,5,1)="-",DATE(VALUE(LEFT($AB1813,4)),VALUE(MID($AB1813,6,2)),VALUE(RIGHT($AB1813,2))),DATE(VALUE(RIGHT($AB1813,4)),VALUE(MID($AB1813,4,2)),VALUE(LEFT($AB1813,2)))))</f>
        <v>45860</v>
      </c>
      <c r="C1813" s="61" t="n">
        <f aca="false">YEAR($B1813)</f>
        <v>2025</v>
      </c>
      <c r="D1813" s="61" t="str">
        <f aca="false">"Q"&amp;ROUNDUP(MONTH($B1813)/3,0)</f>
        <v>Q3</v>
      </c>
      <c r="E1813" s="61" t="n">
        <f aca="false">MONTH($B1813)</f>
        <v>7</v>
      </c>
      <c r="F1813" s="61" t="str">
        <f aca="false">INDEX(Parametros!$I$5:$I$16,$E1813)</f>
        <v>Jul</v>
      </c>
      <c r="G1813" s="61" t="str">
        <f aca="false">TEXT($C1813,"0000")&amp;"-"&amp;TEXT($E1813,"00")</f>
        <v>2025-07</v>
      </c>
      <c r="H1813" s="61" t="str">
        <f aca="false">INDEX(Parametros!$C$71:$C$91,MATCH(TRIM(INDEX(Datos_Origen!$C$2:$C$2459,$Z1813)),Parametros!$B$71:$B$91,0))</f>
        <v>AMBA</v>
      </c>
      <c r="I1813" s="61" t="str">
        <f aca="false">IF(TRIM($AD1813)="",INDEX(Parametros!$I$20:$I$24,MATCH($H1813,Parametros!$H$20:$H$24,0)),TRIM($AD1813))</f>
        <v>Buenos Aires</v>
      </c>
      <c r="J1813" s="61" t="str">
        <f aca="false">INDEX(Parametros!$C$95:$C$106,MATCH(TRIM(INDEX(Datos_Origen!$E$2:$E$2459,$Z1813)),Parametros!$B$95:$B$106,0))</f>
        <v>E-commerce</v>
      </c>
      <c r="K1813" s="61" t="str">
        <f aca="false">INDEX(Parametros!$C$48:$C$67,MATCH(TRIM(INDEX(Datos_Origen!$F$2:$F$2459,$Z1813)),Parametros!$B$48:$B$67,0))</f>
        <v>Accesorios</v>
      </c>
      <c r="L1813" s="61" t="str">
        <f aca="false">$K1813&amp;" "&amp;$C1813</f>
        <v>Accesorios 2025</v>
      </c>
      <c r="M1813" s="61" t="str">
        <f aca="false">TRIM(INDEX(Datos_Origen!$G$2:$G$2459,$Z1813))</f>
        <v>Webcam Full HD</v>
      </c>
      <c r="N1813" s="61" t="str">
        <f aca="false">$M1813&amp;" "&amp;$C1813</f>
        <v>Webcam Full HD 2025</v>
      </c>
      <c r="O1813" s="63" t="n">
        <f aca="false">IF(ISTEXT($AC1813),VALUE($AC1813),$AC1813)</f>
        <v>67</v>
      </c>
      <c r="P1813" s="64" t="n">
        <f aca="false">INDEX(Datos_Origen!$I$2:$I$2459,$Z1813)</f>
        <v>65.26</v>
      </c>
      <c r="Q1813" s="64" t="n">
        <f aca="false">INDEX(Datos_Origen!$J$2:$J$2459,$Z1813)</f>
        <v>36.49</v>
      </c>
      <c r="R1813" s="65" t="n">
        <f aca="false">ROUND($O1813*$P1813,2)</f>
        <v>4372.42</v>
      </c>
      <c r="S1813" s="65" t="n">
        <f aca="false">ROUND($O1813*$Q1813,2)</f>
        <v>2444.83</v>
      </c>
      <c r="T1813" s="65" t="n">
        <f aca="false">ROUND($R1813*SUMIFS(Parametros!$E$28:$E$43,Parametros!$B$28:$B$43,$J1813,Parametros!$C$28:$C$43,$C1813,Parametros!$D$28:$D$43,$D1813),2)</f>
        <v>244.86</v>
      </c>
      <c r="U1813" s="65" t="n">
        <f aca="false">$R1813-$S1813-$T1813</f>
        <v>1682.73</v>
      </c>
      <c r="V1813" s="66" t="n">
        <f aca="false">IFERROR($U1813/$R1813,0)</f>
        <v>0.384850952104327</v>
      </c>
      <c r="W1813" s="67" t="str">
        <f aca="false">IF(AND($V1813&gt;=Parametros!$C$8,$R1813&gt;=Parametros!$C$12),"Alta rentabilidad",IF(OR($V1813&lt;Parametros!$C$11,$R1813&lt;Parametros!$C$13),"Revisar","Estandar"))</f>
        <v>Alta rentabilidad</v>
      </c>
      <c r="X1813" s="67" t="str">
        <f aca="false">IF(AND($J1813="E-commerce",IFERROR($T1813/$R1813,0)&gt;Parametros!$C$14),"Alerta","OK")</f>
        <v>Alerta</v>
      </c>
      <c r="Y1813" s="61" t="str">
        <f aca="false">IF($R1813&gt;=Parametros!$C$12,"Alto",IF($R1813&lt;Parametros!$C$13,"Bajo","Medio"))</f>
        <v>Alto</v>
      </c>
      <c r="Z1813" s="61" t="n">
        <v>601</v>
      </c>
      <c r="AA1813" s="61" t="str">
        <f aca="false">IF(MATCH($A1813,Datos_Origen!$A$2:$A$2459,0)=$Z1813,"OK","REVISAR")</f>
        <v>OK</v>
      </c>
      <c r="AB1813" s="61" t="str">
        <f aca="false">INDEX(Datos_Origen!$B$2:$B$2459,$Z1813)</f>
        <v>22/07/2025</v>
      </c>
      <c r="AC1813" s="61" t="n">
        <f aca="false">INDEX(Datos_Origen!$H$2:$H$2459,$Z1813)</f>
        <v>67</v>
      </c>
      <c r="AD1813" s="61" t="str">
        <f aca="false">INDEX(Datos_Origen!$D$2:$D$2459,$Z1813)&amp;""</f>
        <v>Buenos Aires</v>
      </c>
    </row>
    <row r="1814" customFormat="false" ht="15" hidden="false" customHeight="false" outlineLevel="0" collapsed="false">
      <c r="A1814" s="61" t="n">
        <f aca="false">INDEX(Datos_Origen!$A$2:$A$2459,$Z1814)</f>
        <v>1813</v>
      </c>
      <c r="B1814" s="62" t="n">
        <f aca="false">IF(ISNUMBER($AB1814),$AB1814,IF(MID($AB1814,5,1)="-",DATE(VALUE(LEFT($AB1814,4)),VALUE(MID($AB1814,6,2)),VALUE(RIGHT($AB1814,2))),DATE(VALUE(RIGHT($AB1814,4)),VALUE(MID($AB1814,4,2)),VALUE(LEFT($AB1814,2)))))</f>
        <v>45840</v>
      </c>
      <c r="C1814" s="61" t="n">
        <f aca="false">YEAR($B1814)</f>
        <v>2025</v>
      </c>
      <c r="D1814" s="61" t="str">
        <f aca="false">"Q"&amp;ROUNDUP(MONTH($B1814)/3,0)</f>
        <v>Q3</v>
      </c>
      <c r="E1814" s="61" t="n">
        <f aca="false">MONTH($B1814)</f>
        <v>7</v>
      </c>
      <c r="F1814" s="61" t="str">
        <f aca="false">INDEX(Parametros!$I$5:$I$16,$E1814)</f>
        <v>Jul</v>
      </c>
      <c r="G1814" s="61" t="str">
        <f aca="false">TEXT($C1814,"0000")&amp;"-"&amp;TEXT($E1814,"00")</f>
        <v>2025-07</v>
      </c>
      <c r="H1814" s="61" t="str">
        <f aca="false">INDEX(Parametros!$C$71:$C$91,MATCH(TRIM(INDEX(Datos_Origen!$C$2:$C$2459,$Z1814)),Parametros!$B$71:$B$91,0))</f>
        <v>AMBA</v>
      </c>
      <c r="I1814" s="61" t="str">
        <f aca="false">IF(TRIM($AD1814)="",INDEX(Parametros!$I$20:$I$24,MATCH($H1814,Parametros!$H$20:$H$24,0)),TRIM($AD1814))</f>
        <v>Buenos Aires</v>
      </c>
      <c r="J1814" s="61" t="str">
        <f aca="false">INDEX(Parametros!$C$95:$C$106,MATCH(TRIM(INDEX(Datos_Origen!$E$2:$E$2459,$Z1814)),Parametros!$B$95:$B$106,0))</f>
        <v>Tienda fisica</v>
      </c>
      <c r="K1814" s="61" t="str">
        <f aca="false">INDEX(Parametros!$C$48:$C$67,MATCH(TRIM(INDEX(Datos_Origen!$F$2:$F$2459,$Z1814)),Parametros!$B$48:$B$67,0))</f>
        <v>Audio</v>
      </c>
      <c r="L1814" s="61" t="str">
        <f aca="false">$K1814&amp;" "&amp;$C1814</f>
        <v>Audio 2025</v>
      </c>
      <c r="M1814" s="61" t="str">
        <f aca="false">TRIM(INDEX(Datos_Origen!$G$2:$G$2459,$Z1814))</f>
        <v>Auriculares BT Pro</v>
      </c>
      <c r="N1814" s="61" t="str">
        <f aca="false">$M1814&amp;" "&amp;$C1814</f>
        <v>Auriculares BT Pro 2025</v>
      </c>
      <c r="O1814" s="63" t="n">
        <f aca="false">IF(ISTEXT($AC1814),VALUE($AC1814),$AC1814)</f>
        <v>44</v>
      </c>
      <c r="P1814" s="64" t="n">
        <f aca="false">INDEX(Datos_Origen!$I$2:$I$2459,$Z1814)</f>
        <v>120.47</v>
      </c>
      <c r="Q1814" s="64" t="n">
        <f aca="false">INDEX(Datos_Origen!$J$2:$J$2459,$Z1814)</f>
        <v>65.51</v>
      </c>
      <c r="R1814" s="65" t="n">
        <f aca="false">ROUND($O1814*$P1814,2)</f>
        <v>5300.68</v>
      </c>
      <c r="S1814" s="65" t="n">
        <f aca="false">ROUND($O1814*$Q1814,2)</f>
        <v>2882.44</v>
      </c>
      <c r="T1814" s="65" t="n">
        <f aca="false">ROUND($R1814*SUMIFS(Parametros!$E$28:$E$43,Parametros!$B$28:$B$43,$J1814,Parametros!$C$28:$C$43,$C1814,Parametros!$D$28:$D$43,$D1814),2)</f>
        <v>68.91</v>
      </c>
      <c r="U1814" s="65" t="n">
        <f aca="false">$R1814-$S1814-$T1814</f>
        <v>2349.33</v>
      </c>
      <c r="V1814" s="66" t="n">
        <f aca="false">IFERROR($U1814/$R1814,0)</f>
        <v>0.443212946263498</v>
      </c>
      <c r="W1814" s="67" t="str">
        <f aca="false">IF(AND($V1814&gt;=Parametros!$C$8,$R1814&gt;=Parametros!$C$12),"Alta rentabilidad",IF(OR($V1814&lt;Parametros!$C$11,$R1814&lt;Parametros!$C$13),"Revisar","Estandar"))</f>
        <v>Alta rentabilidad</v>
      </c>
      <c r="X1814" s="67" t="str">
        <f aca="false">IF(AND($J1814="E-commerce",IFERROR($T1814/$R1814,0)&gt;Parametros!$C$14),"Alerta","OK")</f>
        <v>OK</v>
      </c>
      <c r="Y1814" s="61" t="str">
        <f aca="false">IF($R1814&gt;=Parametros!$C$12,"Alto",IF($R1814&lt;Parametros!$C$13,"Bajo","Medio"))</f>
        <v>Alto</v>
      </c>
      <c r="Z1814" s="61" t="n">
        <v>402</v>
      </c>
      <c r="AA1814" s="61" t="str">
        <f aca="false">IF(MATCH($A1814,Datos_Origen!$A$2:$A$2459,0)=$Z1814,"OK","REVISAR")</f>
        <v>OK</v>
      </c>
      <c r="AB1814" s="62" t="n">
        <f aca="false">INDEX(Datos_Origen!$B$2:$B$2459,$Z1814)</f>
        <v>45840</v>
      </c>
      <c r="AC1814" s="61" t="n">
        <f aca="false">INDEX(Datos_Origen!$H$2:$H$2459,$Z1814)</f>
        <v>44</v>
      </c>
      <c r="AD1814" s="61" t="str">
        <f aca="false">INDEX(Datos_Origen!$D$2:$D$2459,$Z1814)&amp;""</f>
        <v>Buenos Aires</v>
      </c>
    </row>
    <row r="1815" customFormat="false" ht="15" hidden="false" customHeight="false" outlineLevel="0" collapsed="false">
      <c r="A1815" s="61" t="n">
        <f aca="false">INDEX(Datos_Origen!$A$2:$A$2459,$Z1815)</f>
        <v>1814</v>
      </c>
      <c r="B1815" s="62" t="n">
        <f aca="false">IF(ISNUMBER($AB1815),$AB1815,IF(MID($AB1815,5,1)="-",DATE(VALUE(LEFT($AB1815,4)),VALUE(MID($AB1815,6,2)),VALUE(RIGHT($AB1815,2))),DATE(VALUE(RIGHT($AB1815,4)),VALUE(MID($AB1815,4,2)),VALUE(LEFT($AB1815,2)))))</f>
        <v>45847</v>
      </c>
      <c r="C1815" s="61" t="n">
        <f aca="false">YEAR($B1815)</f>
        <v>2025</v>
      </c>
      <c r="D1815" s="61" t="str">
        <f aca="false">"Q"&amp;ROUNDUP(MONTH($B1815)/3,0)</f>
        <v>Q3</v>
      </c>
      <c r="E1815" s="61" t="n">
        <f aca="false">MONTH($B1815)</f>
        <v>7</v>
      </c>
      <c r="F1815" s="61" t="str">
        <f aca="false">INDEX(Parametros!$I$5:$I$16,$E1815)</f>
        <v>Jul</v>
      </c>
      <c r="G1815" s="61" t="str">
        <f aca="false">TEXT($C1815,"0000")&amp;"-"&amp;TEXT($E1815,"00")</f>
        <v>2025-07</v>
      </c>
      <c r="H1815" s="61" t="str">
        <f aca="false">INDEX(Parametros!$C$71:$C$91,MATCH(TRIM(INDEX(Datos_Origen!$C$2:$C$2459,$Z1815)),Parametros!$B$71:$B$91,0))</f>
        <v>AMBA</v>
      </c>
      <c r="I1815" s="61" t="str">
        <f aca="false">IF(TRIM($AD1815)="",INDEX(Parametros!$I$20:$I$24,MATCH($H1815,Parametros!$H$20:$H$24,0)),TRIM($AD1815))</f>
        <v>Buenos Aires</v>
      </c>
      <c r="J1815" s="61" t="str">
        <f aca="false">INDEX(Parametros!$C$95:$C$106,MATCH(TRIM(INDEX(Datos_Origen!$E$2:$E$2459,$Z1815)),Parametros!$B$95:$B$106,0))</f>
        <v>E-commerce</v>
      </c>
      <c r="K1815" s="61" t="str">
        <f aca="false">INDEX(Parametros!$C$48:$C$67,MATCH(TRIM(INDEX(Datos_Origen!$F$2:$F$2459,$Z1815)),Parametros!$B$48:$B$67,0))</f>
        <v>Audio</v>
      </c>
      <c r="L1815" s="61" t="str">
        <f aca="false">$K1815&amp;" "&amp;$C1815</f>
        <v>Audio 2025</v>
      </c>
      <c r="M1815" s="61" t="str">
        <f aca="false">TRIM(INDEX(Datos_Origen!$G$2:$G$2459,$Z1815))</f>
        <v>Auriculares BT Pro</v>
      </c>
      <c r="N1815" s="61" t="str">
        <f aca="false">$M1815&amp;" "&amp;$C1815</f>
        <v>Auriculares BT Pro 2025</v>
      </c>
      <c r="O1815" s="63" t="n">
        <f aca="false">IF(ISTEXT($AC1815),VALUE($AC1815),$AC1815)</f>
        <v>35</v>
      </c>
      <c r="P1815" s="64" t="n">
        <f aca="false">INDEX(Datos_Origen!$I$2:$I$2459,$Z1815)</f>
        <v>120.47</v>
      </c>
      <c r="Q1815" s="64" t="n">
        <f aca="false">INDEX(Datos_Origen!$J$2:$J$2459,$Z1815)</f>
        <v>65.51</v>
      </c>
      <c r="R1815" s="65" t="n">
        <f aca="false">ROUND($O1815*$P1815,2)</f>
        <v>4216.45</v>
      </c>
      <c r="S1815" s="65" t="n">
        <f aca="false">ROUND($O1815*$Q1815,2)</f>
        <v>2292.85</v>
      </c>
      <c r="T1815" s="65" t="n">
        <f aca="false">ROUND($R1815*SUMIFS(Parametros!$E$28:$E$43,Parametros!$B$28:$B$43,$J1815,Parametros!$C$28:$C$43,$C1815,Parametros!$D$28:$D$43,$D1815),2)</f>
        <v>236.12</v>
      </c>
      <c r="U1815" s="65" t="n">
        <f aca="false">$R1815-$S1815-$T1815</f>
        <v>1687.48</v>
      </c>
      <c r="V1815" s="66" t="n">
        <f aca="false">IFERROR($U1815/$R1815,0)</f>
        <v>0.400213449702949</v>
      </c>
      <c r="W1815" s="67" t="str">
        <f aca="false">IF(AND($V1815&gt;=Parametros!$C$8,$R1815&gt;=Parametros!$C$12),"Alta rentabilidad",IF(OR($V1815&lt;Parametros!$C$11,$R1815&lt;Parametros!$C$13),"Revisar","Estandar"))</f>
        <v>Alta rentabilidad</v>
      </c>
      <c r="X1815" s="67" t="str">
        <f aca="false">IF(AND($J1815="E-commerce",IFERROR($T1815/$R1815,0)&gt;Parametros!$C$14),"Alerta","OK")</f>
        <v>Alerta</v>
      </c>
      <c r="Y1815" s="61" t="str">
        <f aca="false">IF($R1815&gt;=Parametros!$C$12,"Alto",IF($R1815&lt;Parametros!$C$13,"Bajo","Medio"))</f>
        <v>Alto</v>
      </c>
      <c r="Z1815" s="61" t="n">
        <v>2258</v>
      </c>
      <c r="AA1815" s="61" t="str">
        <f aca="false">IF(MATCH($A1815,Datos_Origen!$A$2:$A$2459,0)=$Z1815,"OK","REVISAR")</f>
        <v>OK</v>
      </c>
      <c r="AB1815" s="62" t="n">
        <f aca="false">INDEX(Datos_Origen!$B$2:$B$2459,$Z1815)</f>
        <v>45847</v>
      </c>
      <c r="AC1815" s="61" t="n">
        <f aca="false">INDEX(Datos_Origen!$H$2:$H$2459,$Z1815)</f>
        <v>35</v>
      </c>
      <c r="AD1815" s="61" t="str">
        <f aca="false">INDEX(Datos_Origen!$D$2:$D$2459,$Z1815)&amp;""</f>
        <v/>
      </c>
    </row>
    <row r="1816" customFormat="false" ht="15" hidden="false" customHeight="false" outlineLevel="0" collapsed="false">
      <c r="A1816" s="61" t="n">
        <f aca="false">INDEX(Datos_Origen!$A$2:$A$2459,$Z1816)</f>
        <v>1815</v>
      </c>
      <c r="B1816" s="62" t="n">
        <f aca="false">IF(ISNUMBER($AB1816),$AB1816,IF(MID($AB1816,5,1)="-",DATE(VALUE(LEFT($AB1816,4)),VALUE(MID($AB1816,6,2)),VALUE(RIGHT($AB1816,2))),DATE(VALUE(RIGHT($AB1816,4)),VALUE(MID($AB1816,4,2)),VALUE(LEFT($AB1816,2)))))</f>
        <v>45854</v>
      </c>
      <c r="C1816" s="61" t="n">
        <f aca="false">YEAR($B1816)</f>
        <v>2025</v>
      </c>
      <c r="D1816" s="61" t="str">
        <f aca="false">"Q"&amp;ROUNDUP(MONTH($B1816)/3,0)</f>
        <v>Q3</v>
      </c>
      <c r="E1816" s="61" t="n">
        <f aca="false">MONTH($B1816)</f>
        <v>7</v>
      </c>
      <c r="F1816" s="61" t="str">
        <f aca="false">INDEX(Parametros!$I$5:$I$16,$E1816)</f>
        <v>Jul</v>
      </c>
      <c r="G1816" s="61" t="str">
        <f aca="false">TEXT($C1816,"0000")&amp;"-"&amp;TEXT($E1816,"00")</f>
        <v>2025-07</v>
      </c>
      <c r="H1816" s="61" t="str">
        <f aca="false">INDEX(Parametros!$C$71:$C$91,MATCH(TRIM(INDEX(Datos_Origen!$C$2:$C$2459,$Z1816)),Parametros!$B$71:$B$91,0))</f>
        <v>AMBA</v>
      </c>
      <c r="I1816" s="61" t="str">
        <f aca="false">IF(TRIM($AD1816)="",INDEX(Parametros!$I$20:$I$24,MATCH($H1816,Parametros!$H$20:$H$24,0)),TRIM($AD1816))</f>
        <v>Buenos Aires</v>
      </c>
      <c r="J1816" s="61" t="str">
        <f aca="false">INDEX(Parametros!$C$95:$C$106,MATCH(TRIM(INDEX(Datos_Origen!$E$2:$E$2459,$Z1816)),Parametros!$B$95:$B$106,0))</f>
        <v>Tienda fisica</v>
      </c>
      <c r="K1816" s="61" t="str">
        <f aca="false">INDEX(Parametros!$C$48:$C$67,MATCH(TRIM(INDEX(Datos_Origen!$F$2:$F$2459,$Z1816)),Parametros!$B$48:$B$67,0))</f>
        <v>Audio</v>
      </c>
      <c r="L1816" s="61" t="str">
        <f aca="false">$K1816&amp;" "&amp;$C1816</f>
        <v>Audio 2025</v>
      </c>
      <c r="M1816" s="61" t="str">
        <f aca="false">TRIM(INDEX(Datos_Origen!$G$2:$G$2459,$Z1816))</f>
        <v>Parlante Bluetooth</v>
      </c>
      <c r="N1816" s="61" t="str">
        <f aca="false">$M1816&amp;" "&amp;$C1816</f>
        <v>Parlante Bluetooth 2025</v>
      </c>
      <c r="O1816" s="63" t="n">
        <f aca="false">IF(ISTEXT($AC1816),VALUE($AC1816),$AC1816)</f>
        <v>50</v>
      </c>
      <c r="P1816" s="64" t="n">
        <f aca="false">INDEX(Datos_Origen!$I$2:$I$2459,$Z1816)</f>
        <v>85.34</v>
      </c>
      <c r="Q1816" s="64" t="n">
        <f aca="false">INDEX(Datos_Origen!$J$2:$J$2459,$Z1816)</f>
        <v>49.47</v>
      </c>
      <c r="R1816" s="65" t="n">
        <f aca="false">ROUND($O1816*$P1816,2)</f>
        <v>4267</v>
      </c>
      <c r="S1816" s="65" t="n">
        <f aca="false">ROUND($O1816*$Q1816,2)</f>
        <v>2473.5</v>
      </c>
      <c r="T1816" s="65" t="n">
        <f aca="false">ROUND($R1816*SUMIFS(Parametros!$E$28:$E$43,Parametros!$B$28:$B$43,$J1816,Parametros!$C$28:$C$43,$C1816,Parametros!$D$28:$D$43,$D1816),2)</f>
        <v>55.47</v>
      </c>
      <c r="U1816" s="65" t="n">
        <f aca="false">$R1816-$S1816-$T1816</f>
        <v>1738.03</v>
      </c>
      <c r="V1816" s="66" t="n">
        <f aca="false">IFERROR($U1816/$R1816,0)</f>
        <v>0.407318959456293</v>
      </c>
      <c r="W1816" s="67" t="str">
        <f aca="false">IF(AND($V1816&gt;=Parametros!$C$8,$R1816&gt;=Parametros!$C$12),"Alta rentabilidad",IF(OR($V1816&lt;Parametros!$C$11,$R1816&lt;Parametros!$C$13),"Revisar","Estandar"))</f>
        <v>Alta rentabilidad</v>
      </c>
      <c r="X1816" s="67" t="str">
        <f aca="false">IF(AND($J1816="E-commerce",IFERROR($T1816/$R1816,0)&gt;Parametros!$C$14),"Alerta","OK")</f>
        <v>OK</v>
      </c>
      <c r="Y1816" s="61" t="str">
        <f aca="false">IF($R1816&gt;=Parametros!$C$12,"Alto",IF($R1816&lt;Parametros!$C$13,"Bajo","Medio"))</f>
        <v>Alto</v>
      </c>
      <c r="Z1816" s="61" t="n">
        <v>451</v>
      </c>
      <c r="AA1816" s="61" t="str">
        <f aca="false">IF(MATCH($A1816,Datos_Origen!$A$2:$A$2459,0)=$Z1816,"OK","REVISAR")</f>
        <v>OK</v>
      </c>
      <c r="AB1816" s="61" t="str">
        <f aca="false">INDEX(Datos_Origen!$B$2:$B$2459,$Z1816)</f>
        <v>2025-07-16</v>
      </c>
      <c r="AC1816" s="61" t="n">
        <f aca="false">INDEX(Datos_Origen!$H$2:$H$2459,$Z1816)</f>
        <v>50</v>
      </c>
      <c r="AD1816" s="61" t="str">
        <f aca="false">INDEX(Datos_Origen!$D$2:$D$2459,$Z1816)&amp;""</f>
        <v>Buenos Aires</v>
      </c>
    </row>
    <row r="1817" customFormat="false" ht="15" hidden="false" customHeight="false" outlineLevel="0" collapsed="false">
      <c r="A1817" s="61" t="n">
        <f aca="false">INDEX(Datos_Origen!$A$2:$A$2459,$Z1817)</f>
        <v>1816</v>
      </c>
      <c r="B1817" s="62" t="n">
        <f aca="false">IF(ISNUMBER($AB1817),$AB1817,IF(MID($AB1817,5,1)="-",DATE(VALUE(LEFT($AB1817,4)),VALUE(MID($AB1817,6,2)),VALUE(RIGHT($AB1817,2))),DATE(VALUE(RIGHT($AB1817,4)),VALUE(MID($AB1817,4,2)),VALUE(LEFT($AB1817,2)))))</f>
        <v>45861</v>
      </c>
      <c r="C1817" s="61" t="n">
        <f aca="false">YEAR($B1817)</f>
        <v>2025</v>
      </c>
      <c r="D1817" s="61" t="str">
        <f aca="false">"Q"&amp;ROUNDUP(MONTH($B1817)/3,0)</f>
        <v>Q3</v>
      </c>
      <c r="E1817" s="61" t="n">
        <f aca="false">MONTH($B1817)</f>
        <v>7</v>
      </c>
      <c r="F1817" s="61" t="str">
        <f aca="false">INDEX(Parametros!$I$5:$I$16,$E1817)</f>
        <v>Jul</v>
      </c>
      <c r="G1817" s="61" t="str">
        <f aca="false">TEXT($C1817,"0000")&amp;"-"&amp;TEXT($E1817,"00")</f>
        <v>2025-07</v>
      </c>
      <c r="H1817" s="61" t="str">
        <f aca="false">INDEX(Parametros!$C$71:$C$91,MATCH(TRIM(INDEX(Datos_Origen!$C$2:$C$2459,$Z1817)),Parametros!$B$71:$B$91,0))</f>
        <v>AMBA</v>
      </c>
      <c r="I1817" s="61" t="str">
        <f aca="false">IF(TRIM($AD1817)="",INDEX(Parametros!$I$20:$I$24,MATCH($H1817,Parametros!$H$20:$H$24,0)),TRIM($AD1817))</f>
        <v>Buenos Aires</v>
      </c>
      <c r="J1817" s="61" t="str">
        <f aca="false">INDEX(Parametros!$C$95:$C$106,MATCH(TRIM(INDEX(Datos_Origen!$E$2:$E$2459,$Z1817)),Parametros!$B$95:$B$106,0))</f>
        <v>E-commerce</v>
      </c>
      <c r="K1817" s="61" t="str">
        <f aca="false">INDEX(Parametros!$C$48:$C$67,MATCH(TRIM(INDEX(Datos_Origen!$F$2:$F$2459,$Z1817)),Parametros!$B$48:$B$67,0))</f>
        <v>Audio</v>
      </c>
      <c r="L1817" s="61" t="str">
        <f aca="false">$K1817&amp;" "&amp;$C1817</f>
        <v>Audio 2025</v>
      </c>
      <c r="M1817" s="61" t="str">
        <f aca="false">TRIM(INDEX(Datos_Origen!$G$2:$G$2459,$Z1817))</f>
        <v>Parlante Bluetooth</v>
      </c>
      <c r="N1817" s="61" t="str">
        <f aca="false">$M1817&amp;" "&amp;$C1817</f>
        <v>Parlante Bluetooth 2025</v>
      </c>
      <c r="O1817" s="63" t="n">
        <f aca="false">IF(ISTEXT($AC1817),VALUE($AC1817),$AC1817)</f>
        <v>31</v>
      </c>
      <c r="P1817" s="64" t="n">
        <f aca="false">INDEX(Datos_Origen!$I$2:$I$2459,$Z1817)</f>
        <v>85.34</v>
      </c>
      <c r="Q1817" s="64" t="n">
        <f aca="false">INDEX(Datos_Origen!$J$2:$J$2459,$Z1817)</f>
        <v>49.47</v>
      </c>
      <c r="R1817" s="65" t="n">
        <f aca="false">ROUND($O1817*$P1817,2)</f>
        <v>2645.54</v>
      </c>
      <c r="S1817" s="65" t="n">
        <f aca="false">ROUND($O1817*$Q1817,2)</f>
        <v>1533.57</v>
      </c>
      <c r="T1817" s="65" t="n">
        <f aca="false">ROUND($R1817*SUMIFS(Parametros!$E$28:$E$43,Parametros!$B$28:$B$43,$J1817,Parametros!$C$28:$C$43,$C1817,Parametros!$D$28:$D$43,$D1817),2)</f>
        <v>148.15</v>
      </c>
      <c r="U1817" s="65" t="n">
        <f aca="false">$R1817-$S1817-$T1817</f>
        <v>963.82</v>
      </c>
      <c r="V1817" s="66" t="n">
        <f aca="false">IFERROR($U1817/$R1817,0)</f>
        <v>0.364318815818321</v>
      </c>
      <c r="W1817" s="67" t="str">
        <f aca="false">IF(AND($V1817&gt;=Parametros!$C$8,$R1817&gt;=Parametros!$C$12),"Alta rentabilidad",IF(OR($V1817&lt;Parametros!$C$11,$R1817&lt;Parametros!$C$13),"Revisar","Estandar"))</f>
        <v>Estandar</v>
      </c>
      <c r="X1817" s="67" t="str">
        <f aca="false">IF(AND($J1817="E-commerce",IFERROR($T1817/$R1817,0)&gt;Parametros!$C$14),"Alerta","OK")</f>
        <v>Alerta</v>
      </c>
      <c r="Y1817" s="61" t="str">
        <f aca="false">IF($R1817&gt;=Parametros!$C$12,"Alto",IF($R1817&lt;Parametros!$C$13,"Bajo","Medio"))</f>
        <v>Medio</v>
      </c>
      <c r="Z1817" s="61" t="n">
        <v>2368</v>
      </c>
      <c r="AA1817" s="61" t="str">
        <f aca="false">IF(MATCH($A1817,Datos_Origen!$A$2:$A$2459,0)=$Z1817,"OK","REVISAR")</f>
        <v>OK</v>
      </c>
      <c r="AB1817" s="62" t="n">
        <f aca="false">INDEX(Datos_Origen!$B$2:$B$2459,$Z1817)</f>
        <v>45861</v>
      </c>
      <c r="AC1817" s="61" t="n">
        <f aca="false">INDEX(Datos_Origen!$H$2:$H$2459,$Z1817)</f>
        <v>31</v>
      </c>
      <c r="AD1817" s="61" t="str">
        <f aca="false">INDEX(Datos_Origen!$D$2:$D$2459,$Z1817)&amp;""</f>
        <v>Buenos Aires</v>
      </c>
    </row>
    <row r="1818" customFormat="false" ht="15" hidden="false" customHeight="false" outlineLevel="0" collapsed="false">
      <c r="A1818" s="61" t="n">
        <f aca="false">INDEX(Datos_Origen!$A$2:$A$2459,$Z1818)</f>
        <v>1817</v>
      </c>
      <c r="B1818" s="62" t="n">
        <f aca="false">IF(ISNUMBER($AB1818),$AB1818,IF(MID($AB1818,5,1)="-",DATE(VALUE(LEFT($AB1818,4)),VALUE(MID($AB1818,6,2)),VALUE(RIGHT($AB1818,2))),DATE(VALUE(RIGHT($AB1818,4)),VALUE(MID($AB1818,4,2)),VALUE(LEFT($AB1818,2)))))</f>
        <v>45841</v>
      </c>
      <c r="C1818" s="61" t="n">
        <f aca="false">YEAR($B1818)</f>
        <v>2025</v>
      </c>
      <c r="D1818" s="61" t="str">
        <f aca="false">"Q"&amp;ROUNDUP(MONTH($B1818)/3,0)</f>
        <v>Q3</v>
      </c>
      <c r="E1818" s="61" t="n">
        <f aca="false">MONTH($B1818)</f>
        <v>7</v>
      </c>
      <c r="F1818" s="61" t="str">
        <f aca="false">INDEX(Parametros!$I$5:$I$16,$E1818)</f>
        <v>Jul</v>
      </c>
      <c r="G1818" s="61" t="str">
        <f aca="false">TEXT($C1818,"0000")&amp;"-"&amp;TEXT($E1818,"00")</f>
        <v>2025-07</v>
      </c>
      <c r="H1818" s="61" t="str">
        <f aca="false">INDEX(Parametros!$C$71:$C$91,MATCH(TRIM(INDEX(Datos_Origen!$C$2:$C$2459,$Z1818)),Parametros!$B$71:$B$91,0))</f>
        <v>AMBA</v>
      </c>
      <c r="I1818" s="61" t="str">
        <f aca="false">IF(TRIM($AD1818)="",INDEX(Parametros!$I$20:$I$24,MATCH($H1818,Parametros!$H$20:$H$24,0)),TRIM($AD1818))</f>
        <v>Buenos Aires</v>
      </c>
      <c r="J1818" s="61" t="str">
        <f aca="false">INDEX(Parametros!$C$95:$C$106,MATCH(TRIM(INDEX(Datos_Origen!$E$2:$E$2459,$Z1818)),Parametros!$B$95:$B$106,0))</f>
        <v>Tienda fisica</v>
      </c>
      <c r="K1818" s="61" t="str">
        <f aca="false">INDEX(Parametros!$C$48:$C$67,MATCH(TRIM(INDEX(Datos_Origen!$F$2:$F$2459,$Z1818)),Parametros!$B$48:$B$67,0))</f>
        <v>Almacenamiento</v>
      </c>
      <c r="L1818" s="61" t="str">
        <f aca="false">$K1818&amp;" "&amp;$C1818</f>
        <v>Almacenamiento 2025</v>
      </c>
      <c r="M1818" s="61" t="str">
        <f aca="false">TRIM(INDEX(Datos_Origen!$G$2:$G$2459,$Z1818))</f>
        <v>SSD Externo 1TB</v>
      </c>
      <c r="N1818" s="61" t="str">
        <f aca="false">$M1818&amp;" "&amp;$C1818</f>
        <v>SSD Externo 1TB 2025</v>
      </c>
      <c r="O1818" s="63" t="n">
        <f aca="false">IF(ISTEXT($AC1818),VALUE($AC1818),$AC1818)</f>
        <v>55</v>
      </c>
      <c r="P1818" s="64" t="n">
        <f aca="false">INDEX(Datos_Origen!$I$2:$I$2459,$Z1818)</f>
        <v>130.51</v>
      </c>
      <c r="Q1818" s="64" t="n">
        <f aca="false">INDEX(Datos_Origen!$J$2:$J$2459,$Z1818)</f>
        <v>78.33</v>
      </c>
      <c r="R1818" s="65" t="n">
        <f aca="false">ROUND($O1818*$P1818,2)</f>
        <v>7178.05</v>
      </c>
      <c r="S1818" s="65" t="n">
        <f aca="false">ROUND($O1818*$Q1818,2)</f>
        <v>4308.15</v>
      </c>
      <c r="T1818" s="65" t="n">
        <f aca="false">ROUND($R1818*SUMIFS(Parametros!$E$28:$E$43,Parametros!$B$28:$B$43,$J1818,Parametros!$C$28:$C$43,$C1818,Parametros!$D$28:$D$43,$D1818),2)</f>
        <v>93.31</v>
      </c>
      <c r="U1818" s="65" t="n">
        <f aca="false">$R1818-$S1818-$T1818</f>
        <v>2776.59</v>
      </c>
      <c r="V1818" s="66" t="n">
        <f aca="false">IFERROR($U1818/$R1818,0)</f>
        <v>0.386816753853763</v>
      </c>
      <c r="W1818" s="67" t="str">
        <f aca="false">IF(AND($V1818&gt;=Parametros!$C$8,$R1818&gt;=Parametros!$C$12),"Alta rentabilidad",IF(OR($V1818&lt;Parametros!$C$11,$R1818&lt;Parametros!$C$13),"Revisar","Estandar"))</f>
        <v>Alta rentabilidad</v>
      </c>
      <c r="X1818" s="67" t="str">
        <f aca="false">IF(AND($J1818="E-commerce",IFERROR($T1818/$R1818,0)&gt;Parametros!$C$14),"Alerta","OK")</f>
        <v>OK</v>
      </c>
      <c r="Y1818" s="61" t="str">
        <f aca="false">IF($R1818&gt;=Parametros!$C$12,"Alto",IF($R1818&lt;Parametros!$C$13,"Bajo","Medio"))</f>
        <v>Alto</v>
      </c>
      <c r="Z1818" s="61" t="n">
        <v>2061</v>
      </c>
      <c r="AA1818" s="61" t="str">
        <f aca="false">IF(MATCH($A1818,Datos_Origen!$A$2:$A$2459,0)=$Z1818,"OK","REVISAR")</f>
        <v>OK</v>
      </c>
      <c r="AB1818" s="62" t="n">
        <f aca="false">INDEX(Datos_Origen!$B$2:$B$2459,$Z1818)</f>
        <v>45841</v>
      </c>
      <c r="AC1818" s="61" t="n">
        <f aca="false">INDEX(Datos_Origen!$H$2:$H$2459,$Z1818)</f>
        <v>55</v>
      </c>
      <c r="AD1818" s="61" t="str">
        <f aca="false">INDEX(Datos_Origen!$D$2:$D$2459,$Z1818)&amp;""</f>
        <v>Buenos Aires</v>
      </c>
    </row>
    <row r="1819" customFormat="false" ht="15" hidden="false" customHeight="false" outlineLevel="0" collapsed="false">
      <c r="A1819" s="61" t="n">
        <f aca="false">INDEX(Datos_Origen!$A$2:$A$2459,$Z1819)</f>
        <v>1818</v>
      </c>
      <c r="B1819" s="62" t="n">
        <f aca="false">IF(ISNUMBER($AB1819),$AB1819,IF(MID($AB1819,5,1)="-",DATE(VALUE(LEFT($AB1819,4)),VALUE(MID($AB1819,6,2)),VALUE(RIGHT($AB1819,2))),DATE(VALUE(RIGHT($AB1819,4)),VALUE(MID($AB1819,4,2)),VALUE(LEFT($AB1819,2)))))</f>
        <v>45848</v>
      </c>
      <c r="C1819" s="61" t="n">
        <f aca="false">YEAR($B1819)</f>
        <v>2025</v>
      </c>
      <c r="D1819" s="61" t="str">
        <f aca="false">"Q"&amp;ROUNDUP(MONTH($B1819)/3,0)</f>
        <v>Q3</v>
      </c>
      <c r="E1819" s="61" t="n">
        <f aca="false">MONTH($B1819)</f>
        <v>7</v>
      </c>
      <c r="F1819" s="61" t="str">
        <f aca="false">INDEX(Parametros!$I$5:$I$16,$E1819)</f>
        <v>Jul</v>
      </c>
      <c r="G1819" s="61" t="str">
        <f aca="false">TEXT($C1819,"0000")&amp;"-"&amp;TEXT($E1819,"00")</f>
        <v>2025-07</v>
      </c>
      <c r="H1819" s="61" t="str">
        <f aca="false">INDEX(Parametros!$C$71:$C$91,MATCH(TRIM(INDEX(Datos_Origen!$C$2:$C$2459,$Z1819)),Parametros!$B$71:$B$91,0))</f>
        <v>AMBA</v>
      </c>
      <c r="I1819" s="61" t="str">
        <f aca="false">IF(TRIM($AD1819)="",INDEX(Parametros!$I$20:$I$24,MATCH($H1819,Parametros!$H$20:$H$24,0)),TRIM($AD1819))</f>
        <v>Buenos Aires</v>
      </c>
      <c r="J1819" s="61" t="str">
        <f aca="false">INDEX(Parametros!$C$95:$C$106,MATCH(TRIM(INDEX(Datos_Origen!$E$2:$E$2459,$Z1819)),Parametros!$B$95:$B$106,0))</f>
        <v>E-commerce</v>
      </c>
      <c r="K1819" s="61" t="str">
        <f aca="false">INDEX(Parametros!$C$48:$C$67,MATCH(TRIM(INDEX(Datos_Origen!$F$2:$F$2459,$Z1819)),Parametros!$B$48:$B$67,0))</f>
        <v>Almacenamiento</v>
      </c>
      <c r="L1819" s="61" t="str">
        <f aca="false">$K1819&amp;" "&amp;$C1819</f>
        <v>Almacenamiento 2025</v>
      </c>
      <c r="M1819" s="61" t="str">
        <f aca="false">TRIM(INDEX(Datos_Origen!$G$2:$G$2459,$Z1819))</f>
        <v>SSD Externo 1TB</v>
      </c>
      <c r="N1819" s="61" t="str">
        <f aca="false">$M1819&amp;" "&amp;$C1819</f>
        <v>SSD Externo 1TB 2025</v>
      </c>
      <c r="O1819" s="63" t="n">
        <f aca="false">IF(ISTEXT($AC1819),VALUE($AC1819),$AC1819)</f>
        <v>39</v>
      </c>
      <c r="P1819" s="64" t="n">
        <f aca="false">INDEX(Datos_Origen!$I$2:$I$2459,$Z1819)</f>
        <v>130.51</v>
      </c>
      <c r="Q1819" s="64" t="n">
        <f aca="false">INDEX(Datos_Origen!$J$2:$J$2459,$Z1819)</f>
        <v>78.33</v>
      </c>
      <c r="R1819" s="65" t="n">
        <f aca="false">ROUND($O1819*$P1819,2)</f>
        <v>5089.89</v>
      </c>
      <c r="S1819" s="65" t="n">
        <f aca="false">ROUND($O1819*$Q1819,2)</f>
        <v>3054.87</v>
      </c>
      <c r="T1819" s="65" t="n">
        <f aca="false">ROUND($R1819*SUMIFS(Parametros!$E$28:$E$43,Parametros!$B$28:$B$43,$J1819,Parametros!$C$28:$C$43,$C1819,Parametros!$D$28:$D$43,$D1819),2)</f>
        <v>285.03</v>
      </c>
      <c r="U1819" s="65" t="n">
        <f aca="false">$R1819-$S1819-$T1819</f>
        <v>1749.99</v>
      </c>
      <c r="V1819" s="66" t="n">
        <f aca="false">IFERROR($U1819/$R1819,0)</f>
        <v>0.34381686048225</v>
      </c>
      <c r="W1819" s="67" t="str">
        <f aca="false">IF(AND($V1819&gt;=Parametros!$C$8,$R1819&gt;=Parametros!$C$12),"Alta rentabilidad",IF(OR($V1819&lt;Parametros!$C$11,$R1819&lt;Parametros!$C$13),"Revisar","Estandar"))</f>
        <v>Alta rentabilidad</v>
      </c>
      <c r="X1819" s="67" t="str">
        <f aca="false">IF(AND($J1819="E-commerce",IFERROR($T1819/$R1819,0)&gt;Parametros!$C$14),"Alerta","OK")</f>
        <v>Alerta</v>
      </c>
      <c r="Y1819" s="61" t="str">
        <f aca="false">IF($R1819&gt;=Parametros!$C$12,"Alto",IF($R1819&lt;Parametros!$C$13,"Bajo","Medio"))</f>
        <v>Alto</v>
      </c>
      <c r="Z1819" s="61" t="n">
        <v>1416</v>
      </c>
      <c r="AA1819" s="61" t="str">
        <f aca="false">IF(MATCH($A1819,Datos_Origen!$A$2:$A$2459,0)=$Z1819,"OK","REVISAR")</f>
        <v>OK</v>
      </c>
      <c r="AB1819" s="61" t="str">
        <f aca="false">INDEX(Datos_Origen!$B$2:$B$2459,$Z1819)</f>
        <v>10/07/2025</v>
      </c>
      <c r="AC1819" s="61" t="n">
        <f aca="false">INDEX(Datos_Origen!$H$2:$H$2459,$Z1819)</f>
        <v>39</v>
      </c>
      <c r="AD1819" s="61" t="str">
        <f aca="false">INDEX(Datos_Origen!$D$2:$D$2459,$Z1819)&amp;""</f>
        <v>Buenos Aires</v>
      </c>
    </row>
    <row r="1820" customFormat="false" ht="15" hidden="false" customHeight="false" outlineLevel="0" collapsed="false">
      <c r="A1820" s="61" t="n">
        <f aca="false">INDEX(Datos_Origen!$A$2:$A$2459,$Z1820)</f>
        <v>1819</v>
      </c>
      <c r="B1820" s="62" t="n">
        <f aca="false">IF(ISNUMBER($AB1820),$AB1820,IF(MID($AB1820,5,1)="-",DATE(VALUE(LEFT($AB1820,4)),VALUE(MID($AB1820,6,2)),VALUE(RIGHT($AB1820,2))),DATE(VALUE(RIGHT($AB1820,4)),VALUE(MID($AB1820,4,2)),VALUE(LEFT($AB1820,2)))))</f>
        <v>45855</v>
      </c>
      <c r="C1820" s="61" t="n">
        <f aca="false">YEAR($B1820)</f>
        <v>2025</v>
      </c>
      <c r="D1820" s="61" t="str">
        <f aca="false">"Q"&amp;ROUNDUP(MONTH($B1820)/3,0)</f>
        <v>Q3</v>
      </c>
      <c r="E1820" s="61" t="n">
        <f aca="false">MONTH($B1820)</f>
        <v>7</v>
      </c>
      <c r="F1820" s="61" t="str">
        <f aca="false">INDEX(Parametros!$I$5:$I$16,$E1820)</f>
        <v>Jul</v>
      </c>
      <c r="G1820" s="61" t="str">
        <f aca="false">TEXT($C1820,"0000")&amp;"-"&amp;TEXT($E1820,"00")</f>
        <v>2025-07</v>
      </c>
      <c r="H1820" s="61" t="str">
        <f aca="false">INDEX(Parametros!$C$71:$C$91,MATCH(TRIM(INDEX(Datos_Origen!$C$2:$C$2459,$Z1820)),Parametros!$B$71:$B$91,0))</f>
        <v>AMBA</v>
      </c>
      <c r="I1820" s="61" t="str">
        <f aca="false">IF(TRIM($AD1820)="",INDEX(Parametros!$I$20:$I$24,MATCH($H1820,Parametros!$H$20:$H$24,0)),TRIM($AD1820))</f>
        <v>Buenos Aires</v>
      </c>
      <c r="J1820" s="61" t="str">
        <f aca="false">INDEX(Parametros!$C$95:$C$106,MATCH(TRIM(INDEX(Datos_Origen!$E$2:$E$2459,$Z1820)),Parametros!$B$95:$B$106,0))</f>
        <v>Tienda fisica</v>
      </c>
      <c r="K1820" s="61" t="str">
        <f aca="false">INDEX(Parametros!$C$48:$C$67,MATCH(TRIM(INDEX(Datos_Origen!$F$2:$F$2459,$Z1820)),Parametros!$B$48:$B$67,0))</f>
        <v>Almacenamiento</v>
      </c>
      <c r="L1820" s="61" t="str">
        <f aca="false">$K1820&amp;" "&amp;$C1820</f>
        <v>Almacenamiento 2025</v>
      </c>
      <c r="M1820" s="61" t="str">
        <f aca="false">TRIM(INDEX(Datos_Origen!$G$2:$G$2459,$Z1820))</f>
        <v>Pendrive 256GB</v>
      </c>
      <c r="N1820" s="61" t="str">
        <f aca="false">$M1820&amp;" "&amp;$C1820</f>
        <v>Pendrive 256GB 2025</v>
      </c>
      <c r="O1820" s="63" t="n">
        <f aca="false">IF(ISTEXT($AC1820),VALUE($AC1820),$AC1820)</f>
        <v>52</v>
      </c>
      <c r="P1820" s="64" t="n">
        <f aca="false">INDEX(Datos_Origen!$I$2:$I$2459,$Z1820)</f>
        <v>35.14</v>
      </c>
      <c r="Q1820" s="64" t="n">
        <f aca="false">INDEX(Datos_Origen!$J$2:$J$2459,$Z1820)</f>
        <v>18.39</v>
      </c>
      <c r="R1820" s="65" t="n">
        <f aca="false">ROUND($O1820*$P1820,2)</f>
        <v>1827.28</v>
      </c>
      <c r="S1820" s="65" t="n">
        <f aca="false">ROUND($O1820*$Q1820,2)</f>
        <v>956.28</v>
      </c>
      <c r="T1820" s="65" t="n">
        <f aca="false">ROUND($R1820*SUMIFS(Parametros!$E$28:$E$43,Parametros!$B$28:$B$43,$J1820,Parametros!$C$28:$C$43,$C1820,Parametros!$D$28:$D$43,$D1820),2)</f>
        <v>23.75</v>
      </c>
      <c r="U1820" s="65" t="n">
        <f aca="false">$R1820-$S1820-$T1820</f>
        <v>847.25</v>
      </c>
      <c r="V1820" s="66" t="n">
        <f aca="false">IFERROR($U1820/$R1820,0)</f>
        <v>0.463667308786831</v>
      </c>
      <c r="W1820" s="67" t="str">
        <f aca="false">IF(AND($V1820&gt;=Parametros!$C$8,$R1820&gt;=Parametros!$C$12),"Alta rentabilidad",IF(OR($V1820&lt;Parametros!$C$11,$R1820&lt;Parametros!$C$13),"Revisar","Estandar"))</f>
        <v>Estandar</v>
      </c>
      <c r="X1820" s="67" t="str">
        <f aca="false">IF(AND($J1820="E-commerce",IFERROR($T1820/$R1820,0)&gt;Parametros!$C$14),"Alerta","OK")</f>
        <v>OK</v>
      </c>
      <c r="Y1820" s="61" t="str">
        <f aca="false">IF($R1820&gt;=Parametros!$C$12,"Alto",IF($R1820&lt;Parametros!$C$13,"Bajo","Medio"))</f>
        <v>Medio</v>
      </c>
      <c r="Z1820" s="61" t="n">
        <v>972</v>
      </c>
      <c r="AA1820" s="61" t="str">
        <f aca="false">IF(MATCH($A1820,Datos_Origen!$A$2:$A$2459,0)=$Z1820,"OK","REVISAR")</f>
        <v>OK</v>
      </c>
      <c r="AB1820" s="62" t="n">
        <f aca="false">INDEX(Datos_Origen!$B$2:$B$2459,$Z1820)</f>
        <v>45855</v>
      </c>
      <c r="AC1820" s="61" t="n">
        <f aca="false">INDEX(Datos_Origen!$H$2:$H$2459,$Z1820)</f>
        <v>52</v>
      </c>
      <c r="AD1820" s="61" t="str">
        <f aca="false">INDEX(Datos_Origen!$D$2:$D$2459,$Z1820)&amp;""</f>
        <v>Buenos Aires</v>
      </c>
    </row>
    <row r="1821" customFormat="false" ht="15" hidden="false" customHeight="false" outlineLevel="0" collapsed="false">
      <c r="A1821" s="61" t="n">
        <f aca="false">INDEX(Datos_Origen!$A$2:$A$2459,$Z1821)</f>
        <v>1820</v>
      </c>
      <c r="B1821" s="62" t="n">
        <f aca="false">IF(ISNUMBER($AB1821),$AB1821,IF(MID($AB1821,5,1)="-",DATE(VALUE(LEFT($AB1821,4)),VALUE(MID($AB1821,6,2)),VALUE(RIGHT($AB1821,2))),DATE(VALUE(RIGHT($AB1821,4)),VALUE(MID($AB1821,4,2)),VALUE(LEFT($AB1821,2)))))</f>
        <v>45862</v>
      </c>
      <c r="C1821" s="61" t="n">
        <f aca="false">YEAR($B1821)</f>
        <v>2025</v>
      </c>
      <c r="D1821" s="61" t="str">
        <f aca="false">"Q"&amp;ROUNDUP(MONTH($B1821)/3,0)</f>
        <v>Q3</v>
      </c>
      <c r="E1821" s="61" t="n">
        <f aca="false">MONTH($B1821)</f>
        <v>7</v>
      </c>
      <c r="F1821" s="61" t="str">
        <f aca="false">INDEX(Parametros!$I$5:$I$16,$E1821)</f>
        <v>Jul</v>
      </c>
      <c r="G1821" s="61" t="str">
        <f aca="false">TEXT($C1821,"0000")&amp;"-"&amp;TEXT($E1821,"00")</f>
        <v>2025-07</v>
      </c>
      <c r="H1821" s="61" t="str">
        <f aca="false">INDEX(Parametros!$C$71:$C$91,MATCH(TRIM(INDEX(Datos_Origen!$C$2:$C$2459,$Z1821)),Parametros!$B$71:$B$91,0))</f>
        <v>AMBA</v>
      </c>
      <c r="I1821" s="61" t="str">
        <f aca="false">IF(TRIM($AD1821)="",INDEX(Parametros!$I$20:$I$24,MATCH($H1821,Parametros!$H$20:$H$24,0)),TRIM($AD1821))</f>
        <v>Buenos Aires</v>
      </c>
      <c r="J1821" s="61" t="str">
        <f aca="false">INDEX(Parametros!$C$95:$C$106,MATCH(TRIM(INDEX(Datos_Origen!$E$2:$E$2459,$Z1821)),Parametros!$B$95:$B$106,0))</f>
        <v>E-commerce</v>
      </c>
      <c r="K1821" s="61" t="str">
        <f aca="false">INDEX(Parametros!$C$48:$C$67,MATCH(TRIM(INDEX(Datos_Origen!$F$2:$F$2459,$Z1821)),Parametros!$B$48:$B$67,0))</f>
        <v>Almacenamiento</v>
      </c>
      <c r="L1821" s="61" t="str">
        <f aca="false">$K1821&amp;" "&amp;$C1821</f>
        <v>Almacenamiento 2025</v>
      </c>
      <c r="M1821" s="61" t="str">
        <f aca="false">TRIM(INDEX(Datos_Origen!$G$2:$G$2459,$Z1821))</f>
        <v>Pendrive 256GB</v>
      </c>
      <c r="N1821" s="61" t="str">
        <f aca="false">$M1821&amp;" "&amp;$C1821</f>
        <v>Pendrive 256GB 2025</v>
      </c>
      <c r="O1821" s="63" t="n">
        <f aca="false">IF(ISTEXT($AC1821),VALUE($AC1821),$AC1821)</f>
        <v>46</v>
      </c>
      <c r="P1821" s="64" t="n">
        <f aca="false">INDEX(Datos_Origen!$I$2:$I$2459,$Z1821)</f>
        <v>35.14</v>
      </c>
      <c r="Q1821" s="64" t="n">
        <f aca="false">INDEX(Datos_Origen!$J$2:$J$2459,$Z1821)</f>
        <v>18.39</v>
      </c>
      <c r="R1821" s="65" t="n">
        <f aca="false">ROUND($O1821*$P1821,2)</f>
        <v>1616.44</v>
      </c>
      <c r="S1821" s="65" t="n">
        <f aca="false">ROUND($O1821*$Q1821,2)</f>
        <v>845.94</v>
      </c>
      <c r="T1821" s="65" t="n">
        <f aca="false">ROUND($R1821*SUMIFS(Parametros!$E$28:$E$43,Parametros!$B$28:$B$43,$J1821,Parametros!$C$28:$C$43,$C1821,Parametros!$D$28:$D$43,$D1821),2)</f>
        <v>90.52</v>
      </c>
      <c r="U1821" s="65" t="n">
        <f aca="false">$R1821-$S1821-$T1821</f>
        <v>679.98</v>
      </c>
      <c r="V1821" s="66" t="n">
        <f aca="false">IFERROR($U1821/$R1821,0)</f>
        <v>0.420665165425256</v>
      </c>
      <c r="W1821" s="67" t="str">
        <f aca="false">IF(AND($V1821&gt;=Parametros!$C$8,$R1821&gt;=Parametros!$C$12),"Alta rentabilidad",IF(OR($V1821&lt;Parametros!$C$11,$R1821&lt;Parametros!$C$13),"Revisar","Estandar"))</f>
        <v>Estandar</v>
      </c>
      <c r="X1821" s="67" t="str">
        <f aca="false">IF(AND($J1821="E-commerce",IFERROR($T1821/$R1821,0)&gt;Parametros!$C$14),"Alerta","OK")</f>
        <v>Alerta</v>
      </c>
      <c r="Y1821" s="61" t="str">
        <f aca="false">IF($R1821&gt;=Parametros!$C$12,"Alto",IF($R1821&lt;Parametros!$C$13,"Bajo","Medio"))</f>
        <v>Medio</v>
      </c>
      <c r="Z1821" s="61" t="n">
        <v>273</v>
      </c>
      <c r="AA1821" s="61" t="str">
        <f aca="false">IF(MATCH($A1821,Datos_Origen!$A$2:$A$2459,0)=$Z1821,"OK","REVISAR")</f>
        <v>OK</v>
      </c>
      <c r="AB1821" s="61" t="str">
        <f aca="false">INDEX(Datos_Origen!$B$2:$B$2459,$Z1821)</f>
        <v>24/07/2025</v>
      </c>
      <c r="AC1821" s="61" t="n">
        <f aca="false">INDEX(Datos_Origen!$H$2:$H$2459,$Z1821)</f>
        <v>46</v>
      </c>
      <c r="AD1821" s="61" t="str">
        <f aca="false">INDEX(Datos_Origen!$D$2:$D$2459,$Z1821)&amp;""</f>
        <v>Buenos Aires</v>
      </c>
    </row>
    <row r="1822" customFormat="false" ht="15" hidden="false" customHeight="false" outlineLevel="0" collapsed="false">
      <c r="A1822" s="61" t="n">
        <f aca="false">INDEX(Datos_Origen!$A$2:$A$2459,$Z1822)</f>
        <v>1821</v>
      </c>
      <c r="B1822" s="62" t="n">
        <f aca="false">IF(ISNUMBER($AB1822),$AB1822,IF(MID($AB1822,5,1)="-",DATE(VALUE(LEFT($AB1822,4)),VALUE(MID($AB1822,6,2)),VALUE(RIGHT($AB1822,2))),DATE(VALUE(RIGHT($AB1822,4)),VALUE(MID($AB1822,4,2)),VALUE(LEFT($AB1822,2)))))</f>
        <v>45842</v>
      </c>
      <c r="C1822" s="61" t="n">
        <f aca="false">YEAR($B1822)</f>
        <v>2025</v>
      </c>
      <c r="D1822" s="61" t="str">
        <f aca="false">"Q"&amp;ROUNDUP(MONTH($B1822)/3,0)</f>
        <v>Q3</v>
      </c>
      <c r="E1822" s="61" t="n">
        <f aca="false">MONTH($B1822)</f>
        <v>7</v>
      </c>
      <c r="F1822" s="61" t="str">
        <f aca="false">INDEX(Parametros!$I$5:$I$16,$E1822)</f>
        <v>Jul</v>
      </c>
      <c r="G1822" s="61" t="str">
        <f aca="false">TEXT($C1822,"0000")&amp;"-"&amp;TEXT($E1822,"00")</f>
        <v>2025-07</v>
      </c>
      <c r="H1822" s="61" t="str">
        <f aca="false">INDEX(Parametros!$C$71:$C$91,MATCH(TRIM(INDEX(Datos_Origen!$C$2:$C$2459,$Z1822)),Parametros!$B$71:$B$91,0))</f>
        <v>Centro</v>
      </c>
      <c r="I1822" s="61" t="str">
        <f aca="false">IF(TRIM($AD1822)="",INDEX(Parametros!$I$20:$I$24,MATCH($H1822,Parametros!$H$20:$H$24,0)),TRIM($AD1822))</f>
        <v>Cordoba</v>
      </c>
      <c r="J1822" s="61" t="str">
        <f aca="false">INDEX(Parametros!$C$95:$C$106,MATCH(TRIM(INDEX(Datos_Origen!$E$2:$E$2459,$Z1822)),Parametros!$B$95:$B$106,0))</f>
        <v>Tienda fisica</v>
      </c>
      <c r="K1822" s="61" t="str">
        <f aca="false">INDEX(Parametros!$C$48:$C$67,MATCH(TRIM(INDEX(Datos_Origen!$F$2:$F$2459,$Z1822)),Parametros!$B$48:$B$67,0))</f>
        <v>Computacion</v>
      </c>
      <c r="L1822" s="61" t="str">
        <f aca="false">$K1822&amp;" "&amp;$C1822</f>
        <v>Computacion 2025</v>
      </c>
      <c r="M1822" s="61" t="str">
        <f aca="false">TRIM(INDEX(Datos_Origen!$G$2:$G$2459,$Z1822))</f>
        <v>Laptop Pro 15</v>
      </c>
      <c r="N1822" s="61" t="str">
        <f aca="false">$M1822&amp;" "&amp;$C1822</f>
        <v>Laptop Pro 15 2025</v>
      </c>
      <c r="O1822" s="63" t="n">
        <f aca="false">IF(ISTEXT($AC1822),VALUE($AC1822),$AC1822)</f>
        <v>14</v>
      </c>
      <c r="P1822" s="64" t="n">
        <f aca="false">INDEX(Datos_Origen!$I$2:$I$2459,$Z1822)</f>
        <v>1204.74</v>
      </c>
      <c r="Q1822" s="64" t="n">
        <f aca="false">INDEX(Datos_Origen!$J$2:$J$2459,$Z1822)</f>
        <v>766.32</v>
      </c>
      <c r="R1822" s="65" t="n">
        <f aca="false">ROUND($O1822*$P1822,2)</f>
        <v>16866.36</v>
      </c>
      <c r="S1822" s="65" t="n">
        <f aca="false">ROUND($O1822*$Q1822,2)</f>
        <v>10728.48</v>
      </c>
      <c r="T1822" s="65" t="n">
        <f aca="false">ROUND($R1822*SUMIFS(Parametros!$E$28:$E$43,Parametros!$B$28:$B$43,$J1822,Parametros!$C$28:$C$43,$C1822,Parametros!$D$28:$D$43,$D1822),2)</f>
        <v>219.26</v>
      </c>
      <c r="U1822" s="65" t="n">
        <f aca="false">$R1822-$S1822-$T1822</f>
        <v>5918.62</v>
      </c>
      <c r="V1822" s="66" t="n">
        <f aca="false">IFERROR($U1822/$R1822,0)</f>
        <v>0.35091270434166</v>
      </c>
      <c r="W1822" s="67" t="str">
        <f aca="false">IF(AND($V1822&gt;=Parametros!$C$8,$R1822&gt;=Parametros!$C$12),"Alta rentabilidad",IF(OR($V1822&lt;Parametros!$C$11,$R1822&lt;Parametros!$C$13),"Revisar","Estandar"))</f>
        <v>Alta rentabilidad</v>
      </c>
      <c r="X1822" s="67" t="str">
        <f aca="false">IF(AND($J1822="E-commerce",IFERROR($T1822/$R1822,0)&gt;Parametros!$C$14),"Alerta","OK")</f>
        <v>OK</v>
      </c>
      <c r="Y1822" s="61" t="str">
        <f aca="false">IF($R1822&gt;=Parametros!$C$12,"Alto",IF($R1822&lt;Parametros!$C$13,"Bajo","Medio"))</f>
        <v>Alto</v>
      </c>
      <c r="Z1822" s="61" t="n">
        <v>27</v>
      </c>
      <c r="AA1822" s="61" t="str">
        <f aca="false">IF(MATCH($A1822,Datos_Origen!$A$2:$A$2459,0)=$Z1822,"OK","REVISAR")</f>
        <v>OK</v>
      </c>
      <c r="AB1822" s="61" t="str">
        <f aca="false">INDEX(Datos_Origen!$B$2:$B$2459,$Z1822)</f>
        <v>04/07/2025</v>
      </c>
      <c r="AC1822" s="61" t="n">
        <f aca="false">INDEX(Datos_Origen!$H$2:$H$2459,$Z1822)</f>
        <v>14</v>
      </c>
      <c r="AD1822" s="61" t="str">
        <f aca="false">INDEX(Datos_Origen!$D$2:$D$2459,$Z1822)&amp;""</f>
        <v>Cordoba</v>
      </c>
    </row>
    <row r="1823" customFormat="false" ht="15" hidden="false" customHeight="false" outlineLevel="0" collapsed="false">
      <c r="A1823" s="61" t="n">
        <f aca="false">INDEX(Datos_Origen!$A$2:$A$2459,$Z1823)</f>
        <v>1822</v>
      </c>
      <c r="B1823" s="62" t="n">
        <f aca="false">IF(ISNUMBER($AB1823),$AB1823,IF(MID($AB1823,5,1)="-",DATE(VALUE(LEFT($AB1823,4)),VALUE(MID($AB1823,6,2)),VALUE(RIGHT($AB1823,2))),DATE(VALUE(RIGHT($AB1823,4)),VALUE(MID($AB1823,4,2)),VALUE(LEFT($AB1823,2)))))</f>
        <v>45849</v>
      </c>
      <c r="C1823" s="61" t="n">
        <f aca="false">YEAR($B1823)</f>
        <v>2025</v>
      </c>
      <c r="D1823" s="61" t="str">
        <f aca="false">"Q"&amp;ROUNDUP(MONTH($B1823)/3,0)</f>
        <v>Q3</v>
      </c>
      <c r="E1823" s="61" t="n">
        <f aca="false">MONTH($B1823)</f>
        <v>7</v>
      </c>
      <c r="F1823" s="61" t="str">
        <f aca="false">INDEX(Parametros!$I$5:$I$16,$E1823)</f>
        <v>Jul</v>
      </c>
      <c r="G1823" s="61" t="str">
        <f aca="false">TEXT($C1823,"0000")&amp;"-"&amp;TEXT($E1823,"00")</f>
        <v>2025-07</v>
      </c>
      <c r="H1823" s="61" t="str">
        <f aca="false">INDEX(Parametros!$C$71:$C$91,MATCH(TRIM(INDEX(Datos_Origen!$C$2:$C$2459,$Z1823)),Parametros!$B$71:$B$91,0))</f>
        <v>Centro</v>
      </c>
      <c r="I1823" s="61" t="str">
        <f aca="false">IF(TRIM($AD1823)="",INDEX(Parametros!$I$20:$I$24,MATCH($H1823,Parametros!$H$20:$H$24,0)),TRIM($AD1823))</f>
        <v>Cordoba</v>
      </c>
      <c r="J1823" s="61" t="str">
        <f aca="false">INDEX(Parametros!$C$95:$C$106,MATCH(TRIM(INDEX(Datos_Origen!$E$2:$E$2459,$Z1823)),Parametros!$B$95:$B$106,0))</f>
        <v>E-commerce</v>
      </c>
      <c r="K1823" s="61" t="str">
        <f aca="false">INDEX(Parametros!$C$48:$C$67,MATCH(TRIM(INDEX(Datos_Origen!$F$2:$F$2459,$Z1823)),Parametros!$B$48:$B$67,0))</f>
        <v>Computacion</v>
      </c>
      <c r="L1823" s="61" t="str">
        <f aca="false">$K1823&amp;" "&amp;$C1823</f>
        <v>Computacion 2025</v>
      </c>
      <c r="M1823" s="61" t="str">
        <f aca="false">TRIM(INDEX(Datos_Origen!$G$2:$G$2459,$Z1823))</f>
        <v>Laptop Pro 15</v>
      </c>
      <c r="N1823" s="61" t="str">
        <f aca="false">$M1823&amp;" "&amp;$C1823</f>
        <v>Laptop Pro 15 2025</v>
      </c>
      <c r="O1823" s="63" t="n">
        <f aca="false">IF(ISTEXT($AC1823),VALUE($AC1823),$AC1823)</f>
        <v>8</v>
      </c>
      <c r="P1823" s="64" t="n">
        <f aca="false">INDEX(Datos_Origen!$I$2:$I$2459,$Z1823)</f>
        <v>1204.74</v>
      </c>
      <c r="Q1823" s="64" t="n">
        <f aca="false">INDEX(Datos_Origen!$J$2:$J$2459,$Z1823)</f>
        <v>766.32</v>
      </c>
      <c r="R1823" s="65" t="n">
        <f aca="false">ROUND($O1823*$P1823,2)</f>
        <v>9637.92</v>
      </c>
      <c r="S1823" s="65" t="n">
        <f aca="false">ROUND($O1823*$Q1823,2)</f>
        <v>6130.56</v>
      </c>
      <c r="T1823" s="65" t="n">
        <f aca="false">ROUND($R1823*SUMIFS(Parametros!$E$28:$E$43,Parametros!$B$28:$B$43,$J1823,Parametros!$C$28:$C$43,$C1823,Parametros!$D$28:$D$43,$D1823),2)</f>
        <v>539.72</v>
      </c>
      <c r="U1823" s="65" t="n">
        <f aca="false">$R1823-$S1823-$T1823</f>
        <v>2967.64</v>
      </c>
      <c r="V1823" s="66" t="n">
        <f aca="false">IFERROR($U1823/$R1823,0)</f>
        <v>0.307912910669522</v>
      </c>
      <c r="W1823" s="67" t="str">
        <f aca="false">IF(AND($V1823&gt;=Parametros!$C$8,$R1823&gt;=Parametros!$C$12),"Alta rentabilidad",IF(OR($V1823&lt;Parametros!$C$11,$R1823&lt;Parametros!$C$13),"Revisar","Estandar"))</f>
        <v>Estandar</v>
      </c>
      <c r="X1823" s="67" t="str">
        <f aca="false">IF(AND($J1823="E-commerce",IFERROR($T1823/$R1823,0)&gt;Parametros!$C$14),"Alerta","OK")</f>
        <v>Alerta</v>
      </c>
      <c r="Y1823" s="61" t="str">
        <f aca="false">IF($R1823&gt;=Parametros!$C$12,"Alto",IF($R1823&lt;Parametros!$C$13,"Bajo","Medio"))</f>
        <v>Alto</v>
      </c>
      <c r="Z1823" s="61" t="n">
        <v>77</v>
      </c>
      <c r="AA1823" s="61" t="str">
        <f aca="false">IF(MATCH($A1823,Datos_Origen!$A$2:$A$2459,0)=$Z1823,"OK","REVISAR")</f>
        <v>OK</v>
      </c>
      <c r="AB1823" s="62" t="n">
        <f aca="false">INDEX(Datos_Origen!$B$2:$B$2459,$Z1823)</f>
        <v>45849</v>
      </c>
      <c r="AC1823" s="61" t="n">
        <f aca="false">INDEX(Datos_Origen!$H$2:$H$2459,$Z1823)</f>
        <v>8</v>
      </c>
      <c r="AD1823" s="61" t="str">
        <f aca="false">INDEX(Datos_Origen!$D$2:$D$2459,$Z1823)&amp;""</f>
        <v>Cordoba</v>
      </c>
    </row>
    <row r="1824" customFormat="false" ht="15" hidden="false" customHeight="false" outlineLevel="0" collapsed="false">
      <c r="A1824" s="61" t="n">
        <f aca="false">INDEX(Datos_Origen!$A$2:$A$2459,$Z1824)</f>
        <v>1823</v>
      </c>
      <c r="B1824" s="62" t="n">
        <f aca="false">IF(ISNUMBER($AB1824),$AB1824,IF(MID($AB1824,5,1)="-",DATE(VALUE(LEFT($AB1824,4)),VALUE(MID($AB1824,6,2)),VALUE(RIGHT($AB1824,2))),DATE(VALUE(RIGHT($AB1824,4)),VALUE(MID($AB1824,4,2)),VALUE(LEFT($AB1824,2)))))</f>
        <v>45856</v>
      </c>
      <c r="C1824" s="61" t="n">
        <f aca="false">YEAR($B1824)</f>
        <v>2025</v>
      </c>
      <c r="D1824" s="61" t="str">
        <f aca="false">"Q"&amp;ROUNDUP(MONTH($B1824)/3,0)</f>
        <v>Q3</v>
      </c>
      <c r="E1824" s="61" t="n">
        <f aca="false">MONTH($B1824)</f>
        <v>7</v>
      </c>
      <c r="F1824" s="61" t="str">
        <f aca="false">INDEX(Parametros!$I$5:$I$16,$E1824)</f>
        <v>Jul</v>
      </c>
      <c r="G1824" s="61" t="str">
        <f aca="false">TEXT($C1824,"0000")&amp;"-"&amp;TEXT($E1824,"00")</f>
        <v>2025-07</v>
      </c>
      <c r="H1824" s="61" t="str">
        <f aca="false">INDEX(Parametros!$C$71:$C$91,MATCH(TRIM(INDEX(Datos_Origen!$C$2:$C$2459,$Z1824)),Parametros!$B$71:$B$91,0))</f>
        <v>Centro</v>
      </c>
      <c r="I1824" s="61" t="str">
        <f aca="false">IF(TRIM($AD1824)="",INDEX(Parametros!$I$20:$I$24,MATCH($H1824,Parametros!$H$20:$H$24,0)),TRIM($AD1824))</f>
        <v>Cordoba</v>
      </c>
      <c r="J1824" s="61" t="str">
        <f aca="false">INDEX(Parametros!$C$95:$C$106,MATCH(TRIM(INDEX(Datos_Origen!$E$2:$E$2459,$Z1824)),Parametros!$B$95:$B$106,0))</f>
        <v>Tienda fisica</v>
      </c>
      <c r="K1824" s="61" t="str">
        <f aca="false">INDEX(Parametros!$C$48:$C$67,MATCH(TRIM(INDEX(Datos_Origen!$F$2:$F$2459,$Z1824)),Parametros!$B$48:$B$67,0))</f>
        <v>Computacion</v>
      </c>
      <c r="L1824" s="61" t="str">
        <f aca="false">$K1824&amp;" "&amp;$C1824</f>
        <v>Computacion 2025</v>
      </c>
      <c r="M1824" s="61" t="str">
        <f aca="false">TRIM(INDEX(Datos_Origen!$G$2:$G$2459,$Z1824))</f>
        <v>Monitor 4K 27</v>
      </c>
      <c r="N1824" s="61" t="str">
        <f aca="false">$M1824&amp;" "&amp;$C1824</f>
        <v>Monitor 4K 27 2025</v>
      </c>
      <c r="O1824" s="63" t="n">
        <f aca="false">IF(ISTEXT($AC1824),VALUE($AC1824),$AC1824)</f>
        <v>15</v>
      </c>
      <c r="P1824" s="64" t="n">
        <f aca="false">INDEX(Datos_Origen!$I$2:$I$2459,$Z1824)</f>
        <v>451.78</v>
      </c>
      <c r="Q1824" s="64" t="n">
        <f aca="false">INDEX(Datos_Origen!$J$2:$J$2459,$Z1824)</f>
        <v>280.42</v>
      </c>
      <c r="R1824" s="65" t="n">
        <f aca="false">ROUND($O1824*$P1824,2)</f>
        <v>6776.7</v>
      </c>
      <c r="S1824" s="65" t="n">
        <f aca="false">ROUND($O1824*$Q1824,2)</f>
        <v>4206.3</v>
      </c>
      <c r="T1824" s="65" t="n">
        <f aca="false">ROUND($R1824*SUMIFS(Parametros!$E$28:$E$43,Parametros!$B$28:$B$43,$J1824,Parametros!$C$28:$C$43,$C1824,Parametros!$D$28:$D$43,$D1824),2)</f>
        <v>88.1</v>
      </c>
      <c r="U1824" s="65" t="n">
        <f aca="false">$R1824-$S1824-$T1824</f>
        <v>2482.3</v>
      </c>
      <c r="V1824" s="66" t="n">
        <f aca="false">IFERROR($U1824/$R1824,0)</f>
        <v>0.366299231189222</v>
      </c>
      <c r="W1824" s="67" t="str">
        <f aca="false">IF(AND($V1824&gt;=Parametros!$C$8,$R1824&gt;=Parametros!$C$12),"Alta rentabilidad",IF(OR($V1824&lt;Parametros!$C$11,$R1824&lt;Parametros!$C$13),"Revisar","Estandar"))</f>
        <v>Alta rentabilidad</v>
      </c>
      <c r="X1824" s="67" t="str">
        <f aca="false">IF(AND($J1824="E-commerce",IFERROR($T1824/$R1824,0)&gt;Parametros!$C$14),"Alerta","OK")</f>
        <v>OK</v>
      </c>
      <c r="Y1824" s="61" t="str">
        <f aca="false">IF($R1824&gt;=Parametros!$C$12,"Alto",IF($R1824&lt;Parametros!$C$13,"Bajo","Medio"))</f>
        <v>Alto</v>
      </c>
      <c r="Z1824" s="61" t="n">
        <v>1355</v>
      </c>
      <c r="AA1824" s="61" t="str">
        <f aca="false">IF(MATCH($A1824,Datos_Origen!$A$2:$A$2459,0)=$Z1824,"OK","REVISAR")</f>
        <v>OK</v>
      </c>
      <c r="AB1824" s="61" t="str">
        <f aca="false">INDEX(Datos_Origen!$B$2:$B$2459,$Z1824)</f>
        <v>18/07/2025</v>
      </c>
      <c r="AC1824" s="61" t="n">
        <f aca="false">INDEX(Datos_Origen!$H$2:$H$2459,$Z1824)</f>
        <v>15</v>
      </c>
      <c r="AD1824" s="61" t="str">
        <f aca="false">INDEX(Datos_Origen!$D$2:$D$2459,$Z1824)&amp;""</f>
        <v>Cordoba</v>
      </c>
    </row>
    <row r="1825" customFormat="false" ht="15" hidden="false" customHeight="false" outlineLevel="0" collapsed="false">
      <c r="A1825" s="61" t="n">
        <f aca="false">INDEX(Datos_Origen!$A$2:$A$2459,$Z1825)</f>
        <v>1824</v>
      </c>
      <c r="B1825" s="62" t="n">
        <f aca="false">IF(ISNUMBER($AB1825),$AB1825,IF(MID($AB1825,5,1)="-",DATE(VALUE(LEFT($AB1825,4)),VALUE(MID($AB1825,6,2)),VALUE(RIGHT($AB1825,2))),DATE(VALUE(RIGHT($AB1825,4)),VALUE(MID($AB1825,4,2)),VALUE(LEFT($AB1825,2)))))</f>
        <v>45863</v>
      </c>
      <c r="C1825" s="61" t="n">
        <f aca="false">YEAR($B1825)</f>
        <v>2025</v>
      </c>
      <c r="D1825" s="61" t="str">
        <f aca="false">"Q"&amp;ROUNDUP(MONTH($B1825)/3,0)</f>
        <v>Q3</v>
      </c>
      <c r="E1825" s="61" t="n">
        <f aca="false">MONTH($B1825)</f>
        <v>7</v>
      </c>
      <c r="F1825" s="61" t="str">
        <f aca="false">INDEX(Parametros!$I$5:$I$16,$E1825)</f>
        <v>Jul</v>
      </c>
      <c r="G1825" s="61" t="str">
        <f aca="false">TEXT($C1825,"0000")&amp;"-"&amp;TEXT($E1825,"00")</f>
        <v>2025-07</v>
      </c>
      <c r="H1825" s="61" t="str">
        <f aca="false">INDEX(Parametros!$C$71:$C$91,MATCH(TRIM(INDEX(Datos_Origen!$C$2:$C$2459,$Z1825)),Parametros!$B$71:$B$91,0))</f>
        <v>Centro</v>
      </c>
      <c r="I1825" s="61" t="str">
        <f aca="false">IF(TRIM($AD1825)="",INDEX(Parametros!$I$20:$I$24,MATCH($H1825,Parametros!$H$20:$H$24,0)),TRIM($AD1825))</f>
        <v>Cordoba</v>
      </c>
      <c r="J1825" s="61" t="str">
        <f aca="false">INDEX(Parametros!$C$95:$C$106,MATCH(TRIM(INDEX(Datos_Origen!$E$2:$E$2459,$Z1825)),Parametros!$B$95:$B$106,0))</f>
        <v>E-commerce</v>
      </c>
      <c r="K1825" s="61" t="str">
        <f aca="false">INDEX(Parametros!$C$48:$C$67,MATCH(TRIM(INDEX(Datos_Origen!$F$2:$F$2459,$Z1825)),Parametros!$B$48:$B$67,0))</f>
        <v>Computacion</v>
      </c>
      <c r="L1825" s="61" t="str">
        <f aca="false">$K1825&amp;" "&amp;$C1825</f>
        <v>Computacion 2025</v>
      </c>
      <c r="M1825" s="61" t="str">
        <f aca="false">TRIM(INDEX(Datos_Origen!$G$2:$G$2459,$Z1825))</f>
        <v>Monitor 4K 27</v>
      </c>
      <c r="N1825" s="61" t="str">
        <f aca="false">$M1825&amp;" "&amp;$C1825</f>
        <v>Monitor 4K 27 2025</v>
      </c>
      <c r="O1825" s="63" t="n">
        <f aca="false">IF(ISTEXT($AC1825),VALUE($AC1825),$AC1825)</f>
        <v>9</v>
      </c>
      <c r="P1825" s="64" t="n">
        <f aca="false">INDEX(Datos_Origen!$I$2:$I$2459,$Z1825)</f>
        <v>451.78</v>
      </c>
      <c r="Q1825" s="64" t="n">
        <f aca="false">INDEX(Datos_Origen!$J$2:$J$2459,$Z1825)</f>
        <v>280.42</v>
      </c>
      <c r="R1825" s="65" t="n">
        <f aca="false">ROUND($O1825*$P1825,2)</f>
        <v>4066.02</v>
      </c>
      <c r="S1825" s="65" t="n">
        <f aca="false">ROUND($O1825*$Q1825,2)</f>
        <v>2523.78</v>
      </c>
      <c r="T1825" s="65" t="n">
        <f aca="false">ROUND($R1825*SUMIFS(Parametros!$E$28:$E$43,Parametros!$B$28:$B$43,$J1825,Parametros!$C$28:$C$43,$C1825,Parametros!$D$28:$D$43,$D1825),2)</f>
        <v>227.7</v>
      </c>
      <c r="U1825" s="65" t="n">
        <f aca="false">$R1825-$S1825-$T1825</f>
        <v>1314.54</v>
      </c>
      <c r="V1825" s="66" t="n">
        <f aca="false">IFERROR($U1825/$R1825,0)</f>
        <v>0.323298950816769</v>
      </c>
      <c r="W1825" s="67" t="str">
        <f aca="false">IF(AND($V1825&gt;=Parametros!$C$8,$R1825&gt;=Parametros!$C$12),"Alta rentabilidad",IF(OR($V1825&lt;Parametros!$C$11,$R1825&lt;Parametros!$C$13),"Revisar","Estandar"))</f>
        <v>Estandar</v>
      </c>
      <c r="X1825" s="67" t="str">
        <f aca="false">IF(AND($J1825="E-commerce",IFERROR($T1825/$R1825,0)&gt;Parametros!$C$14),"Alerta","OK")</f>
        <v>Alerta</v>
      </c>
      <c r="Y1825" s="61" t="str">
        <f aca="false">IF($R1825&gt;=Parametros!$C$12,"Alto",IF($R1825&lt;Parametros!$C$13,"Bajo","Medio"))</f>
        <v>Alto</v>
      </c>
      <c r="Z1825" s="61" t="n">
        <v>1151</v>
      </c>
      <c r="AA1825" s="61" t="str">
        <f aca="false">IF(MATCH($A1825,Datos_Origen!$A$2:$A$2459,0)=$Z1825,"OK","REVISAR")</f>
        <v>OK</v>
      </c>
      <c r="AB1825" s="62" t="n">
        <f aca="false">INDEX(Datos_Origen!$B$2:$B$2459,$Z1825)</f>
        <v>45863</v>
      </c>
      <c r="AC1825" s="61" t="n">
        <f aca="false">INDEX(Datos_Origen!$H$2:$H$2459,$Z1825)</f>
        <v>9</v>
      </c>
      <c r="AD1825" s="61" t="str">
        <f aca="false">INDEX(Datos_Origen!$D$2:$D$2459,$Z1825)&amp;""</f>
        <v>Cordoba</v>
      </c>
    </row>
    <row r="1826" customFormat="false" ht="15" hidden="false" customHeight="false" outlineLevel="0" collapsed="false">
      <c r="A1826" s="61" t="n">
        <f aca="false">INDEX(Datos_Origen!$A$2:$A$2459,$Z1826)</f>
        <v>1825</v>
      </c>
      <c r="B1826" s="62" t="n">
        <f aca="false">IF(ISNUMBER($AB1826),$AB1826,IF(MID($AB1826,5,1)="-",DATE(VALUE(LEFT($AB1826,4)),VALUE(MID($AB1826,6,2)),VALUE(RIGHT($AB1826,2))),DATE(VALUE(RIGHT($AB1826,4)),VALUE(MID($AB1826,4,2)),VALUE(LEFT($AB1826,2)))))</f>
        <v>45843</v>
      </c>
      <c r="C1826" s="61" t="n">
        <f aca="false">YEAR($B1826)</f>
        <v>2025</v>
      </c>
      <c r="D1826" s="61" t="str">
        <f aca="false">"Q"&amp;ROUNDUP(MONTH($B1826)/3,0)</f>
        <v>Q3</v>
      </c>
      <c r="E1826" s="61" t="n">
        <f aca="false">MONTH($B1826)</f>
        <v>7</v>
      </c>
      <c r="F1826" s="61" t="str">
        <f aca="false">INDEX(Parametros!$I$5:$I$16,$E1826)</f>
        <v>Jul</v>
      </c>
      <c r="G1826" s="61" t="str">
        <f aca="false">TEXT($C1826,"0000")&amp;"-"&amp;TEXT($E1826,"00")</f>
        <v>2025-07</v>
      </c>
      <c r="H1826" s="61" t="str">
        <f aca="false">INDEX(Parametros!$C$71:$C$91,MATCH(TRIM(INDEX(Datos_Origen!$C$2:$C$2459,$Z1826)),Parametros!$B$71:$B$91,0))</f>
        <v>Centro</v>
      </c>
      <c r="I1826" s="61" t="str">
        <f aca="false">IF(TRIM($AD1826)="",INDEX(Parametros!$I$20:$I$24,MATCH($H1826,Parametros!$H$20:$H$24,0)),TRIM($AD1826))</f>
        <v>Cordoba</v>
      </c>
      <c r="J1826" s="61" t="str">
        <f aca="false">INDEX(Parametros!$C$95:$C$106,MATCH(TRIM(INDEX(Datos_Origen!$E$2:$E$2459,$Z1826)),Parametros!$B$95:$B$106,0))</f>
        <v>Tienda fisica</v>
      </c>
      <c r="K1826" s="61" t="str">
        <f aca="false">INDEX(Parametros!$C$48:$C$67,MATCH(TRIM(INDEX(Datos_Origen!$F$2:$F$2459,$Z1826)),Parametros!$B$48:$B$67,0))</f>
        <v>Computacion</v>
      </c>
      <c r="L1826" s="61" t="str">
        <f aca="false">$K1826&amp;" "&amp;$C1826</f>
        <v>Computacion 2025</v>
      </c>
      <c r="M1826" s="61" t="str">
        <f aca="false">TRIM(INDEX(Datos_Origen!$G$2:$G$2459,$Z1826))</f>
        <v>PC Gamer Ryzen</v>
      </c>
      <c r="N1826" s="61" t="str">
        <f aca="false">$M1826&amp;" "&amp;$C1826</f>
        <v>PC Gamer Ryzen 2025</v>
      </c>
      <c r="O1826" s="63" t="n">
        <f aca="false">IF(ISTEXT($AC1826),VALUE($AC1826),$AC1826)</f>
        <v>14</v>
      </c>
      <c r="P1826" s="64" t="n">
        <f aca="false">INDEX(Datos_Origen!$I$2:$I$2459,$Z1826)</f>
        <v>1656.52</v>
      </c>
      <c r="Q1826" s="64" t="n">
        <f aca="false">INDEX(Datos_Origen!$J$2:$J$2459,$Z1826)</f>
        <v>1155.66</v>
      </c>
      <c r="R1826" s="65" t="n">
        <f aca="false">ROUND($O1826*$P1826,2)</f>
        <v>23191.28</v>
      </c>
      <c r="S1826" s="65" t="n">
        <f aca="false">ROUND($O1826*$Q1826,2)</f>
        <v>16179.24</v>
      </c>
      <c r="T1826" s="65" t="n">
        <f aca="false">ROUND($R1826*SUMIFS(Parametros!$E$28:$E$43,Parametros!$B$28:$B$43,$J1826,Parametros!$C$28:$C$43,$C1826,Parametros!$D$28:$D$43,$D1826),2)</f>
        <v>301.49</v>
      </c>
      <c r="U1826" s="65" t="n">
        <f aca="false">$R1826-$S1826-$T1826</f>
        <v>6710.55</v>
      </c>
      <c r="V1826" s="66" t="n">
        <f aca="false">IFERROR($U1826/$R1826,0)</f>
        <v>0.289356602999058</v>
      </c>
      <c r="W1826" s="67" t="str">
        <f aca="false">IF(AND($V1826&gt;=Parametros!$C$8,$R1826&gt;=Parametros!$C$12),"Alta rentabilidad",IF(OR($V1826&lt;Parametros!$C$11,$R1826&lt;Parametros!$C$13),"Revisar","Estandar"))</f>
        <v>Estandar</v>
      </c>
      <c r="X1826" s="67" t="str">
        <f aca="false">IF(AND($J1826="E-commerce",IFERROR($T1826/$R1826,0)&gt;Parametros!$C$14),"Alerta","OK")</f>
        <v>OK</v>
      </c>
      <c r="Y1826" s="61" t="str">
        <f aca="false">IF($R1826&gt;=Parametros!$C$12,"Alto",IF($R1826&lt;Parametros!$C$13,"Bajo","Medio"))</f>
        <v>Alto</v>
      </c>
      <c r="Z1826" s="61" t="n">
        <v>1158</v>
      </c>
      <c r="AA1826" s="61" t="str">
        <f aca="false">IF(MATCH($A1826,Datos_Origen!$A$2:$A$2459,0)=$Z1826,"OK","REVISAR")</f>
        <v>OK</v>
      </c>
      <c r="AB1826" s="62" t="n">
        <f aca="false">INDEX(Datos_Origen!$B$2:$B$2459,$Z1826)</f>
        <v>45843</v>
      </c>
      <c r="AC1826" s="61" t="n">
        <f aca="false">INDEX(Datos_Origen!$H$2:$H$2459,$Z1826)</f>
        <v>14</v>
      </c>
      <c r="AD1826" s="61" t="str">
        <f aca="false">INDEX(Datos_Origen!$D$2:$D$2459,$Z1826)&amp;""</f>
        <v>Cordoba</v>
      </c>
    </row>
    <row r="1827" customFormat="false" ht="15" hidden="false" customHeight="false" outlineLevel="0" collapsed="false">
      <c r="A1827" s="61" t="n">
        <f aca="false">INDEX(Datos_Origen!$A$2:$A$2459,$Z1827)</f>
        <v>1826</v>
      </c>
      <c r="B1827" s="62" t="n">
        <f aca="false">IF(ISNUMBER($AB1827),$AB1827,IF(MID($AB1827,5,1)="-",DATE(VALUE(LEFT($AB1827,4)),VALUE(MID($AB1827,6,2)),VALUE(RIGHT($AB1827,2))),DATE(VALUE(RIGHT($AB1827,4)),VALUE(MID($AB1827,4,2)),VALUE(LEFT($AB1827,2)))))</f>
        <v>45850</v>
      </c>
      <c r="C1827" s="61" t="n">
        <f aca="false">YEAR($B1827)</f>
        <v>2025</v>
      </c>
      <c r="D1827" s="61" t="str">
        <f aca="false">"Q"&amp;ROUNDUP(MONTH($B1827)/3,0)</f>
        <v>Q3</v>
      </c>
      <c r="E1827" s="61" t="n">
        <f aca="false">MONTH($B1827)</f>
        <v>7</v>
      </c>
      <c r="F1827" s="61" t="str">
        <f aca="false">INDEX(Parametros!$I$5:$I$16,$E1827)</f>
        <v>Jul</v>
      </c>
      <c r="G1827" s="61" t="str">
        <f aca="false">TEXT($C1827,"0000")&amp;"-"&amp;TEXT($E1827,"00")</f>
        <v>2025-07</v>
      </c>
      <c r="H1827" s="61" t="str">
        <f aca="false">INDEX(Parametros!$C$71:$C$91,MATCH(TRIM(INDEX(Datos_Origen!$C$2:$C$2459,$Z1827)),Parametros!$B$71:$B$91,0))</f>
        <v>Centro</v>
      </c>
      <c r="I1827" s="61" t="str">
        <f aca="false">IF(TRIM($AD1827)="",INDEX(Parametros!$I$20:$I$24,MATCH($H1827,Parametros!$H$20:$H$24,0)),TRIM($AD1827))</f>
        <v>Cordoba</v>
      </c>
      <c r="J1827" s="61" t="str">
        <f aca="false">INDEX(Parametros!$C$95:$C$106,MATCH(TRIM(INDEX(Datos_Origen!$E$2:$E$2459,$Z1827)),Parametros!$B$95:$B$106,0))</f>
        <v>E-commerce</v>
      </c>
      <c r="K1827" s="61" t="str">
        <f aca="false">INDEX(Parametros!$C$48:$C$67,MATCH(TRIM(INDEX(Datos_Origen!$F$2:$F$2459,$Z1827)),Parametros!$B$48:$B$67,0))</f>
        <v>Computacion</v>
      </c>
      <c r="L1827" s="61" t="str">
        <f aca="false">$K1827&amp;" "&amp;$C1827</f>
        <v>Computacion 2025</v>
      </c>
      <c r="M1827" s="61" t="str">
        <f aca="false">TRIM(INDEX(Datos_Origen!$G$2:$G$2459,$Z1827))</f>
        <v>PC Gamer Ryzen</v>
      </c>
      <c r="N1827" s="61" t="str">
        <f aca="false">$M1827&amp;" "&amp;$C1827</f>
        <v>PC Gamer Ryzen 2025</v>
      </c>
      <c r="O1827" s="63" t="n">
        <f aca="false">IF(ISTEXT($AC1827),VALUE($AC1827),$AC1827)</f>
        <v>8</v>
      </c>
      <c r="P1827" s="64" t="n">
        <f aca="false">INDEX(Datos_Origen!$I$2:$I$2459,$Z1827)</f>
        <v>1656.52</v>
      </c>
      <c r="Q1827" s="64" t="n">
        <f aca="false">INDEX(Datos_Origen!$J$2:$J$2459,$Z1827)</f>
        <v>1155.66</v>
      </c>
      <c r="R1827" s="65" t="n">
        <f aca="false">ROUND($O1827*$P1827,2)</f>
        <v>13252.16</v>
      </c>
      <c r="S1827" s="65" t="n">
        <f aca="false">ROUND($O1827*$Q1827,2)</f>
        <v>9245.28</v>
      </c>
      <c r="T1827" s="65" t="n">
        <f aca="false">ROUND($R1827*SUMIFS(Parametros!$E$28:$E$43,Parametros!$B$28:$B$43,$J1827,Parametros!$C$28:$C$43,$C1827,Parametros!$D$28:$D$43,$D1827),2)</f>
        <v>742.12</v>
      </c>
      <c r="U1827" s="65" t="n">
        <f aca="false">$R1827-$S1827-$T1827</f>
        <v>3264.76</v>
      </c>
      <c r="V1827" s="66" t="n">
        <f aca="false">IFERROR($U1827/$R1827,0)</f>
        <v>0.246356820322121</v>
      </c>
      <c r="W1827" s="67" t="str">
        <f aca="false">IF(AND($V1827&gt;=Parametros!$C$8,$R1827&gt;=Parametros!$C$12),"Alta rentabilidad",IF(OR($V1827&lt;Parametros!$C$11,$R1827&lt;Parametros!$C$13),"Revisar","Estandar"))</f>
        <v>Revisar</v>
      </c>
      <c r="X1827" s="67" t="str">
        <f aca="false">IF(AND($J1827="E-commerce",IFERROR($T1827/$R1827,0)&gt;Parametros!$C$14),"Alerta","OK")</f>
        <v>Alerta</v>
      </c>
      <c r="Y1827" s="61" t="str">
        <f aca="false">IF($R1827&gt;=Parametros!$C$12,"Alto",IF($R1827&lt;Parametros!$C$13,"Bajo","Medio"))</f>
        <v>Alto</v>
      </c>
      <c r="Z1827" s="61" t="n">
        <v>1769</v>
      </c>
      <c r="AA1827" s="61" t="str">
        <f aca="false">IF(MATCH($A1827,Datos_Origen!$A$2:$A$2459,0)=$Z1827,"OK","REVISAR")</f>
        <v>OK</v>
      </c>
      <c r="AB1827" s="62" t="n">
        <f aca="false">INDEX(Datos_Origen!$B$2:$B$2459,$Z1827)</f>
        <v>45850</v>
      </c>
      <c r="AC1827" s="61" t="n">
        <f aca="false">INDEX(Datos_Origen!$H$2:$H$2459,$Z1827)</f>
        <v>8</v>
      </c>
      <c r="AD1827" s="61" t="str">
        <f aca="false">INDEX(Datos_Origen!$D$2:$D$2459,$Z1827)&amp;""</f>
        <v>Cordoba</v>
      </c>
    </row>
    <row r="1828" customFormat="false" ht="15" hidden="false" customHeight="false" outlineLevel="0" collapsed="false">
      <c r="A1828" s="61" t="n">
        <f aca="false">INDEX(Datos_Origen!$A$2:$A$2459,$Z1828)</f>
        <v>1827</v>
      </c>
      <c r="B1828" s="62" t="n">
        <f aca="false">IF(ISNUMBER($AB1828),$AB1828,IF(MID($AB1828,5,1)="-",DATE(VALUE(LEFT($AB1828,4)),VALUE(MID($AB1828,6,2)),VALUE(RIGHT($AB1828,2))),DATE(VALUE(RIGHT($AB1828,4)),VALUE(MID($AB1828,4,2)),VALUE(LEFT($AB1828,2)))))</f>
        <v>45857</v>
      </c>
      <c r="C1828" s="61" t="n">
        <f aca="false">YEAR($B1828)</f>
        <v>2025</v>
      </c>
      <c r="D1828" s="61" t="str">
        <f aca="false">"Q"&amp;ROUNDUP(MONTH($B1828)/3,0)</f>
        <v>Q3</v>
      </c>
      <c r="E1828" s="61" t="n">
        <f aca="false">MONTH($B1828)</f>
        <v>7</v>
      </c>
      <c r="F1828" s="61" t="str">
        <f aca="false">INDEX(Parametros!$I$5:$I$16,$E1828)</f>
        <v>Jul</v>
      </c>
      <c r="G1828" s="61" t="str">
        <f aca="false">TEXT($C1828,"0000")&amp;"-"&amp;TEXT($E1828,"00")</f>
        <v>2025-07</v>
      </c>
      <c r="H1828" s="61" t="str">
        <f aca="false">INDEX(Parametros!$C$71:$C$91,MATCH(TRIM(INDEX(Datos_Origen!$C$2:$C$2459,$Z1828)),Parametros!$B$71:$B$91,0))</f>
        <v>Centro</v>
      </c>
      <c r="I1828" s="61" t="str">
        <f aca="false">IF(TRIM($AD1828)="",INDEX(Parametros!$I$20:$I$24,MATCH($H1828,Parametros!$H$20:$H$24,0)),TRIM($AD1828))</f>
        <v>Cordoba</v>
      </c>
      <c r="J1828" s="61" t="str">
        <f aca="false">INDEX(Parametros!$C$95:$C$106,MATCH(TRIM(INDEX(Datos_Origen!$E$2:$E$2459,$Z1828)),Parametros!$B$95:$B$106,0))</f>
        <v>Tienda fisica</v>
      </c>
      <c r="K1828" s="61" t="str">
        <f aca="false">INDEX(Parametros!$C$48:$C$67,MATCH(TRIM(INDEX(Datos_Origen!$F$2:$F$2459,$Z1828)),Parametros!$B$48:$B$67,0))</f>
        <v>Accesorios</v>
      </c>
      <c r="L1828" s="61" t="str">
        <f aca="false">$K1828&amp;" "&amp;$C1828</f>
        <v>Accesorios 2025</v>
      </c>
      <c r="M1828" s="61" t="str">
        <f aca="false">TRIM(INDEX(Datos_Origen!$G$2:$G$2459,$Z1828))</f>
        <v>Mouse Inalambrico</v>
      </c>
      <c r="N1828" s="61" t="str">
        <f aca="false">$M1828&amp;" "&amp;$C1828</f>
        <v>Mouse Inalambrico 2025</v>
      </c>
      <c r="O1828" s="63" t="n">
        <f aca="false">IF(ISTEXT($AC1828),VALUE($AC1828),$AC1828)</f>
        <v>49</v>
      </c>
      <c r="P1828" s="64" t="n">
        <f aca="false">INDEX(Datos_Origen!$I$2:$I$2459,$Z1828)</f>
        <v>28.11</v>
      </c>
      <c r="Q1828" s="64" t="n">
        <f aca="false">INDEX(Datos_Origen!$J$2:$J$2459,$Z1828)</f>
        <v>13.84</v>
      </c>
      <c r="R1828" s="65" t="n">
        <f aca="false">ROUND($O1828*$P1828,2)</f>
        <v>1377.39</v>
      </c>
      <c r="S1828" s="65" t="n">
        <f aca="false">ROUND($O1828*$Q1828,2)</f>
        <v>678.16</v>
      </c>
      <c r="T1828" s="65" t="n">
        <f aca="false">ROUND($R1828*SUMIFS(Parametros!$E$28:$E$43,Parametros!$B$28:$B$43,$J1828,Parametros!$C$28:$C$43,$C1828,Parametros!$D$28:$D$43,$D1828),2)</f>
        <v>17.91</v>
      </c>
      <c r="U1828" s="65" t="n">
        <f aca="false">$R1828-$S1828-$T1828</f>
        <v>681.32</v>
      </c>
      <c r="V1828" s="66" t="n">
        <f aca="false">IFERROR($U1828/$R1828,0)</f>
        <v>0.494645670434663</v>
      </c>
      <c r="W1828" s="67" t="str">
        <f aca="false">IF(AND($V1828&gt;=Parametros!$C$8,$R1828&gt;=Parametros!$C$12),"Alta rentabilidad",IF(OR($V1828&lt;Parametros!$C$11,$R1828&lt;Parametros!$C$13),"Revisar","Estandar"))</f>
        <v>Estandar</v>
      </c>
      <c r="X1828" s="67" t="str">
        <f aca="false">IF(AND($J1828="E-commerce",IFERROR($T1828/$R1828,0)&gt;Parametros!$C$14),"Alerta","OK")</f>
        <v>OK</v>
      </c>
      <c r="Y1828" s="61" t="str">
        <f aca="false">IF($R1828&gt;=Parametros!$C$12,"Alto",IF($R1828&lt;Parametros!$C$13,"Bajo","Medio"))</f>
        <v>Medio</v>
      </c>
      <c r="Z1828" s="61" t="n">
        <v>2068</v>
      </c>
      <c r="AA1828" s="61" t="str">
        <f aca="false">IF(MATCH($A1828,Datos_Origen!$A$2:$A$2459,0)=$Z1828,"OK","REVISAR")</f>
        <v>OK</v>
      </c>
      <c r="AB1828" s="61" t="str">
        <f aca="false">INDEX(Datos_Origen!$B$2:$B$2459,$Z1828)</f>
        <v>19/07/2025</v>
      </c>
      <c r="AC1828" s="61" t="n">
        <f aca="false">INDEX(Datos_Origen!$H$2:$H$2459,$Z1828)</f>
        <v>49</v>
      </c>
      <c r="AD1828" s="61" t="str">
        <f aca="false">INDEX(Datos_Origen!$D$2:$D$2459,$Z1828)&amp;""</f>
        <v>Cordoba</v>
      </c>
    </row>
    <row r="1829" customFormat="false" ht="15" hidden="false" customHeight="false" outlineLevel="0" collapsed="false">
      <c r="A1829" s="61" t="n">
        <f aca="false">INDEX(Datos_Origen!$A$2:$A$2459,$Z1829)</f>
        <v>1828</v>
      </c>
      <c r="B1829" s="62" t="n">
        <f aca="false">IF(ISNUMBER($AB1829),$AB1829,IF(MID($AB1829,5,1)="-",DATE(VALUE(LEFT($AB1829,4)),VALUE(MID($AB1829,6,2)),VALUE(RIGHT($AB1829,2))),DATE(VALUE(RIGHT($AB1829,4)),VALUE(MID($AB1829,4,2)),VALUE(LEFT($AB1829,2)))))</f>
        <v>45864</v>
      </c>
      <c r="C1829" s="61" t="n">
        <f aca="false">YEAR($B1829)</f>
        <v>2025</v>
      </c>
      <c r="D1829" s="61" t="str">
        <f aca="false">"Q"&amp;ROUNDUP(MONTH($B1829)/3,0)</f>
        <v>Q3</v>
      </c>
      <c r="E1829" s="61" t="n">
        <f aca="false">MONTH($B1829)</f>
        <v>7</v>
      </c>
      <c r="F1829" s="61" t="str">
        <f aca="false">INDEX(Parametros!$I$5:$I$16,$E1829)</f>
        <v>Jul</v>
      </c>
      <c r="G1829" s="61" t="str">
        <f aca="false">TEXT($C1829,"0000")&amp;"-"&amp;TEXT($E1829,"00")</f>
        <v>2025-07</v>
      </c>
      <c r="H1829" s="61" t="str">
        <f aca="false">INDEX(Parametros!$C$71:$C$91,MATCH(TRIM(INDEX(Datos_Origen!$C$2:$C$2459,$Z1829)),Parametros!$B$71:$B$91,0))</f>
        <v>Centro</v>
      </c>
      <c r="I1829" s="61" t="str">
        <f aca="false">IF(TRIM($AD1829)="",INDEX(Parametros!$I$20:$I$24,MATCH($H1829,Parametros!$H$20:$H$24,0)),TRIM($AD1829))</f>
        <v>Cordoba</v>
      </c>
      <c r="J1829" s="61" t="str">
        <f aca="false">INDEX(Parametros!$C$95:$C$106,MATCH(TRIM(INDEX(Datos_Origen!$E$2:$E$2459,$Z1829)),Parametros!$B$95:$B$106,0))</f>
        <v>E-commerce</v>
      </c>
      <c r="K1829" s="61" t="str">
        <f aca="false">INDEX(Parametros!$C$48:$C$67,MATCH(TRIM(INDEX(Datos_Origen!$F$2:$F$2459,$Z1829)),Parametros!$B$48:$B$67,0))</f>
        <v>Accesorios</v>
      </c>
      <c r="L1829" s="61" t="str">
        <f aca="false">$K1829&amp;" "&amp;$C1829</f>
        <v>Accesorios 2025</v>
      </c>
      <c r="M1829" s="61" t="str">
        <f aca="false">TRIM(INDEX(Datos_Origen!$G$2:$G$2459,$Z1829))</f>
        <v>Mouse Inalambrico</v>
      </c>
      <c r="N1829" s="61" t="str">
        <f aca="false">$M1829&amp;" "&amp;$C1829</f>
        <v>Mouse Inalambrico 2025</v>
      </c>
      <c r="O1829" s="63" t="n">
        <f aca="false">IF(ISTEXT($AC1829),VALUE($AC1829),$AC1829)</f>
        <v>42</v>
      </c>
      <c r="P1829" s="64" t="n">
        <f aca="false">INDEX(Datos_Origen!$I$2:$I$2459,$Z1829)</f>
        <v>28.11</v>
      </c>
      <c r="Q1829" s="64" t="n">
        <f aca="false">INDEX(Datos_Origen!$J$2:$J$2459,$Z1829)</f>
        <v>13.84</v>
      </c>
      <c r="R1829" s="65" t="n">
        <f aca="false">ROUND($O1829*$P1829,2)</f>
        <v>1180.62</v>
      </c>
      <c r="S1829" s="65" t="n">
        <f aca="false">ROUND($O1829*$Q1829,2)</f>
        <v>581.28</v>
      </c>
      <c r="T1829" s="65" t="n">
        <f aca="false">ROUND($R1829*SUMIFS(Parametros!$E$28:$E$43,Parametros!$B$28:$B$43,$J1829,Parametros!$C$28:$C$43,$C1829,Parametros!$D$28:$D$43,$D1829),2)</f>
        <v>66.11</v>
      </c>
      <c r="U1829" s="65" t="n">
        <f aca="false">$R1829-$S1829-$T1829</f>
        <v>533.23</v>
      </c>
      <c r="V1829" s="66" t="n">
        <f aca="false">IFERROR($U1829/$R1829,0)</f>
        <v>0.45165252155647</v>
      </c>
      <c r="W1829" s="67" t="str">
        <f aca="false">IF(AND($V1829&gt;=Parametros!$C$8,$R1829&gt;=Parametros!$C$12),"Alta rentabilidad",IF(OR($V1829&lt;Parametros!$C$11,$R1829&lt;Parametros!$C$13),"Revisar","Estandar"))</f>
        <v>Estandar</v>
      </c>
      <c r="X1829" s="67" t="str">
        <f aca="false">IF(AND($J1829="E-commerce",IFERROR($T1829/$R1829,0)&gt;Parametros!$C$14),"Alerta","OK")</f>
        <v>Alerta</v>
      </c>
      <c r="Y1829" s="61" t="str">
        <f aca="false">IF($R1829&gt;=Parametros!$C$12,"Alto",IF($R1829&lt;Parametros!$C$13,"Bajo","Medio"))</f>
        <v>Medio</v>
      </c>
      <c r="Z1829" s="61" t="n">
        <v>1252</v>
      </c>
      <c r="AA1829" s="61" t="str">
        <f aca="false">IF(MATCH($A1829,Datos_Origen!$A$2:$A$2459,0)=$Z1829,"OK","REVISAR")</f>
        <v>OK</v>
      </c>
      <c r="AB1829" s="61" t="str">
        <f aca="false">INDEX(Datos_Origen!$B$2:$B$2459,$Z1829)</f>
        <v>2025-07-26</v>
      </c>
      <c r="AC1829" s="61" t="n">
        <f aca="false">INDEX(Datos_Origen!$H$2:$H$2459,$Z1829)</f>
        <v>42</v>
      </c>
      <c r="AD1829" s="61" t="str">
        <f aca="false">INDEX(Datos_Origen!$D$2:$D$2459,$Z1829)&amp;""</f>
        <v>Cordoba</v>
      </c>
    </row>
    <row r="1830" customFormat="false" ht="15" hidden="false" customHeight="false" outlineLevel="0" collapsed="false">
      <c r="A1830" s="61" t="n">
        <f aca="false">INDEX(Datos_Origen!$A$2:$A$2459,$Z1830)</f>
        <v>1829</v>
      </c>
      <c r="B1830" s="62" t="n">
        <f aca="false">IF(ISNUMBER($AB1830),$AB1830,IF(MID($AB1830,5,1)="-",DATE(VALUE(LEFT($AB1830,4)),VALUE(MID($AB1830,6,2)),VALUE(RIGHT($AB1830,2))),DATE(VALUE(RIGHT($AB1830,4)),VALUE(MID($AB1830,4,2)),VALUE(LEFT($AB1830,2)))))</f>
        <v>45844</v>
      </c>
      <c r="C1830" s="61" t="n">
        <f aca="false">YEAR($B1830)</f>
        <v>2025</v>
      </c>
      <c r="D1830" s="61" t="str">
        <f aca="false">"Q"&amp;ROUNDUP(MONTH($B1830)/3,0)</f>
        <v>Q3</v>
      </c>
      <c r="E1830" s="61" t="n">
        <f aca="false">MONTH($B1830)</f>
        <v>7</v>
      </c>
      <c r="F1830" s="61" t="str">
        <f aca="false">INDEX(Parametros!$I$5:$I$16,$E1830)</f>
        <v>Jul</v>
      </c>
      <c r="G1830" s="61" t="str">
        <f aca="false">TEXT($C1830,"0000")&amp;"-"&amp;TEXT($E1830,"00")</f>
        <v>2025-07</v>
      </c>
      <c r="H1830" s="61" t="str">
        <f aca="false">INDEX(Parametros!$C$71:$C$91,MATCH(TRIM(INDEX(Datos_Origen!$C$2:$C$2459,$Z1830)),Parametros!$B$71:$B$91,0))</f>
        <v>Centro</v>
      </c>
      <c r="I1830" s="61" t="str">
        <f aca="false">IF(TRIM($AD1830)="",INDEX(Parametros!$I$20:$I$24,MATCH($H1830,Parametros!$H$20:$H$24,0)),TRIM($AD1830))</f>
        <v>Cordoba</v>
      </c>
      <c r="J1830" s="61" t="str">
        <f aca="false">INDEX(Parametros!$C$95:$C$106,MATCH(TRIM(INDEX(Datos_Origen!$E$2:$E$2459,$Z1830)),Parametros!$B$95:$B$106,0))</f>
        <v>Tienda fisica</v>
      </c>
      <c r="K1830" s="61" t="str">
        <f aca="false">INDEX(Parametros!$C$48:$C$67,MATCH(TRIM(INDEX(Datos_Origen!$F$2:$F$2459,$Z1830)),Parametros!$B$48:$B$67,0))</f>
        <v>Accesorios</v>
      </c>
      <c r="L1830" s="61" t="str">
        <f aca="false">$K1830&amp;" "&amp;$C1830</f>
        <v>Accesorios 2025</v>
      </c>
      <c r="M1830" s="61" t="str">
        <f aca="false">TRIM(INDEX(Datos_Origen!$G$2:$G$2459,$Z1830))</f>
        <v>Teclado Mecanico</v>
      </c>
      <c r="N1830" s="61" t="str">
        <f aca="false">$M1830&amp;" "&amp;$C1830</f>
        <v>Teclado Mecanico 2025</v>
      </c>
      <c r="O1830" s="63" t="n">
        <f aca="false">IF(ISTEXT($AC1830),VALUE($AC1830),$AC1830)</f>
        <v>64</v>
      </c>
      <c r="P1830" s="64" t="n">
        <f aca="false">INDEX(Datos_Origen!$I$2:$I$2459,$Z1830)</f>
        <v>95.38</v>
      </c>
      <c r="Q1830" s="64" t="n">
        <f aca="false">INDEX(Datos_Origen!$J$2:$J$2459,$Z1830)</f>
        <v>49.41</v>
      </c>
      <c r="R1830" s="65" t="n">
        <f aca="false">ROUND($O1830*$P1830,2)</f>
        <v>6104.32</v>
      </c>
      <c r="S1830" s="65" t="n">
        <f aca="false">ROUND($O1830*$Q1830,2)</f>
        <v>3162.24</v>
      </c>
      <c r="T1830" s="65" t="n">
        <f aca="false">ROUND($R1830*SUMIFS(Parametros!$E$28:$E$43,Parametros!$B$28:$B$43,$J1830,Parametros!$C$28:$C$43,$C1830,Parametros!$D$28:$D$43,$D1830),2)</f>
        <v>79.36</v>
      </c>
      <c r="U1830" s="65" t="n">
        <f aca="false">$R1830-$S1830-$T1830</f>
        <v>2862.72</v>
      </c>
      <c r="V1830" s="66" t="n">
        <f aca="false">IFERROR($U1830/$R1830,0)</f>
        <v>0.46896624030195</v>
      </c>
      <c r="W1830" s="67" t="str">
        <f aca="false">IF(AND($V1830&gt;=Parametros!$C$8,$R1830&gt;=Parametros!$C$12),"Alta rentabilidad",IF(OR($V1830&lt;Parametros!$C$11,$R1830&lt;Parametros!$C$13),"Revisar","Estandar"))</f>
        <v>Alta rentabilidad</v>
      </c>
      <c r="X1830" s="67" t="str">
        <f aca="false">IF(AND($J1830="E-commerce",IFERROR($T1830/$R1830,0)&gt;Parametros!$C$14),"Alerta","OK")</f>
        <v>OK</v>
      </c>
      <c r="Y1830" s="61" t="str">
        <f aca="false">IF($R1830&gt;=Parametros!$C$12,"Alto",IF($R1830&lt;Parametros!$C$13,"Bajo","Medio"))</f>
        <v>Alto</v>
      </c>
      <c r="Z1830" s="61" t="n">
        <v>1009</v>
      </c>
      <c r="AA1830" s="61" t="str">
        <f aca="false">IF(MATCH($A1830,Datos_Origen!$A$2:$A$2459,0)=$Z1830,"OK","REVISAR")</f>
        <v>OK</v>
      </c>
      <c r="AB1830" s="62" t="n">
        <f aca="false">INDEX(Datos_Origen!$B$2:$B$2459,$Z1830)</f>
        <v>45844</v>
      </c>
      <c r="AC1830" s="61" t="n">
        <f aca="false">INDEX(Datos_Origen!$H$2:$H$2459,$Z1830)</f>
        <v>64</v>
      </c>
      <c r="AD1830" s="61" t="str">
        <f aca="false">INDEX(Datos_Origen!$D$2:$D$2459,$Z1830)&amp;""</f>
        <v>Cordoba</v>
      </c>
    </row>
    <row r="1831" customFormat="false" ht="15" hidden="false" customHeight="false" outlineLevel="0" collapsed="false">
      <c r="A1831" s="61" t="n">
        <f aca="false">INDEX(Datos_Origen!$A$2:$A$2459,$Z1831)</f>
        <v>1830</v>
      </c>
      <c r="B1831" s="62" t="n">
        <f aca="false">IF(ISNUMBER($AB1831),$AB1831,IF(MID($AB1831,5,1)="-",DATE(VALUE(LEFT($AB1831,4)),VALUE(MID($AB1831,6,2)),VALUE(RIGHT($AB1831,2))),DATE(VALUE(RIGHT($AB1831,4)),VALUE(MID($AB1831,4,2)),VALUE(LEFT($AB1831,2)))))</f>
        <v>45851</v>
      </c>
      <c r="C1831" s="61" t="n">
        <f aca="false">YEAR($B1831)</f>
        <v>2025</v>
      </c>
      <c r="D1831" s="61" t="str">
        <f aca="false">"Q"&amp;ROUNDUP(MONTH($B1831)/3,0)</f>
        <v>Q3</v>
      </c>
      <c r="E1831" s="61" t="n">
        <f aca="false">MONTH($B1831)</f>
        <v>7</v>
      </c>
      <c r="F1831" s="61" t="str">
        <f aca="false">INDEX(Parametros!$I$5:$I$16,$E1831)</f>
        <v>Jul</v>
      </c>
      <c r="G1831" s="61" t="str">
        <f aca="false">TEXT($C1831,"0000")&amp;"-"&amp;TEXT($E1831,"00")</f>
        <v>2025-07</v>
      </c>
      <c r="H1831" s="61" t="str">
        <f aca="false">INDEX(Parametros!$C$71:$C$91,MATCH(TRIM(INDEX(Datos_Origen!$C$2:$C$2459,$Z1831)),Parametros!$B$71:$B$91,0))</f>
        <v>Centro</v>
      </c>
      <c r="I1831" s="61" t="str">
        <f aca="false">IF(TRIM($AD1831)="",INDEX(Parametros!$I$20:$I$24,MATCH($H1831,Parametros!$H$20:$H$24,0)),TRIM($AD1831))</f>
        <v>Cordoba</v>
      </c>
      <c r="J1831" s="61" t="str">
        <f aca="false">INDEX(Parametros!$C$95:$C$106,MATCH(TRIM(INDEX(Datos_Origen!$E$2:$E$2459,$Z1831)),Parametros!$B$95:$B$106,0))</f>
        <v>E-commerce</v>
      </c>
      <c r="K1831" s="61" t="str">
        <f aca="false">INDEX(Parametros!$C$48:$C$67,MATCH(TRIM(INDEX(Datos_Origen!$F$2:$F$2459,$Z1831)),Parametros!$B$48:$B$67,0))</f>
        <v>Accesorios</v>
      </c>
      <c r="L1831" s="61" t="str">
        <f aca="false">$K1831&amp;" "&amp;$C1831</f>
        <v>Accesorios 2025</v>
      </c>
      <c r="M1831" s="61" t="str">
        <f aca="false">TRIM(INDEX(Datos_Origen!$G$2:$G$2459,$Z1831))</f>
        <v>Teclado Mecanico</v>
      </c>
      <c r="N1831" s="61" t="str">
        <f aca="false">$M1831&amp;" "&amp;$C1831</f>
        <v>Teclado Mecanico 2025</v>
      </c>
      <c r="O1831" s="63" t="n">
        <f aca="false">IF(ISTEXT($AC1831),VALUE($AC1831),$AC1831)</f>
        <v>37</v>
      </c>
      <c r="P1831" s="64" t="n">
        <f aca="false">INDEX(Datos_Origen!$I$2:$I$2459,$Z1831)</f>
        <v>95.38</v>
      </c>
      <c r="Q1831" s="64" t="n">
        <f aca="false">INDEX(Datos_Origen!$J$2:$J$2459,$Z1831)</f>
        <v>49.41</v>
      </c>
      <c r="R1831" s="65" t="n">
        <f aca="false">ROUND($O1831*$P1831,2)</f>
        <v>3529.06</v>
      </c>
      <c r="S1831" s="65" t="n">
        <f aca="false">ROUND($O1831*$Q1831,2)</f>
        <v>1828.17</v>
      </c>
      <c r="T1831" s="65" t="n">
        <f aca="false">ROUND($R1831*SUMIFS(Parametros!$E$28:$E$43,Parametros!$B$28:$B$43,$J1831,Parametros!$C$28:$C$43,$C1831,Parametros!$D$28:$D$43,$D1831),2)</f>
        <v>197.63</v>
      </c>
      <c r="U1831" s="65" t="n">
        <f aca="false">$R1831-$S1831-$T1831</f>
        <v>1503.26</v>
      </c>
      <c r="V1831" s="66" t="n">
        <f aca="false">IFERROR($U1831/$R1831,0)</f>
        <v>0.425966121290089</v>
      </c>
      <c r="W1831" s="67" t="str">
        <f aca="false">IF(AND($V1831&gt;=Parametros!$C$8,$R1831&gt;=Parametros!$C$12),"Alta rentabilidad",IF(OR($V1831&lt;Parametros!$C$11,$R1831&lt;Parametros!$C$13),"Revisar","Estandar"))</f>
        <v>Alta rentabilidad</v>
      </c>
      <c r="X1831" s="67" t="str">
        <f aca="false">IF(AND($J1831="E-commerce",IFERROR($T1831/$R1831,0)&gt;Parametros!$C$14),"Alerta","OK")</f>
        <v>Alerta</v>
      </c>
      <c r="Y1831" s="61" t="str">
        <f aca="false">IF($R1831&gt;=Parametros!$C$12,"Alto",IF($R1831&lt;Parametros!$C$13,"Bajo","Medio"))</f>
        <v>Alto</v>
      </c>
      <c r="Z1831" s="61" t="n">
        <v>841</v>
      </c>
      <c r="AA1831" s="61" t="str">
        <f aca="false">IF(MATCH($A1831,Datos_Origen!$A$2:$A$2459,0)=$Z1831,"OK","REVISAR")</f>
        <v>OK</v>
      </c>
      <c r="AB1831" s="62" t="n">
        <f aca="false">INDEX(Datos_Origen!$B$2:$B$2459,$Z1831)</f>
        <v>45851</v>
      </c>
      <c r="AC1831" s="61" t="n">
        <f aca="false">INDEX(Datos_Origen!$H$2:$H$2459,$Z1831)</f>
        <v>37</v>
      </c>
      <c r="AD1831" s="61" t="str">
        <f aca="false">INDEX(Datos_Origen!$D$2:$D$2459,$Z1831)&amp;""</f>
        <v>Cordoba</v>
      </c>
    </row>
    <row r="1832" customFormat="false" ht="15" hidden="false" customHeight="false" outlineLevel="0" collapsed="false">
      <c r="A1832" s="61" t="n">
        <f aca="false">INDEX(Datos_Origen!$A$2:$A$2459,$Z1832)</f>
        <v>1831</v>
      </c>
      <c r="B1832" s="62" t="n">
        <f aca="false">IF(ISNUMBER($AB1832),$AB1832,IF(MID($AB1832,5,1)="-",DATE(VALUE(LEFT($AB1832,4)),VALUE(MID($AB1832,6,2)),VALUE(RIGHT($AB1832,2))),DATE(VALUE(RIGHT($AB1832,4)),VALUE(MID($AB1832,4,2)),VALUE(LEFT($AB1832,2)))))</f>
        <v>45858</v>
      </c>
      <c r="C1832" s="61" t="n">
        <f aca="false">YEAR($B1832)</f>
        <v>2025</v>
      </c>
      <c r="D1832" s="61" t="str">
        <f aca="false">"Q"&amp;ROUNDUP(MONTH($B1832)/3,0)</f>
        <v>Q3</v>
      </c>
      <c r="E1832" s="61" t="n">
        <f aca="false">MONTH($B1832)</f>
        <v>7</v>
      </c>
      <c r="F1832" s="61" t="str">
        <f aca="false">INDEX(Parametros!$I$5:$I$16,$E1832)</f>
        <v>Jul</v>
      </c>
      <c r="G1832" s="61" t="str">
        <f aca="false">TEXT($C1832,"0000")&amp;"-"&amp;TEXT($E1832,"00")</f>
        <v>2025-07</v>
      </c>
      <c r="H1832" s="61" t="str">
        <f aca="false">INDEX(Parametros!$C$71:$C$91,MATCH(TRIM(INDEX(Datos_Origen!$C$2:$C$2459,$Z1832)),Parametros!$B$71:$B$91,0))</f>
        <v>Centro</v>
      </c>
      <c r="I1832" s="61" t="str">
        <f aca="false">IF(TRIM($AD1832)="",INDEX(Parametros!$I$20:$I$24,MATCH($H1832,Parametros!$H$20:$H$24,0)),TRIM($AD1832))</f>
        <v>Cordoba</v>
      </c>
      <c r="J1832" s="61" t="str">
        <f aca="false">INDEX(Parametros!$C$95:$C$106,MATCH(TRIM(INDEX(Datos_Origen!$E$2:$E$2459,$Z1832)),Parametros!$B$95:$B$106,0))</f>
        <v>Tienda fisica</v>
      </c>
      <c r="K1832" s="61" t="str">
        <f aca="false">INDEX(Parametros!$C$48:$C$67,MATCH(TRIM(INDEX(Datos_Origen!$F$2:$F$2459,$Z1832)),Parametros!$B$48:$B$67,0))</f>
        <v>Accesorios</v>
      </c>
      <c r="L1832" s="61" t="str">
        <f aca="false">$K1832&amp;" "&amp;$C1832</f>
        <v>Accesorios 2025</v>
      </c>
      <c r="M1832" s="61" t="str">
        <f aca="false">TRIM(INDEX(Datos_Origen!$G$2:$G$2459,$Z1832))</f>
        <v>Webcam Full HD</v>
      </c>
      <c r="N1832" s="61" t="str">
        <f aca="false">$M1832&amp;" "&amp;$C1832</f>
        <v>Webcam Full HD 2025</v>
      </c>
      <c r="O1832" s="63" t="n">
        <f aca="false">IF(ISTEXT($AC1832),VALUE($AC1832),$AC1832)</f>
        <v>50</v>
      </c>
      <c r="P1832" s="64" t="n">
        <f aca="false">INDEX(Datos_Origen!$I$2:$I$2459,$Z1832)</f>
        <v>65.26</v>
      </c>
      <c r="Q1832" s="64" t="n">
        <f aca="false">INDEX(Datos_Origen!$J$2:$J$2459,$Z1832)</f>
        <v>36.49</v>
      </c>
      <c r="R1832" s="65" t="n">
        <f aca="false">ROUND($O1832*$P1832,2)</f>
        <v>3263</v>
      </c>
      <c r="S1832" s="65" t="n">
        <f aca="false">ROUND($O1832*$Q1832,2)</f>
        <v>1824.5</v>
      </c>
      <c r="T1832" s="65" t="n">
        <f aca="false">ROUND($R1832*SUMIFS(Parametros!$E$28:$E$43,Parametros!$B$28:$B$43,$J1832,Parametros!$C$28:$C$43,$C1832,Parametros!$D$28:$D$43,$D1832),2)</f>
        <v>42.42</v>
      </c>
      <c r="U1832" s="65" t="n">
        <f aca="false">$R1832-$S1832-$T1832</f>
        <v>1396.08</v>
      </c>
      <c r="V1832" s="66" t="n">
        <f aca="false">IFERROR($U1832/$R1832,0)</f>
        <v>0.427851670242108</v>
      </c>
      <c r="W1832" s="67" t="str">
        <f aca="false">IF(AND($V1832&gt;=Parametros!$C$8,$R1832&gt;=Parametros!$C$12),"Alta rentabilidad",IF(OR($V1832&lt;Parametros!$C$11,$R1832&lt;Parametros!$C$13),"Revisar","Estandar"))</f>
        <v>Alta rentabilidad</v>
      </c>
      <c r="X1832" s="67" t="str">
        <f aca="false">IF(AND($J1832="E-commerce",IFERROR($T1832/$R1832,0)&gt;Parametros!$C$14),"Alerta","OK")</f>
        <v>OK</v>
      </c>
      <c r="Y1832" s="61" t="str">
        <f aca="false">IF($R1832&gt;=Parametros!$C$12,"Alto",IF($R1832&lt;Parametros!$C$13,"Bajo","Medio"))</f>
        <v>Alto</v>
      </c>
      <c r="Z1832" s="61" t="n">
        <v>1131</v>
      </c>
      <c r="AA1832" s="61" t="str">
        <f aca="false">IF(MATCH($A1832,Datos_Origen!$A$2:$A$2459,0)=$Z1832,"OK","REVISAR")</f>
        <v>OK</v>
      </c>
      <c r="AB1832" s="61" t="str">
        <f aca="false">INDEX(Datos_Origen!$B$2:$B$2459,$Z1832)</f>
        <v>20/07/2025</v>
      </c>
      <c r="AC1832" s="61" t="n">
        <f aca="false">INDEX(Datos_Origen!$H$2:$H$2459,$Z1832)</f>
        <v>50</v>
      </c>
      <c r="AD1832" s="61" t="str">
        <f aca="false">INDEX(Datos_Origen!$D$2:$D$2459,$Z1832)&amp;""</f>
        <v>Cordoba</v>
      </c>
    </row>
    <row r="1833" customFormat="false" ht="15" hidden="false" customHeight="false" outlineLevel="0" collapsed="false">
      <c r="A1833" s="61" t="n">
        <f aca="false">INDEX(Datos_Origen!$A$2:$A$2459,$Z1833)</f>
        <v>1832</v>
      </c>
      <c r="B1833" s="62" t="n">
        <f aca="false">IF(ISNUMBER($AB1833),$AB1833,IF(MID($AB1833,5,1)="-",DATE(VALUE(LEFT($AB1833,4)),VALUE(MID($AB1833,6,2)),VALUE(RIGHT($AB1833,2))),DATE(VALUE(RIGHT($AB1833,4)),VALUE(MID($AB1833,4,2)),VALUE(LEFT($AB1833,2)))))</f>
        <v>45865</v>
      </c>
      <c r="C1833" s="61" t="n">
        <f aca="false">YEAR($B1833)</f>
        <v>2025</v>
      </c>
      <c r="D1833" s="61" t="str">
        <f aca="false">"Q"&amp;ROUNDUP(MONTH($B1833)/3,0)</f>
        <v>Q3</v>
      </c>
      <c r="E1833" s="61" t="n">
        <f aca="false">MONTH($B1833)</f>
        <v>7</v>
      </c>
      <c r="F1833" s="61" t="str">
        <f aca="false">INDEX(Parametros!$I$5:$I$16,$E1833)</f>
        <v>Jul</v>
      </c>
      <c r="G1833" s="61" t="str">
        <f aca="false">TEXT($C1833,"0000")&amp;"-"&amp;TEXT($E1833,"00")</f>
        <v>2025-07</v>
      </c>
      <c r="H1833" s="61" t="str">
        <f aca="false">INDEX(Parametros!$C$71:$C$91,MATCH(TRIM(INDEX(Datos_Origen!$C$2:$C$2459,$Z1833)),Parametros!$B$71:$B$91,0))</f>
        <v>Centro</v>
      </c>
      <c r="I1833" s="61" t="str">
        <f aca="false">IF(TRIM($AD1833)="",INDEX(Parametros!$I$20:$I$24,MATCH($H1833,Parametros!$H$20:$H$24,0)),TRIM($AD1833))</f>
        <v>Cordoba</v>
      </c>
      <c r="J1833" s="61" t="str">
        <f aca="false">INDEX(Parametros!$C$95:$C$106,MATCH(TRIM(INDEX(Datos_Origen!$E$2:$E$2459,$Z1833)),Parametros!$B$95:$B$106,0))</f>
        <v>E-commerce</v>
      </c>
      <c r="K1833" s="61" t="str">
        <f aca="false">INDEX(Parametros!$C$48:$C$67,MATCH(TRIM(INDEX(Datos_Origen!$F$2:$F$2459,$Z1833)),Parametros!$B$48:$B$67,0))</f>
        <v>Accesorios</v>
      </c>
      <c r="L1833" s="61" t="str">
        <f aca="false">$K1833&amp;" "&amp;$C1833</f>
        <v>Accesorios 2025</v>
      </c>
      <c r="M1833" s="61" t="str">
        <f aca="false">TRIM(INDEX(Datos_Origen!$G$2:$G$2459,$Z1833))</f>
        <v>Webcam Full HD</v>
      </c>
      <c r="N1833" s="61" t="str">
        <f aca="false">$M1833&amp;" "&amp;$C1833</f>
        <v>Webcam Full HD 2025</v>
      </c>
      <c r="O1833" s="63" t="n">
        <f aca="false">IF(ISTEXT($AC1833),VALUE($AC1833),$AC1833)</f>
        <v>48</v>
      </c>
      <c r="P1833" s="64" t="n">
        <f aca="false">INDEX(Datos_Origen!$I$2:$I$2459,$Z1833)</f>
        <v>65.26</v>
      </c>
      <c r="Q1833" s="64" t="n">
        <f aca="false">INDEX(Datos_Origen!$J$2:$J$2459,$Z1833)</f>
        <v>36.49</v>
      </c>
      <c r="R1833" s="65" t="n">
        <f aca="false">ROUND($O1833*$P1833,2)</f>
        <v>3132.48</v>
      </c>
      <c r="S1833" s="65" t="n">
        <f aca="false">ROUND($O1833*$Q1833,2)</f>
        <v>1751.52</v>
      </c>
      <c r="T1833" s="65" t="n">
        <f aca="false">ROUND($R1833*SUMIFS(Parametros!$E$28:$E$43,Parametros!$B$28:$B$43,$J1833,Parametros!$C$28:$C$43,$C1833,Parametros!$D$28:$D$43,$D1833),2)</f>
        <v>175.42</v>
      </c>
      <c r="U1833" s="65" t="n">
        <f aca="false">$R1833-$S1833-$T1833</f>
        <v>1205.54</v>
      </c>
      <c r="V1833" s="66" t="n">
        <f aca="false">IFERROR($U1833/$R1833,0)</f>
        <v>0.384851619164368</v>
      </c>
      <c r="W1833" s="67" t="str">
        <f aca="false">IF(AND($V1833&gt;=Parametros!$C$8,$R1833&gt;=Parametros!$C$12),"Alta rentabilidad",IF(OR($V1833&lt;Parametros!$C$11,$R1833&lt;Parametros!$C$13),"Revisar","Estandar"))</f>
        <v>Alta rentabilidad</v>
      </c>
      <c r="X1833" s="67" t="str">
        <f aca="false">IF(AND($J1833="E-commerce",IFERROR($T1833/$R1833,0)&gt;Parametros!$C$14),"Alerta","OK")</f>
        <v>Alerta</v>
      </c>
      <c r="Y1833" s="61" t="str">
        <f aca="false">IF($R1833&gt;=Parametros!$C$12,"Alto",IF($R1833&lt;Parametros!$C$13,"Bajo","Medio"))</f>
        <v>Alto</v>
      </c>
      <c r="Z1833" s="61" t="n">
        <v>304</v>
      </c>
      <c r="AA1833" s="61" t="str">
        <f aca="false">IF(MATCH($A1833,Datos_Origen!$A$2:$A$2459,0)=$Z1833,"OK","REVISAR")</f>
        <v>OK</v>
      </c>
      <c r="AB1833" s="62" t="n">
        <f aca="false">INDEX(Datos_Origen!$B$2:$B$2459,$Z1833)</f>
        <v>45865</v>
      </c>
      <c r="AC1833" s="61" t="str">
        <f aca="false">INDEX(Datos_Origen!$H$2:$H$2459,$Z1833)</f>
        <v>48</v>
      </c>
      <c r="AD1833" s="61" t="str">
        <f aca="false">INDEX(Datos_Origen!$D$2:$D$2459,$Z1833)&amp;""</f>
        <v>Cordoba</v>
      </c>
    </row>
    <row r="1834" customFormat="false" ht="15" hidden="false" customHeight="false" outlineLevel="0" collapsed="false">
      <c r="A1834" s="61" t="n">
        <f aca="false">INDEX(Datos_Origen!$A$2:$A$2459,$Z1834)</f>
        <v>1833</v>
      </c>
      <c r="B1834" s="62" t="n">
        <f aca="false">IF(ISNUMBER($AB1834),$AB1834,IF(MID($AB1834,5,1)="-",DATE(VALUE(LEFT($AB1834,4)),VALUE(MID($AB1834,6,2)),VALUE(RIGHT($AB1834,2))),DATE(VALUE(RIGHT($AB1834,4)),VALUE(MID($AB1834,4,2)),VALUE(LEFT($AB1834,2)))))</f>
        <v>45845</v>
      </c>
      <c r="C1834" s="61" t="n">
        <f aca="false">YEAR($B1834)</f>
        <v>2025</v>
      </c>
      <c r="D1834" s="61" t="str">
        <f aca="false">"Q"&amp;ROUNDUP(MONTH($B1834)/3,0)</f>
        <v>Q3</v>
      </c>
      <c r="E1834" s="61" t="n">
        <f aca="false">MONTH($B1834)</f>
        <v>7</v>
      </c>
      <c r="F1834" s="61" t="str">
        <f aca="false">INDEX(Parametros!$I$5:$I$16,$E1834)</f>
        <v>Jul</v>
      </c>
      <c r="G1834" s="61" t="str">
        <f aca="false">TEXT($C1834,"0000")&amp;"-"&amp;TEXT($E1834,"00")</f>
        <v>2025-07</v>
      </c>
      <c r="H1834" s="61" t="str">
        <f aca="false">INDEX(Parametros!$C$71:$C$91,MATCH(TRIM(INDEX(Datos_Origen!$C$2:$C$2459,$Z1834)),Parametros!$B$71:$B$91,0))</f>
        <v>Centro</v>
      </c>
      <c r="I1834" s="61" t="str">
        <f aca="false">IF(TRIM($AD1834)="",INDEX(Parametros!$I$20:$I$24,MATCH($H1834,Parametros!$H$20:$H$24,0)),TRIM($AD1834))</f>
        <v>Cordoba</v>
      </c>
      <c r="J1834" s="61" t="str">
        <f aca="false">INDEX(Parametros!$C$95:$C$106,MATCH(TRIM(INDEX(Datos_Origen!$E$2:$E$2459,$Z1834)),Parametros!$B$95:$B$106,0))</f>
        <v>Tienda fisica</v>
      </c>
      <c r="K1834" s="61" t="str">
        <f aca="false">INDEX(Parametros!$C$48:$C$67,MATCH(TRIM(INDEX(Datos_Origen!$F$2:$F$2459,$Z1834)),Parametros!$B$48:$B$67,0))</f>
        <v>Audio</v>
      </c>
      <c r="L1834" s="61" t="str">
        <f aca="false">$K1834&amp;" "&amp;$C1834</f>
        <v>Audio 2025</v>
      </c>
      <c r="M1834" s="61" t="str">
        <f aca="false">TRIM(INDEX(Datos_Origen!$G$2:$G$2459,$Z1834))</f>
        <v>Auriculares BT Pro</v>
      </c>
      <c r="N1834" s="61" t="str">
        <f aca="false">$M1834&amp;" "&amp;$C1834</f>
        <v>Auriculares BT Pro 2025</v>
      </c>
      <c r="O1834" s="63" t="n">
        <f aca="false">IF(ISTEXT($AC1834),VALUE($AC1834),$AC1834)</f>
        <v>24</v>
      </c>
      <c r="P1834" s="64" t="n">
        <f aca="false">INDEX(Datos_Origen!$I$2:$I$2459,$Z1834)</f>
        <v>120.47</v>
      </c>
      <c r="Q1834" s="64" t="n">
        <f aca="false">INDEX(Datos_Origen!$J$2:$J$2459,$Z1834)</f>
        <v>65.51</v>
      </c>
      <c r="R1834" s="65" t="n">
        <f aca="false">ROUND($O1834*$P1834,2)</f>
        <v>2891.28</v>
      </c>
      <c r="S1834" s="65" t="n">
        <f aca="false">ROUND($O1834*$Q1834,2)</f>
        <v>1572.24</v>
      </c>
      <c r="T1834" s="65" t="n">
        <f aca="false">ROUND($R1834*SUMIFS(Parametros!$E$28:$E$43,Parametros!$B$28:$B$43,$J1834,Parametros!$C$28:$C$43,$C1834,Parametros!$D$28:$D$43,$D1834),2)</f>
        <v>37.59</v>
      </c>
      <c r="U1834" s="65" t="n">
        <f aca="false">$R1834-$S1834-$T1834</f>
        <v>1281.45</v>
      </c>
      <c r="V1834" s="66" t="n">
        <f aca="false">IFERROR($U1834/$R1834,0)</f>
        <v>0.443212002988296</v>
      </c>
      <c r="W1834" s="67" t="str">
        <f aca="false">IF(AND($V1834&gt;=Parametros!$C$8,$R1834&gt;=Parametros!$C$12),"Alta rentabilidad",IF(OR($V1834&lt;Parametros!$C$11,$R1834&lt;Parametros!$C$13),"Revisar","Estandar"))</f>
        <v>Estandar</v>
      </c>
      <c r="X1834" s="67" t="str">
        <f aca="false">IF(AND($J1834="E-commerce",IFERROR($T1834/$R1834,0)&gt;Parametros!$C$14),"Alerta","OK")</f>
        <v>OK</v>
      </c>
      <c r="Y1834" s="61" t="str">
        <f aca="false">IF($R1834&gt;=Parametros!$C$12,"Alto",IF($R1834&lt;Parametros!$C$13,"Bajo","Medio"))</f>
        <v>Medio</v>
      </c>
      <c r="Z1834" s="61" t="n">
        <v>515</v>
      </c>
      <c r="AA1834" s="61" t="str">
        <f aca="false">IF(MATCH($A1834,Datos_Origen!$A$2:$A$2459,0)=$Z1834,"OK","REVISAR")</f>
        <v>OK</v>
      </c>
      <c r="AB1834" s="62" t="n">
        <f aca="false">INDEX(Datos_Origen!$B$2:$B$2459,$Z1834)</f>
        <v>45845</v>
      </c>
      <c r="AC1834" s="61" t="n">
        <f aca="false">INDEX(Datos_Origen!$H$2:$H$2459,$Z1834)</f>
        <v>24</v>
      </c>
      <c r="AD1834" s="61" t="str">
        <f aca="false">INDEX(Datos_Origen!$D$2:$D$2459,$Z1834)&amp;""</f>
        <v>Cordoba</v>
      </c>
    </row>
    <row r="1835" customFormat="false" ht="15" hidden="false" customHeight="false" outlineLevel="0" collapsed="false">
      <c r="A1835" s="61" t="n">
        <f aca="false">INDEX(Datos_Origen!$A$2:$A$2459,$Z1835)</f>
        <v>1834</v>
      </c>
      <c r="B1835" s="62" t="n">
        <f aca="false">IF(ISNUMBER($AB1835),$AB1835,IF(MID($AB1835,5,1)="-",DATE(VALUE(LEFT($AB1835,4)),VALUE(MID($AB1835,6,2)),VALUE(RIGHT($AB1835,2))),DATE(VALUE(RIGHT($AB1835,4)),VALUE(MID($AB1835,4,2)),VALUE(LEFT($AB1835,2)))))</f>
        <v>45852</v>
      </c>
      <c r="C1835" s="61" t="n">
        <f aca="false">YEAR($B1835)</f>
        <v>2025</v>
      </c>
      <c r="D1835" s="61" t="str">
        <f aca="false">"Q"&amp;ROUNDUP(MONTH($B1835)/3,0)</f>
        <v>Q3</v>
      </c>
      <c r="E1835" s="61" t="n">
        <f aca="false">MONTH($B1835)</f>
        <v>7</v>
      </c>
      <c r="F1835" s="61" t="str">
        <f aca="false">INDEX(Parametros!$I$5:$I$16,$E1835)</f>
        <v>Jul</v>
      </c>
      <c r="G1835" s="61" t="str">
        <f aca="false">TEXT($C1835,"0000")&amp;"-"&amp;TEXT($E1835,"00")</f>
        <v>2025-07</v>
      </c>
      <c r="H1835" s="61" t="str">
        <f aca="false">INDEX(Parametros!$C$71:$C$91,MATCH(TRIM(INDEX(Datos_Origen!$C$2:$C$2459,$Z1835)),Parametros!$B$71:$B$91,0))</f>
        <v>Centro</v>
      </c>
      <c r="I1835" s="61" t="str">
        <f aca="false">IF(TRIM($AD1835)="",INDEX(Parametros!$I$20:$I$24,MATCH($H1835,Parametros!$H$20:$H$24,0)),TRIM($AD1835))</f>
        <v>Cordoba</v>
      </c>
      <c r="J1835" s="61" t="str">
        <f aca="false">INDEX(Parametros!$C$95:$C$106,MATCH(TRIM(INDEX(Datos_Origen!$E$2:$E$2459,$Z1835)),Parametros!$B$95:$B$106,0))</f>
        <v>E-commerce</v>
      </c>
      <c r="K1835" s="61" t="str">
        <f aca="false">INDEX(Parametros!$C$48:$C$67,MATCH(TRIM(INDEX(Datos_Origen!$F$2:$F$2459,$Z1835)),Parametros!$B$48:$B$67,0))</f>
        <v>Audio</v>
      </c>
      <c r="L1835" s="61" t="str">
        <f aca="false">$K1835&amp;" "&amp;$C1835</f>
        <v>Audio 2025</v>
      </c>
      <c r="M1835" s="61" t="str">
        <f aca="false">TRIM(INDEX(Datos_Origen!$G$2:$G$2459,$Z1835))</f>
        <v>Auriculares BT Pro</v>
      </c>
      <c r="N1835" s="61" t="str">
        <f aca="false">$M1835&amp;" "&amp;$C1835</f>
        <v>Auriculares BT Pro 2025</v>
      </c>
      <c r="O1835" s="63" t="n">
        <f aca="false">IF(ISTEXT($AC1835),VALUE($AC1835),$AC1835)</f>
        <v>18</v>
      </c>
      <c r="P1835" s="64" t="n">
        <f aca="false">INDEX(Datos_Origen!$I$2:$I$2459,$Z1835)</f>
        <v>120.47</v>
      </c>
      <c r="Q1835" s="64" t="n">
        <f aca="false">INDEX(Datos_Origen!$J$2:$J$2459,$Z1835)</f>
        <v>65.51</v>
      </c>
      <c r="R1835" s="65" t="n">
        <f aca="false">ROUND($O1835*$P1835,2)</f>
        <v>2168.46</v>
      </c>
      <c r="S1835" s="65" t="n">
        <f aca="false">ROUND($O1835*$Q1835,2)</f>
        <v>1179.18</v>
      </c>
      <c r="T1835" s="65" t="n">
        <f aca="false">ROUND($R1835*SUMIFS(Parametros!$E$28:$E$43,Parametros!$B$28:$B$43,$J1835,Parametros!$C$28:$C$43,$C1835,Parametros!$D$28:$D$43,$D1835),2)</f>
        <v>121.43</v>
      </c>
      <c r="U1835" s="65" t="n">
        <f aca="false">$R1835-$S1835-$T1835</f>
        <v>867.85</v>
      </c>
      <c r="V1835" s="66" t="n">
        <f aca="false">IFERROR($U1835/$R1835,0)</f>
        <v>0.400214899052784</v>
      </c>
      <c r="W1835" s="67" t="str">
        <f aca="false">IF(AND($V1835&gt;=Parametros!$C$8,$R1835&gt;=Parametros!$C$12),"Alta rentabilidad",IF(OR($V1835&lt;Parametros!$C$11,$R1835&lt;Parametros!$C$13),"Revisar","Estandar"))</f>
        <v>Estandar</v>
      </c>
      <c r="X1835" s="67" t="str">
        <f aca="false">IF(AND($J1835="E-commerce",IFERROR($T1835/$R1835,0)&gt;Parametros!$C$14),"Alerta","OK")</f>
        <v>Alerta</v>
      </c>
      <c r="Y1835" s="61" t="str">
        <f aca="false">IF($R1835&gt;=Parametros!$C$12,"Alto",IF($R1835&lt;Parametros!$C$13,"Bajo","Medio"))</f>
        <v>Medio</v>
      </c>
      <c r="Z1835" s="61" t="n">
        <v>1813</v>
      </c>
      <c r="AA1835" s="61" t="str">
        <f aca="false">IF(MATCH($A1835,Datos_Origen!$A$2:$A$2459,0)=$Z1835,"OK","REVISAR")</f>
        <v>OK</v>
      </c>
      <c r="AB1835" s="62" t="n">
        <f aca="false">INDEX(Datos_Origen!$B$2:$B$2459,$Z1835)</f>
        <v>45852</v>
      </c>
      <c r="AC1835" s="61" t="n">
        <f aca="false">INDEX(Datos_Origen!$H$2:$H$2459,$Z1835)</f>
        <v>18</v>
      </c>
      <c r="AD1835" s="61" t="str">
        <f aca="false">INDEX(Datos_Origen!$D$2:$D$2459,$Z1835)&amp;""</f>
        <v>Cordoba</v>
      </c>
    </row>
    <row r="1836" customFormat="false" ht="15" hidden="false" customHeight="false" outlineLevel="0" collapsed="false">
      <c r="A1836" s="61" t="n">
        <f aca="false">INDEX(Datos_Origen!$A$2:$A$2459,$Z1836)</f>
        <v>1835</v>
      </c>
      <c r="B1836" s="62" t="n">
        <f aca="false">IF(ISNUMBER($AB1836),$AB1836,IF(MID($AB1836,5,1)="-",DATE(VALUE(LEFT($AB1836,4)),VALUE(MID($AB1836,6,2)),VALUE(RIGHT($AB1836,2))),DATE(VALUE(RIGHT($AB1836,4)),VALUE(MID($AB1836,4,2)),VALUE(LEFT($AB1836,2)))))</f>
        <v>45859</v>
      </c>
      <c r="C1836" s="61" t="n">
        <f aca="false">YEAR($B1836)</f>
        <v>2025</v>
      </c>
      <c r="D1836" s="61" t="str">
        <f aca="false">"Q"&amp;ROUNDUP(MONTH($B1836)/3,0)</f>
        <v>Q3</v>
      </c>
      <c r="E1836" s="61" t="n">
        <f aca="false">MONTH($B1836)</f>
        <v>7</v>
      </c>
      <c r="F1836" s="61" t="str">
        <f aca="false">INDEX(Parametros!$I$5:$I$16,$E1836)</f>
        <v>Jul</v>
      </c>
      <c r="G1836" s="61" t="str">
        <f aca="false">TEXT($C1836,"0000")&amp;"-"&amp;TEXT($E1836,"00")</f>
        <v>2025-07</v>
      </c>
      <c r="H1836" s="61" t="str">
        <f aca="false">INDEX(Parametros!$C$71:$C$91,MATCH(TRIM(INDEX(Datos_Origen!$C$2:$C$2459,$Z1836)),Parametros!$B$71:$B$91,0))</f>
        <v>Centro</v>
      </c>
      <c r="I1836" s="61" t="str">
        <f aca="false">IF(TRIM($AD1836)="",INDEX(Parametros!$I$20:$I$24,MATCH($H1836,Parametros!$H$20:$H$24,0)),TRIM($AD1836))</f>
        <v>Cordoba</v>
      </c>
      <c r="J1836" s="61" t="str">
        <f aca="false">INDEX(Parametros!$C$95:$C$106,MATCH(TRIM(INDEX(Datos_Origen!$E$2:$E$2459,$Z1836)),Parametros!$B$95:$B$106,0))</f>
        <v>Tienda fisica</v>
      </c>
      <c r="K1836" s="61" t="str">
        <f aca="false">INDEX(Parametros!$C$48:$C$67,MATCH(TRIM(INDEX(Datos_Origen!$F$2:$F$2459,$Z1836)),Parametros!$B$48:$B$67,0))</f>
        <v>Audio</v>
      </c>
      <c r="L1836" s="61" t="str">
        <f aca="false">$K1836&amp;" "&amp;$C1836</f>
        <v>Audio 2025</v>
      </c>
      <c r="M1836" s="61" t="str">
        <f aca="false">TRIM(INDEX(Datos_Origen!$G$2:$G$2459,$Z1836))</f>
        <v>Parlante Bluetooth</v>
      </c>
      <c r="N1836" s="61" t="str">
        <f aca="false">$M1836&amp;" "&amp;$C1836</f>
        <v>Parlante Bluetooth 2025</v>
      </c>
      <c r="O1836" s="63" t="n">
        <f aca="false">IF(ISTEXT($AC1836),VALUE($AC1836),$AC1836)</f>
        <v>24</v>
      </c>
      <c r="P1836" s="64" t="n">
        <f aca="false">INDEX(Datos_Origen!$I$2:$I$2459,$Z1836)</f>
        <v>85.34</v>
      </c>
      <c r="Q1836" s="64" t="n">
        <f aca="false">INDEX(Datos_Origen!$J$2:$J$2459,$Z1836)</f>
        <v>49.47</v>
      </c>
      <c r="R1836" s="65" t="n">
        <f aca="false">ROUND($O1836*$P1836,2)</f>
        <v>2048.16</v>
      </c>
      <c r="S1836" s="65" t="n">
        <f aca="false">ROUND($O1836*$Q1836,2)</f>
        <v>1187.28</v>
      </c>
      <c r="T1836" s="65" t="n">
        <f aca="false">ROUND($R1836*SUMIFS(Parametros!$E$28:$E$43,Parametros!$B$28:$B$43,$J1836,Parametros!$C$28:$C$43,$C1836,Parametros!$D$28:$D$43,$D1836),2)</f>
        <v>26.63</v>
      </c>
      <c r="U1836" s="65" t="n">
        <f aca="false">$R1836-$S1836-$T1836</f>
        <v>834.25</v>
      </c>
      <c r="V1836" s="66" t="n">
        <f aca="false">IFERROR($U1836/$R1836,0)</f>
        <v>0.407316811186626</v>
      </c>
      <c r="W1836" s="67" t="str">
        <f aca="false">IF(AND($V1836&gt;=Parametros!$C$8,$R1836&gt;=Parametros!$C$12),"Alta rentabilidad",IF(OR($V1836&lt;Parametros!$C$11,$R1836&lt;Parametros!$C$13),"Revisar","Estandar"))</f>
        <v>Estandar</v>
      </c>
      <c r="X1836" s="67" t="str">
        <f aca="false">IF(AND($J1836="E-commerce",IFERROR($T1836/$R1836,0)&gt;Parametros!$C$14),"Alerta","OK")</f>
        <v>OK</v>
      </c>
      <c r="Y1836" s="61" t="str">
        <f aca="false">IF($R1836&gt;=Parametros!$C$12,"Alto",IF($R1836&lt;Parametros!$C$13,"Bajo","Medio"))</f>
        <v>Medio</v>
      </c>
      <c r="Z1836" s="61" t="n">
        <v>1444</v>
      </c>
      <c r="AA1836" s="61" t="str">
        <f aca="false">IF(MATCH($A1836,Datos_Origen!$A$2:$A$2459,0)=$Z1836,"OK","REVISAR")</f>
        <v>OK</v>
      </c>
      <c r="AB1836" s="61" t="str">
        <f aca="false">INDEX(Datos_Origen!$B$2:$B$2459,$Z1836)</f>
        <v>21/07/2025</v>
      </c>
      <c r="AC1836" s="61" t="n">
        <f aca="false">INDEX(Datos_Origen!$H$2:$H$2459,$Z1836)</f>
        <v>24</v>
      </c>
      <c r="AD1836" s="61" t="str">
        <f aca="false">INDEX(Datos_Origen!$D$2:$D$2459,$Z1836)&amp;""</f>
        <v>Cordoba</v>
      </c>
    </row>
    <row r="1837" customFormat="false" ht="15" hidden="false" customHeight="false" outlineLevel="0" collapsed="false">
      <c r="A1837" s="61" t="n">
        <f aca="false">INDEX(Datos_Origen!$A$2:$A$2459,$Z1837)</f>
        <v>1836</v>
      </c>
      <c r="B1837" s="62" t="n">
        <f aca="false">IF(ISNUMBER($AB1837),$AB1837,IF(MID($AB1837,5,1)="-",DATE(VALUE(LEFT($AB1837,4)),VALUE(MID($AB1837,6,2)),VALUE(RIGHT($AB1837,2))),DATE(VALUE(RIGHT($AB1837,4)),VALUE(MID($AB1837,4,2)),VALUE(LEFT($AB1837,2)))))</f>
        <v>45839</v>
      </c>
      <c r="C1837" s="61" t="n">
        <f aca="false">YEAR($B1837)</f>
        <v>2025</v>
      </c>
      <c r="D1837" s="61" t="str">
        <f aca="false">"Q"&amp;ROUNDUP(MONTH($B1837)/3,0)</f>
        <v>Q3</v>
      </c>
      <c r="E1837" s="61" t="n">
        <f aca="false">MONTH($B1837)</f>
        <v>7</v>
      </c>
      <c r="F1837" s="61" t="str">
        <f aca="false">INDEX(Parametros!$I$5:$I$16,$E1837)</f>
        <v>Jul</v>
      </c>
      <c r="G1837" s="61" t="str">
        <f aca="false">TEXT($C1837,"0000")&amp;"-"&amp;TEXT($E1837,"00")</f>
        <v>2025-07</v>
      </c>
      <c r="H1837" s="61" t="str">
        <f aca="false">INDEX(Parametros!$C$71:$C$91,MATCH(TRIM(INDEX(Datos_Origen!$C$2:$C$2459,$Z1837)),Parametros!$B$71:$B$91,0))</f>
        <v>Centro</v>
      </c>
      <c r="I1837" s="61" t="str">
        <f aca="false">IF(TRIM($AD1837)="",INDEX(Parametros!$I$20:$I$24,MATCH($H1837,Parametros!$H$20:$H$24,0)),TRIM($AD1837))</f>
        <v>Cordoba</v>
      </c>
      <c r="J1837" s="61" t="str">
        <f aca="false">INDEX(Parametros!$C$95:$C$106,MATCH(TRIM(INDEX(Datos_Origen!$E$2:$E$2459,$Z1837)),Parametros!$B$95:$B$106,0))</f>
        <v>E-commerce</v>
      </c>
      <c r="K1837" s="61" t="str">
        <f aca="false">INDEX(Parametros!$C$48:$C$67,MATCH(TRIM(INDEX(Datos_Origen!$F$2:$F$2459,$Z1837)),Parametros!$B$48:$B$67,0))</f>
        <v>Audio</v>
      </c>
      <c r="L1837" s="61" t="str">
        <f aca="false">$K1837&amp;" "&amp;$C1837</f>
        <v>Audio 2025</v>
      </c>
      <c r="M1837" s="61" t="str">
        <f aca="false">TRIM(INDEX(Datos_Origen!$G$2:$G$2459,$Z1837))</f>
        <v>Parlante Bluetooth</v>
      </c>
      <c r="N1837" s="61" t="str">
        <f aca="false">$M1837&amp;" "&amp;$C1837</f>
        <v>Parlante Bluetooth 2025</v>
      </c>
      <c r="O1837" s="63" t="n">
        <f aca="false">IF(ISTEXT($AC1837),VALUE($AC1837),$AC1837)</f>
        <v>21</v>
      </c>
      <c r="P1837" s="64" t="n">
        <f aca="false">INDEX(Datos_Origen!$I$2:$I$2459,$Z1837)</f>
        <v>85.34</v>
      </c>
      <c r="Q1837" s="64" t="n">
        <f aca="false">INDEX(Datos_Origen!$J$2:$J$2459,$Z1837)</f>
        <v>49.47</v>
      </c>
      <c r="R1837" s="65" t="n">
        <f aca="false">ROUND($O1837*$P1837,2)</f>
        <v>1792.14</v>
      </c>
      <c r="S1837" s="65" t="n">
        <f aca="false">ROUND($O1837*$Q1837,2)</f>
        <v>1038.87</v>
      </c>
      <c r="T1837" s="65" t="n">
        <f aca="false">ROUND($R1837*SUMIFS(Parametros!$E$28:$E$43,Parametros!$B$28:$B$43,$J1837,Parametros!$C$28:$C$43,$C1837,Parametros!$D$28:$D$43,$D1837),2)</f>
        <v>100.36</v>
      </c>
      <c r="U1837" s="65" t="n">
        <f aca="false">$R1837-$S1837-$T1837</f>
        <v>652.91</v>
      </c>
      <c r="V1837" s="66" t="n">
        <f aca="false">IFERROR($U1837/$R1837,0)</f>
        <v>0.364318635820862</v>
      </c>
      <c r="W1837" s="67" t="str">
        <f aca="false">IF(AND($V1837&gt;=Parametros!$C$8,$R1837&gt;=Parametros!$C$12),"Alta rentabilidad",IF(OR($V1837&lt;Parametros!$C$11,$R1837&lt;Parametros!$C$13),"Revisar","Estandar"))</f>
        <v>Estandar</v>
      </c>
      <c r="X1837" s="67" t="str">
        <f aca="false">IF(AND($J1837="E-commerce",IFERROR($T1837/$R1837,0)&gt;Parametros!$C$14),"Alerta","OK")</f>
        <v>Alerta</v>
      </c>
      <c r="Y1837" s="61" t="str">
        <f aca="false">IF($R1837&gt;=Parametros!$C$12,"Alto",IF($R1837&lt;Parametros!$C$13,"Bajo","Medio"))</f>
        <v>Medio</v>
      </c>
      <c r="Z1837" s="61" t="n">
        <v>2115</v>
      </c>
      <c r="AA1837" s="61" t="str">
        <f aca="false">IF(MATCH($A1837,Datos_Origen!$A$2:$A$2459,0)=$Z1837,"OK","REVISAR")</f>
        <v>OK</v>
      </c>
      <c r="AB1837" s="61" t="str">
        <f aca="false">INDEX(Datos_Origen!$B$2:$B$2459,$Z1837)</f>
        <v>01/07/2025</v>
      </c>
      <c r="AC1837" s="61" t="n">
        <f aca="false">INDEX(Datos_Origen!$H$2:$H$2459,$Z1837)</f>
        <v>21</v>
      </c>
      <c r="AD1837" s="61" t="str">
        <f aca="false">INDEX(Datos_Origen!$D$2:$D$2459,$Z1837)&amp;""</f>
        <v>Cordoba</v>
      </c>
    </row>
    <row r="1838" customFormat="false" ht="15" hidden="false" customHeight="false" outlineLevel="0" collapsed="false">
      <c r="A1838" s="61" t="n">
        <f aca="false">INDEX(Datos_Origen!$A$2:$A$2459,$Z1838)</f>
        <v>1837</v>
      </c>
      <c r="B1838" s="62" t="n">
        <f aca="false">IF(ISNUMBER($AB1838),$AB1838,IF(MID($AB1838,5,1)="-",DATE(VALUE(LEFT($AB1838,4)),VALUE(MID($AB1838,6,2)),VALUE(RIGHT($AB1838,2))),DATE(VALUE(RIGHT($AB1838,4)),VALUE(MID($AB1838,4,2)),VALUE(LEFT($AB1838,2)))))</f>
        <v>45846</v>
      </c>
      <c r="C1838" s="61" t="n">
        <f aca="false">YEAR($B1838)</f>
        <v>2025</v>
      </c>
      <c r="D1838" s="61" t="str">
        <f aca="false">"Q"&amp;ROUNDUP(MONTH($B1838)/3,0)</f>
        <v>Q3</v>
      </c>
      <c r="E1838" s="61" t="n">
        <f aca="false">MONTH($B1838)</f>
        <v>7</v>
      </c>
      <c r="F1838" s="61" t="str">
        <f aca="false">INDEX(Parametros!$I$5:$I$16,$E1838)</f>
        <v>Jul</v>
      </c>
      <c r="G1838" s="61" t="str">
        <f aca="false">TEXT($C1838,"0000")&amp;"-"&amp;TEXT($E1838,"00")</f>
        <v>2025-07</v>
      </c>
      <c r="H1838" s="61" t="str">
        <f aca="false">INDEX(Parametros!$C$71:$C$91,MATCH(TRIM(INDEX(Datos_Origen!$C$2:$C$2459,$Z1838)),Parametros!$B$71:$B$91,0))</f>
        <v>Centro</v>
      </c>
      <c r="I1838" s="61" t="str">
        <f aca="false">IF(TRIM($AD1838)="",INDEX(Parametros!$I$20:$I$24,MATCH($H1838,Parametros!$H$20:$H$24,0)),TRIM($AD1838))</f>
        <v>Cordoba</v>
      </c>
      <c r="J1838" s="61" t="str">
        <f aca="false">INDEX(Parametros!$C$95:$C$106,MATCH(TRIM(INDEX(Datos_Origen!$E$2:$E$2459,$Z1838)),Parametros!$B$95:$B$106,0))</f>
        <v>Tienda fisica</v>
      </c>
      <c r="K1838" s="61" t="str">
        <f aca="false">INDEX(Parametros!$C$48:$C$67,MATCH(TRIM(INDEX(Datos_Origen!$F$2:$F$2459,$Z1838)),Parametros!$B$48:$B$67,0))</f>
        <v>Almacenamiento</v>
      </c>
      <c r="L1838" s="61" t="str">
        <f aca="false">$K1838&amp;" "&amp;$C1838</f>
        <v>Almacenamiento 2025</v>
      </c>
      <c r="M1838" s="61" t="str">
        <f aca="false">TRIM(INDEX(Datos_Origen!$G$2:$G$2459,$Z1838))</f>
        <v>SSD Externo 1TB</v>
      </c>
      <c r="N1838" s="61" t="str">
        <f aca="false">$M1838&amp;" "&amp;$C1838</f>
        <v>SSD Externo 1TB 2025</v>
      </c>
      <c r="O1838" s="63" t="n">
        <f aca="false">IF(ISTEXT($AC1838),VALUE($AC1838),$AC1838)</f>
        <v>38</v>
      </c>
      <c r="P1838" s="64" t="n">
        <f aca="false">INDEX(Datos_Origen!$I$2:$I$2459,$Z1838)</f>
        <v>130.51</v>
      </c>
      <c r="Q1838" s="64" t="n">
        <f aca="false">INDEX(Datos_Origen!$J$2:$J$2459,$Z1838)</f>
        <v>78.33</v>
      </c>
      <c r="R1838" s="65" t="n">
        <f aca="false">ROUND($O1838*$P1838,2)</f>
        <v>4959.38</v>
      </c>
      <c r="S1838" s="65" t="n">
        <f aca="false">ROUND($O1838*$Q1838,2)</f>
        <v>2976.54</v>
      </c>
      <c r="T1838" s="65" t="n">
        <f aca="false">ROUND($R1838*SUMIFS(Parametros!$E$28:$E$43,Parametros!$B$28:$B$43,$J1838,Parametros!$C$28:$C$43,$C1838,Parametros!$D$28:$D$43,$D1838),2)</f>
        <v>64.47</v>
      </c>
      <c r="U1838" s="65" t="n">
        <f aca="false">$R1838-$S1838-$T1838</f>
        <v>1918.37</v>
      </c>
      <c r="V1838" s="66" t="n">
        <f aca="false">IFERROR($U1838/$R1838,0)</f>
        <v>0.386816497223443</v>
      </c>
      <c r="W1838" s="67" t="str">
        <f aca="false">IF(AND($V1838&gt;=Parametros!$C$8,$R1838&gt;=Parametros!$C$12),"Alta rentabilidad",IF(OR($V1838&lt;Parametros!$C$11,$R1838&lt;Parametros!$C$13),"Revisar","Estandar"))</f>
        <v>Alta rentabilidad</v>
      </c>
      <c r="X1838" s="67" t="str">
        <f aca="false">IF(AND($J1838="E-commerce",IFERROR($T1838/$R1838,0)&gt;Parametros!$C$14),"Alerta","OK")</f>
        <v>OK</v>
      </c>
      <c r="Y1838" s="61" t="str">
        <f aca="false">IF($R1838&gt;=Parametros!$C$12,"Alto",IF($R1838&lt;Parametros!$C$13,"Bajo","Medio"))</f>
        <v>Alto</v>
      </c>
      <c r="Z1838" s="61" t="n">
        <v>1200</v>
      </c>
      <c r="AA1838" s="61" t="str">
        <f aca="false">IF(MATCH($A1838,Datos_Origen!$A$2:$A$2459,0)=$Z1838,"OK","REVISAR")</f>
        <v>OK</v>
      </c>
      <c r="AB1838" s="62" t="n">
        <f aca="false">INDEX(Datos_Origen!$B$2:$B$2459,$Z1838)</f>
        <v>45846</v>
      </c>
      <c r="AC1838" s="61" t="n">
        <f aca="false">INDEX(Datos_Origen!$H$2:$H$2459,$Z1838)</f>
        <v>38</v>
      </c>
      <c r="AD1838" s="61" t="str">
        <f aca="false">INDEX(Datos_Origen!$D$2:$D$2459,$Z1838)&amp;""</f>
        <v/>
      </c>
    </row>
    <row r="1839" customFormat="false" ht="15" hidden="false" customHeight="false" outlineLevel="0" collapsed="false">
      <c r="A1839" s="61" t="n">
        <f aca="false">INDEX(Datos_Origen!$A$2:$A$2459,$Z1839)</f>
        <v>1838</v>
      </c>
      <c r="B1839" s="62" t="n">
        <f aca="false">IF(ISNUMBER($AB1839),$AB1839,IF(MID($AB1839,5,1)="-",DATE(VALUE(LEFT($AB1839,4)),VALUE(MID($AB1839,6,2)),VALUE(RIGHT($AB1839,2))),DATE(VALUE(RIGHT($AB1839,4)),VALUE(MID($AB1839,4,2)),VALUE(LEFT($AB1839,2)))))</f>
        <v>45853</v>
      </c>
      <c r="C1839" s="61" t="n">
        <f aca="false">YEAR($B1839)</f>
        <v>2025</v>
      </c>
      <c r="D1839" s="61" t="str">
        <f aca="false">"Q"&amp;ROUNDUP(MONTH($B1839)/3,0)</f>
        <v>Q3</v>
      </c>
      <c r="E1839" s="61" t="n">
        <f aca="false">MONTH($B1839)</f>
        <v>7</v>
      </c>
      <c r="F1839" s="61" t="str">
        <f aca="false">INDEX(Parametros!$I$5:$I$16,$E1839)</f>
        <v>Jul</v>
      </c>
      <c r="G1839" s="61" t="str">
        <f aca="false">TEXT($C1839,"0000")&amp;"-"&amp;TEXT($E1839,"00")</f>
        <v>2025-07</v>
      </c>
      <c r="H1839" s="61" t="str">
        <f aca="false">INDEX(Parametros!$C$71:$C$91,MATCH(TRIM(INDEX(Datos_Origen!$C$2:$C$2459,$Z1839)),Parametros!$B$71:$B$91,0))</f>
        <v>Centro</v>
      </c>
      <c r="I1839" s="61" t="str">
        <f aca="false">IF(TRIM($AD1839)="",INDEX(Parametros!$I$20:$I$24,MATCH($H1839,Parametros!$H$20:$H$24,0)),TRIM($AD1839))</f>
        <v>Cordoba</v>
      </c>
      <c r="J1839" s="61" t="str">
        <f aca="false">INDEX(Parametros!$C$95:$C$106,MATCH(TRIM(INDEX(Datos_Origen!$E$2:$E$2459,$Z1839)),Parametros!$B$95:$B$106,0))</f>
        <v>E-commerce</v>
      </c>
      <c r="K1839" s="61" t="str">
        <f aca="false">INDEX(Parametros!$C$48:$C$67,MATCH(TRIM(INDEX(Datos_Origen!$F$2:$F$2459,$Z1839)),Parametros!$B$48:$B$67,0))</f>
        <v>Almacenamiento</v>
      </c>
      <c r="L1839" s="61" t="str">
        <f aca="false">$K1839&amp;" "&amp;$C1839</f>
        <v>Almacenamiento 2025</v>
      </c>
      <c r="M1839" s="61" t="str">
        <f aca="false">TRIM(INDEX(Datos_Origen!$G$2:$G$2459,$Z1839))</f>
        <v>SSD Externo 1TB</v>
      </c>
      <c r="N1839" s="61" t="str">
        <f aca="false">$M1839&amp;" "&amp;$C1839</f>
        <v>SSD Externo 1TB 2025</v>
      </c>
      <c r="O1839" s="63" t="n">
        <f aca="false">IF(ISTEXT($AC1839),VALUE($AC1839),$AC1839)</f>
        <v>25</v>
      </c>
      <c r="P1839" s="64" t="n">
        <f aca="false">INDEX(Datos_Origen!$I$2:$I$2459,$Z1839)</f>
        <v>130.51</v>
      </c>
      <c r="Q1839" s="64" t="n">
        <f aca="false">INDEX(Datos_Origen!$J$2:$J$2459,$Z1839)</f>
        <v>78.33</v>
      </c>
      <c r="R1839" s="65" t="n">
        <f aca="false">ROUND($O1839*$P1839,2)</f>
        <v>3262.75</v>
      </c>
      <c r="S1839" s="65" t="n">
        <f aca="false">ROUND($O1839*$Q1839,2)</f>
        <v>1958.25</v>
      </c>
      <c r="T1839" s="65" t="n">
        <f aca="false">ROUND($R1839*SUMIFS(Parametros!$E$28:$E$43,Parametros!$B$28:$B$43,$J1839,Parametros!$C$28:$C$43,$C1839,Parametros!$D$28:$D$43,$D1839),2)</f>
        <v>182.71</v>
      </c>
      <c r="U1839" s="65" t="n">
        <f aca="false">$R1839-$S1839-$T1839</f>
        <v>1121.79</v>
      </c>
      <c r="V1839" s="66" t="n">
        <f aca="false">IFERROR($U1839/$R1839,0)</f>
        <v>0.34381733200521</v>
      </c>
      <c r="W1839" s="67" t="str">
        <f aca="false">IF(AND($V1839&gt;=Parametros!$C$8,$R1839&gt;=Parametros!$C$12),"Alta rentabilidad",IF(OR($V1839&lt;Parametros!$C$11,$R1839&lt;Parametros!$C$13),"Revisar","Estandar"))</f>
        <v>Alta rentabilidad</v>
      </c>
      <c r="X1839" s="67" t="str">
        <f aca="false">IF(AND($J1839="E-commerce",IFERROR($T1839/$R1839,0)&gt;Parametros!$C$14),"Alerta","OK")</f>
        <v>Alerta</v>
      </c>
      <c r="Y1839" s="61" t="str">
        <f aca="false">IF($R1839&gt;=Parametros!$C$12,"Alto",IF($R1839&lt;Parametros!$C$13,"Bajo","Medio"))</f>
        <v>Alto</v>
      </c>
      <c r="Z1839" s="61" t="n">
        <v>1467</v>
      </c>
      <c r="AA1839" s="61" t="str">
        <f aca="false">IF(MATCH($A1839,Datos_Origen!$A$2:$A$2459,0)=$Z1839,"OK","REVISAR")</f>
        <v>OK</v>
      </c>
      <c r="AB1839" s="62" t="n">
        <f aca="false">INDEX(Datos_Origen!$B$2:$B$2459,$Z1839)</f>
        <v>45853</v>
      </c>
      <c r="AC1839" s="61" t="str">
        <f aca="false">INDEX(Datos_Origen!$H$2:$H$2459,$Z1839)</f>
        <v>25</v>
      </c>
      <c r="AD1839" s="61" t="str">
        <f aca="false">INDEX(Datos_Origen!$D$2:$D$2459,$Z1839)&amp;""</f>
        <v>Cordoba</v>
      </c>
    </row>
    <row r="1840" customFormat="false" ht="15" hidden="false" customHeight="false" outlineLevel="0" collapsed="false">
      <c r="A1840" s="61" t="n">
        <f aca="false">INDEX(Datos_Origen!$A$2:$A$2459,$Z1840)</f>
        <v>1839</v>
      </c>
      <c r="B1840" s="62" t="n">
        <f aca="false">IF(ISNUMBER($AB1840),$AB1840,IF(MID($AB1840,5,1)="-",DATE(VALUE(LEFT($AB1840,4)),VALUE(MID($AB1840,6,2)),VALUE(RIGHT($AB1840,2))),DATE(VALUE(RIGHT($AB1840,4)),VALUE(MID($AB1840,4,2)),VALUE(LEFT($AB1840,2)))))</f>
        <v>45860</v>
      </c>
      <c r="C1840" s="61" t="n">
        <f aca="false">YEAR($B1840)</f>
        <v>2025</v>
      </c>
      <c r="D1840" s="61" t="str">
        <f aca="false">"Q"&amp;ROUNDUP(MONTH($B1840)/3,0)</f>
        <v>Q3</v>
      </c>
      <c r="E1840" s="61" t="n">
        <f aca="false">MONTH($B1840)</f>
        <v>7</v>
      </c>
      <c r="F1840" s="61" t="str">
        <f aca="false">INDEX(Parametros!$I$5:$I$16,$E1840)</f>
        <v>Jul</v>
      </c>
      <c r="G1840" s="61" t="str">
        <f aca="false">TEXT($C1840,"0000")&amp;"-"&amp;TEXT($E1840,"00")</f>
        <v>2025-07</v>
      </c>
      <c r="H1840" s="61" t="str">
        <f aca="false">INDEX(Parametros!$C$71:$C$91,MATCH(TRIM(INDEX(Datos_Origen!$C$2:$C$2459,$Z1840)),Parametros!$B$71:$B$91,0))</f>
        <v>Centro</v>
      </c>
      <c r="I1840" s="61" t="str">
        <f aca="false">IF(TRIM($AD1840)="",INDEX(Parametros!$I$20:$I$24,MATCH($H1840,Parametros!$H$20:$H$24,0)),TRIM($AD1840))</f>
        <v>Cordoba</v>
      </c>
      <c r="J1840" s="61" t="str">
        <f aca="false">INDEX(Parametros!$C$95:$C$106,MATCH(TRIM(INDEX(Datos_Origen!$E$2:$E$2459,$Z1840)),Parametros!$B$95:$B$106,0))</f>
        <v>Tienda fisica</v>
      </c>
      <c r="K1840" s="61" t="str">
        <f aca="false">INDEX(Parametros!$C$48:$C$67,MATCH(TRIM(INDEX(Datos_Origen!$F$2:$F$2459,$Z1840)),Parametros!$B$48:$B$67,0))</f>
        <v>Almacenamiento</v>
      </c>
      <c r="L1840" s="61" t="str">
        <f aca="false">$K1840&amp;" "&amp;$C1840</f>
        <v>Almacenamiento 2025</v>
      </c>
      <c r="M1840" s="61" t="str">
        <f aca="false">TRIM(INDEX(Datos_Origen!$G$2:$G$2459,$Z1840))</f>
        <v>Pendrive 256GB</v>
      </c>
      <c r="N1840" s="61" t="str">
        <f aca="false">$M1840&amp;" "&amp;$C1840</f>
        <v>Pendrive 256GB 2025</v>
      </c>
      <c r="O1840" s="63" t="n">
        <f aca="false">IF(ISTEXT($AC1840),VALUE($AC1840),$AC1840)</f>
        <v>39</v>
      </c>
      <c r="P1840" s="64" t="n">
        <f aca="false">INDEX(Datos_Origen!$I$2:$I$2459,$Z1840)</f>
        <v>35.14</v>
      </c>
      <c r="Q1840" s="64" t="n">
        <f aca="false">INDEX(Datos_Origen!$J$2:$J$2459,$Z1840)</f>
        <v>18.39</v>
      </c>
      <c r="R1840" s="65" t="n">
        <f aca="false">ROUND($O1840*$P1840,2)</f>
        <v>1370.46</v>
      </c>
      <c r="S1840" s="65" t="n">
        <f aca="false">ROUND($O1840*$Q1840,2)</f>
        <v>717.21</v>
      </c>
      <c r="T1840" s="65" t="n">
        <f aca="false">ROUND($R1840*SUMIFS(Parametros!$E$28:$E$43,Parametros!$B$28:$B$43,$J1840,Parametros!$C$28:$C$43,$C1840,Parametros!$D$28:$D$43,$D1840),2)</f>
        <v>17.82</v>
      </c>
      <c r="U1840" s="65" t="n">
        <f aca="false">$R1840-$S1840-$T1840</f>
        <v>635.43</v>
      </c>
      <c r="V1840" s="66" t="n">
        <f aca="false">IFERROR($U1840/$R1840,0)</f>
        <v>0.463661836171796</v>
      </c>
      <c r="W1840" s="67" t="str">
        <f aca="false">IF(AND($V1840&gt;=Parametros!$C$8,$R1840&gt;=Parametros!$C$12),"Alta rentabilidad",IF(OR($V1840&lt;Parametros!$C$11,$R1840&lt;Parametros!$C$13),"Revisar","Estandar"))</f>
        <v>Estandar</v>
      </c>
      <c r="X1840" s="67" t="str">
        <f aca="false">IF(AND($J1840="E-commerce",IFERROR($T1840/$R1840,0)&gt;Parametros!$C$14),"Alerta","OK")</f>
        <v>OK</v>
      </c>
      <c r="Y1840" s="61" t="str">
        <f aca="false">IF($R1840&gt;=Parametros!$C$12,"Alto",IF($R1840&lt;Parametros!$C$13,"Bajo","Medio"))</f>
        <v>Medio</v>
      </c>
      <c r="Z1840" s="61" t="n">
        <v>1229</v>
      </c>
      <c r="AA1840" s="61" t="str">
        <f aca="false">IF(MATCH($A1840,Datos_Origen!$A$2:$A$2459,0)=$Z1840,"OK","REVISAR")</f>
        <v>OK</v>
      </c>
      <c r="AB1840" s="61" t="str">
        <f aca="false">INDEX(Datos_Origen!$B$2:$B$2459,$Z1840)</f>
        <v>2025-07-22</v>
      </c>
      <c r="AC1840" s="61" t="n">
        <f aca="false">INDEX(Datos_Origen!$H$2:$H$2459,$Z1840)</f>
        <v>39</v>
      </c>
      <c r="AD1840" s="61" t="str">
        <f aca="false">INDEX(Datos_Origen!$D$2:$D$2459,$Z1840)&amp;""</f>
        <v>Cordoba</v>
      </c>
    </row>
    <row r="1841" customFormat="false" ht="15" hidden="false" customHeight="false" outlineLevel="0" collapsed="false">
      <c r="A1841" s="61" t="n">
        <f aca="false">INDEX(Datos_Origen!$A$2:$A$2459,$Z1841)</f>
        <v>1840</v>
      </c>
      <c r="B1841" s="62" t="n">
        <f aca="false">IF(ISNUMBER($AB1841),$AB1841,IF(MID($AB1841,5,1)="-",DATE(VALUE(LEFT($AB1841,4)),VALUE(MID($AB1841,6,2)),VALUE(RIGHT($AB1841,2))),DATE(VALUE(RIGHT($AB1841,4)),VALUE(MID($AB1841,4,2)),VALUE(LEFT($AB1841,2)))))</f>
        <v>45840</v>
      </c>
      <c r="C1841" s="61" t="n">
        <f aca="false">YEAR($B1841)</f>
        <v>2025</v>
      </c>
      <c r="D1841" s="61" t="str">
        <f aca="false">"Q"&amp;ROUNDUP(MONTH($B1841)/3,0)</f>
        <v>Q3</v>
      </c>
      <c r="E1841" s="61" t="n">
        <f aca="false">MONTH($B1841)</f>
        <v>7</v>
      </c>
      <c r="F1841" s="61" t="str">
        <f aca="false">INDEX(Parametros!$I$5:$I$16,$E1841)</f>
        <v>Jul</v>
      </c>
      <c r="G1841" s="61" t="str">
        <f aca="false">TEXT($C1841,"0000")&amp;"-"&amp;TEXT($E1841,"00")</f>
        <v>2025-07</v>
      </c>
      <c r="H1841" s="61" t="str">
        <f aca="false">INDEX(Parametros!$C$71:$C$91,MATCH(TRIM(INDEX(Datos_Origen!$C$2:$C$2459,$Z1841)),Parametros!$B$71:$B$91,0))</f>
        <v>Centro</v>
      </c>
      <c r="I1841" s="61" t="str">
        <f aca="false">IF(TRIM($AD1841)="",INDEX(Parametros!$I$20:$I$24,MATCH($H1841,Parametros!$H$20:$H$24,0)),TRIM($AD1841))</f>
        <v>Cordoba</v>
      </c>
      <c r="J1841" s="61" t="str">
        <f aca="false">INDEX(Parametros!$C$95:$C$106,MATCH(TRIM(INDEX(Datos_Origen!$E$2:$E$2459,$Z1841)),Parametros!$B$95:$B$106,0))</f>
        <v>E-commerce</v>
      </c>
      <c r="K1841" s="61" t="str">
        <f aca="false">INDEX(Parametros!$C$48:$C$67,MATCH(TRIM(INDEX(Datos_Origen!$F$2:$F$2459,$Z1841)),Parametros!$B$48:$B$67,0))</f>
        <v>Almacenamiento</v>
      </c>
      <c r="L1841" s="61" t="str">
        <f aca="false">$K1841&amp;" "&amp;$C1841</f>
        <v>Almacenamiento 2025</v>
      </c>
      <c r="M1841" s="61" t="str">
        <f aca="false">TRIM(INDEX(Datos_Origen!$G$2:$G$2459,$Z1841))</f>
        <v>Pendrive 256GB</v>
      </c>
      <c r="N1841" s="61" t="str">
        <f aca="false">$M1841&amp;" "&amp;$C1841</f>
        <v>Pendrive 256GB 2025</v>
      </c>
      <c r="O1841" s="63" t="n">
        <f aca="false">IF(ISTEXT($AC1841),VALUE($AC1841),$AC1841)</f>
        <v>26</v>
      </c>
      <c r="P1841" s="64" t="n">
        <f aca="false">INDEX(Datos_Origen!$I$2:$I$2459,$Z1841)</f>
        <v>35.14</v>
      </c>
      <c r="Q1841" s="64" t="n">
        <f aca="false">INDEX(Datos_Origen!$J$2:$J$2459,$Z1841)</f>
        <v>18.39</v>
      </c>
      <c r="R1841" s="65" t="n">
        <f aca="false">ROUND($O1841*$P1841,2)</f>
        <v>913.64</v>
      </c>
      <c r="S1841" s="65" t="n">
        <f aca="false">ROUND($O1841*$Q1841,2)</f>
        <v>478.14</v>
      </c>
      <c r="T1841" s="65" t="n">
        <f aca="false">ROUND($R1841*SUMIFS(Parametros!$E$28:$E$43,Parametros!$B$28:$B$43,$J1841,Parametros!$C$28:$C$43,$C1841,Parametros!$D$28:$D$43,$D1841),2)</f>
        <v>51.16</v>
      </c>
      <c r="U1841" s="65" t="n">
        <f aca="false">$R1841-$S1841-$T1841</f>
        <v>384.34</v>
      </c>
      <c r="V1841" s="66" t="n">
        <f aca="false">IFERROR($U1841/$R1841,0)</f>
        <v>0.420668972461801</v>
      </c>
      <c r="W1841" s="67" t="str">
        <f aca="false">IF(AND($V1841&gt;=Parametros!$C$8,$R1841&gt;=Parametros!$C$12),"Alta rentabilidad",IF(OR($V1841&lt;Parametros!$C$11,$R1841&lt;Parametros!$C$13),"Revisar","Estandar"))</f>
        <v>Estandar</v>
      </c>
      <c r="X1841" s="67" t="str">
        <f aca="false">IF(AND($J1841="E-commerce",IFERROR($T1841/$R1841,0)&gt;Parametros!$C$14),"Alerta","OK")</f>
        <v>Alerta</v>
      </c>
      <c r="Y1841" s="61" t="str">
        <f aca="false">IF($R1841&gt;=Parametros!$C$12,"Alto",IF($R1841&lt;Parametros!$C$13,"Bajo","Medio"))</f>
        <v>Medio</v>
      </c>
      <c r="Z1841" s="61" t="n">
        <v>1384</v>
      </c>
      <c r="AA1841" s="61" t="str">
        <f aca="false">IF(MATCH($A1841,Datos_Origen!$A$2:$A$2459,0)=$Z1841,"OK","REVISAR")</f>
        <v>OK</v>
      </c>
      <c r="AB1841" s="62" t="n">
        <f aca="false">INDEX(Datos_Origen!$B$2:$B$2459,$Z1841)</f>
        <v>45840</v>
      </c>
      <c r="AC1841" s="61" t="n">
        <f aca="false">INDEX(Datos_Origen!$H$2:$H$2459,$Z1841)</f>
        <v>26</v>
      </c>
      <c r="AD1841" s="61" t="str">
        <f aca="false">INDEX(Datos_Origen!$D$2:$D$2459,$Z1841)&amp;""</f>
        <v>Cordoba</v>
      </c>
    </row>
    <row r="1842" customFormat="false" ht="15" hidden="false" customHeight="false" outlineLevel="0" collapsed="false">
      <c r="A1842" s="61" t="n">
        <f aca="false">INDEX(Datos_Origen!$A$2:$A$2459,$Z1842)</f>
        <v>1841</v>
      </c>
      <c r="B1842" s="62" t="n">
        <f aca="false">IF(ISNUMBER($AB1842),$AB1842,IF(MID($AB1842,5,1)="-",DATE(VALUE(LEFT($AB1842,4)),VALUE(MID($AB1842,6,2)),VALUE(RIGHT($AB1842,2))),DATE(VALUE(RIGHT($AB1842,4)),VALUE(MID($AB1842,4,2)),VALUE(LEFT($AB1842,2)))))</f>
        <v>45847</v>
      </c>
      <c r="C1842" s="61" t="n">
        <f aca="false">YEAR($B1842)</f>
        <v>2025</v>
      </c>
      <c r="D1842" s="61" t="str">
        <f aca="false">"Q"&amp;ROUNDUP(MONTH($B1842)/3,0)</f>
        <v>Q3</v>
      </c>
      <c r="E1842" s="61" t="n">
        <f aca="false">MONTH($B1842)</f>
        <v>7</v>
      </c>
      <c r="F1842" s="61" t="str">
        <f aca="false">INDEX(Parametros!$I$5:$I$16,$E1842)</f>
        <v>Jul</v>
      </c>
      <c r="G1842" s="61" t="str">
        <f aca="false">TEXT($C1842,"0000")&amp;"-"&amp;TEXT($E1842,"00")</f>
        <v>2025-07</v>
      </c>
      <c r="H1842" s="61" t="str">
        <f aca="false">INDEX(Parametros!$C$71:$C$91,MATCH(TRIM(INDEX(Datos_Origen!$C$2:$C$2459,$Z1842)),Parametros!$B$71:$B$91,0))</f>
        <v>Litoral</v>
      </c>
      <c r="I1842" s="61" t="str">
        <f aca="false">IF(TRIM($AD1842)="",INDEX(Parametros!$I$20:$I$24,MATCH($H1842,Parametros!$H$20:$H$24,0)),TRIM($AD1842))</f>
        <v>Rosario</v>
      </c>
      <c r="J1842" s="61" t="str">
        <f aca="false">INDEX(Parametros!$C$95:$C$106,MATCH(TRIM(INDEX(Datos_Origen!$E$2:$E$2459,$Z1842)),Parametros!$B$95:$B$106,0))</f>
        <v>Tienda fisica</v>
      </c>
      <c r="K1842" s="61" t="str">
        <f aca="false">INDEX(Parametros!$C$48:$C$67,MATCH(TRIM(INDEX(Datos_Origen!$F$2:$F$2459,$Z1842)),Parametros!$B$48:$B$67,0))</f>
        <v>Computacion</v>
      </c>
      <c r="L1842" s="61" t="str">
        <f aca="false">$K1842&amp;" "&amp;$C1842</f>
        <v>Computacion 2025</v>
      </c>
      <c r="M1842" s="61" t="str">
        <f aca="false">TRIM(INDEX(Datos_Origen!$G$2:$G$2459,$Z1842))</f>
        <v>Laptop Pro 15</v>
      </c>
      <c r="N1842" s="61" t="str">
        <f aca="false">$M1842&amp;" "&amp;$C1842</f>
        <v>Laptop Pro 15 2025</v>
      </c>
      <c r="O1842" s="63" t="n">
        <f aca="false">IF(ISTEXT($AC1842),VALUE($AC1842),$AC1842)</f>
        <v>11</v>
      </c>
      <c r="P1842" s="64" t="n">
        <f aca="false">INDEX(Datos_Origen!$I$2:$I$2459,$Z1842)</f>
        <v>1204.74</v>
      </c>
      <c r="Q1842" s="64" t="n">
        <f aca="false">INDEX(Datos_Origen!$J$2:$J$2459,$Z1842)</f>
        <v>766.32</v>
      </c>
      <c r="R1842" s="65" t="n">
        <f aca="false">ROUND($O1842*$P1842,2)</f>
        <v>13252.14</v>
      </c>
      <c r="S1842" s="65" t="n">
        <f aca="false">ROUND($O1842*$Q1842,2)</f>
        <v>8429.52</v>
      </c>
      <c r="T1842" s="65" t="n">
        <f aca="false">ROUND($R1842*SUMIFS(Parametros!$E$28:$E$43,Parametros!$B$28:$B$43,$J1842,Parametros!$C$28:$C$43,$C1842,Parametros!$D$28:$D$43,$D1842),2)</f>
        <v>172.28</v>
      </c>
      <c r="U1842" s="65" t="n">
        <f aca="false">$R1842-$S1842-$T1842</f>
        <v>4650.34</v>
      </c>
      <c r="V1842" s="66" t="n">
        <f aca="false">IFERROR($U1842/$R1842,0)</f>
        <v>0.350912380943757</v>
      </c>
      <c r="W1842" s="67" t="str">
        <f aca="false">IF(AND($V1842&gt;=Parametros!$C$8,$R1842&gt;=Parametros!$C$12),"Alta rentabilidad",IF(OR($V1842&lt;Parametros!$C$11,$R1842&lt;Parametros!$C$13),"Revisar","Estandar"))</f>
        <v>Alta rentabilidad</v>
      </c>
      <c r="X1842" s="67" t="str">
        <f aca="false">IF(AND($J1842="E-commerce",IFERROR($T1842/$R1842,0)&gt;Parametros!$C$14),"Alerta","OK")</f>
        <v>OK</v>
      </c>
      <c r="Y1842" s="61" t="str">
        <f aca="false">IF($R1842&gt;=Parametros!$C$12,"Alto",IF($R1842&lt;Parametros!$C$13,"Bajo","Medio"))</f>
        <v>Alto</v>
      </c>
      <c r="Z1842" s="61" t="n">
        <v>1307</v>
      </c>
      <c r="AA1842" s="61" t="str">
        <f aca="false">IF(MATCH($A1842,Datos_Origen!$A$2:$A$2459,0)=$Z1842,"OK","REVISAR")</f>
        <v>OK</v>
      </c>
      <c r="AB1842" s="62" t="n">
        <f aca="false">INDEX(Datos_Origen!$B$2:$B$2459,$Z1842)</f>
        <v>45847</v>
      </c>
      <c r="AC1842" s="61" t="n">
        <f aca="false">INDEX(Datos_Origen!$H$2:$H$2459,$Z1842)</f>
        <v>11</v>
      </c>
      <c r="AD1842" s="61" t="str">
        <f aca="false">INDEX(Datos_Origen!$D$2:$D$2459,$Z1842)&amp;""</f>
        <v>Rosario</v>
      </c>
    </row>
    <row r="1843" customFormat="false" ht="15" hidden="false" customHeight="false" outlineLevel="0" collapsed="false">
      <c r="A1843" s="61" t="n">
        <f aca="false">INDEX(Datos_Origen!$A$2:$A$2459,$Z1843)</f>
        <v>1842</v>
      </c>
      <c r="B1843" s="62" t="n">
        <f aca="false">IF(ISNUMBER($AB1843),$AB1843,IF(MID($AB1843,5,1)="-",DATE(VALUE(LEFT($AB1843,4)),VALUE(MID($AB1843,6,2)),VALUE(RIGHT($AB1843,2))),DATE(VALUE(RIGHT($AB1843,4)),VALUE(MID($AB1843,4,2)),VALUE(LEFT($AB1843,2)))))</f>
        <v>45854</v>
      </c>
      <c r="C1843" s="61" t="n">
        <f aca="false">YEAR($B1843)</f>
        <v>2025</v>
      </c>
      <c r="D1843" s="61" t="str">
        <f aca="false">"Q"&amp;ROUNDUP(MONTH($B1843)/3,0)</f>
        <v>Q3</v>
      </c>
      <c r="E1843" s="61" t="n">
        <f aca="false">MONTH($B1843)</f>
        <v>7</v>
      </c>
      <c r="F1843" s="61" t="str">
        <f aca="false">INDEX(Parametros!$I$5:$I$16,$E1843)</f>
        <v>Jul</v>
      </c>
      <c r="G1843" s="61" t="str">
        <f aca="false">TEXT($C1843,"0000")&amp;"-"&amp;TEXT($E1843,"00")</f>
        <v>2025-07</v>
      </c>
      <c r="H1843" s="61" t="str">
        <f aca="false">INDEX(Parametros!$C$71:$C$91,MATCH(TRIM(INDEX(Datos_Origen!$C$2:$C$2459,$Z1843)),Parametros!$B$71:$B$91,0))</f>
        <v>Litoral</v>
      </c>
      <c r="I1843" s="61" t="str">
        <f aca="false">IF(TRIM($AD1843)="",INDEX(Parametros!$I$20:$I$24,MATCH($H1843,Parametros!$H$20:$H$24,0)),TRIM($AD1843))</f>
        <v>Rosario</v>
      </c>
      <c r="J1843" s="61" t="str">
        <f aca="false">INDEX(Parametros!$C$95:$C$106,MATCH(TRIM(INDEX(Datos_Origen!$E$2:$E$2459,$Z1843)),Parametros!$B$95:$B$106,0))</f>
        <v>E-commerce</v>
      </c>
      <c r="K1843" s="61" t="str">
        <f aca="false">INDEX(Parametros!$C$48:$C$67,MATCH(TRIM(INDEX(Datos_Origen!$F$2:$F$2459,$Z1843)),Parametros!$B$48:$B$67,0))</f>
        <v>Computacion</v>
      </c>
      <c r="L1843" s="61" t="str">
        <f aca="false">$K1843&amp;" "&amp;$C1843</f>
        <v>Computacion 2025</v>
      </c>
      <c r="M1843" s="61" t="str">
        <f aca="false">TRIM(INDEX(Datos_Origen!$G$2:$G$2459,$Z1843))</f>
        <v>Laptop Pro 15</v>
      </c>
      <c r="N1843" s="61" t="str">
        <f aca="false">$M1843&amp;" "&amp;$C1843</f>
        <v>Laptop Pro 15 2025</v>
      </c>
      <c r="O1843" s="63" t="n">
        <f aca="false">IF(ISTEXT($AC1843),VALUE($AC1843),$AC1843)</f>
        <v>8</v>
      </c>
      <c r="P1843" s="64" t="n">
        <f aca="false">INDEX(Datos_Origen!$I$2:$I$2459,$Z1843)</f>
        <v>1204.74</v>
      </c>
      <c r="Q1843" s="64" t="n">
        <f aca="false">INDEX(Datos_Origen!$J$2:$J$2459,$Z1843)</f>
        <v>766.32</v>
      </c>
      <c r="R1843" s="65" t="n">
        <f aca="false">ROUND($O1843*$P1843,2)</f>
        <v>9637.92</v>
      </c>
      <c r="S1843" s="65" t="n">
        <f aca="false">ROUND($O1843*$Q1843,2)</f>
        <v>6130.56</v>
      </c>
      <c r="T1843" s="65" t="n">
        <f aca="false">ROUND($R1843*SUMIFS(Parametros!$E$28:$E$43,Parametros!$B$28:$B$43,$J1843,Parametros!$C$28:$C$43,$C1843,Parametros!$D$28:$D$43,$D1843),2)</f>
        <v>539.72</v>
      </c>
      <c r="U1843" s="65" t="n">
        <f aca="false">$R1843-$S1843-$T1843</f>
        <v>2967.64</v>
      </c>
      <c r="V1843" s="66" t="n">
        <f aca="false">IFERROR($U1843/$R1843,0)</f>
        <v>0.307912910669522</v>
      </c>
      <c r="W1843" s="67" t="str">
        <f aca="false">IF(AND($V1843&gt;=Parametros!$C$8,$R1843&gt;=Parametros!$C$12),"Alta rentabilidad",IF(OR($V1843&lt;Parametros!$C$11,$R1843&lt;Parametros!$C$13),"Revisar","Estandar"))</f>
        <v>Estandar</v>
      </c>
      <c r="X1843" s="67" t="str">
        <f aca="false">IF(AND($J1843="E-commerce",IFERROR($T1843/$R1843,0)&gt;Parametros!$C$14),"Alerta","OK")</f>
        <v>Alerta</v>
      </c>
      <c r="Y1843" s="61" t="str">
        <f aca="false">IF($R1843&gt;=Parametros!$C$12,"Alto",IF($R1843&lt;Parametros!$C$13,"Bajo","Medio"))</f>
        <v>Alto</v>
      </c>
      <c r="Z1843" s="61" t="n">
        <v>1904</v>
      </c>
      <c r="AA1843" s="61" t="str">
        <f aca="false">IF(MATCH($A1843,Datos_Origen!$A$2:$A$2459,0)=$Z1843,"OK","REVISAR")</f>
        <v>OK</v>
      </c>
      <c r="AB1843" s="62" t="n">
        <f aca="false">INDEX(Datos_Origen!$B$2:$B$2459,$Z1843)</f>
        <v>45854</v>
      </c>
      <c r="AC1843" s="61" t="n">
        <f aca="false">INDEX(Datos_Origen!$H$2:$H$2459,$Z1843)</f>
        <v>8</v>
      </c>
      <c r="AD1843" s="61" t="str">
        <f aca="false">INDEX(Datos_Origen!$D$2:$D$2459,$Z1843)&amp;""</f>
        <v>Rosario</v>
      </c>
    </row>
    <row r="1844" customFormat="false" ht="15" hidden="false" customHeight="false" outlineLevel="0" collapsed="false">
      <c r="A1844" s="61" t="n">
        <f aca="false">INDEX(Datos_Origen!$A$2:$A$2459,$Z1844)</f>
        <v>1843</v>
      </c>
      <c r="B1844" s="62" t="n">
        <f aca="false">IF(ISNUMBER($AB1844),$AB1844,IF(MID($AB1844,5,1)="-",DATE(VALUE(LEFT($AB1844,4)),VALUE(MID($AB1844,6,2)),VALUE(RIGHT($AB1844,2))),DATE(VALUE(RIGHT($AB1844,4)),VALUE(MID($AB1844,4,2)),VALUE(LEFT($AB1844,2)))))</f>
        <v>45861</v>
      </c>
      <c r="C1844" s="61" t="n">
        <f aca="false">YEAR($B1844)</f>
        <v>2025</v>
      </c>
      <c r="D1844" s="61" t="str">
        <f aca="false">"Q"&amp;ROUNDUP(MONTH($B1844)/3,0)</f>
        <v>Q3</v>
      </c>
      <c r="E1844" s="61" t="n">
        <f aca="false">MONTH($B1844)</f>
        <v>7</v>
      </c>
      <c r="F1844" s="61" t="str">
        <f aca="false">INDEX(Parametros!$I$5:$I$16,$E1844)</f>
        <v>Jul</v>
      </c>
      <c r="G1844" s="61" t="str">
        <f aca="false">TEXT($C1844,"0000")&amp;"-"&amp;TEXT($E1844,"00")</f>
        <v>2025-07</v>
      </c>
      <c r="H1844" s="61" t="str">
        <f aca="false">INDEX(Parametros!$C$71:$C$91,MATCH(TRIM(INDEX(Datos_Origen!$C$2:$C$2459,$Z1844)),Parametros!$B$71:$B$91,0))</f>
        <v>Litoral</v>
      </c>
      <c r="I1844" s="61" t="str">
        <f aca="false">IF(TRIM($AD1844)="",INDEX(Parametros!$I$20:$I$24,MATCH($H1844,Parametros!$H$20:$H$24,0)),TRIM($AD1844))</f>
        <v>Rosario</v>
      </c>
      <c r="J1844" s="61" t="str">
        <f aca="false">INDEX(Parametros!$C$95:$C$106,MATCH(TRIM(INDEX(Datos_Origen!$E$2:$E$2459,$Z1844)),Parametros!$B$95:$B$106,0))</f>
        <v>Tienda fisica</v>
      </c>
      <c r="K1844" s="61" t="str">
        <f aca="false">INDEX(Parametros!$C$48:$C$67,MATCH(TRIM(INDEX(Datos_Origen!$F$2:$F$2459,$Z1844)),Parametros!$B$48:$B$67,0))</f>
        <v>Computacion</v>
      </c>
      <c r="L1844" s="61" t="str">
        <f aca="false">$K1844&amp;" "&amp;$C1844</f>
        <v>Computacion 2025</v>
      </c>
      <c r="M1844" s="61" t="str">
        <f aca="false">TRIM(INDEX(Datos_Origen!$G$2:$G$2459,$Z1844))</f>
        <v>Monitor 4K 27</v>
      </c>
      <c r="N1844" s="61" t="str">
        <f aca="false">$M1844&amp;" "&amp;$C1844</f>
        <v>Monitor 4K 27 2025</v>
      </c>
      <c r="O1844" s="63" t="n">
        <f aca="false">IF(ISTEXT($AC1844),VALUE($AC1844),$AC1844)</f>
        <v>8</v>
      </c>
      <c r="P1844" s="64" t="n">
        <f aca="false">INDEX(Datos_Origen!$I$2:$I$2459,$Z1844)</f>
        <v>451.78</v>
      </c>
      <c r="Q1844" s="64" t="n">
        <f aca="false">INDEX(Datos_Origen!$J$2:$J$2459,$Z1844)</f>
        <v>280.42</v>
      </c>
      <c r="R1844" s="65" t="n">
        <f aca="false">ROUND($O1844*$P1844,2)</f>
        <v>3614.24</v>
      </c>
      <c r="S1844" s="65" t="n">
        <f aca="false">ROUND($O1844*$Q1844,2)</f>
        <v>2243.36</v>
      </c>
      <c r="T1844" s="65" t="n">
        <f aca="false">ROUND($R1844*SUMIFS(Parametros!$E$28:$E$43,Parametros!$B$28:$B$43,$J1844,Parametros!$C$28:$C$43,$C1844,Parametros!$D$28:$D$43,$D1844),2)</f>
        <v>46.99</v>
      </c>
      <c r="U1844" s="65" t="n">
        <f aca="false">$R1844-$S1844-$T1844</f>
        <v>1323.89</v>
      </c>
      <c r="V1844" s="66" t="n">
        <f aca="false">IFERROR($U1844/$R1844,0)</f>
        <v>0.366298308911417</v>
      </c>
      <c r="W1844" s="67" t="str">
        <f aca="false">IF(AND($V1844&gt;=Parametros!$C$8,$R1844&gt;=Parametros!$C$12),"Alta rentabilidad",IF(OR($V1844&lt;Parametros!$C$11,$R1844&lt;Parametros!$C$13),"Revisar","Estandar"))</f>
        <v>Alta rentabilidad</v>
      </c>
      <c r="X1844" s="67" t="str">
        <f aca="false">IF(AND($J1844="E-commerce",IFERROR($T1844/$R1844,0)&gt;Parametros!$C$14),"Alerta","OK")</f>
        <v>OK</v>
      </c>
      <c r="Y1844" s="61" t="str">
        <f aca="false">IF($R1844&gt;=Parametros!$C$12,"Alto",IF($R1844&lt;Parametros!$C$13,"Bajo","Medio"))</f>
        <v>Alto</v>
      </c>
      <c r="Z1844" s="61" t="n">
        <v>1718</v>
      </c>
      <c r="AA1844" s="61" t="str">
        <f aca="false">IF(MATCH($A1844,Datos_Origen!$A$2:$A$2459,0)=$Z1844,"OK","REVISAR")</f>
        <v>OK</v>
      </c>
      <c r="AB1844" s="62" t="n">
        <f aca="false">INDEX(Datos_Origen!$B$2:$B$2459,$Z1844)</f>
        <v>45861</v>
      </c>
      <c r="AC1844" s="61" t="str">
        <f aca="false">INDEX(Datos_Origen!$H$2:$H$2459,$Z1844)</f>
        <v>8</v>
      </c>
      <c r="AD1844" s="61" t="str">
        <f aca="false">INDEX(Datos_Origen!$D$2:$D$2459,$Z1844)&amp;""</f>
        <v>Rosario</v>
      </c>
    </row>
    <row r="1845" customFormat="false" ht="15" hidden="false" customHeight="false" outlineLevel="0" collapsed="false">
      <c r="A1845" s="61" t="n">
        <f aca="false">INDEX(Datos_Origen!$A$2:$A$2459,$Z1845)</f>
        <v>1844</v>
      </c>
      <c r="B1845" s="62" t="n">
        <f aca="false">IF(ISNUMBER($AB1845),$AB1845,IF(MID($AB1845,5,1)="-",DATE(VALUE(LEFT($AB1845,4)),VALUE(MID($AB1845,6,2)),VALUE(RIGHT($AB1845,2))),DATE(VALUE(RIGHT($AB1845,4)),VALUE(MID($AB1845,4,2)),VALUE(LEFT($AB1845,2)))))</f>
        <v>45841</v>
      </c>
      <c r="C1845" s="61" t="n">
        <f aca="false">YEAR($B1845)</f>
        <v>2025</v>
      </c>
      <c r="D1845" s="61" t="str">
        <f aca="false">"Q"&amp;ROUNDUP(MONTH($B1845)/3,0)</f>
        <v>Q3</v>
      </c>
      <c r="E1845" s="61" t="n">
        <f aca="false">MONTH($B1845)</f>
        <v>7</v>
      </c>
      <c r="F1845" s="61" t="str">
        <f aca="false">INDEX(Parametros!$I$5:$I$16,$E1845)</f>
        <v>Jul</v>
      </c>
      <c r="G1845" s="61" t="str">
        <f aca="false">TEXT($C1845,"0000")&amp;"-"&amp;TEXT($E1845,"00")</f>
        <v>2025-07</v>
      </c>
      <c r="H1845" s="61" t="str">
        <f aca="false">INDEX(Parametros!$C$71:$C$91,MATCH(TRIM(INDEX(Datos_Origen!$C$2:$C$2459,$Z1845)),Parametros!$B$71:$B$91,0))</f>
        <v>Litoral</v>
      </c>
      <c r="I1845" s="61" t="str">
        <f aca="false">IF(TRIM($AD1845)="",INDEX(Parametros!$I$20:$I$24,MATCH($H1845,Parametros!$H$20:$H$24,0)),TRIM($AD1845))</f>
        <v>Rosario</v>
      </c>
      <c r="J1845" s="61" t="str">
        <f aca="false">INDEX(Parametros!$C$95:$C$106,MATCH(TRIM(INDEX(Datos_Origen!$E$2:$E$2459,$Z1845)),Parametros!$B$95:$B$106,0))</f>
        <v>E-commerce</v>
      </c>
      <c r="K1845" s="61" t="str">
        <f aca="false">INDEX(Parametros!$C$48:$C$67,MATCH(TRIM(INDEX(Datos_Origen!$F$2:$F$2459,$Z1845)),Parametros!$B$48:$B$67,0))</f>
        <v>Computacion</v>
      </c>
      <c r="L1845" s="61" t="str">
        <f aca="false">$K1845&amp;" "&amp;$C1845</f>
        <v>Computacion 2025</v>
      </c>
      <c r="M1845" s="61" t="str">
        <f aca="false">TRIM(INDEX(Datos_Origen!$G$2:$G$2459,$Z1845))</f>
        <v>Monitor 4K 27</v>
      </c>
      <c r="N1845" s="61" t="str">
        <f aca="false">$M1845&amp;" "&amp;$C1845</f>
        <v>Monitor 4K 27 2025</v>
      </c>
      <c r="O1845" s="63" t="n">
        <f aca="false">IF(ISTEXT($AC1845),VALUE($AC1845),$AC1845)</f>
        <v>7</v>
      </c>
      <c r="P1845" s="64" t="n">
        <f aca="false">INDEX(Datos_Origen!$I$2:$I$2459,$Z1845)</f>
        <v>451.78</v>
      </c>
      <c r="Q1845" s="64" t="n">
        <f aca="false">INDEX(Datos_Origen!$J$2:$J$2459,$Z1845)</f>
        <v>280.42</v>
      </c>
      <c r="R1845" s="65" t="n">
        <f aca="false">ROUND($O1845*$P1845,2)</f>
        <v>3162.46</v>
      </c>
      <c r="S1845" s="65" t="n">
        <f aca="false">ROUND($O1845*$Q1845,2)</f>
        <v>1962.94</v>
      </c>
      <c r="T1845" s="65" t="n">
        <f aca="false">ROUND($R1845*SUMIFS(Parametros!$E$28:$E$43,Parametros!$B$28:$B$43,$J1845,Parametros!$C$28:$C$43,$C1845,Parametros!$D$28:$D$43,$D1845),2)</f>
        <v>177.1</v>
      </c>
      <c r="U1845" s="65" t="n">
        <f aca="false">$R1845-$S1845-$T1845</f>
        <v>1022.42</v>
      </c>
      <c r="V1845" s="66" t="n">
        <f aca="false">IFERROR($U1845/$R1845,0)</f>
        <v>0.323298950816769</v>
      </c>
      <c r="W1845" s="67" t="str">
        <f aca="false">IF(AND($V1845&gt;=Parametros!$C$8,$R1845&gt;=Parametros!$C$12),"Alta rentabilidad",IF(OR($V1845&lt;Parametros!$C$11,$R1845&lt;Parametros!$C$13),"Revisar","Estandar"))</f>
        <v>Estandar</v>
      </c>
      <c r="X1845" s="67" t="str">
        <f aca="false">IF(AND($J1845="E-commerce",IFERROR($T1845/$R1845,0)&gt;Parametros!$C$14),"Alerta","OK")</f>
        <v>Alerta</v>
      </c>
      <c r="Y1845" s="61" t="str">
        <f aca="false">IF($R1845&gt;=Parametros!$C$12,"Alto",IF($R1845&lt;Parametros!$C$13,"Bajo","Medio"))</f>
        <v>Alto</v>
      </c>
      <c r="Z1845" s="61" t="n">
        <v>63</v>
      </c>
      <c r="AA1845" s="61" t="str">
        <f aca="false">IF(MATCH($A1845,Datos_Origen!$A$2:$A$2459,0)=$Z1845,"OK","REVISAR")</f>
        <v>OK</v>
      </c>
      <c r="AB1845" s="61" t="str">
        <f aca="false">INDEX(Datos_Origen!$B$2:$B$2459,$Z1845)</f>
        <v>03/07/2025</v>
      </c>
      <c r="AC1845" s="61" t="n">
        <f aca="false">INDEX(Datos_Origen!$H$2:$H$2459,$Z1845)</f>
        <v>7</v>
      </c>
      <c r="AD1845" s="61" t="str">
        <f aca="false">INDEX(Datos_Origen!$D$2:$D$2459,$Z1845)&amp;""</f>
        <v>Rosario</v>
      </c>
    </row>
    <row r="1846" customFormat="false" ht="15" hidden="false" customHeight="false" outlineLevel="0" collapsed="false">
      <c r="A1846" s="61" t="n">
        <f aca="false">INDEX(Datos_Origen!$A$2:$A$2459,$Z1846)</f>
        <v>1845</v>
      </c>
      <c r="B1846" s="62" t="n">
        <f aca="false">IF(ISNUMBER($AB1846),$AB1846,IF(MID($AB1846,5,1)="-",DATE(VALUE(LEFT($AB1846,4)),VALUE(MID($AB1846,6,2)),VALUE(RIGHT($AB1846,2))),DATE(VALUE(RIGHT($AB1846,4)),VALUE(MID($AB1846,4,2)),VALUE(LEFT($AB1846,2)))))</f>
        <v>45848</v>
      </c>
      <c r="C1846" s="61" t="n">
        <f aca="false">YEAR($B1846)</f>
        <v>2025</v>
      </c>
      <c r="D1846" s="61" t="str">
        <f aca="false">"Q"&amp;ROUNDUP(MONTH($B1846)/3,0)</f>
        <v>Q3</v>
      </c>
      <c r="E1846" s="61" t="n">
        <f aca="false">MONTH($B1846)</f>
        <v>7</v>
      </c>
      <c r="F1846" s="61" t="str">
        <f aca="false">INDEX(Parametros!$I$5:$I$16,$E1846)</f>
        <v>Jul</v>
      </c>
      <c r="G1846" s="61" t="str">
        <f aca="false">TEXT($C1846,"0000")&amp;"-"&amp;TEXT($E1846,"00")</f>
        <v>2025-07</v>
      </c>
      <c r="H1846" s="61" t="str">
        <f aca="false">INDEX(Parametros!$C$71:$C$91,MATCH(TRIM(INDEX(Datos_Origen!$C$2:$C$2459,$Z1846)),Parametros!$B$71:$B$91,0))</f>
        <v>Litoral</v>
      </c>
      <c r="I1846" s="61" t="str">
        <f aca="false">IF(TRIM($AD1846)="",INDEX(Parametros!$I$20:$I$24,MATCH($H1846,Parametros!$H$20:$H$24,0)),TRIM($AD1846))</f>
        <v>Rosario</v>
      </c>
      <c r="J1846" s="61" t="str">
        <f aca="false">INDEX(Parametros!$C$95:$C$106,MATCH(TRIM(INDEX(Datos_Origen!$E$2:$E$2459,$Z1846)),Parametros!$B$95:$B$106,0))</f>
        <v>Tienda fisica</v>
      </c>
      <c r="K1846" s="61" t="str">
        <f aca="false">INDEX(Parametros!$C$48:$C$67,MATCH(TRIM(INDEX(Datos_Origen!$F$2:$F$2459,$Z1846)),Parametros!$B$48:$B$67,0))</f>
        <v>Computacion</v>
      </c>
      <c r="L1846" s="61" t="str">
        <f aca="false">$K1846&amp;" "&amp;$C1846</f>
        <v>Computacion 2025</v>
      </c>
      <c r="M1846" s="61" t="str">
        <f aca="false">TRIM(INDEX(Datos_Origen!$G$2:$G$2459,$Z1846))</f>
        <v>PC Gamer Ryzen</v>
      </c>
      <c r="N1846" s="61" t="str">
        <f aca="false">$M1846&amp;" "&amp;$C1846</f>
        <v>PC Gamer Ryzen 2025</v>
      </c>
      <c r="O1846" s="63" t="n">
        <f aca="false">IF(ISTEXT($AC1846),VALUE($AC1846),$AC1846)</f>
        <v>11</v>
      </c>
      <c r="P1846" s="64" t="n">
        <f aca="false">INDEX(Datos_Origen!$I$2:$I$2459,$Z1846)</f>
        <v>1656.52</v>
      </c>
      <c r="Q1846" s="64" t="n">
        <f aca="false">INDEX(Datos_Origen!$J$2:$J$2459,$Z1846)</f>
        <v>1155.66</v>
      </c>
      <c r="R1846" s="65" t="n">
        <f aca="false">ROUND($O1846*$P1846,2)</f>
        <v>18221.72</v>
      </c>
      <c r="S1846" s="65" t="n">
        <f aca="false">ROUND($O1846*$Q1846,2)</f>
        <v>12712.26</v>
      </c>
      <c r="T1846" s="65" t="n">
        <f aca="false">ROUND($R1846*SUMIFS(Parametros!$E$28:$E$43,Parametros!$B$28:$B$43,$J1846,Parametros!$C$28:$C$43,$C1846,Parametros!$D$28:$D$43,$D1846),2)</f>
        <v>236.88</v>
      </c>
      <c r="U1846" s="65" t="n">
        <f aca="false">$R1846-$S1846-$T1846</f>
        <v>5272.58</v>
      </c>
      <c r="V1846" s="66" t="n">
        <f aca="false">IFERROR($U1846/$R1846,0)</f>
        <v>0.289356877396865</v>
      </c>
      <c r="W1846" s="67" t="str">
        <f aca="false">IF(AND($V1846&gt;=Parametros!$C$8,$R1846&gt;=Parametros!$C$12),"Alta rentabilidad",IF(OR($V1846&lt;Parametros!$C$11,$R1846&lt;Parametros!$C$13),"Revisar","Estandar"))</f>
        <v>Estandar</v>
      </c>
      <c r="X1846" s="67" t="str">
        <f aca="false">IF(AND($J1846="E-commerce",IFERROR($T1846/$R1846,0)&gt;Parametros!$C$14),"Alerta","OK")</f>
        <v>OK</v>
      </c>
      <c r="Y1846" s="61" t="str">
        <f aca="false">IF($R1846&gt;=Parametros!$C$12,"Alto",IF($R1846&lt;Parametros!$C$13,"Bajo","Medio"))</f>
        <v>Alto</v>
      </c>
      <c r="Z1846" s="61" t="n">
        <v>529</v>
      </c>
      <c r="AA1846" s="61" t="str">
        <f aca="false">IF(MATCH($A1846,Datos_Origen!$A$2:$A$2459,0)=$Z1846,"OK","REVISAR")</f>
        <v>OK</v>
      </c>
      <c r="AB1846" s="62" t="n">
        <f aca="false">INDEX(Datos_Origen!$B$2:$B$2459,$Z1846)</f>
        <v>45848</v>
      </c>
      <c r="AC1846" s="61" t="n">
        <f aca="false">INDEX(Datos_Origen!$H$2:$H$2459,$Z1846)</f>
        <v>11</v>
      </c>
      <c r="AD1846" s="61" t="str">
        <f aca="false">INDEX(Datos_Origen!$D$2:$D$2459,$Z1846)&amp;""</f>
        <v>Rosario</v>
      </c>
    </row>
    <row r="1847" customFormat="false" ht="15" hidden="false" customHeight="false" outlineLevel="0" collapsed="false">
      <c r="A1847" s="61" t="n">
        <f aca="false">INDEX(Datos_Origen!$A$2:$A$2459,$Z1847)</f>
        <v>1846</v>
      </c>
      <c r="B1847" s="62" t="n">
        <f aca="false">IF(ISNUMBER($AB1847),$AB1847,IF(MID($AB1847,5,1)="-",DATE(VALUE(LEFT($AB1847,4)),VALUE(MID($AB1847,6,2)),VALUE(RIGHT($AB1847,2))),DATE(VALUE(RIGHT($AB1847,4)),VALUE(MID($AB1847,4,2)),VALUE(LEFT($AB1847,2)))))</f>
        <v>45855</v>
      </c>
      <c r="C1847" s="61" t="n">
        <f aca="false">YEAR($B1847)</f>
        <v>2025</v>
      </c>
      <c r="D1847" s="61" t="str">
        <f aca="false">"Q"&amp;ROUNDUP(MONTH($B1847)/3,0)</f>
        <v>Q3</v>
      </c>
      <c r="E1847" s="61" t="n">
        <f aca="false">MONTH($B1847)</f>
        <v>7</v>
      </c>
      <c r="F1847" s="61" t="str">
        <f aca="false">INDEX(Parametros!$I$5:$I$16,$E1847)</f>
        <v>Jul</v>
      </c>
      <c r="G1847" s="61" t="str">
        <f aca="false">TEXT($C1847,"0000")&amp;"-"&amp;TEXT($E1847,"00")</f>
        <v>2025-07</v>
      </c>
      <c r="H1847" s="61" t="str">
        <f aca="false">INDEX(Parametros!$C$71:$C$91,MATCH(TRIM(INDEX(Datos_Origen!$C$2:$C$2459,$Z1847)),Parametros!$B$71:$B$91,0))</f>
        <v>Litoral</v>
      </c>
      <c r="I1847" s="61" t="str">
        <f aca="false">IF(TRIM($AD1847)="",INDEX(Parametros!$I$20:$I$24,MATCH($H1847,Parametros!$H$20:$H$24,0)),TRIM($AD1847))</f>
        <v>Rosario</v>
      </c>
      <c r="J1847" s="61" t="str">
        <f aca="false">INDEX(Parametros!$C$95:$C$106,MATCH(TRIM(INDEX(Datos_Origen!$E$2:$E$2459,$Z1847)),Parametros!$B$95:$B$106,0))</f>
        <v>E-commerce</v>
      </c>
      <c r="K1847" s="61" t="str">
        <f aca="false">INDEX(Parametros!$C$48:$C$67,MATCH(TRIM(INDEX(Datos_Origen!$F$2:$F$2459,$Z1847)),Parametros!$B$48:$B$67,0))</f>
        <v>Computacion</v>
      </c>
      <c r="L1847" s="61" t="str">
        <f aca="false">$K1847&amp;" "&amp;$C1847</f>
        <v>Computacion 2025</v>
      </c>
      <c r="M1847" s="61" t="str">
        <f aca="false">TRIM(INDEX(Datos_Origen!$G$2:$G$2459,$Z1847))</f>
        <v>PC Gamer Ryzen</v>
      </c>
      <c r="N1847" s="61" t="str">
        <f aca="false">$M1847&amp;" "&amp;$C1847</f>
        <v>PC Gamer Ryzen 2025</v>
      </c>
      <c r="O1847" s="63" t="n">
        <f aca="false">IF(ISTEXT($AC1847),VALUE($AC1847),$AC1847)</f>
        <v>5</v>
      </c>
      <c r="P1847" s="64" t="n">
        <f aca="false">INDEX(Datos_Origen!$I$2:$I$2459,$Z1847)</f>
        <v>1656.52</v>
      </c>
      <c r="Q1847" s="64" t="n">
        <f aca="false">INDEX(Datos_Origen!$J$2:$J$2459,$Z1847)</f>
        <v>1155.66</v>
      </c>
      <c r="R1847" s="65" t="n">
        <f aca="false">ROUND($O1847*$P1847,2)</f>
        <v>8282.6</v>
      </c>
      <c r="S1847" s="65" t="n">
        <f aca="false">ROUND($O1847*$Q1847,2)</f>
        <v>5778.3</v>
      </c>
      <c r="T1847" s="65" t="n">
        <f aca="false">ROUND($R1847*SUMIFS(Parametros!$E$28:$E$43,Parametros!$B$28:$B$43,$J1847,Parametros!$C$28:$C$43,$C1847,Parametros!$D$28:$D$43,$D1847),2)</f>
        <v>463.83</v>
      </c>
      <c r="U1847" s="65" t="n">
        <f aca="false">$R1847-$S1847-$T1847</f>
        <v>2040.47</v>
      </c>
      <c r="V1847" s="66" t="n">
        <f aca="false">IFERROR($U1847/$R1847,0)</f>
        <v>0.246356216646947</v>
      </c>
      <c r="W1847" s="67" t="str">
        <f aca="false">IF(AND($V1847&gt;=Parametros!$C$8,$R1847&gt;=Parametros!$C$12),"Alta rentabilidad",IF(OR($V1847&lt;Parametros!$C$11,$R1847&lt;Parametros!$C$13),"Revisar","Estandar"))</f>
        <v>Revisar</v>
      </c>
      <c r="X1847" s="67" t="str">
        <f aca="false">IF(AND($J1847="E-commerce",IFERROR($T1847/$R1847,0)&gt;Parametros!$C$14),"Alerta","OK")</f>
        <v>Alerta</v>
      </c>
      <c r="Y1847" s="61" t="str">
        <f aca="false">IF($R1847&gt;=Parametros!$C$12,"Alto",IF($R1847&lt;Parametros!$C$13,"Bajo","Medio"))</f>
        <v>Alto</v>
      </c>
      <c r="Z1847" s="61" t="n">
        <v>2325</v>
      </c>
      <c r="AA1847" s="61" t="str">
        <f aca="false">IF(MATCH($A1847,Datos_Origen!$A$2:$A$2459,0)=$Z1847,"OK","REVISAR")</f>
        <v>OK</v>
      </c>
      <c r="AB1847" s="62" t="n">
        <f aca="false">INDEX(Datos_Origen!$B$2:$B$2459,$Z1847)</f>
        <v>45855</v>
      </c>
      <c r="AC1847" s="61" t="n">
        <f aca="false">INDEX(Datos_Origen!$H$2:$H$2459,$Z1847)</f>
        <v>5</v>
      </c>
      <c r="AD1847" s="61" t="str">
        <f aca="false">INDEX(Datos_Origen!$D$2:$D$2459,$Z1847)&amp;""</f>
        <v>Rosario</v>
      </c>
    </row>
    <row r="1848" customFormat="false" ht="15" hidden="false" customHeight="false" outlineLevel="0" collapsed="false">
      <c r="A1848" s="61" t="n">
        <f aca="false">INDEX(Datos_Origen!$A$2:$A$2459,$Z1848)</f>
        <v>1847</v>
      </c>
      <c r="B1848" s="62" t="n">
        <f aca="false">IF(ISNUMBER($AB1848),$AB1848,IF(MID($AB1848,5,1)="-",DATE(VALUE(LEFT($AB1848,4)),VALUE(MID($AB1848,6,2)),VALUE(RIGHT($AB1848,2))),DATE(VALUE(RIGHT($AB1848,4)),VALUE(MID($AB1848,4,2)),VALUE(LEFT($AB1848,2)))))</f>
        <v>45862</v>
      </c>
      <c r="C1848" s="61" t="n">
        <f aca="false">YEAR($B1848)</f>
        <v>2025</v>
      </c>
      <c r="D1848" s="61" t="str">
        <f aca="false">"Q"&amp;ROUNDUP(MONTH($B1848)/3,0)</f>
        <v>Q3</v>
      </c>
      <c r="E1848" s="61" t="n">
        <f aca="false">MONTH($B1848)</f>
        <v>7</v>
      </c>
      <c r="F1848" s="61" t="str">
        <f aca="false">INDEX(Parametros!$I$5:$I$16,$E1848)</f>
        <v>Jul</v>
      </c>
      <c r="G1848" s="61" t="str">
        <f aca="false">TEXT($C1848,"0000")&amp;"-"&amp;TEXT($E1848,"00")</f>
        <v>2025-07</v>
      </c>
      <c r="H1848" s="61" t="str">
        <f aca="false">INDEX(Parametros!$C$71:$C$91,MATCH(TRIM(INDEX(Datos_Origen!$C$2:$C$2459,$Z1848)),Parametros!$B$71:$B$91,0))</f>
        <v>Litoral</v>
      </c>
      <c r="I1848" s="61" t="str">
        <f aca="false">IF(TRIM($AD1848)="",INDEX(Parametros!$I$20:$I$24,MATCH($H1848,Parametros!$H$20:$H$24,0)),TRIM($AD1848))</f>
        <v>Rosario</v>
      </c>
      <c r="J1848" s="61" t="str">
        <f aca="false">INDEX(Parametros!$C$95:$C$106,MATCH(TRIM(INDEX(Datos_Origen!$E$2:$E$2459,$Z1848)),Parametros!$B$95:$B$106,0))</f>
        <v>Tienda fisica</v>
      </c>
      <c r="K1848" s="61" t="str">
        <f aca="false">INDEX(Parametros!$C$48:$C$67,MATCH(TRIM(INDEX(Datos_Origen!$F$2:$F$2459,$Z1848)),Parametros!$B$48:$B$67,0))</f>
        <v>Accesorios</v>
      </c>
      <c r="L1848" s="61" t="str">
        <f aca="false">$K1848&amp;" "&amp;$C1848</f>
        <v>Accesorios 2025</v>
      </c>
      <c r="M1848" s="61" t="str">
        <f aca="false">TRIM(INDEX(Datos_Origen!$G$2:$G$2459,$Z1848))</f>
        <v>Mouse Inalambrico</v>
      </c>
      <c r="N1848" s="61" t="str">
        <f aca="false">$M1848&amp;" "&amp;$C1848</f>
        <v>Mouse Inalambrico 2025</v>
      </c>
      <c r="O1848" s="63" t="n">
        <f aca="false">IF(ISTEXT($AC1848),VALUE($AC1848),$AC1848)</f>
        <v>36</v>
      </c>
      <c r="P1848" s="64" t="n">
        <f aca="false">INDEX(Datos_Origen!$I$2:$I$2459,$Z1848)</f>
        <v>28.11</v>
      </c>
      <c r="Q1848" s="64" t="n">
        <f aca="false">INDEX(Datos_Origen!$J$2:$J$2459,$Z1848)</f>
        <v>13.84</v>
      </c>
      <c r="R1848" s="65" t="n">
        <f aca="false">ROUND($O1848*$P1848,2)</f>
        <v>1011.96</v>
      </c>
      <c r="S1848" s="65" t="n">
        <f aca="false">ROUND($O1848*$Q1848,2)</f>
        <v>498.24</v>
      </c>
      <c r="T1848" s="65" t="n">
        <f aca="false">ROUND($R1848*SUMIFS(Parametros!$E$28:$E$43,Parametros!$B$28:$B$43,$J1848,Parametros!$C$28:$C$43,$C1848,Parametros!$D$28:$D$43,$D1848),2)</f>
        <v>13.16</v>
      </c>
      <c r="U1848" s="65" t="n">
        <f aca="false">$R1848-$S1848-$T1848</f>
        <v>500.56</v>
      </c>
      <c r="V1848" s="66" t="n">
        <f aca="false">IFERROR($U1848/$R1848,0)</f>
        <v>0.494644057077355</v>
      </c>
      <c r="W1848" s="67" t="str">
        <f aca="false">IF(AND($V1848&gt;=Parametros!$C$8,$R1848&gt;=Parametros!$C$12),"Alta rentabilidad",IF(OR($V1848&lt;Parametros!$C$11,$R1848&lt;Parametros!$C$13),"Revisar","Estandar"))</f>
        <v>Estandar</v>
      </c>
      <c r="X1848" s="67" t="str">
        <f aca="false">IF(AND($J1848="E-commerce",IFERROR($T1848/$R1848,0)&gt;Parametros!$C$14),"Alerta","OK")</f>
        <v>OK</v>
      </c>
      <c r="Y1848" s="61" t="str">
        <f aca="false">IF($R1848&gt;=Parametros!$C$12,"Alto",IF($R1848&lt;Parametros!$C$13,"Bajo","Medio"))</f>
        <v>Medio</v>
      </c>
      <c r="Z1848" s="61" t="n">
        <v>1510</v>
      </c>
      <c r="AA1848" s="61" t="str">
        <f aca="false">IF(MATCH($A1848,Datos_Origen!$A$2:$A$2459,0)=$Z1848,"OK","REVISAR")</f>
        <v>OK</v>
      </c>
      <c r="AB1848" s="62" t="n">
        <f aca="false">INDEX(Datos_Origen!$B$2:$B$2459,$Z1848)</f>
        <v>45862</v>
      </c>
      <c r="AC1848" s="61" t="n">
        <f aca="false">INDEX(Datos_Origen!$H$2:$H$2459,$Z1848)</f>
        <v>36</v>
      </c>
      <c r="AD1848" s="61" t="str">
        <f aca="false">INDEX(Datos_Origen!$D$2:$D$2459,$Z1848)&amp;""</f>
        <v>Rosario</v>
      </c>
    </row>
    <row r="1849" customFormat="false" ht="15" hidden="false" customHeight="false" outlineLevel="0" collapsed="false">
      <c r="A1849" s="61" t="n">
        <f aca="false">INDEX(Datos_Origen!$A$2:$A$2459,$Z1849)</f>
        <v>1848</v>
      </c>
      <c r="B1849" s="62" t="n">
        <f aca="false">IF(ISNUMBER($AB1849),$AB1849,IF(MID($AB1849,5,1)="-",DATE(VALUE(LEFT($AB1849,4)),VALUE(MID($AB1849,6,2)),VALUE(RIGHT($AB1849,2))),DATE(VALUE(RIGHT($AB1849,4)),VALUE(MID($AB1849,4,2)),VALUE(LEFT($AB1849,2)))))</f>
        <v>45842</v>
      </c>
      <c r="C1849" s="61" t="n">
        <f aca="false">YEAR($B1849)</f>
        <v>2025</v>
      </c>
      <c r="D1849" s="61" t="str">
        <f aca="false">"Q"&amp;ROUNDUP(MONTH($B1849)/3,0)</f>
        <v>Q3</v>
      </c>
      <c r="E1849" s="61" t="n">
        <f aca="false">MONTH($B1849)</f>
        <v>7</v>
      </c>
      <c r="F1849" s="61" t="str">
        <f aca="false">INDEX(Parametros!$I$5:$I$16,$E1849)</f>
        <v>Jul</v>
      </c>
      <c r="G1849" s="61" t="str">
        <f aca="false">TEXT($C1849,"0000")&amp;"-"&amp;TEXT($E1849,"00")</f>
        <v>2025-07</v>
      </c>
      <c r="H1849" s="61" t="str">
        <f aca="false">INDEX(Parametros!$C$71:$C$91,MATCH(TRIM(INDEX(Datos_Origen!$C$2:$C$2459,$Z1849)),Parametros!$B$71:$B$91,0))</f>
        <v>Litoral</v>
      </c>
      <c r="I1849" s="61" t="str">
        <f aca="false">IF(TRIM($AD1849)="",INDEX(Parametros!$I$20:$I$24,MATCH($H1849,Parametros!$H$20:$H$24,0)),TRIM($AD1849))</f>
        <v>Rosario</v>
      </c>
      <c r="J1849" s="61" t="str">
        <f aca="false">INDEX(Parametros!$C$95:$C$106,MATCH(TRIM(INDEX(Datos_Origen!$E$2:$E$2459,$Z1849)),Parametros!$B$95:$B$106,0))</f>
        <v>E-commerce</v>
      </c>
      <c r="K1849" s="61" t="str">
        <f aca="false">INDEX(Parametros!$C$48:$C$67,MATCH(TRIM(INDEX(Datos_Origen!$F$2:$F$2459,$Z1849)),Parametros!$B$48:$B$67,0))</f>
        <v>Accesorios</v>
      </c>
      <c r="L1849" s="61" t="str">
        <f aca="false">$K1849&amp;" "&amp;$C1849</f>
        <v>Accesorios 2025</v>
      </c>
      <c r="M1849" s="61" t="str">
        <f aca="false">TRIM(INDEX(Datos_Origen!$G$2:$G$2459,$Z1849))</f>
        <v>Mouse Inalambrico</v>
      </c>
      <c r="N1849" s="61" t="str">
        <f aca="false">$M1849&amp;" "&amp;$C1849</f>
        <v>Mouse Inalambrico 2025</v>
      </c>
      <c r="O1849" s="63" t="n">
        <f aca="false">IF(ISTEXT($AC1849),VALUE($AC1849),$AC1849)</f>
        <v>30</v>
      </c>
      <c r="P1849" s="64" t="n">
        <f aca="false">INDEX(Datos_Origen!$I$2:$I$2459,$Z1849)</f>
        <v>28.11</v>
      </c>
      <c r="Q1849" s="64" t="n">
        <f aca="false">INDEX(Datos_Origen!$J$2:$J$2459,$Z1849)</f>
        <v>13.84</v>
      </c>
      <c r="R1849" s="65" t="n">
        <f aca="false">ROUND($O1849*$P1849,2)</f>
        <v>843.3</v>
      </c>
      <c r="S1849" s="65" t="n">
        <f aca="false">ROUND($O1849*$Q1849,2)</f>
        <v>415.2</v>
      </c>
      <c r="T1849" s="65" t="n">
        <f aca="false">ROUND($R1849*SUMIFS(Parametros!$E$28:$E$43,Parametros!$B$28:$B$43,$J1849,Parametros!$C$28:$C$43,$C1849,Parametros!$D$28:$D$43,$D1849),2)</f>
        <v>47.22</v>
      </c>
      <c r="U1849" s="65" t="n">
        <f aca="false">$R1849-$S1849-$T1849</f>
        <v>380.88</v>
      </c>
      <c r="V1849" s="66" t="n">
        <f aca="false">IFERROR($U1849/$R1849,0)</f>
        <v>0.451654215581644</v>
      </c>
      <c r="W1849" s="67" t="str">
        <f aca="false">IF(AND($V1849&gt;=Parametros!$C$8,$R1849&gt;=Parametros!$C$12),"Alta rentabilidad",IF(OR($V1849&lt;Parametros!$C$11,$R1849&lt;Parametros!$C$13),"Revisar","Estandar"))</f>
        <v>Estandar</v>
      </c>
      <c r="X1849" s="67" t="str">
        <f aca="false">IF(AND($J1849="E-commerce",IFERROR($T1849/$R1849,0)&gt;Parametros!$C$14),"Alerta","OK")</f>
        <v>Alerta</v>
      </c>
      <c r="Y1849" s="61" t="str">
        <f aca="false">IF($R1849&gt;=Parametros!$C$12,"Alto",IF($R1849&lt;Parametros!$C$13,"Bajo","Medio"))</f>
        <v>Medio</v>
      </c>
      <c r="Z1849" s="61" t="n">
        <v>2122</v>
      </c>
      <c r="AA1849" s="61" t="str">
        <f aca="false">IF(MATCH($A1849,Datos_Origen!$A$2:$A$2459,0)=$Z1849,"OK","REVISAR")</f>
        <v>OK</v>
      </c>
      <c r="AB1849" s="61" t="str">
        <f aca="false">INDEX(Datos_Origen!$B$2:$B$2459,$Z1849)</f>
        <v>2025-07-04</v>
      </c>
      <c r="AC1849" s="61" t="n">
        <f aca="false">INDEX(Datos_Origen!$H$2:$H$2459,$Z1849)</f>
        <v>30</v>
      </c>
      <c r="AD1849" s="61" t="str">
        <f aca="false">INDEX(Datos_Origen!$D$2:$D$2459,$Z1849)&amp;""</f>
        <v/>
      </c>
    </row>
    <row r="1850" customFormat="false" ht="15" hidden="false" customHeight="false" outlineLevel="0" collapsed="false">
      <c r="A1850" s="61" t="n">
        <f aca="false">INDEX(Datos_Origen!$A$2:$A$2459,$Z1850)</f>
        <v>1849</v>
      </c>
      <c r="B1850" s="62" t="n">
        <f aca="false">IF(ISNUMBER($AB1850),$AB1850,IF(MID($AB1850,5,1)="-",DATE(VALUE(LEFT($AB1850,4)),VALUE(MID($AB1850,6,2)),VALUE(RIGHT($AB1850,2))),DATE(VALUE(RIGHT($AB1850,4)),VALUE(MID($AB1850,4,2)),VALUE(LEFT($AB1850,2)))))</f>
        <v>45849</v>
      </c>
      <c r="C1850" s="61" t="n">
        <f aca="false">YEAR($B1850)</f>
        <v>2025</v>
      </c>
      <c r="D1850" s="61" t="str">
        <f aca="false">"Q"&amp;ROUNDUP(MONTH($B1850)/3,0)</f>
        <v>Q3</v>
      </c>
      <c r="E1850" s="61" t="n">
        <f aca="false">MONTH($B1850)</f>
        <v>7</v>
      </c>
      <c r="F1850" s="61" t="str">
        <f aca="false">INDEX(Parametros!$I$5:$I$16,$E1850)</f>
        <v>Jul</v>
      </c>
      <c r="G1850" s="61" t="str">
        <f aca="false">TEXT($C1850,"0000")&amp;"-"&amp;TEXT($E1850,"00")</f>
        <v>2025-07</v>
      </c>
      <c r="H1850" s="61" t="str">
        <f aca="false">INDEX(Parametros!$C$71:$C$91,MATCH(TRIM(INDEX(Datos_Origen!$C$2:$C$2459,$Z1850)),Parametros!$B$71:$B$91,0))</f>
        <v>Litoral</v>
      </c>
      <c r="I1850" s="61" t="str">
        <f aca="false">IF(TRIM($AD1850)="",INDEX(Parametros!$I$20:$I$24,MATCH($H1850,Parametros!$H$20:$H$24,0)),TRIM($AD1850))</f>
        <v>Rosario</v>
      </c>
      <c r="J1850" s="61" t="str">
        <f aca="false">INDEX(Parametros!$C$95:$C$106,MATCH(TRIM(INDEX(Datos_Origen!$E$2:$E$2459,$Z1850)),Parametros!$B$95:$B$106,0))</f>
        <v>Tienda fisica</v>
      </c>
      <c r="K1850" s="61" t="str">
        <f aca="false">INDEX(Parametros!$C$48:$C$67,MATCH(TRIM(INDEX(Datos_Origen!$F$2:$F$2459,$Z1850)),Parametros!$B$48:$B$67,0))</f>
        <v>Accesorios</v>
      </c>
      <c r="L1850" s="61" t="str">
        <f aca="false">$K1850&amp;" "&amp;$C1850</f>
        <v>Accesorios 2025</v>
      </c>
      <c r="M1850" s="61" t="str">
        <f aca="false">TRIM(INDEX(Datos_Origen!$G$2:$G$2459,$Z1850))</f>
        <v>Teclado Mecanico</v>
      </c>
      <c r="N1850" s="61" t="str">
        <f aca="false">$M1850&amp;" "&amp;$C1850</f>
        <v>Teclado Mecanico 2025</v>
      </c>
      <c r="O1850" s="63" t="n">
        <f aca="false">IF(ISTEXT($AC1850),VALUE($AC1850),$AC1850)</f>
        <v>37</v>
      </c>
      <c r="P1850" s="64" t="n">
        <f aca="false">INDEX(Datos_Origen!$I$2:$I$2459,$Z1850)</f>
        <v>95.38</v>
      </c>
      <c r="Q1850" s="64" t="n">
        <f aca="false">INDEX(Datos_Origen!$J$2:$J$2459,$Z1850)</f>
        <v>49.41</v>
      </c>
      <c r="R1850" s="65" t="n">
        <f aca="false">ROUND($O1850*$P1850,2)</f>
        <v>3529.06</v>
      </c>
      <c r="S1850" s="65" t="n">
        <f aca="false">ROUND($O1850*$Q1850,2)</f>
        <v>1828.17</v>
      </c>
      <c r="T1850" s="65" t="n">
        <f aca="false">ROUND($R1850*SUMIFS(Parametros!$E$28:$E$43,Parametros!$B$28:$B$43,$J1850,Parametros!$C$28:$C$43,$C1850,Parametros!$D$28:$D$43,$D1850),2)</f>
        <v>45.88</v>
      </c>
      <c r="U1850" s="65" t="n">
        <f aca="false">$R1850-$S1850-$T1850</f>
        <v>1655.01</v>
      </c>
      <c r="V1850" s="66" t="n">
        <f aca="false">IFERROR($U1850/$R1850,0)</f>
        <v>0.46896624030195</v>
      </c>
      <c r="W1850" s="67" t="str">
        <f aca="false">IF(AND($V1850&gt;=Parametros!$C$8,$R1850&gt;=Parametros!$C$12),"Alta rentabilidad",IF(OR($V1850&lt;Parametros!$C$11,$R1850&lt;Parametros!$C$13),"Revisar","Estandar"))</f>
        <v>Alta rentabilidad</v>
      </c>
      <c r="X1850" s="67" t="str">
        <f aca="false">IF(AND($J1850="E-commerce",IFERROR($T1850/$R1850,0)&gt;Parametros!$C$14),"Alerta","OK")</f>
        <v>OK</v>
      </c>
      <c r="Y1850" s="61" t="str">
        <f aca="false">IF($R1850&gt;=Parametros!$C$12,"Alto",IF($R1850&lt;Parametros!$C$13,"Bajo","Medio"))</f>
        <v>Alto</v>
      </c>
      <c r="Z1850" s="61" t="n">
        <v>1385</v>
      </c>
      <c r="AA1850" s="61" t="str">
        <f aca="false">IF(MATCH($A1850,Datos_Origen!$A$2:$A$2459,0)=$Z1850,"OK","REVISAR")</f>
        <v>OK</v>
      </c>
      <c r="AB1850" s="61" t="str">
        <f aca="false">INDEX(Datos_Origen!$B$2:$B$2459,$Z1850)</f>
        <v>11/07/2025</v>
      </c>
      <c r="AC1850" s="61" t="n">
        <f aca="false">INDEX(Datos_Origen!$H$2:$H$2459,$Z1850)</f>
        <v>37</v>
      </c>
      <c r="AD1850" s="61" t="str">
        <f aca="false">INDEX(Datos_Origen!$D$2:$D$2459,$Z1850)&amp;""</f>
        <v>Rosario</v>
      </c>
    </row>
    <row r="1851" customFormat="false" ht="15" hidden="false" customHeight="false" outlineLevel="0" collapsed="false">
      <c r="A1851" s="61" t="n">
        <f aca="false">INDEX(Datos_Origen!$A$2:$A$2459,$Z1851)</f>
        <v>1850</v>
      </c>
      <c r="B1851" s="62" t="n">
        <f aca="false">IF(ISNUMBER($AB1851),$AB1851,IF(MID($AB1851,5,1)="-",DATE(VALUE(LEFT($AB1851,4)),VALUE(MID($AB1851,6,2)),VALUE(RIGHT($AB1851,2))),DATE(VALUE(RIGHT($AB1851,4)),VALUE(MID($AB1851,4,2)),VALUE(LEFT($AB1851,2)))))</f>
        <v>45856</v>
      </c>
      <c r="C1851" s="61" t="n">
        <f aca="false">YEAR($B1851)</f>
        <v>2025</v>
      </c>
      <c r="D1851" s="61" t="str">
        <f aca="false">"Q"&amp;ROUNDUP(MONTH($B1851)/3,0)</f>
        <v>Q3</v>
      </c>
      <c r="E1851" s="61" t="n">
        <f aca="false">MONTH($B1851)</f>
        <v>7</v>
      </c>
      <c r="F1851" s="61" t="str">
        <f aca="false">INDEX(Parametros!$I$5:$I$16,$E1851)</f>
        <v>Jul</v>
      </c>
      <c r="G1851" s="61" t="str">
        <f aca="false">TEXT($C1851,"0000")&amp;"-"&amp;TEXT($E1851,"00")</f>
        <v>2025-07</v>
      </c>
      <c r="H1851" s="61" t="str">
        <f aca="false">INDEX(Parametros!$C$71:$C$91,MATCH(TRIM(INDEX(Datos_Origen!$C$2:$C$2459,$Z1851)),Parametros!$B$71:$B$91,0))</f>
        <v>Litoral</v>
      </c>
      <c r="I1851" s="61" t="str">
        <f aca="false">IF(TRIM($AD1851)="",INDEX(Parametros!$I$20:$I$24,MATCH($H1851,Parametros!$H$20:$H$24,0)),TRIM($AD1851))</f>
        <v>Rosario</v>
      </c>
      <c r="J1851" s="61" t="str">
        <f aca="false">INDEX(Parametros!$C$95:$C$106,MATCH(TRIM(INDEX(Datos_Origen!$E$2:$E$2459,$Z1851)),Parametros!$B$95:$B$106,0))</f>
        <v>E-commerce</v>
      </c>
      <c r="K1851" s="61" t="str">
        <f aca="false">INDEX(Parametros!$C$48:$C$67,MATCH(TRIM(INDEX(Datos_Origen!$F$2:$F$2459,$Z1851)),Parametros!$B$48:$B$67,0))</f>
        <v>Accesorios</v>
      </c>
      <c r="L1851" s="61" t="str">
        <f aca="false">$K1851&amp;" "&amp;$C1851</f>
        <v>Accesorios 2025</v>
      </c>
      <c r="M1851" s="61" t="str">
        <f aca="false">TRIM(INDEX(Datos_Origen!$G$2:$G$2459,$Z1851))</f>
        <v>Teclado Mecanico</v>
      </c>
      <c r="N1851" s="61" t="str">
        <f aca="false">$M1851&amp;" "&amp;$C1851</f>
        <v>Teclado Mecanico 2025</v>
      </c>
      <c r="O1851" s="63" t="n">
        <f aca="false">IF(ISTEXT($AC1851),VALUE($AC1851),$AC1851)</f>
        <v>32</v>
      </c>
      <c r="P1851" s="64" t="n">
        <f aca="false">INDEX(Datos_Origen!$I$2:$I$2459,$Z1851)</f>
        <v>95.38</v>
      </c>
      <c r="Q1851" s="64" t="n">
        <f aca="false">INDEX(Datos_Origen!$J$2:$J$2459,$Z1851)</f>
        <v>49.41</v>
      </c>
      <c r="R1851" s="65" t="n">
        <f aca="false">ROUND($O1851*$P1851,2)</f>
        <v>3052.16</v>
      </c>
      <c r="S1851" s="65" t="n">
        <f aca="false">ROUND($O1851*$Q1851,2)</f>
        <v>1581.12</v>
      </c>
      <c r="T1851" s="65" t="n">
        <f aca="false">ROUND($R1851*SUMIFS(Parametros!$E$28:$E$43,Parametros!$B$28:$B$43,$J1851,Parametros!$C$28:$C$43,$C1851,Parametros!$D$28:$D$43,$D1851),2)</f>
        <v>170.92</v>
      </c>
      <c r="U1851" s="65" t="n">
        <f aca="false">$R1851-$S1851-$T1851</f>
        <v>1300.12</v>
      </c>
      <c r="V1851" s="66" t="n">
        <f aca="false">IFERROR($U1851/$R1851,0)</f>
        <v>0.425967183895995</v>
      </c>
      <c r="W1851" s="67" t="str">
        <f aca="false">IF(AND($V1851&gt;=Parametros!$C$8,$R1851&gt;=Parametros!$C$12),"Alta rentabilidad",IF(OR($V1851&lt;Parametros!$C$11,$R1851&lt;Parametros!$C$13),"Revisar","Estandar"))</f>
        <v>Alta rentabilidad</v>
      </c>
      <c r="X1851" s="67" t="str">
        <f aca="false">IF(AND($J1851="E-commerce",IFERROR($T1851/$R1851,0)&gt;Parametros!$C$14),"Alerta","OK")</f>
        <v>Alerta</v>
      </c>
      <c r="Y1851" s="61" t="str">
        <f aca="false">IF($R1851&gt;=Parametros!$C$12,"Alto",IF($R1851&lt;Parametros!$C$13,"Bajo","Medio"))</f>
        <v>Alto</v>
      </c>
      <c r="Z1851" s="61" t="n">
        <v>940</v>
      </c>
      <c r="AA1851" s="61" t="str">
        <f aca="false">IF(MATCH($A1851,Datos_Origen!$A$2:$A$2459,0)=$Z1851,"OK","REVISAR")</f>
        <v>OK</v>
      </c>
      <c r="AB1851" s="62" t="n">
        <f aca="false">INDEX(Datos_Origen!$B$2:$B$2459,$Z1851)</f>
        <v>45856</v>
      </c>
      <c r="AC1851" s="61" t="n">
        <f aca="false">INDEX(Datos_Origen!$H$2:$H$2459,$Z1851)</f>
        <v>32</v>
      </c>
      <c r="AD1851" s="61" t="str">
        <f aca="false">INDEX(Datos_Origen!$D$2:$D$2459,$Z1851)&amp;""</f>
        <v>Rosario</v>
      </c>
    </row>
    <row r="1852" customFormat="false" ht="15" hidden="false" customHeight="false" outlineLevel="0" collapsed="false">
      <c r="A1852" s="61" t="n">
        <f aca="false">INDEX(Datos_Origen!$A$2:$A$2459,$Z1852)</f>
        <v>1851</v>
      </c>
      <c r="B1852" s="62" t="n">
        <f aca="false">IF(ISNUMBER($AB1852),$AB1852,IF(MID($AB1852,5,1)="-",DATE(VALUE(LEFT($AB1852,4)),VALUE(MID($AB1852,6,2)),VALUE(RIGHT($AB1852,2))),DATE(VALUE(RIGHT($AB1852,4)),VALUE(MID($AB1852,4,2)),VALUE(LEFT($AB1852,2)))))</f>
        <v>45863</v>
      </c>
      <c r="C1852" s="61" t="n">
        <f aca="false">YEAR($B1852)</f>
        <v>2025</v>
      </c>
      <c r="D1852" s="61" t="str">
        <f aca="false">"Q"&amp;ROUNDUP(MONTH($B1852)/3,0)</f>
        <v>Q3</v>
      </c>
      <c r="E1852" s="61" t="n">
        <f aca="false">MONTH($B1852)</f>
        <v>7</v>
      </c>
      <c r="F1852" s="61" t="str">
        <f aca="false">INDEX(Parametros!$I$5:$I$16,$E1852)</f>
        <v>Jul</v>
      </c>
      <c r="G1852" s="61" t="str">
        <f aca="false">TEXT($C1852,"0000")&amp;"-"&amp;TEXT($E1852,"00")</f>
        <v>2025-07</v>
      </c>
      <c r="H1852" s="61" t="str">
        <f aca="false">INDEX(Parametros!$C$71:$C$91,MATCH(TRIM(INDEX(Datos_Origen!$C$2:$C$2459,$Z1852)),Parametros!$B$71:$B$91,0))</f>
        <v>Litoral</v>
      </c>
      <c r="I1852" s="61" t="str">
        <f aca="false">IF(TRIM($AD1852)="",INDEX(Parametros!$I$20:$I$24,MATCH($H1852,Parametros!$H$20:$H$24,0)),TRIM($AD1852))</f>
        <v>Rosario</v>
      </c>
      <c r="J1852" s="61" t="str">
        <f aca="false">INDEX(Parametros!$C$95:$C$106,MATCH(TRIM(INDEX(Datos_Origen!$E$2:$E$2459,$Z1852)),Parametros!$B$95:$B$106,0))</f>
        <v>Tienda fisica</v>
      </c>
      <c r="K1852" s="61" t="str">
        <f aca="false">INDEX(Parametros!$C$48:$C$67,MATCH(TRIM(INDEX(Datos_Origen!$F$2:$F$2459,$Z1852)),Parametros!$B$48:$B$67,0))</f>
        <v>Accesorios</v>
      </c>
      <c r="L1852" s="61" t="str">
        <f aca="false">$K1852&amp;" "&amp;$C1852</f>
        <v>Accesorios 2025</v>
      </c>
      <c r="M1852" s="61" t="str">
        <f aca="false">TRIM(INDEX(Datos_Origen!$G$2:$G$2459,$Z1852))</f>
        <v>Webcam Full HD</v>
      </c>
      <c r="N1852" s="61" t="str">
        <f aca="false">$M1852&amp;" "&amp;$C1852</f>
        <v>Webcam Full HD 2025</v>
      </c>
      <c r="O1852" s="63" t="n">
        <f aca="false">IF(ISTEXT($AC1852),VALUE($AC1852),$AC1852)</f>
        <v>47</v>
      </c>
      <c r="P1852" s="64" t="n">
        <f aca="false">INDEX(Datos_Origen!$I$2:$I$2459,$Z1852)</f>
        <v>65.26</v>
      </c>
      <c r="Q1852" s="64" t="n">
        <f aca="false">INDEX(Datos_Origen!$J$2:$J$2459,$Z1852)</f>
        <v>36.49</v>
      </c>
      <c r="R1852" s="65" t="n">
        <f aca="false">ROUND($O1852*$P1852,2)</f>
        <v>3067.22</v>
      </c>
      <c r="S1852" s="65" t="n">
        <f aca="false">ROUND($O1852*$Q1852,2)</f>
        <v>1715.03</v>
      </c>
      <c r="T1852" s="65" t="n">
        <f aca="false">ROUND($R1852*SUMIFS(Parametros!$E$28:$E$43,Parametros!$B$28:$B$43,$J1852,Parametros!$C$28:$C$43,$C1852,Parametros!$D$28:$D$43,$D1852),2)</f>
        <v>39.87</v>
      </c>
      <c r="U1852" s="65" t="n">
        <f aca="false">$R1852-$S1852-$T1852</f>
        <v>1312.32</v>
      </c>
      <c r="V1852" s="66" t="n">
        <f aca="false">IFERROR($U1852/$R1852,0)</f>
        <v>0.427853235177131</v>
      </c>
      <c r="W1852" s="67" t="str">
        <f aca="false">IF(AND($V1852&gt;=Parametros!$C$8,$R1852&gt;=Parametros!$C$12),"Alta rentabilidad",IF(OR($V1852&lt;Parametros!$C$11,$R1852&lt;Parametros!$C$13),"Revisar","Estandar"))</f>
        <v>Alta rentabilidad</v>
      </c>
      <c r="X1852" s="67" t="str">
        <f aca="false">IF(AND($J1852="E-commerce",IFERROR($T1852/$R1852,0)&gt;Parametros!$C$14),"Alerta","OK")</f>
        <v>OK</v>
      </c>
      <c r="Y1852" s="61" t="str">
        <f aca="false">IF($R1852&gt;=Parametros!$C$12,"Alto",IF($R1852&lt;Parametros!$C$13,"Bajo","Medio"))</f>
        <v>Alto</v>
      </c>
      <c r="Z1852" s="61" t="n">
        <v>239</v>
      </c>
      <c r="AA1852" s="61" t="str">
        <f aca="false">IF(MATCH($A1852,Datos_Origen!$A$2:$A$2459,0)=$Z1852,"OK","REVISAR")</f>
        <v>OK</v>
      </c>
      <c r="AB1852" s="61" t="str">
        <f aca="false">INDEX(Datos_Origen!$B$2:$B$2459,$Z1852)</f>
        <v>25/07/2025</v>
      </c>
      <c r="AC1852" s="61" t="n">
        <f aca="false">INDEX(Datos_Origen!$H$2:$H$2459,$Z1852)</f>
        <v>47</v>
      </c>
      <c r="AD1852" s="61" t="str">
        <f aca="false">INDEX(Datos_Origen!$D$2:$D$2459,$Z1852)&amp;""</f>
        <v>Rosario</v>
      </c>
    </row>
    <row r="1853" customFormat="false" ht="15" hidden="false" customHeight="false" outlineLevel="0" collapsed="false">
      <c r="A1853" s="61" t="n">
        <f aca="false">INDEX(Datos_Origen!$A$2:$A$2459,$Z1853)</f>
        <v>1852</v>
      </c>
      <c r="B1853" s="62" t="n">
        <f aca="false">IF(ISNUMBER($AB1853),$AB1853,IF(MID($AB1853,5,1)="-",DATE(VALUE(LEFT($AB1853,4)),VALUE(MID($AB1853,6,2)),VALUE(RIGHT($AB1853,2))),DATE(VALUE(RIGHT($AB1853,4)),VALUE(MID($AB1853,4,2)),VALUE(LEFT($AB1853,2)))))</f>
        <v>45843</v>
      </c>
      <c r="C1853" s="61" t="n">
        <f aca="false">YEAR($B1853)</f>
        <v>2025</v>
      </c>
      <c r="D1853" s="61" t="str">
        <f aca="false">"Q"&amp;ROUNDUP(MONTH($B1853)/3,0)</f>
        <v>Q3</v>
      </c>
      <c r="E1853" s="61" t="n">
        <f aca="false">MONTH($B1853)</f>
        <v>7</v>
      </c>
      <c r="F1853" s="61" t="str">
        <f aca="false">INDEX(Parametros!$I$5:$I$16,$E1853)</f>
        <v>Jul</v>
      </c>
      <c r="G1853" s="61" t="str">
        <f aca="false">TEXT($C1853,"0000")&amp;"-"&amp;TEXT($E1853,"00")</f>
        <v>2025-07</v>
      </c>
      <c r="H1853" s="61" t="str">
        <f aca="false">INDEX(Parametros!$C$71:$C$91,MATCH(TRIM(INDEX(Datos_Origen!$C$2:$C$2459,$Z1853)),Parametros!$B$71:$B$91,0))</f>
        <v>Litoral</v>
      </c>
      <c r="I1853" s="61" t="str">
        <f aca="false">IF(TRIM($AD1853)="",INDEX(Parametros!$I$20:$I$24,MATCH($H1853,Parametros!$H$20:$H$24,0)),TRIM($AD1853))</f>
        <v>Rosario</v>
      </c>
      <c r="J1853" s="61" t="str">
        <f aca="false">INDEX(Parametros!$C$95:$C$106,MATCH(TRIM(INDEX(Datos_Origen!$E$2:$E$2459,$Z1853)),Parametros!$B$95:$B$106,0))</f>
        <v>E-commerce</v>
      </c>
      <c r="K1853" s="61" t="str">
        <f aca="false">INDEX(Parametros!$C$48:$C$67,MATCH(TRIM(INDEX(Datos_Origen!$F$2:$F$2459,$Z1853)),Parametros!$B$48:$B$67,0))</f>
        <v>Accesorios</v>
      </c>
      <c r="L1853" s="61" t="str">
        <f aca="false">$K1853&amp;" "&amp;$C1853</f>
        <v>Accesorios 2025</v>
      </c>
      <c r="M1853" s="61" t="str">
        <f aca="false">TRIM(INDEX(Datos_Origen!$G$2:$G$2459,$Z1853))</f>
        <v>Webcam Full HD</v>
      </c>
      <c r="N1853" s="61" t="str">
        <f aca="false">$M1853&amp;" "&amp;$C1853</f>
        <v>Webcam Full HD 2025</v>
      </c>
      <c r="O1853" s="63" t="n">
        <f aca="false">IF(ISTEXT($AC1853),VALUE($AC1853),$AC1853)</f>
        <v>31</v>
      </c>
      <c r="P1853" s="64" t="n">
        <f aca="false">INDEX(Datos_Origen!$I$2:$I$2459,$Z1853)</f>
        <v>65.26</v>
      </c>
      <c r="Q1853" s="64" t="n">
        <f aca="false">INDEX(Datos_Origen!$J$2:$J$2459,$Z1853)</f>
        <v>36.49</v>
      </c>
      <c r="R1853" s="65" t="n">
        <f aca="false">ROUND($O1853*$P1853,2)</f>
        <v>2023.06</v>
      </c>
      <c r="S1853" s="65" t="n">
        <f aca="false">ROUND($O1853*$Q1853,2)</f>
        <v>1131.19</v>
      </c>
      <c r="T1853" s="65" t="n">
        <f aca="false">ROUND($R1853*SUMIFS(Parametros!$E$28:$E$43,Parametros!$B$28:$B$43,$J1853,Parametros!$C$28:$C$43,$C1853,Parametros!$D$28:$D$43,$D1853),2)</f>
        <v>113.29</v>
      </c>
      <c r="U1853" s="65" t="n">
        <f aca="false">$R1853-$S1853-$T1853</f>
        <v>778.58</v>
      </c>
      <c r="V1853" s="66" t="n">
        <f aca="false">IFERROR($U1853/$R1853,0)</f>
        <v>0.38485264895752</v>
      </c>
      <c r="W1853" s="67" t="str">
        <f aca="false">IF(AND($V1853&gt;=Parametros!$C$8,$R1853&gt;=Parametros!$C$12),"Alta rentabilidad",IF(OR($V1853&lt;Parametros!$C$11,$R1853&lt;Parametros!$C$13),"Revisar","Estandar"))</f>
        <v>Estandar</v>
      </c>
      <c r="X1853" s="67" t="str">
        <f aca="false">IF(AND($J1853="E-commerce",IFERROR($T1853/$R1853,0)&gt;Parametros!$C$14),"Alerta","OK")</f>
        <v>Alerta</v>
      </c>
      <c r="Y1853" s="61" t="str">
        <f aca="false">IF($R1853&gt;=Parametros!$C$12,"Alto",IF($R1853&lt;Parametros!$C$13,"Bajo","Medio"))</f>
        <v>Medio</v>
      </c>
      <c r="Z1853" s="61" t="n">
        <v>1797</v>
      </c>
      <c r="AA1853" s="61" t="str">
        <f aca="false">IF(MATCH($A1853,Datos_Origen!$A$2:$A$2459,0)=$Z1853,"OK","REVISAR")</f>
        <v>OK</v>
      </c>
      <c r="AB1853" s="61" t="str">
        <f aca="false">INDEX(Datos_Origen!$B$2:$B$2459,$Z1853)</f>
        <v>05/07/2025</v>
      </c>
      <c r="AC1853" s="61" t="n">
        <f aca="false">INDEX(Datos_Origen!$H$2:$H$2459,$Z1853)</f>
        <v>31</v>
      </c>
      <c r="AD1853" s="61" t="str">
        <f aca="false">INDEX(Datos_Origen!$D$2:$D$2459,$Z1853)&amp;""</f>
        <v>Rosario</v>
      </c>
    </row>
    <row r="1854" customFormat="false" ht="15" hidden="false" customHeight="false" outlineLevel="0" collapsed="false">
      <c r="A1854" s="61" t="n">
        <f aca="false">INDEX(Datos_Origen!$A$2:$A$2459,$Z1854)</f>
        <v>1853</v>
      </c>
      <c r="B1854" s="62" t="n">
        <f aca="false">IF(ISNUMBER($AB1854),$AB1854,IF(MID($AB1854,5,1)="-",DATE(VALUE(LEFT($AB1854,4)),VALUE(MID($AB1854,6,2)),VALUE(RIGHT($AB1854,2))),DATE(VALUE(RIGHT($AB1854,4)),VALUE(MID($AB1854,4,2)),VALUE(LEFT($AB1854,2)))))</f>
        <v>45850</v>
      </c>
      <c r="C1854" s="61" t="n">
        <f aca="false">YEAR($B1854)</f>
        <v>2025</v>
      </c>
      <c r="D1854" s="61" t="str">
        <f aca="false">"Q"&amp;ROUNDUP(MONTH($B1854)/3,0)</f>
        <v>Q3</v>
      </c>
      <c r="E1854" s="61" t="n">
        <f aca="false">MONTH($B1854)</f>
        <v>7</v>
      </c>
      <c r="F1854" s="61" t="str">
        <f aca="false">INDEX(Parametros!$I$5:$I$16,$E1854)</f>
        <v>Jul</v>
      </c>
      <c r="G1854" s="61" t="str">
        <f aca="false">TEXT($C1854,"0000")&amp;"-"&amp;TEXT($E1854,"00")</f>
        <v>2025-07</v>
      </c>
      <c r="H1854" s="61" t="str">
        <f aca="false">INDEX(Parametros!$C$71:$C$91,MATCH(TRIM(INDEX(Datos_Origen!$C$2:$C$2459,$Z1854)),Parametros!$B$71:$B$91,0))</f>
        <v>Litoral</v>
      </c>
      <c r="I1854" s="61" t="str">
        <f aca="false">IF(TRIM($AD1854)="",INDEX(Parametros!$I$20:$I$24,MATCH($H1854,Parametros!$H$20:$H$24,0)),TRIM($AD1854))</f>
        <v>Rosario</v>
      </c>
      <c r="J1854" s="61" t="str">
        <f aca="false">INDEX(Parametros!$C$95:$C$106,MATCH(TRIM(INDEX(Datos_Origen!$E$2:$E$2459,$Z1854)),Parametros!$B$95:$B$106,0))</f>
        <v>Tienda fisica</v>
      </c>
      <c r="K1854" s="61" t="str">
        <f aca="false">INDEX(Parametros!$C$48:$C$67,MATCH(TRIM(INDEX(Datos_Origen!$F$2:$F$2459,$Z1854)),Parametros!$B$48:$B$67,0))</f>
        <v>Audio</v>
      </c>
      <c r="L1854" s="61" t="str">
        <f aca="false">$K1854&amp;" "&amp;$C1854</f>
        <v>Audio 2025</v>
      </c>
      <c r="M1854" s="61" t="str">
        <f aca="false">TRIM(INDEX(Datos_Origen!$G$2:$G$2459,$Z1854))</f>
        <v>Auriculares BT Pro</v>
      </c>
      <c r="N1854" s="61" t="str">
        <f aca="false">$M1854&amp;" "&amp;$C1854</f>
        <v>Auriculares BT Pro 2025</v>
      </c>
      <c r="O1854" s="63" t="n">
        <f aca="false">IF(ISTEXT($AC1854),VALUE($AC1854),$AC1854)</f>
        <v>22</v>
      </c>
      <c r="P1854" s="64" t="n">
        <f aca="false">INDEX(Datos_Origen!$I$2:$I$2459,$Z1854)</f>
        <v>120.47</v>
      </c>
      <c r="Q1854" s="64" t="n">
        <f aca="false">INDEX(Datos_Origen!$J$2:$J$2459,$Z1854)</f>
        <v>65.51</v>
      </c>
      <c r="R1854" s="65" t="n">
        <f aca="false">ROUND($O1854*$P1854,2)</f>
        <v>2650.34</v>
      </c>
      <c r="S1854" s="65" t="n">
        <f aca="false">ROUND($O1854*$Q1854,2)</f>
        <v>1441.22</v>
      </c>
      <c r="T1854" s="65" t="n">
        <f aca="false">ROUND($R1854*SUMIFS(Parametros!$E$28:$E$43,Parametros!$B$28:$B$43,$J1854,Parametros!$C$28:$C$43,$C1854,Parametros!$D$28:$D$43,$D1854),2)</f>
        <v>34.45</v>
      </c>
      <c r="U1854" s="65" t="n">
        <f aca="false">$R1854-$S1854-$T1854</f>
        <v>1174.67</v>
      </c>
      <c r="V1854" s="66" t="n">
        <f aca="false">IFERROR($U1854/$R1854,0)</f>
        <v>0.443214832813903</v>
      </c>
      <c r="W1854" s="67" t="str">
        <f aca="false">IF(AND($V1854&gt;=Parametros!$C$8,$R1854&gt;=Parametros!$C$12),"Alta rentabilidad",IF(OR($V1854&lt;Parametros!$C$11,$R1854&lt;Parametros!$C$13),"Revisar","Estandar"))</f>
        <v>Estandar</v>
      </c>
      <c r="X1854" s="67" t="str">
        <f aca="false">IF(AND($J1854="E-commerce",IFERROR($T1854/$R1854,0)&gt;Parametros!$C$14),"Alerta","OK")</f>
        <v>OK</v>
      </c>
      <c r="Y1854" s="61" t="str">
        <f aca="false">IF($R1854&gt;=Parametros!$C$12,"Alto",IF($R1854&lt;Parametros!$C$13,"Bajo","Medio"))</f>
        <v>Medio</v>
      </c>
      <c r="Z1854" s="61" t="n">
        <v>1881</v>
      </c>
      <c r="AA1854" s="61" t="str">
        <f aca="false">IF(MATCH($A1854,Datos_Origen!$A$2:$A$2459,0)=$Z1854,"OK","REVISAR")</f>
        <v>OK</v>
      </c>
      <c r="AB1854" s="61" t="str">
        <f aca="false">INDEX(Datos_Origen!$B$2:$B$2459,$Z1854)</f>
        <v>2025-07-12</v>
      </c>
      <c r="AC1854" s="61" t="n">
        <f aca="false">INDEX(Datos_Origen!$H$2:$H$2459,$Z1854)</f>
        <v>22</v>
      </c>
      <c r="AD1854" s="61" t="str">
        <f aca="false">INDEX(Datos_Origen!$D$2:$D$2459,$Z1854)&amp;""</f>
        <v>Rosario</v>
      </c>
    </row>
    <row r="1855" customFormat="false" ht="15" hidden="false" customHeight="false" outlineLevel="0" collapsed="false">
      <c r="A1855" s="61" t="n">
        <f aca="false">INDEX(Datos_Origen!$A$2:$A$2459,$Z1855)</f>
        <v>1854</v>
      </c>
      <c r="B1855" s="62" t="n">
        <f aca="false">IF(ISNUMBER($AB1855),$AB1855,IF(MID($AB1855,5,1)="-",DATE(VALUE(LEFT($AB1855,4)),VALUE(MID($AB1855,6,2)),VALUE(RIGHT($AB1855,2))),DATE(VALUE(RIGHT($AB1855,4)),VALUE(MID($AB1855,4,2)),VALUE(LEFT($AB1855,2)))))</f>
        <v>45857</v>
      </c>
      <c r="C1855" s="61" t="n">
        <f aca="false">YEAR($B1855)</f>
        <v>2025</v>
      </c>
      <c r="D1855" s="61" t="str">
        <f aca="false">"Q"&amp;ROUNDUP(MONTH($B1855)/3,0)</f>
        <v>Q3</v>
      </c>
      <c r="E1855" s="61" t="n">
        <f aca="false">MONTH($B1855)</f>
        <v>7</v>
      </c>
      <c r="F1855" s="61" t="str">
        <f aca="false">INDEX(Parametros!$I$5:$I$16,$E1855)</f>
        <v>Jul</v>
      </c>
      <c r="G1855" s="61" t="str">
        <f aca="false">TEXT($C1855,"0000")&amp;"-"&amp;TEXT($E1855,"00")</f>
        <v>2025-07</v>
      </c>
      <c r="H1855" s="61" t="str">
        <f aca="false">INDEX(Parametros!$C$71:$C$91,MATCH(TRIM(INDEX(Datos_Origen!$C$2:$C$2459,$Z1855)),Parametros!$B$71:$B$91,0))</f>
        <v>Litoral</v>
      </c>
      <c r="I1855" s="61" t="str">
        <f aca="false">IF(TRIM($AD1855)="",INDEX(Parametros!$I$20:$I$24,MATCH($H1855,Parametros!$H$20:$H$24,0)),TRIM($AD1855))</f>
        <v>Rosario</v>
      </c>
      <c r="J1855" s="61" t="str">
        <f aca="false">INDEX(Parametros!$C$95:$C$106,MATCH(TRIM(INDEX(Datos_Origen!$E$2:$E$2459,$Z1855)),Parametros!$B$95:$B$106,0))</f>
        <v>E-commerce</v>
      </c>
      <c r="K1855" s="61" t="str">
        <f aca="false">INDEX(Parametros!$C$48:$C$67,MATCH(TRIM(INDEX(Datos_Origen!$F$2:$F$2459,$Z1855)),Parametros!$B$48:$B$67,0))</f>
        <v>Audio</v>
      </c>
      <c r="L1855" s="61" t="str">
        <f aca="false">$K1855&amp;" "&amp;$C1855</f>
        <v>Audio 2025</v>
      </c>
      <c r="M1855" s="61" t="str">
        <f aca="false">TRIM(INDEX(Datos_Origen!$G$2:$G$2459,$Z1855))</f>
        <v>Auriculares BT Pro</v>
      </c>
      <c r="N1855" s="61" t="str">
        <f aca="false">$M1855&amp;" "&amp;$C1855</f>
        <v>Auriculares BT Pro 2025</v>
      </c>
      <c r="O1855" s="63" t="n">
        <f aca="false">IF(ISTEXT($AC1855),VALUE($AC1855),$AC1855)</f>
        <v>12</v>
      </c>
      <c r="P1855" s="64" t="n">
        <f aca="false">INDEX(Datos_Origen!$I$2:$I$2459,$Z1855)</f>
        <v>120.47</v>
      </c>
      <c r="Q1855" s="64" t="n">
        <f aca="false">INDEX(Datos_Origen!$J$2:$J$2459,$Z1855)</f>
        <v>65.51</v>
      </c>
      <c r="R1855" s="65" t="n">
        <f aca="false">ROUND($O1855*$P1855,2)</f>
        <v>1445.64</v>
      </c>
      <c r="S1855" s="65" t="n">
        <f aca="false">ROUND($O1855*$Q1855,2)</f>
        <v>786.12</v>
      </c>
      <c r="T1855" s="65" t="n">
        <f aca="false">ROUND($R1855*SUMIFS(Parametros!$E$28:$E$43,Parametros!$B$28:$B$43,$J1855,Parametros!$C$28:$C$43,$C1855,Parametros!$D$28:$D$43,$D1855),2)</f>
        <v>80.96</v>
      </c>
      <c r="U1855" s="65" t="n">
        <f aca="false">$R1855-$S1855-$T1855</f>
        <v>578.56</v>
      </c>
      <c r="V1855" s="66" t="n">
        <f aca="false">IFERROR($U1855/$R1855,0)</f>
        <v>0.400210287485128</v>
      </c>
      <c r="W1855" s="67" t="str">
        <f aca="false">IF(AND($V1855&gt;=Parametros!$C$8,$R1855&gt;=Parametros!$C$12),"Alta rentabilidad",IF(OR($V1855&lt;Parametros!$C$11,$R1855&lt;Parametros!$C$13),"Revisar","Estandar"))</f>
        <v>Estandar</v>
      </c>
      <c r="X1855" s="67" t="str">
        <f aca="false">IF(AND($J1855="E-commerce",IFERROR($T1855/$R1855,0)&gt;Parametros!$C$14),"Alerta","OK")</f>
        <v>Alerta</v>
      </c>
      <c r="Y1855" s="61" t="str">
        <f aca="false">IF($R1855&gt;=Parametros!$C$12,"Alto",IF($R1855&lt;Parametros!$C$13,"Bajo","Medio"))</f>
        <v>Medio</v>
      </c>
      <c r="Z1855" s="61" t="n">
        <v>492</v>
      </c>
      <c r="AA1855" s="61" t="str">
        <f aca="false">IF(MATCH($A1855,Datos_Origen!$A$2:$A$2459,0)=$Z1855,"OK","REVISAR")</f>
        <v>OK</v>
      </c>
      <c r="AB1855" s="62" t="n">
        <f aca="false">INDEX(Datos_Origen!$B$2:$B$2459,$Z1855)</f>
        <v>45857</v>
      </c>
      <c r="AC1855" s="61" t="str">
        <f aca="false">INDEX(Datos_Origen!$H$2:$H$2459,$Z1855)</f>
        <v>12</v>
      </c>
      <c r="AD1855" s="61" t="str">
        <f aca="false">INDEX(Datos_Origen!$D$2:$D$2459,$Z1855)&amp;""</f>
        <v>Rosario</v>
      </c>
    </row>
    <row r="1856" customFormat="false" ht="15" hidden="false" customHeight="false" outlineLevel="0" collapsed="false">
      <c r="A1856" s="61" t="n">
        <f aca="false">INDEX(Datos_Origen!$A$2:$A$2459,$Z1856)</f>
        <v>1855</v>
      </c>
      <c r="B1856" s="62" t="n">
        <f aca="false">IF(ISNUMBER($AB1856),$AB1856,IF(MID($AB1856,5,1)="-",DATE(VALUE(LEFT($AB1856,4)),VALUE(MID($AB1856,6,2)),VALUE(RIGHT($AB1856,2))),DATE(VALUE(RIGHT($AB1856,4)),VALUE(MID($AB1856,4,2)),VALUE(LEFT($AB1856,2)))))</f>
        <v>45864</v>
      </c>
      <c r="C1856" s="61" t="n">
        <f aca="false">YEAR($B1856)</f>
        <v>2025</v>
      </c>
      <c r="D1856" s="61" t="str">
        <f aca="false">"Q"&amp;ROUNDUP(MONTH($B1856)/3,0)</f>
        <v>Q3</v>
      </c>
      <c r="E1856" s="61" t="n">
        <f aca="false">MONTH($B1856)</f>
        <v>7</v>
      </c>
      <c r="F1856" s="61" t="str">
        <f aca="false">INDEX(Parametros!$I$5:$I$16,$E1856)</f>
        <v>Jul</v>
      </c>
      <c r="G1856" s="61" t="str">
        <f aca="false">TEXT($C1856,"0000")&amp;"-"&amp;TEXT($E1856,"00")</f>
        <v>2025-07</v>
      </c>
      <c r="H1856" s="61" t="str">
        <f aca="false">INDEX(Parametros!$C$71:$C$91,MATCH(TRIM(INDEX(Datos_Origen!$C$2:$C$2459,$Z1856)),Parametros!$B$71:$B$91,0))</f>
        <v>Litoral</v>
      </c>
      <c r="I1856" s="61" t="str">
        <f aca="false">IF(TRIM($AD1856)="",INDEX(Parametros!$I$20:$I$24,MATCH($H1856,Parametros!$H$20:$H$24,0)),TRIM($AD1856))</f>
        <v>Rosario</v>
      </c>
      <c r="J1856" s="61" t="str">
        <f aca="false">INDEX(Parametros!$C$95:$C$106,MATCH(TRIM(INDEX(Datos_Origen!$E$2:$E$2459,$Z1856)),Parametros!$B$95:$B$106,0))</f>
        <v>Tienda fisica</v>
      </c>
      <c r="K1856" s="61" t="str">
        <f aca="false">INDEX(Parametros!$C$48:$C$67,MATCH(TRIM(INDEX(Datos_Origen!$F$2:$F$2459,$Z1856)),Parametros!$B$48:$B$67,0))</f>
        <v>Audio</v>
      </c>
      <c r="L1856" s="61" t="str">
        <f aca="false">$K1856&amp;" "&amp;$C1856</f>
        <v>Audio 2025</v>
      </c>
      <c r="M1856" s="61" t="str">
        <f aca="false">TRIM(INDEX(Datos_Origen!$G$2:$G$2459,$Z1856))</f>
        <v>Parlante Bluetooth</v>
      </c>
      <c r="N1856" s="61" t="str">
        <f aca="false">$M1856&amp;" "&amp;$C1856</f>
        <v>Parlante Bluetooth 2025</v>
      </c>
      <c r="O1856" s="63" t="n">
        <f aca="false">IF(ISTEXT($AC1856),VALUE($AC1856),$AC1856)</f>
        <v>22</v>
      </c>
      <c r="P1856" s="64" t="n">
        <f aca="false">INDEX(Datos_Origen!$I$2:$I$2459,$Z1856)</f>
        <v>85.34</v>
      </c>
      <c r="Q1856" s="64" t="n">
        <f aca="false">INDEX(Datos_Origen!$J$2:$J$2459,$Z1856)</f>
        <v>49.47</v>
      </c>
      <c r="R1856" s="65" t="n">
        <f aca="false">ROUND($O1856*$P1856,2)</f>
        <v>1877.48</v>
      </c>
      <c r="S1856" s="65" t="n">
        <f aca="false">ROUND($O1856*$Q1856,2)</f>
        <v>1088.34</v>
      </c>
      <c r="T1856" s="65" t="n">
        <f aca="false">ROUND($R1856*SUMIFS(Parametros!$E$28:$E$43,Parametros!$B$28:$B$43,$J1856,Parametros!$C$28:$C$43,$C1856,Parametros!$D$28:$D$43,$D1856),2)</f>
        <v>24.41</v>
      </c>
      <c r="U1856" s="65" t="n">
        <f aca="false">$R1856-$S1856-$T1856</f>
        <v>764.73</v>
      </c>
      <c r="V1856" s="66" t="n">
        <f aca="false">IFERROR($U1856/$R1856,0)</f>
        <v>0.407317255043995</v>
      </c>
      <c r="W1856" s="67" t="str">
        <f aca="false">IF(AND($V1856&gt;=Parametros!$C$8,$R1856&gt;=Parametros!$C$12),"Alta rentabilidad",IF(OR($V1856&lt;Parametros!$C$11,$R1856&lt;Parametros!$C$13),"Revisar","Estandar"))</f>
        <v>Estandar</v>
      </c>
      <c r="X1856" s="67" t="str">
        <f aca="false">IF(AND($J1856="E-commerce",IFERROR($T1856/$R1856,0)&gt;Parametros!$C$14),"Alerta","OK")</f>
        <v>OK</v>
      </c>
      <c r="Y1856" s="61" t="str">
        <f aca="false">IF($R1856&gt;=Parametros!$C$12,"Alto",IF($R1856&lt;Parametros!$C$13,"Bajo","Medio"))</f>
        <v>Medio</v>
      </c>
      <c r="Z1856" s="61" t="n">
        <v>1060</v>
      </c>
      <c r="AA1856" s="61" t="str">
        <f aca="false">IF(MATCH($A1856,Datos_Origen!$A$2:$A$2459,0)=$Z1856,"OK","REVISAR")</f>
        <v>OK</v>
      </c>
      <c r="AB1856" s="61" t="str">
        <f aca="false">INDEX(Datos_Origen!$B$2:$B$2459,$Z1856)</f>
        <v>26/07/2025</v>
      </c>
      <c r="AC1856" s="61" t="str">
        <f aca="false">INDEX(Datos_Origen!$H$2:$H$2459,$Z1856)</f>
        <v>22</v>
      </c>
      <c r="AD1856" s="61" t="str">
        <f aca="false">INDEX(Datos_Origen!$D$2:$D$2459,$Z1856)&amp;""</f>
        <v>Rosario</v>
      </c>
    </row>
    <row r="1857" customFormat="false" ht="15" hidden="false" customHeight="false" outlineLevel="0" collapsed="false">
      <c r="A1857" s="61" t="n">
        <f aca="false">INDEX(Datos_Origen!$A$2:$A$2459,$Z1857)</f>
        <v>1856</v>
      </c>
      <c r="B1857" s="62" t="n">
        <f aca="false">IF(ISNUMBER($AB1857),$AB1857,IF(MID($AB1857,5,1)="-",DATE(VALUE(LEFT($AB1857,4)),VALUE(MID($AB1857,6,2)),VALUE(RIGHT($AB1857,2))),DATE(VALUE(RIGHT($AB1857,4)),VALUE(MID($AB1857,4,2)),VALUE(LEFT($AB1857,2)))))</f>
        <v>45844</v>
      </c>
      <c r="C1857" s="61" t="n">
        <f aca="false">YEAR($B1857)</f>
        <v>2025</v>
      </c>
      <c r="D1857" s="61" t="str">
        <f aca="false">"Q"&amp;ROUNDUP(MONTH($B1857)/3,0)</f>
        <v>Q3</v>
      </c>
      <c r="E1857" s="61" t="n">
        <f aca="false">MONTH($B1857)</f>
        <v>7</v>
      </c>
      <c r="F1857" s="61" t="str">
        <f aca="false">INDEX(Parametros!$I$5:$I$16,$E1857)</f>
        <v>Jul</v>
      </c>
      <c r="G1857" s="61" t="str">
        <f aca="false">TEXT($C1857,"0000")&amp;"-"&amp;TEXT($E1857,"00")</f>
        <v>2025-07</v>
      </c>
      <c r="H1857" s="61" t="str">
        <f aca="false">INDEX(Parametros!$C$71:$C$91,MATCH(TRIM(INDEX(Datos_Origen!$C$2:$C$2459,$Z1857)),Parametros!$B$71:$B$91,0))</f>
        <v>Litoral</v>
      </c>
      <c r="I1857" s="61" t="str">
        <f aca="false">IF(TRIM($AD1857)="",INDEX(Parametros!$I$20:$I$24,MATCH($H1857,Parametros!$H$20:$H$24,0)),TRIM($AD1857))</f>
        <v>Rosario</v>
      </c>
      <c r="J1857" s="61" t="str">
        <f aca="false">INDEX(Parametros!$C$95:$C$106,MATCH(TRIM(INDEX(Datos_Origen!$E$2:$E$2459,$Z1857)),Parametros!$B$95:$B$106,0))</f>
        <v>E-commerce</v>
      </c>
      <c r="K1857" s="61" t="str">
        <f aca="false">INDEX(Parametros!$C$48:$C$67,MATCH(TRIM(INDEX(Datos_Origen!$F$2:$F$2459,$Z1857)),Parametros!$B$48:$B$67,0))</f>
        <v>Audio</v>
      </c>
      <c r="L1857" s="61" t="str">
        <f aca="false">$K1857&amp;" "&amp;$C1857</f>
        <v>Audio 2025</v>
      </c>
      <c r="M1857" s="61" t="str">
        <f aca="false">TRIM(INDEX(Datos_Origen!$G$2:$G$2459,$Z1857))</f>
        <v>Parlante Bluetooth</v>
      </c>
      <c r="N1857" s="61" t="str">
        <f aca="false">$M1857&amp;" "&amp;$C1857</f>
        <v>Parlante Bluetooth 2025</v>
      </c>
      <c r="O1857" s="63" t="n">
        <f aca="false">IF(ISTEXT($AC1857),VALUE($AC1857),$AC1857)</f>
        <v>13</v>
      </c>
      <c r="P1857" s="64" t="n">
        <f aca="false">INDEX(Datos_Origen!$I$2:$I$2459,$Z1857)</f>
        <v>85.34</v>
      </c>
      <c r="Q1857" s="64" t="n">
        <f aca="false">INDEX(Datos_Origen!$J$2:$J$2459,$Z1857)</f>
        <v>49.47</v>
      </c>
      <c r="R1857" s="65" t="n">
        <f aca="false">ROUND($O1857*$P1857,2)</f>
        <v>1109.42</v>
      </c>
      <c r="S1857" s="65" t="n">
        <f aca="false">ROUND($O1857*$Q1857,2)</f>
        <v>643.11</v>
      </c>
      <c r="T1857" s="65" t="n">
        <f aca="false">ROUND($R1857*SUMIFS(Parametros!$E$28:$E$43,Parametros!$B$28:$B$43,$J1857,Parametros!$C$28:$C$43,$C1857,Parametros!$D$28:$D$43,$D1857),2)</f>
        <v>62.13</v>
      </c>
      <c r="U1857" s="65" t="n">
        <f aca="false">$R1857-$S1857-$T1857</f>
        <v>404.18</v>
      </c>
      <c r="V1857" s="66" t="n">
        <f aca="false">IFERROR($U1857/$R1857,0)</f>
        <v>0.364316489697319</v>
      </c>
      <c r="W1857" s="67" t="str">
        <f aca="false">IF(AND($V1857&gt;=Parametros!$C$8,$R1857&gt;=Parametros!$C$12),"Alta rentabilidad",IF(OR($V1857&lt;Parametros!$C$11,$R1857&lt;Parametros!$C$13),"Revisar","Estandar"))</f>
        <v>Estandar</v>
      </c>
      <c r="X1857" s="67" t="str">
        <f aca="false">IF(AND($J1857="E-commerce",IFERROR($T1857/$R1857,0)&gt;Parametros!$C$14),"Alerta","OK")</f>
        <v>Alerta</v>
      </c>
      <c r="Y1857" s="61" t="str">
        <f aca="false">IF($R1857&gt;=Parametros!$C$12,"Alto",IF($R1857&lt;Parametros!$C$13,"Bajo","Medio"))</f>
        <v>Medio</v>
      </c>
      <c r="Z1857" s="61" t="n">
        <v>1907</v>
      </c>
      <c r="AA1857" s="61" t="str">
        <f aca="false">IF(MATCH($A1857,Datos_Origen!$A$2:$A$2459,0)=$Z1857,"OK","REVISAR")</f>
        <v>OK</v>
      </c>
      <c r="AB1857" s="62" t="n">
        <f aca="false">INDEX(Datos_Origen!$B$2:$B$2459,$Z1857)</f>
        <v>45844</v>
      </c>
      <c r="AC1857" s="61" t="str">
        <f aca="false">INDEX(Datos_Origen!$H$2:$H$2459,$Z1857)</f>
        <v>13</v>
      </c>
      <c r="AD1857" s="61" t="str">
        <f aca="false">INDEX(Datos_Origen!$D$2:$D$2459,$Z1857)&amp;""</f>
        <v/>
      </c>
    </row>
    <row r="1858" customFormat="false" ht="15" hidden="false" customHeight="false" outlineLevel="0" collapsed="false">
      <c r="A1858" s="61" t="n">
        <f aca="false">INDEX(Datos_Origen!$A$2:$A$2459,$Z1858)</f>
        <v>1857</v>
      </c>
      <c r="B1858" s="62" t="n">
        <f aca="false">IF(ISNUMBER($AB1858),$AB1858,IF(MID($AB1858,5,1)="-",DATE(VALUE(LEFT($AB1858,4)),VALUE(MID($AB1858,6,2)),VALUE(RIGHT($AB1858,2))),DATE(VALUE(RIGHT($AB1858,4)),VALUE(MID($AB1858,4,2)),VALUE(LEFT($AB1858,2)))))</f>
        <v>45851</v>
      </c>
      <c r="C1858" s="61" t="n">
        <f aca="false">YEAR($B1858)</f>
        <v>2025</v>
      </c>
      <c r="D1858" s="61" t="str">
        <f aca="false">"Q"&amp;ROUNDUP(MONTH($B1858)/3,0)</f>
        <v>Q3</v>
      </c>
      <c r="E1858" s="61" t="n">
        <f aca="false">MONTH($B1858)</f>
        <v>7</v>
      </c>
      <c r="F1858" s="61" t="str">
        <f aca="false">INDEX(Parametros!$I$5:$I$16,$E1858)</f>
        <v>Jul</v>
      </c>
      <c r="G1858" s="61" t="str">
        <f aca="false">TEXT($C1858,"0000")&amp;"-"&amp;TEXT($E1858,"00")</f>
        <v>2025-07</v>
      </c>
      <c r="H1858" s="61" t="str">
        <f aca="false">INDEX(Parametros!$C$71:$C$91,MATCH(TRIM(INDEX(Datos_Origen!$C$2:$C$2459,$Z1858)),Parametros!$B$71:$B$91,0))</f>
        <v>Litoral</v>
      </c>
      <c r="I1858" s="61" t="str">
        <f aca="false">IF(TRIM($AD1858)="",INDEX(Parametros!$I$20:$I$24,MATCH($H1858,Parametros!$H$20:$H$24,0)),TRIM($AD1858))</f>
        <v>Rosario</v>
      </c>
      <c r="J1858" s="61" t="str">
        <f aca="false">INDEX(Parametros!$C$95:$C$106,MATCH(TRIM(INDEX(Datos_Origen!$E$2:$E$2459,$Z1858)),Parametros!$B$95:$B$106,0))</f>
        <v>Tienda fisica</v>
      </c>
      <c r="K1858" s="61" t="str">
        <f aca="false">INDEX(Parametros!$C$48:$C$67,MATCH(TRIM(INDEX(Datos_Origen!$F$2:$F$2459,$Z1858)),Parametros!$B$48:$B$67,0))</f>
        <v>Almacenamiento</v>
      </c>
      <c r="L1858" s="61" t="str">
        <f aca="false">$K1858&amp;" "&amp;$C1858</f>
        <v>Almacenamiento 2025</v>
      </c>
      <c r="M1858" s="61" t="str">
        <f aca="false">TRIM(INDEX(Datos_Origen!$G$2:$G$2459,$Z1858))</f>
        <v>SSD Externo 1TB</v>
      </c>
      <c r="N1858" s="61" t="str">
        <f aca="false">$M1858&amp;" "&amp;$C1858</f>
        <v>SSD Externo 1TB 2025</v>
      </c>
      <c r="O1858" s="63" t="n">
        <f aca="false">IF(ISTEXT($AC1858),VALUE($AC1858),$AC1858)</f>
        <v>24</v>
      </c>
      <c r="P1858" s="64" t="n">
        <f aca="false">INDEX(Datos_Origen!$I$2:$I$2459,$Z1858)</f>
        <v>130.51</v>
      </c>
      <c r="Q1858" s="64" t="n">
        <f aca="false">INDEX(Datos_Origen!$J$2:$J$2459,$Z1858)</f>
        <v>78.33</v>
      </c>
      <c r="R1858" s="65" t="n">
        <f aca="false">ROUND($O1858*$P1858,2)</f>
        <v>3132.24</v>
      </c>
      <c r="S1858" s="65" t="n">
        <f aca="false">ROUND($O1858*$Q1858,2)</f>
        <v>1879.92</v>
      </c>
      <c r="T1858" s="65" t="n">
        <f aca="false">ROUND($R1858*SUMIFS(Parametros!$E$28:$E$43,Parametros!$B$28:$B$43,$J1858,Parametros!$C$28:$C$43,$C1858,Parametros!$D$28:$D$43,$D1858),2)</f>
        <v>40.72</v>
      </c>
      <c r="U1858" s="65" t="n">
        <f aca="false">$R1858-$S1858-$T1858</f>
        <v>1211.6</v>
      </c>
      <c r="V1858" s="66" t="n">
        <f aca="false">IFERROR($U1858/$R1858,0)</f>
        <v>0.386815825096417</v>
      </c>
      <c r="W1858" s="67" t="str">
        <f aca="false">IF(AND($V1858&gt;=Parametros!$C$8,$R1858&gt;=Parametros!$C$12),"Alta rentabilidad",IF(OR($V1858&lt;Parametros!$C$11,$R1858&lt;Parametros!$C$13),"Revisar","Estandar"))</f>
        <v>Alta rentabilidad</v>
      </c>
      <c r="X1858" s="67" t="str">
        <f aca="false">IF(AND($J1858="E-commerce",IFERROR($T1858/$R1858,0)&gt;Parametros!$C$14),"Alerta","OK")</f>
        <v>OK</v>
      </c>
      <c r="Y1858" s="61" t="str">
        <f aca="false">IF($R1858&gt;=Parametros!$C$12,"Alto",IF($R1858&lt;Parametros!$C$13,"Bajo","Medio"))</f>
        <v>Alto</v>
      </c>
      <c r="Z1858" s="61" t="n">
        <v>1604</v>
      </c>
      <c r="AA1858" s="61" t="str">
        <f aca="false">IF(MATCH($A1858,Datos_Origen!$A$2:$A$2459,0)=$Z1858,"OK","REVISAR")</f>
        <v>OK</v>
      </c>
      <c r="AB1858" s="62" t="n">
        <f aca="false">INDEX(Datos_Origen!$B$2:$B$2459,$Z1858)</f>
        <v>45851</v>
      </c>
      <c r="AC1858" s="61" t="n">
        <f aca="false">INDEX(Datos_Origen!$H$2:$H$2459,$Z1858)</f>
        <v>24</v>
      </c>
      <c r="AD1858" s="61" t="str">
        <f aca="false">INDEX(Datos_Origen!$D$2:$D$2459,$Z1858)&amp;""</f>
        <v>Rosario</v>
      </c>
    </row>
    <row r="1859" customFormat="false" ht="15" hidden="false" customHeight="false" outlineLevel="0" collapsed="false">
      <c r="A1859" s="61" t="n">
        <f aca="false">INDEX(Datos_Origen!$A$2:$A$2459,$Z1859)</f>
        <v>1858</v>
      </c>
      <c r="B1859" s="62" t="n">
        <f aca="false">IF(ISNUMBER($AB1859),$AB1859,IF(MID($AB1859,5,1)="-",DATE(VALUE(LEFT($AB1859,4)),VALUE(MID($AB1859,6,2)),VALUE(RIGHT($AB1859,2))),DATE(VALUE(RIGHT($AB1859,4)),VALUE(MID($AB1859,4,2)),VALUE(LEFT($AB1859,2)))))</f>
        <v>45858</v>
      </c>
      <c r="C1859" s="61" t="n">
        <f aca="false">YEAR($B1859)</f>
        <v>2025</v>
      </c>
      <c r="D1859" s="61" t="str">
        <f aca="false">"Q"&amp;ROUNDUP(MONTH($B1859)/3,0)</f>
        <v>Q3</v>
      </c>
      <c r="E1859" s="61" t="n">
        <f aca="false">MONTH($B1859)</f>
        <v>7</v>
      </c>
      <c r="F1859" s="61" t="str">
        <f aca="false">INDEX(Parametros!$I$5:$I$16,$E1859)</f>
        <v>Jul</v>
      </c>
      <c r="G1859" s="61" t="str">
        <f aca="false">TEXT($C1859,"0000")&amp;"-"&amp;TEXT($E1859,"00")</f>
        <v>2025-07</v>
      </c>
      <c r="H1859" s="61" t="str">
        <f aca="false">INDEX(Parametros!$C$71:$C$91,MATCH(TRIM(INDEX(Datos_Origen!$C$2:$C$2459,$Z1859)),Parametros!$B$71:$B$91,0))</f>
        <v>Litoral</v>
      </c>
      <c r="I1859" s="61" t="str">
        <f aca="false">IF(TRIM($AD1859)="",INDEX(Parametros!$I$20:$I$24,MATCH($H1859,Parametros!$H$20:$H$24,0)),TRIM($AD1859))</f>
        <v>Rosario</v>
      </c>
      <c r="J1859" s="61" t="str">
        <f aca="false">INDEX(Parametros!$C$95:$C$106,MATCH(TRIM(INDEX(Datos_Origen!$E$2:$E$2459,$Z1859)),Parametros!$B$95:$B$106,0))</f>
        <v>E-commerce</v>
      </c>
      <c r="K1859" s="61" t="str">
        <f aca="false">INDEX(Parametros!$C$48:$C$67,MATCH(TRIM(INDEX(Datos_Origen!$F$2:$F$2459,$Z1859)),Parametros!$B$48:$B$67,0))</f>
        <v>Almacenamiento</v>
      </c>
      <c r="L1859" s="61" t="str">
        <f aca="false">$K1859&amp;" "&amp;$C1859</f>
        <v>Almacenamiento 2025</v>
      </c>
      <c r="M1859" s="61" t="str">
        <f aca="false">TRIM(INDEX(Datos_Origen!$G$2:$G$2459,$Z1859))</f>
        <v>SSD Externo 1TB</v>
      </c>
      <c r="N1859" s="61" t="str">
        <f aca="false">$M1859&amp;" "&amp;$C1859</f>
        <v>SSD Externo 1TB 2025</v>
      </c>
      <c r="O1859" s="63" t="n">
        <f aca="false">IF(ISTEXT($AC1859),VALUE($AC1859),$AC1859)</f>
        <v>16</v>
      </c>
      <c r="P1859" s="64" t="n">
        <f aca="false">INDEX(Datos_Origen!$I$2:$I$2459,$Z1859)</f>
        <v>130.51</v>
      </c>
      <c r="Q1859" s="64" t="n">
        <f aca="false">INDEX(Datos_Origen!$J$2:$J$2459,$Z1859)</f>
        <v>78.33</v>
      </c>
      <c r="R1859" s="65" t="n">
        <f aca="false">ROUND($O1859*$P1859,2)</f>
        <v>2088.16</v>
      </c>
      <c r="S1859" s="65" t="n">
        <f aca="false">ROUND($O1859*$Q1859,2)</f>
        <v>1253.28</v>
      </c>
      <c r="T1859" s="65" t="n">
        <f aca="false">ROUND($R1859*SUMIFS(Parametros!$E$28:$E$43,Parametros!$B$28:$B$43,$J1859,Parametros!$C$28:$C$43,$C1859,Parametros!$D$28:$D$43,$D1859),2)</f>
        <v>116.94</v>
      </c>
      <c r="U1859" s="65" t="n">
        <f aca="false">$R1859-$S1859-$T1859</f>
        <v>717.94</v>
      </c>
      <c r="V1859" s="66" t="n">
        <f aca="false">IFERROR($U1859/$R1859,0)</f>
        <v>0.343814650218374</v>
      </c>
      <c r="W1859" s="67" t="str">
        <f aca="false">IF(AND($V1859&gt;=Parametros!$C$8,$R1859&gt;=Parametros!$C$12),"Alta rentabilidad",IF(OR($V1859&lt;Parametros!$C$11,$R1859&lt;Parametros!$C$13),"Revisar","Estandar"))</f>
        <v>Estandar</v>
      </c>
      <c r="X1859" s="67" t="str">
        <f aca="false">IF(AND($J1859="E-commerce",IFERROR($T1859/$R1859,0)&gt;Parametros!$C$14),"Alerta","OK")</f>
        <v>Alerta</v>
      </c>
      <c r="Y1859" s="61" t="str">
        <f aca="false">IF($R1859&gt;=Parametros!$C$12,"Alto",IF($R1859&lt;Parametros!$C$13,"Bajo","Medio"))</f>
        <v>Medio</v>
      </c>
      <c r="Z1859" s="61" t="n">
        <v>1221</v>
      </c>
      <c r="AA1859" s="61" t="str">
        <f aca="false">IF(MATCH($A1859,Datos_Origen!$A$2:$A$2459,0)=$Z1859,"OK","REVISAR")</f>
        <v>OK</v>
      </c>
      <c r="AB1859" s="62" t="n">
        <f aca="false">INDEX(Datos_Origen!$B$2:$B$2459,$Z1859)</f>
        <v>45858</v>
      </c>
      <c r="AC1859" s="61" t="n">
        <f aca="false">INDEX(Datos_Origen!$H$2:$H$2459,$Z1859)</f>
        <v>16</v>
      </c>
      <c r="AD1859" s="61" t="str">
        <f aca="false">INDEX(Datos_Origen!$D$2:$D$2459,$Z1859)&amp;""</f>
        <v>Rosario</v>
      </c>
    </row>
    <row r="1860" customFormat="false" ht="15" hidden="false" customHeight="false" outlineLevel="0" collapsed="false">
      <c r="A1860" s="61" t="n">
        <f aca="false">INDEX(Datos_Origen!$A$2:$A$2459,$Z1860)</f>
        <v>1859</v>
      </c>
      <c r="B1860" s="62" t="n">
        <f aca="false">IF(ISNUMBER($AB1860),$AB1860,IF(MID($AB1860,5,1)="-",DATE(VALUE(LEFT($AB1860,4)),VALUE(MID($AB1860,6,2)),VALUE(RIGHT($AB1860,2))),DATE(VALUE(RIGHT($AB1860,4)),VALUE(MID($AB1860,4,2)),VALUE(LEFT($AB1860,2)))))</f>
        <v>45865</v>
      </c>
      <c r="C1860" s="61" t="n">
        <f aca="false">YEAR($B1860)</f>
        <v>2025</v>
      </c>
      <c r="D1860" s="61" t="str">
        <f aca="false">"Q"&amp;ROUNDUP(MONTH($B1860)/3,0)</f>
        <v>Q3</v>
      </c>
      <c r="E1860" s="61" t="n">
        <f aca="false">MONTH($B1860)</f>
        <v>7</v>
      </c>
      <c r="F1860" s="61" t="str">
        <f aca="false">INDEX(Parametros!$I$5:$I$16,$E1860)</f>
        <v>Jul</v>
      </c>
      <c r="G1860" s="61" t="str">
        <f aca="false">TEXT($C1860,"0000")&amp;"-"&amp;TEXT($E1860,"00")</f>
        <v>2025-07</v>
      </c>
      <c r="H1860" s="61" t="str">
        <f aca="false">INDEX(Parametros!$C$71:$C$91,MATCH(TRIM(INDEX(Datos_Origen!$C$2:$C$2459,$Z1860)),Parametros!$B$71:$B$91,0))</f>
        <v>Litoral</v>
      </c>
      <c r="I1860" s="61" t="str">
        <f aca="false">IF(TRIM($AD1860)="",INDEX(Parametros!$I$20:$I$24,MATCH($H1860,Parametros!$H$20:$H$24,0)),TRIM($AD1860))</f>
        <v>Rosario</v>
      </c>
      <c r="J1860" s="61" t="str">
        <f aca="false">INDEX(Parametros!$C$95:$C$106,MATCH(TRIM(INDEX(Datos_Origen!$E$2:$E$2459,$Z1860)),Parametros!$B$95:$B$106,0))</f>
        <v>Tienda fisica</v>
      </c>
      <c r="K1860" s="61" t="str">
        <f aca="false">INDEX(Parametros!$C$48:$C$67,MATCH(TRIM(INDEX(Datos_Origen!$F$2:$F$2459,$Z1860)),Parametros!$B$48:$B$67,0))</f>
        <v>Almacenamiento</v>
      </c>
      <c r="L1860" s="61" t="str">
        <f aca="false">$K1860&amp;" "&amp;$C1860</f>
        <v>Almacenamiento 2025</v>
      </c>
      <c r="M1860" s="61" t="str">
        <f aca="false">TRIM(INDEX(Datos_Origen!$G$2:$G$2459,$Z1860))</f>
        <v>Pendrive 256GB</v>
      </c>
      <c r="N1860" s="61" t="str">
        <f aca="false">$M1860&amp;" "&amp;$C1860</f>
        <v>Pendrive 256GB 2025</v>
      </c>
      <c r="O1860" s="63" t="n">
        <f aca="false">IF(ISTEXT($AC1860),VALUE($AC1860),$AC1860)</f>
        <v>29</v>
      </c>
      <c r="P1860" s="64" t="n">
        <f aca="false">INDEX(Datos_Origen!$I$2:$I$2459,$Z1860)</f>
        <v>35.14</v>
      </c>
      <c r="Q1860" s="64" t="n">
        <f aca="false">INDEX(Datos_Origen!$J$2:$J$2459,$Z1860)</f>
        <v>18.39</v>
      </c>
      <c r="R1860" s="65" t="n">
        <f aca="false">ROUND($O1860*$P1860,2)</f>
        <v>1019.06</v>
      </c>
      <c r="S1860" s="65" t="n">
        <f aca="false">ROUND($O1860*$Q1860,2)</f>
        <v>533.31</v>
      </c>
      <c r="T1860" s="65" t="n">
        <f aca="false">ROUND($R1860*SUMIFS(Parametros!$E$28:$E$43,Parametros!$B$28:$B$43,$J1860,Parametros!$C$28:$C$43,$C1860,Parametros!$D$28:$D$43,$D1860),2)</f>
        <v>13.25</v>
      </c>
      <c r="U1860" s="65" t="n">
        <f aca="false">$R1860-$S1860-$T1860</f>
        <v>472.5</v>
      </c>
      <c r="V1860" s="66" t="n">
        <f aca="false">IFERROR($U1860/$R1860,0)</f>
        <v>0.463662591015249</v>
      </c>
      <c r="W1860" s="67" t="str">
        <f aca="false">IF(AND($V1860&gt;=Parametros!$C$8,$R1860&gt;=Parametros!$C$12),"Alta rentabilidad",IF(OR($V1860&lt;Parametros!$C$11,$R1860&lt;Parametros!$C$13),"Revisar","Estandar"))</f>
        <v>Estandar</v>
      </c>
      <c r="X1860" s="67" t="str">
        <f aca="false">IF(AND($J1860="E-commerce",IFERROR($T1860/$R1860,0)&gt;Parametros!$C$14),"Alerta","OK")</f>
        <v>OK</v>
      </c>
      <c r="Y1860" s="61" t="str">
        <f aca="false">IF($R1860&gt;=Parametros!$C$12,"Alto",IF($R1860&lt;Parametros!$C$13,"Bajo","Medio"))</f>
        <v>Medio</v>
      </c>
      <c r="Z1860" s="61" t="n">
        <v>514</v>
      </c>
      <c r="AA1860" s="61" t="str">
        <f aca="false">IF(MATCH($A1860,Datos_Origen!$A$2:$A$2459,0)=$Z1860,"OK","REVISAR")</f>
        <v>OK</v>
      </c>
      <c r="AB1860" s="61" t="str">
        <f aca="false">INDEX(Datos_Origen!$B$2:$B$2459,$Z1860)</f>
        <v>2025-07-27</v>
      </c>
      <c r="AC1860" s="61" t="n">
        <f aca="false">INDEX(Datos_Origen!$H$2:$H$2459,$Z1860)</f>
        <v>29</v>
      </c>
      <c r="AD1860" s="61" t="str">
        <f aca="false">INDEX(Datos_Origen!$D$2:$D$2459,$Z1860)&amp;""</f>
        <v>Rosario</v>
      </c>
    </row>
    <row r="1861" customFormat="false" ht="15" hidden="false" customHeight="false" outlineLevel="0" collapsed="false">
      <c r="A1861" s="61" t="n">
        <f aca="false">INDEX(Datos_Origen!$A$2:$A$2459,$Z1861)</f>
        <v>1860</v>
      </c>
      <c r="B1861" s="62" t="n">
        <f aca="false">IF(ISNUMBER($AB1861),$AB1861,IF(MID($AB1861,5,1)="-",DATE(VALUE(LEFT($AB1861,4)),VALUE(MID($AB1861,6,2)),VALUE(RIGHT($AB1861,2))),DATE(VALUE(RIGHT($AB1861,4)),VALUE(MID($AB1861,4,2)),VALUE(LEFT($AB1861,2)))))</f>
        <v>45845</v>
      </c>
      <c r="C1861" s="61" t="n">
        <f aca="false">YEAR($B1861)</f>
        <v>2025</v>
      </c>
      <c r="D1861" s="61" t="str">
        <f aca="false">"Q"&amp;ROUNDUP(MONTH($B1861)/3,0)</f>
        <v>Q3</v>
      </c>
      <c r="E1861" s="61" t="n">
        <f aca="false">MONTH($B1861)</f>
        <v>7</v>
      </c>
      <c r="F1861" s="61" t="str">
        <f aca="false">INDEX(Parametros!$I$5:$I$16,$E1861)</f>
        <v>Jul</v>
      </c>
      <c r="G1861" s="61" t="str">
        <f aca="false">TEXT($C1861,"0000")&amp;"-"&amp;TEXT($E1861,"00")</f>
        <v>2025-07</v>
      </c>
      <c r="H1861" s="61" t="str">
        <f aca="false">INDEX(Parametros!$C$71:$C$91,MATCH(TRIM(INDEX(Datos_Origen!$C$2:$C$2459,$Z1861)),Parametros!$B$71:$B$91,0))</f>
        <v>Litoral</v>
      </c>
      <c r="I1861" s="61" t="str">
        <f aca="false">IF(TRIM($AD1861)="",INDEX(Parametros!$I$20:$I$24,MATCH($H1861,Parametros!$H$20:$H$24,0)),TRIM($AD1861))</f>
        <v>Rosario</v>
      </c>
      <c r="J1861" s="61" t="str">
        <f aca="false">INDEX(Parametros!$C$95:$C$106,MATCH(TRIM(INDEX(Datos_Origen!$E$2:$E$2459,$Z1861)),Parametros!$B$95:$B$106,0))</f>
        <v>E-commerce</v>
      </c>
      <c r="K1861" s="61" t="str">
        <f aca="false">INDEX(Parametros!$C$48:$C$67,MATCH(TRIM(INDEX(Datos_Origen!$F$2:$F$2459,$Z1861)),Parametros!$B$48:$B$67,0))</f>
        <v>Almacenamiento</v>
      </c>
      <c r="L1861" s="61" t="str">
        <f aca="false">$K1861&amp;" "&amp;$C1861</f>
        <v>Almacenamiento 2025</v>
      </c>
      <c r="M1861" s="61" t="str">
        <f aca="false">TRIM(INDEX(Datos_Origen!$G$2:$G$2459,$Z1861))</f>
        <v>Pendrive 256GB</v>
      </c>
      <c r="N1861" s="61" t="str">
        <f aca="false">$M1861&amp;" "&amp;$C1861</f>
        <v>Pendrive 256GB 2025</v>
      </c>
      <c r="O1861" s="63" t="n">
        <f aca="false">IF(ISTEXT($AC1861),VALUE($AC1861),$AC1861)</f>
        <v>15</v>
      </c>
      <c r="P1861" s="64" t="n">
        <f aca="false">INDEX(Datos_Origen!$I$2:$I$2459,$Z1861)</f>
        <v>35.14</v>
      </c>
      <c r="Q1861" s="64" t="n">
        <f aca="false">INDEX(Datos_Origen!$J$2:$J$2459,$Z1861)</f>
        <v>18.39</v>
      </c>
      <c r="R1861" s="65" t="n">
        <f aca="false">ROUND($O1861*$P1861,2)</f>
        <v>527.1</v>
      </c>
      <c r="S1861" s="65" t="n">
        <f aca="false">ROUND($O1861*$Q1861,2)</f>
        <v>275.85</v>
      </c>
      <c r="T1861" s="65" t="n">
        <f aca="false">ROUND($R1861*SUMIFS(Parametros!$E$28:$E$43,Parametros!$B$28:$B$43,$J1861,Parametros!$C$28:$C$43,$C1861,Parametros!$D$28:$D$43,$D1861),2)</f>
        <v>29.52</v>
      </c>
      <c r="U1861" s="65" t="n">
        <f aca="false">$R1861-$S1861-$T1861</f>
        <v>221.73</v>
      </c>
      <c r="V1861" s="66" t="n">
        <f aca="false">IFERROR($U1861/$R1861,0)</f>
        <v>0.420660216277746</v>
      </c>
      <c r="W1861" s="67" t="str">
        <f aca="false">IF(AND($V1861&gt;=Parametros!$C$8,$R1861&gt;=Parametros!$C$12),"Alta rentabilidad",IF(OR($V1861&lt;Parametros!$C$11,$R1861&lt;Parametros!$C$13),"Revisar","Estandar"))</f>
        <v>Estandar</v>
      </c>
      <c r="X1861" s="67" t="str">
        <f aca="false">IF(AND($J1861="E-commerce",IFERROR($T1861/$R1861,0)&gt;Parametros!$C$14),"Alerta","OK")</f>
        <v>Alerta</v>
      </c>
      <c r="Y1861" s="61" t="str">
        <f aca="false">IF($R1861&gt;=Parametros!$C$12,"Alto",IF($R1861&lt;Parametros!$C$13,"Bajo","Medio"))</f>
        <v>Medio</v>
      </c>
      <c r="Z1861" s="61" t="n">
        <v>1597</v>
      </c>
      <c r="AA1861" s="61" t="str">
        <f aca="false">IF(MATCH($A1861,Datos_Origen!$A$2:$A$2459,0)=$Z1861,"OK","REVISAR")</f>
        <v>OK</v>
      </c>
      <c r="AB1861" s="61" t="str">
        <f aca="false">INDEX(Datos_Origen!$B$2:$B$2459,$Z1861)</f>
        <v>2025-07-07</v>
      </c>
      <c r="AC1861" s="61" t="str">
        <f aca="false">INDEX(Datos_Origen!$H$2:$H$2459,$Z1861)</f>
        <v>15</v>
      </c>
      <c r="AD1861" s="61" t="str">
        <f aca="false">INDEX(Datos_Origen!$D$2:$D$2459,$Z1861)&amp;""</f>
        <v>Rosario</v>
      </c>
    </row>
    <row r="1862" customFormat="false" ht="15" hidden="false" customHeight="false" outlineLevel="0" collapsed="false">
      <c r="A1862" s="61" t="n">
        <f aca="false">INDEX(Datos_Origen!$A$2:$A$2459,$Z1862)</f>
        <v>1861</v>
      </c>
      <c r="B1862" s="62" t="n">
        <f aca="false">IF(ISNUMBER($AB1862),$AB1862,IF(MID($AB1862,5,1)="-",DATE(VALUE(LEFT($AB1862,4)),VALUE(MID($AB1862,6,2)),VALUE(RIGHT($AB1862,2))),DATE(VALUE(RIGHT($AB1862,4)),VALUE(MID($AB1862,4,2)),VALUE(LEFT($AB1862,2)))))</f>
        <v>45852</v>
      </c>
      <c r="C1862" s="61" t="n">
        <f aca="false">YEAR($B1862)</f>
        <v>2025</v>
      </c>
      <c r="D1862" s="61" t="str">
        <f aca="false">"Q"&amp;ROUNDUP(MONTH($B1862)/3,0)</f>
        <v>Q3</v>
      </c>
      <c r="E1862" s="61" t="n">
        <f aca="false">MONTH($B1862)</f>
        <v>7</v>
      </c>
      <c r="F1862" s="61" t="str">
        <f aca="false">INDEX(Parametros!$I$5:$I$16,$E1862)</f>
        <v>Jul</v>
      </c>
      <c r="G1862" s="61" t="str">
        <f aca="false">TEXT($C1862,"0000")&amp;"-"&amp;TEXT($E1862,"00")</f>
        <v>2025-07</v>
      </c>
      <c r="H1862" s="61" t="str">
        <f aca="false">INDEX(Parametros!$C$71:$C$91,MATCH(TRIM(INDEX(Datos_Origen!$C$2:$C$2459,$Z1862)),Parametros!$B$71:$B$91,0))</f>
        <v>Cuyo</v>
      </c>
      <c r="I1862" s="61" t="str">
        <f aca="false">IF(TRIM($AD1862)="",INDEX(Parametros!$I$20:$I$24,MATCH($H1862,Parametros!$H$20:$H$24,0)),TRIM($AD1862))</f>
        <v>Mendoza</v>
      </c>
      <c r="J1862" s="61" t="str">
        <f aca="false">INDEX(Parametros!$C$95:$C$106,MATCH(TRIM(INDEX(Datos_Origen!$E$2:$E$2459,$Z1862)),Parametros!$B$95:$B$106,0))</f>
        <v>Tienda fisica</v>
      </c>
      <c r="K1862" s="61" t="str">
        <f aca="false">INDEX(Parametros!$C$48:$C$67,MATCH(TRIM(INDEX(Datos_Origen!$F$2:$F$2459,$Z1862)),Parametros!$B$48:$B$67,0))</f>
        <v>Computacion</v>
      </c>
      <c r="L1862" s="61" t="str">
        <f aca="false">$K1862&amp;" "&amp;$C1862</f>
        <v>Computacion 2025</v>
      </c>
      <c r="M1862" s="61" t="str">
        <f aca="false">TRIM(INDEX(Datos_Origen!$G$2:$G$2459,$Z1862))</f>
        <v>Laptop Pro 15</v>
      </c>
      <c r="N1862" s="61" t="str">
        <f aca="false">$M1862&amp;" "&amp;$C1862</f>
        <v>Laptop Pro 15 2025</v>
      </c>
      <c r="O1862" s="63" t="n">
        <f aca="false">IF(ISTEXT($AC1862),VALUE($AC1862),$AC1862)</f>
        <v>8</v>
      </c>
      <c r="P1862" s="64" t="n">
        <f aca="false">INDEX(Datos_Origen!$I$2:$I$2459,$Z1862)</f>
        <v>1204.74</v>
      </c>
      <c r="Q1862" s="64" t="n">
        <f aca="false">INDEX(Datos_Origen!$J$2:$J$2459,$Z1862)</f>
        <v>766.32</v>
      </c>
      <c r="R1862" s="65" t="n">
        <f aca="false">ROUND($O1862*$P1862,2)</f>
        <v>9637.92</v>
      </c>
      <c r="S1862" s="65" t="n">
        <f aca="false">ROUND($O1862*$Q1862,2)</f>
        <v>6130.56</v>
      </c>
      <c r="T1862" s="65" t="n">
        <f aca="false">ROUND($R1862*SUMIFS(Parametros!$E$28:$E$43,Parametros!$B$28:$B$43,$J1862,Parametros!$C$28:$C$43,$C1862,Parametros!$D$28:$D$43,$D1862),2)</f>
        <v>125.29</v>
      </c>
      <c r="U1862" s="65" t="n">
        <f aca="false">$R1862-$S1862-$T1862</f>
        <v>3382.07</v>
      </c>
      <c r="V1862" s="66" t="n">
        <f aca="false">IFERROR($U1862/$R1862,0)</f>
        <v>0.350912852565699</v>
      </c>
      <c r="W1862" s="67" t="str">
        <f aca="false">IF(AND($V1862&gt;=Parametros!$C$8,$R1862&gt;=Parametros!$C$12),"Alta rentabilidad",IF(OR($V1862&lt;Parametros!$C$11,$R1862&lt;Parametros!$C$13),"Revisar","Estandar"))</f>
        <v>Alta rentabilidad</v>
      </c>
      <c r="X1862" s="67" t="str">
        <f aca="false">IF(AND($J1862="E-commerce",IFERROR($T1862/$R1862,0)&gt;Parametros!$C$14),"Alerta","OK")</f>
        <v>OK</v>
      </c>
      <c r="Y1862" s="61" t="str">
        <f aca="false">IF($R1862&gt;=Parametros!$C$12,"Alto",IF($R1862&lt;Parametros!$C$13,"Bajo","Medio"))</f>
        <v>Alto</v>
      </c>
      <c r="Z1862" s="61" t="n">
        <v>1689</v>
      </c>
      <c r="AA1862" s="61" t="str">
        <f aca="false">IF(MATCH($A1862,Datos_Origen!$A$2:$A$2459,0)=$Z1862,"OK","REVISAR")</f>
        <v>OK</v>
      </c>
      <c r="AB1862" s="62" t="n">
        <f aca="false">INDEX(Datos_Origen!$B$2:$B$2459,$Z1862)</f>
        <v>45852</v>
      </c>
      <c r="AC1862" s="61" t="n">
        <f aca="false">INDEX(Datos_Origen!$H$2:$H$2459,$Z1862)</f>
        <v>8</v>
      </c>
      <c r="AD1862" s="61" t="str">
        <f aca="false">INDEX(Datos_Origen!$D$2:$D$2459,$Z1862)&amp;""</f>
        <v>Mendoza</v>
      </c>
    </row>
    <row r="1863" customFormat="false" ht="15" hidden="false" customHeight="false" outlineLevel="0" collapsed="false">
      <c r="A1863" s="61" t="n">
        <f aca="false">INDEX(Datos_Origen!$A$2:$A$2459,$Z1863)</f>
        <v>1862</v>
      </c>
      <c r="B1863" s="62" t="n">
        <f aca="false">IF(ISNUMBER($AB1863),$AB1863,IF(MID($AB1863,5,1)="-",DATE(VALUE(LEFT($AB1863,4)),VALUE(MID($AB1863,6,2)),VALUE(RIGHT($AB1863,2))),DATE(VALUE(RIGHT($AB1863,4)),VALUE(MID($AB1863,4,2)),VALUE(LEFT($AB1863,2)))))</f>
        <v>45859</v>
      </c>
      <c r="C1863" s="61" t="n">
        <f aca="false">YEAR($B1863)</f>
        <v>2025</v>
      </c>
      <c r="D1863" s="61" t="str">
        <f aca="false">"Q"&amp;ROUNDUP(MONTH($B1863)/3,0)</f>
        <v>Q3</v>
      </c>
      <c r="E1863" s="61" t="n">
        <f aca="false">MONTH($B1863)</f>
        <v>7</v>
      </c>
      <c r="F1863" s="61" t="str">
        <f aca="false">INDEX(Parametros!$I$5:$I$16,$E1863)</f>
        <v>Jul</v>
      </c>
      <c r="G1863" s="61" t="str">
        <f aca="false">TEXT($C1863,"0000")&amp;"-"&amp;TEXT($E1863,"00")</f>
        <v>2025-07</v>
      </c>
      <c r="H1863" s="61" t="str">
        <f aca="false">INDEX(Parametros!$C$71:$C$91,MATCH(TRIM(INDEX(Datos_Origen!$C$2:$C$2459,$Z1863)),Parametros!$B$71:$B$91,0))</f>
        <v>Cuyo</v>
      </c>
      <c r="I1863" s="61" t="str">
        <f aca="false">IF(TRIM($AD1863)="",INDEX(Parametros!$I$20:$I$24,MATCH($H1863,Parametros!$H$20:$H$24,0)),TRIM($AD1863))</f>
        <v>Mendoza</v>
      </c>
      <c r="J1863" s="61" t="str">
        <f aca="false">INDEX(Parametros!$C$95:$C$106,MATCH(TRIM(INDEX(Datos_Origen!$E$2:$E$2459,$Z1863)),Parametros!$B$95:$B$106,0))</f>
        <v>E-commerce</v>
      </c>
      <c r="K1863" s="61" t="str">
        <f aca="false">INDEX(Parametros!$C$48:$C$67,MATCH(TRIM(INDEX(Datos_Origen!$F$2:$F$2459,$Z1863)),Parametros!$B$48:$B$67,0))</f>
        <v>Computacion</v>
      </c>
      <c r="L1863" s="61" t="str">
        <f aca="false">$K1863&amp;" "&amp;$C1863</f>
        <v>Computacion 2025</v>
      </c>
      <c r="M1863" s="61" t="str">
        <f aca="false">TRIM(INDEX(Datos_Origen!$G$2:$G$2459,$Z1863))</f>
        <v>Laptop Pro 15</v>
      </c>
      <c r="N1863" s="61" t="str">
        <f aca="false">$M1863&amp;" "&amp;$C1863</f>
        <v>Laptop Pro 15 2025</v>
      </c>
      <c r="O1863" s="63" t="n">
        <f aca="false">IF(ISTEXT($AC1863),VALUE($AC1863),$AC1863)</f>
        <v>4</v>
      </c>
      <c r="P1863" s="64" t="n">
        <f aca="false">INDEX(Datos_Origen!$I$2:$I$2459,$Z1863)</f>
        <v>1204.74</v>
      </c>
      <c r="Q1863" s="64" t="n">
        <f aca="false">INDEX(Datos_Origen!$J$2:$J$2459,$Z1863)</f>
        <v>766.32</v>
      </c>
      <c r="R1863" s="65" t="n">
        <f aca="false">ROUND($O1863*$P1863,2)</f>
        <v>4818.96</v>
      </c>
      <c r="S1863" s="65" t="n">
        <f aca="false">ROUND($O1863*$Q1863,2)</f>
        <v>3065.28</v>
      </c>
      <c r="T1863" s="65" t="n">
        <f aca="false">ROUND($R1863*SUMIFS(Parametros!$E$28:$E$43,Parametros!$B$28:$B$43,$J1863,Parametros!$C$28:$C$43,$C1863,Parametros!$D$28:$D$43,$D1863),2)</f>
        <v>269.86</v>
      </c>
      <c r="U1863" s="65" t="n">
        <f aca="false">$R1863-$S1863-$T1863</f>
        <v>1483.82</v>
      </c>
      <c r="V1863" s="66" t="n">
        <f aca="false">IFERROR($U1863/$R1863,0)</f>
        <v>0.307912910669522</v>
      </c>
      <c r="W1863" s="67" t="str">
        <f aca="false">IF(AND($V1863&gt;=Parametros!$C$8,$R1863&gt;=Parametros!$C$12),"Alta rentabilidad",IF(OR($V1863&lt;Parametros!$C$11,$R1863&lt;Parametros!$C$13),"Revisar","Estandar"))</f>
        <v>Estandar</v>
      </c>
      <c r="X1863" s="67" t="str">
        <f aca="false">IF(AND($J1863="E-commerce",IFERROR($T1863/$R1863,0)&gt;Parametros!$C$14),"Alerta","OK")</f>
        <v>Alerta</v>
      </c>
      <c r="Y1863" s="61" t="str">
        <f aca="false">IF($R1863&gt;=Parametros!$C$12,"Alto",IF($R1863&lt;Parametros!$C$13,"Bajo","Medio"))</f>
        <v>Alto</v>
      </c>
      <c r="Z1863" s="61" t="n">
        <v>1957</v>
      </c>
      <c r="AA1863" s="61" t="str">
        <f aca="false">IF(MATCH($A1863,Datos_Origen!$A$2:$A$2459,0)=$Z1863,"OK","REVISAR")</f>
        <v>OK</v>
      </c>
      <c r="AB1863" s="62" t="n">
        <f aca="false">INDEX(Datos_Origen!$B$2:$B$2459,$Z1863)</f>
        <v>45859</v>
      </c>
      <c r="AC1863" s="61" t="n">
        <f aca="false">INDEX(Datos_Origen!$H$2:$H$2459,$Z1863)</f>
        <v>4</v>
      </c>
      <c r="AD1863" s="61" t="str">
        <f aca="false">INDEX(Datos_Origen!$D$2:$D$2459,$Z1863)&amp;""</f>
        <v>Mendoza</v>
      </c>
    </row>
    <row r="1864" customFormat="false" ht="15" hidden="false" customHeight="false" outlineLevel="0" collapsed="false">
      <c r="A1864" s="61" t="n">
        <f aca="false">INDEX(Datos_Origen!$A$2:$A$2459,$Z1864)</f>
        <v>1863</v>
      </c>
      <c r="B1864" s="62" t="n">
        <f aca="false">IF(ISNUMBER($AB1864),$AB1864,IF(MID($AB1864,5,1)="-",DATE(VALUE(LEFT($AB1864,4)),VALUE(MID($AB1864,6,2)),VALUE(RIGHT($AB1864,2))),DATE(VALUE(RIGHT($AB1864,4)),VALUE(MID($AB1864,4,2)),VALUE(LEFT($AB1864,2)))))</f>
        <v>45839</v>
      </c>
      <c r="C1864" s="61" t="n">
        <f aca="false">YEAR($B1864)</f>
        <v>2025</v>
      </c>
      <c r="D1864" s="61" t="str">
        <f aca="false">"Q"&amp;ROUNDUP(MONTH($B1864)/3,0)</f>
        <v>Q3</v>
      </c>
      <c r="E1864" s="61" t="n">
        <f aca="false">MONTH($B1864)</f>
        <v>7</v>
      </c>
      <c r="F1864" s="61" t="str">
        <f aca="false">INDEX(Parametros!$I$5:$I$16,$E1864)</f>
        <v>Jul</v>
      </c>
      <c r="G1864" s="61" t="str">
        <f aca="false">TEXT($C1864,"0000")&amp;"-"&amp;TEXT($E1864,"00")</f>
        <v>2025-07</v>
      </c>
      <c r="H1864" s="61" t="str">
        <f aca="false">INDEX(Parametros!$C$71:$C$91,MATCH(TRIM(INDEX(Datos_Origen!$C$2:$C$2459,$Z1864)),Parametros!$B$71:$B$91,0))</f>
        <v>Cuyo</v>
      </c>
      <c r="I1864" s="61" t="str">
        <f aca="false">IF(TRIM($AD1864)="",INDEX(Parametros!$I$20:$I$24,MATCH($H1864,Parametros!$H$20:$H$24,0)),TRIM($AD1864))</f>
        <v>Mendoza</v>
      </c>
      <c r="J1864" s="61" t="str">
        <f aca="false">INDEX(Parametros!$C$95:$C$106,MATCH(TRIM(INDEX(Datos_Origen!$E$2:$E$2459,$Z1864)),Parametros!$B$95:$B$106,0))</f>
        <v>Tienda fisica</v>
      </c>
      <c r="K1864" s="61" t="str">
        <f aca="false">INDEX(Parametros!$C$48:$C$67,MATCH(TRIM(INDEX(Datos_Origen!$F$2:$F$2459,$Z1864)),Parametros!$B$48:$B$67,0))</f>
        <v>Computacion</v>
      </c>
      <c r="L1864" s="61" t="str">
        <f aca="false">$K1864&amp;" "&amp;$C1864</f>
        <v>Computacion 2025</v>
      </c>
      <c r="M1864" s="61" t="str">
        <f aca="false">TRIM(INDEX(Datos_Origen!$G$2:$G$2459,$Z1864))</f>
        <v>Monitor 4K 27</v>
      </c>
      <c r="N1864" s="61" t="str">
        <f aca="false">$M1864&amp;" "&amp;$C1864</f>
        <v>Monitor 4K 27 2025</v>
      </c>
      <c r="O1864" s="63" t="n">
        <f aca="false">IF(ISTEXT($AC1864),VALUE($AC1864),$AC1864)</f>
        <v>8</v>
      </c>
      <c r="P1864" s="64" t="n">
        <f aca="false">INDEX(Datos_Origen!$I$2:$I$2459,$Z1864)</f>
        <v>451.78</v>
      </c>
      <c r="Q1864" s="64" t="n">
        <f aca="false">INDEX(Datos_Origen!$J$2:$J$2459,$Z1864)</f>
        <v>280.42</v>
      </c>
      <c r="R1864" s="65" t="n">
        <f aca="false">ROUND($O1864*$P1864,2)</f>
        <v>3614.24</v>
      </c>
      <c r="S1864" s="65" t="n">
        <f aca="false">ROUND($O1864*$Q1864,2)</f>
        <v>2243.36</v>
      </c>
      <c r="T1864" s="65" t="n">
        <f aca="false">ROUND($R1864*SUMIFS(Parametros!$E$28:$E$43,Parametros!$B$28:$B$43,$J1864,Parametros!$C$28:$C$43,$C1864,Parametros!$D$28:$D$43,$D1864),2)</f>
        <v>46.99</v>
      </c>
      <c r="U1864" s="65" t="n">
        <f aca="false">$R1864-$S1864-$T1864</f>
        <v>1323.89</v>
      </c>
      <c r="V1864" s="66" t="n">
        <f aca="false">IFERROR($U1864/$R1864,0)</f>
        <v>0.366298308911417</v>
      </c>
      <c r="W1864" s="67" t="str">
        <f aca="false">IF(AND($V1864&gt;=Parametros!$C$8,$R1864&gt;=Parametros!$C$12),"Alta rentabilidad",IF(OR($V1864&lt;Parametros!$C$11,$R1864&lt;Parametros!$C$13),"Revisar","Estandar"))</f>
        <v>Alta rentabilidad</v>
      </c>
      <c r="X1864" s="67" t="str">
        <f aca="false">IF(AND($J1864="E-commerce",IFERROR($T1864/$R1864,0)&gt;Parametros!$C$14),"Alerta","OK")</f>
        <v>OK</v>
      </c>
      <c r="Y1864" s="61" t="str">
        <f aca="false">IF($R1864&gt;=Parametros!$C$12,"Alto",IF($R1864&lt;Parametros!$C$13,"Bajo","Medio"))</f>
        <v>Alto</v>
      </c>
      <c r="Z1864" s="61" t="n">
        <v>2313</v>
      </c>
      <c r="AA1864" s="61" t="str">
        <f aca="false">IF(MATCH($A1864,Datos_Origen!$A$2:$A$2459,0)=$Z1864,"OK","REVISAR")</f>
        <v>OK</v>
      </c>
      <c r="AB1864" s="62" t="n">
        <f aca="false">INDEX(Datos_Origen!$B$2:$B$2459,$Z1864)</f>
        <v>45839</v>
      </c>
      <c r="AC1864" s="61" t="n">
        <f aca="false">INDEX(Datos_Origen!$H$2:$H$2459,$Z1864)</f>
        <v>8</v>
      </c>
      <c r="AD1864" s="61" t="str">
        <f aca="false">INDEX(Datos_Origen!$D$2:$D$2459,$Z1864)&amp;""</f>
        <v>Mendoza</v>
      </c>
    </row>
    <row r="1865" customFormat="false" ht="15" hidden="false" customHeight="false" outlineLevel="0" collapsed="false">
      <c r="A1865" s="61" t="n">
        <f aca="false">INDEX(Datos_Origen!$A$2:$A$2459,$Z1865)</f>
        <v>1864</v>
      </c>
      <c r="B1865" s="62" t="n">
        <f aca="false">IF(ISNUMBER($AB1865),$AB1865,IF(MID($AB1865,5,1)="-",DATE(VALUE(LEFT($AB1865,4)),VALUE(MID($AB1865,6,2)),VALUE(RIGHT($AB1865,2))),DATE(VALUE(RIGHT($AB1865,4)),VALUE(MID($AB1865,4,2)),VALUE(LEFT($AB1865,2)))))</f>
        <v>45846</v>
      </c>
      <c r="C1865" s="61" t="n">
        <f aca="false">YEAR($B1865)</f>
        <v>2025</v>
      </c>
      <c r="D1865" s="61" t="str">
        <f aca="false">"Q"&amp;ROUNDUP(MONTH($B1865)/3,0)</f>
        <v>Q3</v>
      </c>
      <c r="E1865" s="61" t="n">
        <f aca="false">MONTH($B1865)</f>
        <v>7</v>
      </c>
      <c r="F1865" s="61" t="str">
        <f aca="false">INDEX(Parametros!$I$5:$I$16,$E1865)</f>
        <v>Jul</v>
      </c>
      <c r="G1865" s="61" t="str">
        <f aca="false">TEXT($C1865,"0000")&amp;"-"&amp;TEXT($E1865,"00")</f>
        <v>2025-07</v>
      </c>
      <c r="H1865" s="61" t="str">
        <f aca="false">INDEX(Parametros!$C$71:$C$91,MATCH(TRIM(INDEX(Datos_Origen!$C$2:$C$2459,$Z1865)),Parametros!$B$71:$B$91,0))</f>
        <v>Cuyo</v>
      </c>
      <c r="I1865" s="61" t="str">
        <f aca="false">IF(TRIM($AD1865)="",INDEX(Parametros!$I$20:$I$24,MATCH($H1865,Parametros!$H$20:$H$24,0)),TRIM($AD1865))</f>
        <v>Mendoza</v>
      </c>
      <c r="J1865" s="61" t="str">
        <f aca="false">INDEX(Parametros!$C$95:$C$106,MATCH(TRIM(INDEX(Datos_Origen!$E$2:$E$2459,$Z1865)),Parametros!$B$95:$B$106,0))</f>
        <v>E-commerce</v>
      </c>
      <c r="K1865" s="61" t="str">
        <f aca="false">INDEX(Parametros!$C$48:$C$67,MATCH(TRIM(INDEX(Datos_Origen!$F$2:$F$2459,$Z1865)),Parametros!$B$48:$B$67,0))</f>
        <v>Computacion</v>
      </c>
      <c r="L1865" s="61" t="str">
        <f aca="false">$K1865&amp;" "&amp;$C1865</f>
        <v>Computacion 2025</v>
      </c>
      <c r="M1865" s="61" t="str">
        <f aca="false">TRIM(INDEX(Datos_Origen!$G$2:$G$2459,$Z1865))</f>
        <v>Monitor 4K 27</v>
      </c>
      <c r="N1865" s="61" t="str">
        <f aca="false">$M1865&amp;" "&amp;$C1865</f>
        <v>Monitor 4K 27 2025</v>
      </c>
      <c r="O1865" s="63" t="n">
        <f aca="false">IF(ISTEXT($AC1865),VALUE($AC1865),$AC1865)</f>
        <v>6</v>
      </c>
      <c r="P1865" s="64" t="n">
        <f aca="false">INDEX(Datos_Origen!$I$2:$I$2459,$Z1865)</f>
        <v>451.78</v>
      </c>
      <c r="Q1865" s="64" t="n">
        <f aca="false">INDEX(Datos_Origen!$J$2:$J$2459,$Z1865)</f>
        <v>280.42</v>
      </c>
      <c r="R1865" s="65" t="n">
        <f aca="false">ROUND($O1865*$P1865,2)</f>
        <v>2710.68</v>
      </c>
      <c r="S1865" s="65" t="n">
        <f aca="false">ROUND($O1865*$Q1865,2)</f>
        <v>1682.52</v>
      </c>
      <c r="T1865" s="65" t="n">
        <f aca="false">ROUND($R1865*SUMIFS(Parametros!$E$28:$E$43,Parametros!$B$28:$B$43,$J1865,Parametros!$C$28:$C$43,$C1865,Parametros!$D$28:$D$43,$D1865),2)</f>
        <v>151.8</v>
      </c>
      <c r="U1865" s="65" t="n">
        <f aca="false">$R1865-$S1865-$T1865</f>
        <v>876.36</v>
      </c>
      <c r="V1865" s="66" t="n">
        <f aca="false">IFERROR($U1865/$R1865,0)</f>
        <v>0.323298950816769</v>
      </c>
      <c r="W1865" s="67" t="str">
        <f aca="false">IF(AND($V1865&gt;=Parametros!$C$8,$R1865&gt;=Parametros!$C$12),"Alta rentabilidad",IF(OR($V1865&lt;Parametros!$C$11,$R1865&lt;Parametros!$C$13),"Revisar","Estandar"))</f>
        <v>Estandar</v>
      </c>
      <c r="X1865" s="67" t="str">
        <f aca="false">IF(AND($J1865="E-commerce",IFERROR($T1865/$R1865,0)&gt;Parametros!$C$14),"Alerta","OK")</f>
        <v>Alerta</v>
      </c>
      <c r="Y1865" s="61" t="str">
        <f aca="false">IF($R1865&gt;=Parametros!$C$12,"Alto",IF($R1865&lt;Parametros!$C$13,"Bajo","Medio"))</f>
        <v>Medio</v>
      </c>
      <c r="Z1865" s="61" t="n">
        <v>2329</v>
      </c>
      <c r="AA1865" s="61" t="str">
        <f aca="false">IF(MATCH($A1865,Datos_Origen!$A$2:$A$2459,0)=$Z1865,"OK","REVISAR")</f>
        <v>OK</v>
      </c>
      <c r="AB1865" s="62" t="n">
        <f aca="false">INDEX(Datos_Origen!$B$2:$B$2459,$Z1865)</f>
        <v>45846</v>
      </c>
      <c r="AC1865" s="61" t="str">
        <f aca="false">INDEX(Datos_Origen!$H$2:$H$2459,$Z1865)</f>
        <v>6</v>
      </c>
      <c r="AD1865" s="61" t="str">
        <f aca="false">INDEX(Datos_Origen!$D$2:$D$2459,$Z1865)&amp;""</f>
        <v>Mendoza</v>
      </c>
    </row>
    <row r="1866" customFormat="false" ht="15" hidden="false" customHeight="false" outlineLevel="0" collapsed="false">
      <c r="A1866" s="61" t="n">
        <f aca="false">INDEX(Datos_Origen!$A$2:$A$2459,$Z1866)</f>
        <v>1865</v>
      </c>
      <c r="B1866" s="62" t="n">
        <f aca="false">IF(ISNUMBER($AB1866),$AB1866,IF(MID($AB1866,5,1)="-",DATE(VALUE(LEFT($AB1866,4)),VALUE(MID($AB1866,6,2)),VALUE(RIGHT($AB1866,2))),DATE(VALUE(RIGHT($AB1866,4)),VALUE(MID($AB1866,4,2)),VALUE(LEFT($AB1866,2)))))</f>
        <v>45853</v>
      </c>
      <c r="C1866" s="61" t="n">
        <f aca="false">YEAR($B1866)</f>
        <v>2025</v>
      </c>
      <c r="D1866" s="61" t="str">
        <f aca="false">"Q"&amp;ROUNDUP(MONTH($B1866)/3,0)</f>
        <v>Q3</v>
      </c>
      <c r="E1866" s="61" t="n">
        <f aca="false">MONTH($B1866)</f>
        <v>7</v>
      </c>
      <c r="F1866" s="61" t="str">
        <f aca="false">INDEX(Parametros!$I$5:$I$16,$E1866)</f>
        <v>Jul</v>
      </c>
      <c r="G1866" s="61" t="str">
        <f aca="false">TEXT($C1866,"0000")&amp;"-"&amp;TEXT($E1866,"00")</f>
        <v>2025-07</v>
      </c>
      <c r="H1866" s="61" t="str">
        <f aca="false">INDEX(Parametros!$C$71:$C$91,MATCH(TRIM(INDEX(Datos_Origen!$C$2:$C$2459,$Z1866)),Parametros!$B$71:$B$91,0))</f>
        <v>Cuyo</v>
      </c>
      <c r="I1866" s="61" t="str">
        <f aca="false">IF(TRIM($AD1866)="",INDEX(Parametros!$I$20:$I$24,MATCH($H1866,Parametros!$H$20:$H$24,0)),TRIM($AD1866))</f>
        <v>Mendoza</v>
      </c>
      <c r="J1866" s="61" t="str">
        <f aca="false">INDEX(Parametros!$C$95:$C$106,MATCH(TRIM(INDEX(Datos_Origen!$E$2:$E$2459,$Z1866)),Parametros!$B$95:$B$106,0))</f>
        <v>Tienda fisica</v>
      </c>
      <c r="K1866" s="61" t="str">
        <f aca="false">INDEX(Parametros!$C$48:$C$67,MATCH(TRIM(INDEX(Datos_Origen!$F$2:$F$2459,$Z1866)),Parametros!$B$48:$B$67,0))</f>
        <v>Computacion</v>
      </c>
      <c r="L1866" s="61" t="str">
        <f aca="false">$K1866&amp;" "&amp;$C1866</f>
        <v>Computacion 2025</v>
      </c>
      <c r="M1866" s="61" t="str">
        <f aca="false">TRIM(INDEX(Datos_Origen!$G$2:$G$2459,$Z1866))</f>
        <v>PC Gamer Ryzen</v>
      </c>
      <c r="N1866" s="61" t="str">
        <f aca="false">$M1866&amp;" "&amp;$C1866</f>
        <v>PC Gamer Ryzen 2025</v>
      </c>
      <c r="O1866" s="63" t="n">
        <f aca="false">IF(ISTEXT($AC1866),VALUE($AC1866),$AC1866)</f>
        <v>7</v>
      </c>
      <c r="P1866" s="64" t="n">
        <f aca="false">INDEX(Datos_Origen!$I$2:$I$2459,$Z1866)</f>
        <v>1656.52</v>
      </c>
      <c r="Q1866" s="64" t="n">
        <f aca="false">INDEX(Datos_Origen!$J$2:$J$2459,$Z1866)</f>
        <v>1155.66</v>
      </c>
      <c r="R1866" s="65" t="n">
        <f aca="false">ROUND($O1866*$P1866,2)</f>
        <v>11595.64</v>
      </c>
      <c r="S1866" s="65" t="n">
        <f aca="false">ROUND($O1866*$Q1866,2)</f>
        <v>8089.62</v>
      </c>
      <c r="T1866" s="65" t="n">
        <f aca="false">ROUND($R1866*SUMIFS(Parametros!$E$28:$E$43,Parametros!$B$28:$B$43,$J1866,Parametros!$C$28:$C$43,$C1866,Parametros!$D$28:$D$43,$D1866),2)</f>
        <v>150.74</v>
      </c>
      <c r="U1866" s="65" t="n">
        <f aca="false">$R1866-$S1866-$T1866</f>
        <v>3355.28</v>
      </c>
      <c r="V1866" s="66" t="n">
        <f aca="false">IFERROR($U1866/$R1866,0)</f>
        <v>0.289357034195611</v>
      </c>
      <c r="W1866" s="67" t="str">
        <f aca="false">IF(AND($V1866&gt;=Parametros!$C$8,$R1866&gt;=Parametros!$C$12),"Alta rentabilidad",IF(OR($V1866&lt;Parametros!$C$11,$R1866&lt;Parametros!$C$13),"Revisar","Estandar"))</f>
        <v>Estandar</v>
      </c>
      <c r="X1866" s="67" t="str">
        <f aca="false">IF(AND($J1866="E-commerce",IFERROR($T1866/$R1866,0)&gt;Parametros!$C$14),"Alerta","OK")</f>
        <v>OK</v>
      </c>
      <c r="Y1866" s="61" t="str">
        <f aca="false">IF($R1866&gt;=Parametros!$C$12,"Alto",IF($R1866&lt;Parametros!$C$13,"Bajo","Medio"))</f>
        <v>Alto</v>
      </c>
      <c r="Z1866" s="61" t="n">
        <v>675</v>
      </c>
      <c r="AA1866" s="61" t="str">
        <f aca="false">IF(MATCH($A1866,Datos_Origen!$A$2:$A$2459,0)=$Z1866,"OK","REVISAR")</f>
        <v>OK</v>
      </c>
      <c r="AB1866" s="62" t="n">
        <f aca="false">INDEX(Datos_Origen!$B$2:$B$2459,$Z1866)</f>
        <v>45853</v>
      </c>
      <c r="AC1866" s="61" t="n">
        <f aca="false">INDEX(Datos_Origen!$H$2:$H$2459,$Z1866)</f>
        <v>7</v>
      </c>
      <c r="AD1866" s="61" t="str">
        <f aca="false">INDEX(Datos_Origen!$D$2:$D$2459,$Z1866)&amp;""</f>
        <v>Mendoza</v>
      </c>
    </row>
    <row r="1867" customFormat="false" ht="15" hidden="false" customHeight="false" outlineLevel="0" collapsed="false">
      <c r="A1867" s="61" t="n">
        <f aca="false">INDEX(Datos_Origen!$A$2:$A$2459,$Z1867)</f>
        <v>1866</v>
      </c>
      <c r="B1867" s="62" t="n">
        <f aca="false">IF(ISNUMBER($AB1867),$AB1867,IF(MID($AB1867,5,1)="-",DATE(VALUE(LEFT($AB1867,4)),VALUE(MID($AB1867,6,2)),VALUE(RIGHT($AB1867,2))),DATE(VALUE(RIGHT($AB1867,4)),VALUE(MID($AB1867,4,2)),VALUE(LEFT($AB1867,2)))))</f>
        <v>45860</v>
      </c>
      <c r="C1867" s="61" t="n">
        <f aca="false">YEAR($B1867)</f>
        <v>2025</v>
      </c>
      <c r="D1867" s="61" t="str">
        <f aca="false">"Q"&amp;ROUNDUP(MONTH($B1867)/3,0)</f>
        <v>Q3</v>
      </c>
      <c r="E1867" s="61" t="n">
        <f aca="false">MONTH($B1867)</f>
        <v>7</v>
      </c>
      <c r="F1867" s="61" t="str">
        <f aca="false">INDEX(Parametros!$I$5:$I$16,$E1867)</f>
        <v>Jul</v>
      </c>
      <c r="G1867" s="61" t="str">
        <f aca="false">TEXT($C1867,"0000")&amp;"-"&amp;TEXT($E1867,"00")</f>
        <v>2025-07</v>
      </c>
      <c r="H1867" s="61" t="str">
        <f aca="false">INDEX(Parametros!$C$71:$C$91,MATCH(TRIM(INDEX(Datos_Origen!$C$2:$C$2459,$Z1867)),Parametros!$B$71:$B$91,0))</f>
        <v>Cuyo</v>
      </c>
      <c r="I1867" s="61" t="str">
        <f aca="false">IF(TRIM($AD1867)="",INDEX(Parametros!$I$20:$I$24,MATCH($H1867,Parametros!$H$20:$H$24,0)),TRIM($AD1867))</f>
        <v>Mendoza</v>
      </c>
      <c r="J1867" s="61" t="str">
        <f aca="false">INDEX(Parametros!$C$95:$C$106,MATCH(TRIM(INDEX(Datos_Origen!$E$2:$E$2459,$Z1867)),Parametros!$B$95:$B$106,0))</f>
        <v>E-commerce</v>
      </c>
      <c r="K1867" s="61" t="str">
        <f aca="false">INDEX(Parametros!$C$48:$C$67,MATCH(TRIM(INDEX(Datos_Origen!$F$2:$F$2459,$Z1867)),Parametros!$B$48:$B$67,0))</f>
        <v>Computacion</v>
      </c>
      <c r="L1867" s="61" t="str">
        <f aca="false">$K1867&amp;" "&amp;$C1867</f>
        <v>Computacion 2025</v>
      </c>
      <c r="M1867" s="61" t="str">
        <f aca="false">TRIM(INDEX(Datos_Origen!$G$2:$G$2459,$Z1867))</f>
        <v>PC Gamer Ryzen</v>
      </c>
      <c r="N1867" s="61" t="str">
        <f aca="false">$M1867&amp;" "&amp;$C1867</f>
        <v>PC Gamer Ryzen 2025</v>
      </c>
      <c r="O1867" s="63" t="n">
        <f aca="false">IF(ISTEXT($AC1867),VALUE($AC1867),$AC1867)</f>
        <v>5</v>
      </c>
      <c r="P1867" s="64" t="n">
        <f aca="false">INDEX(Datos_Origen!$I$2:$I$2459,$Z1867)</f>
        <v>1656.52</v>
      </c>
      <c r="Q1867" s="64" t="n">
        <f aca="false">INDEX(Datos_Origen!$J$2:$J$2459,$Z1867)</f>
        <v>1155.66</v>
      </c>
      <c r="R1867" s="65" t="n">
        <f aca="false">ROUND($O1867*$P1867,2)</f>
        <v>8282.6</v>
      </c>
      <c r="S1867" s="65" t="n">
        <f aca="false">ROUND($O1867*$Q1867,2)</f>
        <v>5778.3</v>
      </c>
      <c r="T1867" s="65" t="n">
        <f aca="false">ROUND($R1867*SUMIFS(Parametros!$E$28:$E$43,Parametros!$B$28:$B$43,$J1867,Parametros!$C$28:$C$43,$C1867,Parametros!$D$28:$D$43,$D1867),2)</f>
        <v>463.83</v>
      </c>
      <c r="U1867" s="65" t="n">
        <f aca="false">$R1867-$S1867-$T1867</f>
        <v>2040.47</v>
      </c>
      <c r="V1867" s="66" t="n">
        <f aca="false">IFERROR($U1867/$R1867,0)</f>
        <v>0.246356216646947</v>
      </c>
      <c r="W1867" s="67" t="str">
        <f aca="false">IF(AND($V1867&gt;=Parametros!$C$8,$R1867&gt;=Parametros!$C$12),"Alta rentabilidad",IF(OR($V1867&lt;Parametros!$C$11,$R1867&lt;Parametros!$C$13),"Revisar","Estandar"))</f>
        <v>Revisar</v>
      </c>
      <c r="X1867" s="67" t="str">
        <f aca="false">IF(AND($J1867="E-commerce",IFERROR($T1867/$R1867,0)&gt;Parametros!$C$14),"Alerta","OK")</f>
        <v>Alerta</v>
      </c>
      <c r="Y1867" s="61" t="str">
        <f aca="false">IF($R1867&gt;=Parametros!$C$12,"Alto",IF($R1867&lt;Parametros!$C$13,"Bajo","Medio"))</f>
        <v>Alto</v>
      </c>
      <c r="Z1867" s="61" t="n">
        <v>1481</v>
      </c>
      <c r="AA1867" s="61" t="str">
        <f aca="false">IF(MATCH($A1867,Datos_Origen!$A$2:$A$2459,0)=$Z1867,"OK","REVISAR")</f>
        <v>OK</v>
      </c>
      <c r="AB1867" s="61" t="str">
        <f aca="false">INDEX(Datos_Origen!$B$2:$B$2459,$Z1867)</f>
        <v>22/07/2025</v>
      </c>
      <c r="AC1867" s="61" t="n">
        <f aca="false">INDEX(Datos_Origen!$H$2:$H$2459,$Z1867)</f>
        <v>5</v>
      </c>
      <c r="AD1867" s="61" t="str">
        <f aca="false">INDEX(Datos_Origen!$D$2:$D$2459,$Z1867)&amp;""</f>
        <v>Mendoza</v>
      </c>
    </row>
    <row r="1868" customFormat="false" ht="15" hidden="false" customHeight="false" outlineLevel="0" collapsed="false">
      <c r="A1868" s="61" t="n">
        <f aca="false">INDEX(Datos_Origen!$A$2:$A$2459,$Z1868)</f>
        <v>1867</v>
      </c>
      <c r="B1868" s="62" t="n">
        <f aca="false">IF(ISNUMBER($AB1868),$AB1868,IF(MID($AB1868,5,1)="-",DATE(VALUE(LEFT($AB1868,4)),VALUE(MID($AB1868,6,2)),VALUE(RIGHT($AB1868,2))),DATE(VALUE(RIGHT($AB1868,4)),VALUE(MID($AB1868,4,2)),VALUE(LEFT($AB1868,2)))))</f>
        <v>45840</v>
      </c>
      <c r="C1868" s="61" t="n">
        <f aca="false">YEAR($B1868)</f>
        <v>2025</v>
      </c>
      <c r="D1868" s="61" t="str">
        <f aca="false">"Q"&amp;ROUNDUP(MONTH($B1868)/3,0)</f>
        <v>Q3</v>
      </c>
      <c r="E1868" s="61" t="n">
        <f aca="false">MONTH($B1868)</f>
        <v>7</v>
      </c>
      <c r="F1868" s="61" t="str">
        <f aca="false">INDEX(Parametros!$I$5:$I$16,$E1868)</f>
        <v>Jul</v>
      </c>
      <c r="G1868" s="61" t="str">
        <f aca="false">TEXT($C1868,"0000")&amp;"-"&amp;TEXT($E1868,"00")</f>
        <v>2025-07</v>
      </c>
      <c r="H1868" s="61" t="str">
        <f aca="false">INDEX(Parametros!$C$71:$C$91,MATCH(TRIM(INDEX(Datos_Origen!$C$2:$C$2459,$Z1868)),Parametros!$B$71:$B$91,0))</f>
        <v>Cuyo</v>
      </c>
      <c r="I1868" s="61" t="str">
        <f aca="false">IF(TRIM($AD1868)="",INDEX(Parametros!$I$20:$I$24,MATCH($H1868,Parametros!$H$20:$H$24,0)),TRIM($AD1868))</f>
        <v>Mendoza</v>
      </c>
      <c r="J1868" s="61" t="str">
        <f aca="false">INDEX(Parametros!$C$95:$C$106,MATCH(TRIM(INDEX(Datos_Origen!$E$2:$E$2459,$Z1868)),Parametros!$B$95:$B$106,0))</f>
        <v>Tienda fisica</v>
      </c>
      <c r="K1868" s="61" t="str">
        <f aca="false">INDEX(Parametros!$C$48:$C$67,MATCH(TRIM(INDEX(Datos_Origen!$F$2:$F$2459,$Z1868)),Parametros!$B$48:$B$67,0))</f>
        <v>Accesorios</v>
      </c>
      <c r="L1868" s="61" t="str">
        <f aca="false">$K1868&amp;" "&amp;$C1868</f>
        <v>Accesorios 2025</v>
      </c>
      <c r="M1868" s="61" t="str">
        <f aca="false">TRIM(INDEX(Datos_Origen!$G$2:$G$2459,$Z1868))</f>
        <v>Mouse Inalambrico</v>
      </c>
      <c r="N1868" s="61" t="str">
        <f aca="false">$M1868&amp;" "&amp;$C1868</f>
        <v>Mouse Inalambrico 2025</v>
      </c>
      <c r="O1868" s="63" t="n">
        <f aca="false">IF(ISTEXT($AC1868),VALUE($AC1868),$AC1868)</f>
        <v>29</v>
      </c>
      <c r="P1868" s="64" t="n">
        <f aca="false">INDEX(Datos_Origen!$I$2:$I$2459,$Z1868)</f>
        <v>28.11</v>
      </c>
      <c r="Q1868" s="64" t="n">
        <f aca="false">INDEX(Datos_Origen!$J$2:$J$2459,$Z1868)</f>
        <v>13.84</v>
      </c>
      <c r="R1868" s="65" t="n">
        <f aca="false">ROUND($O1868*$P1868,2)</f>
        <v>815.19</v>
      </c>
      <c r="S1868" s="65" t="n">
        <f aca="false">ROUND($O1868*$Q1868,2)</f>
        <v>401.36</v>
      </c>
      <c r="T1868" s="65" t="n">
        <f aca="false">ROUND($R1868*SUMIFS(Parametros!$E$28:$E$43,Parametros!$B$28:$B$43,$J1868,Parametros!$C$28:$C$43,$C1868,Parametros!$D$28:$D$43,$D1868),2)</f>
        <v>10.6</v>
      </c>
      <c r="U1868" s="65" t="n">
        <f aca="false">$R1868-$S1868-$T1868</f>
        <v>403.23</v>
      </c>
      <c r="V1868" s="66" t="n">
        <f aca="false">IFERROR($U1868/$R1868,0)</f>
        <v>0.494645420086115</v>
      </c>
      <c r="W1868" s="67" t="str">
        <f aca="false">IF(AND($V1868&gt;=Parametros!$C$8,$R1868&gt;=Parametros!$C$12),"Alta rentabilidad",IF(OR($V1868&lt;Parametros!$C$11,$R1868&lt;Parametros!$C$13),"Revisar","Estandar"))</f>
        <v>Estandar</v>
      </c>
      <c r="X1868" s="67" t="str">
        <f aca="false">IF(AND($J1868="E-commerce",IFERROR($T1868/$R1868,0)&gt;Parametros!$C$14),"Alerta","OK")</f>
        <v>OK</v>
      </c>
      <c r="Y1868" s="61" t="str">
        <f aca="false">IF($R1868&gt;=Parametros!$C$12,"Alto",IF($R1868&lt;Parametros!$C$13,"Bajo","Medio"))</f>
        <v>Medio</v>
      </c>
      <c r="Z1868" s="61" t="n">
        <v>1465</v>
      </c>
      <c r="AA1868" s="61" t="str">
        <f aca="false">IF(MATCH($A1868,Datos_Origen!$A$2:$A$2459,0)=$Z1868,"OK","REVISAR")</f>
        <v>OK</v>
      </c>
      <c r="AB1868" s="62" t="n">
        <f aca="false">INDEX(Datos_Origen!$B$2:$B$2459,$Z1868)</f>
        <v>45840</v>
      </c>
      <c r="AC1868" s="61" t="str">
        <f aca="false">INDEX(Datos_Origen!$H$2:$H$2459,$Z1868)</f>
        <v>29</v>
      </c>
      <c r="AD1868" s="61" t="str">
        <f aca="false">INDEX(Datos_Origen!$D$2:$D$2459,$Z1868)&amp;""</f>
        <v>Mendoza</v>
      </c>
    </row>
    <row r="1869" customFormat="false" ht="15" hidden="false" customHeight="false" outlineLevel="0" collapsed="false">
      <c r="A1869" s="61" t="n">
        <f aca="false">INDEX(Datos_Origen!$A$2:$A$2459,$Z1869)</f>
        <v>1868</v>
      </c>
      <c r="B1869" s="62" t="n">
        <f aca="false">IF(ISNUMBER($AB1869),$AB1869,IF(MID($AB1869,5,1)="-",DATE(VALUE(LEFT($AB1869,4)),VALUE(MID($AB1869,6,2)),VALUE(RIGHT($AB1869,2))),DATE(VALUE(RIGHT($AB1869,4)),VALUE(MID($AB1869,4,2)),VALUE(LEFT($AB1869,2)))))</f>
        <v>45847</v>
      </c>
      <c r="C1869" s="61" t="n">
        <f aca="false">YEAR($B1869)</f>
        <v>2025</v>
      </c>
      <c r="D1869" s="61" t="str">
        <f aca="false">"Q"&amp;ROUNDUP(MONTH($B1869)/3,0)</f>
        <v>Q3</v>
      </c>
      <c r="E1869" s="61" t="n">
        <f aca="false">MONTH($B1869)</f>
        <v>7</v>
      </c>
      <c r="F1869" s="61" t="str">
        <f aca="false">INDEX(Parametros!$I$5:$I$16,$E1869)</f>
        <v>Jul</v>
      </c>
      <c r="G1869" s="61" t="str">
        <f aca="false">TEXT($C1869,"0000")&amp;"-"&amp;TEXT($E1869,"00")</f>
        <v>2025-07</v>
      </c>
      <c r="H1869" s="61" t="str">
        <f aca="false">INDEX(Parametros!$C$71:$C$91,MATCH(TRIM(INDEX(Datos_Origen!$C$2:$C$2459,$Z1869)),Parametros!$B$71:$B$91,0))</f>
        <v>Cuyo</v>
      </c>
      <c r="I1869" s="61" t="str">
        <f aca="false">IF(TRIM($AD1869)="",INDEX(Parametros!$I$20:$I$24,MATCH($H1869,Parametros!$H$20:$H$24,0)),TRIM($AD1869))</f>
        <v>Mendoza</v>
      </c>
      <c r="J1869" s="61" t="str">
        <f aca="false">INDEX(Parametros!$C$95:$C$106,MATCH(TRIM(INDEX(Datos_Origen!$E$2:$E$2459,$Z1869)),Parametros!$B$95:$B$106,0))</f>
        <v>E-commerce</v>
      </c>
      <c r="K1869" s="61" t="str">
        <f aca="false">INDEX(Parametros!$C$48:$C$67,MATCH(TRIM(INDEX(Datos_Origen!$F$2:$F$2459,$Z1869)),Parametros!$B$48:$B$67,0))</f>
        <v>Accesorios</v>
      </c>
      <c r="L1869" s="61" t="str">
        <f aca="false">$K1869&amp;" "&amp;$C1869</f>
        <v>Accesorios 2025</v>
      </c>
      <c r="M1869" s="61" t="str">
        <f aca="false">TRIM(INDEX(Datos_Origen!$G$2:$G$2459,$Z1869))</f>
        <v>Mouse Inalambrico</v>
      </c>
      <c r="N1869" s="61" t="str">
        <f aca="false">$M1869&amp;" "&amp;$C1869</f>
        <v>Mouse Inalambrico 2025</v>
      </c>
      <c r="O1869" s="63" t="n">
        <f aca="false">IF(ISTEXT($AC1869),VALUE($AC1869),$AC1869)</f>
        <v>25</v>
      </c>
      <c r="P1869" s="64" t="n">
        <f aca="false">INDEX(Datos_Origen!$I$2:$I$2459,$Z1869)</f>
        <v>28.11</v>
      </c>
      <c r="Q1869" s="64" t="n">
        <f aca="false">INDEX(Datos_Origen!$J$2:$J$2459,$Z1869)</f>
        <v>13.84</v>
      </c>
      <c r="R1869" s="65" t="n">
        <f aca="false">ROUND($O1869*$P1869,2)</f>
        <v>702.75</v>
      </c>
      <c r="S1869" s="65" t="n">
        <f aca="false">ROUND($O1869*$Q1869,2)</f>
        <v>346</v>
      </c>
      <c r="T1869" s="65" t="n">
        <f aca="false">ROUND($R1869*SUMIFS(Parametros!$E$28:$E$43,Parametros!$B$28:$B$43,$J1869,Parametros!$C$28:$C$43,$C1869,Parametros!$D$28:$D$43,$D1869),2)</f>
        <v>39.35</v>
      </c>
      <c r="U1869" s="65" t="n">
        <f aca="false">$R1869-$S1869-$T1869</f>
        <v>317.4</v>
      </c>
      <c r="V1869" s="66" t="n">
        <f aca="false">IFERROR($U1869/$R1869,0)</f>
        <v>0.451654215581644</v>
      </c>
      <c r="W1869" s="67" t="str">
        <f aca="false">IF(AND($V1869&gt;=Parametros!$C$8,$R1869&gt;=Parametros!$C$12),"Alta rentabilidad",IF(OR($V1869&lt;Parametros!$C$11,$R1869&lt;Parametros!$C$13),"Revisar","Estandar"))</f>
        <v>Estandar</v>
      </c>
      <c r="X1869" s="67" t="str">
        <f aca="false">IF(AND($J1869="E-commerce",IFERROR($T1869/$R1869,0)&gt;Parametros!$C$14),"Alerta","OK")</f>
        <v>Alerta</v>
      </c>
      <c r="Y1869" s="61" t="str">
        <f aca="false">IF($R1869&gt;=Parametros!$C$12,"Alto",IF($R1869&lt;Parametros!$C$13,"Bajo","Medio"))</f>
        <v>Medio</v>
      </c>
      <c r="Z1869" s="61" t="n">
        <v>357</v>
      </c>
      <c r="AA1869" s="61" t="str">
        <f aca="false">IF(MATCH($A1869,Datos_Origen!$A$2:$A$2459,0)=$Z1869,"OK","REVISAR")</f>
        <v>OK</v>
      </c>
      <c r="AB1869" s="62" t="n">
        <f aca="false">INDEX(Datos_Origen!$B$2:$B$2459,$Z1869)</f>
        <v>45847</v>
      </c>
      <c r="AC1869" s="61" t="n">
        <f aca="false">INDEX(Datos_Origen!$H$2:$H$2459,$Z1869)</f>
        <v>25</v>
      </c>
      <c r="AD1869" s="61" t="str">
        <f aca="false">INDEX(Datos_Origen!$D$2:$D$2459,$Z1869)&amp;""</f>
        <v>Mendoza</v>
      </c>
    </row>
    <row r="1870" customFormat="false" ht="15" hidden="false" customHeight="false" outlineLevel="0" collapsed="false">
      <c r="A1870" s="61" t="n">
        <f aca="false">INDEX(Datos_Origen!$A$2:$A$2459,$Z1870)</f>
        <v>1869</v>
      </c>
      <c r="B1870" s="62" t="n">
        <f aca="false">IF(ISNUMBER($AB1870),$AB1870,IF(MID($AB1870,5,1)="-",DATE(VALUE(LEFT($AB1870,4)),VALUE(MID($AB1870,6,2)),VALUE(RIGHT($AB1870,2))),DATE(VALUE(RIGHT($AB1870,4)),VALUE(MID($AB1870,4,2)),VALUE(LEFT($AB1870,2)))))</f>
        <v>45854</v>
      </c>
      <c r="C1870" s="61" t="n">
        <f aca="false">YEAR($B1870)</f>
        <v>2025</v>
      </c>
      <c r="D1870" s="61" t="str">
        <f aca="false">"Q"&amp;ROUNDUP(MONTH($B1870)/3,0)</f>
        <v>Q3</v>
      </c>
      <c r="E1870" s="61" t="n">
        <f aca="false">MONTH($B1870)</f>
        <v>7</v>
      </c>
      <c r="F1870" s="61" t="str">
        <f aca="false">INDEX(Parametros!$I$5:$I$16,$E1870)</f>
        <v>Jul</v>
      </c>
      <c r="G1870" s="61" t="str">
        <f aca="false">TEXT($C1870,"0000")&amp;"-"&amp;TEXT($E1870,"00")</f>
        <v>2025-07</v>
      </c>
      <c r="H1870" s="61" t="str">
        <f aca="false">INDEX(Parametros!$C$71:$C$91,MATCH(TRIM(INDEX(Datos_Origen!$C$2:$C$2459,$Z1870)),Parametros!$B$71:$B$91,0))</f>
        <v>Cuyo</v>
      </c>
      <c r="I1870" s="61" t="str">
        <f aca="false">IF(TRIM($AD1870)="",INDEX(Parametros!$I$20:$I$24,MATCH($H1870,Parametros!$H$20:$H$24,0)),TRIM($AD1870))</f>
        <v>Mendoza</v>
      </c>
      <c r="J1870" s="61" t="str">
        <f aca="false">INDEX(Parametros!$C$95:$C$106,MATCH(TRIM(INDEX(Datos_Origen!$E$2:$E$2459,$Z1870)),Parametros!$B$95:$B$106,0))</f>
        <v>Tienda fisica</v>
      </c>
      <c r="K1870" s="61" t="str">
        <f aca="false">INDEX(Parametros!$C$48:$C$67,MATCH(TRIM(INDEX(Datos_Origen!$F$2:$F$2459,$Z1870)),Parametros!$B$48:$B$67,0))</f>
        <v>Accesorios</v>
      </c>
      <c r="L1870" s="61" t="str">
        <f aca="false">$K1870&amp;" "&amp;$C1870</f>
        <v>Accesorios 2025</v>
      </c>
      <c r="M1870" s="61" t="str">
        <f aca="false">TRIM(INDEX(Datos_Origen!$G$2:$G$2459,$Z1870))</f>
        <v>Teclado Mecanico</v>
      </c>
      <c r="N1870" s="61" t="str">
        <f aca="false">$M1870&amp;" "&amp;$C1870</f>
        <v>Teclado Mecanico 2025</v>
      </c>
      <c r="O1870" s="63" t="n">
        <f aca="false">IF(ISTEXT($AC1870),VALUE($AC1870),$AC1870)</f>
        <v>32</v>
      </c>
      <c r="P1870" s="64" t="n">
        <f aca="false">INDEX(Datos_Origen!$I$2:$I$2459,$Z1870)</f>
        <v>95.38</v>
      </c>
      <c r="Q1870" s="64" t="n">
        <f aca="false">INDEX(Datos_Origen!$J$2:$J$2459,$Z1870)</f>
        <v>49.41</v>
      </c>
      <c r="R1870" s="65" t="n">
        <f aca="false">ROUND($O1870*$P1870,2)</f>
        <v>3052.16</v>
      </c>
      <c r="S1870" s="65" t="n">
        <f aca="false">ROUND($O1870*$Q1870,2)</f>
        <v>1581.12</v>
      </c>
      <c r="T1870" s="65" t="n">
        <f aca="false">ROUND($R1870*SUMIFS(Parametros!$E$28:$E$43,Parametros!$B$28:$B$43,$J1870,Parametros!$C$28:$C$43,$C1870,Parametros!$D$28:$D$43,$D1870),2)</f>
        <v>39.68</v>
      </c>
      <c r="U1870" s="65" t="n">
        <f aca="false">$R1870-$S1870-$T1870</f>
        <v>1431.36</v>
      </c>
      <c r="V1870" s="66" t="n">
        <f aca="false">IFERROR($U1870/$R1870,0)</f>
        <v>0.46896624030195</v>
      </c>
      <c r="W1870" s="67" t="str">
        <f aca="false">IF(AND($V1870&gt;=Parametros!$C$8,$R1870&gt;=Parametros!$C$12),"Alta rentabilidad",IF(OR($V1870&lt;Parametros!$C$11,$R1870&lt;Parametros!$C$13),"Revisar","Estandar"))</f>
        <v>Alta rentabilidad</v>
      </c>
      <c r="X1870" s="67" t="str">
        <f aca="false">IF(AND($J1870="E-commerce",IFERROR($T1870/$R1870,0)&gt;Parametros!$C$14),"Alerta","OK")</f>
        <v>OK</v>
      </c>
      <c r="Y1870" s="61" t="str">
        <f aca="false">IF($R1870&gt;=Parametros!$C$12,"Alto",IF($R1870&lt;Parametros!$C$13,"Bajo","Medio"))</f>
        <v>Alto</v>
      </c>
      <c r="Z1870" s="61" t="n">
        <v>330</v>
      </c>
      <c r="AA1870" s="61" t="str">
        <f aca="false">IF(MATCH($A1870,Datos_Origen!$A$2:$A$2459,0)=$Z1870,"OK","REVISAR")</f>
        <v>OK</v>
      </c>
      <c r="AB1870" s="61" t="str">
        <f aca="false">INDEX(Datos_Origen!$B$2:$B$2459,$Z1870)</f>
        <v>16/07/2025</v>
      </c>
      <c r="AC1870" s="61" t="n">
        <f aca="false">INDEX(Datos_Origen!$H$2:$H$2459,$Z1870)</f>
        <v>32</v>
      </c>
      <c r="AD1870" s="61" t="str">
        <f aca="false">INDEX(Datos_Origen!$D$2:$D$2459,$Z1870)&amp;""</f>
        <v>Mendoza</v>
      </c>
    </row>
    <row r="1871" customFormat="false" ht="15" hidden="false" customHeight="false" outlineLevel="0" collapsed="false">
      <c r="A1871" s="61" t="n">
        <f aca="false">INDEX(Datos_Origen!$A$2:$A$2459,$Z1871)</f>
        <v>1870</v>
      </c>
      <c r="B1871" s="62" t="n">
        <f aca="false">IF(ISNUMBER($AB1871),$AB1871,IF(MID($AB1871,5,1)="-",DATE(VALUE(LEFT($AB1871,4)),VALUE(MID($AB1871,6,2)),VALUE(RIGHT($AB1871,2))),DATE(VALUE(RIGHT($AB1871,4)),VALUE(MID($AB1871,4,2)),VALUE(LEFT($AB1871,2)))))</f>
        <v>45861</v>
      </c>
      <c r="C1871" s="61" t="n">
        <f aca="false">YEAR($B1871)</f>
        <v>2025</v>
      </c>
      <c r="D1871" s="61" t="str">
        <f aca="false">"Q"&amp;ROUNDUP(MONTH($B1871)/3,0)</f>
        <v>Q3</v>
      </c>
      <c r="E1871" s="61" t="n">
        <f aca="false">MONTH($B1871)</f>
        <v>7</v>
      </c>
      <c r="F1871" s="61" t="str">
        <f aca="false">INDEX(Parametros!$I$5:$I$16,$E1871)</f>
        <v>Jul</v>
      </c>
      <c r="G1871" s="61" t="str">
        <f aca="false">TEXT($C1871,"0000")&amp;"-"&amp;TEXT($E1871,"00")</f>
        <v>2025-07</v>
      </c>
      <c r="H1871" s="61" t="str">
        <f aca="false">INDEX(Parametros!$C$71:$C$91,MATCH(TRIM(INDEX(Datos_Origen!$C$2:$C$2459,$Z1871)),Parametros!$B$71:$B$91,0))</f>
        <v>Cuyo</v>
      </c>
      <c r="I1871" s="61" t="str">
        <f aca="false">IF(TRIM($AD1871)="",INDEX(Parametros!$I$20:$I$24,MATCH($H1871,Parametros!$H$20:$H$24,0)),TRIM($AD1871))</f>
        <v>Mendoza</v>
      </c>
      <c r="J1871" s="61" t="str">
        <f aca="false">INDEX(Parametros!$C$95:$C$106,MATCH(TRIM(INDEX(Datos_Origen!$E$2:$E$2459,$Z1871)),Parametros!$B$95:$B$106,0))</f>
        <v>E-commerce</v>
      </c>
      <c r="K1871" s="61" t="str">
        <f aca="false">INDEX(Parametros!$C$48:$C$67,MATCH(TRIM(INDEX(Datos_Origen!$F$2:$F$2459,$Z1871)),Parametros!$B$48:$B$67,0))</f>
        <v>Accesorios</v>
      </c>
      <c r="L1871" s="61" t="str">
        <f aca="false">$K1871&amp;" "&amp;$C1871</f>
        <v>Accesorios 2025</v>
      </c>
      <c r="M1871" s="61" t="str">
        <f aca="false">TRIM(INDEX(Datos_Origen!$G$2:$G$2459,$Z1871))</f>
        <v>Teclado Mecanico</v>
      </c>
      <c r="N1871" s="61" t="str">
        <f aca="false">$M1871&amp;" "&amp;$C1871</f>
        <v>Teclado Mecanico 2025</v>
      </c>
      <c r="O1871" s="63" t="n">
        <f aca="false">IF(ISTEXT($AC1871),VALUE($AC1871),$AC1871)</f>
        <v>24</v>
      </c>
      <c r="P1871" s="64" t="n">
        <f aca="false">INDEX(Datos_Origen!$I$2:$I$2459,$Z1871)</f>
        <v>95.38</v>
      </c>
      <c r="Q1871" s="64" t="n">
        <f aca="false">INDEX(Datos_Origen!$J$2:$J$2459,$Z1871)</f>
        <v>49.41</v>
      </c>
      <c r="R1871" s="65" t="n">
        <f aca="false">ROUND($O1871*$P1871,2)</f>
        <v>2289.12</v>
      </c>
      <c r="S1871" s="65" t="n">
        <f aca="false">ROUND($O1871*$Q1871,2)</f>
        <v>1185.84</v>
      </c>
      <c r="T1871" s="65" t="n">
        <f aca="false">ROUND($R1871*SUMIFS(Parametros!$E$28:$E$43,Parametros!$B$28:$B$43,$J1871,Parametros!$C$28:$C$43,$C1871,Parametros!$D$28:$D$43,$D1871),2)</f>
        <v>128.19</v>
      </c>
      <c r="U1871" s="65" t="n">
        <f aca="false">$R1871-$S1871-$T1871</f>
        <v>975.09</v>
      </c>
      <c r="V1871" s="66" t="n">
        <f aca="false">IFERROR($U1871/$R1871,0)</f>
        <v>0.425967183895995</v>
      </c>
      <c r="W1871" s="67" t="str">
        <f aca="false">IF(AND($V1871&gt;=Parametros!$C$8,$R1871&gt;=Parametros!$C$12),"Alta rentabilidad",IF(OR($V1871&lt;Parametros!$C$11,$R1871&lt;Parametros!$C$13),"Revisar","Estandar"))</f>
        <v>Estandar</v>
      </c>
      <c r="X1871" s="67" t="str">
        <f aca="false">IF(AND($J1871="E-commerce",IFERROR($T1871/$R1871,0)&gt;Parametros!$C$14),"Alerta","OK")</f>
        <v>Alerta</v>
      </c>
      <c r="Y1871" s="61" t="str">
        <f aca="false">IF($R1871&gt;=Parametros!$C$12,"Alto",IF($R1871&lt;Parametros!$C$13,"Bajo","Medio"))</f>
        <v>Medio</v>
      </c>
      <c r="Z1871" s="61" t="n">
        <v>60</v>
      </c>
      <c r="AA1871" s="61" t="str">
        <f aca="false">IF(MATCH($A1871,Datos_Origen!$A$2:$A$2459,0)=$Z1871,"OK","REVISAR")</f>
        <v>OK</v>
      </c>
      <c r="AB1871" s="62" t="n">
        <f aca="false">INDEX(Datos_Origen!$B$2:$B$2459,$Z1871)</f>
        <v>45861</v>
      </c>
      <c r="AC1871" s="61" t="n">
        <f aca="false">INDEX(Datos_Origen!$H$2:$H$2459,$Z1871)</f>
        <v>24</v>
      </c>
      <c r="AD1871" s="61" t="str">
        <f aca="false">INDEX(Datos_Origen!$D$2:$D$2459,$Z1871)&amp;""</f>
        <v/>
      </c>
    </row>
    <row r="1872" customFormat="false" ht="15" hidden="false" customHeight="false" outlineLevel="0" collapsed="false">
      <c r="A1872" s="61" t="n">
        <f aca="false">INDEX(Datos_Origen!$A$2:$A$2459,$Z1872)</f>
        <v>1871</v>
      </c>
      <c r="B1872" s="62" t="n">
        <f aca="false">IF(ISNUMBER($AB1872),$AB1872,IF(MID($AB1872,5,1)="-",DATE(VALUE(LEFT($AB1872,4)),VALUE(MID($AB1872,6,2)),VALUE(RIGHT($AB1872,2))),DATE(VALUE(RIGHT($AB1872,4)),VALUE(MID($AB1872,4,2)),VALUE(LEFT($AB1872,2)))))</f>
        <v>45841</v>
      </c>
      <c r="C1872" s="61" t="n">
        <f aca="false">YEAR($B1872)</f>
        <v>2025</v>
      </c>
      <c r="D1872" s="61" t="str">
        <f aca="false">"Q"&amp;ROUNDUP(MONTH($B1872)/3,0)</f>
        <v>Q3</v>
      </c>
      <c r="E1872" s="61" t="n">
        <f aca="false">MONTH($B1872)</f>
        <v>7</v>
      </c>
      <c r="F1872" s="61" t="str">
        <f aca="false">INDEX(Parametros!$I$5:$I$16,$E1872)</f>
        <v>Jul</v>
      </c>
      <c r="G1872" s="61" t="str">
        <f aca="false">TEXT($C1872,"0000")&amp;"-"&amp;TEXT($E1872,"00")</f>
        <v>2025-07</v>
      </c>
      <c r="H1872" s="61" t="str">
        <f aca="false">INDEX(Parametros!$C$71:$C$91,MATCH(TRIM(INDEX(Datos_Origen!$C$2:$C$2459,$Z1872)),Parametros!$B$71:$B$91,0))</f>
        <v>Cuyo</v>
      </c>
      <c r="I1872" s="61" t="str">
        <f aca="false">IF(TRIM($AD1872)="",INDEX(Parametros!$I$20:$I$24,MATCH($H1872,Parametros!$H$20:$H$24,0)),TRIM($AD1872))</f>
        <v>Mendoza</v>
      </c>
      <c r="J1872" s="61" t="str">
        <f aca="false">INDEX(Parametros!$C$95:$C$106,MATCH(TRIM(INDEX(Datos_Origen!$E$2:$E$2459,$Z1872)),Parametros!$B$95:$B$106,0))</f>
        <v>Tienda fisica</v>
      </c>
      <c r="K1872" s="61" t="str">
        <f aca="false">INDEX(Parametros!$C$48:$C$67,MATCH(TRIM(INDEX(Datos_Origen!$F$2:$F$2459,$Z1872)),Parametros!$B$48:$B$67,0))</f>
        <v>Accesorios</v>
      </c>
      <c r="L1872" s="61" t="str">
        <f aca="false">$K1872&amp;" "&amp;$C1872</f>
        <v>Accesorios 2025</v>
      </c>
      <c r="M1872" s="61" t="str">
        <f aca="false">TRIM(INDEX(Datos_Origen!$G$2:$G$2459,$Z1872))</f>
        <v>Webcam Full HD</v>
      </c>
      <c r="N1872" s="61" t="str">
        <f aca="false">$M1872&amp;" "&amp;$C1872</f>
        <v>Webcam Full HD 2025</v>
      </c>
      <c r="O1872" s="63" t="n">
        <f aca="false">IF(ISTEXT($AC1872),VALUE($AC1872),$AC1872)</f>
        <v>28</v>
      </c>
      <c r="P1872" s="64" t="n">
        <f aca="false">INDEX(Datos_Origen!$I$2:$I$2459,$Z1872)</f>
        <v>65.26</v>
      </c>
      <c r="Q1872" s="64" t="n">
        <f aca="false">INDEX(Datos_Origen!$J$2:$J$2459,$Z1872)</f>
        <v>36.49</v>
      </c>
      <c r="R1872" s="65" t="n">
        <f aca="false">ROUND($O1872*$P1872,2)</f>
        <v>1827.28</v>
      </c>
      <c r="S1872" s="65" t="n">
        <f aca="false">ROUND($O1872*$Q1872,2)</f>
        <v>1021.72</v>
      </c>
      <c r="T1872" s="65" t="n">
        <f aca="false">ROUND($R1872*SUMIFS(Parametros!$E$28:$E$43,Parametros!$B$28:$B$43,$J1872,Parametros!$C$28:$C$43,$C1872,Parametros!$D$28:$D$43,$D1872),2)</f>
        <v>23.75</v>
      </c>
      <c r="U1872" s="65" t="n">
        <f aca="false">$R1872-$S1872-$T1872</f>
        <v>781.81</v>
      </c>
      <c r="V1872" s="66" t="n">
        <f aca="false">IFERROR($U1872/$R1872,0)</f>
        <v>0.427854516001926</v>
      </c>
      <c r="W1872" s="67" t="str">
        <f aca="false">IF(AND($V1872&gt;=Parametros!$C$8,$R1872&gt;=Parametros!$C$12),"Alta rentabilidad",IF(OR($V1872&lt;Parametros!$C$11,$R1872&lt;Parametros!$C$13),"Revisar","Estandar"))</f>
        <v>Estandar</v>
      </c>
      <c r="X1872" s="67" t="str">
        <f aca="false">IF(AND($J1872="E-commerce",IFERROR($T1872/$R1872,0)&gt;Parametros!$C$14),"Alerta","OK")</f>
        <v>OK</v>
      </c>
      <c r="Y1872" s="61" t="str">
        <f aca="false">IF($R1872&gt;=Parametros!$C$12,"Alto",IF($R1872&lt;Parametros!$C$13,"Bajo","Medio"))</f>
        <v>Medio</v>
      </c>
      <c r="Z1872" s="61" t="n">
        <v>817</v>
      </c>
      <c r="AA1872" s="61" t="str">
        <f aca="false">IF(MATCH($A1872,Datos_Origen!$A$2:$A$2459,0)=$Z1872,"OK","REVISAR")</f>
        <v>OK</v>
      </c>
      <c r="AB1872" s="62" t="n">
        <f aca="false">INDEX(Datos_Origen!$B$2:$B$2459,$Z1872)</f>
        <v>45841</v>
      </c>
      <c r="AC1872" s="61" t="str">
        <f aca="false">INDEX(Datos_Origen!$H$2:$H$2459,$Z1872)</f>
        <v>28</v>
      </c>
      <c r="AD1872" s="61" t="str">
        <f aca="false">INDEX(Datos_Origen!$D$2:$D$2459,$Z1872)&amp;""</f>
        <v>Mendoza</v>
      </c>
    </row>
    <row r="1873" customFormat="false" ht="15" hidden="false" customHeight="false" outlineLevel="0" collapsed="false">
      <c r="A1873" s="61" t="n">
        <f aca="false">INDEX(Datos_Origen!$A$2:$A$2459,$Z1873)</f>
        <v>1872</v>
      </c>
      <c r="B1873" s="62" t="n">
        <f aca="false">IF(ISNUMBER($AB1873),$AB1873,IF(MID($AB1873,5,1)="-",DATE(VALUE(LEFT($AB1873,4)),VALUE(MID($AB1873,6,2)),VALUE(RIGHT($AB1873,2))),DATE(VALUE(RIGHT($AB1873,4)),VALUE(MID($AB1873,4,2)),VALUE(LEFT($AB1873,2)))))</f>
        <v>45848</v>
      </c>
      <c r="C1873" s="61" t="n">
        <f aca="false">YEAR($B1873)</f>
        <v>2025</v>
      </c>
      <c r="D1873" s="61" t="str">
        <f aca="false">"Q"&amp;ROUNDUP(MONTH($B1873)/3,0)</f>
        <v>Q3</v>
      </c>
      <c r="E1873" s="61" t="n">
        <f aca="false">MONTH($B1873)</f>
        <v>7</v>
      </c>
      <c r="F1873" s="61" t="str">
        <f aca="false">INDEX(Parametros!$I$5:$I$16,$E1873)</f>
        <v>Jul</v>
      </c>
      <c r="G1873" s="61" t="str">
        <f aca="false">TEXT($C1873,"0000")&amp;"-"&amp;TEXT($E1873,"00")</f>
        <v>2025-07</v>
      </c>
      <c r="H1873" s="61" t="str">
        <f aca="false">INDEX(Parametros!$C$71:$C$91,MATCH(TRIM(INDEX(Datos_Origen!$C$2:$C$2459,$Z1873)),Parametros!$B$71:$B$91,0))</f>
        <v>Cuyo</v>
      </c>
      <c r="I1873" s="61" t="str">
        <f aca="false">IF(TRIM($AD1873)="",INDEX(Parametros!$I$20:$I$24,MATCH($H1873,Parametros!$H$20:$H$24,0)),TRIM($AD1873))</f>
        <v>Mendoza</v>
      </c>
      <c r="J1873" s="61" t="str">
        <f aca="false">INDEX(Parametros!$C$95:$C$106,MATCH(TRIM(INDEX(Datos_Origen!$E$2:$E$2459,$Z1873)),Parametros!$B$95:$B$106,0))</f>
        <v>E-commerce</v>
      </c>
      <c r="K1873" s="61" t="str">
        <f aca="false">INDEX(Parametros!$C$48:$C$67,MATCH(TRIM(INDEX(Datos_Origen!$F$2:$F$2459,$Z1873)),Parametros!$B$48:$B$67,0))</f>
        <v>Accesorios</v>
      </c>
      <c r="L1873" s="61" t="str">
        <f aca="false">$K1873&amp;" "&amp;$C1873</f>
        <v>Accesorios 2025</v>
      </c>
      <c r="M1873" s="61" t="str">
        <f aca="false">TRIM(INDEX(Datos_Origen!$G$2:$G$2459,$Z1873))</f>
        <v>Webcam Full HD</v>
      </c>
      <c r="N1873" s="61" t="str">
        <f aca="false">$M1873&amp;" "&amp;$C1873</f>
        <v>Webcam Full HD 2025</v>
      </c>
      <c r="O1873" s="63" t="n">
        <f aca="false">IF(ISTEXT($AC1873),VALUE($AC1873),$AC1873)</f>
        <v>25</v>
      </c>
      <c r="P1873" s="64" t="n">
        <f aca="false">INDEX(Datos_Origen!$I$2:$I$2459,$Z1873)</f>
        <v>65.26</v>
      </c>
      <c r="Q1873" s="64" t="n">
        <f aca="false">INDEX(Datos_Origen!$J$2:$J$2459,$Z1873)</f>
        <v>36.49</v>
      </c>
      <c r="R1873" s="65" t="n">
        <f aca="false">ROUND($O1873*$P1873,2)</f>
        <v>1631.5</v>
      </c>
      <c r="S1873" s="65" t="n">
        <f aca="false">ROUND($O1873*$Q1873,2)</f>
        <v>912.25</v>
      </c>
      <c r="T1873" s="65" t="n">
        <f aca="false">ROUND($R1873*SUMIFS(Parametros!$E$28:$E$43,Parametros!$B$28:$B$43,$J1873,Parametros!$C$28:$C$43,$C1873,Parametros!$D$28:$D$43,$D1873),2)</f>
        <v>91.36</v>
      </c>
      <c r="U1873" s="65" t="n">
        <f aca="false">$R1873-$S1873-$T1873</f>
        <v>627.89</v>
      </c>
      <c r="V1873" s="66" t="n">
        <f aca="false">IFERROR($U1873/$R1873,0)</f>
        <v>0.384854428440086</v>
      </c>
      <c r="W1873" s="67" t="str">
        <f aca="false">IF(AND($V1873&gt;=Parametros!$C$8,$R1873&gt;=Parametros!$C$12),"Alta rentabilidad",IF(OR($V1873&lt;Parametros!$C$11,$R1873&lt;Parametros!$C$13),"Revisar","Estandar"))</f>
        <v>Estandar</v>
      </c>
      <c r="X1873" s="67" t="str">
        <f aca="false">IF(AND($J1873="E-commerce",IFERROR($T1873/$R1873,0)&gt;Parametros!$C$14),"Alerta","OK")</f>
        <v>Alerta</v>
      </c>
      <c r="Y1873" s="61" t="str">
        <f aca="false">IF($R1873&gt;=Parametros!$C$12,"Alto",IF($R1873&lt;Parametros!$C$13,"Bajo","Medio"))</f>
        <v>Medio</v>
      </c>
      <c r="Z1873" s="61" t="n">
        <v>1430</v>
      </c>
      <c r="AA1873" s="61" t="str">
        <f aca="false">IF(MATCH($A1873,Datos_Origen!$A$2:$A$2459,0)=$Z1873,"OK","REVISAR")</f>
        <v>OK</v>
      </c>
      <c r="AB1873" s="61" t="str">
        <f aca="false">INDEX(Datos_Origen!$B$2:$B$2459,$Z1873)</f>
        <v>2025-07-10</v>
      </c>
      <c r="AC1873" s="61" t="str">
        <f aca="false">INDEX(Datos_Origen!$H$2:$H$2459,$Z1873)</f>
        <v>25</v>
      </c>
      <c r="AD1873" s="61" t="str">
        <f aca="false">INDEX(Datos_Origen!$D$2:$D$2459,$Z1873)&amp;""</f>
        <v>Mendoza</v>
      </c>
    </row>
    <row r="1874" customFormat="false" ht="15" hidden="false" customHeight="false" outlineLevel="0" collapsed="false">
      <c r="A1874" s="61" t="n">
        <f aca="false">INDEX(Datos_Origen!$A$2:$A$2459,$Z1874)</f>
        <v>1873</v>
      </c>
      <c r="B1874" s="62" t="n">
        <f aca="false">IF(ISNUMBER($AB1874),$AB1874,IF(MID($AB1874,5,1)="-",DATE(VALUE(LEFT($AB1874,4)),VALUE(MID($AB1874,6,2)),VALUE(RIGHT($AB1874,2))),DATE(VALUE(RIGHT($AB1874,4)),VALUE(MID($AB1874,4,2)),VALUE(LEFT($AB1874,2)))))</f>
        <v>45855</v>
      </c>
      <c r="C1874" s="61" t="n">
        <f aca="false">YEAR($B1874)</f>
        <v>2025</v>
      </c>
      <c r="D1874" s="61" t="str">
        <f aca="false">"Q"&amp;ROUNDUP(MONTH($B1874)/3,0)</f>
        <v>Q3</v>
      </c>
      <c r="E1874" s="61" t="n">
        <f aca="false">MONTH($B1874)</f>
        <v>7</v>
      </c>
      <c r="F1874" s="61" t="str">
        <f aca="false">INDEX(Parametros!$I$5:$I$16,$E1874)</f>
        <v>Jul</v>
      </c>
      <c r="G1874" s="61" t="str">
        <f aca="false">TEXT($C1874,"0000")&amp;"-"&amp;TEXT($E1874,"00")</f>
        <v>2025-07</v>
      </c>
      <c r="H1874" s="61" t="str">
        <f aca="false">INDEX(Parametros!$C$71:$C$91,MATCH(TRIM(INDEX(Datos_Origen!$C$2:$C$2459,$Z1874)),Parametros!$B$71:$B$91,0))</f>
        <v>Cuyo</v>
      </c>
      <c r="I1874" s="61" t="str">
        <f aca="false">IF(TRIM($AD1874)="",INDEX(Parametros!$I$20:$I$24,MATCH($H1874,Parametros!$H$20:$H$24,0)),TRIM($AD1874))</f>
        <v>Mendoza</v>
      </c>
      <c r="J1874" s="61" t="str">
        <f aca="false">INDEX(Parametros!$C$95:$C$106,MATCH(TRIM(INDEX(Datos_Origen!$E$2:$E$2459,$Z1874)),Parametros!$B$95:$B$106,0))</f>
        <v>Tienda fisica</v>
      </c>
      <c r="K1874" s="61" t="str">
        <f aca="false">INDEX(Parametros!$C$48:$C$67,MATCH(TRIM(INDEX(Datos_Origen!$F$2:$F$2459,$Z1874)),Parametros!$B$48:$B$67,0))</f>
        <v>Audio</v>
      </c>
      <c r="L1874" s="61" t="str">
        <f aca="false">$K1874&amp;" "&amp;$C1874</f>
        <v>Audio 2025</v>
      </c>
      <c r="M1874" s="61" t="str">
        <f aca="false">TRIM(INDEX(Datos_Origen!$G$2:$G$2459,$Z1874))</f>
        <v>Auriculares BT Pro</v>
      </c>
      <c r="N1874" s="61" t="str">
        <f aca="false">$M1874&amp;" "&amp;$C1874</f>
        <v>Auriculares BT Pro 2025</v>
      </c>
      <c r="O1874" s="63" t="n">
        <f aca="false">IF(ISTEXT($AC1874),VALUE($AC1874),$AC1874)</f>
        <v>13</v>
      </c>
      <c r="P1874" s="64" t="n">
        <f aca="false">INDEX(Datos_Origen!$I$2:$I$2459,$Z1874)</f>
        <v>120.47</v>
      </c>
      <c r="Q1874" s="64" t="n">
        <f aca="false">INDEX(Datos_Origen!$J$2:$J$2459,$Z1874)</f>
        <v>65.51</v>
      </c>
      <c r="R1874" s="65" t="n">
        <f aca="false">ROUND($O1874*$P1874,2)</f>
        <v>1566.11</v>
      </c>
      <c r="S1874" s="65" t="n">
        <f aca="false">ROUND($O1874*$Q1874,2)</f>
        <v>851.63</v>
      </c>
      <c r="T1874" s="65" t="n">
        <f aca="false">ROUND($R1874*SUMIFS(Parametros!$E$28:$E$43,Parametros!$B$28:$B$43,$J1874,Parametros!$C$28:$C$43,$C1874,Parametros!$D$28:$D$43,$D1874),2)</f>
        <v>20.36</v>
      </c>
      <c r="U1874" s="65" t="n">
        <f aca="false">$R1874-$S1874-$T1874</f>
        <v>694.12</v>
      </c>
      <c r="V1874" s="66" t="n">
        <f aca="false">IFERROR($U1874/$R1874,0)</f>
        <v>0.443212801144236</v>
      </c>
      <c r="W1874" s="67" t="str">
        <f aca="false">IF(AND($V1874&gt;=Parametros!$C$8,$R1874&gt;=Parametros!$C$12),"Alta rentabilidad",IF(OR($V1874&lt;Parametros!$C$11,$R1874&lt;Parametros!$C$13),"Revisar","Estandar"))</f>
        <v>Estandar</v>
      </c>
      <c r="X1874" s="67" t="str">
        <f aca="false">IF(AND($J1874="E-commerce",IFERROR($T1874/$R1874,0)&gt;Parametros!$C$14),"Alerta","OK")</f>
        <v>OK</v>
      </c>
      <c r="Y1874" s="61" t="str">
        <f aca="false">IF($R1874&gt;=Parametros!$C$12,"Alto",IF($R1874&lt;Parametros!$C$13,"Bajo","Medio"))</f>
        <v>Medio</v>
      </c>
      <c r="Z1874" s="61" t="n">
        <v>350</v>
      </c>
      <c r="AA1874" s="61" t="str">
        <f aca="false">IF(MATCH($A1874,Datos_Origen!$A$2:$A$2459,0)=$Z1874,"OK","REVISAR")</f>
        <v>OK</v>
      </c>
      <c r="AB1874" s="62" t="n">
        <f aca="false">INDEX(Datos_Origen!$B$2:$B$2459,$Z1874)</f>
        <v>45855</v>
      </c>
      <c r="AC1874" s="61" t="n">
        <f aca="false">INDEX(Datos_Origen!$H$2:$H$2459,$Z1874)</f>
        <v>13</v>
      </c>
      <c r="AD1874" s="61" t="str">
        <f aca="false">INDEX(Datos_Origen!$D$2:$D$2459,$Z1874)&amp;""</f>
        <v>Mendoza</v>
      </c>
    </row>
    <row r="1875" customFormat="false" ht="15" hidden="false" customHeight="false" outlineLevel="0" collapsed="false">
      <c r="A1875" s="61" t="n">
        <f aca="false">INDEX(Datos_Origen!$A$2:$A$2459,$Z1875)</f>
        <v>1874</v>
      </c>
      <c r="B1875" s="62" t="n">
        <f aca="false">IF(ISNUMBER($AB1875),$AB1875,IF(MID($AB1875,5,1)="-",DATE(VALUE(LEFT($AB1875,4)),VALUE(MID($AB1875,6,2)),VALUE(RIGHT($AB1875,2))),DATE(VALUE(RIGHT($AB1875,4)),VALUE(MID($AB1875,4,2)),VALUE(LEFT($AB1875,2)))))</f>
        <v>45862</v>
      </c>
      <c r="C1875" s="61" t="n">
        <f aca="false">YEAR($B1875)</f>
        <v>2025</v>
      </c>
      <c r="D1875" s="61" t="str">
        <f aca="false">"Q"&amp;ROUNDUP(MONTH($B1875)/3,0)</f>
        <v>Q3</v>
      </c>
      <c r="E1875" s="61" t="n">
        <f aca="false">MONTH($B1875)</f>
        <v>7</v>
      </c>
      <c r="F1875" s="61" t="str">
        <f aca="false">INDEX(Parametros!$I$5:$I$16,$E1875)</f>
        <v>Jul</v>
      </c>
      <c r="G1875" s="61" t="str">
        <f aca="false">TEXT($C1875,"0000")&amp;"-"&amp;TEXT($E1875,"00")</f>
        <v>2025-07</v>
      </c>
      <c r="H1875" s="61" t="str">
        <f aca="false">INDEX(Parametros!$C$71:$C$91,MATCH(TRIM(INDEX(Datos_Origen!$C$2:$C$2459,$Z1875)),Parametros!$B$71:$B$91,0))</f>
        <v>Cuyo</v>
      </c>
      <c r="I1875" s="61" t="str">
        <f aca="false">IF(TRIM($AD1875)="",INDEX(Parametros!$I$20:$I$24,MATCH($H1875,Parametros!$H$20:$H$24,0)),TRIM($AD1875))</f>
        <v>Mendoza</v>
      </c>
      <c r="J1875" s="61" t="str">
        <f aca="false">INDEX(Parametros!$C$95:$C$106,MATCH(TRIM(INDEX(Datos_Origen!$E$2:$E$2459,$Z1875)),Parametros!$B$95:$B$106,0))</f>
        <v>E-commerce</v>
      </c>
      <c r="K1875" s="61" t="str">
        <f aca="false">INDEX(Parametros!$C$48:$C$67,MATCH(TRIM(INDEX(Datos_Origen!$F$2:$F$2459,$Z1875)),Parametros!$B$48:$B$67,0))</f>
        <v>Audio</v>
      </c>
      <c r="L1875" s="61" t="str">
        <f aca="false">$K1875&amp;" "&amp;$C1875</f>
        <v>Audio 2025</v>
      </c>
      <c r="M1875" s="61" t="str">
        <f aca="false">TRIM(INDEX(Datos_Origen!$G$2:$G$2459,$Z1875))</f>
        <v>Auriculares BT Pro</v>
      </c>
      <c r="N1875" s="61" t="str">
        <f aca="false">$M1875&amp;" "&amp;$C1875</f>
        <v>Auriculares BT Pro 2025</v>
      </c>
      <c r="O1875" s="63" t="n">
        <f aca="false">IF(ISTEXT($AC1875),VALUE($AC1875),$AC1875)</f>
        <v>11</v>
      </c>
      <c r="P1875" s="64" t="n">
        <f aca="false">INDEX(Datos_Origen!$I$2:$I$2459,$Z1875)</f>
        <v>120.47</v>
      </c>
      <c r="Q1875" s="64" t="n">
        <f aca="false">INDEX(Datos_Origen!$J$2:$J$2459,$Z1875)</f>
        <v>65.51</v>
      </c>
      <c r="R1875" s="65" t="n">
        <f aca="false">ROUND($O1875*$P1875,2)</f>
        <v>1325.17</v>
      </c>
      <c r="S1875" s="65" t="n">
        <f aca="false">ROUND($O1875*$Q1875,2)</f>
        <v>720.61</v>
      </c>
      <c r="T1875" s="65" t="n">
        <f aca="false">ROUND($R1875*SUMIFS(Parametros!$E$28:$E$43,Parametros!$B$28:$B$43,$J1875,Parametros!$C$28:$C$43,$C1875,Parametros!$D$28:$D$43,$D1875),2)</f>
        <v>74.21</v>
      </c>
      <c r="U1875" s="65" t="n">
        <f aca="false">$R1875-$S1875-$T1875</f>
        <v>530.35</v>
      </c>
      <c r="V1875" s="66" t="n">
        <f aca="false">IFERROR($U1875/$R1875,0)</f>
        <v>0.400212802885668</v>
      </c>
      <c r="W1875" s="67" t="str">
        <f aca="false">IF(AND($V1875&gt;=Parametros!$C$8,$R1875&gt;=Parametros!$C$12),"Alta rentabilidad",IF(OR($V1875&lt;Parametros!$C$11,$R1875&lt;Parametros!$C$13),"Revisar","Estandar"))</f>
        <v>Estandar</v>
      </c>
      <c r="X1875" s="67" t="str">
        <f aca="false">IF(AND($J1875="E-commerce",IFERROR($T1875/$R1875,0)&gt;Parametros!$C$14),"Alerta","OK")</f>
        <v>Alerta</v>
      </c>
      <c r="Y1875" s="61" t="str">
        <f aca="false">IF($R1875&gt;=Parametros!$C$12,"Alto",IF($R1875&lt;Parametros!$C$13,"Bajo","Medio"))</f>
        <v>Medio</v>
      </c>
      <c r="Z1875" s="61" t="n">
        <v>1418</v>
      </c>
      <c r="AA1875" s="61" t="str">
        <f aca="false">IF(MATCH($A1875,Datos_Origen!$A$2:$A$2459,0)=$Z1875,"OK","REVISAR")</f>
        <v>OK</v>
      </c>
      <c r="AB1875" s="61" t="str">
        <f aca="false">INDEX(Datos_Origen!$B$2:$B$2459,$Z1875)</f>
        <v>24/07/2025</v>
      </c>
      <c r="AC1875" s="61" t="n">
        <f aca="false">INDEX(Datos_Origen!$H$2:$H$2459,$Z1875)</f>
        <v>11</v>
      </c>
      <c r="AD1875" s="61" t="str">
        <f aca="false">INDEX(Datos_Origen!$D$2:$D$2459,$Z1875)&amp;""</f>
        <v>Mendoza</v>
      </c>
    </row>
    <row r="1876" customFormat="false" ht="15" hidden="false" customHeight="false" outlineLevel="0" collapsed="false">
      <c r="A1876" s="61" t="n">
        <f aca="false">INDEX(Datos_Origen!$A$2:$A$2459,$Z1876)</f>
        <v>1875</v>
      </c>
      <c r="B1876" s="62" t="n">
        <f aca="false">IF(ISNUMBER($AB1876),$AB1876,IF(MID($AB1876,5,1)="-",DATE(VALUE(LEFT($AB1876,4)),VALUE(MID($AB1876,6,2)),VALUE(RIGHT($AB1876,2))),DATE(VALUE(RIGHT($AB1876,4)),VALUE(MID($AB1876,4,2)),VALUE(LEFT($AB1876,2)))))</f>
        <v>45842</v>
      </c>
      <c r="C1876" s="61" t="n">
        <f aca="false">YEAR($B1876)</f>
        <v>2025</v>
      </c>
      <c r="D1876" s="61" t="str">
        <f aca="false">"Q"&amp;ROUNDUP(MONTH($B1876)/3,0)</f>
        <v>Q3</v>
      </c>
      <c r="E1876" s="61" t="n">
        <f aca="false">MONTH($B1876)</f>
        <v>7</v>
      </c>
      <c r="F1876" s="61" t="str">
        <f aca="false">INDEX(Parametros!$I$5:$I$16,$E1876)</f>
        <v>Jul</v>
      </c>
      <c r="G1876" s="61" t="str">
        <f aca="false">TEXT($C1876,"0000")&amp;"-"&amp;TEXT($E1876,"00")</f>
        <v>2025-07</v>
      </c>
      <c r="H1876" s="61" t="str">
        <f aca="false">INDEX(Parametros!$C$71:$C$91,MATCH(TRIM(INDEX(Datos_Origen!$C$2:$C$2459,$Z1876)),Parametros!$B$71:$B$91,0))</f>
        <v>Cuyo</v>
      </c>
      <c r="I1876" s="61" t="str">
        <f aca="false">IF(TRIM($AD1876)="",INDEX(Parametros!$I$20:$I$24,MATCH($H1876,Parametros!$H$20:$H$24,0)),TRIM($AD1876))</f>
        <v>Mendoza</v>
      </c>
      <c r="J1876" s="61" t="str">
        <f aca="false">INDEX(Parametros!$C$95:$C$106,MATCH(TRIM(INDEX(Datos_Origen!$E$2:$E$2459,$Z1876)),Parametros!$B$95:$B$106,0))</f>
        <v>Tienda fisica</v>
      </c>
      <c r="K1876" s="61" t="str">
        <f aca="false">INDEX(Parametros!$C$48:$C$67,MATCH(TRIM(INDEX(Datos_Origen!$F$2:$F$2459,$Z1876)),Parametros!$B$48:$B$67,0))</f>
        <v>Audio</v>
      </c>
      <c r="L1876" s="61" t="str">
        <f aca="false">$K1876&amp;" "&amp;$C1876</f>
        <v>Audio 2025</v>
      </c>
      <c r="M1876" s="61" t="str">
        <f aca="false">TRIM(INDEX(Datos_Origen!$G$2:$G$2459,$Z1876))</f>
        <v>Parlante Bluetooth</v>
      </c>
      <c r="N1876" s="61" t="str">
        <f aca="false">$M1876&amp;" "&amp;$C1876</f>
        <v>Parlante Bluetooth 2025</v>
      </c>
      <c r="O1876" s="63" t="n">
        <f aca="false">IF(ISTEXT($AC1876),VALUE($AC1876),$AC1876)</f>
        <v>14</v>
      </c>
      <c r="P1876" s="64" t="n">
        <f aca="false">INDEX(Datos_Origen!$I$2:$I$2459,$Z1876)</f>
        <v>85.34</v>
      </c>
      <c r="Q1876" s="64" t="n">
        <f aca="false">INDEX(Datos_Origen!$J$2:$J$2459,$Z1876)</f>
        <v>49.47</v>
      </c>
      <c r="R1876" s="65" t="n">
        <f aca="false">ROUND($O1876*$P1876,2)</f>
        <v>1194.76</v>
      </c>
      <c r="S1876" s="65" t="n">
        <f aca="false">ROUND($O1876*$Q1876,2)</f>
        <v>692.58</v>
      </c>
      <c r="T1876" s="65" t="n">
        <f aca="false">ROUND($R1876*SUMIFS(Parametros!$E$28:$E$43,Parametros!$B$28:$B$43,$J1876,Parametros!$C$28:$C$43,$C1876,Parametros!$D$28:$D$43,$D1876),2)</f>
        <v>15.53</v>
      </c>
      <c r="U1876" s="65" t="n">
        <f aca="false">$R1876-$S1876-$T1876</f>
        <v>486.65</v>
      </c>
      <c r="V1876" s="66" t="n">
        <f aca="false">IFERROR($U1876/$R1876,0)</f>
        <v>0.407320298637383</v>
      </c>
      <c r="W1876" s="67" t="str">
        <f aca="false">IF(AND($V1876&gt;=Parametros!$C$8,$R1876&gt;=Parametros!$C$12),"Alta rentabilidad",IF(OR($V1876&lt;Parametros!$C$11,$R1876&lt;Parametros!$C$13),"Revisar","Estandar"))</f>
        <v>Estandar</v>
      </c>
      <c r="X1876" s="67" t="str">
        <f aca="false">IF(AND($J1876="E-commerce",IFERROR($T1876/$R1876,0)&gt;Parametros!$C$14),"Alerta","OK")</f>
        <v>OK</v>
      </c>
      <c r="Y1876" s="61" t="str">
        <f aca="false">IF($R1876&gt;=Parametros!$C$12,"Alto",IF($R1876&lt;Parametros!$C$13,"Bajo","Medio"))</f>
        <v>Medio</v>
      </c>
      <c r="Z1876" s="61" t="n">
        <v>2126</v>
      </c>
      <c r="AA1876" s="61" t="str">
        <f aca="false">IF(MATCH($A1876,Datos_Origen!$A$2:$A$2459,0)=$Z1876,"OK","REVISAR")</f>
        <v>OK</v>
      </c>
      <c r="AB1876" s="62" t="n">
        <f aca="false">INDEX(Datos_Origen!$B$2:$B$2459,$Z1876)</f>
        <v>45842</v>
      </c>
      <c r="AC1876" s="61" t="n">
        <f aca="false">INDEX(Datos_Origen!$H$2:$H$2459,$Z1876)</f>
        <v>14</v>
      </c>
      <c r="AD1876" s="61" t="str">
        <f aca="false">INDEX(Datos_Origen!$D$2:$D$2459,$Z1876)&amp;""</f>
        <v>Mendoza</v>
      </c>
    </row>
    <row r="1877" customFormat="false" ht="15" hidden="false" customHeight="false" outlineLevel="0" collapsed="false">
      <c r="A1877" s="61" t="n">
        <f aca="false">INDEX(Datos_Origen!$A$2:$A$2459,$Z1877)</f>
        <v>1876</v>
      </c>
      <c r="B1877" s="62" t="n">
        <f aca="false">IF(ISNUMBER($AB1877),$AB1877,IF(MID($AB1877,5,1)="-",DATE(VALUE(LEFT($AB1877,4)),VALUE(MID($AB1877,6,2)),VALUE(RIGHT($AB1877,2))),DATE(VALUE(RIGHT($AB1877,4)),VALUE(MID($AB1877,4,2)),VALUE(LEFT($AB1877,2)))))</f>
        <v>45849</v>
      </c>
      <c r="C1877" s="61" t="n">
        <f aca="false">YEAR($B1877)</f>
        <v>2025</v>
      </c>
      <c r="D1877" s="61" t="str">
        <f aca="false">"Q"&amp;ROUNDUP(MONTH($B1877)/3,0)</f>
        <v>Q3</v>
      </c>
      <c r="E1877" s="61" t="n">
        <f aca="false">MONTH($B1877)</f>
        <v>7</v>
      </c>
      <c r="F1877" s="61" t="str">
        <f aca="false">INDEX(Parametros!$I$5:$I$16,$E1877)</f>
        <v>Jul</v>
      </c>
      <c r="G1877" s="61" t="str">
        <f aca="false">TEXT($C1877,"0000")&amp;"-"&amp;TEXT($E1877,"00")</f>
        <v>2025-07</v>
      </c>
      <c r="H1877" s="61" t="str">
        <f aca="false">INDEX(Parametros!$C$71:$C$91,MATCH(TRIM(INDEX(Datos_Origen!$C$2:$C$2459,$Z1877)),Parametros!$B$71:$B$91,0))</f>
        <v>Cuyo</v>
      </c>
      <c r="I1877" s="61" t="str">
        <f aca="false">IF(TRIM($AD1877)="",INDEX(Parametros!$I$20:$I$24,MATCH($H1877,Parametros!$H$20:$H$24,0)),TRIM($AD1877))</f>
        <v>Mendoza</v>
      </c>
      <c r="J1877" s="61" t="str">
        <f aca="false">INDEX(Parametros!$C$95:$C$106,MATCH(TRIM(INDEX(Datos_Origen!$E$2:$E$2459,$Z1877)),Parametros!$B$95:$B$106,0))</f>
        <v>E-commerce</v>
      </c>
      <c r="K1877" s="61" t="str">
        <f aca="false">INDEX(Parametros!$C$48:$C$67,MATCH(TRIM(INDEX(Datos_Origen!$F$2:$F$2459,$Z1877)),Parametros!$B$48:$B$67,0))</f>
        <v>Audio</v>
      </c>
      <c r="L1877" s="61" t="str">
        <f aca="false">$K1877&amp;" "&amp;$C1877</f>
        <v>Audio 2025</v>
      </c>
      <c r="M1877" s="61" t="str">
        <f aca="false">TRIM(INDEX(Datos_Origen!$G$2:$G$2459,$Z1877))</f>
        <v>Parlante Bluetooth</v>
      </c>
      <c r="N1877" s="61" t="str">
        <f aca="false">$M1877&amp;" "&amp;$C1877</f>
        <v>Parlante Bluetooth 2025</v>
      </c>
      <c r="O1877" s="63" t="n">
        <f aca="false">IF(ISTEXT($AC1877),VALUE($AC1877),$AC1877)</f>
        <v>11</v>
      </c>
      <c r="P1877" s="64" t="n">
        <f aca="false">INDEX(Datos_Origen!$I$2:$I$2459,$Z1877)</f>
        <v>85.34</v>
      </c>
      <c r="Q1877" s="64" t="n">
        <f aca="false">INDEX(Datos_Origen!$J$2:$J$2459,$Z1877)</f>
        <v>49.47</v>
      </c>
      <c r="R1877" s="65" t="n">
        <f aca="false">ROUND($O1877*$P1877,2)</f>
        <v>938.74</v>
      </c>
      <c r="S1877" s="65" t="n">
        <f aca="false">ROUND($O1877*$Q1877,2)</f>
        <v>544.17</v>
      </c>
      <c r="T1877" s="65" t="n">
        <f aca="false">ROUND($R1877*SUMIFS(Parametros!$E$28:$E$43,Parametros!$B$28:$B$43,$J1877,Parametros!$C$28:$C$43,$C1877,Parametros!$D$28:$D$43,$D1877),2)</f>
        <v>52.57</v>
      </c>
      <c r="U1877" s="65" t="n">
        <f aca="false">$R1877-$S1877-$T1877</f>
        <v>342</v>
      </c>
      <c r="V1877" s="66" t="n">
        <f aca="false">IFERROR($U1877/$R1877,0)</f>
        <v>0.364318128555298</v>
      </c>
      <c r="W1877" s="67" t="str">
        <f aca="false">IF(AND($V1877&gt;=Parametros!$C$8,$R1877&gt;=Parametros!$C$12),"Alta rentabilidad",IF(OR($V1877&lt;Parametros!$C$11,$R1877&lt;Parametros!$C$13),"Revisar","Estandar"))</f>
        <v>Estandar</v>
      </c>
      <c r="X1877" s="67" t="str">
        <f aca="false">IF(AND($J1877="E-commerce",IFERROR($T1877/$R1877,0)&gt;Parametros!$C$14),"Alerta","OK")</f>
        <v>Alerta</v>
      </c>
      <c r="Y1877" s="61" t="str">
        <f aca="false">IF($R1877&gt;=Parametros!$C$12,"Alto",IF($R1877&lt;Parametros!$C$13,"Bajo","Medio"))</f>
        <v>Medio</v>
      </c>
      <c r="Z1877" s="61" t="n">
        <v>922</v>
      </c>
      <c r="AA1877" s="61" t="str">
        <f aca="false">IF(MATCH($A1877,Datos_Origen!$A$2:$A$2459,0)=$Z1877,"OK","REVISAR")</f>
        <v>OK</v>
      </c>
      <c r="AB1877" s="62" t="n">
        <f aca="false">INDEX(Datos_Origen!$B$2:$B$2459,$Z1877)</f>
        <v>45849</v>
      </c>
      <c r="AC1877" s="61" t="n">
        <f aca="false">INDEX(Datos_Origen!$H$2:$H$2459,$Z1877)</f>
        <v>11</v>
      </c>
      <c r="AD1877" s="61" t="str">
        <f aca="false">INDEX(Datos_Origen!$D$2:$D$2459,$Z1877)&amp;""</f>
        <v/>
      </c>
    </row>
    <row r="1878" customFormat="false" ht="15" hidden="false" customHeight="false" outlineLevel="0" collapsed="false">
      <c r="A1878" s="61" t="n">
        <f aca="false">INDEX(Datos_Origen!$A$2:$A$2459,$Z1878)</f>
        <v>1877</v>
      </c>
      <c r="B1878" s="62" t="n">
        <f aca="false">IF(ISNUMBER($AB1878),$AB1878,IF(MID($AB1878,5,1)="-",DATE(VALUE(LEFT($AB1878,4)),VALUE(MID($AB1878,6,2)),VALUE(RIGHT($AB1878,2))),DATE(VALUE(RIGHT($AB1878,4)),VALUE(MID($AB1878,4,2)),VALUE(LEFT($AB1878,2)))))</f>
        <v>45856</v>
      </c>
      <c r="C1878" s="61" t="n">
        <f aca="false">YEAR($B1878)</f>
        <v>2025</v>
      </c>
      <c r="D1878" s="61" t="str">
        <f aca="false">"Q"&amp;ROUNDUP(MONTH($B1878)/3,0)</f>
        <v>Q3</v>
      </c>
      <c r="E1878" s="61" t="n">
        <f aca="false">MONTH($B1878)</f>
        <v>7</v>
      </c>
      <c r="F1878" s="61" t="str">
        <f aca="false">INDEX(Parametros!$I$5:$I$16,$E1878)</f>
        <v>Jul</v>
      </c>
      <c r="G1878" s="61" t="str">
        <f aca="false">TEXT($C1878,"0000")&amp;"-"&amp;TEXT($E1878,"00")</f>
        <v>2025-07</v>
      </c>
      <c r="H1878" s="61" t="str">
        <f aca="false">INDEX(Parametros!$C$71:$C$91,MATCH(TRIM(INDEX(Datos_Origen!$C$2:$C$2459,$Z1878)),Parametros!$B$71:$B$91,0))</f>
        <v>Cuyo</v>
      </c>
      <c r="I1878" s="61" t="str">
        <f aca="false">IF(TRIM($AD1878)="",INDEX(Parametros!$I$20:$I$24,MATCH($H1878,Parametros!$H$20:$H$24,0)),TRIM($AD1878))</f>
        <v>Mendoza</v>
      </c>
      <c r="J1878" s="61" t="str">
        <f aca="false">INDEX(Parametros!$C$95:$C$106,MATCH(TRIM(INDEX(Datos_Origen!$E$2:$E$2459,$Z1878)),Parametros!$B$95:$B$106,0))</f>
        <v>Tienda fisica</v>
      </c>
      <c r="K1878" s="61" t="str">
        <f aca="false">INDEX(Parametros!$C$48:$C$67,MATCH(TRIM(INDEX(Datos_Origen!$F$2:$F$2459,$Z1878)),Parametros!$B$48:$B$67,0))</f>
        <v>Almacenamiento</v>
      </c>
      <c r="L1878" s="61" t="str">
        <f aca="false">$K1878&amp;" "&amp;$C1878</f>
        <v>Almacenamiento 2025</v>
      </c>
      <c r="M1878" s="61" t="str">
        <f aca="false">TRIM(INDEX(Datos_Origen!$G$2:$G$2459,$Z1878))</f>
        <v>SSD Externo 1TB</v>
      </c>
      <c r="N1878" s="61" t="str">
        <f aca="false">$M1878&amp;" "&amp;$C1878</f>
        <v>SSD Externo 1TB 2025</v>
      </c>
      <c r="O1878" s="63" t="n">
        <f aca="false">IF(ISTEXT($AC1878),VALUE($AC1878),$AC1878)</f>
        <v>20</v>
      </c>
      <c r="P1878" s="64" t="n">
        <f aca="false">INDEX(Datos_Origen!$I$2:$I$2459,$Z1878)</f>
        <v>130.51</v>
      </c>
      <c r="Q1878" s="64" t="n">
        <f aca="false">INDEX(Datos_Origen!$J$2:$J$2459,$Z1878)</f>
        <v>78.33</v>
      </c>
      <c r="R1878" s="65" t="n">
        <f aca="false">ROUND($O1878*$P1878,2)</f>
        <v>2610.2</v>
      </c>
      <c r="S1878" s="65" t="n">
        <f aca="false">ROUND($O1878*$Q1878,2)</f>
        <v>1566.6</v>
      </c>
      <c r="T1878" s="65" t="n">
        <f aca="false">ROUND($R1878*SUMIFS(Parametros!$E$28:$E$43,Parametros!$B$28:$B$43,$J1878,Parametros!$C$28:$C$43,$C1878,Parametros!$D$28:$D$43,$D1878),2)</f>
        <v>33.93</v>
      </c>
      <c r="U1878" s="65" t="n">
        <f aca="false">$R1878-$S1878-$T1878</f>
        <v>1009.67</v>
      </c>
      <c r="V1878" s="66" t="n">
        <f aca="false">IFERROR($U1878/$R1878,0)</f>
        <v>0.386817102137767</v>
      </c>
      <c r="W1878" s="67" t="str">
        <f aca="false">IF(AND($V1878&gt;=Parametros!$C$8,$R1878&gt;=Parametros!$C$12),"Alta rentabilidad",IF(OR($V1878&lt;Parametros!$C$11,$R1878&lt;Parametros!$C$13),"Revisar","Estandar"))</f>
        <v>Estandar</v>
      </c>
      <c r="X1878" s="67" t="str">
        <f aca="false">IF(AND($J1878="E-commerce",IFERROR($T1878/$R1878,0)&gt;Parametros!$C$14),"Alerta","OK")</f>
        <v>OK</v>
      </c>
      <c r="Y1878" s="61" t="str">
        <f aca="false">IF($R1878&gt;=Parametros!$C$12,"Alto",IF($R1878&lt;Parametros!$C$13,"Bajo","Medio"))</f>
        <v>Medio</v>
      </c>
      <c r="Z1878" s="61" t="n">
        <v>2047</v>
      </c>
      <c r="AA1878" s="61" t="str">
        <f aca="false">IF(MATCH($A1878,Datos_Origen!$A$2:$A$2459,0)=$Z1878,"OK","REVISAR")</f>
        <v>OK</v>
      </c>
      <c r="AB1878" s="62" t="n">
        <f aca="false">INDEX(Datos_Origen!$B$2:$B$2459,$Z1878)</f>
        <v>45856</v>
      </c>
      <c r="AC1878" s="61" t="n">
        <f aca="false">INDEX(Datos_Origen!$H$2:$H$2459,$Z1878)</f>
        <v>20</v>
      </c>
      <c r="AD1878" s="61" t="str">
        <f aca="false">INDEX(Datos_Origen!$D$2:$D$2459,$Z1878)&amp;""</f>
        <v>Mendoza</v>
      </c>
    </row>
    <row r="1879" customFormat="false" ht="15" hidden="false" customHeight="false" outlineLevel="0" collapsed="false">
      <c r="A1879" s="61" t="n">
        <f aca="false">INDEX(Datos_Origen!$A$2:$A$2459,$Z1879)</f>
        <v>1878</v>
      </c>
      <c r="B1879" s="62" t="n">
        <f aca="false">IF(ISNUMBER($AB1879),$AB1879,IF(MID($AB1879,5,1)="-",DATE(VALUE(LEFT($AB1879,4)),VALUE(MID($AB1879,6,2)),VALUE(RIGHT($AB1879,2))),DATE(VALUE(RIGHT($AB1879,4)),VALUE(MID($AB1879,4,2)),VALUE(LEFT($AB1879,2)))))</f>
        <v>45863</v>
      </c>
      <c r="C1879" s="61" t="n">
        <f aca="false">YEAR($B1879)</f>
        <v>2025</v>
      </c>
      <c r="D1879" s="61" t="str">
        <f aca="false">"Q"&amp;ROUNDUP(MONTH($B1879)/3,0)</f>
        <v>Q3</v>
      </c>
      <c r="E1879" s="61" t="n">
        <f aca="false">MONTH($B1879)</f>
        <v>7</v>
      </c>
      <c r="F1879" s="61" t="str">
        <f aca="false">INDEX(Parametros!$I$5:$I$16,$E1879)</f>
        <v>Jul</v>
      </c>
      <c r="G1879" s="61" t="str">
        <f aca="false">TEXT($C1879,"0000")&amp;"-"&amp;TEXT($E1879,"00")</f>
        <v>2025-07</v>
      </c>
      <c r="H1879" s="61" t="str">
        <f aca="false">INDEX(Parametros!$C$71:$C$91,MATCH(TRIM(INDEX(Datos_Origen!$C$2:$C$2459,$Z1879)),Parametros!$B$71:$B$91,0))</f>
        <v>Cuyo</v>
      </c>
      <c r="I1879" s="61" t="str">
        <f aca="false">IF(TRIM($AD1879)="",INDEX(Parametros!$I$20:$I$24,MATCH($H1879,Parametros!$H$20:$H$24,0)),TRIM($AD1879))</f>
        <v>Mendoza</v>
      </c>
      <c r="J1879" s="61" t="str">
        <f aca="false">INDEX(Parametros!$C$95:$C$106,MATCH(TRIM(INDEX(Datos_Origen!$E$2:$E$2459,$Z1879)),Parametros!$B$95:$B$106,0))</f>
        <v>E-commerce</v>
      </c>
      <c r="K1879" s="61" t="str">
        <f aca="false">INDEX(Parametros!$C$48:$C$67,MATCH(TRIM(INDEX(Datos_Origen!$F$2:$F$2459,$Z1879)),Parametros!$B$48:$B$67,0))</f>
        <v>Almacenamiento</v>
      </c>
      <c r="L1879" s="61" t="str">
        <f aca="false">$K1879&amp;" "&amp;$C1879</f>
        <v>Almacenamiento 2025</v>
      </c>
      <c r="M1879" s="61" t="str">
        <f aca="false">TRIM(INDEX(Datos_Origen!$G$2:$G$2459,$Z1879))</f>
        <v>SSD Externo 1TB</v>
      </c>
      <c r="N1879" s="61" t="str">
        <f aca="false">$M1879&amp;" "&amp;$C1879</f>
        <v>SSD Externo 1TB 2025</v>
      </c>
      <c r="O1879" s="63" t="n">
        <f aca="false">IF(ISTEXT($AC1879),VALUE($AC1879),$AC1879)</f>
        <v>11</v>
      </c>
      <c r="P1879" s="64" t="n">
        <f aca="false">INDEX(Datos_Origen!$I$2:$I$2459,$Z1879)</f>
        <v>130.51</v>
      </c>
      <c r="Q1879" s="64" t="n">
        <f aca="false">INDEX(Datos_Origen!$J$2:$J$2459,$Z1879)</f>
        <v>78.33</v>
      </c>
      <c r="R1879" s="65" t="n">
        <f aca="false">ROUND($O1879*$P1879,2)</f>
        <v>1435.61</v>
      </c>
      <c r="S1879" s="65" t="n">
        <f aca="false">ROUND($O1879*$Q1879,2)</f>
        <v>861.63</v>
      </c>
      <c r="T1879" s="65" t="n">
        <f aca="false">ROUND($R1879*SUMIFS(Parametros!$E$28:$E$43,Parametros!$B$28:$B$43,$J1879,Parametros!$C$28:$C$43,$C1879,Parametros!$D$28:$D$43,$D1879),2)</f>
        <v>80.39</v>
      </c>
      <c r="U1879" s="65" t="n">
        <f aca="false">$R1879-$S1879-$T1879</f>
        <v>493.59</v>
      </c>
      <c r="V1879" s="66" t="n">
        <f aca="false">IFERROR($U1879/$R1879,0)</f>
        <v>0.343819003768433</v>
      </c>
      <c r="W1879" s="67" t="str">
        <f aca="false">IF(AND($V1879&gt;=Parametros!$C$8,$R1879&gt;=Parametros!$C$12),"Alta rentabilidad",IF(OR($V1879&lt;Parametros!$C$11,$R1879&lt;Parametros!$C$13),"Revisar","Estandar"))</f>
        <v>Estandar</v>
      </c>
      <c r="X1879" s="67" t="str">
        <f aca="false">IF(AND($J1879="E-commerce",IFERROR($T1879/$R1879,0)&gt;Parametros!$C$14),"Alerta","OK")</f>
        <v>Alerta</v>
      </c>
      <c r="Y1879" s="61" t="str">
        <f aca="false">IF($R1879&gt;=Parametros!$C$12,"Alto",IF($R1879&lt;Parametros!$C$13,"Bajo","Medio"))</f>
        <v>Medio</v>
      </c>
      <c r="Z1879" s="61" t="n">
        <v>1468</v>
      </c>
      <c r="AA1879" s="61" t="str">
        <f aca="false">IF(MATCH($A1879,Datos_Origen!$A$2:$A$2459,0)=$Z1879,"OK","REVISAR")</f>
        <v>OK</v>
      </c>
      <c r="AB1879" s="62" t="n">
        <f aca="false">INDEX(Datos_Origen!$B$2:$B$2459,$Z1879)</f>
        <v>45863</v>
      </c>
      <c r="AC1879" s="61" t="n">
        <f aca="false">INDEX(Datos_Origen!$H$2:$H$2459,$Z1879)</f>
        <v>11</v>
      </c>
      <c r="AD1879" s="61" t="str">
        <f aca="false">INDEX(Datos_Origen!$D$2:$D$2459,$Z1879)&amp;""</f>
        <v>Mendoza</v>
      </c>
    </row>
    <row r="1880" customFormat="false" ht="15" hidden="false" customHeight="false" outlineLevel="0" collapsed="false">
      <c r="A1880" s="61" t="n">
        <f aca="false">INDEX(Datos_Origen!$A$2:$A$2459,$Z1880)</f>
        <v>1879</v>
      </c>
      <c r="B1880" s="62" t="n">
        <f aca="false">IF(ISNUMBER($AB1880),$AB1880,IF(MID($AB1880,5,1)="-",DATE(VALUE(LEFT($AB1880,4)),VALUE(MID($AB1880,6,2)),VALUE(RIGHT($AB1880,2))),DATE(VALUE(RIGHT($AB1880,4)),VALUE(MID($AB1880,4,2)),VALUE(LEFT($AB1880,2)))))</f>
        <v>45843</v>
      </c>
      <c r="C1880" s="61" t="n">
        <f aca="false">YEAR($B1880)</f>
        <v>2025</v>
      </c>
      <c r="D1880" s="61" t="str">
        <f aca="false">"Q"&amp;ROUNDUP(MONTH($B1880)/3,0)</f>
        <v>Q3</v>
      </c>
      <c r="E1880" s="61" t="n">
        <f aca="false">MONTH($B1880)</f>
        <v>7</v>
      </c>
      <c r="F1880" s="61" t="str">
        <f aca="false">INDEX(Parametros!$I$5:$I$16,$E1880)</f>
        <v>Jul</v>
      </c>
      <c r="G1880" s="61" t="str">
        <f aca="false">TEXT($C1880,"0000")&amp;"-"&amp;TEXT($E1880,"00")</f>
        <v>2025-07</v>
      </c>
      <c r="H1880" s="61" t="str">
        <f aca="false">INDEX(Parametros!$C$71:$C$91,MATCH(TRIM(INDEX(Datos_Origen!$C$2:$C$2459,$Z1880)),Parametros!$B$71:$B$91,0))</f>
        <v>Cuyo</v>
      </c>
      <c r="I1880" s="61" t="str">
        <f aca="false">IF(TRIM($AD1880)="",INDEX(Parametros!$I$20:$I$24,MATCH($H1880,Parametros!$H$20:$H$24,0)),TRIM($AD1880))</f>
        <v>Mendoza</v>
      </c>
      <c r="J1880" s="61" t="str">
        <f aca="false">INDEX(Parametros!$C$95:$C$106,MATCH(TRIM(INDEX(Datos_Origen!$E$2:$E$2459,$Z1880)),Parametros!$B$95:$B$106,0))</f>
        <v>Tienda fisica</v>
      </c>
      <c r="K1880" s="61" t="str">
        <f aca="false">INDEX(Parametros!$C$48:$C$67,MATCH(TRIM(INDEX(Datos_Origen!$F$2:$F$2459,$Z1880)),Parametros!$B$48:$B$67,0))</f>
        <v>Almacenamiento</v>
      </c>
      <c r="L1880" s="61" t="str">
        <f aca="false">$K1880&amp;" "&amp;$C1880</f>
        <v>Almacenamiento 2025</v>
      </c>
      <c r="M1880" s="61" t="str">
        <f aca="false">TRIM(INDEX(Datos_Origen!$G$2:$G$2459,$Z1880))</f>
        <v>Pendrive 256GB</v>
      </c>
      <c r="N1880" s="61" t="str">
        <f aca="false">$M1880&amp;" "&amp;$C1880</f>
        <v>Pendrive 256GB 2025</v>
      </c>
      <c r="O1880" s="63" t="n">
        <f aca="false">IF(ISTEXT($AC1880),VALUE($AC1880),$AC1880)</f>
        <v>20</v>
      </c>
      <c r="P1880" s="64" t="n">
        <f aca="false">INDEX(Datos_Origen!$I$2:$I$2459,$Z1880)</f>
        <v>35.14</v>
      </c>
      <c r="Q1880" s="64" t="n">
        <f aca="false">INDEX(Datos_Origen!$J$2:$J$2459,$Z1880)</f>
        <v>18.39</v>
      </c>
      <c r="R1880" s="65" t="n">
        <f aca="false">ROUND($O1880*$P1880,2)</f>
        <v>702.8</v>
      </c>
      <c r="S1880" s="65" t="n">
        <f aca="false">ROUND($O1880*$Q1880,2)</f>
        <v>367.8</v>
      </c>
      <c r="T1880" s="65" t="n">
        <f aca="false">ROUND($R1880*SUMIFS(Parametros!$E$28:$E$43,Parametros!$B$28:$B$43,$J1880,Parametros!$C$28:$C$43,$C1880,Parametros!$D$28:$D$43,$D1880),2)</f>
        <v>9.14</v>
      </c>
      <c r="U1880" s="65" t="n">
        <f aca="false">$R1880-$S1880-$T1880</f>
        <v>325.86</v>
      </c>
      <c r="V1880" s="66" t="n">
        <f aca="false">IFERROR($U1880/$R1880,0)</f>
        <v>0.463659647125783</v>
      </c>
      <c r="W1880" s="67" t="str">
        <f aca="false">IF(AND($V1880&gt;=Parametros!$C$8,$R1880&gt;=Parametros!$C$12),"Alta rentabilidad",IF(OR($V1880&lt;Parametros!$C$11,$R1880&lt;Parametros!$C$13),"Revisar","Estandar"))</f>
        <v>Estandar</v>
      </c>
      <c r="X1880" s="67" t="str">
        <f aca="false">IF(AND($J1880="E-commerce",IFERROR($T1880/$R1880,0)&gt;Parametros!$C$14),"Alerta","OK")</f>
        <v>OK</v>
      </c>
      <c r="Y1880" s="61" t="str">
        <f aca="false">IF($R1880&gt;=Parametros!$C$12,"Alto",IF($R1880&lt;Parametros!$C$13,"Bajo","Medio"))</f>
        <v>Medio</v>
      </c>
      <c r="Z1880" s="61" t="n">
        <v>288</v>
      </c>
      <c r="AA1880" s="61" t="str">
        <f aca="false">IF(MATCH($A1880,Datos_Origen!$A$2:$A$2459,0)=$Z1880,"OK","REVISAR")</f>
        <v>OK</v>
      </c>
      <c r="AB1880" s="61" t="str">
        <f aca="false">INDEX(Datos_Origen!$B$2:$B$2459,$Z1880)</f>
        <v>05/07/2025</v>
      </c>
      <c r="AC1880" s="61" t="n">
        <f aca="false">INDEX(Datos_Origen!$H$2:$H$2459,$Z1880)</f>
        <v>20</v>
      </c>
      <c r="AD1880" s="61" t="str">
        <f aca="false">INDEX(Datos_Origen!$D$2:$D$2459,$Z1880)&amp;""</f>
        <v>Mendoza</v>
      </c>
    </row>
    <row r="1881" customFormat="false" ht="15" hidden="false" customHeight="false" outlineLevel="0" collapsed="false">
      <c r="A1881" s="61" t="n">
        <f aca="false">INDEX(Datos_Origen!$A$2:$A$2459,$Z1881)</f>
        <v>1880</v>
      </c>
      <c r="B1881" s="62" t="n">
        <f aca="false">IF(ISNUMBER($AB1881),$AB1881,IF(MID($AB1881,5,1)="-",DATE(VALUE(LEFT($AB1881,4)),VALUE(MID($AB1881,6,2)),VALUE(RIGHT($AB1881,2))),DATE(VALUE(RIGHT($AB1881,4)),VALUE(MID($AB1881,4,2)),VALUE(LEFT($AB1881,2)))))</f>
        <v>45850</v>
      </c>
      <c r="C1881" s="61" t="n">
        <f aca="false">YEAR($B1881)</f>
        <v>2025</v>
      </c>
      <c r="D1881" s="61" t="str">
        <f aca="false">"Q"&amp;ROUNDUP(MONTH($B1881)/3,0)</f>
        <v>Q3</v>
      </c>
      <c r="E1881" s="61" t="n">
        <f aca="false">MONTH($B1881)</f>
        <v>7</v>
      </c>
      <c r="F1881" s="61" t="str">
        <f aca="false">INDEX(Parametros!$I$5:$I$16,$E1881)</f>
        <v>Jul</v>
      </c>
      <c r="G1881" s="61" t="str">
        <f aca="false">TEXT($C1881,"0000")&amp;"-"&amp;TEXT($E1881,"00")</f>
        <v>2025-07</v>
      </c>
      <c r="H1881" s="61" t="str">
        <f aca="false">INDEX(Parametros!$C$71:$C$91,MATCH(TRIM(INDEX(Datos_Origen!$C$2:$C$2459,$Z1881)),Parametros!$B$71:$B$91,0))</f>
        <v>Cuyo</v>
      </c>
      <c r="I1881" s="61" t="str">
        <f aca="false">IF(TRIM($AD1881)="",INDEX(Parametros!$I$20:$I$24,MATCH($H1881,Parametros!$H$20:$H$24,0)),TRIM($AD1881))</f>
        <v>Mendoza</v>
      </c>
      <c r="J1881" s="61" t="str">
        <f aca="false">INDEX(Parametros!$C$95:$C$106,MATCH(TRIM(INDEX(Datos_Origen!$E$2:$E$2459,$Z1881)),Parametros!$B$95:$B$106,0))</f>
        <v>E-commerce</v>
      </c>
      <c r="K1881" s="61" t="str">
        <f aca="false">INDEX(Parametros!$C$48:$C$67,MATCH(TRIM(INDEX(Datos_Origen!$F$2:$F$2459,$Z1881)),Parametros!$B$48:$B$67,0))</f>
        <v>Almacenamiento</v>
      </c>
      <c r="L1881" s="61" t="str">
        <f aca="false">$K1881&amp;" "&amp;$C1881</f>
        <v>Almacenamiento 2025</v>
      </c>
      <c r="M1881" s="61" t="str">
        <f aca="false">TRIM(INDEX(Datos_Origen!$G$2:$G$2459,$Z1881))</f>
        <v>Pendrive 256GB</v>
      </c>
      <c r="N1881" s="61" t="str">
        <f aca="false">$M1881&amp;" "&amp;$C1881</f>
        <v>Pendrive 256GB 2025</v>
      </c>
      <c r="O1881" s="63" t="n">
        <f aca="false">IF(ISTEXT($AC1881),VALUE($AC1881),$AC1881)</f>
        <v>13</v>
      </c>
      <c r="P1881" s="64" t="n">
        <f aca="false">INDEX(Datos_Origen!$I$2:$I$2459,$Z1881)</f>
        <v>35.14</v>
      </c>
      <c r="Q1881" s="64" t="n">
        <f aca="false">INDEX(Datos_Origen!$J$2:$J$2459,$Z1881)</f>
        <v>18.39</v>
      </c>
      <c r="R1881" s="65" t="n">
        <f aca="false">ROUND($O1881*$P1881,2)</f>
        <v>456.82</v>
      </c>
      <c r="S1881" s="65" t="n">
        <f aca="false">ROUND($O1881*$Q1881,2)</f>
        <v>239.07</v>
      </c>
      <c r="T1881" s="65" t="n">
        <f aca="false">ROUND($R1881*SUMIFS(Parametros!$E$28:$E$43,Parametros!$B$28:$B$43,$J1881,Parametros!$C$28:$C$43,$C1881,Parametros!$D$28:$D$43,$D1881),2)</f>
        <v>25.58</v>
      </c>
      <c r="U1881" s="65" t="n">
        <f aca="false">$R1881-$S1881-$T1881</f>
        <v>192.17</v>
      </c>
      <c r="V1881" s="66" t="n">
        <f aca="false">IFERROR($U1881/$R1881,0)</f>
        <v>0.420668972461801</v>
      </c>
      <c r="W1881" s="67" t="str">
        <f aca="false">IF(AND($V1881&gt;=Parametros!$C$8,$R1881&gt;=Parametros!$C$12),"Alta rentabilidad",IF(OR($V1881&lt;Parametros!$C$11,$R1881&lt;Parametros!$C$13),"Revisar","Estandar"))</f>
        <v>Estandar</v>
      </c>
      <c r="X1881" s="67" t="str">
        <f aca="false">IF(AND($J1881="E-commerce",IFERROR($T1881/$R1881,0)&gt;Parametros!$C$14),"Alerta","OK")</f>
        <v>Alerta</v>
      </c>
      <c r="Y1881" s="61" t="str">
        <f aca="false">IF($R1881&gt;=Parametros!$C$12,"Alto",IF($R1881&lt;Parametros!$C$13,"Bajo","Medio"))</f>
        <v>Medio</v>
      </c>
      <c r="Z1881" s="61" t="n">
        <v>1448</v>
      </c>
      <c r="AA1881" s="61" t="str">
        <f aca="false">IF(MATCH($A1881,Datos_Origen!$A$2:$A$2459,0)=$Z1881,"OK","REVISAR")</f>
        <v>OK</v>
      </c>
      <c r="AB1881" s="62" t="n">
        <f aca="false">INDEX(Datos_Origen!$B$2:$B$2459,$Z1881)</f>
        <v>45850</v>
      </c>
      <c r="AC1881" s="61" t="n">
        <f aca="false">INDEX(Datos_Origen!$H$2:$H$2459,$Z1881)</f>
        <v>13</v>
      </c>
      <c r="AD1881" s="61" t="str">
        <f aca="false">INDEX(Datos_Origen!$D$2:$D$2459,$Z1881)&amp;""</f>
        <v>Mendoza</v>
      </c>
    </row>
    <row r="1882" customFormat="false" ht="15" hidden="false" customHeight="false" outlineLevel="0" collapsed="false">
      <c r="A1882" s="61" t="n">
        <f aca="false">INDEX(Datos_Origen!$A$2:$A$2459,$Z1882)</f>
        <v>1881</v>
      </c>
      <c r="B1882" s="62" t="n">
        <f aca="false">IF(ISNUMBER($AB1882),$AB1882,IF(MID($AB1882,5,1)="-",DATE(VALUE(LEFT($AB1882,4)),VALUE(MID($AB1882,6,2)),VALUE(RIGHT($AB1882,2))),DATE(VALUE(RIGHT($AB1882,4)),VALUE(MID($AB1882,4,2)),VALUE(LEFT($AB1882,2)))))</f>
        <v>45857</v>
      </c>
      <c r="C1882" s="61" t="n">
        <f aca="false">YEAR($B1882)</f>
        <v>2025</v>
      </c>
      <c r="D1882" s="61" t="str">
        <f aca="false">"Q"&amp;ROUNDUP(MONTH($B1882)/3,0)</f>
        <v>Q3</v>
      </c>
      <c r="E1882" s="61" t="n">
        <f aca="false">MONTH($B1882)</f>
        <v>7</v>
      </c>
      <c r="F1882" s="61" t="str">
        <f aca="false">INDEX(Parametros!$I$5:$I$16,$E1882)</f>
        <v>Jul</v>
      </c>
      <c r="G1882" s="61" t="str">
        <f aca="false">TEXT($C1882,"0000")&amp;"-"&amp;TEXT($E1882,"00")</f>
        <v>2025-07</v>
      </c>
      <c r="H1882" s="61" t="str">
        <f aca="false">INDEX(Parametros!$C$71:$C$91,MATCH(TRIM(INDEX(Datos_Origen!$C$2:$C$2459,$Z1882)),Parametros!$B$71:$B$91,0))</f>
        <v>NOA</v>
      </c>
      <c r="I1882" s="61" t="str">
        <f aca="false">IF(TRIM($AD1882)="",INDEX(Parametros!$I$20:$I$24,MATCH($H1882,Parametros!$H$20:$H$24,0)),TRIM($AD1882))</f>
        <v>Tucuman</v>
      </c>
      <c r="J1882" s="61" t="str">
        <f aca="false">INDEX(Parametros!$C$95:$C$106,MATCH(TRIM(INDEX(Datos_Origen!$E$2:$E$2459,$Z1882)),Parametros!$B$95:$B$106,0))</f>
        <v>Tienda fisica</v>
      </c>
      <c r="K1882" s="61" t="str">
        <f aca="false">INDEX(Parametros!$C$48:$C$67,MATCH(TRIM(INDEX(Datos_Origen!$F$2:$F$2459,$Z1882)),Parametros!$B$48:$B$67,0))</f>
        <v>Computacion</v>
      </c>
      <c r="L1882" s="61" t="str">
        <f aca="false">$K1882&amp;" "&amp;$C1882</f>
        <v>Computacion 2025</v>
      </c>
      <c r="M1882" s="61" t="str">
        <f aca="false">TRIM(INDEX(Datos_Origen!$G$2:$G$2459,$Z1882))</f>
        <v>Laptop Pro 15</v>
      </c>
      <c r="N1882" s="61" t="str">
        <f aca="false">$M1882&amp;" "&amp;$C1882</f>
        <v>Laptop Pro 15 2025</v>
      </c>
      <c r="O1882" s="63" t="n">
        <f aca="false">IF(ISTEXT($AC1882),VALUE($AC1882),$AC1882)</f>
        <v>8</v>
      </c>
      <c r="P1882" s="64" t="n">
        <f aca="false">INDEX(Datos_Origen!$I$2:$I$2459,$Z1882)</f>
        <v>1204.74</v>
      </c>
      <c r="Q1882" s="64" t="n">
        <f aca="false">INDEX(Datos_Origen!$J$2:$J$2459,$Z1882)</f>
        <v>766.32</v>
      </c>
      <c r="R1882" s="65" t="n">
        <f aca="false">ROUND($O1882*$P1882,2)</f>
        <v>9637.92</v>
      </c>
      <c r="S1882" s="65" t="n">
        <f aca="false">ROUND($O1882*$Q1882,2)</f>
        <v>6130.56</v>
      </c>
      <c r="T1882" s="65" t="n">
        <f aca="false">ROUND($R1882*SUMIFS(Parametros!$E$28:$E$43,Parametros!$B$28:$B$43,$J1882,Parametros!$C$28:$C$43,$C1882,Parametros!$D$28:$D$43,$D1882),2)</f>
        <v>125.29</v>
      </c>
      <c r="U1882" s="65" t="n">
        <f aca="false">$R1882-$S1882-$T1882</f>
        <v>3382.07</v>
      </c>
      <c r="V1882" s="66" t="n">
        <f aca="false">IFERROR($U1882/$R1882,0)</f>
        <v>0.350912852565699</v>
      </c>
      <c r="W1882" s="67" t="str">
        <f aca="false">IF(AND($V1882&gt;=Parametros!$C$8,$R1882&gt;=Parametros!$C$12),"Alta rentabilidad",IF(OR($V1882&lt;Parametros!$C$11,$R1882&lt;Parametros!$C$13),"Revisar","Estandar"))</f>
        <v>Alta rentabilidad</v>
      </c>
      <c r="X1882" s="67" t="str">
        <f aca="false">IF(AND($J1882="E-commerce",IFERROR($T1882/$R1882,0)&gt;Parametros!$C$14),"Alerta","OK")</f>
        <v>OK</v>
      </c>
      <c r="Y1882" s="61" t="str">
        <f aca="false">IF($R1882&gt;=Parametros!$C$12,"Alto",IF($R1882&lt;Parametros!$C$13,"Bajo","Medio"))</f>
        <v>Alto</v>
      </c>
      <c r="Z1882" s="61" t="n">
        <v>993</v>
      </c>
      <c r="AA1882" s="61" t="str">
        <f aca="false">IF(MATCH($A1882,Datos_Origen!$A$2:$A$2459,0)=$Z1882,"OK","REVISAR")</f>
        <v>OK</v>
      </c>
      <c r="AB1882" s="62" t="n">
        <f aca="false">INDEX(Datos_Origen!$B$2:$B$2459,$Z1882)</f>
        <v>45857</v>
      </c>
      <c r="AC1882" s="61" t="str">
        <f aca="false">INDEX(Datos_Origen!$H$2:$H$2459,$Z1882)</f>
        <v>8</v>
      </c>
      <c r="AD1882" s="61" t="str">
        <f aca="false">INDEX(Datos_Origen!$D$2:$D$2459,$Z1882)&amp;""</f>
        <v>Tucuman</v>
      </c>
    </row>
    <row r="1883" customFormat="false" ht="15" hidden="false" customHeight="false" outlineLevel="0" collapsed="false">
      <c r="A1883" s="61" t="n">
        <f aca="false">INDEX(Datos_Origen!$A$2:$A$2459,$Z1883)</f>
        <v>1882</v>
      </c>
      <c r="B1883" s="62" t="n">
        <f aca="false">IF(ISNUMBER($AB1883),$AB1883,IF(MID($AB1883,5,1)="-",DATE(VALUE(LEFT($AB1883,4)),VALUE(MID($AB1883,6,2)),VALUE(RIGHT($AB1883,2))),DATE(VALUE(RIGHT($AB1883,4)),VALUE(MID($AB1883,4,2)),VALUE(LEFT($AB1883,2)))))</f>
        <v>45864</v>
      </c>
      <c r="C1883" s="61" t="n">
        <f aca="false">YEAR($B1883)</f>
        <v>2025</v>
      </c>
      <c r="D1883" s="61" t="str">
        <f aca="false">"Q"&amp;ROUNDUP(MONTH($B1883)/3,0)</f>
        <v>Q3</v>
      </c>
      <c r="E1883" s="61" t="n">
        <f aca="false">MONTH($B1883)</f>
        <v>7</v>
      </c>
      <c r="F1883" s="61" t="str">
        <f aca="false">INDEX(Parametros!$I$5:$I$16,$E1883)</f>
        <v>Jul</v>
      </c>
      <c r="G1883" s="61" t="str">
        <f aca="false">TEXT($C1883,"0000")&amp;"-"&amp;TEXT($E1883,"00")</f>
        <v>2025-07</v>
      </c>
      <c r="H1883" s="61" t="str">
        <f aca="false">INDEX(Parametros!$C$71:$C$91,MATCH(TRIM(INDEX(Datos_Origen!$C$2:$C$2459,$Z1883)),Parametros!$B$71:$B$91,0))</f>
        <v>NOA</v>
      </c>
      <c r="I1883" s="61" t="str">
        <f aca="false">IF(TRIM($AD1883)="",INDEX(Parametros!$I$20:$I$24,MATCH($H1883,Parametros!$H$20:$H$24,0)),TRIM($AD1883))</f>
        <v>Tucuman</v>
      </c>
      <c r="J1883" s="61" t="str">
        <f aca="false">INDEX(Parametros!$C$95:$C$106,MATCH(TRIM(INDEX(Datos_Origen!$E$2:$E$2459,$Z1883)),Parametros!$B$95:$B$106,0))</f>
        <v>E-commerce</v>
      </c>
      <c r="K1883" s="61" t="str">
        <f aca="false">INDEX(Parametros!$C$48:$C$67,MATCH(TRIM(INDEX(Datos_Origen!$F$2:$F$2459,$Z1883)),Parametros!$B$48:$B$67,0))</f>
        <v>Computacion</v>
      </c>
      <c r="L1883" s="61" t="str">
        <f aca="false">$K1883&amp;" "&amp;$C1883</f>
        <v>Computacion 2025</v>
      </c>
      <c r="M1883" s="61" t="str">
        <f aca="false">TRIM(INDEX(Datos_Origen!$G$2:$G$2459,$Z1883))</f>
        <v>Laptop Pro 15</v>
      </c>
      <c r="N1883" s="61" t="str">
        <f aca="false">$M1883&amp;" "&amp;$C1883</f>
        <v>Laptop Pro 15 2025</v>
      </c>
      <c r="O1883" s="63" t="n">
        <f aca="false">IF(ISTEXT($AC1883),VALUE($AC1883),$AC1883)</f>
        <v>5</v>
      </c>
      <c r="P1883" s="64" t="n">
        <f aca="false">INDEX(Datos_Origen!$I$2:$I$2459,$Z1883)</f>
        <v>1204.74</v>
      </c>
      <c r="Q1883" s="64" t="n">
        <f aca="false">INDEX(Datos_Origen!$J$2:$J$2459,$Z1883)</f>
        <v>766.32</v>
      </c>
      <c r="R1883" s="65" t="n">
        <f aca="false">ROUND($O1883*$P1883,2)</f>
        <v>6023.7</v>
      </c>
      <c r="S1883" s="65" t="n">
        <f aca="false">ROUND($O1883*$Q1883,2)</f>
        <v>3831.6</v>
      </c>
      <c r="T1883" s="65" t="n">
        <f aca="false">ROUND($R1883*SUMIFS(Parametros!$E$28:$E$43,Parametros!$B$28:$B$43,$J1883,Parametros!$C$28:$C$43,$C1883,Parametros!$D$28:$D$43,$D1883),2)</f>
        <v>337.33</v>
      </c>
      <c r="U1883" s="65" t="n">
        <f aca="false">$R1883-$S1883-$T1883</f>
        <v>1854.77</v>
      </c>
      <c r="V1883" s="66" t="n">
        <f aca="false">IFERROR($U1883/$R1883,0)</f>
        <v>0.307912080614905</v>
      </c>
      <c r="W1883" s="67" t="str">
        <f aca="false">IF(AND($V1883&gt;=Parametros!$C$8,$R1883&gt;=Parametros!$C$12),"Alta rentabilidad",IF(OR($V1883&lt;Parametros!$C$11,$R1883&lt;Parametros!$C$13),"Revisar","Estandar"))</f>
        <v>Estandar</v>
      </c>
      <c r="X1883" s="67" t="str">
        <f aca="false">IF(AND($J1883="E-commerce",IFERROR($T1883/$R1883,0)&gt;Parametros!$C$14),"Alerta","OK")</f>
        <v>Alerta</v>
      </c>
      <c r="Y1883" s="61" t="str">
        <f aca="false">IF($R1883&gt;=Parametros!$C$12,"Alto",IF($R1883&lt;Parametros!$C$13,"Bajo","Medio"))</f>
        <v>Alto</v>
      </c>
      <c r="Z1883" s="61" t="n">
        <v>410</v>
      </c>
      <c r="AA1883" s="61" t="str">
        <f aca="false">IF(MATCH($A1883,Datos_Origen!$A$2:$A$2459,0)=$Z1883,"OK","REVISAR")</f>
        <v>OK</v>
      </c>
      <c r="AB1883" s="61" t="str">
        <f aca="false">INDEX(Datos_Origen!$B$2:$B$2459,$Z1883)</f>
        <v>26/07/2025</v>
      </c>
      <c r="AC1883" s="61" t="n">
        <f aca="false">INDEX(Datos_Origen!$H$2:$H$2459,$Z1883)</f>
        <v>5</v>
      </c>
      <c r="AD1883" s="61" t="str">
        <f aca="false">INDEX(Datos_Origen!$D$2:$D$2459,$Z1883)&amp;""</f>
        <v>Tucuman</v>
      </c>
    </row>
    <row r="1884" customFormat="false" ht="15" hidden="false" customHeight="false" outlineLevel="0" collapsed="false">
      <c r="A1884" s="61" t="n">
        <f aca="false">INDEX(Datos_Origen!$A$2:$A$2459,$Z1884)</f>
        <v>1883</v>
      </c>
      <c r="B1884" s="62" t="n">
        <f aca="false">IF(ISNUMBER($AB1884),$AB1884,IF(MID($AB1884,5,1)="-",DATE(VALUE(LEFT($AB1884,4)),VALUE(MID($AB1884,6,2)),VALUE(RIGHT($AB1884,2))),DATE(VALUE(RIGHT($AB1884,4)),VALUE(MID($AB1884,4,2)),VALUE(LEFT($AB1884,2)))))</f>
        <v>45844</v>
      </c>
      <c r="C1884" s="61" t="n">
        <f aca="false">YEAR($B1884)</f>
        <v>2025</v>
      </c>
      <c r="D1884" s="61" t="str">
        <f aca="false">"Q"&amp;ROUNDUP(MONTH($B1884)/3,0)</f>
        <v>Q3</v>
      </c>
      <c r="E1884" s="61" t="n">
        <f aca="false">MONTH($B1884)</f>
        <v>7</v>
      </c>
      <c r="F1884" s="61" t="str">
        <f aca="false">INDEX(Parametros!$I$5:$I$16,$E1884)</f>
        <v>Jul</v>
      </c>
      <c r="G1884" s="61" t="str">
        <f aca="false">TEXT($C1884,"0000")&amp;"-"&amp;TEXT($E1884,"00")</f>
        <v>2025-07</v>
      </c>
      <c r="H1884" s="61" t="str">
        <f aca="false">INDEX(Parametros!$C$71:$C$91,MATCH(TRIM(INDEX(Datos_Origen!$C$2:$C$2459,$Z1884)),Parametros!$B$71:$B$91,0))</f>
        <v>NOA</v>
      </c>
      <c r="I1884" s="61" t="str">
        <f aca="false">IF(TRIM($AD1884)="",INDEX(Parametros!$I$20:$I$24,MATCH($H1884,Parametros!$H$20:$H$24,0)),TRIM($AD1884))</f>
        <v>Tucuman</v>
      </c>
      <c r="J1884" s="61" t="str">
        <f aca="false">INDEX(Parametros!$C$95:$C$106,MATCH(TRIM(INDEX(Datos_Origen!$E$2:$E$2459,$Z1884)),Parametros!$B$95:$B$106,0))</f>
        <v>Tienda fisica</v>
      </c>
      <c r="K1884" s="61" t="str">
        <f aca="false">INDEX(Parametros!$C$48:$C$67,MATCH(TRIM(INDEX(Datos_Origen!$F$2:$F$2459,$Z1884)),Parametros!$B$48:$B$67,0))</f>
        <v>Computacion</v>
      </c>
      <c r="L1884" s="61" t="str">
        <f aca="false">$K1884&amp;" "&amp;$C1884</f>
        <v>Computacion 2025</v>
      </c>
      <c r="M1884" s="61" t="str">
        <f aca="false">TRIM(INDEX(Datos_Origen!$G$2:$G$2459,$Z1884))</f>
        <v>Monitor 4K 27</v>
      </c>
      <c r="N1884" s="61" t="str">
        <f aca="false">$M1884&amp;" "&amp;$C1884</f>
        <v>Monitor 4K 27 2025</v>
      </c>
      <c r="O1884" s="63" t="n">
        <f aca="false">IF(ISTEXT($AC1884),VALUE($AC1884),$AC1884)</f>
        <v>7</v>
      </c>
      <c r="P1884" s="64" t="n">
        <f aca="false">INDEX(Datos_Origen!$I$2:$I$2459,$Z1884)</f>
        <v>451.78</v>
      </c>
      <c r="Q1884" s="64" t="n">
        <f aca="false">INDEX(Datos_Origen!$J$2:$J$2459,$Z1884)</f>
        <v>280.42</v>
      </c>
      <c r="R1884" s="65" t="n">
        <f aca="false">ROUND($O1884*$P1884,2)</f>
        <v>3162.46</v>
      </c>
      <c r="S1884" s="65" t="n">
        <f aca="false">ROUND($O1884*$Q1884,2)</f>
        <v>1962.94</v>
      </c>
      <c r="T1884" s="65" t="n">
        <f aca="false">ROUND($R1884*SUMIFS(Parametros!$E$28:$E$43,Parametros!$B$28:$B$43,$J1884,Parametros!$C$28:$C$43,$C1884,Parametros!$D$28:$D$43,$D1884),2)</f>
        <v>41.11</v>
      </c>
      <c r="U1884" s="65" t="n">
        <f aca="false">$R1884-$S1884-$T1884</f>
        <v>1158.41</v>
      </c>
      <c r="V1884" s="66" t="n">
        <f aca="false">IFERROR($U1884/$R1884,0)</f>
        <v>0.366300285220999</v>
      </c>
      <c r="W1884" s="67" t="str">
        <f aca="false">IF(AND($V1884&gt;=Parametros!$C$8,$R1884&gt;=Parametros!$C$12),"Alta rentabilidad",IF(OR($V1884&lt;Parametros!$C$11,$R1884&lt;Parametros!$C$13),"Revisar","Estandar"))</f>
        <v>Alta rentabilidad</v>
      </c>
      <c r="X1884" s="67" t="str">
        <f aca="false">IF(AND($J1884="E-commerce",IFERROR($T1884/$R1884,0)&gt;Parametros!$C$14),"Alerta","OK")</f>
        <v>OK</v>
      </c>
      <c r="Y1884" s="61" t="str">
        <f aca="false">IF($R1884&gt;=Parametros!$C$12,"Alto",IF($R1884&lt;Parametros!$C$13,"Bajo","Medio"))</f>
        <v>Alto</v>
      </c>
      <c r="Z1884" s="61" t="n">
        <v>544</v>
      </c>
      <c r="AA1884" s="61" t="str">
        <f aca="false">IF(MATCH($A1884,Datos_Origen!$A$2:$A$2459,0)=$Z1884,"OK","REVISAR")</f>
        <v>OK</v>
      </c>
      <c r="AB1884" s="62" t="n">
        <f aca="false">INDEX(Datos_Origen!$B$2:$B$2459,$Z1884)</f>
        <v>45844</v>
      </c>
      <c r="AC1884" s="61" t="n">
        <f aca="false">INDEX(Datos_Origen!$H$2:$H$2459,$Z1884)</f>
        <v>7</v>
      </c>
      <c r="AD1884" s="61" t="str">
        <f aca="false">INDEX(Datos_Origen!$D$2:$D$2459,$Z1884)&amp;""</f>
        <v>Tucuman</v>
      </c>
    </row>
    <row r="1885" customFormat="false" ht="15" hidden="false" customHeight="false" outlineLevel="0" collapsed="false">
      <c r="A1885" s="61" t="n">
        <f aca="false">INDEX(Datos_Origen!$A$2:$A$2459,$Z1885)</f>
        <v>1884</v>
      </c>
      <c r="B1885" s="62" t="n">
        <f aca="false">IF(ISNUMBER($AB1885),$AB1885,IF(MID($AB1885,5,1)="-",DATE(VALUE(LEFT($AB1885,4)),VALUE(MID($AB1885,6,2)),VALUE(RIGHT($AB1885,2))),DATE(VALUE(RIGHT($AB1885,4)),VALUE(MID($AB1885,4,2)),VALUE(LEFT($AB1885,2)))))</f>
        <v>45851</v>
      </c>
      <c r="C1885" s="61" t="n">
        <f aca="false">YEAR($B1885)</f>
        <v>2025</v>
      </c>
      <c r="D1885" s="61" t="str">
        <f aca="false">"Q"&amp;ROUNDUP(MONTH($B1885)/3,0)</f>
        <v>Q3</v>
      </c>
      <c r="E1885" s="61" t="n">
        <f aca="false">MONTH($B1885)</f>
        <v>7</v>
      </c>
      <c r="F1885" s="61" t="str">
        <f aca="false">INDEX(Parametros!$I$5:$I$16,$E1885)</f>
        <v>Jul</v>
      </c>
      <c r="G1885" s="61" t="str">
        <f aca="false">TEXT($C1885,"0000")&amp;"-"&amp;TEXT($E1885,"00")</f>
        <v>2025-07</v>
      </c>
      <c r="H1885" s="61" t="str">
        <f aca="false">INDEX(Parametros!$C$71:$C$91,MATCH(TRIM(INDEX(Datos_Origen!$C$2:$C$2459,$Z1885)),Parametros!$B$71:$B$91,0))</f>
        <v>NOA</v>
      </c>
      <c r="I1885" s="61" t="str">
        <f aca="false">IF(TRIM($AD1885)="",INDEX(Parametros!$I$20:$I$24,MATCH($H1885,Parametros!$H$20:$H$24,0)),TRIM($AD1885))</f>
        <v>Tucuman</v>
      </c>
      <c r="J1885" s="61" t="str">
        <f aca="false">INDEX(Parametros!$C$95:$C$106,MATCH(TRIM(INDEX(Datos_Origen!$E$2:$E$2459,$Z1885)),Parametros!$B$95:$B$106,0))</f>
        <v>E-commerce</v>
      </c>
      <c r="K1885" s="61" t="str">
        <f aca="false">INDEX(Parametros!$C$48:$C$67,MATCH(TRIM(INDEX(Datos_Origen!$F$2:$F$2459,$Z1885)),Parametros!$B$48:$B$67,0))</f>
        <v>Computacion</v>
      </c>
      <c r="L1885" s="61" t="str">
        <f aca="false">$K1885&amp;" "&amp;$C1885</f>
        <v>Computacion 2025</v>
      </c>
      <c r="M1885" s="61" t="str">
        <f aca="false">TRIM(INDEX(Datos_Origen!$G$2:$G$2459,$Z1885))</f>
        <v>Monitor 4K 27</v>
      </c>
      <c r="N1885" s="61" t="str">
        <f aca="false">$M1885&amp;" "&amp;$C1885</f>
        <v>Monitor 4K 27 2025</v>
      </c>
      <c r="O1885" s="63" t="n">
        <f aca="false">IF(ISTEXT($AC1885),VALUE($AC1885),$AC1885)</f>
        <v>4</v>
      </c>
      <c r="P1885" s="64" t="n">
        <f aca="false">INDEX(Datos_Origen!$I$2:$I$2459,$Z1885)</f>
        <v>451.78</v>
      </c>
      <c r="Q1885" s="64" t="n">
        <f aca="false">INDEX(Datos_Origen!$J$2:$J$2459,$Z1885)</f>
        <v>280.42</v>
      </c>
      <c r="R1885" s="65" t="n">
        <f aca="false">ROUND($O1885*$P1885,2)</f>
        <v>1807.12</v>
      </c>
      <c r="S1885" s="65" t="n">
        <f aca="false">ROUND($O1885*$Q1885,2)</f>
        <v>1121.68</v>
      </c>
      <c r="T1885" s="65" t="n">
        <f aca="false">ROUND($R1885*SUMIFS(Parametros!$E$28:$E$43,Parametros!$B$28:$B$43,$J1885,Parametros!$C$28:$C$43,$C1885,Parametros!$D$28:$D$43,$D1885),2)</f>
        <v>101.2</v>
      </c>
      <c r="U1885" s="65" t="n">
        <f aca="false">$R1885-$S1885-$T1885</f>
        <v>584.24</v>
      </c>
      <c r="V1885" s="66" t="n">
        <f aca="false">IFERROR($U1885/$R1885,0)</f>
        <v>0.323298950816769</v>
      </c>
      <c r="W1885" s="67" t="str">
        <f aca="false">IF(AND($V1885&gt;=Parametros!$C$8,$R1885&gt;=Parametros!$C$12),"Alta rentabilidad",IF(OR($V1885&lt;Parametros!$C$11,$R1885&lt;Parametros!$C$13),"Revisar","Estandar"))</f>
        <v>Estandar</v>
      </c>
      <c r="X1885" s="67" t="str">
        <f aca="false">IF(AND($J1885="E-commerce",IFERROR($T1885/$R1885,0)&gt;Parametros!$C$14),"Alerta","OK")</f>
        <v>Alerta</v>
      </c>
      <c r="Y1885" s="61" t="str">
        <f aca="false">IF($R1885&gt;=Parametros!$C$12,"Alto",IF($R1885&lt;Parametros!$C$13,"Bajo","Medio"))</f>
        <v>Medio</v>
      </c>
      <c r="Z1885" s="61" t="n">
        <v>1291</v>
      </c>
      <c r="AA1885" s="61" t="str">
        <f aca="false">IF(MATCH($A1885,Datos_Origen!$A$2:$A$2459,0)=$Z1885,"OK","REVISAR")</f>
        <v>OK</v>
      </c>
      <c r="AB1885" s="62" t="n">
        <f aca="false">INDEX(Datos_Origen!$B$2:$B$2459,$Z1885)</f>
        <v>45851</v>
      </c>
      <c r="AC1885" s="61" t="n">
        <f aca="false">INDEX(Datos_Origen!$H$2:$H$2459,$Z1885)</f>
        <v>4</v>
      </c>
      <c r="AD1885" s="61" t="str">
        <f aca="false">INDEX(Datos_Origen!$D$2:$D$2459,$Z1885)&amp;""</f>
        <v>Tucuman</v>
      </c>
    </row>
    <row r="1886" customFormat="false" ht="15" hidden="false" customHeight="false" outlineLevel="0" collapsed="false">
      <c r="A1886" s="61" t="n">
        <f aca="false">INDEX(Datos_Origen!$A$2:$A$2459,$Z1886)</f>
        <v>1885</v>
      </c>
      <c r="B1886" s="62" t="n">
        <f aca="false">IF(ISNUMBER($AB1886),$AB1886,IF(MID($AB1886,5,1)="-",DATE(VALUE(LEFT($AB1886,4)),VALUE(MID($AB1886,6,2)),VALUE(RIGHT($AB1886,2))),DATE(VALUE(RIGHT($AB1886,4)),VALUE(MID($AB1886,4,2)),VALUE(LEFT($AB1886,2)))))</f>
        <v>45858</v>
      </c>
      <c r="C1886" s="61" t="n">
        <f aca="false">YEAR($B1886)</f>
        <v>2025</v>
      </c>
      <c r="D1886" s="61" t="str">
        <f aca="false">"Q"&amp;ROUNDUP(MONTH($B1886)/3,0)</f>
        <v>Q3</v>
      </c>
      <c r="E1886" s="61" t="n">
        <f aca="false">MONTH($B1886)</f>
        <v>7</v>
      </c>
      <c r="F1886" s="61" t="str">
        <f aca="false">INDEX(Parametros!$I$5:$I$16,$E1886)</f>
        <v>Jul</v>
      </c>
      <c r="G1886" s="61" t="str">
        <f aca="false">TEXT($C1886,"0000")&amp;"-"&amp;TEXT($E1886,"00")</f>
        <v>2025-07</v>
      </c>
      <c r="H1886" s="61" t="str">
        <f aca="false">INDEX(Parametros!$C$71:$C$91,MATCH(TRIM(INDEX(Datos_Origen!$C$2:$C$2459,$Z1886)),Parametros!$B$71:$B$91,0))</f>
        <v>NOA</v>
      </c>
      <c r="I1886" s="61" t="str">
        <f aca="false">IF(TRIM($AD1886)="",INDEX(Parametros!$I$20:$I$24,MATCH($H1886,Parametros!$H$20:$H$24,0)),TRIM($AD1886))</f>
        <v>Tucuman</v>
      </c>
      <c r="J1886" s="61" t="str">
        <f aca="false">INDEX(Parametros!$C$95:$C$106,MATCH(TRIM(INDEX(Datos_Origen!$E$2:$E$2459,$Z1886)),Parametros!$B$95:$B$106,0))</f>
        <v>Tienda fisica</v>
      </c>
      <c r="K1886" s="61" t="str">
        <f aca="false">INDEX(Parametros!$C$48:$C$67,MATCH(TRIM(INDEX(Datos_Origen!$F$2:$F$2459,$Z1886)),Parametros!$B$48:$B$67,0))</f>
        <v>Computacion</v>
      </c>
      <c r="L1886" s="61" t="str">
        <f aca="false">$K1886&amp;" "&amp;$C1886</f>
        <v>Computacion 2025</v>
      </c>
      <c r="M1886" s="61" t="str">
        <f aca="false">TRIM(INDEX(Datos_Origen!$G$2:$G$2459,$Z1886))</f>
        <v>PC Gamer Ryzen</v>
      </c>
      <c r="N1886" s="61" t="str">
        <f aca="false">$M1886&amp;" "&amp;$C1886</f>
        <v>PC Gamer Ryzen 2025</v>
      </c>
      <c r="O1886" s="63" t="n">
        <f aca="false">IF(ISTEXT($AC1886),VALUE($AC1886),$AC1886)</f>
        <v>6</v>
      </c>
      <c r="P1886" s="64" t="n">
        <f aca="false">INDEX(Datos_Origen!$I$2:$I$2459,$Z1886)</f>
        <v>1656.52</v>
      </c>
      <c r="Q1886" s="64" t="n">
        <f aca="false">INDEX(Datos_Origen!$J$2:$J$2459,$Z1886)</f>
        <v>1155.66</v>
      </c>
      <c r="R1886" s="65" t="n">
        <f aca="false">ROUND($O1886*$P1886,2)</f>
        <v>9939.12</v>
      </c>
      <c r="S1886" s="65" t="n">
        <f aca="false">ROUND($O1886*$Q1886,2)</f>
        <v>6933.96</v>
      </c>
      <c r="T1886" s="65" t="n">
        <f aca="false">ROUND($R1886*SUMIFS(Parametros!$E$28:$E$43,Parametros!$B$28:$B$43,$J1886,Parametros!$C$28:$C$43,$C1886,Parametros!$D$28:$D$43,$D1886),2)</f>
        <v>129.21</v>
      </c>
      <c r="U1886" s="65" t="n">
        <f aca="false">$R1886-$S1886-$T1886</f>
        <v>2875.95</v>
      </c>
      <c r="V1886" s="66" t="n">
        <f aca="false">IFERROR($U1886/$R1886,0)</f>
        <v>0.289356602999058</v>
      </c>
      <c r="W1886" s="67" t="str">
        <f aca="false">IF(AND($V1886&gt;=Parametros!$C$8,$R1886&gt;=Parametros!$C$12),"Alta rentabilidad",IF(OR($V1886&lt;Parametros!$C$11,$R1886&lt;Parametros!$C$13),"Revisar","Estandar"))</f>
        <v>Estandar</v>
      </c>
      <c r="X1886" s="67" t="str">
        <f aca="false">IF(AND($J1886="E-commerce",IFERROR($T1886/$R1886,0)&gt;Parametros!$C$14),"Alerta","OK")</f>
        <v>OK</v>
      </c>
      <c r="Y1886" s="61" t="str">
        <f aca="false">IF($R1886&gt;=Parametros!$C$12,"Alto",IF($R1886&lt;Parametros!$C$13,"Bajo","Medio"))</f>
        <v>Alto</v>
      </c>
      <c r="Z1886" s="61" t="n">
        <v>1240</v>
      </c>
      <c r="AA1886" s="61" t="str">
        <f aca="false">IF(MATCH($A1886,Datos_Origen!$A$2:$A$2459,0)=$Z1886,"OK","REVISAR")</f>
        <v>OK</v>
      </c>
      <c r="AB1886" s="61" t="str">
        <f aca="false">INDEX(Datos_Origen!$B$2:$B$2459,$Z1886)</f>
        <v>20/07/2025</v>
      </c>
      <c r="AC1886" s="61" t="n">
        <f aca="false">INDEX(Datos_Origen!$H$2:$H$2459,$Z1886)</f>
        <v>6</v>
      </c>
      <c r="AD1886" s="61" t="str">
        <f aca="false">INDEX(Datos_Origen!$D$2:$D$2459,$Z1886)&amp;""</f>
        <v>Tucuman</v>
      </c>
    </row>
    <row r="1887" customFormat="false" ht="15" hidden="false" customHeight="false" outlineLevel="0" collapsed="false">
      <c r="A1887" s="61" t="n">
        <f aca="false">INDEX(Datos_Origen!$A$2:$A$2459,$Z1887)</f>
        <v>1886</v>
      </c>
      <c r="B1887" s="62" t="n">
        <f aca="false">IF(ISNUMBER($AB1887),$AB1887,IF(MID($AB1887,5,1)="-",DATE(VALUE(LEFT($AB1887,4)),VALUE(MID($AB1887,6,2)),VALUE(RIGHT($AB1887,2))),DATE(VALUE(RIGHT($AB1887,4)),VALUE(MID($AB1887,4,2)),VALUE(LEFT($AB1887,2)))))</f>
        <v>45865</v>
      </c>
      <c r="C1887" s="61" t="n">
        <f aca="false">YEAR($B1887)</f>
        <v>2025</v>
      </c>
      <c r="D1887" s="61" t="str">
        <f aca="false">"Q"&amp;ROUNDUP(MONTH($B1887)/3,0)</f>
        <v>Q3</v>
      </c>
      <c r="E1887" s="61" t="n">
        <f aca="false">MONTH($B1887)</f>
        <v>7</v>
      </c>
      <c r="F1887" s="61" t="str">
        <f aca="false">INDEX(Parametros!$I$5:$I$16,$E1887)</f>
        <v>Jul</v>
      </c>
      <c r="G1887" s="61" t="str">
        <f aca="false">TEXT($C1887,"0000")&amp;"-"&amp;TEXT($E1887,"00")</f>
        <v>2025-07</v>
      </c>
      <c r="H1887" s="61" t="str">
        <f aca="false">INDEX(Parametros!$C$71:$C$91,MATCH(TRIM(INDEX(Datos_Origen!$C$2:$C$2459,$Z1887)),Parametros!$B$71:$B$91,0))</f>
        <v>NOA</v>
      </c>
      <c r="I1887" s="61" t="str">
        <f aca="false">IF(TRIM($AD1887)="",INDEX(Parametros!$I$20:$I$24,MATCH($H1887,Parametros!$H$20:$H$24,0)),TRIM($AD1887))</f>
        <v>Tucuman</v>
      </c>
      <c r="J1887" s="61" t="str">
        <f aca="false">INDEX(Parametros!$C$95:$C$106,MATCH(TRIM(INDEX(Datos_Origen!$E$2:$E$2459,$Z1887)),Parametros!$B$95:$B$106,0))</f>
        <v>E-commerce</v>
      </c>
      <c r="K1887" s="61" t="str">
        <f aca="false">INDEX(Parametros!$C$48:$C$67,MATCH(TRIM(INDEX(Datos_Origen!$F$2:$F$2459,$Z1887)),Parametros!$B$48:$B$67,0))</f>
        <v>Computacion</v>
      </c>
      <c r="L1887" s="61" t="str">
        <f aca="false">$K1887&amp;" "&amp;$C1887</f>
        <v>Computacion 2025</v>
      </c>
      <c r="M1887" s="61" t="str">
        <f aca="false">TRIM(INDEX(Datos_Origen!$G$2:$G$2459,$Z1887))</f>
        <v>PC Gamer Ryzen</v>
      </c>
      <c r="N1887" s="61" t="str">
        <f aca="false">$M1887&amp;" "&amp;$C1887</f>
        <v>PC Gamer Ryzen 2025</v>
      </c>
      <c r="O1887" s="63" t="n">
        <f aca="false">IF(ISTEXT($AC1887),VALUE($AC1887),$AC1887)</f>
        <v>4</v>
      </c>
      <c r="P1887" s="64" t="n">
        <f aca="false">INDEX(Datos_Origen!$I$2:$I$2459,$Z1887)</f>
        <v>1656.52</v>
      </c>
      <c r="Q1887" s="64" t="n">
        <f aca="false">INDEX(Datos_Origen!$J$2:$J$2459,$Z1887)</f>
        <v>1155.66</v>
      </c>
      <c r="R1887" s="65" t="n">
        <f aca="false">ROUND($O1887*$P1887,2)</f>
        <v>6626.08</v>
      </c>
      <c r="S1887" s="65" t="n">
        <f aca="false">ROUND($O1887*$Q1887,2)</f>
        <v>4622.64</v>
      </c>
      <c r="T1887" s="65" t="n">
        <f aca="false">ROUND($R1887*SUMIFS(Parametros!$E$28:$E$43,Parametros!$B$28:$B$43,$J1887,Parametros!$C$28:$C$43,$C1887,Parametros!$D$28:$D$43,$D1887),2)</f>
        <v>371.06</v>
      </c>
      <c r="U1887" s="65" t="n">
        <f aca="false">$R1887-$S1887-$T1887</f>
        <v>1632.38</v>
      </c>
      <c r="V1887" s="66" t="n">
        <f aca="false">IFERROR($U1887/$R1887,0)</f>
        <v>0.246356820322121</v>
      </c>
      <c r="W1887" s="67" t="str">
        <f aca="false">IF(AND($V1887&gt;=Parametros!$C$8,$R1887&gt;=Parametros!$C$12),"Alta rentabilidad",IF(OR($V1887&lt;Parametros!$C$11,$R1887&lt;Parametros!$C$13),"Revisar","Estandar"))</f>
        <v>Revisar</v>
      </c>
      <c r="X1887" s="67" t="str">
        <f aca="false">IF(AND($J1887="E-commerce",IFERROR($T1887/$R1887,0)&gt;Parametros!$C$14),"Alerta","OK")</f>
        <v>Alerta</v>
      </c>
      <c r="Y1887" s="61" t="str">
        <f aca="false">IF($R1887&gt;=Parametros!$C$12,"Alto",IF($R1887&lt;Parametros!$C$13,"Bajo","Medio"))</f>
        <v>Alto</v>
      </c>
      <c r="Z1887" s="61" t="n">
        <v>1925</v>
      </c>
      <c r="AA1887" s="61" t="str">
        <f aca="false">IF(MATCH($A1887,Datos_Origen!$A$2:$A$2459,0)=$Z1887,"OK","REVISAR")</f>
        <v>OK</v>
      </c>
      <c r="AB1887" s="62" t="n">
        <f aca="false">INDEX(Datos_Origen!$B$2:$B$2459,$Z1887)</f>
        <v>45865</v>
      </c>
      <c r="AC1887" s="61" t="n">
        <f aca="false">INDEX(Datos_Origen!$H$2:$H$2459,$Z1887)</f>
        <v>4</v>
      </c>
      <c r="AD1887" s="61" t="str">
        <f aca="false">INDEX(Datos_Origen!$D$2:$D$2459,$Z1887)&amp;""</f>
        <v>Tucuman</v>
      </c>
    </row>
    <row r="1888" customFormat="false" ht="15" hidden="false" customHeight="false" outlineLevel="0" collapsed="false">
      <c r="A1888" s="61" t="n">
        <f aca="false">INDEX(Datos_Origen!$A$2:$A$2459,$Z1888)</f>
        <v>1887</v>
      </c>
      <c r="B1888" s="62" t="n">
        <f aca="false">IF(ISNUMBER($AB1888),$AB1888,IF(MID($AB1888,5,1)="-",DATE(VALUE(LEFT($AB1888,4)),VALUE(MID($AB1888,6,2)),VALUE(RIGHT($AB1888,2))),DATE(VALUE(RIGHT($AB1888,4)),VALUE(MID($AB1888,4,2)),VALUE(LEFT($AB1888,2)))))</f>
        <v>45845</v>
      </c>
      <c r="C1888" s="61" t="n">
        <f aca="false">YEAR($B1888)</f>
        <v>2025</v>
      </c>
      <c r="D1888" s="61" t="str">
        <f aca="false">"Q"&amp;ROUNDUP(MONTH($B1888)/3,0)</f>
        <v>Q3</v>
      </c>
      <c r="E1888" s="61" t="n">
        <f aca="false">MONTH($B1888)</f>
        <v>7</v>
      </c>
      <c r="F1888" s="61" t="str">
        <f aca="false">INDEX(Parametros!$I$5:$I$16,$E1888)</f>
        <v>Jul</v>
      </c>
      <c r="G1888" s="61" t="str">
        <f aca="false">TEXT($C1888,"0000")&amp;"-"&amp;TEXT($E1888,"00")</f>
        <v>2025-07</v>
      </c>
      <c r="H1888" s="61" t="str">
        <f aca="false">INDEX(Parametros!$C$71:$C$91,MATCH(TRIM(INDEX(Datos_Origen!$C$2:$C$2459,$Z1888)),Parametros!$B$71:$B$91,0))</f>
        <v>NOA</v>
      </c>
      <c r="I1888" s="61" t="str">
        <f aca="false">IF(TRIM($AD1888)="",INDEX(Parametros!$I$20:$I$24,MATCH($H1888,Parametros!$H$20:$H$24,0)),TRIM($AD1888))</f>
        <v>Tucuman</v>
      </c>
      <c r="J1888" s="61" t="str">
        <f aca="false">INDEX(Parametros!$C$95:$C$106,MATCH(TRIM(INDEX(Datos_Origen!$E$2:$E$2459,$Z1888)),Parametros!$B$95:$B$106,0))</f>
        <v>Tienda fisica</v>
      </c>
      <c r="K1888" s="61" t="str">
        <f aca="false">INDEX(Parametros!$C$48:$C$67,MATCH(TRIM(INDEX(Datos_Origen!$F$2:$F$2459,$Z1888)),Parametros!$B$48:$B$67,0))</f>
        <v>Accesorios</v>
      </c>
      <c r="L1888" s="61" t="str">
        <f aca="false">$K1888&amp;" "&amp;$C1888</f>
        <v>Accesorios 2025</v>
      </c>
      <c r="M1888" s="61" t="str">
        <f aca="false">TRIM(INDEX(Datos_Origen!$G$2:$G$2459,$Z1888))</f>
        <v>Mouse Inalambrico</v>
      </c>
      <c r="N1888" s="61" t="str">
        <f aca="false">$M1888&amp;" "&amp;$C1888</f>
        <v>Mouse Inalambrico 2025</v>
      </c>
      <c r="O1888" s="63" t="n">
        <f aca="false">IF(ISTEXT($AC1888),VALUE($AC1888),$AC1888)</f>
        <v>33</v>
      </c>
      <c r="P1888" s="64" t="n">
        <f aca="false">INDEX(Datos_Origen!$I$2:$I$2459,$Z1888)</f>
        <v>28.11</v>
      </c>
      <c r="Q1888" s="64" t="n">
        <f aca="false">INDEX(Datos_Origen!$J$2:$J$2459,$Z1888)</f>
        <v>13.84</v>
      </c>
      <c r="R1888" s="65" t="n">
        <f aca="false">ROUND($O1888*$P1888,2)</f>
        <v>927.63</v>
      </c>
      <c r="S1888" s="65" t="n">
        <f aca="false">ROUND($O1888*$Q1888,2)</f>
        <v>456.72</v>
      </c>
      <c r="T1888" s="65" t="n">
        <f aca="false">ROUND($R1888*SUMIFS(Parametros!$E$28:$E$43,Parametros!$B$28:$B$43,$J1888,Parametros!$C$28:$C$43,$C1888,Parametros!$D$28:$D$43,$D1888),2)</f>
        <v>12.06</v>
      </c>
      <c r="U1888" s="65" t="n">
        <f aca="false">$R1888-$S1888-$T1888</f>
        <v>458.85</v>
      </c>
      <c r="V1888" s="66" t="n">
        <f aca="false">IFERROR($U1888/$R1888,0)</f>
        <v>0.494647650464086</v>
      </c>
      <c r="W1888" s="67" t="str">
        <f aca="false">IF(AND($V1888&gt;=Parametros!$C$8,$R1888&gt;=Parametros!$C$12),"Alta rentabilidad",IF(OR($V1888&lt;Parametros!$C$11,$R1888&lt;Parametros!$C$13),"Revisar","Estandar"))</f>
        <v>Estandar</v>
      </c>
      <c r="X1888" s="67" t="str">
        <f aca="false">IF(AND($J1888="E-commerce",IFERROR($T1888/$R1888,0)&gt;Parametros!$C$14),"Alerta","OK")</f>
        <v>OK</v>
      </c>
      <c r="Y1888" s="61" t="str">
        <f aca="false">IF($R1888&gt;=Parametros!$C$12,"Alto",IF($R1888&lt;Parametros!$C$13,"Bajo","Medio"))</f>
        <v>Medio</v>
      </c>
      <c r="Z1888" s="61" t="n">
        <v>782</v>
      </c>
      <c r="AA1888" s="61" t="str">
        <f aca="false">IF(MATCH($A1888,Datos_Origen!$A$2:$A$2459,0)=$Z1888,"OK","REVISAR")</f>
        <v>OK</v>
      </c>
      <c r="AB1888" s="62" t="n">
        <f aca="false">INDEX(Datos_Origen!$B$2:$B$2459,$Z1888)</f>
        <v>45845</v>
      </c>
      <c r="AC1888" s="61" t="n">
        <f aca="false">INDEX(Datos_Origen!$H$2:$H$2459,$Z1888)</f>
        <v>33</v>
      </c>
      <c r="AD1888" s="61" t="str">
        <f aca="false">INDEX(Datos_Origen!$D$2:$D$2459,$Z1888)&amp;""</f>
        <v>Tucuman</v>
      </c>
    </row>
    <row r="1889" customFormat="false" ht="15" hidden="false" customHeight="false" outlineLevel="0" collapsed="false">
      <c r="A1889" s="61" t="n">
        <f aca="false">INDEX(Datos_Origen!$A$2:$A$2459,$Z1889)</f>
        <v>1888</v>
      </c>
      <c r="B1889" s="62" t="n">
        <f aca="false">IF(ISNUMBER($AB1889),$AB1889,IF(MID($AB1889,5,1)="-",DATE(VALUE(LEFT($AB1889,4)),VALUE(MID($AB1889,6,2)),VALUE(RIGHT($AB1889,2))),DATE(VALUE(RIGHT($AB1889,4)),VALUE(MID($AB1889,4,2)),VALUE(LEFT($AB1889,2)))))</f>
        <v>45852</v>
      </c>
      <c r="C1889" s="61" t="n">
        <f aca="false">YEAR($B1889)</f>
        <v>2025</v>
      </c>
      <c r="D1889" s="61" t="str">
        <f aca="false">"Q"&amp;ROUNDUP(MONTH($B1889)/3,0)</f>
        <v>Q3</v>
      </c>
      <c r="E1889" s="61" t="n">
        <f aca="false">MONTH($B1889)</f>
        <v>7</v>
      </c>
      <c r="F1889" s="61" t="str">
        <f aca="false">INDEX(Parametros!$I$5:$I$16,$E1889)</f>
        <v>Jul</v>
      </c>
      <c r="G1889" s="61" t="str">
        <f aca="false">TEXT($C1889,"0000")&amp;"-"&amp;TEXT($E1889,"00")</f>
        <v>2025-07</v>
      </c>
      <c r="H1889" s="61" t="str">
        <f aca="false">INDEX(Parametros!$C$71:$C$91,MATCH(TRIM(INDEX(Datos_Origen!$C$2:$C$2459,$Z1889)),Parametros!$B$71:$B$91,0))</f>
        <v>NOA</v>
      </c>
      <c r="I1889" s="61" t="str">
        <f aca="false">IF(TRIM($AD1889)="",INDEX(Parametros!$I$20:$I$24,MATCH($H1889,Parametros!$H$20:$H$24,0)),TRIM($AD1889))</f>
        <v>Tucuman</v>
      </c>
      <c r="J1889" s="61" t="str">
        <f aca="false">INDEX(Parametros!$C$95:$C$106,MATCH(TRIM(INDEX(Datos_Origen!$E$2:$E$2459,$Z1889)),Parametros!$B$95:$B$106,0))</f>
        <v>E-commerce</v>
      </c>
      <c r="K1889" s="61" t="str">
        <f aca="false">INDEX(Parametros!$C$48:$C$67,MATCH(TRIM(INDEX(Datos_Origen!$F$2:$F$2459,$Z1889)),Parametros!$B$48:$B$67,0))</f>
        <v>Accesorios</v>
      </c>
      <c r="L1889" s="61" t="str">
        <f aca="false">$K1889&amp;" "&amp;$C1889</f>
        <v>Accesorios 2025</v>
      </c>
      <c r="M1889" s="61" t="str">
        <f aca="false">TRIM(INDEX(Datos_Origen!$G$2:$G$2459,$Z1889))</f>
        <v>Mouse Inalambrico</v>
      </c>
      <c r="N1889" s="61" t="str">
        <f aca="false">$M1889&amp;" "&amp;$C1889</f>
        <v>Mouse Inalambrico 2025</v>
      </c>
      <c r="O1889" s="63" t="n">
        <f aca="false">IF(ISTEXT($AC1889),VALUE($AC1889),$AC1889)</f>
        <v>24</v>
      </c>
      <c r="P1889" s="64" t="n">
        <f aca="false">INDEX(Datos_Origen!$I$2:$I$2459,$Z1889)</f>
        <v>28.11</v>
      </c>
      <c r="Q1889" s="64" t="n">
        <f aca="false">INDEX(Datos_Origen!$J$2:$J$2459,$Z1889)</f>
        <v>13.84</v>
      </c>
      <c r="R1889" s="65" t="n">
        <f aca="false">ROUND($O1889*$P1889,2)</f>
        <v>674.64</v>
      </c>
      <c r="S1889" s="65" t="n">
        <f aca="false">ROUND($O1889*$Q1889,2)</f>
        <v>332.16</v>
      </c>
      <c r="T1889" s="65" t="n">
        <f aca="false">ROUND($R1889*SUMIFS(Parametros!$E$28:$E$43,Parametros!$B$28:$B$43,$J1889,Parametros!$C$28:$C$43,$C1889,Parametros!$D$28:$D$43,$D1889),2)</f>
        <v>37.78</v>
      </c>
      <c r="U1889" s="65" t="n">
        <f aca="false">$R1889-$S1889-$T1889</f>
        <v>304.7</v>
      </c>
      <c r="V1889" s="66" t="n">
        <f aca="false">IFERROR($U1889/$R1889,0)</f>
        <v>0.451648286493537</v>
      </c>
      <c r="W1889" s="67" t="str">
        <f aca="false">IF(AND($V1889&gt;=Parametros!$C$8,$R1889&gt;=Parametros!$C$12),"Alta rentabilidad",IF(OR($V1889&lt;Parametros!$C$11,$R1889&lt;Parametros!$C$13),"Revisar","Estandar"))</f>
        <v>Estandar</v>
      </c>
      <c r="X1889" s="67" t="str">
        <f aca="false">IF(AND($J1889="E-commerce",IFERROR($T1889/$R1889,0)&gt;Parametros!$C$14),"Alerta","OK")</f>
        <v>Alerta</v>
      </c>
      <c r="Y1889" s="61" t="str">
        <f aca="false">IF($R1889&gt;=Parametros!$C$12,"Alto",IF($R1889&lt;Parametros!$C$13,"Bajo","Medio"))</f>
        <v>Medio</v>
      </c>
      <c r="Z1889" s="61" t="n">
        <v>1018</v>
      </c>
      <c r="AA1889" s="61" t="str">
        <f aca="false">IF(MATCH($A1889,Datos_Origen!$A$2:$A$2459,0)=$Z1889,"OK","REVISAR")</f>
        <v>OK</v>
      </c>
      <c r="AB1889" s="62" t="n">
        <f aca="false">INDEX(Datos_Origen!$B$2:$B$2459,$Z1889)</f>
        <v>45852</v>
      </c>
      <c r="AC1889" s="61" t="n">
        <f aca="false">INDEX(Datos_Origen!$H$2:$H$2459,$Z1889)</f>
        <v>24</v>
      </c>
      <c r="AD1889" s="61" t="str">
        <f aca="false">INDEX(Datos_Origen!$D$2:$D$2459,$Z1889)&amp;""</f>
        <v>Tucuman</v>
      </c>
    </row>
    <row r="1890" customFormat="false" ht="15" hidden="false" customHeight="false" outlineLevel="0" collapsed="false">
      <c r="A1890" s="61" t="n">
        <f aca="false">INDEX(Datos_Origen!$A$2:$A$2459,$Z1890)</f>
        <v>1889</v>
      </c>
      <c r="B1890" s="62" t="n">
        <f aca="false">IF(ISNUMBER($AB1890),$AB1890,IF(MID($AB1890,5,1)="-",DATE(VALUE(LEFT($AB1890,4)),VALUE(MID($AB1890,6,2)),VALUE(RIGHT($AB1890,2))),DATE(VALUE(RIGHT($AB1890,4)),VALUE(MID($AB1890,4,2)),VALUE(LEFT($AB1890,2)))))</f>
        <v>45859</v>
      </c>
      <c r="C1890" s="61" t="n">
        <f aca="false">YEAR($B1890)</f>
        <v>2025</v>
      </c>
      <c r="D1890" s="61" t="str">
        <f aca="false">"Q"&amp;ROUNDUP(MONTH($B1890)/3,0)</f>
        <v>Q3</v>
      </c>
      <c r="E1890" s="61" t="n">
        <f aca="false">MONTH($B1890)</f>
        <v>7</v>
      </c>
      <c r="F1890" s="61" t="str">
        <f aca="false">INDEX(Parametros!$I$5:$I$16,$E1890)</f>
        <v>Jul</v>
      </c>
      <c r="G1890" s="61" t="str">
        <f aca="false">TEXT($C1890,"0000")&amp;"-"&amp;TEXT($E1890,"00")</f>
        <v>2025-07</v>
      </c>
      <c r="H1890" s="61" t="str">
        <f aca="false">INDEX(Parametros!$C$71:$C$91,MATCH(TRIM(INDEX(Datos_Origen!$C$2:$C$2459,$Z1890)),Parametros!$B$71:$B$91,0))</f>
        <v>NOA</v>
      </c>
      <c r="I1890" s="61" t="str">
        <f aca="false">IF(TRIM($AD1890)="",INDEX(Parametros!$I$20:$I$24,MATCH($H1890,Parametros!$H$20:$H$24,0)),TRIM($AD1890))</f>
        <v>Tucuman</v>
      </c>
      <c r="J1890" s="61" t="str">
        <f aca="false">INDEX(Parametros!$C$95:$C$106,MATCH(TRIM(INDEX(Datos_Origen!$E$2:$E$2459,$Z1890)),Parametros!$B$95:$B$106,0))</f>
        <v>Tienda fisica</v>
      </c>
      <c r="K1890" s="61" t="str">
        <f aca="false">INDEX(Parametros!$C$48:$C$67,MATCH(TRIM(INDEX(Datos_Origen!$F$2:$F$2459,$Z1890)),Parametros!$B$48:$B$67,0))</f>
        <v>Accesorios</v>
      </c>
      <c r="L1890" s="61" t="str">
        <f aca="false">$K1890&amp;" "&amp;$C1890</f>
        <v>Accesorios 2025</v>
      </c>
      <c r="M1890" s="61" t="str">
        <f aca="false">TRIM(INDEX(Datos_Origen!$G$2:$G$2459,$Z1890))</f>
        <v>Teclado Mecanico</v>
      </c>
      <c r="N1890" s="61" t="str">
        <f aca="false">$M1890&amp;" "&amp;$C1890</f>
        <v>Teclado Mecanico 2025</v>
      </c>
      <c r="O1890" s="63" t="n">
        <f aca="false">IF(ISTEXT($AC1890),VALUE($AC1890),$AC1890)</f>
        <v>36</v>
      </c>
      <c r="P1890" s="64" t="n">
        <f aca="false">INDEX(Datos_Origen!$I$2:$I$2459,$Z1890)</f>
        <v>95.38</v>
      </c>
      <c r="Q1890" s="64" t="n">
        <f aca="false">INDEX(Datos_Origen!$J$2:$J$2459,$Z1890)</f>
        <v>49.41</v>
      </c>
      <c r="R1890" s="65" t="n">
        <f aca="false">ROUND($O1890*$P1890,2)</f>
        <v>3433.68</v>
      </c>
      <c r="S1890" s="65" t="n">
        <f aca="false">ROUND($O1890*$Q1890,2)</f>
        <v>1778.76</v>
      </c>
      <c r="T1890" s="65" t="n">
        <f aca="false">ROUND($R1890*SUMIFS(Parametros!$E$28:$E$43,Parametros!$B$28:$B$43,$J1890,Parametros!$C$28:$C$43,$C1890,Parametros!$D$28:$D$43,$D1890),2)</f>
        <v>44.64</v>
      </c>
      <c r="U1890" s="65" t="n">
        <f aca="false">$R1890-$S1890-$T1890</f>
        <v>1610.28</v>
      </c>
      <c r="V1890" s="66" t="n">
        <f aca="false">IFERROR($U1890/$R1890,0)</f>
        <v>0.46896624030195</v>
      </c>
      <c r="W1890" s="67" t="str">
        <f aca="false">IF(AND($V1890&gt;=Parametros!$C$8,$R1890&gt;=Parametros!$C$12),"Alta rentabilidad",IF(OR($V1890&lt;Parametros!$C$11,$R1890&lt;Parametros!$C$13),"Revisar","Estandar"))</f>
        <v>Alta rentabilidad</v>
      </c>
      <c r="X1890" s="67" t="str">
        <f aca="false">IF(AND($J1890="E-commerce",IFERROR($T1890/$R1890,0)&gt;Parametros!$C$14),"Alerta","OK")</f>
        <v>OK</v>
      </c>
      <c r="Y1890" s="61" t="str">
        <f aca="false">IF($R1890&gt;=Parametros!$C$12,"Alto",IF($R1890&lt;Parametros!$C$13,"Bajo","Medio"))</f>
        <v>Alto</v>
      </c>
      <c r="Z1890" s="61" t="n">
        <v>1021</v>
      </c>
      <c r="AA1890" s="61" t="str">
        <f aca="false">IF(MATCH($A1890,Datos_Origen!$A$2:$A$2459,0)=$Z1890,"OK","REVISAR")</f>
        <v>OK</v>
      </c>
      <c r="AB1890" s="62" t="n">
        <f aca="false">INDEX(Datos_Origen!$B$2:$B$2459,$Z1890)</f>
        <v>45859</v>
      </c>
      <c r="AC1890" s="61" t="n">
        <f aca="false">INDEX(Datos_Origen!$H$2:$H$2459,$Z1890)</f>
        <v>36</v>
      </c>
      <c r="AD1890" s="61" t="str">
        <f aca="false">INDEX(Datos_Origen!$D$2:$D$2459,$Z1890)&amp;""</f>
        <v>Tucuman</v>
      </c>
    </row>
    <row r="1891" customFormat="false" ht="15" hidden="false" customHeight="false" outlineLevel="0" collapsed="false">
      <c r="A1891" s="61" t="n">
        <f aca="false">INDEX(Datos_Origen!$A$2:$A$2459,$Z1891)</f>
        <v>1890</v>
      </c>
      <c r="B1891" s="62" t="n">
        <f aca="false">IF(ISNUMBER($AB1891),$AB1891,IF(MID($AB1891,5,1)="-",DATE(VALUE(LEFT($AB1891,4)),VALUE(MID($AB1891,6,2)),VALUE(RIGHT($AB1891,2))),DATE(VALUE(RIGHT($AB1891,4)),VALUE(MID($AB1891,4,2)),VALUE(LEFT($AB1891,2)))))</f>
        <v>45839</v>
      </c>
      <c r="C1891" s="61" t="n">
        <f aca="false">YEAR($B1891)</f>
        <v>2025</v>
      </c>
      <c r="D1891" s="61" t="str">
        <f aca="false">"Q"&amp;ROUNDUP(MONTH($B1891)/3,0)</f>
        <v>Q3</v>
      </c>
      <c r="E1891" s="61" t="n">
        <f aca="false">MONTH($B1891)</f>
        <v>7</v>
      </c>
      <c r="F1891" s="61" t="str">
        <f aca="false">INDEX(Parametros!$I$5:$I$16,$E1891)</f>
        <v>Jul</v>
      </c>
      <c r="G1891" s="61" t="str">
        <f aca="false">TEXT($C1891,"0000")&amp;"-"&amp;TEXT($E1891,"00")</f>
        <v>2025-07</v>
      </c>
      <c r="H1891" s="61" t="str">
        <f aca="false">INDEX(Parametros!$C$71:$C$91,MATCH(TRIM(INDEX(Datos_Origen!$C$2:$C$2459,$Z1891)),Parametros!$B$71:$B$91,0))</f>
        <v>NOA</v>
      </c>
      <c r="I1891" s="61" t="str">
        <f aca="false">IF(TRIM($AD1891)="",INDEX(Parametros!$I$20:$I$24,MATCH($H1891,Parametros!$H$20:$H$24,0)),TRIM($AD1891))</f>
        <v>Tucuman</v>
      </c>
      <c r="J1891" s="61" t="str">
        <f aca="false">INDEX(Parametros!$C$95:$C$106,MATCH(TRIM(INDEX(Datos_Origen!$E$2:$E$2459,$Z1891)),Parametros!$B$95:$B$106,0))</f>
        <v>E-commerce</v>
      </c>
      <c r="K1891" s="61" t="str">
        <f aca="false">INDEX(Parametros!$C$48:$C$67,MATCH(TRIM(INDEX(Datos_Origen!$F$2:$F$2459,$Z1891)),Parametros!$B$48:$B$67,0))</f>
        <v>Accesorios</v>
      </c>
      <c r="L1891" s="61" t="str">
        <f aca="false">$K1891&amp;" "&amp;$C1891</f>
        <v>Accesorios 2025</v>
      </c>
      <c r="M1891" s="61" t="str">
        <f aca="false">TRIM(INDEX(Datos_Origen!$G$2:$G$2459,$Z1891))</f>
        <v>Teclado Mecanico</v>
      </c>
      <c r="N1891" s="61" t="str">
        <f aca="false">$M1891&amp;" "&amp;$C1891</f>
        <v>Teclado Mecanico 2025</v>
      </c>
      <c r="O1891" s="63" t="n">
        <f aca="false">IF(ISTEXT($AC1891),VALUE($AC1891),$AC1891)</f>
        <v>26</v>
      </c>
      <c r="P1891" s="64" t="n">
        <f aca="false">INDEX(Datos_Origen!$I$2:$I$2459,$Z1891)</f>
        <v>95.38</v>
      </c>
      <c r="Q1891" s="64" t="n">
        <f aca="false">INDEX(Datos_Origen!$J$2:$J$2459,$Z1891)</f>
        <v>49.41</v>
      </c>
      <c r="R1891" s="65" t="n">
        <f aca="false">ROUND($O1891*$P1891,2)</f>
        <v>2479.88</v>
      </c>
      <c r="S1891" s="65" t="n">
        <f aca="false">ROUND($O1891*$Q1891,2)</f>
        <v>1284.66</v>
      </c>
      <c r="T1891" s="65" t="n">
        <f aca="false">ROUND($R1891*SUMIFS(Parametros!$E$28:$E$43,Parametros!$B$28:$B$43,$J1891,Parametros!$C$28:$C$43,$C1891,Parametros!$D$28:$D$43,$D1891),2)</f>
        <v>138.87</v>
      </c>
      <c r="U1891" s="65" t="n">
        <f aca="false">$R1891-$S1891-$T1891</f>
        <v>1056.35</v>
      </c>
      <c r="V1891" s="66" t="n">
        <f aca="false">IFERROR($U1891/$R1891,0)</f>
        <v>0.425968192009291</v>
      </c>
      <c r="W1891" s="67" t="str">
        <f aca="false">IF(AND($V1891&gt;=Parametros!$C$8,$R1891&gt;=Parametros!$C$12),"Alta rentabilidad",IF(OR($V1891&lt;Parametros!$C$11,$R1891&lt;Parametros!$C$13),"Revisar","Estandar"))</f>
        <v>Estandar</v>
      </c>
      <c r="X1891" s="67" t="str">
        <f aca="false">IF(AND($J1891="E-commerce",IFERROR($T1891/$R1891,0)&gt;Parametros!$C$14),"Alerta","OK")</f>
        <v>Alerta</v>
      </c>
      <c r="Y1891" s="61" t="str">
        <f aca="false">IF($R1891&gt;=Parametros!$C$12,"Alto",IF($R1891&lt;Parametros!$C$13,"Bajo","Medio"))</f>
        <v>Medio</v>
      </c>
      <c r="Z1891" s="61" t="n">
        <v>1784</v>
      </c>
      <c r="AA1891" s="61" t="str">
        <f aca="false">IF(MATCH($A1891,Datos_Origen!$A$2:$A$2459,0)=$Z1891,"OK","REVISAR")</f>
        <v>OK</v>
      </c>
      <c r="AB1891" s="62" t="n">
        <f aca="false">INDEX(Datos_Origen!$B$2:$B$2459,$Z1891)</f>
        <v>45839</v>
      </c>
      <c r="AC1891" s="61" t="n">
        <f aca="false">INDEX(Datos_Origen!$H$2:$H$2459,$Z1891)</f>
        <v>26</v>
      </c>
      <c r="AD1891" s="61" t="str">
        <f aca="false">INDEX(Datos_Origen!$D$2:$D$2459,$Z1891)&amp;""</f>
        <v>Tucuman</v>
      </c>
    </row>
    <row r="1892" customFormat="false" ht="15" hidden="false" customHeight="false" outlineLevel="0" collapsed="false">
      <c r="A1892" s="61" t="n">
        <f aca="false">INDEX(Datos_Origen!$A$2:$A$2459,$Z1892)</f>
        <v>1891</v>
      </c>
      <c r="B1892" s="62" t="n">
        <f aca="false">IF(ISNUMBER($AB1892),$AB1892,IF(MID($AB1892,5,1)="-",DATE(VALUE(LEFT($AB1892,4)),VALUE(MID($AB1892,6,2)),VALUE(RIGHT($AB1892,2))),DATE(VALUE(RIGHT($AB1892,4)),VALUE(MID($AB1892,4,2)),VALUE(LEFT($AB1892,2)))))</f>
        <v>45846</v>
      </c>
      <c r="C1892" s="61" t="n">
        <f aca="false">YEAR($B1892)</f>
        <v>2025</v>
      </c>
      <c r="D1892" s="61" t="str">
        <f aca="false">"Q"&amp;ROUNDUP(MONTH($B1892)/3,0)</f>
        <v>Q3</v>
      </c>
      <c r="E1892" s="61" t="n">
        <f aca="false">MONTH($B1892)</f>
        <v>7</v>
      </c>
      <c r="F1892" s="61" t="str">
        <f aca="false">INDEX(Parametros!$I$5:$I$16,$E1892)</f>
        <v>Jul</v>
      </c>
      <c r="G1892" s="61" t="str">
        <f aca="false">TEXT($C1892,"0000")&amp;"-"&amp;TEXT($E1892,"00")</f>
        <v>2025-07</v>
      </c>
      <c r="H1892" s="61" t="str">
        <f aca="false">INDEX(Parametros!$C$71:$C$91,MATCH(TRIM(INDEX(Datos_Origen!$C$2:$C$2459,$Z1892)),Parametros!$B$71:$B$91,0))</f>
        <v>NOA</v>
      </c>
      <c r="I1892" s="61" t="str">
        <f aca="false">IF(TRIM($AD1892)="",INDEX(Parametros!$I$20:$I$24,MATCH($H1892,Parametros!$H$20:$H$24,0)),TRIM($AD1892))</f>
        <v>Tucuman</v>
      </c>
      <c r="J1892" s="61" t="str">
        <f aca="false">INDEX(Parametros!$C$95:$C$106,MATCH(TRIM(INDEX(Datos_Origen!$E$2:$E$2459,$Z1892)),Parametros!$B$95:$B$106,0))</f>
        <v>Tienda fisica</v>
      </c>
      <c r="K1892" s="61" t="str">
        <f aca="false">INDEX(Parametros!$C$48:$C$67,MATCH(TRIM(INDEX(Datos_Origen!$F$2:$F$2459,$Z1892)),Parametros!$B$48:$B$67,0))</f>
        <v>Accesorios</v>
      </c>
      <c r="L1892" s="61" t="str">
        <f aca="false">$K1892&amp;" "&amp;$C1892</f>
        <v>Accesorios 2025</v>
      </c>
      <c r="M1892" s="61" t="str">
        <f aca="false">TRIM(INDEX(Datos_Origen!$G$2:$G$2459,$Z1892))</f>
        <v>Webcam Full HD</v>
      </c>
      <c r="N1892" s="61" t="str">
        <f aca="false">$M1892&amp;" "&amp;$C1892</f>
        <v>Webcam Full HD 2025</v>
      </c>
      <c r="O1892" s="63" t="n">
        <f aca="false">IF(ISTEXT($AC1892),VALUE($AC1892),$AC1892)</f>
        <v>37</v>
      </c>
      <c r="P1892" s="64" t="n">
        <f aca="false">INDEX(Datos_Origen!$I$2:$I$2459,$Z1892)</f>
        <v>65.26</v>
      </c>
      <c r="Q1892" s="64" t="n">
        <f aca="false">INDEX(Datos_Origen!$J$2:$J$2459,$Z1892)</f>
        <v>36.49</v>
      </c>
      <c r="R1892" s="65" t="n">
        <f aca="false">ROUND($O1892*$P1892,2)</f>
        <v>2414.62</v>
      </c>
      <c r="S1892" s="65" t="n">
        <f aca="false">ROUND($O1892*$Q1892,2)</f>
        <v>1350.13</v>
      </c>
      <c r="T1892" s="65" t="n">
        <f aca="false">ROUND($R1892*SUMIFS(Parametros!$E$28:$E$43,Parametros!$B$28:$B$43,$J1892,Parametros!$C$28:$C$43,$C1892,Parametros!$D$28:$D$43,$D1892),2)</f>
        <v>31.39</v>
      </c>
      <c r="U1892" s="65" t="n">
        <f aca="false">$R1892-$S1892-$T1892</f>
        <v>1033.1</v>
      </c>
      <c r="V1892" s="66" t="n">
        <f aca="false">IFERROR($U1892/$R1892,0)</f>
        <v>0.427852001557181</v>
      </c>
      <c r="W1892" s="67" t="str">
        <f aca="false">IF(AND($V1892&gt;=Parametros!$C$8,$R1892&gt;=Parametros!$C$12),"Alta rentabilidad",IF(OR($V1892&lt;Parametros!$C$11,$R1892&lt;Parametros!$C$13),"Revisar","Estandar"))</f>
        <v>Estandar</v>
      </c>
      <c r="X1892" s="67" t="str">
        <f aca="false">IF(AND($J1892="E-commerce",IFERROR($T1892/$R1892,0)&gt;Parametros!$C$14),"Alerta","OK")</f>
        <v>OK</v>
      </c>
      <c r="Y1892" s="61" t="str">
        <f aca="false">IF($R1892&gt;=Parametros!$C$12,"Alto",IF($R1892&lt;Parametros!$C$13,"Bajo","Medio"))</f>
        <v>Medio</v>
      </c>
      <c r="Z1892" s="61" t="n">
        <v>1789</v>
      </c>
      <c r="AA1892" s="61" t="str">
        <f aca="false">IF(MATCH($A1892,Datos_Origen!$A$2:$A$2459,0)=$Z1892,"OK","REVISAR")</f>
        <v>OK</v>
      </c>
      <c r="AB1892" s="62" t="n">
        <f aca="false">INDEX(Datos_Origen!$B$2:$B$2459,$Z1892)</f>
        <v>45846</v>
      </c>
      <c r="AC1892" s="61" t="n">
        <f aca="false">INDEX(Datos_Origen!$H$2:$H$2459,$Z1892)</f>
        <v>37</v>
      </c>
      <c r="AD1892" s="61" t="str">
        <f aca="false">INDEX(Datos_Origen!$D$2:$D$2459,$Z1892)&amp;""</f>
        <v>Tucuman</v>
      </c>
    </row>
    <row r="1893" customFormat="false" ht="15" hidden="false" customHeight="false" outlineLevel="0" collapsed="false">
      <c r="A1893" s="61" t="n">
        <f aca="false">INDEX(Datos_Origen!$A$2:$A$2459,$Z1893)</f>
        <v>1892</v>
      </c>
      <c r="B1893" s="62" t="n">
        <f aca="false">IF(ISNUMBER($AB1893),$AB1893,IF(MID($AB1893,5,1)="-",DATE(VALUE(LEFT($AB1893,4)),VALUE(MID($AB1893,6,2)),VALUE(RIGHT($AB1893,2))),DATE(VALUE(RIGHT($AB1893,4)),VALUE(MID($AB1893,4,2)),VALUE(LEFT($AB1893,2)))))</f>
        <v>45853</v>
      </c>
      <c r="C1893" s="61" t="n">
        <f aca="false">YEAR($B1893)</f>
        <v>2025</v>
      </c>
      <c r="D1893" s="61" t="str">
        <f aca="false">"Q"&amp;ROUNDUP(MONTH($B1893)/3,0)</f>
        <v>Q3</v>
      </c>
      <c r="E1893" s="61" t="n">
        <f aca="false">MONTH($B1893)</f>
        <v>7</v>
      </c>
      <c r="F1893" s="61" t="str">
        <f aca="false">INDEX(Parametros!$I$5:$I$16,$E1893)</f>
        <v>Jul</v>
      </c>
      <c r="G1893" s="61" t="str">
        <f aca="false">TEXT($C1893,"0000")&amp;"-"&amp;TEXT($E1893,"00")</f>
        <v>2025-07</v>
      </c>
      <c r="H1893" s="61" t="str">
        <f aca="false">INDEX(Parametros!$C$71:$C$91,MATCH(TRIM(INDEX(Datos_Origen!$C$2:$C$2459,$Z1893)),Parametros!$B$71:$B$91,0))</f>
        <v>NOA</v>
      </c>
      <c r="I1893" s="61" t="str">
        <f aca="false">IF(TRIM($AD1893)="",INDEX(Parametros!$I$20:$I$24,MATCH($H1893,Parametros!$H$20:$H$24,0)),TRIM($AD1893))</f>
        <v>Tucuman</v>
      </c>
      <c r="J1893" s="61" t="str">
        <f aca="false">INDEX(Parametros!$C$95:$C$106,MATCH(TRIM(INDEX(Datos_Origen!$E$2:$E$2459,$Z1893)),Parametros!$B$95:$B$106,0))</f>
        <v>E-commerce</v>
      </c>
      <c r="K1893" s="61" t="str">
        <f aca="false">INDEX(Parametros!$C$48:$C$67,MATCH(TRIM(INDEX(Datos_Origen!$F$2:$F$2459,$Z1893)),Parametros!$B$48:$B$67,0))</f>
        <v>Accesorios</v>
      </c>
      <c r="L1893" s="61" t="str">
        <f aca="false">$K1893&amp;" "&amp;$C1893</f>
        <v>Accesorios 2025</v>
      </c>
      <c r="M1893" s="61" t="str">
        <f aca="false">TRIM(INDEX(Datos_Origen!$G$2:$G$2459,$Z1893))</f>
        <v>Webcam Full HD</v>
      </c>
      <c r="N1893" s="61" t="str">
        <f aca="false">$M1893&amp;" "&amp;$C1893</f>
        <v>Webcam Full HD 2025</v>
      </c>
      <c r="O1893" s="63" t="n">
        <f aca="false">IF(ISTEXT($AC1893),VALUE($AC1893),$AC1893)</f>
        <v>26</v>
      </c>
      <c r="P1893" s="64" t="n">
        <f aca="false">INDEX(Datos_Origen!$I$2:$I$2459,$Z1893)</f>
        <v>65.26</v>
      </c>
      <c r="Q1893" s="64" t="n">
        <f aca="false">INDEX(Datos_Origen!$J$2:$J$2459,$Z1893)</f>
        <v>36.49</v>
      </c>
      <c r="R1893" s="65" t="n">
        <f aca="false">ROUND($O1893*$P1893,2)</f>
        <v>1696.76</v>
      </c>
      <c r="S1893" s="65" t="n">
        <f aca="false">ROUND($O1893*$Q1893,2)</f>
        <v>948.74</v>
      </c>
      <c r="T1893" s="65" t="n">
        <f aca="false">ROUND($R1893*SUMIFS(Parametros!$E$28:$E$43,Parametros!$B$28:$B$43,$J1893,Parametros!$C$28:$C$43,$C1893,Parametros!$D$28:$D$43,$D1893),2)</f>
        <v>95.02</v>
      </c>
      <c r="U1893" s="65" t="n">
        <f aca="false">$R1893-$S1893-$T1893</f>
        <v>653</v>
      </c>
      <c r="V1893" s="66" t="n">
        <f aca="false">IFERROR($U1893/$R1893,0)</f>
        <v>0.38485112803225</v>
      </c>
      <c r="W1893" s="67" t="str">
        <f aca="false">IF(AND($V1893&gt;=Parametros!$C$8,$R1893&gt;=Parametros!$C$12),"Alta rentabilidad",IF(OR($V1893&lt;Parametros!$C$11,$R1893&lt;Parametros!$C$13),"Revisar","Estandar"))</f>
        <v>Estandar</v>
      </c>
      <c r="X1893" s="67" t="str">
        <f aca="false">IF(AND($J1893="E-commerce",IFERROR($T1893/$R1893,0)&gt;Parametros!$C$14),"Alerta","OK")</f>
        <v>Alerta</v>
      </c>
      <c r="Y1893" s="61" t="str">
        <f aca="false">IF($R1893&gt;=Parametros!$C$12,"Alto",IF($R1893&lt;Parametros!$C$13,"Bajo","Medio"))</f>
        <v>Medio</v>
      </c>
      <c r="Z1893" s="61" t="n">
        <v>887</v>
      </c>
      <c r="AA1893" s="61" t="str">
        <f aca="false">IF(MATCH($A1893,Datos_Origen!$A$2:$A$2459,0)=$Z1893,"OK","REVISAR")</f>
        <v>OK</v>
      </c>
      <c r="AB1893" s="62" t="n">
        <f aca="false">INDEX(Datos_Origen!$B$2:$B$2459,$Z1893)</f>
        <v>45853</v>
      </c>
      <c r="AC1893" s="61" t="n">
        <f aca="false">INDEX(Datos_Origen!$H$2:$H$2459,$Z1893)</f>
        <v>26</v>
      </c>
      <c r="AD1893" s="61" t="str">
        <f aca="false">INDEX(Datos_Origen!$D$2:$D$2459,$Z1893)&amp;""</f>
        <v>Tucuman</v>
      </c>
    </row>
    <row r="1894" customFormat="false" ht="15" hidden="false" customHeight="false" outlineLevel="0" collapsed="false">
      <c r="A1894" s="61" t="n">
        <f aca="false">INDEX(Datos_Origen!$A$2:$A$2459,$Z1894)</f>
        <v>1893</v>
      </c>
      <c r="B1894" s="62" t="n">
        <f aca="false">IF(ISNUMBER($AB1894),$AB1894,IF(MID($AB1894,5,1)="-",DATE(VALUE(LEFT($AB1894,4)),VALUE(MID($AB1894,6,2)),VALUE(RIGHT($AB1894,2))),DATE(VALUE(RIGHT($AB1894,4)),VALUE(MID($AB1894,4,2)),VALUE(LEFT($AB1894,2)))))</f>
        <v>45860</v>
      </c>
      <c r="C1894" s="61" t="n">
        <f aca="false">YEAR($B1894)</f>
        <v>2025</v>
      </c>
      <c r="D1894" s="61" t="str">
        <f aca="false">"Q"&amp;ROUNDUP(MONTH($B1894)/3,0)</f>
        <v>Q3</v>
      </c>
      <c r="E1894" s="61" t="n">
        <f aca="false">MONTH($B1894)</f>
        <v>7</v>
      </c>
      <c r="F1894" s="61" t="str">
        <f aca="false">INDEX(Parametros!$I$5:$I$16,$E1894)</f>
        <v>Jul</v>
      </c>
      <c r="G1894" s="61" t="str">
        <f aca="false">TEXT($C1894,"0000")&amp;"-"&amp;TEXT($E1894,"00")</f>
        <v>2025-07</v>
      </c>
      <c r="H1894" s="61" t="str">
        <f aca="false">INDEX(Parametros!$C$71:$C$91,MATCH(TRIM(INDEX(Datos_Origen!$C$2:$C$2459,$Z1894)),Parametros!$B$71:$B$91,0))</f>
        <v>NOA</v>
      </c>
      <c r="I1894" s="61" t="str">
        <f aca="false">IF(TRIM($AD1894)="",INDEX(Parametros!$I$20:$I$24,MATCH($H1894,Parametros!$H$20:$H$24,0)),TRIM($AD1894))</f>
        <v>Tucuman</v>
      </c>
      <c r="J1894" s="61" t="str">
        <f aca="false">INDEX(Parametros!$C$95:$C$106,MATCH(TRIM(INDEX(Datos_Origen!$E$2:$E$2459,$Z1894)),Parametros!$B$95:$B$106,0))</f>
        <v>Tienda fisica</v>
      </c>
      <c r="K1894" s="61" t="str">
        <f aca="false">INDEX(Parametros!$C$48:$C$67,MATCH(TRIM(INDEX(Datos_Origen!$F$2:$F$2459,$Z1894)),Parametros!$B$48:$B$67,0))</f>
        <v>Audio</v>
      </c>
      <c r="L1894" s="61" t="str">
        <f aca="false">$K1894&amp;" "&amp;$C1894</f>
        <v>Audio 2025</v>
      </c>
      <c r="M1894" s="61" t="str">
        <f aca="false">TRIM(INDEX(Datos_Origen!$G$2:$G$2459,$Z1894))</f>
        <v>Auriculares BT Pro</v>
      </c>
      <c r="N1894" s="61" t="str">
        <f aca="false">$M1894&amp;" "&amp;$C1894</f>
        <v>Auriculares BT Pro 2025</v>
      </c>
      <c r="O1894" s="63" t="n">
        <f aca="false">IF(ISTEXT($AC1894),VALUE($AC1894),$AC1894)</f>
        <v>12</v>
      </c>
      <c r="P1894" s="64" t="n">
        <f aca="false">INDEX(Datos_Origen!$I$2:$I$2459,$Z1894)</f>
        <v>120.47</v>
      </c>
      <c r="Q1894" s="64" t="n">
        <f aca="false">INDEX(Datos_Origen!$J$2:$J$2459,$Z1894)</f>
        <v>65.51</v>
      </c>
      <c r="R1894" s="65" t="n">
        <f aca="false">ROUND($O1894*$P1894,2)</f>
        <v>1445.64</v>
      </c>
      <c r="S1894" s="65" t="n">
        <f aca="false">ROUND($O1894*$Q1894,2)</f>
        <v>786.12</v>
      </c>
      <c r="T1894" s="65" t="n">
        <f aca="false">ROUND($R1894*SUMIFS(Parametros!$E$28:$E$43,Parametros!$B$28:$B$43,$J1894,Parametros!$C$28:$C$43,$C1894,Parametros!$D$28:$D$43,$D1894),2)</f>
        <v>18.79</v>
      </c>
      <c r="U1894" s="65" t="n">
        <f aca="false">$R1894-$S1894-$T1894</f>
        <v>640.73</v>
      </c>
      <c r="V1894" s="66" t="n">
        <f aca="false">IFERROR($U1894/$R1894,0)</f>
        <v>0.443215461664038</v>
      </c>
      <c r="W1894" s="67" t="str">
        <f aca="false">IF(AND($V1894&gt;=Parametros!$C$8,$R1894&gt;=Parametros!$C$12),"Alta rentabilidad",IF(OR($V1894&lt;Parametros!$C$11,$R1894&lt;Parametros!$C$13),"Revisar","Estandar"))</f>
        <v>Estandar</v>
      </c>
      <c r="X1894" s="67" t="str">
        <f aca="false">IF(AND($J1894="E-commerce",IFERROR($T1894/$R1894,0)&gt;Parametros!$C$14),"Alerta","OK")</f>
        <v>OK</v>
      </c>
      <c r="Y1894" s="61" t="str">
        <f aca="false">IF($R1894&gt;=Parametros!$C$12,"Alto",IF($R1894&lt;Parametros!$C$13,"Bajo","Medio"))</f>
        <v>Medio</v>
      </c>
      <c r="Z1894" s="61" t="n">
        <v>1961</v>
      </c>
      <c r="AA1894" s="61" t="str">
        <f aca="false">IF(MATCH($A1894,Datos_Origen!$A$2:$A$2459,0)=$Z1894,"OK","REVISAR")</f>
        <v>OK</v>
      </c>
      <c r="AB1894" s="62" t="n">
        <f aca="false">INDEX(Datos_Origen!$B$2:$B$2459,$Z1894)</f>
        <v>45860</v>
      </c>
      <c r="AC1894" s="61" t="n">
        <f aca="false">INDEX(Datos_Origen!$H$2:$H$2459,$Z1894)</f>
        <v>12</v>
      </c>
      <c r="AD1894" s="61" t="str">
        <f aca="false">INDEX(Datos_Origen!$D$2:$D$2459,$Z1894)&amp;""</f>
        <v>Tucuman</v>
      </c>
    </row>
    <row r="1895" customFormat="false" ht="15" hidden="false" customHeight="false" outlineLevel="0" collapsed="false">
      <c r="A1895" s="61" t="n">
        <f aca="false">INDEX(Datos_Origen!$A$2:$A$2459,$Z1895)</f>
        <v>1894</v>
      </c>
      <c r="B1895" s="62" t="n">
        <f aca="false">IF(ISNUMBER($AB1895),$AB1895,IF(MID($AB1895,5,1)="-",DATE(VALUE(LEFT($AB1895,4)),VALUE(MID($AB1895,6,2)),VALUE(RIGHT($AB1895,2))),DATE(VALUE(RIGHT($AB1895,4)),VALUE(MID($AB1895,4,2)),VALUE(LEFT($AB1895,2)))))</f>
        <v>45840</v>
      </c>
      <c r="C1895" s="61" t="n">
        <f aca="false">YEAR($B1895)</f>
        <v>2025</v>
      </c>
      <c r="D1895" s="61" t="str">
        <f aca="false">"Q"&amp;ROUNDUP(MONTH($B1895)/3,0)</f>
        <v>Q3</v>
      </c>
      <c r="E1895" s="61" t="n">
        <f aca="false">MONTH($B1895)</f>
        <v>7</v>
      </c>
      <c r="F1895" s="61" t="str">
        <f aca="false">INDEX(Parametros!$I$5:$I$16,$E1895)</f>
        <v>Jul</v>
      </c>
      <c r="G1895" s="61" t="str">
        <f aca="false">TEXT($C1895,"0000")&amp;"-"&amp;TEXT($E1895,"00")</f>
        <v>2025-07</v>
      </c>
      <c r="H1895" s="61" t="str">
        <f aca="false">INDEX(Parametros!$C$71:$C$91,MATCH(TRIM(INDEX(Datos_Origen!$C$2:$C$2459,$Z1895)),Parametros!$B$71:$B$91,0))</f>
        <v>NOA</v>
      </c>
      <c r="I1895" s="61" t="str">
        <f aca="false">IF(TRIM($AD1895)="",INDEX(Parametros!$I$20:$I$24,MATCH($H1895,Parametros!$H$20:$H$24,0)),TRIM($AD1895))</f>
        <v>Tucuman</v>
      </c>
      <c r="J1895" s="61" t="str">
        <f aca="false">INDEX(Parametros!$C$95:$C$106,MATCH(TRIM(INDEX(Datos_Origen!$E$2:$E$2459,$Z1895)),Parametros!$B$95:$B$106,0))</f>
        <v>E-commerce</v>
      </c>
      <c r="K1895" s="61" t="str">
        <f aca="false">INDEX(Parametros!$C$48:$C$67,MATCH(TRIM(INDEX(Datos_Origen!$F$2:$F$2459,$Z1895)),Parametros!$B$48:$B$67,0))</f>
        <v>Audio</v>
      </c>
      <c r="L1895" s="61" t="str">
        <f aca="false">$K1895&amp;" "&amp;$C1895</f>
        <v>Audio 2025</v>
      </c>
      <c r="M1895" s="61" t="str">
        <f aca="false">TRIM(INDEX(Datos_Origen!$G$2:$G$2459,$Z1895))</f>
        <v>Auriculares BT Pro</v>
      </c>
      <c r="N1895" s="61" t="str">
        <f aca="false">$M1895&amp;" "&amp;$C1895</f>
        <v>Auriculares BT Pro 2025</v>
      </c>
      <c r="O1895" s="63" t="n">
        <f aca="false">IF(ISTEXT($AC1895),VALUE($AC1895),$AC1895)</f>
        <v>9</v>
      </c>
      <c r="P1895" s="64" t="n">
        <f aca="false">INDEX(Datos_Origen!$I$2:$I$2459,$Z1895)</f>
        <v>120.47</v>
      </c>
      <c r="Q1895" s="64" t="n">
        <f aca="false">INDEX(Datos_Origen!$J$2:$J$2459,$Z1895)</f>
        <v>65.51</v>
      </c>
      <c r="R1895" s="65" t="n">
        <f aca="false">ROUND($O1895*$P1895,2)</f>
        <v>1084.23</v>
      </c>
      <c r="S1895" s="65" t="n">
        <f aca="false">ROUND($O1895*$Q1895,2)</f>
        <v>589.59</v>
      </c>
      <c r="T1895" s="65" t="n">
        <f aca="false">ROUND($R1895*SUMIFS(Parametros!$E$28:$E$43,Parametros!$B$28:$B$43,$J1895,Parametros!$C$28:$C$43,$C1895,Parametros!$D$28:$D$43,$D1895),2)</f>
        <v>60.72</v>
      </c>
      <c r="U1895" s="65" t="n">
        <f aca="false">$R1895-$S1895-$T1895</f>
        <v>433.92</v>
      </c>
      <c r="V1895" s="66" t="n">
        <f aca="false">IFERROR($U1895/$R1895,0)</f>
        <v>0.400210287485128</v>
      </c>
      <c r="W1895" s="67" t="str">
        <f aca="false">IF(AND($V1895&gt;=Parametros!$C$8,$R1895&gt;=Parametros!$C$12),"Alta rentabilidad",IF(OR($V1895&lt;Parametros!$C$11,$R1895&lt;Parametros!$C$13),"Revisar","Estandar"))</f>
        <v>Estandar</v>
      </c>
      <c r="X1895" s="67" t="str">
        <f aca="false">IF(AND($J1895="E-commerce",IFERROR($T1895/$R1895,0)&gt;Parametros!$C$14),"Alerta","OK")</f>
        <v>Alerta</v>
      </c>
      <c r="Y1895" s="61" t="str">
        <f aca="false">IF($R1895&gt;=Parametros!$C$12,"Alto",IF($R1895&lt;Parametros!$C$13,"Bajo","Medio"))</f>
        <v>Medio</v>
      </c>
      <c r="Z1895" s="61" t="n">
        <v>928</v>
      </c>
      <c r="AA1895" s="61" t="str">
        <f aca="false">IF(MATCH($A1895,Datos_Origen!$A$2:$A$2459,0)=$Z1895,"OK","REVISAR")</f>
        <v>OK</v>
      </c>
      <c r="AB1895" s="62" t="n">
        <f aca="false">INDEX(Datos_Origen!$B$2:$B$2459,$Z1895)</f>
        <v>45840</v>
      </c>
      <c r="AC1895" s="61" t="n">
        <f aca="false">INDEX(Datos_Origen!$H$2:$H$2459,$Z1895)</f>
        <v>9</v>
      </c>
      <c r="AD1895" s="61" t="str">
        <f aca="false">INDEX(Datos_Origen!$D$2:$D$2459,$Z1895)&amp;""</f>
        <v>Tucuman</v>
      </c>
    </row>
    <row r="1896" customFormat="false" ht="15" hidden="false" customHeight="false" outlineLevel="0" collapsed="false">
      <c r="A1896" s="61" t="n">
        <f aca="false">INDEX(Datos_Origen!$A$2:$A$2459,$Z1896)</f>
        <v>1895</v>
      </c>
      <c r="B1896" s="62" t="n">
        <f aca="false">IF(ISNUMBER($AB1896),$AB1896,IF(MID($AB1896,5,1)="-",DATE(VALUE(LEFT($AB1896,4)),VALUE(MID($AB1896,6,2)),VALUE(RIGHT($AB1896,2))),DATE(VALUE(RIGHT($AB1896,4)),VALUE(MID($AB1896,4,2)),VALUE(LEFT($AB1896,2)))))</f>
        <v>45847</v>
      </c>
      <c r="C1896" s="61" t="n">
        <f aca="false">YEAR($B1896)</f>
        <v>2025</v>
      </c>
      <c r="D1896" s="61" t="str">
        <f aca="false">"Q"&amp;ROUNDUP(MONTH($B1896)/3,0)</f>
        <v>Q3</v>
      </c>
      <c r="E1896" s="61" t="n">
        <f aca="false">MONTH($B1896)</f>
        <v>7</v>
      </c>
      <c r="F1896" s="61" t="str">
        <f aca="false">INDEX(Parametros!$I$5:$I$16,$E1896)</f>
        <v>Jul</v>
      </c>
      <c r="G1896" s="61" t="str">
        <f aca="false">TEXT($C1896,"0000")&amp;"-"&amp;TEXT($E1896,"00")</f>
        <v>2025-07</v>
      </c>
      <c r="H1896" s="61" t="str">
        <f aca="false">INDEX(Parametros!$C$71:$C$91,MATCH(TRIM(INDEX(Datos_Origen!$C$2:$C$2459,$Z1896)),Parametros!$B$71:$B$91,0))</f>
        <v>NOA</v>
      </c>
      <c r="I1896" s="61" t="str">
        <f aca="false">IF(TRIM($AD1896)="",INDEX(Parametros!$I$20:$I$24,MATCH($H1896,Parametros!$H$20:$H$24,0)),TRIM($AD1896))</f>
        <v>Tucuman</v>
      </c>
      <c r="J1896" s="61" t="str">
        <f aca="false">INDEX(Parametros!$C$95:$C$106,MATCH(TRIM(INDEX(Datos_Origen!$E$2:$E$2459,$Z1896)),Parametros!$B$95:$B$106,0))</f>
        <v>Tienda fisica</v>
      </c>
      <c r="K1896" s="61" t="str">
        <f aca="false">INDEX(Parametros!$C$48:$C$67,MATCH(TRIM(INDEX(Datos_Origen!$F$2:$F$2459,$Z1896)),Parametros!$B$48:$B$67,0))</f>
        <v>Audio</v>
      </c>
      <c r="L1896" s="61" t="str">
        <f aca="false">$K1896&amp;" "&amp;$C1896</f>
        <v>Audio 2025</v>
      </c>
      <c r="M1896" s="61" t="str">
        <f aca="false">TRIM(INDEX(Datos_Origen!$G$2:$G$2459,$Z1896))</f>
        <v>Parlante Bluetooth</v>
      </c>
      <c r="N1896" s="61" t="str">
        <f aca="false">$M1896&amp;" "&amp;$C1896</f>
        <v>Parlante Bluetooth 2025</v>
      </c>
      <c r="O1896" s="63" t="n">
        <f aca="false">IF(ISTEXT($AC1896),VALUE($AC1896),$AC1896)</f>
        <v>15</v>
      </c>
      <c r="P1896" s="64" t="n">
        <f aca="false">INDEX(Datos_Origen!$I$2:$I$2459,$Z1896)</f>
        <v>85.34</v>
      </c>
      <c r="Q1896" s="64" t="n">
        <f aca="false">INDEX(Datos_Origen!$J$2:$J$2459,$Z1896)</f>
        <v>49.47</v>
      </c>
      <c r="R1896" s="65" t="n">
        <f aca="false">ROUND($O1896*$P1896,2)</f>
        <v>1280.1</v>
      </c>
      <c r="S1896" s="65" t="n">
        <f aca="false">ROUND($O1896*$Q1896,2)</f>
        <v>742.05</v>
      </c>
      <c r="T1896" s="65" t="n">
        <f aca="false">ROUND($R1896*SUMIFS(Parametros!$E$28:$E$43,Parametros!$B$28:$B$43,$J1896,Parametros!$C$28:$C$43,$C1896,Parametros!$D$28:$D$43,$D1896),2)</f>
        <v>16.64</v>
      </c>
      <c r="U1896" s="65" t="n">
        <f aca="false">$R1896-$S1896-$T1896</f>
        <v>521.41</v>
      </c>
      <c r="V1896" s="66" t="n">
        <f aca="false">IFERROR($U1896/$R1896,0)</f>
        <v>0.407319740645262</v>
      </c>
      <c r="W1896" s="67" t="str">
        <f aca="false">IF(AND($V1896&gt;=Parametros!$C$8,$R1896&gt;=Parametros!$C$12),"Alta rentabilidad",IF(OR($V1896&lt;Parametros!$C$11,$R1896&lt;Parametros!$C$13),"Revisar","Estandar"))</f>
        <v>Estandar</v>
      </c>
      <c r="X1896" s="67" t="str">
        <f aca="false">IF(AND($J1896="E-commerce",IFERROR($T1896/$R1896,0)&gt;Parametros!$C$14),"Alerta","OK")</f>
        <v>OK</v>
      </c>
      <c r="Y1896" s="61" t="str">
        <f aca="false">IF($R1896&gt;=Parametros!$C$12,"Alto",IF($R1896&lt;Parametros!$C$13,"Bajo","Medio"))</f>
        <v>Medio</v>
      </c>
      <c r="Z1896" s="61" t="n">
        <v>1042</v>
      </c>
      <c r="AA1896" s="61" t="str">
        <f aca="false">IF(MATCH($A1896,Datos_Origen!$A$2:$A$2459,0)=$Z1896,"OK","REVISAR")</f>
        <v>OK</v>
      </c>
      <c r="AB1896" s="62" t="n">
        <f aca="false">INDEX(Datos_Origen!$B$2:$B$2459,$Z1896)</f>
        <v>45847</v>
      </c>
      <c r="AC1896" s="61" t="str">
        <f aca="false">INDEX(Datos_Origen!$H$2:$H$2459,$Z1896)</f>
        <v>15</v>
      </c>
      <c r="AD1896" s="61" t="str">
        <f aca="false">INDEX(Datos_Origen!$D$2:$D$2459,$Z1896)&amp;""</f>
        <v>Tucuman</v>
      </c>
    </row>
    <row r="1897" customFormat="false" ht="15" hidden="false" customHeight="false" outlineLevel="0" collapsed="false">
      <c r="A1897" s="61" t="n">
        <f aca="false">INDEX(Datos_Origen!$A$2:$A$2459,$Z1897)</f>
        <v>1896</v>
      </c>
      <c r="B1897" s="62" t="n">
        <f aca="false">IF(ISNUMBER($AB1897),$AB1897,IF(MID($AB1897,5,1)="-",DATE(VALUE(LEFT($AB1897,4)),VALUE(MID($AB1897,6,2)),VALUE(RIGHT($AB1897,2))),DATE(VALUE(RIGHT($AB1897,4)),VALUE(MID($AB1897,4,2)),VALUE(LEFT($AB1897,2)))))</f>
        <v>45854</v>
      </c>
      <c r="C1897" s="61" t="n">
        <f aca="false">YEAR($B1897)</f>
        <v>2025</v>
      </c>
      <c r="D1897" s="61" t="str">
        <f aca="false">"Q"&amp;ROUNDUP(MONTH($B1897)/3,0)</f>
        <v>Q3</v>
      </c>
      <c r="E1897" s="61" t="n">
        <f aca="false">MONTH($B1897)</f>
        <v>7</v>
      </c>
      <c r="F1897" s="61" t="str">
        <f aca="false">INDEX(Parametros!$I$5:$I$16,$E1897)</f>
        <v>Jul</v>
      </c>
      <c r="G1897" s="61" t="str">
        <f aca="false">TEXT($C1897,"0000")&amp;"-"&amp;TEXT($E1897,"00")</f>
        <v>2025-07</v>
      </c>
      <c r="H1897" s="61" t="str">
        <f aca="false">INDEX(Parametros!$C$71:$C$91,MATCH(TRIM(INDEX(Datos_Origen!$C$2:$C$2459,$Z1897)),Parametros!$B$71:$B$91,0))</f>
        <v>NOA</v>
      </c>
      <c r="I1897" s="61" t="str">
        <f aca="false">IF(TRIM($AD1897)="",INDEX(Parametros!$I$20:$I$24,MATCH($H1897,Parametros!$H$20:$H$24,0)),TRIM($AD1897))</f>
        <v>Tucuman</v>
      </c>
      <c r="J1897" s="61" t="str">
        <f aca="false">INDEX(Parametros!$C$95:$C$106,MATCH(TRIM(INDEX(Datos_Origen!$E$2:$E$2459,$Z1897)),Parametros!$B$95:$B$106,0))</f>
        <v>E-commerce</v>
      </c>
      <c r="K1897" s="61" t="str">
        <f aca="false">INDEX(Parametros!$C$48:$C$67,MATCH(TRIM(INDEX(Datos_Origen!$F$2:$F$2459,$Z1897)),Parametros!$B$48:$B$67,0))</f>
        <v>Audio</v>
      </c>
      <c r="L1897" s="61" t="str">
        <f aca="false">$K1897&amp;" "&amp;$C1897</f>
        <v>Audio 2025</v>
      </c>
      <c r="M1897" s="61" t="str">
        <f aca="false">TRIM(INDEX(Datos_Origen!$G$2:$G$2459,$Z1897))</f>
        <v>Parlante Bluetooth</v>
      </c>
      <c r="N1897" s="61" t="str">
        <f aca="false">$M1897&amp;" "&amp;$C1897</f>
        <v>Parlante Bluetooth 2025</v>
      </c>
      <c r="O1897" s="63" t="n">
        <f aca="false">IF(ISTEXT($AC1897),VALUE($AC1897),$AC1897)</f>
        <v>9</v>
      </c>
      <c r="P1897" s="64" t="n">
        <f aca="false">INDEX(Datos_Origen!$I$2:$I$2459,$Z1897)</f>
        <v>85.34</v>
      </c>
      <c r="Q1897" s="64" t="n">
        <f aca="false">INDEX(Datos_Origen!$J$2:$J$2459,$Z1897)</f>
        <v>49.47</v>
      </c>
      <c r="R1897" s="65" t="n">
        <f aca="false">ROUND($O1897*$P1897,2)</f>
        <v>768.06</v>
      </c>
      <c r="S1897" s="65" t="n">
        <f aca="false">ROUND($O1897*$Q1897,2)</f>
        <v>445.23</v>
      </c>
      <c r="T1897" s="65" t="n">
        <f aca="false">ROUND($R1897*SUMIFS(Parametros!$E$28:$E$43,Parametros!$B$28:$B$43,$J1897,Parametros!$C$28:$C$43,$C1897,Parametros!$D$28:$D$43,$D1897),2)</f>
        <v>43.01</v>
      </c>
      <c r="U1897" s="65" t="n">
        <f aca="false">$R1897-$S1897-$T1897</f>
        <v>279.82</v>
      </c>
      <c r="V1897" s="66" t="n">
        <f aca="false">IFERROR($U1897/$R1897,0)</f>
        <v>0.364320495794599</v>
      </c>
      <c r="W1897" s="67" t="str">
        <f aca="false">IF(AND($V1897&gt;=Parametros!$C$8,$R1897&gt;=Parametros!$C$12),"Alta rentabilidad",IF(OR($V1897&lt;Parametros!$C$11,$R1897&lt;Parametros!$C$13),"Revisar","Estandar"))</f>
        <v>Estandar</v>
      </c>
      <c r="X1897" s="67" t="str">
        <f aca="false">IF(AND($J1897="E-commerce",IFERROR($T1897/$R1897,0)&gt;Parametros!$C$14),"Alerta","OK")</f>
        <v>Alerta</v>
      </c>
      <c r="Y1897" s="61" t="str">
        <f aca="false">IF($R1897&gt;=Parametros!$C$12,"Alto",IF($R1897&lt;Parametros!$C$13,"Bajo","Medio"))</f>
        <v>Medio</v>
      </c>
      <c r="Z1897" s="61" t="n">
        <v>1086</v>
      </c>
      <c r="AA1897" s="61" t="str">
        <f aca="false">IF(MATCH($A1897,Datos_Origen!$A$2:$A$2459,0)=$Z1897,"OK","REVISAR")</f>
        <v>OK</v>
      </c>
      <c r="AB1897" s="62" t="n">
        <f aca="false">INDEX(Datos_Origen!$B$2:$B$2459,$Z1897)</f>
        <v>45854</v>
      </c>
      <c r="AC1897" s="61" t="n">
        <f aca="false">INDEX(Datos_Origen!$H$2:$H$2459,$Z1897)</f>
        <v>9</v>
      </c>
      <c r="AD1897" s="61" t="str">
        <f aca="false">INDEX(Datos_Origen!$D$2:$D$2459,$Z1897)&amp;""</f>
        <v>Tucuman</v>
      </c>
    </row>
    <row r="1898" customFormat="false" ht="15" hidden="false" customHeight="false" outlineLevel="0" collapsed="false">
      <c r="A1898" s="61" t="n">
        <f aca="false">INDEX(Datos_Origen!$A$2:$A$2459,$Z1898)</f>
        <v>1897</v>
      </c>
      <c r="B1898" s="62" t="n">
        <f aca="false">IF(ISNUMBER($AB1898),$AB1898,IF(MID($AB1898,5,1)="-",DATE(VALUE(LEFT($AB1898,4)),VALUE(MID($AB1898,6,2)),VALUE(RIGHT($AB1898,2))),DATE(VALUE(RIGHT($AB1898,4)),VALUE(MID($AB1898,4,2)),VALUE(LEFT($AB1898,2)))))</f>
        <v>45861</v>
      </c>
      <c r="C1898" s="61" t="n">
        <f aca="false">YEAR($B1898)</f>
        <v>2025</v>
      </c>
      <c r="D1898" s="61" t="str">
        <f aca="false">"Q"&amp;ROUNDUP(MONTH($B1898)/3,0)</f>
        <v>Q3</v>
      </c>
      <c r="E1898" s="61" t="n">
        <f aca="false">MONTH($B1898)</f>
        <v>7</v>
      </c>
      <c r="F1898" s="61" t="str">
        <f aca="false">INDEX(Parametros!$I$5:$I$16,$E1898)</f>
        <v>Jul</v>
      </c>
      <c r="G1898" s="61" t="str">
        <f aca="false">TEXT($C1898,"0000")&amp;"-"&amp;TEXT($E1898,"00")</f>
        <v>2025-07</v>
      </c>
      <c r="H1898" s="61" t="str">
        <f aca="false">INDEX(Parametros!$C$71:$C$91,MATCH(TRIM(INDEX(Datos_Origen!$C$2:$C$2459,$Z1898)),Parametros!$B$71:$B$91,0))</f>
        <v>NOA</v>
      </c>
      <c r="I1898" s="61" t="str">
        <f aca="false">IF(TRIM($AD1898)="",INDEX(Parametros!$I$20:$I$24,MATCH($H1898,Parametros!$H$20:$H$24,0)),TRIM($AD1898))</f>
        <v>Tucuman</v>
      </c>
      <c r="J1898" s="61" t="str">
        <f aca="false">INDEX(Parametros!$C$95:$C$106,MATCH(TRIM(INDEX(Datos_Origen!$E$2:$E$2459,$Z1898)),Parametros!$B$95:$B$106,0))</f>
        <v>Tienda fisica</v>
      </c>
      <c r="K1898" s="61" t="str">
        <f aca="false">INDEX(Parametros!$C$48:$C$67,MATCH(TRIM(INDEX(Datos_Origen!$F$2:$F$2459,$Z1898)),Parametros!$B$48:$B$67,0))</f>
        <v>Almacenamiento</v>
      </c>
      <c r="L1898" s="61" t="str">
        <f aca="false">$K1898&amp;" "&amp;$C1898</f>
        <v>Almacenamiento 2025</v>
      </c>
      <c r="M1898" s="61" t="str">
        <f aca="false">TRIM(INDEX(Datos_Origen!$G$2:$G$2459,$Z1898))</f>
        <v>SSD Externo 1TB</v>
      </c>
      <c r="N1898" s="61" t="str">
        <f aca="false">$M1898&amp;" "&amp;$C1898</f>
        <v>SSD Externo 1TB 2025</v>
      </c>
      <c r="O1898" s="63" t="n">
        <f aca="false">IF(ISTEXT($AC1898),VALUE($AC1898),$AC1898)</f>
        <v>16</v>
      </c>
      <c r="P1898" s="64" t="n">
        <f aca="false">INDEX(Datos_Origen!$I$2:$I$2459,$Z1898)</f>
        <v>130.51</v>
      </c>
      <c r="Q1898" s="64" t="n">
        <f aca="false">INDEX(Datos_Origen!$J$2:$J$2459,$Z1898)</f>
        <v>78.33</v>
      </c>
      <c r="R1898" s="65" t="n">
        <f aca="false">ROUND($O1898*$P1898,2)</f>
        <v>2088.16</v>
      </c>
      <c r="S1898" s="65" t="n">
        <f aca="false">ROUND($O1898*$Q1898,2)</f>
        <v>1253.28</v>
      </c>
      <c r="T1898" s="65" t="n">
        <f aca="false">ROUND($R1898*SUMIFS(Parametros!$E$28:$E$43,Parametros!$B$28:$B$43,$J1898,Parametros!$C$28:$C$43,$C1898,Parametros!$D$28:$D$43,$D1898),2)</f>
        <v>27.15</v>
      </c>
      <c r="U1898" s="65" t="n">
        <f aca="false">$R1898-$S1898-$T1898</f>
        <v>807.73</v>
      </c>
      <c r="V1898" s="66" t="n">
        <f aca="false">IFERROR($U1898/$R1898,0)</f>
        <v>0.386814228794728</v>
      </c>
      <c r="W1898" s="67" t="str">
        <f aca="false">IF(AND($V1898&gt;=Parametros!$C$8,$R1898&gt;=Parametros!$C$12),"Alta rentabilidad",IF(OR($V1898&lt;Parametros!$C$11,$R1898&lt;Parametros!$C$13),"Revisar","Estandar"))</f>
        <v>Estandar</v>
      </c>
      <c r="X1898" s="67" t="str">
        <f aca="false">IF(AND($J1898="E-commerce",IFERROR($T1898/$R1898,0)&gt;Parametros!$C$14),"Alerta","OK")</f>
        <v>OK</v>
      </c>
      <c r="Y1898" s="61" t="str">
        <f aca="false">IF($R1898&gt;=Parametros!$C$12,"Alto",IF($R1898&lt;Parametros!$C$13,"Bajo","Medio"))</f>
        <v>Medio</v>
      </c>
      <c r="Z1898" s="61" t="n">
        <v>1693</v>
      </c>
      <c r="AA1898" s="61" t="str">
        <f aca="false">IF(MATCH($A1898,Datos_Origen!$A$2:$A$2459,0)=$Z1898,"OK","REVISAR")</f>
        <v>OK</v>
      </c>
      <c r="AB1898" s="62" t="n">
        <f aca="false">INDEX(Datos_Origen!$B$2:$B$2459,$Z1898)</f>
        <v>45861</v>
      </c>
      <c r="AC1898" s="61" t="n">
        <f aca="false">INDEX(Datos_Origen!$H$2:$H$2459,$Z1898)</f>
        <v>16</v>
      </c>
      <c r="AD1898" s="61" t="str">
        <f aca="false">INDEX(Datos_Origen!$D$2:$D$2459,$Z1898)&amp;""</f>
        <v>Tucuman</v>
      </c>
    </row>
    <row r="1899" customFormat="false" ht="15" hidden="false" customHeight="false" outlineLevel="0" collapsed="false">
      <c r="A1899" s="61" t="n">
        <f aca="false">INDEX(Datos_Origen!$A$2:$A$2459,$Z1899)</f>
        <v>1898</v>
      </c>
      <c r="B1899" s="62" t="n">
        <f aca="false">IF(ISNUMBER($AB1899),$AB1899,IF(MID($AB1899,5,1)="-",DATE(VALUE(LEFT($AB1899,4)),VALUE(MID($AB1899,6,2)),VALUE(RIGHT($AB1899,2))),DATE(VALUE(RIGHT($AB1899,4)),VALUE(MID($AB1899,4,2)),VALUE(LEFT($AB1899,2)))))</f>
        <v>45841</v>
      </c>
      <c r="C1899" s="61" t="n">
        <f aca="false">YEAR($B1899)</f>
        <v>2025</v>
      </c>
      <c r="D1899" s="61" t="str">
        <f aca="false">"Q"&amp;ROUNDUP(MONTH($B1899)/3,0)</f>
        <v>Q3</v>
      </c>
      <c r="E1899" s="61" t="n">
        <f aca="false">MONTH($B1899)</f>
        <v>7</v>
      </c>
      <c r="F1899" s="61" t="str">
        <f aca="false">INDEX(Parametros!$I$5:$I$16,$E1899)</f>
        <v>Jul</v>
      </c>
      <c r="G1899" s="61" t="str">
        <f aca="false">TEXT($C1899,"0000")&amp;"-"&amp;TEXT($E1899,"00")</f>
        <v>2025-07</v>
      </c>
      <c r="H1899" s="61" t="str">
        <f aca="false">INDEX(Parametros!$C$71:$C$91,MATCH(TRIM(INDEX(Datos_Origen!$C$2:$C$2459,$Z1899)),Parametros!$B$71:$B$91,0))</f>
        <v>NOA</v>
      </c>
      <c r="I1899" s="61" t="str">
        <f aca="false">IF(TRIM($AD1899)="",INDEX(Parametros!$I$20:$I$24,MATCH($H1899,Parametros!$H$20:$H$24,0)),TRIM($AD1899))</f>
        <v>Tucuman</v>
      </c>
      <c r="J1899" s="61" t="str">
        <f aca="false">INDEX(Parametros!$C$95:$C$106,MATCH(TRIM(INDEX(Datos_Origen!$E$2:$E$2459,$Z1899)),Parametros!$B$95:$B$106,0))</f>
        <v>E-commerce</v>
      </c>
      <c r="K1899" s="61" t="str">
        <f aca="false">INDEX(Parametros!$C$48:$C$67,MATCH(TRIM(INDEX(Datos_Origen!$F$2:$F$2459,$Z1899)),Parametros!$B$48:$B$67,0))</f>
        <v>Almacenamiento</v>
      </c>
      <c r="L1899" s="61" t="str">
        <f aca="false">$K1899&amp;" "&amp;$C1899</f>
        <v>Almacenamiento 2025</v>
      </c>
      <c r="M1899" s="61" t="str">
        <f aca="false">TRIM(INDEX(Datos_Origen!$G$2:$G$2459,$Z1899))</f>
        <v>SSD Externo 1TB</v>
      </c>
      <c r="N1899" s="61" t="str">
        <f aca="false">$M1899&amp;" "&amp;$C1899</f>
        <v>SSD Externo 1TB 2025</v>
      </c>
      <c r="O1899" s="63" t="n">
        <f aca="false">IF(ISTEXT($AC1899),VALUE($AC1899),$AC1899)</f>
        <v>12</v>
      </c>
      <c r="P1899" s="64" t="n">
        <f aca="false">INDEX(Datos_Origen!$I$2:$I$2459,$Z1899)</f>
        <v>130.51</v>
      </c>
      <c r="Q1899" s="64" t="n">
        <f aca="false">INDEX(Datos_Origen!$J$2:$J$2459,$Z1899)</f>
        <v>78.33</v>
      </c>
      <c r="R1899" s="65" t="n">
        <f aca="false">ROUND($O1899*$P1899,2)</f>
        <v>1566.12</v>
      </c>
      <c r="S1899" s="65" t="n">
        <f aca="false">ROUND($O1899*$Q1899,2)</f>
        <v>939.96</v>
      </c>
      <c r="T1899" s="65" t="n">
        <f aca="false">ROUND($R1899*SUMIFS(Parametros!$E$28:$E$43,Parametros!$B$28:$B$43,$J1899,Parametros!$C$28:$C$43,$C1899,Parametros!$D$28:$D$43,$D1899),2)</f>
        <v>87.7</v>
      </c>
      <c r="U1899" s="65" t="n">
        <f aca="false">$R1899-$S1899-$T1899</f>
        <v>538.46</v>
      </c>
      <c r="V1899" s="66" t="n">
        <f aca="false">IFERROR($U1899/$R1899,0)</f>
        <v>0.343817842821751</v>
      </c>
      <c r="W1899" s="67" t="str">
        <f aca="false">IF(AND($V1899&gt;=Parametros!$C$8,$R1899&gt;=Parametros!$C$12),"Alta rentabilidad",IF(OR($V1899&lt;Parametros!$C$11,$R1899&lt;Parametros!$C$13),"Revisar","Estandar"))</f>
        <v>Estandar</v>
      </c>
      <c r="X1899" s="67" t="str">
        <f aca="false">IF(AND($J1899="E-commerce",IFERROR($T1899/$R1899,0)&gt;Parametros!$C$14),"Alerta","OK")</f>
        <v>Alerta</v>
      </c>
      <c r="Y1899" s="61" t="str">
        <f aca="false">IF($R1899&gt;=Parametros!$C$12,"Alto",IF($R1899&lt;Parametros!$C$13,"Bajo","Medio"))</f>
        <v>Medio</v>
      </c>
      <c r="Z1899" s="61" t="n">
        <v>455</v>
      </c>
      <c r="AA1899" s="61" t="str">
        <f aca="false">IF(MATCH($A1899,Datos_Origen!$A$2:$A$2459,0)=$Z1899,"OK","REVISAR")</f>
        <v>OK</v>
      </c>
      <c r="AB1899" s="61" t="str">
        <f aca="false">INDEX(Datos_Origen!$B$2:$B$2459,$Z1899)</f>
        <v>03/07/2025</v>
      </c>
      <c r="AC1899" s="61" t="n">
        <f aca="false">INDEX(Datos_Origen!$H$2:$H$2459,$Z1899)</f>
        <v>12</v>
      </c>
      <c r="AD1899" s="61" t="str">
        <f aca="false">INDEX(Datos_Origen!$D$2:$D$2459,$Z1899)&amp;""</f>
        <v>Tucuman</v>
      </c>
    </row>
    <row r="1900" customFormat="false" ht="15" hidden="false" customHeight="false" outlineLevel="0" collapsed="false">
      <c r="A1900" s="61" t="n">
        <f aca="false">INDEX(Datos_Origen!$A$2:$A$2459,$Z1900)</f>
        <v>1899</v>
      </c>
      <c r="B1900" s="62" t="n">
        <f aca="false">IF(ISNUMBER($AB1900),$AB1900,IF(MID($AB1900,5,1)="-",DATE(VALUE(LEFT($AB1900,4)),VALUE(MID($AB1900,6,2)),VALUE(RIGHT($AB1900,2))),DATE(VALUE(RIGHT($AB1900,4)),VALUE(MID($AB1900,4,2)),VALUE(LEFT($AB1900,2)))))</f>
        <v>45848</v>
      </c>
      <c r="C1900" s="61" t="n">
        <f aca="false">YEAR($B1900)</f>
        <v>2025</v>
      </c>
      <c r="D1900" s="61" t="str">
        <f aca="false">"Q"&amp;ROUNDUP(MONTH($B1900)/3,0)</f>
        <v>Q3</v>
      </c>
      <c r="E1900" s="61" t="n">
        <f aca="false">MONTH($B1900)</f>
        <v>7</v>
      </c>
      <c r="F1900" s="61" t="str">
        <f aca="false">INDEX(Parametros!$I$5:$I$16,$E1900)</f>
        <v>Jul</v>
      </c>
      <c r="G1900" s="61" t="str">
        <f aca="false">TEXT($C1900,"0000")&amp;"-"&amp;TEXT($E1900,"00")</f>
        <v>2025-07</v>
      </c>
      <c r="H1900" s="61" t="str">
        <f aca="false">INDEX(Parametros!$C$71:$C$91,MATCH(TRIM(INDEX(Datos_Origen!$C$2:$C$2459,$Z1900)),Parametros!$B$71:$B$91,0))</f>
        <v>NOA</v>
      </c>
      <c r="I1900" s="61" t="str">
        <f aca="false">IF(TRIM($AD1900)="",INDEX(Parametros!$I$20:$I$24,MATCH($H1900,Parametros!$H$20:$H$24,0)),TRIM($AD1900))</f>
        <v>Tucuman</v>
      </c>
      <c r="J1900" s="61" t="str">
        <f aca="false">INDEX(Parametros!$C$95:$C$106,MATCH(TRIM(INDEX(Datos_Origen!$E$2:$E$2459,$Z1900)),Parametros!$B$95:$B$106,0))</f>
        <v>Tienda fisica</v>
      </c>
      <c r="K1900" s="61" t="str">
        <f aca="false">INDEX(Parametros!$C$48:$C$67,MATCH(TRIM(INDEX(Datos_Origen!$F$2:$F$2459,$Z1900)),Parametros!$B$48:$B$67,0))</f>
        <v>Almacenamiento</v>
      </c>
      <c r="L1900" s="61" t="str">
        <f aca="false">$K1900&amp;" "&amp;$C1900</f>
        <v>Almacenamiento 2025</v>
      </c>
      <c r="M1900" s="61" t="str">
        <f aca="false">TRIM(INDEX(Datos_Origen!$G$2:$G$2459,$Z1900))</f>
        <v>Pendrive 256GB</v>
      </c>
      <c r="N1900" s="61" t="str">
        <f aca="false">$M1900&amp;" "&amp;$C1900</f>
        <v>Pendrive 256GB 2025</v>
      </c>
      <c r="O1900" s="63" t="n">
        <f aca="false">IF(ISTEXT($AC1900),VALUE($AC1900),$AC1900)</f>
        <v>20</v>
      </c>
      <c r="P1900" s="64" t="n">
        <f aca="false">INDEX(Datos_Origen!$I$2:$I$2459,$Z1900)</f>
        <v>35.14</v>
      </c>
      <c r="Q1900" s="64" t="n">
        <f aca="false">INDEX(Datos_Origen!$J$2:$J$2459,$Z1900)</f>
        <v>18.39</v>
      </c>
      <c r="R1900" s="65" t="n">
        <f aca="false">ROUND($O1900*$P1900,2)</f>
        <v>702.8</v>
      </c>
      <c r="S1900" s="65" t="n">
        <f aca="false">ROUND($O1900*$Q1900,2)</f>
        <v>367.8</v>
      </c>
      <c r="T1900" s="65" t="n">
        <f aca="false">ROUND($R1900*SUMIFS(Parametros!$E$28:$E$43,Parametros!$B$28:$B$43,$J1900,Parametros!$C$28:$C$43,$C1900,Parametros!$D$28:$D$43,$D1900),2)</f>
        <v>9.14</v>
      </c>
      <c r="U1900" s="65" t="n">
        <f aca="false">$R1900-$S1900-$T1900</f>
        <v>325.86</v>
      </c>
      <c r="V1900" s="66" t="n">
        <f aca="false">IFERROR($U1900/$R1900,0)</f>
        <v>0.463659647125783</v>
      </c>
      <c r="W1900" s="67" t="str">
        <f aca="false">IF(AND($V1900&gt;=Parametros!$C$8,$R1900&gt;=Parametros!$C$12),"Alta rentabilidad",IF(OR($V1900&lt;Parametros!$C$11,$R1900&lt;Parametros!$C$13),"Revisar","Estandar"))</f>
        <v>Estandar</v>
      </c>
      <c r="X1900" s="67" t="str">
        <f aca="false">IF(AND($J1900="E-commerce",IFERROR($T1900/$R1900,0)&gt;Parametros!$C$14),"Alerta","OK")</f>
        <v>OK</v>
      </c>
      <c r="Y1900" s="61" t="str">
        <f aca="false">IF($R1900&gt;=Parametros!$C$12,"Alto",IF($R1900&lt;Parametros!$C$13,"Bajo","Medio"))</f>
        <v>Medio</v>
      </c>
      <c r="Z1900" s="61" t="n">
        <v>507</v>
      </c>
      <c r="AA1900" s="61" t="str">
        <f aca="false">IF(MATCH($A1900,Datos_Origen!$A$2:$A$2459,0)=$Z1900,"OK","REVISAR")</f>
        <v>OK</v>
      </c>
      <c r="AB1900" s="62" t="n">
        <f aca="false">INDEX(Datos_Origen!$B$2:$B$2459,$Z1900)</f>
        <v>45848</v>
      </c>
      <c r="AC1900" s="61" t="n">
        <f aca="false">INDEX(Datos_Origen!$H$2:$H$2459,$Z1900)</f>
        <v>20</v>
      </c>
      <c r="AD1900" s="61" t="str">
        <f aca="false">INDEX(Datos_Origen!$D$2:$D$2459,$Z1900)&amp;""</f>
        <v>Tucuman</v>
      </c>
    </row>
    <row r="1901" customFormat="false" ht="15" hidden="false" customHeight="false" outlineLevel="0" collapsed="false">
      <c r="A1901" s="61" t="n">
        <f aca="false">INDEX(Datos_Origen!$A$2:$A$2459,$Z1901)</f>
        <v>1900</v>
      </c>
      <c r="B1901" s="62" t="n">
        <f aca="false">IF(ISNUMBER($AB1901),$AB1901,IF(MID($AB1901,5,1)="-",DATE(VALUE(LEFT($AB1901,4)),VALUE(MID($AB1901,6,2)),VALUE(RIGHT($AB1901,2))),DATE(VALUE(RIGHT($AB1901,4)),VALUE(MID($AB1901,4,2)),VALUE(LEFT($AB1901,2)))))</f>
        <v>45855</v>
      </c>
      <c r="C1901" s="61" t="n">
        <f aca="false">YEAR($B1901)</f>
        <v>2025</v>
      </c>
      <c r="D1901" s="61" t="str">
        <f aca="false">"Q"&amp;ROUNDUP(MONTH($B1901)/3,0)</f>
        <v>Q3</v>
      </c>
      <c r="E1901" s="61" t="n">
        <f aca="false">MONTH($B1901)</f>
        <v>7</v>
      </c>
      <c r="F1901" s="61" t="str">
        <f aca="false">INDEX(Parametros!$I$5:$I$16,$E1901)</f>
        <v>Jul</v>
      </c>
      <c r="G1901" s="61" t="str">
        <f aca="false">TEXT($C1901,"0000")&amp;"-"&amp;TEXT($E1901,"00")</f>
        <v>2025-07</v>
      </c>
      <c r="H1901" s="61" t="str">
        <f aca="false">INDEX(Parametros!$C$71:$C$91,MATCH(TRIM(INDEX(Datos_Origen!$C$2:$C$2459,$Z1901)),Parametros!$B$71:$B$91,0))</f>
        <v>NOA</v>
      </c>
      <c r="I1901" s="61" t="str">
        <f aca="false">IF(TRIM($AD1901)="",INDEX(Parametros!$I$20:$I$24,MATCH($H1901,Parametros!$H$20:$H$24,0)),TRIM($AD1901))</f>
        <v>Tucuman</v>
      </c>
      <c r="J1901" s="61" t="str">
        <f aca="false">INDEX(Parametros!$C$95:$C$106,MATCH(TRIM(INDEX(Datos_Origen!$E$2:$E$2459,$Z1901)),Parametros!$B$95:$B$106,0))</f>
        <v>E-commerce</v>
      </c>
      <c r="K1901" s="61" t="str">
        <f aca="false">INDEX(Parametros!$C$48:$C$67,MATCH(TRIM(INDEX(Datos_Origen!$F$2:$F$2459,$Z1901)),Parametros!$B$48:$B$67,0))</f>
        <v>Almacenamiento</v>
      </c>
      <c r="L1901" s="61" t="str">
        <f aca="false">$K1901&amp;" "&amp;$C1901</f>
        <v>Almacenamiento 2025</v>
      </c>
      <c r="M1901" s="61" t="str">
        <f aca="false">TRIM(INDEX(Datos_Origen!$G$2:$G$2459,$Z1901))</f>
        <v>Pendrive 256GB</v>
      </c>
      <c r="N1901" s="61" t="str">
        <f aca="false">$M1901&amp;" "&amp;$C1901</f>
        <v>Pendrive 256GB 2025</v>
      </c>
      <c r="O1901" s="63" t="n">
        <f aca="false">IF(ISTEXT($AC1901),VALUE($AC1901),$AC1901)</f>
        <v>12</v>
      </c>
      <c r="P1901" s="64" t="n">
        <f aca="false">INDEX(Datos_Origen!$I$2:$I$2459,$Z1901)</f>
        <v>35.14</v>
      </c>
      <c r="Q1901" s="64" t="n">
        <f aca="false">INDEX(Datos_Origen!$J$2:$J$2459,$Z1901)</f>
        <v>18.39</v>
      </c>
      <c r="R1901" s="65" t="n">
        <f aca="false">ROUND($O1901*$P1901,2)</f>
        <v>421.68</v>
      </c>
      <c r="S1901" s="65" t="n">
        <f aca="false">ROUND($O1901*$Q1901,2)</f>
        <v>220.68</v>
      </c>
      <c r="T1901" s="65" t="n">
        <f aca="false">ROUND($R1901*SUMIFS(Parametros!$E$28:$E$43,Parametros!$B$28:$B$43,$J1901,Parametros!$C$28:$C$43,$C1901,Parametros!$D$28:$D$43,$D1901),2)</f>
        <v>23.61</v>
      </c>
      <c r="U1901" s="65" t="n">
        <f aca="false">$R1901-$S1901-$T1901</f>
        <v>177.39</v>
      </c>
      <c r="V1901" s="66" t="n">
        <f aca="false">IFERROR($U1901/$R1901,0)</f>
        <v>0.420674445076836</v>
      </c>
      <c r="W1901" s="67" t="str">
        <f aca="false">IF(AND($V1901&gt;=Parametros!$C$8,$R1901&gt;=Parametros!$C$12),"Alta rentabilidad",IF(OR($V1901&lt;Parametros!$C$11,$R1901&lt;Parametros!$C$13),"Revisar","Estandar"))</f>
        <v>Estandar</v>
      </c>
      <c r="X1901" s="67" t="str">
        <f aca="false">IF(AND($J1901="E-commerce",IFERROR($T1901/$R1901,0)&gt;Parametros!$C$14),"Alerta","OK")</f>
        <v>Alerta</v>
      </c>
      <c r="Y1901" s="61" t="str">
        <f aca="false">IF($R1901&gt;=Parametros!$C$12,"Alto",IF($R1901&lt;Parametros!$C$13,"Bajo","Medio"))</f>
        <v>Medio</v>
      </c>
      <c r="Z1901" s="61" t="n">
        <v>2137</v>
      </c>
      <c r="AA1901" s="61" t="str">
        <f aca="false">IF(MATCH($A1901,Datos_Origen!$A$2:$A$2459,0)=$Z1901,"OK","REVISAR")</f>
        <v>OK</v>
      </c>
      <c r="AB1901" s="62" t="n">
        <f aca="false">INDEX(Datos_Origen!$B$2:$B$2459,$Z1901)</f>
        <v>45855</v>
      </c>
      <c r="AC1901" s="61" t="n">
        <f aca="false">INDEX(Datos_Origen!$H$2:$H$2459,$Z1901)</f>
        <v>12</v>
      </c>
      <c r="AD1901" s="61" t="str">
        <f aca="false">INDEX(Datos_Origen!$D$2:$D$2459,$Z1901)&amp;""</f>
        <v/>
      </c>
    </row>
    <row r="1902" customFormat="false" ht="15" hidden="false" customHeight="false" outlineLevel="0" collapsed="false">
      <c r="A1902" s="61" t="n">
        <f aca="false">INDEX(Datos_Origen!$A$2:$A$2459,$Z1902)</f>
        <v>1901</v>
      </c>
      <c r="B1902" s="62" t="n">
        <f aca="false">IF(ISNUMBER($AB1902),$AB1902,IF(MID($AB1902,5,1)="-",DATE(VALUE(LEFT($AB1902,4)),VALUE(MID($AB1902,6,2)),VALUE(RIGHT($AB1902,2))),DATE(VALUE(RIGHT($AB1902,4)),VALUE(MID($AB1902,4,2)),VALUE(LEFT($AB1902,2)))))</f>
        <v>45893</v>
      </c>
      <c r="C1902" s="61" t="n">
        <f aca="false">YEAR($B1902)</f>
        <v>2025</v>
      </c>
      <c r="D1902" s="61" t="str">
        <f aca="false">"Q"&amp;ROUNDUP(MONTH($B1902)/3,0)</f>
        <v>Q3</v>
      </c>
      <c r="E1902" s="61" t="n">
        <f aca="false">MONTH($B1902)</f>
        <v>8</v>
      </c>
      <c r="F1902" s="61" t="str">
        <f aca="false">INDEX(Parametros!$I$5:$I$16,$E1902)</f>
        <v>Ago</v>
      </c>
      <c r="G1902" s="61" t="str">
        <f aca="false">TEXT($C1902,"0000")&amp;"-"&amp;TEXT($E1902,"00")</f>
        <v>2025-08</v>
      </c>
      <c r="H1902" s="61" t="str">
        <f aca="false">INDEX(Parametros!$C$71:$C$91,MATCH(TRIM(INDEX(Datos_Origen!$C$2:$C$2459,$Z1902)),Parametros!$B$71:$B$91,0))</f>
        <v>AMBA</v>
      </c>
      <c r="I1902" s="61" t="str">
        <f aca="false">IF(TRIM($AD1902)="",INDEX(Parametros!$I$20:$I$24,MATCH($H1902,Parametros!$H$20:$H$24,0)),TRIM($AD1902))</f>
        <v>Buenos Aires</v>
      </c>
      <c r="J1902" s="61" t="str">
        <f aca="false">INDEX(Parametros!$C$95:$C$106,MATCH(TRIM(INDEX(Datos_Origen!$E$2:$E$2459,$Z1902)),Parametros!$B$95:$B$106,0))</f>
        <v>Tienda fisica</v>
      </c>
      <c r="K1902" s="61" t="str">
        <f aca="false">INDEX(Parametros!$C$48:$C$67,MATCH(TRIM(INDEX(Datos_Origen!$F$2:$F$2459,$Z1902)),Parametros!$B$48:$B$67,0))</f>
        <v>Computacion</v>
      </c>
      <c r="L1902" s="61" t="str">
        <f aca="false">$K1902&amp;" "&amp;$C1902</f>
        <v>Computacion 2025</v>
      </c>
      <c r="M1902" s="61" t="str">
        <f aca="false">TRIM(INDEX(Datos_Origen!$G$2:$G$2459,$Z1902))</f>
        <v>Laptop Pro 15</v>
      </c>
      <c r="N1902" s="61" t="str">
        <f aca="false">$M1902&amp;" "&amp;$C1902</f>
        <v>Laptop Pro 15 2025</v>
      </c>
      <c r="O1902" s="63" t="n">
        <f aca="false">IF(ISTEXT($AC1902),VALUE($AC1902),$AC1902)</f>
        <v>20</v>
      </c>
      <c r="P1902" s="64" t="n">
        <f aca="false">INDEX(Datos_Origen!$I$2:$I$2459,$Z1902)</f>
        <v>1204.74</v>
      </c>
      <c r="Q1902" s="64" t="n">
        <f aca="false">INDEX(Datos_Origen!$J$2:$J$2459,$Z1902)</f>
        <v>766.32</v>
      </c>
      <c r="R1902" s="65" t="n">
        <f aca="false">ROUND($O1902*$P1902,2)</f>
        <v>24094.8</v>
      </c>
      <c r="S1902" s="65" t="n">
        <f aca="false">ROUND($O1902*$Q1902,2)</f>
        <v>15326.4</v>
      </c>
      <c r="T1902" s="65" t="n">
        <f aca="false">ROUND($R1902*SUMIFS(Parametros!$E$28:$E$43,Parametros!$B$28:$B$43,$J1902,Parametros!$C$28:$C$43,$C1902,Parametros!$D$28:$D$43,$D1902),2)</f>
        <v>313.23</v>
      </c>
      <c r="U1902" s="65" t="n">
        <f aca="false">$R1902-$S1902-$T1902</f>
        <v>8455.17</v>
      </c>
      <c r="V1902" s="66" t="n">
        <f aca="false">IFERROR($U1902/$R1902,0)</f>
        <v>0.350912645052044</v>
      </c>
      <c r="W1902" s="67" t="str">
        <f aca="false">IF(AND($V1902&gt;=Parametros!$C$8,$R1902&gt;=Parametros!$C$12),"Alta rentabilidad",IF(OR($V1902&lt;Parametros!$C$11,$R1902&lt;Parametros!$C$13),"Revisar","Estandar"))</f>
        <v>Alta rentabilidad</v>
      </c>
      <c r="X1902" s="67" t="str">
        <f aca="false">IF(AND($J1902="E-commerce",IFERROR($T1902/$R1902,0)&gt;Parametros!$C$14),"Alerta","OK")</f>
        <v>OK</v>
      </c>
      <c r="Y1902" s="61" t="str">
        <f aca="false">IF($R1902&gt;=Parametros!$C$12,"Alto",IF($R1902&lt;Parametros!$C$13,"Bajo","Medio"))</f>
        <v>Alto</v>
      </c>
      <c r="Z1902" s="61" t="n">
        <v>795</v>
      </c>
      <c r="AA1902" s="61" t="str">
        <f aca="false">IF(MATCH($A1902,Datos_Origen!$A$2:$A$2459,0)=$Z1902,"OK","REVISAR")</f>
        <v>OK</v>
      </c>
      <c r="AB1902" s="62" t="n">
        <f aca="false">INDEX(Datos_Origen!$B$2:$B$2459,$Z1902)</f>
        <v>45893</v>
      </c>
      <c r="AC1902" s="61" t="n">
        <f aca="false">INDEX(Datos_Origen!$H$2:$H$2459,$Z1902)</f>
        <v>20</v>
      </c>
      <c r="AD1902" s="61" t="str">
        <f aca="false">INDEX(Datos_Origen!$D$2:$D$2459,$Z1902)&amp;""</f>
        <v>Buenos Aires</v>
      </c>
    </row>
    <row r="1903" customFormat="false" ht="15" hidden="false" customHeight="false" outlineLevel="0" collapsed="false">
      <c r="A1903" s="61" t="n">
        <f aca="false">INDEX(Datos_Origen!$A$2:$A$2459,$Z1903)</f>
        <v>1902</v>
      </c>
      <c r="B1903" s="62" t="n">
        <f aca="false">IF(ISNUMBER($AB1903),$AB1903,IF(MID($AB1903,5,1)="-",DATE(VALUE(LEFT($AB1903,4)),VALUE(MID($AB1903,6,2)),VALUE(RIGHT($AB1903,2))),DATE(VALUE(RIGHT($AB1903,4)),VALUE(MID($AB1903,4,2)),VALUE(LEFT($AB1903,2)))))</f>
        <v>45873</v>
      </c>
      <c r="C1903" s="61" t="n">
        <f aca="false">YEAR($B1903)</f>
        <v>2025</v>
      </c>
      <c r="D1903" s="61" t="str">
        <f aca="false">"Q"&amp;ROUNDUP(MONTH($B1903)/3,0)</f>
        <v>Q3</v>
      </c>
      <c r="E1903" s="61" t="n">
        <f aca="false">MONTH($B1903)</f>
        <v>8</v>
      </c>
      <c r="F1903" s="61" t="str">
        <f aca="false">INDEX(Parametros!$I$5:$I$16,$E1903)</f>
        <v>Ago</v>
      </c>
      <c r="G1903" s="61" t="str">
        <f aca="false">TEXT($C1903,"0000")&amp;"-"&amp;TEXT($E1903,"00")</f>
        <v>2025-08</v>
      </c>
      <c r="H1903" s="61" t="str">
        <f aca="false">INDEX(Parametros!$C$71:$C$91,MATCH(TRIM(INDEX(Datos_Origen!$C$2:$C$2459,$Z1903)),Parametros!$B$71:$B$91,0))</f>
        <v>AMBA</v>
      </c>
      <c r="I1903" s="61" t="str">
        <f aca="false">IF(TRIM($AD1903)="",INDEX(Parametros!$I$20:$I$24,MATCH($H1903,Parametros!$H$20:$H$24,0)),TRIM($AD1903))</f>
        <v>Buenos Aires</v>
      </c>
      <c r="J1903" s="61" t="str">
        <f aca="false">INDEX(Parametros!$C$95:$C$106,MATCH(TRIM(INDEX(Datos_Origen!$E$2:$E$2459,$Z1903)),Parametros!$B$95:$B$106,0))</f>
        <v>E-commerce</v>
      </c>
      <c r="K1903" s="61" t="str">
        <f aca="false">INDEX(Parametros!$C$48:$C$67,MATCH(TRIM(INDEX(Datos_Origen!$F$2:$F$2459,$Z1903)),Parametros!$B$48:$B$67,0))</f>
        <v>Computacion</v>
      </c>
      <c r="L1903" s="61" t="str">
        <f aca="false">$K1903&amp;" "&amp;$C1903</f>
        <v>Computacion 2025</v>
      </c>
      <c r="M1903" s="61" t="str">
        <f aca="false">TRIM(INDEX(Datos_Origen!$G$2:$G$2459,$Z1903))</f>
        <v>Laptop Pro 15</v>
      </c>
      <c r="N1903" s="61" t="str">
        <f aca="false">$M1903&amp;" "&amp;$C1903</f>
        <v>Laptop Pro 15 2025</v>
      </c>
      <c r="O1903" s="63" t="n">
        <f aca="false">IF(ISTEXT($AC1903),VALUE($AC1903),$AC1903)</f>
        <v>15</v>
      </c>
      <c r="P1903" s="64" t="n">
        <f aca="false">INDEX(Datos_Origen!$I$2:$I$2459,$Z1903)</f>
        <v>1204.74</v>
      </c>
      <c r="Q1903" s="64" t="n">
        <f aca="false">INDEX(Datos_Origen!$J$2:$J$2459,$Z1903)</f>
        <v>766.32</v>
      </c>
      <c r="R1903" s="65" t="n">
        <f aca="false">ROUND($O1903*$P1903,2)</f>
        <v>18071.1</v>
      </c>
      <c r="S1903" s="65" t="n">
        <f aca="false">ROUND($O1903*$Q1903,2)</f>
        <v>11494.8</v>
      </c>
      <c r="T1903" s="65" t="n">
        <f aca="false">ROUND($R1903*SUMIFS(Parametros!$E$28:$E$43,Parametros!$B$28:$B$43,$J1903,Parametros!$C$28:$C$43,$C1903,Parametros!$D$28:$D$43,$D1903),2)</f>
        <v>1011.98</v>
      </c>
      <c r="U1903" s="65" t="n">
        <f aca="false">$R1903-$S1903-$T1903</f>
        <v>5564.32</v>
      </c>
      <c r="V1903" s="66" t="n">
        <f aca="false">IFERROR($U1903/$R1903,0)</f>
        <v>0.30791263398465</v>
      </c>
      <c r="W1903" s="67" t="str">
        <f aca="false">IF(AND($V1903&gt;=Parametros!$C$8,$R1903&gt;=Parametros!$C$12),"Alta rentabilidad",IF(OR($V1903&lt;Parametros!$C$11,$R1903&lt;Parametros!$C$13),"Revisar","Estandar"))</f>
        <v>Estandar</v>
      </c>
      <c r="X1903" s="67" t="str">
        <f aca="false">IF(AND($J1903="E-commerce",IFERROR($T1903/$R1903,0)&gt;Parametros!$C$14),"Alerta","OK")</f>
        <v>Alerta</v>
      </c>
      <c r="Y1903" s="61" t="str">
        <f aca="false">IF($R1903&gt;=Parametros!$C$12,"Alto",IF($R1903&lt;Parametros!$C$13,"Bajo","Medio"))</f>
        <v>Alto</v>
      </c>
      <c r="Z1903" s="61" t="n">
        <v>1592</v>
      </c>
      <c r="AA1903" s="61" t="str">
        <f aca="false">IF(MATCH($A1903,Datos_Origen!$A$2:$A$2459,0)=$Z1903,"OK","REVISAR")</f>
        <v>OK</v>
      </c>
      <c r="AB1903" s="61" t="str">
        <f aca="false">INDEX(Datos_Origen!$B$2:$B$2459,$Z1903)</f>
        <v>04/08/2025</v>
      </c>
      <c r="AC1903" s="61" t="n">
        <f aca="false">INDEX(Datos_Origen!$H$2:$H$2459,$Z1903)</f>
        <v>15</v>
      </c>
      <c r="AD1903" s="61" t="str">
        <f aca="false">INDEX(Datos_Origen!$D$2:$D$2459,$Z1903)&amp;""</f>
        <v>Buenos Aires</v>
      </c>
    </row>
    <row r="1904" customFormat="false" ht="15" hidden="false" customHeight="false" outlineLevel="0" collapsed="false">
      <c r="A1904" s="61" t="n">
        <f aca="false">INDEX(Datos_Origen!$A$2:$A$2459,$Z1904)</f>
        <v>1903</v>
      </c>
      <c r="B1904" s="62" t="n">
        <f aca="false">IF(ISNUMBER($AB1904),$AB1904,IF(MID($AB1904,5,1)="-",DATE(VALUE(LEFT($AB1904,4)),VALUE(MID($AB1904,6,2)),VALUE(RIGHT($AB1904,2))),DATE(VALUE(RIGHT($AB1904,4)),VALUE(MID($AB1904,4,2)),VALUE(LEFT($AB1904,2)))))</f>
        <v>45880</v>
      </c>
      <c r="C1904" s="61" t="n">
        <f aca="false">YEAR($B1904)</f>
        <v>2025</v>
      </c>
      <c r="D1904" s="61" t="str">
        <f aca="false">"Q"&amp;ROUNDUP(MONTH($B1904)/3,0)</f>
        <v>Q3</v>
      </c>
      <c r="E1904" s="61" t="n">
        <f aca="false">MONTH($B1904)</f>
        <v>8</v>
      </c>
      <c r="F1904" s="61" t="str">
        <f aca="false">INDEX(Parametros!$I$5:$I$16,$E1904)</f>
        <v>Ago</v>
      </c>
      <c r="G1904" s="61" t="str">
        <f aca="false">TEXT($C1904,"0000")&amp;"-"&amp;TEXT($E1904,"00")</f>
        <v>2025-08</v>
      </c>
      <c r="H1904" s="61" t="str">
        <f aca="false">INDEX(Parametros!$C$71:$C$91,MATCH(TRIM(INDEX(Datos_Origen!$C$2:$C$2459,$Z1904)),Parametros!$B$71:$B$91,0))</f>
        <v>AMBA</v>
      </c>
      <c r="I1904" s="61" t="str">
        <f aca="false">IF(TRIM($AD1904)="",INDEX(Parametros!$I$20:$I$24,MATCH($H1904,Parametros!$H$20:$H$24,0)),TRIM($AD1904))</f>
        <v>Buenos Aires</v>
      </c>
      <c r="J1904" s="61" t="str">
        <f aca="false">INDEX(Parametros!$C$95:$C$106,MATCH(TRIM(INDEX(Datos_Origen!$E$2:$E$2459,$Z1904)),Parametros!$B$95:$B$106,0))</f>
        <v>Tienda fisica</v>
      </c>
      <c r="K1904" s="61" t="str">
        <f aca="false">INDEX(Parametros!$C$48:$C$67,MATCH(TRIM(INDEX(Datos_Origen!$F$2:$F$2459,$Z1904)),Parametros!$B$48:$B$67,0))</f>
        <v>Computacion</v>
      </c>
      <c r="L1904" s="61" t="str">
        <f aca="false">$K1904&amp;" "&amp;$C1904</f>
        <v>Computacion 2025</v>
      </c>
      <c r="M1904" s="61" t="str">
        <f aca="false">TRIM(INDEX(Datos_Origen!$G$2:$G$2459,$Z1904))</f>
        <v>Monitor 4K 27</v>
      </c>
      <c r="N1904" s="61" t="str">
        <f aca="false">$M1904&amp;" "&amp;$C1904</f>
        <v>Monitor 4K 27 2025</v>
      </c>
      <c r="O1904" s="63" t="n">
        <f aca="false">IF(ISTEXT($AC1904),VALUE($AC1904),$AC1904)</f>
        <v>18</v>
      </c>
      <c r="P1904" s="64" t="n">
        <f aca="false">INDEX(Datos_Origen!$I$2:$I$2459,$Z1904)</f>
        <v>451.78</v>
      </c>
      <c r="Q1904" s="64" t="n">
        <f aca="false">INDEX(Datos_Origen!$J$2:$J$2459,$Z1904)</f>
        <v>280.42</v>
      </c>
      <c r="R1904" s="65" t="n">
        <f aca="false">ROUND($O1904*$P1904,2)</f>
        <v>8132.04</v>
      </c>
      <c r="S1904" s="65" t="n">
        <f aca="false">ROUND($O1904*$Q1904,2)</f>
        <v>5047.56</v>
      </c>
      <c r="T1904" s="65" t="n">
        <f aca="false">ROUND($R1904*SUMIFS(Parametros!$E$28:$E$43,Parametros!$B$28:$B$43,$J1904,Parametros!$C$28:$C$43,$C1904,Parametros!$D$28:$D$43,$D1904),2)</f>
        <v>105.72</v>
      </c>
      <c r="U1904" s="65" t="n">
        <f aca="false">$R1904-$S1904-$T1904</f>
        <v>2978.76</v>
      </c>
      <c r="V1904" s="66" t="n">
        <f aca="false">IFERROR($U1904/$R1904,0)</f>
        <v>0.366299231189222</v>
      </c>
      <c r="W1904" s="67" t="str">
        <f aca="false">IF(AND($V1904&gt;=Parametros!$C$8,$R1904&gt;=Parametros!$C$12),"Alta rentabilidad",IF(OR($V1904&lt;Parametros!$C$11,$R1904&lt;Parametros!$C$13),"Revisar","Estandar"))</f>
        <v>Alta rentabilidad</v>
      </c>
      <c r="X1904" s="67" t="str">
        <f aca="false">IF(AND($J1904="E-commerce",IFERROR($T1904/$R1904,0)&gt;Parametros!$C$14),"Alerta","OK")</f>
        <v>OK</v>
      </c>
      <c r="Y1904" s="61" t="str">
        <f aca="false">IF($R1904&gt;=Parametros!$C$12,"Alto",IF($R1904&lt;Parametros!$C$13,"Bajo","Medio"))</f>
        <v>Alto</v>
      </c>
      <c r="Z1904" s="61" t="n">
        <v>2396</v>
      </c>
      <c r="AA1904" s="61" t="str">
        <f aca="false">IF(MATCH($A1904,Datos_Origen!$A$2:$A$2459,0)=$Z1904,"OK","REVISAR")</f>
        <v>OK</v>
      </c>
      <c r="AB1904" s="62" t="n">
        <f aca="false">INDEX(Datos_Origen!$B$2:$B$2459,$Z1904)</f>
        <v>45880</v>
      </c>
      <c r="AC1904" s="61" t="str">
        <f aca="false">INDEX(Datos_Origen!$H$2:$H$2459,$Z1904)</f>
        <v>18</v>
      </c>
      <c r="AD1904" s="61" t="str">
        <f aca="false">INDEX(Datos_Origen!$D$2:$D$2459,$Z1904)&amp;""</f>
        <v>Buenos Aires</v>
      </c>
    </row>
    <row r="1905" customFormat="false" ht="15" hidden="false" customHeight="false" outlineLevel="0" collapsed="false">
      <c r="A1905" s="61" t="n">
        <f aca="false">INDEX(Datos_Origen!$A$2:$A$2459,$Z1905)</f>
        <v>1904</v>
      </c>
      <c r="B1905" s="62" t="n">
        <f aca="false">IF(ISNUMBER($AB1905),$AB1905,IF(MID($AB1905,5,1)="-",DATE(VALUE(LEFT($AB1905,4)),VALUE(MID($AB1905,6,2)),VALUE(RIGHT($AB1905,2))),DATE(VALUE(RIGHT($AB1905,4)),VALUE(MID($AB1905,4,2)),VALUE(LEFT($AB1905,2)))))</f>
        <v>45887</v>
      </c>
      <c r="C1905" s="61" t="n">
        <f aca="false">YEAR($B1905)</f>
        <v>2025</v>
      </c>
      <c r="D1905" s="61" t="str">
        <f aca="false">"Q"&amp;ROUNDUP(MONTH($B1905)/3,0)</f>
        <v>Q3</v>
      </c>
      <c r="E1905" s="61" t="n">
        <f aca="false">MONTH($B1905)</f>
        <v>8</v>
      </c>
      <c r="F1905" s="61" t="str">
        <f aca="false">INDEX(Parametros!$I$5:$I$16,$E1905)</f>
        <v>Ago</v>
      </c>
      <c r="G1905" s="61" t="str">
        <f aca="false">TEXT($C1905,"0000")&amp;"-"&amp;TEXT($E1905,"00")</f>
        <v>2025-08</v>
      </c>
      <c r="H1905" s="61" t="str">
        <f aca="false">INDEX(Parametros!$C$71:$C$91,MATCH(TRIM(INDEX(Datos_Origen!$C$2:$C$2459,$Z1905)),Parametros!$B$71:$B$91,0))</f>
        <v>AMBA</v>
      </c>
      <c r="I1905" s="61" t="str">
        <f aca="false">IF(TRIM($AD1905)="",INDEX(Parametros!$I$20:$I$24,MATCH($H1905,Parametros!$H$20:$H$24,0)),TRIM($AD1905))</f>
        <v>Buenos Aires</v>
      </c>
      <c r="J1905" s="61" t="str">
        <f aca="false">INDEX(Parametros!$C$95:$C$106,MATCH(TRIM(INDEX(Datos_Origen!$E$2:$E$2459,$Z1905)),Parametros!$B$95:$B$106,0))</f>
        <v>E-commerce</v>
      </c>
      <c r="K1905" s="61" t="str">
        <f aca="false">INDEX(Parametros!$C$48:$C$67,MATCH(TRIM(INDEX(Datos_Origen!$F$2:$F$2459,$Z1905)),Parametros!$B$48:$B$67,0))</f>
        <v>Computacion</v>
      </c>
      <c r="L1905" s="61" t="str">
        <f aca="false">$K1905&amp;" "&amp;$C1905</f>
        <v>Computacion 2025</v>
      </c>
      <c r="M1905" s="61" t="str">
        <f aca="false">TRIM(INDEX(Datos_Origen!$G$2:$G$2459,$Z1905))</f>
        <v>Monitor 4K 27</v>
      </c>
      <c r="N1905" s="61" t="str">
        <f aca="false">$M1905&amp;" "&amp;$C1905</f>
        <v>Monitor 4K 27 2025</v>
      </c>
      <c r="O1905" s="63" t="n">
        <f aca="false">IF(ISTEXT($AC1905),VALUE($AC1905),$AC1905)</f>
        <v>12</v>
      </c>
      <c r="P1905" s="64" t="n">
        <f aca="false">INDEX(Datos_Origen!$I$2:$I$2459,$Z1905)</f>
        <v>451.78</v>
      </c>
      <c r="Q1905" s="64" t="n">
        <f aca="false">INDEX(Datos_Origen!$J$2:$J$2459,$Z1905)</f>
        <v>280.42</v>
      </c>
      <c r="R1905" s="65" t="n">
        <f aca="false">ROUND($O1905*$P1905,2)</f>
        <v>5421.36</v>
      </c>
      <c r="S1905" s="65" t="n">
        <f aca="false">ROUND($O1905*$Q1905,2)</f>
        <v>3365.04</v>
      </c>
      <c r="T1905" s="65" t="n">
        <f aca="false">ROUND($R1905*SUMIFS(Parametros!$E$28:$E$43,Parametros!$B$28:$B$43,$J1905,Parametros!$C$28:$C$43,$C1905,Parametros!$D$28:$D$43,$D1905),2)</f>
        <v>303.6</v>
      </c>
      <c r="U1905" s="65" t="n">
        <f aca="false">$R1905-$S1905-$T1905</f>
        <v>1752.72</v>
      </c>
      <c r="V1905" s="66" t="n">
        <f aca="false">IFERROR($U1905/$R1905,0)</f>
        <v>0.323298950816769</v>
      </c>
      <c r="W1905" s="67" t="str">
        <f aca="false">IF(AND($V1905&gt;=Parametros!$C$8,$R1905&gt;=Parametros!$C$12),"Alta rentabilidad",IF(OR($V1905&lt;Parametros!$C$11,$R1905&lt;Parametros!$C$13),"Revisar","Estandar"))</f>
        <v>Estandar</v>
      </c>
      <c r="X1905" s="67" t="str">
        <f aca="false">IF(AND($J1905="E-commerce",IFERROR($T1905/$R1905,0)&gt;Parametros!$C$14),"Alerta","OK")</f>
        <v>Alerta</v>
      </c>
      <c r="Y1905" s="61" t="str">
        <f aca="false">IF($R1905&gt;=Parametros!$C$12,"Alto",IF($R1905&lt;Parametros!$C$13,"Bajo","Medio"))</f>
        <v>Alto</v>
      </c>
      <c r="Z1905" s="61" t="n">
        <v>47</v>
      </c>
      <c r="AA1905" s="61" t="str">
        <f aca="false">IF(MATCH($A1905,Datos_Origen!$A$2:$A$2459,0)=$Z1905,"OK","REVISAR")</f>
        <v>OK</v>
      </c>
      <c r="AB1905" s="62" t="n">
        <f aca="false">INDEX(Datos_Origen!$B$2:$B$2459,$Z1905)</f>
        <v>45887</v>
      </c>
      <c r="AC1905" s="61" t="n">
        <f aca="false">INDEX(Datos_Origen!$H$2:$H$2459,$Z1905)</f>
        <v>12</v>
      </c>
      <c r="AD1905" s="61" t="str">
        <f aca="false">INDEX(Datos_Origen!$D$2:$D$2459,$Z1905)&amp;""</f>
        <v>Buenos Aires</v>
      </c>
    </row>
    <row r="1906" customFormat="false" ht="15" hidden="false" customHeight="false" outlineLevel="0" collapsed="false">
      <c r="A1906" s="61" t="n">
        <f aca="false">INDEX(Datos_Origen!$A$2:$A$2459,$Z1906)</f>
        <v>1905</v>
      </c>
      <c r="B1906" s="62" t="n">
        <f aca="false">IF(ISNUMBER($AB1906),$AB1906,IF(MID($AB1906,5,1)="-",DATE(VALUE(LEFT($AB1906,4)),VALUE(MID($AB1906,6,2)),VALUE(RIGHT($AB1906,2))),DATE(VALUE(RIGHT($AB1906,4)),VALUE(MID($AB1906,4,2)),VALUE(LEFT($AB1906,2)))))</f>
        <v>45894</v>
      </c>
      <c r="C1906" s="61" t="n">
        <f aca="false">YEAR($B1906)</f>
        <v>2025</v>
      </c>
      <c r="D1906" s="61" t="str">
        <f aca="false">"Q"&amp;ROUNDUP(MONTH($B1906)/3,0)</f>
        <v>Q3</v>
      </c>
      <c r="E1906" s="61" t="n">
        <f aca="false">MONTH($B1906)</f>
        <v>8</v>
      </c>
      <c r="F1906" s="61" t="str">
        <f aca="false">INDEX(Parametros!$I$5:$I$16,$E1906)</f>
        <v>Ago</v>
      </c>
      <c r="G1906" s="61" t="str">
        <f aca="false">TEXT($C1906,"0000")&amp;"-"&amp;TEXT($E1906,"00")</f>
        <v>2025-08</v>
      </c>
      <c r="H1906" s="61" t="str">
        <f aca="false">INDEX(Parametros!$C$71:$C$91,MATCH(TRIM(INDEX(Datos_Origen!$C$2:$C$2459,$Z1906)),Parametros!$B$71:$B$91,0))</f>
        <v>AMBA</v>
      </c>
      <c r="I1906" s="61" t="str">
        <f aca="false">IF(TRIM($AD1906)="",INDEX(Parametros!$I$20:$I$24,MATCH($H1906,Parametros!$H$20:$H$24,0)),TRIM($AD1906))</f>
        <v>Buenos Aires</v>
      </c>
      <c r="J1906" s="61" t="str">
        <f aca="false">INDEX(Parametros!$C$95:$C$106,MATCH(TRIM(INDEX(Datos_Origen!$E$2:$E$2459,$Z1906)),Parametros!$B$95:$B$106,0))</f>
        <v>Tienda fisica</v>
      </c>
      <c r="K1906" s="61" t="str">
        <f aca="false">INDEX(Parametros!$C$48:$C$67,MATCH(TRIM(INDEX(Datos_Origen!$F$2:$F$2459,$Z1906)),Parametros!$B$48:$B$67,0))</f>
        <v>Computacion</v>
      </c>
      <c r="L1906" s="61" t="str">
        <f aca="false">$K1906&amp;" "&amp;$C1906</f>
        <v>Computacion 2025</v>
      </c>
      <c r="M1906" s="61" t="str">
        <f aca="false">TRIM(INDEX(Datos_Origen!$G$2:$G$2459,$Z1906))</f>
        <v>PC Gamer Ryzen</v>
      </c>
      <c r="N1906" s="61" t="str">
        <f aca="false">$M1906&amp;" "&amp;$C1906</f>
        <v>PC Gamer Ryzen 2025</v>
      </c>
      <c r="O1906" s="63" t="n">
        <f aca="false">IF(ISTEXT($AC1906),VALUE($AC1906),$AC1906)</f>
        <v>16</v>
      </c>
      <c r="P1906" s="64" t="n">
        <f aca="false">INDEX(Datos_Origen!$I$2:$I$2459,$Z1906)</f>
        <v>1656.52</v>
      </c>
      <c r="Q1906" s="64" t="n">
        <f aca="false">INDEX(Datos_Origen!$J$2:$J$2459,$Z1906)</f>
        <v>1155.66</v>
      </c>
      <c r="R1906" s="65" t="n">
        <f aca="false">ROUND($O1906*$P1906,2)</f>
        <v>26504.32</v>
      </c>
      <c r="S1906" s="65" t="n">
        <f aca="false">ROUND($O1906*$Q1906,2)</f>
        <v>18490.56</v>
      </c>
      <c r="T1906" s="65" t="n">
        <f aca="false">ROUND($R1906*SUMIFS(Parametros!$E$28:$E$43,Parametros!$B$28:$B$43,$J1906,Parametros!$C$28:$C$43,$C1906,Parametros!$D$28:$D$43,$D1906),2)</f>
        <v>344.56</v>
      </c>
      <c r="U1906" s="65" t="n">
        <f aca="false">$R1906-$S1906-$T1906</f>
        <v>7669.2</v>
      </c>
      <c r="V1906" s="66" t="n">
        <f aca="false">IFERROR($U1906/$R1906,0)</f>
        <v>0.289356602999058</v>
      </c>
      <c r="W1906" s="67" t="str">
        <f aca="false">IF(AND($V1906&gt;=Parametros!$C$8,$R1906&gt;=Parametros!$C$12),"Alta rentabilidad",IF(OR($V1906&lt;Parametros!$C$11,$R1906&lt;Parametros!$C$13),"Revisar","Estandar"))</f>
        <v>Estandar</v>
      </c>
      <c r="X1906" s="67" t="str">
        <f aca="false">IF(AND($J1906="E-commerce",IFERROR($T1906/$R1906,0)&gt;Parametros!$C$14),"Alerta","OK")</f>
        <v>OK</v>
      </c>
      <c r="Y1906" s="61" t="str">
        <f aca="false">IF($R1906&gt;=Parametros!$C$12,"Alto",IF($R1906&lt;Parametros!$C$13,"Bajo","Medio"))</f>
        <v>Alto</v>
      </c>
      <c r="Z1906" s="61" t="n">
        <v>1585</v>
      </c>
      <c r="AA1906" s="61" t="str">
        <f aca="false">IF(MATCH($A1906,Datos_Origen!$A$2:$A$2459,0)=$Z1906,"OK","REVISAR")</f>
        <v>OK</v>
      </c>
      <c r="AB1906" s="61" t="str">
        <f aca="false">INDEX(Datos_Origen!$B$2:$B$2459,$Z1906)</f>
        <v>2025-08-25</v>
      </c>
      <c r="AC1906" s="61" t="n">
        <f aca="false">INDEX(Datos_Origen!$H$2:$H$2459,$Z1906)</f>
        <v>16</v>
      </c>
      <c r="AD1906" s="61" t="str">
        <f aca="false">INDEX(Datos_Origen!$D$2:$D$2459,$Z1906)&amp;""</f>
        <v>Buenos Aires</v>
      </c>
    </row>
    <row r="1907" customFormat="false" ht="15" hidden="false" customHeight="false" outlineLevel="0" collapsed="false">
      <c r="A1907" s="61" t="n">
        <f aca="false">INDEX(Datos_Origen!$A$2:$A$2459,$Z1907)</f>
        <v>1906</v>
      </c>
      <c r="B1907" s="62" t="n">
        <f aca="false">IF(ISNUMBER($AB1907),$AB1907,IF(MID($AB1907,5,1)="-",DATE(VALUE(LEFT($AB1907,4)),VALUE(MID($AB1907,6,2)),VALUE(RIGHT($AB1907,2))),DATE(VALUE(RIGHT($AB1907,4)),VALUE(MID($AB1907,4,2)),VALUE(LEFT($AB1907,2)))))</f>
        <v>45874</v>
      </c>
      <c r="C1907" s="61" t="n">
        <f aca="false">YEAR($B1907)</f>
        <v>2025</v>
      </c>
      <c r="D1907" s="61" t="str">
        <f aca="false">"Q"&amp;ROUNDUP(MONTH($B1907)/3,0)</f>
        <v>Q3</v>
      </c>
      <c r="E1907" s="61" t="n">
        <f aca="false">MONTH($B1907)</f>
        <v>8</v>
      </c>
      <c r="F1907" s="61" t="str">
        <f aca="false">INDEX(Parametros!$I$5:$I$16,$E1907)</f>
        <v>Ago</v>
      </c>
      <c r="G1907" s="61" t="str">
        <f aca="false">TEXT($C1907,"0000")&amp;"-"&amp;TEXT($E1907,"00")</f>
        <v>2025-08</v>
      </c>
      <c r="H1907" s="61" t="str">
        <f aca="false">INDEX(Parametros!$C$71:$C$91,MATCH(TRIM(INDEX(Datos_Origen!$C$2:$C$2459,$Z1907)),Parametros!$B$71:$B$91,0))</f>
        <v>AMBA</v>
      </c>
      <c r="I1907" s="61" t="str">
        <f aca="false">IF(TRIM($AD1907)="",INDEX(Parametros!$I$20:$I$24,MATCH($H1907,Parametros!$H$20:$H$24,0)),TRIM($AD1907))</f>
        <v>Buenos Aires</v>
      </c>
      <c r="J1907" s="61" t="str">
        <f aca="false">INDEX(Parametros!$C$95:$C$106,MATCH(TRIM(INDEX(Datos_Origen!$E$2:$E$2459,$Z1907)),Parametros!$B$95:$B$106,0))</f>
        <v>E-commerce</v>
      </c>
      <c r="K1907" s="61" t="str">
        <f aca="false">INDEX(Parametros!$C$48:$C$67,MATCH(TRIM(INDEX(Datos_Origen!$F$2:$F$2459,$Z1907)),Parametros!$B$48:$B$67,0))</f>
        <v>Computacion</v>
      </c>
      <c r="L1907" s="61" t="str">
        <f aca="false">$K1907&amp;" "&amp;$C1907</f>
        <v>Computacion 2025</v>
      </c>
      <c r="M1907" s="61" t="str">
        <f aca="false">TRIM(INDEX(Datos_Origen!$G$2:$G$2459,$Z1907))</f>
        <v>PC Gamer Ryzen</v>
      </c>
      <c r="N1907" s="61" t="str">
        <f aca="false">$M1907&amp;" "&amp;$C1907</f>
        <v>PC Gamer Ryzen 2025</v>
      </c>
      <c r="O1907" s="63" t="n">
        <f aca="false">IF(ISTEXT($AC1907),VALUE($AC1907),$AC1907)</f>
        <v>15</v>
      </c>
      <c r="P1907" s="64" t="n">
        <f aca="false">INDEX(Datos_Origen!$I$2:$I$2459,$Z1907)</f>
        <v>1656.52</v>
      </c>
      <c r="Q1907" s="64" t="n">
        <f aca="false">INDEX(Datos_Origen!$J$2:$J$2459,$Z1907)</f>
        <v>1155.66</v>
      </c>
      <c r="R1907" s="65" t="n">
        <f aca="false">ROUND($O1907*$P1907,2)</f>
        <v>24847.8</v>
      </c>
      <c r="S1907" s="65" t="n">
        <f aca="false">ROUND($O1907*$Q1907,2)</f>
        <v>17334.9</v>
      </c>
      <c r="T1907" s="65" t="n">
        <f aca="false">ROUND($R1907*SUMIFS(Parametros!$E$28:$E$43,Parametros!$B$28:$B$43,$J1907,Parametros!$C$28:$C$43,$C1907,Parametros!$D$28:$D$43,$D1907),2)</f>
        <v>1391.48</v>
      </c>
      <c r="U1907" s="65" t="n">
        <f aca="false">$R1907-$S1907-$T1907</f>
        <v>6121.42</v>
      </c>
      <c r="V1907" s="66" t="n">
        <f aca="false">IFERROR($U1907/$R1907,0)</f>
        <v>0.246356619097063</v>
      </c>
      <c r="W1907" s="67" t="str">
        <f aca="false">IF(AND($V1907&gt;=Parametros!$C$8,$R1907&gt;=Parametros!$C$12),"Alta rentabilidad",IF(OR($V1907&lt;Parametros!$C$11,$R1907&lt;Parametros!$C$13),"Revisar","Estandar"))</f>
        <v>Revisar</v>
      </c>
      <c r="X1907" s="67" t="str">
        <f aca="false">IF(AND($J1907="E-commerce",IFERROR($T1907/$R1907,0)&gt;Parametros!$C$14),"Alerta","OK")</f>
        <v>Alerta</v>
      </c>
      <c r="Y1907" s="61" t="str">
        <f aca="false">IF($R1907&gt;=Parametros!$C$12,"Alto",IF($R1907&lt;Parametros!$C$13,"Bajo","Medio"))</f>
        <v>Alto</v>
      </c>
      <c r="Z1907" s="61" t="n">
        <v>1324</v>
      </c>
      <c r="AA1907" s="61" t="str">
        <f aca="false">IF(MATCH($A1907,Datos_Origen!$A$2:$A$2459,0)=$Z1907,"OK","REVISAR")</f>
        <v>OK</v>
      </c>
      <c r="AB1907" s="62" t="n">
        <f aca="false">INDEX(Datos_Origen!$B$2:$B$2459,$Z1907)</f>
        <v>45874</v>
      </c>
      <c r="AC1907" s="61" t="n">
        <f aca="false">INDEX(Datos_Origen!$H$2:$H$2459,$Z1907)</f>
        <v>15</v>
      </c>
      <c r="AD1907" s="61" t="str">
        <f aca="false">INDEX(Datos_Origen!$D$2:$D$2459,$Z1907)&amp;""</f>
        <v>Buenos Aires</v>
      </c>
    </row>
    <row r="1908" customFormat="false" ht="15" hidden="false" customHeight="false" outlineLevel="0" collapsed="false">
      <c r="A1908" s="61" t="n">
        <f aca="false">INDEX(Datos_Origen!$A$2:$A$2459,$Z1908)</f>
        <v>1907</v>
      </c>
      <c r="B1908" s="62" t="n">
        <f aca="false">IF(ISNUMBER($AB1908),$AB1908,IF(MID($AB1908,5,1)="-",DATE(VALUE(LEFT($AB1908,4)),VALUE(MID($AB1908,6,2)),VALUE(RIGHT($AB1908,2))),DATE(VALUE(RIGHT($AB1908,4)),VALUE(MID($AB1908,4,2)),VALUE(LEFT($AB1908,2)))))</f>
        <v>45881</v>
      </c>
      <c r="C1908" s="61" t="n">
        <f aca="false">YEAR($B1908)</f>
        <v>2025</v>
      </c>
      <c r="D1908" s="61" t="str">
        <f aca="false">"Q"&amp;ROUNDUP(MONTH($B1908)/3,0)</f>
        <v>Q3</v>
      </c>
      <c r="E1908" s="61" t="n">
        <f aca="false">MONTH($B1908)</f>
        <v>8</v>
      </c>
      <c r="F1908" s="61" t="str">
        <f aca="false">INDEX(Parametros!$I$5:$I$16,$E1908)</f>
        <v>Ago</v>
      </c>
      <c r="G1908" s="61" t="str">
        <f aca="false">TEXT($C1908,"0000")&amp;"-"&amp;TEXT($E1908,"00")</f>
        <v>2025-08</v>
      </c>
      <c r="H1908" s="61" t="str">
        <f aca="false">INDEX(Parametros!$C$71:$C$91,MATCH(TRIM(INDEX(Datos_Origen!$C$2:$C$2459,$Z1908)),Parametros!$B$71:$B$91,0))</f>
        <v>AMBA</v>
      </c>
      <c r="I1908" s="61" t="str">
        <f aca="false">IF(TRIM($AD1908)="",INDEX(Parametros!$I$20:$I$24,MATCH($H1908,Parametros!$H$20:$H$24,0)),TRIM($AD1908))</f>
        <v>Buenos Aires</v>
      </c>
      <c r="J1908" s="61" t="str">
        <f aca="false">INDEX(Parametros!$C$95:$C$106,MATCH(TRIM(INDEX(Datos_Origen!$E$2:$E$2459,$Z1908)),Parametros!$B$95:$B$106,0))</f>
        <v>Tienda fisica</v>
      </c>
      <c r="K1908" s="61" t="str">
        <f aca="false">INDEX(Parametros!$C$48:$C$67,MATCH(TRIM(INDEX(Datos_Origen!$F$2:$F$2459,$Z1908)),Parametros!$B$48:$B$67,0))</f>
        <v>Accesorios</v>
      </c>
      <c r="L1908" s="61" t="str">
        <f aca="false">$K1908&amp;" "&amp;$C1908</f>
        <v>Accesorios 2025</v>
      </c>
      <c r="M1908" s="61" t="str">
        <f aca="false">TRIM(INDEX(Datos_Origen!$G$2:$G$2459,$Z1908))</f>
        <v>Mouse Inalambrico</v>
      </c>
      <c r="N1908" s="61" t="str">
        <f aca="false">$M1908&amp;" "&amp;$C1908</f>
        <v>Mouse Inalambrico 2025</v>
      </c>
      <c r="O1908" s="63" t="n">
        <f aca="false">IF(ISTEXT($AC1908),VALUE($AC1908),$AC1908)</f>
        <v>99</v>
      </c>
      <c r="P1908" s="64" t="n">
        <f aca="false">INDEX(Datos_Origen!$I$2:$I$2459,$Z1908)</f>
        <v>28.11</v>
      </c>
      <c r="Q1908" s="64" t="n">
        <f aca="false">INDEX(Datos_Origen!$J$2:$J$2459,$Z1908)</f>
        <v>13.84</v>
      </c>
      <c r="R1908" s="65" t="n">
        <f aca="false">ROUND($O1908*$P1908,2)</f>
        <v>2782.89</v>
      </c>
      <c r="S1908" s="65" t="n">
        <f aca="false">ROUND($O1908*$Q1908,2)</f>
        <v>1370.16</v>
      </c>
      <c r="T1908" s="65" t="n">
        <f aca="false">ROUND($R1908*SUMIFS(Parametros!$E$28:$E$43,Parametros!$B$28:$B$43,$J1908,Parametros!$C$28:$C$43,$C1908,Parametros!$D$28:$D$43,$D1908),2)</f>
        <v>36.18</v>
      </c>
      <c r="U1908" s="65" t="n">
        <f aca="false">$R1908-$S1908-$T1908</f>
        <v>1376.55</v>
      </c>
      <c r="V1908" s="66" t="n">
        <f aca="false">IFERROR($U1908/$R1908,0)</f>
        <v>0.494647650464086</v>
      </c>
      <c r="W1908" s="67" t="str">
        <f aca="false">IF(AND($V1908&gt;=Parametros!$C$8,$R1908&gt;=Parametros!$C$12),"Alta rentabilidad",IF(OR($V1908&lt;Parametros!$C$11,$R1908&lt;Parametros!$C$13),"Revisar","Estandar"))</f>
        <v>Estandar</v>
      </c>
      <c r="X1908" s="67" t="str">
        <f aca="false">IF(AND($J1908="E-commerce",IFERROR($T1908/$R1908,0)&gt;Parametros!$C$14),"Alerta","OK")</f>
        <v>OK</v>
      </c>
      <c r="Y1908" s="61" t="str">
        <f aca="false">IF($R1908&gt;=Parametros!$C$12,"Alto",IF($R1908&lt;Parametros!$C$13,"Bajo","Medio"))</f>
        <v>Medio</v>
      </c>
      <c r="Z1908" s="61" t="n">
        <v>386</v>
      </c>
      <c r="AA1908" s="61" t="str">
        <f aca="false">IF(MATCH($A1908,Datos_Origen!$A$2:$A$2459,0)=$Z1908,"OK","REVISAR")</f>
        <v>OK</v>
      </c>
      <c r="AB1908" s="62" t="n">
        <f aca="false">INDEX(Datos_Origen!$B$2:$B$2459,$Z1908)</f>
        <v>45881</v>
      </c>
      <c r="AC1908" s="61" t="n">
        <f aca="false">INDEX(Datos_Origen!$H$2:$H$2459,$Z1908)</f>
        <v>99</v>
      </c>
      <c r="AD1908" s="61" t="str">
        <f aca="false">INDEX(Datos_Origen!$D$2:$D$2459,$Z1908)&amp;""</f>
        <v/>
      </c>
    </row>
    <row r="1909" customFormat="false" ht="15" hidden="false" customHeight="false" outlineLevel="0" collapsed="false">
      <c r="A1909" s="61" t="n">
        <f aca="false">INDEX(Datos_Origen!$A$2:$A$2459,$Z1909)</f>
        <v>1908</v>
      </c>
      <c r="B1909" s="62" t="n">
        <f aca="false">IF(ISNUMBER($AB1909),$AB1909,IF(MID($AB1909,5,1)="-",DATE(VALUE(LEFT($AB1909,4)),VALUE(MID($AB1909,6,2)),VALUE(RIGHT($AB1909,2))),DATE(VALUE(RIGHT($AB1909,4)),VALUE(MID($AB1909,4,2)),VALUE(LEFT($AB1909,2)))))</f>
        <v>45888</v>
      </c>
      <c r="C1909" s="61" t="n">
        <f aca="false">YEAR($B1909)</f>
        <v>2025</v>
      </c>
      <c r="D1909" s="61" t="str">
        <f aca="false">"Q"&amp;ROUNDUP(MONTH($B1909)/3,0)</f>
        <v>Q3</v>
      </c>
      <c r="E1909" s="61" t="n">
        <f aca="false">MONTH($B1909)</f>
        <v>8</v>
      </c>
      <c r="F1909" s="61" t="str">
        <f aca="false">INDEX(Parametros!$I$5:$I$16,$E1909)</f>
        <v>Ago</v>
      </c>
      <c r="G1909" s="61" t="str">
        <f aca="false">TEXT($C1909,"0000")&amp;"-"&amp;TEXT($E1909,"00")</f>
        <v>2025-08</v>
      </c>
      <c r="H1909" s="61" t="str">
        <f aca="false">INDEX(Parametros!$C$71:$C$91,MATCH(TRIM(INDEX(Datos_Origen!$C$2:$C$2459,$Z1909)),Parametros!$B$71:$B$91,0))</f>
        <v>AMBA</v>
      </c>
      <c r="I1909" s="61" t="str">
        <f aca="false">IF(TRIM($AD1909)="",INDEX(Parametros!$I$20:$I$24,MATCH($H1909,Parametros!$H$20:$H$24,0)),TRIM($AD1909))</f>
        <v>Buenos Aires</v>
      </c>
      <c r="J1909" s="61" t="str">
        <f aca="false">INDEX(Parametros!$C$95:$C$106,MATCH(TRIM(INDEX(Datos_Origen!$E$2:$E$2459,$Z1909)),Parametros!$B$95:$B$106,0))</f>
        <v>E-commerce</v>
      </c>
      <c r="K1909" s="61" t="str">
        <f aca="false">INDEX(Parametros!$C$48:$C$67,MATCH(TRIM(INDEX(Datos_Origen!$F$2:$F$2459,$Z1909)),Parametros!$B$48:$B$67,0))</f>
        <v>Accesorios</v>
      </c>
      <c r="L1909" s="61" t="str">
        <f aca="false">$K1909&amp;" "&amp;$C1909</f>
        <v>Accesorios 2025</v>
      </c>
      <c r="M1909" s="61" t="str">
        <f aca="false">TRIM(INDEX(Datos_Origen!$G$2:$G$2459,$Z1909))</f>
        <v>Mouse Inalambrico</v>
      </c>
      <c r="N1909" s="61" t="str">
        <f aca="false">$M1909&amp;" "&amp;$C1909</f>
        <v>Mouse Inalambrico 2025</v>
      </c>
      <c r="O1909" s="63" t="n">
        <f aca="false">IF(ISTEXT($AC1909),VALUE($AC1909),$AC1909)</f>
        <v>59</v>
      </c>
      <c r="P1909" s="64" t="n">
        <f aca="false">INDEX(Datos_Origen!$I$2:$I$2459,$Z1909)</f>
        <v>28.11</v>
      </c>
      <c r="Q1909" s="64" t="n">
        <f aca="false">INDEX(Datos_Origen!$J$2:$J$2459,$Z1909)</f>
        <v>13.84</v>
      </c>
      <c r="R1909" s="65" t="n">
        <f aca="false">ROUND($O1909*$P1909,2)</f>
        <v>1658.49</v>
      </c>
      <c r="S1909" s="65" t="n">
        <f aca="false">ROUND($O1909*$Q1909,2)</f>
        <v>816.56</v>
      </c>
      <c r="T1909" s="65" t="n">
        <f aca="false">ROUND($R1909*SUMIFS(Parametros!$E$28:$E$43,Parametros!$B$28:$B$43,$J1909,Parametros!$C$28:$C$43,$C1909,Parametros!$D$28:$D$43,$D1909),2)</f>
        <v>92.88</v>
      </c>
      <c r="U1909" s="65" t="n">
        <f aca="false">$R1909-$S1909-$T1909</f>
        <v>749.05</v>
      </c>
      <c r="V1909" s="66" t="n">
        <f aca="false">IFERROR($U1909/$R1909,0)</f>
        <v>0.451645774168069</v>
      </c>
      <c r="W1909" s="67" t="str">
        <f aca="false">IF(AND($V1909&gt;=Parametros!$C$8,$R1909&gt;=Parametros!$C$12),"Alta rentabilidad",IF(OR($V1909&lt;Parametros!$C$11,$R1909&lt;Parametros!$C$13),"Revisar","Estandar"))</f>
        <v>Estandar</v>
      </c>
      <c r="X1909" s="67" t="str">
        <f aca="false">IF(AND($J1909="E-commerce",IFERROR($T1909/$R1909,0)&gt;Parametros!$C$14),"Alerta","OK")</f>
        <v>Alerta</v>
      </c>
      <c r="Y1909" s="61" t="str">
        <f aca="false">IF($R1909&gt;=Parametros!$C$12,"Alto",IF($R1909&lt;Parametros!$C$13,"Bajo","Medio"))</f>
        <v>Medio</v>
      </c>
      <c r="Z1909" s="61" t="n">
        <v>1701</v>
      </c>
      <c r="AA1909" s="61" t="str">
        <f aca="false">IF(MATCH($A1909,Datos_Origen!$A$2:$A$2459,0)=$Z1909,"OK","REVISAR")</f>
        <v>OK</v>
      </c>
      <c r="AB1909" s="62" t="n">
        <f aca="false">INDEX(Datos_Origen!$B$2:$B$2459,$Z1909)</f>
        <v>45888</v>
      </c>
      <c r="AC1909" s="61" t="n">
        <f aca="false">INDEX(Datos_Origen!$H$2:$H$2459,$Z1909)</f>
        <v>59</v>
      </c>
      <c r="AD1909" s="61" t="str">
        <f aca="false">INDEX(Datos_Origen!$D$2:$D$2459,$Z1909)&amp;""</f>
        <v>Buenos Aires</v>
      </c>
    </row>
    <row r="1910" customFormat="false" ht="15" hidden="false" customHeight="false" outlineLevel="0" collapsed="false">
      <c r="A1910" s="61" t="n">
        <f aca="false">INDEX(Datos_Origen!$A$2:$A$2459,$Z1910)</f>
        <v>1909</v>
      </c>
      <c r="B1910" s="62" t="n">
        <f aca="false">IF(ISNUMBER($AB1910),$AB1910,IF(MID($AB1910,5,1)="-",DATE(VALUE(LEFT($AB1910,4)),VALUE(MID($AB1910,6,2)),VALUE(RIGHT($AB1910,2))),DATE(VALUE(RIGHT($AB1910,4)),VALUE(MID($AB1910,4,2)),VALUE(LEFT($AB1910,2)))))</f>
        <v>45895</v>
      </c>
      <c r="C1910" s="61" t="n">
        <f aca="false">YEAR($B1910)</f>
        <v>2025</v>
      </c>
      <c r="D1910" s="61" t="str">
        <f aca="false">"Q"&amp;ROUNDUP(MONTH($B1910)/3,0)</f>
        <v>Q3</v>
      </c>
      <c r="E1910" s="61" t="n">
        <f aca="false">MONTH($B1910)</f>
        <v>8</v>
      </c>
      <c r="F1910" s="61" t="str">
        <f aca="false">INDEX(Parametros!$I$5:$I$16,$E1910)</f>
        <v>Ago</v>
      </c>
      <c r="G1910" s="61" t="str">
        <f aca="false">TEXT($C1910,"0000")&amp;"-"&amp;TEXT($E1910,"00")</f>
        <v>2025-08</v>
      </c>
      <c r="H1910" s="61" t="str">
        <f aca="false">INDEX(Parametros!$C$71:$C$91,MATCH(TRIM(INDEX(Datos_Origen!$C$2:$C$2459,$Z1910)),Parametros!$B$71:$B$91,0))</f>
        <v>AMBA</v>
      </c>
      <c r="I1910" s="61" t="str">
        <f aca="false">IF(TRIM($AD1910)="",INDEX(Parametros!$I$20:$I$24,MATCH($H1910,Parametros!$H$20:$H$24,0)),TRIM($AD1910))</f>
        <v>Buenos Aires</v>
      </c>
      <c r="J1910" s="61" t="str">
        <f aca="false">INDEX(Parametros!$C$95:$C$106,MATCH(TRIM(INDEX(Datos_Origen!$E$2:$E$2459,$Z1910)),Parametros!$B$95:$B$106,0))</f>
        <v>Tienda fisica</v>
      </c>
      <c r="K1910" s="61" t="str">
        <f aca="false">INDEX(Parametros!$C$48:$C$67,MATCH(TRIM(INDEX(Datos_Origen!$F$2:$F$2459,$Z1910)),Parametros!$B$48:$B$67,0))</f>
        <v>Accesorios</v>
      </c>
      <c r="L1910" s="61" t="str">
        <f aca="false">$K1910&amp;" "&amp;$C1910</f>
        <v>Accesorios 2025</v>
      </c>
      <c r="M1910" s="61" t="str">
        <f aca="false">TRIM(INDEX(Datos_Origen!$G$2:$G$2459,$Z1910))</f>
        <v>Teclado Mecanico</v>
      </c>
      <c r="N1910" s="61" t="str">
        <f aca="false">$M1910&amp;" "&amp;$C1910</f>
        <v>Teclado Mecanico 2025</v>
      </c>
      <c r="O1910" s="63" t="n">
        <f aca="false">IF(ISTEXT($AC1910),VALUE($AC1910),$AC1910)</f>
        <v>91</v>
      </c>
      <c r="P1910" s="64" t="n">
        <f aca="false">INDEX(Datos_Origen!$I$2:$I$2459,$Z1910)</f>
        <v>95.38</v>
      </c>
      <c r="Q1910" s="64" t="n">
        <f aca="false">INDEX(Datos_Origen!$J$2:$J$2459,$Z1910)</f>
        <v>49.41</v>
      </c>
      <c r="R1910" s="65" t="n">
        <f aca="false">ROUND($O1910*$P1910,2)</f>
        <v>8679.58</v>
      </c>
      <c r="S1910" s="65" t="n">
        <f aca="false">ROUND($O1910*$Q1910,2)</f>
        <v>4496.31</v>
      </c>
      <c r="T1910" s="65" t="n">
        <f aca="false">ROUND($R1910*SUMIFS(Parametros!$E$28:$E$43,Parametros!$B$28:$B$43,$J1910,Parametros!$C$28:$C$43,$C1910,Parametros!$D$28:$D$43,$D1910),2)</f>
        <v>112.83</v>
      </c>
      <c r="U1910" s="65" t="n">
        <f aca="false">$R1910-$S1910-$T1910</f>
        <v>4070.44</v>
      </c>
      <c r="V1910" s="66" t="n">
        <f aca="false">IFERROR($U1910/$R1910,0)</f>
        <v>0.468967392431431</v>
      </c>
      <c r="W1910" s="67" t="str">
        <f aca="false">IF(AND($V1910&gt;=Parametros!$C$8,$R1910&gt;=Parametros!$C$12),"Alta rentabilidad",IF(OR($V1910&lt;Parametros!$C$11,$R1910&lt;Parametros!$C$13),"Revisar","Estandar"))</f>
        <v>Alta rentabilidad</v>
      </c>
      <c r="X1910" s="67" t="str">
        <f aca="false">IF(AND($J1910="E-commerce",IFERROR($T1910/$R1910,0)&gt;Parametros!$C$14),"Alerta","OK")</f>
        <v>OK</v>
      </c>
      <c r="Y1910" s="61" t="str">
        <f aca="false">IF($R1910&gt;=Parametros!$C$12,"Alto",IF($R1910&lt;Parametros!$C$13,"Bajo","Medio"))</f>
        <v>Alto</v>
      </c>
      <c r="Z1910" s="61" t="n">
        <v>336</v>
      </c>
      <c r="AA1910" s="61" t="str">
        <f aca="false">IF(MATCH($A1910,Datos_Origen!$A$2:$A$2459,0)=$Z1910,"OK","REVISAR")</f>
        <v>OK</v>
      </c>
      <c r="AB1910" s="62" t="n">
        <f aca="false">INDEX(Datos_Origen!$B$2:$B$2459,$Z1910)</f>
        <v>45895</v>
      </c>
      <c r="AC1910" s="61" t="n">
        <f aca="false">INDEX(Datos_Origen!$H$2:$H$2459,$Z1910)</f>
        <v>91</v>
      </c>
      <c r="AD1910" s="61" t="str">
        <f aca="false">INDEX(Datos_Origen!$D$2:$D$2459,$Z1910)&amp;""</f>
        <v>Buenos Aires</v>
      </c>
    </row>
    <row r="1911" customFormat="false" ht="15" hidden="false" customHeight="false" outlineLevel="0" collapsed="false">
      <c r="A1911" s="61" t="n">
        <f aca="false">INDEX(Datos_Origen!$A$2:$A$2459,$Z1911)</f>
        <v>1910</v>
      </c>
      <c r="B1911" s="62" t="n">
        <f aca="false">IF(ISNUMBER($AB1911),$AB1911,IF(MID($AB1911,5,1)="-",DATE(VALUE(LEFT($AB1911,4)),VALUE(MID($AB1911,6,2)),VALUE(RIGHT($AB1911,2))),DATE(VALUE(RIGHT($AB1911,4)),VALUE(MID($AB1911,4,2)),VALUE(LEFT($AB1911,2)))))</f>
        <v>45875</v>
      </c>
      <c r="C1911" s="61" t="n">
        <f aca="false">YEAR($B1911)</f>
        <v>2025</v>
      </c>
      <c r="D1911" s="61" t="str">
        <f aca="false">"Q"&amp;ROUNDUP(MONTH($B1911)/3,0)</f>
        <v>Q3</v>
      </c>
      <c r="E1911" s="61" t="n">
        <f aca="false">MONTH($B1911)</f>
        <v>8</v>
      </c>
      <c r="F1911" s="61" t="str">
        <f aca="false">INDEX(Parametros!$I$5:$I$16,$E1911)</f>
        <v>Ago</v>
      </c>
      <c r="G1911" s="61" t="str">
        <f aca="false">TEXT($C1911,"0000")&amp;"-"&amp;TEXT($E1911,"00")</f>
        <v>2025-08</v>
      </c>
      <c r="H1911" s="61" t="str">
        <f aca="false">INDEX(Parametros!$C$71:$C$91,MATCH(TRIM(INDEX(Datos_Origen!$C$2:$C$2459,$Z1911)),Parametros!$B$71:$B$91,0))</f>
        <v>AMBA</v>
      </c>
      <c r="I1911" s="61" t="str">
        <f aca="false">IF(TRIM($AD1911)="",INDEX(Parametros!$I$20:$I$24,MATCH($H1911,Parametros!$H$20:$H$24,0)),TRIM($AD1911))</f>
        <v>Buenos Aires</v>
      </c>
      <c r="J1911" s="61" t="str">
        <f aca="false">INDEX(Parametros!$C$95:$C$106,MATCH(TRIM(INDEX(Datos_Origen!$E$2:$E$2459,$Z1911)),Parametros!$B$95:$B$106,0))</f>
        <v>E-commerce</v>
      </c>
      <c r="K1911" s="61" t="str">
        <f aca="false">INDEX(Parametros!$C$48:$C$67,MATCH(TRIM(INDEX(Datos_Origen!$F$2:$F$2459,$Z1911)),Parametros!$B$48:$B$67,0))</f>
        <v>Accesorios</v>
      </c>
      <c r="L1911" s="61" t="str">
        <f aca="false">$K1911&amp;" "&amp;$C1911</f>
        <v>Accesorios 2025</v>
      </c>
      <c r="M1911" s="61" t="str">
        <f aca="false">TRIM(INDEX(Datos_Origen!$G$2:$G$2459,$Z1911))</f>
        <v>Teclado Mecanico</v>
      </c>
      <c r="N1911" s="61" t="str">
        <f aca="false">$M1911&amp;" "&amp;$C1911</f>
        <v>Teclado Mecanico 2025</v>
      </c>
      <c r="O1911" s="63" t="n">
        <f aca="false">IF(ISTEXT($AC1911),VALUE($AC1911),$AC1911)</f>
        <v>70</v>
      </c>
      <c r="P1911" s="64" t="n">
        <f aca="false">INDEX(Datos_Origen!$I$2:$I$2459,$Z1911)</f>
        <v>95.38</v>
      </c>
      <c r="Q1911" s="64" t="n">
        <f aca="false">INDEX(Datos_Origen!$J$2:$J$2459,$Z1911)</f>
        <v>49.41</v>
      </c>
      <c r="R1911" s="65" t="n">
        <f aca="false">ROUND($O1911*$P1911,2)</f>
        <v>6676.6</v>
      </c>
      <c r="S1911" s="65" t="n">
        <f aca="false">ROUND($O1911*$Q1911,2)</f>
        <v>3458.7</v>
      </c>
      <c r="T1911" s="65" t="n">
        <f aca="false">ROUND($R1911*SUMIFS(Parametros!$E$28:$E$43,Parametros!$B$28:$B$43,$J1911,Parametros!$C$28:$C$43,$C1911,Parametros!$D$28:$D$43,$D1911),2)</f>
        <v>373.89</v>
      </c>
      <c r="U1911" s="65" t="n">
        <f aca="false">$R1911-$S1911-$T1911</f>
        <v>2844.01</v>
      </c>
      <c r="V1911" s="66" t="n">
        <f aca="false">IFERROR($U1911/$R1911,0)</f>
        <v>0.425966809453914</v>
      </c>
      <c r="W1911" s="67" t="str">
        <f aca="false">IF(AND($V1911&gt;=Parametros!$C$8,$R1911&gt;=Parametros!$C$12),"Alta rentabilidad",IF(OR($V1911&lt;Parametros!$C$11,$R1911&lt;Parametros!$C$13),"Revisar","Estandar"))</f>
        <v>Alta rentabilidad</v>
      </c>
      <c r="X1911" s="67" t="str">
        <f aca="false">IF(AND($J1911="E-commerce",IFERROR($T1911/$R1911,0)&gt;Parametros!$C$14),"Alerta","OK")</f>
        <v>Alerta</v>
      </c>
      <c r="Y1911" s="61" t="str">
        <f aca="false">IF($R1911&gt;=Parametros!$C$12,"Alto",IF($R1911&lt;Parametros!$C$13,"Bajo","Medio"))</f>
        <v>Alto</v>
      </c>
      <c r="Z1911" s="61" t="n">
        <v>1496</v>
      </c>
      <c r="AA1911" s="61" t="str">
        <f aca="false">IF(MATCH($A1911,Datos_Origen!$A$2:$A$2459,0)=$Z1911,"OK","REVISAR")</f>
        <v>OK</v>
      </c>
      <c r="AB1911" s="62" t="n">
        <f aca="false">INDEX(Datos_Origen!$B$2:$B$2459,$Z1911)</f>
        <v>45875</v>
      </c>
      <c r="AC1911" s="61" t="n">
        <f aca="false">INDEX(Datos_Origen!$H$2:$H$2459,$Z1911)</f>
        <v>70</v>
      </c>
      <c r="AD1911" s="61" t="str">
        <f aca="false">INDEX(Datos_Origen!$D$2:$D$2459,$Z1911)&amp;""</f>
        <v>Buenos Aires</v>
      </c>
    </row>
    <row r="1912" customFormat="false" ht="15" hidden="false" customHeight="false" outlineLevel="0" collapsed="false">
      <c r="A1912" s="61" t="n">
        <f aca="false">INDEX(Datos_Origen!$A$2:$A$2459,$Z1912)</f>
        <v>1911</v>
      </c>
      <c r="B1912" s="62" t="n">
        <f aca="false">IF(ISNUMBER($AB1912),$AB1912,IF(MID($AB1912,5,1)="-",DATE(VALUE(LEFT($AB1912,4)),VALUE(MID($AB1912,6,2)),VALUE(RIGHT($AB1912,2))),DATE(VALUE(RIGHT($AB1912,4)),VALUE(MID($AB1912,4,2)),VALUE(LEFT($AB1912,2)))))</f>
        <v>45882</v>
      </c>
      <c r="C1912" s="61" t="n">
        <f aca="false">YEAR($B1912)</f>
        <v>2025</v>
      </c>
      <c r="D1912" s="61" t="str">
        <f aca="false">"Q"&amp;ROUNDUP(MONTH($B1912)/3,0)</f>
        <v>Q3</v>
      </c>
      <c r="E1912" s="61" t="n">
        <f aca="false">MONTH($B1912)</f>
        <v>8</v>
      </c>
      <c r="F1912" s="61" t="str">
        <f aca="false">INDEX(Parametros!$I$5:$I$16,$E1912)</f>
        <v>Ago</v>
      </c>
      <c r="G1912" s="61" t="str">
        <f aca="false">TEXT($C1912,"0000")&amp;"-"&amp;TEXT($E1912,"00")</f>
        <v>2025-08</v>
      </c>
      <c r="H1912" s="61" t="str">
        <f aca="false">INDEX(Parametros!$C$71:$C$91,MATCH(TRIM(INDEX(Datos_Origen!$C$2:$C$2459,$Z1912)),Parametros!$B$71:$B$91,0))</f>
        <v>AMBA</v>
      </c>
      <c r="I1912" s="61" t="str">
        <f aca="false">IF(TRIM($AD1912)="",INDEX(Parametros!$I$20:$I$24,MATCH($H1912,Parametros!$H$20:$H$24,0)),TRIM($AD1912))</f>
        <v>Buenos Aires</v>
      </c>
      <c r="J1912" s="61" t="str">
        <f aca="false">INDEX(Parametros!$C$95:$C$106,MATCH(TRIM(INDEX(Datos_Origen!$E$2:$E$2459,$Z1912)),Parametros!$B$95:$B$106,0))</f>
        <v>Tienda fisica</v>
      </c>
      <c r="K1912" s="61" t="str">
        <f aca="false">INDEX(Parametros!$C$48:$C$67,MATCH(TRIM(INDEX(Datos_Origen!$F$2:$F$2459,$Z1912)),Parametros!$B$48:$B$67,0))</f>
        <v>Accesorios</v>
      </c>
      <c r="L1912" s="61" t="str">
        <f aca="false">$K1912&amp;" "&amp;$C1912</f>
        <v>Accesorios 2025</v>
      </c>
      <c r="M1912" s="61" t="str">
        <f aca="false">TRIM(INDEX(Datos_Origen!$G$2:$G$2459,$Z1912))</f>
        <v>Webcam Full HD</v>
      </c>
      <c r="N1912" s="61" t="str">
        <f aca="false">$M1912&amp;" "&amp;$C1912</f>
        <v>Webcam Full HD 2025</v>
      </c>
      <c r="O1912" s="63" t="n">
        <f aca="false">IF(ISTEXT($AC1912),VALUE($AC1912),$AC1912)</f>
        <v>87</v>
      </c>
      <c r="P1912" s="64" t="n">
        <f aca="false">INDEX(Datos_Origen!$I$2:$I$2459,$Z1912)</f>
        <v>65.26</v>
      </c>
      <c r="Q1912" s="64" t="n">
        <f aca="false">INDEX(Datos_Origen!$J$2:$J$2459,$Z1912)</f>
        <v>36.49</v>
      </c>
      <c r="R1912" s="65" t="n">
        <f aca="false">ROUND($O1912*$P1912,2)</f>
        <v>5677.62</v>
      </c>
      <c r="S1912" s="65" t="n">
        <f aca="false">ROUND($O1912*$Q1912,2)</f>
        <v>3174.63</v>
      </c>
      <c r="T1912" s="65" t="n">
        <f aca="false">ROUND($R1912*SUMIFS(Parametros!$E$28:$E$43,Parametros!$B$28:$B$43,$J1912,Parametros!$C$28:$C$43,$C1912,Parametros!$D$28:$D$43,$D1912),2)</f>
        <v>73.81</v>
      </c>
      <c r="U1912" s="65" t="n">
        <f aca="false">$R1912-$S1912-$T1912</f>
        <v>2429.18</v>
      </c>
      <c r="V1912" s="66" t="n">
        <f aca="false">IFERROR($U1912/$R1912,0)</f>
        <v>0.42785181114622</v>
      </c>
      <c r="W1912" s="67" t="str">
        <f aca="false">IF(AND($V1912&gt;=Parametros!$C$8,$R1912&gt;=Parametros!$C$12),"Alta rentabilidad",IF(OR($V1912&lt;Parametros!$C$11,$R1912&lt;Parametros!$C$13),"Revisar","Estandar"))</f>
        <v>Alta rentabilidad</v>
      </c>
      <c r="X1912" s="67" t="str">
        <f aca="false">IF(AND($J1912="E-commerce",IFERROR($T1912/$R1912,0)&gt;Parametros!$C$14),"Alerta","OK")</f>
        <v>OK</v>
      </c>
      <c r="Y1912" s="61" t="str">
        <f aca="false">IF($R1912&gt;=Parametros!$C$12,"Alto",IF($R1912&lt;Parametros!$C$13,"Bajo","Medio"))</f>
        <v>Alto</v>
      </c>
      <c r="Z1912" s="61" t="n">
        <v>828</v>
      </c>
      <c r="AA1912" s="61" t="str">
        <f aca="false">IF(MATCH($A1912,Datos_Origen!$A$2:$A$2459,0)=$Z1912,"OK","REVISAR")</f>
        <v>OK</v>
      </c>
      <c r="AB1912" s="62" t="n">
        <f aca="false">INDEX(Datos_Origen!$B$2:$B$2459,$Z1912)</f>
        <v>45882</v>
      </c>
      <c r="AC1912" s="61" t="str">
        <f aca="false">INDEX(Datos_Origen!$H$2:$H$2459,$Z1912)</f>
        <v>87</v>
      </c>
      <c r="AD1912" s="61" t="str">
        <f aca="false">INDEX(Datos_Origen!$D$2:$D$2459,$Z1912)&amp;""</f>
        <v>Buenos Aires</v>
      </c>
    </row>
    <row r="1913" customFormat="false" ht="15" hidden="false" customHeight="false" outlineLevel="0" collapsed="false">
      <c r="A1913" s="61" t="n">
        <f aca="false">INDEX(Datos_Origen!$A$2:$A$2459,$Z1913)</f>
        <v>1912</v>
      </c>
      <c r="B1913" s="62" t="n">
        <f aca="false">IF(ISNUMBER($AB1913),$AB1913,IF(MID($AB1913,5,1)="-",DATE(VALUE(LEFT($AB1913,4)),VALUE(MID($AB1913,6,2)),VALUE(RIGHT($AB1913,2))),DATE(VALUE(RIGHT($AB1913,4)),VALUE(MID($AB1913,4,2)),VALUE(LEFT($AB1913,2)))))</f>
        <v>45889</v>
      </c>
      <c r="C1913" s="61" t="n">
        <f aca="false">YEAR($B1913)</f>
        <v>2025</v>
      </c>
      <c r="D1913" s="61" t="str">
        <f aca="false">"Q"&amp;ROUNDUP(MONTH($B1913)/3,0)</f>
        <v>Q3</v>
      </c>
      <c r="E1913" s="61" t="n">
        <f aca="false">MONTH($B1913)</f>
        <v>8</v>
      </c>
      <c r="F1913" s="61" t="str">
        <f aca="false">INDEX(Parametros!$I$5:$I$16,$E1913)</f>
        <v>Ago</v>
      </c>
      <c r="G1913" s="61" t="str">
        <f aca="false">TEXT($C1913,"0000")&amp;"-"&amp;TEXT($E1913,"00")</f>
        <v>2025-08</v>
      </c>
      <c r="H1913" s="61" t="str">
        <f aca="false">INDEX(Parametros!$C$71:$C$91,MATCH(TRIM(INDEX(Datos_Origen!$C$2:$C$2459,$Z1913)),Parametros!$B$71:$B$91,0))</f>
        <v>AMBA</v>
      </c>
      <c r="I1913" s="61" t="str">
        <f aca="false">IF(TRIM($AD1913)="",INDEX(Parametros!$I$20:$I$24,MATCH($H1913,Parametros!$H$20:$H$24,0)),TRIM($AD1913))</f>
        <v>Buenos Aires</v>
      </c>
      <c r="J1913" s="61" t="str">
        <f aca="false">INDEX(Parametros!$C$95:$C$106,MATCH(TRIM(INDEX(Datos_Origen!$E$2:$E$2459,$Z1913)),Parametros!$B$95:$B$106,0))</f>
        <v>E-commerce</v>
      </c>
      <c r="K1913" s="61" t="str">
        <f aca="false">INDEX(Parametros!$C$48:$C$67,MATCH(TRIM(INDEX(Datos_Origen!$F$2:$F$2459,$Z1913)),Parametros!$B$48:$B$67,0))</f>
        <v>Accesorios</v>
      </c>
      <c r="L1913" s="61" t="str">
        <f aca="false">$K1913&amp;" "&amp;$C1913</f>
        <v>Accesorios 2025</v>
      </c>
      <c r="M1913" s="61" t="str">
        <f aca="false">TRIM(INDEX(Datos_Origen!$G$2:$G$2459,$Z1913))</f>
        <v>Webcam Full HD</v>
      </c>
      <c r="N1913" s="61" t="str">
        <f aca="false">$M1913&amp;" "&amp;$C1913</f>
        <v>Webcam Full HD 2025</v>
      </c>
      <c r="O1913" s="63" t="n">
        <f aca="false">IF(ISTEXT($AC1913),VALUE($AC1913),$AC1913)</f>
        <v>74</v>
      </c>
      <c r="P1913" s="64" t="n">
        <f aca="false">INDEX(Datos_Origen!$I$2:$I$2459,$Z1913)</f>
        <v>65.26</v>
      </c>
      <c r="Q1913" s="64" t="n">
        <f aca="false">INDEX(Datos_Origen!$J$2:$J$2459,$Z1913)</f>
        <v>36.49</v>
      </c>
      <c r="R1913" s="65" t="n">
        <f aca="false">ROUND($O1913*$P1913,2)</f>
        <v>4829.24</v>
      </c>
      <c r="S1913" s="65" t="n">
        <f aca="false">ROUND($O1913*$Q1913,2)</f>
        <v>2700.26</v>
      </c>
      <c r="T1913" s="65" t="n">
        <f aca="false">ROUND($R1913*SUMIFS(Parametros!$E$28:$E$43,Parametros!$B$28:$B$43,$J1913,Parametros!$C$28:$C$43,$C1913,Parametros!$D$28:$D$43,$D1913),2)</f>
        <v>270.44</v>
      </c>
      <c r="U1913" s="65" t="n">
        <f aca="false">$R1913-$S1913-$T1913</f>
        <v>1858.54</v>
      </c>
      <c r="V1913" s="66" t="n">
        <f aca="false">IFERROR($U1913/$R1913,0)</f>
        <v>0.384851446604435</v>
      </c>
      <c r="W1913" s="67" t="str">
        <f aca="false">IF(AND($V1913&gt;=Parametros!$C$8,$R1913&gt;=Parametros!$C$12),"Alta rentabilidad",IF(OR($V1913&lt;Parametros!$C$11,$R1913&lt;Parametros!$C$13),"Revisar","Estandar"))</f>
        <v>Alta rentabilidad</v>
      </c>
      <c r="X1913" s="67" t="str">
        <f aca="false">IF(AND($J1913="E-commerce",IFERROR($T1913/$R1913,0)&gt;Parametros!$C$14),"Alerta","OK")</f>
        <v>Alerta</v>
      </c>
      <c r="Y1913" s="61" t="str">
        <f aca="false">IF($R1913&gt;=Parametros!$C$12,"Alto",IF($R1913&lt;Parametros!$C$13,"Bajo","Medio"))</f>
        <v>Alto</v>
      </c>
      <c r="Z1913" s="61" t="n">
        <v>2236</v>
      </c>
      <c r="AA1913" s="61" t="str">
        <f aca="false">IF(MATCH($A1913,Datos_Origen!$A$2:$A$2459,0)=$Z1913,"OK","REVISAR")</f>
        <v>OK</v>
      </c>
      <c r="AB1913" s="62" t="n">
        <f aca="false">INDEX(Datos_Origen!$B$2:$B$2459,$Z1913)</f>
        <v>45889</v>
      </c>
      <c r="AC1913" s="61" t="n">
        <f aca="false">INDEX(Datos_Origen!$H$2:$H$2459,$Z1913)</f>
        <v>74</v>
      </c>
      <c r="AD1913" s="61" t="str">
        <f aca="false">INDEX(Datos_Origen!$D$2:$D$2459,$Z1913)&amp;""</f>
        <v>Buenos Aires</v>
      </c>
    </row>
    <row r="1914" customFormat="false" ht="15" hidden="false" customHeight="false" outlineLevel="0" collapsed="false">
      <c r="A1914" s="61" t="n">
        <f aca="false">INDEX(Datos_Origen!$A$2:$A$2459,$Z1914)</f>
        <v>1913</v>
      </c>
      <c r="B1914" s="62" t="n">
        <f aca="false">IF(ISNUMBER($AB1914),$AB1914,IF(MID($AB1914,5,1)="-",DATE(VALUE(LEFT($AB1914,4)),VALUE(MID($AB1914,6,2)),VALUE(RIGHT($AB1914,2))),DATE(VALUE(RIGHT($AB1914,4)),VALUE(MID($AB1914,4,2)),VALUE(LEFT($AB1914,2)))))</f>
        <v>45896</v>
      </c>
      <c r="C1914" s="61" t="n">
        <f aca="false">YEAR($B1914)</f>
        <v>2025</v>
      </c>
      <c r="D1914" s="61" t="str">
        <f aca="false">"Q"&amp;ROUNDUP(MONTH($B1914)/3,0)</f>
        <v>Q3</v>
      </c>
      <c r="E1914" s="61" t="n">
        <f aca="false">MONTH($B1914)</f>
        <v>8</v>
      </c>
      <c r="F1914" s="61" t="str">
        <f aca="false">INDEX(Parametros!$I$5:$I$16,$E1914)</f>
        <v>Ago</v>
      </c>
      <c r="G1914" s="61" t="str">
        <f aca="false">TEXT($C1914,"0000")&amp;"-"&amp;TEXT($E1914,"00")</f>
        <v>2025-08</v>
      </c>
      <c r="H1914" s="61" t="str">
        <f aca="false">INDEX(Parametros!$C$71:$C$91,MATCH(TRIM(INDEX(Datos_Origen!$C$2:$C$2459,$Z1914)),Parametros!$B$71:$B$91,0))</f>
        <v>AMBA</v>
      </c>
      <c r="I1914" s="61" t="str">
        <f aca="false">IF(TRIM($AD1914)="",INDEX(Parametros!$I$20:$I$24,MATCH($H1914,Parametros!$H$20:$H$24,0)),TRIM($AD1914))</f>
        <v>Buenos Aires</v>
      </c>
      <c r="J1914" s="61" t="str">
        <f aca="false">INDEX(Parametros!$C$95:$C$106,MATCH(TRIM(INDEX(Datos_Origen!$E$2:$E$2459,$Z1914)),Parametros!$B$95:$B$106,0))</f>
        <v>Tienda fisica</v>
      </c>
      <c r="K1914" s="61" t="str">
        <f aca="false">INDEX(Parametros!$C$48:$C$67,MATCH(TRIM(INDEX(Datos_Origen!$F$2:$F$2459,$Z1914)),Parametros!$B$48:$B$67,0))</f>
        <v>Audio</v>
      </c>
      <c r="L1914" s="61" t="str">
        <f aca="false">$K1914&amp;" "&amp;$C1914</f>
        <v>Audio 2025</v>
      </c>
      <c r="M1914" s="61" t="str">
        <f aca="false">TRIM(INDEX(Datos_Origen!$G$2:$G$2459,$Z1914))</f>
        <v>Auriculares BT Pro</v>
      </c>
      <c r="N1914" s="61" t="str">
        <f aca="false">$M1914&amp;" "&amp;$C1914</f>
        <v>Auriculares BT Pro 2025</v>
      </c>
      <c r="O1914" s="63" t="n">
        <f aca="false">IF(ISTEXT($AC1914),VALUE($AC1914),$AC1914)</f>
        <v>44</v>
      </c>
      <c r="P1914" s="64" t="n">
        <f aca="false">INDEX(Datos_Origen!$I$2:$I$2459,$Z1914)</f>
        <v>120.47</v>
      </c>
      <c r="Q1914" s="64" t="n">
        <f aca="false">INDEX(Datos_Origen!$J$2:$J$2459,$Z1914)</f>
        <v>65.51</v>
      </c>
      <c r="R1914" s="65" t="n">
        <f aca="false">ROUND($O1914*$P1914,2)</f>
        <v>5300.68</v>
      </c>
      <c r="S1914" s="65" t="n">
        <f aca="false">ROUND($O1914*$Q1914,2)</f>
        <v>2882.44</v>
      </c>
      <c r="T1914" s="65" t="n">
        <f aca="false">ROUND($R1914*SUMIFS(Parametros!$E$28:$E$43,Parametros!$B$28:$B$43,$J1914,Parametros!$C$28:$C$43,$C1914,Parametros!$D$28:$D$43,$D1914),2)</f>
        <v>68.91</v>
      </c>
      <c r="U1914" s="65" t="n">
        <f aca="false">$R1914-$S1914-$T1914</f>
        <v>2349.33</v>
      </c>
      <c r="V1914" s="66" t="n">
        <f aca="false">IFERROR($U1914/$R1914,0)</f>
        <v>0.443212946263498</v>
      </c>
      <c r="W1914" s="67" t="str">
        <f aca="false">IF(AND($V1914&gt;=Parametros!$C$8,$R1914&gt;=Parametros!$C$12),"Alta rentabilidad",IF(OR($V1914&lt;Parametros!$C$11,$R1914&lt;Parametros!$C$13),"Revisar","Estandar"))</f>
        <v>Alta rentabilidad</v>
      </c>
      <c r="X1914" s="67" t="str">
        <f aca="false">IF(AND($J1914="E-commerce",IFERROR($T1914/$R1914,0)&gt;Parametros!$C$14),"Alerta","OK")</f>
        <v>OK</v>
      </c>
      <c r="Y1914" s="61" t="str">
        <f aca="false">IF($R1914&gt;=Parametros!$C$12,"Alto",IF($R1914&lt;Parametros!$C$13,"Bajo","Medio"))</f>
        <v>Alto</v>
      </c>
      <c r="Z1914" s="61" t="n">
        <v>1424</v>
      </c>
      <c r="AA1914" s="61" t="str">
        <f aca="false">IF(MATCH($A1914,Datos_Origen!$A$2:$A$2459,0)=$Z1914,"OK","REVISAR")</f>
        <v>OK</v>
      </c>
      <c r="AB1914" s="62" t="n">
        <f aca="false">INDEX(Datos_Origen!$B$2:$B$2459,$Z1914)</f>
        <v>45896</v>
      </c>
      <c r="AC1914" s="61" t="n">
        <f aca="false">INDEX(Datos_Origen!$H$2:$H$2459,$Z1914)</f>
        <v>44</v>
      </c>
      <c r="AD1914" s="61" t="str">
        <f aca="false">INDEX(Datos_Origen!$D$2:$D$2459,$Z1914)&amp;""</f>
        <v>Buenos Aires</v>
      </c>
    </row>
    <row r="1915" customFormat="false" ht="15" hidden="false" customHeight="false" outlineLevel="0" collapsed="false">
      <c r="A1915" s="61" t="n">
        <f aca="false">INDEX(Datos_Origen!$A$2:$A$2459,$Z1915)</f>
        <v>1914</v>
      </c>
      <c r="B1915" s="62" t="n">
        <f aca="false">IF(ISNUMBER($AB1915),$AB1915,IF(MID($AB1915,5,1)="-",DATE(VALUE(LEFT($AB1915,4)),VALUE(MID($AB1915,6,2)),VALUE(RIGHT($AB1915,2))),DATE(VALUE(RIGHT($AB1915,4)),VALUE(MID($AB1915,4,2)),VALUE(LEFT($AB1915,2)))))</f>
        <v>45876</v>
      </c>
      <c r="C1915" s="61" t="n">
        <f aca="false">YEAR($B1915)</f>
        <v>2025</v>
      </c>
      <c r="D1915" s="61" t="str">
        <f aca="false">"Q"&amp;ROUNDUP(MONTH($B1915)/3,0)</f>
        <v>Q3</v>
      </c>
      <c r="E1915" s="61" t="n">
        <f aca="false">MONTH($B1915)</f>
        <v>8</v>
      </c>
      <c r="F1915" s="61" t="str">
        <f aca="false">INDEX(Parametros!$I$5:$I$16,$E1915)</f>
        <v>Ago</v>
      </c>
      <c r="G1915" s="61" t="str">
        <f aca="false">TEXT($C1915,"0000")&amp;"-"&amp;TEXT($E1915,"00")</f>
        <v>2025-08</v>
      </c>
      <c r="H1915" s="61" t="str">
        <f aca="false">INDEX(Parametros!$C$71:$C$91,MATCH(TRIM(INDEX(Datos_Origen!$C$2:$C$2459,$Z1915)),Parametros!$B$71:$B$91,0))</f>
        <v>AMBA</v>
      </c>
      <c r="I1915" s="61" t="str">
        <f aca="false">IF(TRIM($AD1915)="",INDEX(Parametros!$I$20:$I$24,MATCH($H1915,Parametros!$H$20:$H$24,0)),TRIM($AD1915))</f>
        <v>Buenos Aires</v>
      </c>
      <c r="J1915" s="61" t="str">
        <f aca="false">INDEX(Parametros!$C$95:$C$106,MATCH(TRIM(INDEX(Datos_Origen!$E$2:$E$2459,$Z1915)),Parametros!$B$95:$B$106,0))</f>
        <v>E-commerce</v>
      </c>
      <c r="K1915" s="61" t="str">
        <f aca="false">INDEX(Parametros!$C$48:$C$67,MATCH(TRIM(INDEX(Datos_Origen!$F$2:$F$2459,$Z1915)),Parametros!$B$48:$B$67,0))</f>
        <v>Audio</v>
      </c>
      <c r="L1915" s="61" t="str">
        <f aca="false">$K1915&amp;" "&amp;$C1915</f>
        <v>Audio 2025</v>
      </c>
      <c r="M1915" s="61" t="str">
        <f aca="false">TRIM(INDEX(Datos_Origen!$G$2:$G$2459,$Z1915))</f>
        <v>Auriculares BT Pro</v>
      </c>
      <c r="N1915" s="61" t="str">
        <f aca="false">$M1915&amp;" "&amp;$C1915</f>
        <v>Auriculares BT Pro 2025</v>
      </c>
      <c r="O1915" s="63" t="n">
        <f aca="false">IF(ISTEXT($AC1915),VALUE($AC1915),$AC1915)</f>
        <v>32</v>
      </c>
      <c r="P1915" s="64" t="n">
        <f aca="false">INDEX(Datos_Origen!$I$2:$I$2459,$Z1915)</f>
        <v>120.47</v>
      </c>
      <c r="Q1915" s="64" t="n">
        <f aca="false">INDEX(Datos_Origen!$J$2:$J$2459,$Z1915)</f>
        <v>65.51</v>
      </c>
      <c r="R1915" s="65" t="n">
        <f aca="false">ROUND($O1915*$P1915,2)</f>
        <v>3855.04</v>
      </c>
      <c r="S1915" s="65" t="n">
        <f aca="false">ROUND($O1915*$Q1915,2)</f>
        <v>2096.32</v>
      </c>
      <c r="T1915" s="65" t="n">
        <f aca="false">ROUND($R1915*SUMIFS(Parametros!$E$28:$E$43,Parametros!$B$28:$B$43,$J1915,Parametros!$C$28:$C$43,$C1915,Parametros!$D$28:$D$43,$D1915),2)</f>
        <v>215.88</v>
      </c>
      <c r="U1915" s="65" t="n">
        <f aca="false">$R1915-$S1915-$T1915</f>
        <v>1542.84</v>
      </c>
      <c r="V1915" s="66" t="n">
        <f aca="false">IFERROR($U1915/$R1915,0)</f>
        <v>0.40021374616087</v>
      </c>
      <c r="W1915" s="67" t="str">
        <f aca="false">IF(AND($V1915&gt;=Parametros!$C$8,$R1915&gt;=Parametros!$C$12),"Alta rentabilidad",IF(OR($V1915&lt;Parametros!$C$11,$R1915&lt;Parametros!$C$13),"Revisar","Estandar"))</f>
        <v>Alta rentabilidad</v>
      </c>
      <c r="X1915" s="67" t="str">
        <f aca="false">IF(AND($J1915="E-commerce",IFERROR($T1915/$R1915,0)&gt;Parametros!$C$14),"Alerta","OK")</f>
        <v>Alerta</v>
      </c>
      <c r="Y1915" s="61" t="str">
        <f aca="false">IF($R1915&gt;=Parametros!$C$12,"Alto",IF($R1915&lt;Parametros!$C$13,"Bajo","Medio"))</f>
        <v>Alto</v>
      </c>
      <c r="Z1915" s="61" t="n">
        <v>775</v>
      </c>
      <c r="AA1915" s="61" t="str">
        <f aca="false">IF(MATCH($A1915,Datos_Origen!$A$2:$A$2459,0)=$Z1915,"OK","REVISAR")</f>
        <v>OK</v>
      </c>
      <c r="AB1915" s="62" t="n">
        <f aca="false">INDEX(Datos_Origen!$B$2:$B$2459,$Z1915)</f>
        <v>45876</v>
      </c>
      <c r="AC1915" s="61" t="n">
        <f aca="false">INDEX(Datos_Origen!$H$2:$H$2459,$Z1915)</f>
        <v>32</v>
      </c>
      <c r="AD1915" s="61" t="str">
        <f aca="false">INDEX(Datos_Origen!$D$2:$D$2459,$Z1915)&amp;""</f>
        <v>Buenos Aires</v>
      </c>
    </row>
    <row r="1916" customFormat="false" ht="15" hidden="false" customHeight="false" outlineLevel="0" collapsed="false">
      <c r="A1916" s="61" t="n">
        <f aca="false">INDEX(Datos_Origen!$A$2:$A$2459,$Z1916)</f>
        <v>1915</v>
      </c>
      <c r="B1916" s="62" t="n">
        <f aca="false">IF(ISNUMBER($AB1916),$AB1916,IF(MID($AB1916,5,1)="-",DATE(VALUE(LEFT($AB1916,4)),VALUE(MID($AB1916,6,2)),VALUE(RIGHT($AB1916,2))),DATE(VALUE(RIGHT($AB1916,4)),VALUE(MID($AB1916,4,2)),VALUE(LEFT($AB1916,2)))))</f>
        <v>45883</v>
      </c>
      <c r="C1916" s="61" t="n">
        <f aca="false">YEAR($B1916)</f>
        <v>2025</v>
      </c>
      <c r="D1916" s="61" t="str">
        <f aca="false">"Q"&amp;ROUNDUP(MONTH($B1916)/3,0)</f>
        <v>Q3</v>
      </c>
      <c r="E1916" s="61" t="n">
        <f aca="false">MONTH($B1916)</f>
        <v>8</v>
      </c>
      <c r="F1916" s="61" t="str">
        <f aca="false">INDEX(Parametros!$I$5:$I$16,$E1916)</f>
        <v>Ago</v>
      </c>
      <c r="G1916" s="61" t="str">
        <f aca="false">TEXT($C1916,"0000")&amp;"-"&amp;TEXT($E1916,"00")</f>
        <v>2025-08</v>
      </c>
      <c r="H1916" s="61" t="str">
        <f aca="false">INDEX(Parametros!$C$71:$C$91,MATCH(TRIM(INDEX(Datos_Origen!$C$2:$C$2459,$Z1916)),Parametros!$B$71:$B$91,0))</f>
        <v>AMBA</v>
      </c>
      <c r="I1916" s="61" t="str">
        <f aca="false">IF(TRIM($AD1916)="",INDEX(Parametros!$I$20:$I$24,MATCH($H1916,Parametros!$H$20:$H$24,0)),TRIM($AD1916))</f>
        <v>Buenos Aires</v>
      </c>
      <c r="J1916" s="61" t="str">
        <f aca="false">INDEX(Parametros!$C$95:$C$106,MATCH(TRIM(INDEX(Datos_Origen!$E$2:$E$2459,$Z1916)),Parametros!$B$95:$B$106,0))</f>
        <v>Tienda fisica</v>
      </c>
      <c r="K1916" s="61" t="str">
        <f aca="false">INDEX(Parametros!$C$48:$C$67,MATCH(TRIM(INDEX(Datos_Origen!$F$2:$F$2459,$Z1916)),Parametros!$B$48:$B$67,0))</f>
        <v>Audio</v>
      </c>
      <c r="L1916" s="61" t="str">
        <f aca="false">$K1916&amp;" "&amp;$C1916</f>
        <v>Audio 2025</v>
      </c>
      <c r="M1916" s="61" t="str">
        <f aca="false">TRIM(INDEX(Datos_Origen!$G$2:$G$2459,$Z1916))</f>
        <v>Parlante Bluetooth</v>
      </c>
      <c r="N1916" s="61" t="str">
        <f aca="false">$M1916&amp;" "&amp;$C1916</f>
        <v>Parlante Bluetooth 2025</v>
      </c>
      <c r="O1916" s="63" t="n">
        <f aca="false">IF(ISTEXT($AC1916),VALUE($AC1916),$AC1916)</f>
        <v>36</v>
      </c>
      <c r="P1916" s="64" t="n">
        <f aca="false">INDEX(Datos_Origen!$I$2:$I$2459,$Z1916)</f>
        <v>85.34</v>
      </c>
      <c r="Q1916" s="64" t="n">
        <f aca="false">INDEX(Datos_Origen!$J$2:$J$2459,$Z1916)</f>
        <v>49.47</v>
      </c>
      <c r="R1916" s="65" t="n">
        <f aca="false">ROUND($O1916*$P1916,2)</f>
        <v>3072.24</v>
      </c>
      <c r="S1916" s="65" t="n">
        <f aca="false">ROUND($O1916*$Q1916,2)</f>
        <v>1780.92</v>
      </c>
      <c r="T1916" s="65" t="n">
        <f aca="false">ROUND($R1916*SUMIFS(Parametros!$E$28:$E$43,Parametros!$B$28:$B$43,$J1916,Parametros!$C$28:$C$43,$C1916,Parametros!$D$28:$D$43,$D1916),2)</f>
        <v>39.94</v>
      </c>
      <c r="U1916" s="65" t="n">
        <f aca="false">$R1916-$S1916-$T1916</f>
        <v>1251.38</v>
      </c>
      <c r="V1916" s="66" t="n">
        <f aca="false">IFERROR($U1916/$R1916,0)</f>
        <v>0.407318438663646</v>
      </c>
      <c r="W1916" s="67" t="str">
        <f aca="false">IF(AND($V1916&gt;=Parametros!$C$8,$R1916&gt;=Parametros!$C$12),"Alta rentabilidad",IF(OR($V1916&lt;Parametros!$C$11,$R1916&lt;Parametros!$C$13),"Revisar","Estandar"))</f>
        <v>Alta rentabilidad</v>
      </c>
      <c r="X1916" s="67" t="str">
        <f aca="false">IF(AND($J1916="E-commerce",IFERROR($T1916/$R1916,0)&gt;Parametros!$C$14),"Alerta","OK")</f>
        <v>OK</v>
      </c>
      <c r="Y1916" s="61" t="str">
        <f aca="false">IF($R1916&gt;=Parametros!$C$12,"Alto",IF($R1916&lt;Parametros!$C$13,"Bajo","Medio"))</f>
        <v>Alto</v>
      </c>
      <c r="Z1916" s="61" t="n">
        <v>1491</v>
      </c>
      <c r="AA1916" s="61" t="str">
        <f aca="false">IF(MATCH($A1916,Datos_Origen!$A$2:$A$2459,0)=$Z1916,"OK","REVISAR")</f>
        <v>OK</v>
      </c>
      <c r="AB1916" s="61" t="str">
        <f aca="false">INDEX(Datos_Origen!$B$2:$B$2459,$Z1916)</f>
        <v>14/08/2025</v>
      </c>
      <c r="AC1916" s="61" t="str">
        <f aca="false">INDEX(Datos_Origen!$H$2:$H$2459,$Z1916)</f>
        <v>36</v>
      </c>
      <c r="AD1916" s="61" t="str">
        <f aca="false">INDEX(Datos_Origen!$D$2:$D$2459,$Z1916)&amp;""</f>
        <v>Buenos Aires</v>
      </c>
    </row>
    <row r="1917" customFormat="false" ht="15" hidden="false" customHeight="false" outlineLevel="0" collapsed="false">
      <c r="A1917" s="61" t="n">
        <f aca="false">INDEX(Datos_Origen!$A$2:$A$2459,$Z1917)</f>
        <v>1916</v>
      </c>
      <c r="B1917" s="62" t="n">
        <f aca="false">IF(ISNUMBER($AB1917),$AB1917,IF(MID($AB1917,5,1)="-",DATE(VALUE(LEFT($AB1917,4)),VALUE(MID($AB1917,6,2)),VALUE(RIGHT($AB1917,2))),DATE(VALUE(RIGHT($AB1917,4)),VALUE(MID($AB1917,4,2)),VALUE(LEFT($AB1917,2)))))</f>
        <v>45890</v>
      </c>
      <c r="C1917" s="61" t="n">
        <f aca="false">YEAR($B1917)</f>
        <v>2025</v>
      </c>
      <c r="D1917" s="61" t="str">
        <f aca="false">"Q"&amp;ROUNDUP(MONTH($B1917)/3,0)</f>
        <v>Q3</v>
      </c>
      <c r="E1917" s="61" t="n">
        <f aca="false">MONTH($B1917)</f>
        <v>8</v>
      </c>
      <c r="F1917" s="61" t="str">
        <f aca="false">INDEX(Parametros!$I$5:$I$16,$E1917)</f>
        <v>Ago</v>
      </c>
      <c r="G1917" s="61" t="str">
        <f aca="false">TEXT($C1917,"0000")&amp;"-"&amp;TEXT($E1917,"00")</f>
        <v>2025-08</v>
      </c>
      <c r="H1917" s="61" t="str">
        <f aca="false">INDEX(Parametros!$C$71:$C$91,MATCH(TRIM(INDEX(Datos_Origen!$C$2:$C$2459,$Z1917)),Parametros!$B$71:$B$91,0))</f>
        <v>AMBA</v>
      </c>
      <c r="I1917" s="61" t="str">
        <f aca="false">IF(TRIM($AD1917)="",INDEX(Parametros!$I$20:$I$24,MATCH($H1917,Parametros!$H$20:$H$24,0)),TRIM($AD1917))</f>
        <v>Buenos Aires</v>
      </c>
      <c r="J1917" s="61" t="str">
        <f aca="false">INDEX(Parametros!$C$95:$C$106,MATCH(TRIM(INDEX(Datos_Origen!$E$2:$E$2459,$Z1917)),Parametros!$B$95:$B$106,0))</f>
        <v>E-commerce</v>
      </c>
      <c r="K1917" s="61" t="str">
        <f aca="false">INDEX(Parametros!$C$48:$C$67,MATCH(TRIM(INDEX(Datos_Origen!$F$2:$F$2459,$Z1917)),Parametros!$B$48:$B$67,0))</f>
        <v>Audio</v>
      </c>
      <c r="L1917" s="61" t="str">
        <f aca="false">$K1917&amp;" "&amp;$C1917</f>
        <v>Audio 2025</v>
      </c>
      <c r="M1917" s="61" t="str">
        <f aca="false">TRIM(INDEX(Datos_Origen!$G$2:$G$2459,$Z1917))</f>
        <v>Parlante Bluetooth</v>
      </c>
      <c r="N1917" s="61" t="str">
        <f aca="false">$M1917&amp;" "&amp;$C1917</f>
        <v>Parlante Bluetooth 2025</v>
      </c>
      <c r="O1917" s="63" t="n">
        <f aca="false">IF(ISTEXT($AC1917),VALUE($AC1917),$AC1917)</f>
        <v>24</v>
      </c>
      <c r="P1917" s="64" t="n">
        <f aca="false">INDEX(Datos_Origen!$I$2:$I$2459,$Z1917)</f>
        <v>85.34</v>
      </c>
      <c r="Q1917" s="64" t="n">
        <f aca="false">INDEX(Datos_Origen!$J$2:$J$2459,$Z1917)</f>
        <v>49.47</v>
      </c>
      <c r="R1917" s="65" t="n">
        <f aca="false">ROUND($O1917*$P1917,2)</f>
        <v>2048.16</v>
      </c>
      <c r="S1917" s="65" t="n">
        <f aca="false">ROUND($O1917*$Q1917,2)</f>
        <v>1187.28</v>
      </c>
      <c r="T1917" s="65" t="n">
        <f aca="false">ROUND($R1917*SUMIFS(Parametros!$E$28:$E$43,Parametros!$B$28:$B$43,$J1917,Parametros!$C$28:$C$43,$C1917,Parametros!$D$28:$D$43,$D1917),2)</f>
        <v>114.7</v>
      </c>
      <c r="U1917" s="65" t="n">
        <f aca="false">$R1917-$S1917-$T1917</f>
        <v>746.18</v>
      </c>
      <c r="V1917" s="66" t="n">
        <f aca="false">IFERROR($U1917/$R1917,0)</f>
        <v>0.364317240840559</v>
      </c>
      <c r="W1917" s="67" t="str">
        <f aca="false">IF(AND($V1917&gt;=Parametros!$C$8,$R1917&gt;=Parametros!$C$12),"Alta rentabilidad",IF(OR($V1917&lt;Parametros!$C$11,$R1917&lt;Parametros!$C$13),"Revisar","Estandar"))</f>
        <v>Estandar</v>
      </c>
      <c r="X1917" s="67" t="str">
        <f aca="false">IF(AND($J1917="E-commerce",IFERROR($T1917/$R1917,0)&gt;Parametros!$C$14),"Alerta","OK")</f>
        <v>Alerta</v>
      </c>
      <c r="Y1917" s="61" t="str">
        <f aca="false">IF($R1917&gt;=Parametros!$C$12,"Alto",IF($R1917&lt;Parametros!$C$13,"Bajo","Medio"))</f>
        <v>Medio</v>
      </c>
      <c r="Z1917" s="61" t="n">
        <v>821</v>
      </c>
      <c r="AA1917" s="61" t="str">
        <f aca="false">IF(MATCH($A1917,Datos_Origen!$A$2:$A$2459,0)=$Z1917,"OK","REVISAR")</f>
        <v>OK</v>
      </c>
      <c r="AB1917" s="62" t="n">
        <f aca="false">INDEX(Datos_Origen!$B$2:$B$2459,$Z1917)</f>
        <v>45890</v>
      </c>
      <c r="AC1917" s="61" t="n">
        <f aca="false">INDEX(Datos_Origen!$H$2:$H$2459,$Z1917)</f>
        <v>24</v>
      </c>
      <c r="AD1917" s="61" t="str">
        <f aca="false">INDEX(Datos_Origen!$D$2:$D$2459,$Z1917)&amp;""</f>
        <v>Buenos Aires</v>
      </c>
    </row>
    <row r="1918" customFormat="false" ht="15" hidden="false" customHeight="false" outlineLevel="0" collapsed="false">
      <c r="A1918" s="61" t="n">
        <f aca="false">INDEX(Datos_Origen!$A$2:$A$2459,$Z1918)</f>
        <v>1917</v>
      </c>
      <c r="B1918" s="62" t="n">
        <f aca="false">IF(ISNUMBER($AB1918),$AB1918,IF(MID($AB1918,5,1)="-",DATE(VALUE(LEFT($AB1918,4)),VALUE(MID($AB1918,6,2)),VALUE(RIGHT($AB1918,2))),DATE(VALUE(RIGHT($AB1918,4)),VALUE(MID($AB1918,4,2)),VALUE(LEFT($AB1918,2)))))</f>
        <v>45870</v>
      </c>
      <c r="C1918" s="61" t="n">
        <f aca="false">YEAR($B1918)</f>
        <v>2025</v>
      </c>
      <c r="D1918" s="61" t="str">
        <f aca="false">"Q"&amp;ROUNDUP(MONTH($B1918)/3,0)</f>
        <v>Q3</v>
      </c>
      <c r="E1918" s="61" t="n">
        <f aca="false">MONTH($B1918)</f>
        <v>8</v>
      </c>
      <c r="F1918" s="61" t="str">
        <f aca="false">INDEX(Parametros!$I$5:$I$16,$E1918)</f>
        <v>Ago</v>
      </c>
      <c r="G1918" s="61" t="str">
        <f aca="false">TEXT($C1918,"0000")&amp;"-"&amp;TEXT($E1918,"00")</f>
        <v>2025-08</v>
      </c>
      <c r="H1918" s="61" t="str">
        <f aca="false">INDEX(Parametros!$C$71:$C$91,MATCH(TRIM(INDEX(Datos_Origen!$C$2:$C$2459,$Z1918)),Parametros!$B$71:$B$91,0))</f>
        <v>AMBA</v>
      </c>
      <c r="I1918" s="61" t="str">
        <f aca="false">IF(TRIM($AD1918)="",INDEX(Parametros!$I$20:$I$24,MATCH($H1918,Parametros!$H$20:$H$24,0)),TRIM($AD1918))</f>
        <v>Buenos Aires</v>
      </c>
      <c r="J1918" s="61" t="str">
        <f aca="false">INDEX(Parametros!$C$95:$C$106,MATCH(TRIM(INDEX(Datos_Origen!$E$2:$E$2459,$Z1918)),Parametros!$B$95:$B$106,0))</f>
        <v>Tienda fisica</v>
      </c>
      <c r="K1918" s="61" t="str">
        <f aca="false">INDEX(Parametros!$C$48:$C$67,MATCH(TRIM(INDEX(Datos_Origen!$F$2:$F$2459,$Z1918)),Parametros!$B$48:$B$67,0))</f>
        <v>Almacenamiento</v>
      </c>
      <c r="L1918" s="61" t="str">
        <f aca="false">$K1918&amp;" "&amp;$C1918</f>
        <v>Almacenamiento 2025</v>
      </c>
      <c r="M1918" s="61" t="str">
        <f aca="false">TRIM(INDEX(Datos_Origen!$G$2:$G$2459,$Z1918))</f>
        <v>SSD Externo 1TB</v>
      </c>
      <c r="N1918" s="61" t="str">
        <f aca="false">$M1918&amp;" "&amp;$C1918</f>
        <v>SSD Externo 1TB 2025</v>
      </c>
      <c r="O1918" s="63" t="n">
        <f aca="false">IF(ISTEXT($AC1918),VALUE($AC1918),$AC1918)</f>
        <v>63</v>
      </c>
      <c r="P1918" s="64" t="n">
        <f aca="false">INDEX(Datos_Origen!$I$2:$I$2459,$Z1918)</f>
        <v>130.51</v>
      </c>
      <c r="Q1918" s="64" t="n">
        <f aca="false">INDEX(Datos_Origen!$J$2:$J$2459,$Z1918)</f>
        <v>78.33</v>
      </c>
      <c r="R1918" s="65" t="n">
        <f aca="false">ROUND($O1918*$P1918,2)</f>
        <v>8222.13</v>
      </c>
      <c r="S1918" s="65" t="n">
        <f aca="false">ROUND($O1918*$Q1918,2)</f>
        <v>4934.79</v>
      </c>
      <c r="T1918" s="65" t="n">
        <f aca="false">ROUND($R1918*SUMIFS(Parametros!$E$28:$E$43,Parametros!$B$28:$B$43,$J1918,Parametros!$C$28:$C$43,$C1918,Parametros!$D$28:$D$43,$D1918),2)</f>
        <v>106.89</v>
      </c>
      <c r="U1918" s="65" t="n">
        <f aca="false">$R1918-$S1918-$T1918</f>
        <v>3180.45</v>
      </c>
      <c r="V1918" s="66" t="n">
        <f aca="false">IFERROR($U1918/$R1918,0)</f>
        <v>0.386815825096417</v>
      </c>
      <c r="W1918" s="67" t="str">
        <f aca="false">IF(AND($V1918&gt;=Parametros!$C$8,$R1918&gt;=Parametros!$C$12),"Alta rentabilidad",IF(OR($V1918&lt;Parametros!$C$11,$R1918&lt;Parametros!$C$13),"Revisar","Estandar"))</f>
        <v>Alta rentabilidad</v>
      </c>
      <c r="X1918" s="67" t="str">
        <f aca="false">IF(AND($J1918="E-commerce",IFERROR($T1918/$R1918,0)&gt;Parametros!$C$14),"Alerta","OK")</f>
        <v>OK</v>
      </c>
      <c r="Y1918" s="61" t="str">
        <f aca="false">IF($R1918&gt;=Parametros!$C$12,"Alto",IF($R1918&lt;Parametros!$C$13,"Bajo","Medio"))</f>
        <v>Alto</v>
      </c>
      <c r="Z1918" s="61" t="n">
        <v>961</v>
      </c>
      <c r="AA1918" s="61" t="str">
        <f aca="false">IF(MATCH($A1918,Datos_Origen!$A$2:$A$2459,0)=$Z1918,"OK","REVISAR")</f>
        <v>OK</v>
      </c>
      <c r="AB1918" s="61" t="str">
        <f aca="false">INDEX(Datos_Origen!$B$2:$B$2459,$Z1918)</f>
        <v>01/08/2025</v>
      </c>
      <c r="AC1918" s="61" t="n">
        <f aca="false">INDEX(Datos_Origen!$H$2:$H$2459,$Z1918)</f>
        <v>63</v>
      </c>
      <c r="AD1918" s="61" t="str">
        <f aca="false">INDEX(Datos_Origen!$D$2:$D$2459,$Z1918)&amp;""</f>
        <v>Buenos Aires</v>
      </c>
    </row>
    <row r="1919" customFormat="false" ht="15" hidden="false" customHeight="false" outlineLevel="0" collapsed="false">
      <c r="A1919" s="61" t="n">
        <f aca="false">INDEX(Datos_Origen!$A$2:$A$2459,$Z1919)</f>
        <v>1918</v>
      </c>
      <c r="B1919" s="62" t="n">
        <f aca="false">IF(ISNUMBER($AB1919),$AB1919,IF(MID($AB1919,5,1)="-",DATE(VALUE(LEFT($AB1919,4)),VALUE(MID($AB1919,6,2)),VALUE(RIGHT($AB1919,2))),DATE(VALUE(RIGHT($AB1919,4)),VALUE(MID($AB1919,4,2)),VALUE(LEFT($AB1919,2)))))</f>
        <v>45877</v>
      </c>
      <c r="C1919" s="61" t="n">
        <f aca="false">YEAR($B1919)</f>
        <v>2025</v>
      </c>
      <c r="D1919" s="61" t="str">
        <f aca="false">"Q"&amp;ROUNDUP(MONTH($B1919)/3,0)</f>
        <v>Q3</v>
      </c>
      <c r="E1919" s="61" t="n">
        <f aca="false">MONTH($B1919)</f>
        <v>8</v>
      </c>
      <c r="F1919" s="61" t="str">
        <f aca="false">INDEX(Parametros!$I$5:$I$16,$E1919)</f>
        <v>Ago</v>
      </c>
      <c r="G1919" s="61" t="str">
        <f aca="false">TEXT($C1919,"0000")&amp;"-"&amp;TEXT($E1919,"00")</f>
        <v>2025-08</v>
      </c>
      <c r="H1919" s="61" t="str">
        <f aca="false">INDEX(Parametros!$C$71:$C$91,MATCH(TRIM(INDEX(Datos_Origen!$C$2:$C$2459,$Z1919)),Parametros!$B$71:$B$91,0))</f>
        <v>AMBA</v>
      </c>
      <c r="I1919" s="61" t="str">
        <f aca="false">IF(TRIM($AD1919)="",INDEX(Parametros!$I$20:$I$24,MATCH($H1919,Parametros!$H$20:$H$24,0)),TRIM($AD1919))</f>
        <v>Buenos Aires</v>
      </c>
      <c r="J1919" s="61" t="str">
        <f aca="false">INDEX(Parametros!$C$95:$C$106,MATCH(TRIM(INDEX(Datos_Origen!$E$2:$E$2459,$Z1919)),Parametros!$B$95:$B$106,0))</f>
        <v>E-commerce</v>
      </c>
      <c r="K1919" s="61" t="str">
        <f aca="false">INDEX(Parametros!$C$48:$C$67,MATCH(TRIM(INDEX(Datos_Origen!$F$2:$F$2459,$Z1919)),Parametros!$B$48:$B$67,0))</f>
        <v>Almacenamiento</v>
      </c>
      <c r="L1919" s="61" t="str">
        <f aca="false">$K1919&amp;" "&amp;$C1919</f>
        <v>Almacenamiento 2025</v>
      </c>
      <c r="M1919" s="61" t="str">
        <f aca="false">TRIM(INDEX(Datos_Origen!$G$2:$G$2459,$Z1919))</f>
        <v>SSD Externo 1TB</v>
      </c>
      <c r="N1919" s="61" t="str">
        <f aca="false">$M1919&amp;" "&amp;$C1919</f>
        <v>SSD Externo 1TB 2025</v>
      </c>
      <c r="O1919" s="63" t="n">
        <f aca="false">IF(ISTEXT($AC1919),VALUE($AC1919),$AC1919)</f>
        <v>34</v>
      </c>
      <c r="P1919" s="64" t="n">
        <f aca="false">INDEX(Datos_Origen!$I$2:$I$2459,$Z1919)</f>
        <v>130.51</v>
      </c>
      <c r="Q1919" s="64" t="n">
        <f aca="false">INDEX(Datos_Origen!$J$2:$J$2459,$Z1919)</f>
        <v>78.33</v>
      </c>
      <c r="R1919" s="65" t="n">
        <f aca="false">ROUND($O1919*$P1919,2)</f>
        <v>4437.34</v>
      </c>
      <c r="S1919" s="65" t="n">
        <f aca="false">ROUND($O1919*$Q1919,2)</f>
        <v>2663.22</v>
      </c>
      <c r="T1919" s="65" t="n">
        <f aca="false">ROUND($R1919*SUMIFS(Parametros!$E$28:$E$43,Parametros!$B$28:$B$43,$J1919,Parametros!$C$28:$C$43,$C1919,Parametros!$D$28:$D$43,$D1919),2)</f>
        <v>248.49</v>
      </c>
      <c r="U1919" s="65" t="n">
        <f aca="false">$R1919-$S1919-$T1919</f>
        <v>1525.63</v>
      </c>
      <c r="V1919" s="66" t="n">
        <f aca="false">IFERROR($U1919/$R1919,0)</f>
        <v>0.343816340420162</v>
      </c>
      <c r="W1919" s="67" t="str">
        <f aca="false">IF(AND($V1919&gt;=Parametros!$C$8,$R1919&gt;=Parametros!$C$12),"Alta rentabilidad",IF(OR($V1919&lt;Parametros!$C$11,$R1919&lt;Parametros!$C$13),"Revisar","Estandar"))</f>
        <v>Alta rentabilidad</v>
      </c>
      <c r="X1919" s="67" t="str">
        <f aca="false">IF(AND($J1919="E-commerce",IFERROR($T1919/$R1919,0)&gt;Parametros!$C$14),"Alerta","OK")</f>
        <v>Alerta</v>
      </c>
      <c r="Y1919" s="61" t="str">
        <f aca="false">IF($R1919&gt;=Parametros!$C$12,"Alto",IF($R1919&lt;Parametros!$C$13,"Bajo","Medio"))</f>
        <v>Alto</v>
      </c>
      <c r="Z1919" s="61" t="n">
        <v>1125</v>
      </c>
      <c r="AA1919" s="61" t="str">
        <f aca="false">IF(MATCH($A1919,Datos_Origen!$A$2:$A$2459,0)=$Z1919,"OK","REVISAR")</f>
        <v>OK</v>
      </c>
      <c r="AB1919" s="62" t="n">
        <f aca="false">INDEX(Datos_Origen!$B$2:$B$2459,$Z1919)</f>
        <v>45877</v>
      </c>
      <c r="AC1919" s="61" t="n">
        <f aca="false">INDEX(Datos_Origen!$H$2:$H$2459,$Z1919)</f>
        <v>34</v>
      </c>
      <c r="AD1919" s="61" t="str">
        <f aca="false">INDEX(Datos_Origen!$D$2:$D$2459,$Z1919)&amp;""</f>
        <v>Buenos Aires</v>
      </c>
    </row>
    <row r="1920" customFormat="false" ht="15" hidden="false" customHeight="false" outlineLevel="0" collapsed="false">
      <c r="A1920" s="61" t="n">
        <f aca="false">INDEX(Datos_Origen!$A$2:$A$2459,$Z1920)</f>
        <v>1919</v>
      </c>
      <c r="B1920" s="62" t="n">
        <f aca="false">IF(ISNUMBER($AB1920),$AB1920,IF(MID($AB1920,5,1)="-",DATE(VALUE(LEFT($AB1920,4)),VALUE(MID($AB1920,6,2)),VALUE(RIGHT($AB1920,2))),DATE(VALUE(RIGHT($AB1920,4)),VALUE(MID($AB1920,4,2)),VALUE(LEFT($AB1920,2)))))</f>
        <v>45884</v>
      </c>
      <c r="C1920" s="61" t="n">
        <f aca="false">YEAR($B1920)</f>
        <v>2025</v>
      </c>
      <c r="D1920" s="61" t="str">
        <f aca="false">"Q"&amp;ROUNDUP(MONTH($B1920)/3,0)</f>
        <v>Q3</v>
      </c>
      <c r="E1920" s="61" t="n">
        <f aca="false">MONTH($B1920)</f>
        <v>8</v>
      </c>
      <c r="F1920" s="61" t="str">
        <f aca="false">INDEX(Parametros!$I$5:$I$16,$E1920)</f>
        <v>Ago</v>
      </c>
      <c r="G1920" s="61" t="str">
        <f aca="false">TEXT($C1920,"0000")&amp;"-"&amp;TEXT($E1920,"00")</f>
        <v>2025-08</v>
      </c>
      <c r="H1920" s="61" t="str">
        <f aca="false">INDEX(Parametros!$C$71:$C$91,MATCH(TRIM(INDEX(Datos_Origen!$C$2:$C$2459,$Z1920)),Parametros!$B$71:$B$91,0))</f>
        <v>AMBA</v>
      </c>
      <c r="I1920" s="61" t="str">
        <f aca="false">IF(TRIM($AD1920)="",INDEX(Parametros!$I$20:$I$24,MATCH($H1920,Parametros!$H$20:$H$24,0)),TRIM($AD1920))</f>
        <v>Buenos Aires</v>
      </c>
      <c r="J1920" s="61" t="str">
        <f aca="false">INDEX(Parametros!$C$95:$C$106,MATCH(TRIM(INDEX(Datos_Origen!$E$2:$E$2459,$Z1920)),Parametros!$B$95:$B$106,0))</f>
        <v>Tienda fisica</v>
      </c>
      <c r="K1920" s="61" t="str">
        <f aca="false">INDEX(Parametros!$C$48:$C$67,MATCH(TRIM(INDEX(Datos_Origen!$F$2:$F$2459,$Z1920)),Parametros!$B$48:$B$67,0))</f>
        <v>Almacenamiento</v>
      </c>
      <c r="L1920" s="61" t="str">
        <f aca="false">$K1920&amp;" "&amp;$C1920</f>
        <v>Almacenamiento 2025</v>
      </c>
      <c r="M1920" s="61" t="str">
        <f aca="false">TRIM(INDEX(Datos_Origen!$G$2:$G$2459,$Z1920))</f>
        <v>Pendrive 256GB</v>
      </c>
      <c r="N1920" s="61" t="str">
        <f aca="false">$M1920&amp;" "&amp;$C1920</f>
        <v>Pendrive 256GB 2025</v>
      </c>
      <c r="O1920" s="63" t="n">
        <f aca="false">IF(ISTEXT($AC1920),VALUE($AC1920),$AC1920)</f>
        <v>50</v>
      </c>
      <c r="P1920" s="64" t="n">
        <f aca="false">INDEX(Datos_Origen!$I$2:$I$2459,$Z1920)</f>
        <v>35.14</v>
      </c>
      <c r="Q1920" s="64" t="n">
        <f aca="false">INDEX(Datos_Origen!$J$2:$J$2459,$Z1920)</f>
        <v>18.39</v>
      </c>
      <c r="R1920" s="65" t="n">
        <f aca="false">ROUND($O1920*$P1920,2)</f>
        <v>1757</v>
      </c>
      <c r="S1920" s="65" t="n">
        <f aca="false">ROUND($O1920*$Q1920,2)</f>
        <v>919.5</v>
      </c>
      <c r="T1920" s="65" t="n">
        <f aca="false">ROUND($R1920*SUMIFS(Parametros!$E$28:$E$43,Parametros!$B$28:$B$43,$J1920,Parametros!$C$28:$C$43,$C1920,Parametros!$D$28:$D$43,$D1920),2)</f>
        <v>22.84</v>
      </c>
      <c r="U1920" s="65" t="n">
        <f aca="false">$R1920-$S1920-$T1920</f>
        <v>814.66</v>
      </c>
      <c r="V1920" s="66" t="n">
        <f aca="false">IFERROR($U1920/$R1920,0)</f>
        <v>0.463665338645418</v>
      </c>
      <c r="W1920" s="67" t="str">
        <f aca="false">IF(AND($V1920&gt;=Parametros!$C$8,$R1920&gt;=Parametros!$C$12),"Alta rentabilidad",IF(OR($V1920&lt;Parametros!$C$11,$R1920&lt;Parametros!$C$13),"Revisar","Estandar"))</f>
        <v>Estandar</v>
      </c>
      <c r="X1920" s="67" t="str">
        <f aca="false">IF(AND($J1920="E-commerce",IFERROR($T1920/$R1920,0)&gt;Parametros!$C$14),"Alerta","OK")</f>
        <v>OK</v>
      </c>
      <c r="Y1920" s="61" t="str">
        <f aca="false">IF($R1920&gt;=Parametros!$C$12,"Alto",IF($R1920&lt;Parametros!$C$13,"Bajo","Medio"))</f>
        <v>Medio</v>
      </c>
      <c r="Z1920" s="61" t="n">
        <v>1735</v>
      </c>
      <c r="AA1920" s="61" t="str">
        <f aca="false">IF(MATCH($A1920,Datos_Origen!$A$2:$A$2459,0)=$Z1920,"OK","REVISAR")</f>
        <v>OK</v>
      </c>
      <c r="AB1920" s="61" t="str">
        <f aca="false">INDEX(Datos_Origen!$B$2:$B$2459,$Z1920)</f>
        <v>15/08/2025</v>
      </c>
      <c r="AC1920" s="61" t="n">
        <f aca="false">INDEX(Datos_Origen!$H$2:$H$2459,$Z1920)</f>
        <v>50</v>
      </c>
      <c r="AD1920" s="61" t="str">
        <f aca="false">INDEX(Datos_Origen!$D$2:$D$2459,$Z1920)&amp;""</f>
        <v>Buenos Aires</v>
      </c>
    </row>
    <row r="1921" customFormat="false" ht="15" hidden="false" customHeight="false" outlineLevel="0" collapsed="false">
      <c r="A1921" s="61" t="n">
        <f aca="false">INDEX(Datos_Origen!$A$2:$A$2459,$Z1921)</f>
        <v>1920</v>
      </c>
      <c r="B1921" s="62" t="n">
        <f aca="false">IF(ISNUMBER($AB1921),$AB1921,IF(MID($AB1921,5,1)="-",DATE(VALUE(LEFT($AB1921,4)),VALUE(MID($AB1921,6,2)),VALUE(RIGHT($AB1921,2))),DATE(VALUE(RIGHT($AB1921,4)),VALUE(MID($AB1921,4,2)),VALUE(LEFT($AB1921,2)))))</f>
        <v>45891</v>
      </c>
      <c r="C1921" s="61" t="n">
        <f aca="false">YEAR($B1921)</f>
        <v>2025</v>
      </c>
      <c r="D1921" s="61" t="str">
        <f aca="false">"Q"&amp;ROUNDUP(MONTH($B1921)/3,0)</f>
        <v>Q3</v>
      </c>
      <c r="E1921" s="61" t="n">
        <f aca="false">MONTH($B1921)</f>
        <v>8</v>
      </c>
      <c r="F1921" s="61" t="str">
        <f aca="false">INDEX(Parametros!$I$5:$I$16,$E1921)</f>
        <v>Ago</v>
      </c>
      <c r="G1921" s="61" t="str">
        <f aca="false">TEXT($C1921,"0000")&amp;"-"&amp;TEXT($E1921,"00")</f>
        <v>2025-08</v>
      </c>
      <c r="H1921" s="61" t="str">
        <f aca="false">INDEX(Parametros!$C$71:$C$91,MATCH(TRIM(INDEX(Datos_Origen!$C$2:$C$2459,$Z1921)),Parametros!$B$71:$B$91,0))</f>
        <v>AMBA</v>
      </c>
      <c r="I1921" s="61" t="str">
        <f aca="false">IF(TRIM($AD1921)="",INDEX(Parametros!$I$20:$I$24,MATCH($H1921,Parametros!$H$20:$H$24,0)),TRIM($AD1921))</f>
        <v>Buenos Aires</v>
      </c>
      <c r="J1921" s="61" t="str">
        <f aca="false">INDEX(Parametros!$C$95:$C$106,MATCH(TRIM(INDEX(Datos_Origen!$E$2:$E$2459,$Z1921)),Parametros!$B$95:$B$106,0))</f>
        <v>E-commerce</v>
      </c>
      <c r="K1921" s="61" t="str">
        <f aca="false">INDEX(Parametros!$C$48:$C$67,MATCH(TRIM(INDEX(Datos_Origen!$F$2:$F$2459,$Z1921)),Parametros!$B$48:$B$67,0))</f>
        <v>Almacenamiento</v>
      </c>
      <c r="L1921" s="61" t="str">
        <f aca="false">$K1921&amp;" "&amp;$C1921</f>
        <v>Almacenamiento 2025</v>
      </c>
      <c r="M1921" s="61" t="str">
        <f aca="false">TRIM(INDEX(Datos_Origen!$G$2:$G$2459,$Z1921))</f>
        <v>Pendrive 256GB</v>
      </c>
      <c r="N1921" s="61" t="str">
        <f aca="false">$M1921&amp;" "&amp;$C1921</f>
        <v>Pendrive 256GB 2025</v>
      </c>
      <c r="O1921" s="63" t="n">
        <f aca="false">IF(ISTEXT($AC1921),VALUE($AC1921),$AC1921)</f>
        <v>31</v>
      </c>
      <c r="P1921" s="64" t="n">
        <f aca="false">INDEX(Datos_Origen!$I$2:$I$2459,$Z1921)</f>
        <v>35.14</v>
      </c>
      <c r="Q1921" s="64" t="n">
        <f aca="false">INDEX(Datos_Origen!$J$2:$J$2459,$Z1921)</f>
        <v>18.39</v>
      </c>
      <c r="R1921" s="65" t="n">
        <f aca="false">ROUND($O1921*$P1921,2)</f>
        <v>1089.34</v>
      </c>
      <c r="S1921" s="65" t="n">
        <f aca="false">ROUND($O1921*$Q1921,2)</f>
        <v>570.09</v>
      </c>
      <c r="T1921" s="65" t="n">
        <f aca="false">ROUND($R1921*SUMIFS(Parametros!$E$28:$E$43,Parametros!$B$28:$B$43,$J1921,Parametros!$C$28:$C$43,$C1921,Parametros!$D$28:$D$43,$D1921),2)</f>
        <v>61</v>
      </c>
      <c r="U1921" s="65" t="n">
        <f aca="false">$R1921-$S1921-$T1921</f>
        <v>458.25</v>
      </c>
      <c r="V1921" s="66" t="n">
        <f aca="false">IFERROR($U1921/$R1921,0)</f>
        <v>0.42066756017405</v>
      </c>
      <c r="W1921" s="67" t="str">
        <f aca="false">IF(AND($V1921&gt;=Parametros!$C$8,$R1921&gt;=Parametros!$C$12),"Alta rentabilidad",IF(OR($V1921&lt;Parametros!$C$11,$R1921&lt;Parametros!$C$13),"Revisar","Estandar"))</f>
        <v>Estandar</v>
      </c>
      <c r="X1921" s="67" t="str">
        <f aca="false">IF(AND($J1921="E-commerce",IFERROR($T1921/$R1921,0)&gt;Parametros!$C$14),"Alerta","OK")</f>
        <v>Alerta</v>
      </c>
      <c r="Y1921" s="61" t="str">
        <f aca="false">IF($R1921&gt;=Parametros!$C$12,"Alto",IF($R1921&lt;Parametros!$C$13,"Bajo","Medio"))</f>
        <v>Medio</v>
      </c>
      <c r="Z1921" s="61" t="n">
        <v>567</v>
      </c>
      <c r="AA1921" s="61" t="str">
        <f aca="false">IF(MATCH($A1921,Datos_Origen!$A$2:$A$2459,0)=$Z1921,"OK","REVISAR")</f>
        <v>OK</v>
      </c>
      <c r="AB1921" s="62" t="n">
        <f aca="false">INDEX(Datos_Origen!$B$2:$B$2459,$Z1921)</f>
        <v>45891</v>
      </c>
      <c r="AC1921" s="61" t="n">
        <f aca="false">INDEX(Datos_Origen!$H$2:$H$2459,$Z1921)</f>
        <v>31</v>
      </c>
      <c r="AD1921" s="61" t="str">
        <f aca="false">INDEX(Datos_Origen!$D$2:$D$2459,$Z1921)&amp;""</f>
        <v>Buenos Aires</v>
      </c>
    </row>
    <row r="1922" customFormat="false" ht="15" hidden="false" customHeight="false" outlineLevel="0" collapsed="false">
      <c r="A1922" s="61" t="n">
        <f aca="false">INDEX(Datos_Origen!$A$2:$A$2459,$Z1922)</f>
        <v>1921</v>
      </c>
      <c r="B1922" s="62" t="n">
        <f aca="false">IF(ISNUMBER($AB1922),$AB1922,IF(MID($AB1922,5,1)="-",DATE(VALUE(LEFT($AB1922,4)),VALUE(MID($AB1922,6,2)),VALUE(RIGHT($AB1922,2))),DATE(VALUE(RIGHT($AB1922,4)),VALUE(MID($AB1922,4,2)),VALUE(LEFT($AB1922,2)))))</f>
        <v>45871</v>
      </c>
      <c r="C1922" s="61" t="n">
        <f aca="false">YEAR($B1922)</f>
        <v>2025</v>
      </c>
      <c r="D1922" s="61" t="str">
        <f aca="false">"Q"&amp;ROUNDUP(MONTH($B1922)/3,0)</f>
        <v>Q3</v>
      </c>
      <c r="E1922" s="61" t="n">
        <f aca="false">MONTH($B1922)</f>
        <v>8</v>
      </c>
      <c r="F1922" s="61" t="str">
        <f aca="false">INDEX(Parametros!$I$5:$I$16,$E1922)</f>
        <v>Ago</v>
      </c>
      <c r="G1922" s="61" t="str">
        <f aca="false">TEXT($C1922,"0000")&amp;"-"&amp;TEXT($E1922,"00")</f>
        <v>2025-08</v>
      </c>
      <c r="H1922" s="61" t="str">
        <f aca="false">INDEX(Parametros!$C$71:$C$91,MATCH(TRIM(INDEX(Datos_Origen!$C$2:$C$2459,$Z1922)),Parametros!$B$71:$B$91,0))</f>
        <v>Centro</v>
      </c>
      <c r="I1922" s="61" t="str">
        <f aca="false">IF(TRIM($AD1922)="",INDEX(Parametros!$I$20:$I$24,MATCH($H1922,Parametros!$H$20:$H$24,0)),TRIM($AD1922))</f>
        <v>Cordoba</v>
      </c>
      <c r="J1922" s="61" t="str">
        <f aca="false">INDEX(Parametros!$C$95:$C$106,MATCH(TRIM(INDEX(Datos_Origen!$E$2:$E$2459,$Z1922)),Parametros!$B$95:$B$106,0))</f>
        <v>Tienda fisica</v>
      </c>
      <c r="K1922" s="61" t="str">
        <f aca="false">INDEX(Parametros!$C$48:$C$67,MATCH(TRIM(INDEX(Datos_Origen!$F$2:$F$2459,$Z1922)),Parametros!$B$48:$B$67,0))</f>
        <v>Computacion</v>
      </c>
      <c r="L1922" s="61" t="str">
        <f aca="false">$K1922&amp;" "&amp;$C1922</f>
        <v>Computacion 2025</v>
      </c>
      <c r="M1922" s="61" t="str">
        <f aca="false">TRIM(INDEX(Datos_Origen!$G$2:$G$2459,$Z1922))</f>
        <v>Laptop Pro 15</v>
      </c>
      <c r="N1922" s="61" t="str">
        <f aca="false">$M1922&amp;" "&amp;$C1922</f>
        <v>Laptop Pro 15 2025</v>
      </c>
      <c r="O1922" s="63" t="n">
        <f aca="false">IF(ISTEXT($AC1922),VALUE($AC1922),$AC1922)</f>
        <v>12</v>
      </c>
      <c r="P1922" s="64" t="n">
        <f aca="false">INDEX(Datos_Origen!$I$2:$I$2459,$Z1922)</f>
        <v>1204.74</v>
      </c>
      <c r="Q1922" s="64" t="n">
        <f aca="false">INDEX(Datos_Origen!$J$2:$J$2459,$Z1922)</f>
        <v>766.32</v>
      </c>
      <c r="R1922" s="65" t="n">
        <f aca="false">ROUND($O1922*$P1922,2)</f>
        <v>14456.88</v>
      </c>
      <c r="S1922" s="65" t="n">
        <f aca="false">ROUND($O1922*$Q1922,2)</f>
        <v>9195.84</v>
      </c>
      <c r="T1922" s="65" t="n">
        <f aca="false">ROUND($R1922*SUMIFS(Parametros!$E$28:$E$43,Parametros!$B$28:$B$43,$J1922,Parametros!$C$28:$C$43,$C1922,Parametros!$D$28:$D$43,$D1922),2)</f>
        <v>187.94</v>
      </c>
      <c r="U1922" s="65" t="n">
        <f aca="false">$R1922-$S1922-$T1922</f>
        <v>5073.1</v>
      </c>
      <c r="V1922" s="66" t="n">
        <f aca="false">IFERROR($U1922/$R1922,0)</f>
        <v>0.350912506709608</v>
      </c>
      <c r="W1922" s="67" t="str">
        <f aca="false">IF(AND($V1922&gt;=Parametros!$C$8,$R1922&gt;=Parametros!$C$12),"Alta rentabilidad",IF(OR($V1922&lt;Parametros!$C$11,$R1922&lt;Parametros!$C$13),"Revisar","Estandar"))</f>
        <v>Alta rentabilidad</v>
      </c>
      <c r="X1922" s="67" t="str">
        <f aca="false">IF(AND($J1922="E-commerce",IFERROR($T1922/$R1922,0)&gt;Parametros!$C$14),"Alerta","OK")</f>
        <v>OK</v>
      </c>
      <c r="Y1922" s="61" t="str">
        <f aca="false">IF($R1922&gt;=Parametros!$C$12,"Alto",IF($R1922&lt;Parametros!$C$13,"Bajo","Medio"))</f>
        <v>Alto</v>
      </c>
      <c r="Z1922" s="61" t="n">
        <v>2380</v>
      </c>
      <c r="AA1922" s="61" t="str">
        <f aca="false">IF(MATCH($A1922,Datos_Origen!$A$2:$A$2459,0)=$Z1922,"OK","REVISAR")</f>
        <v>OK</v>
      </c>
      <c r="AB1922" s="62" t="n">
        <f aca="false">INDEX(Datos_Origen!$B$2:$B$2459,$Z1922)</f>
        <v>45871</v>
      </c>
      <c r="AC1922" s="61" t="n">
        <f aca="false">INDEX(Datos_Origen!$H$2:$H$2459,$Z1922)</f>
        <v>12</v>
      </c>
      <c r="AD1922" s="61" t="str">
        <f aca="false">INDEX(Datos_Origen!$D$2:$D$2459,$Z1922)&amp;""</f>
        <v>Cordoba</v>
      </c>
    </row>
    <row r="1923" customFormat="false" ht="15" hidden="false" customHeight="false" outlineLevel="0" collapsed="false">
      <c r="A1923" s="61" t="n">
        <f aca="false">INDEX(Datos_Origen!$A$2:$A$2459,$Z1923)</f>
        <v>1922</v>
      </c>
      <c r="B1923" s="62" t="n">
        <f aca="false">IF(ISNUMBER($AB1923),$AB1923,IF(MID($AB1923,5,1)="-",DATE(VALUE(LEFT($AB1923,4)),VALUE(MID($AB1923,6,2)),VALUE(RIGHT($AB1923,2))),DATE(VALUE(RIGHT($AB1923,4)),VALUE(MID($AB1923,4,2)),VALUE(LEFT($AB1923,2)))))</f>
        <v>45878</v>
      </c>
      <c r="C1923" s="61" t="n">
        <f aca="false">YEAR($B1923)</f>
        <v>2025</v>
      </c>
      <c r="D1923" s="61" t="str">
        <f aca="false">"Q"&amp;ROUNDUP(MONTH($B1923)/3,0)</f>
        <v>Q3</v>
      </c>
      <c r="E1923" s="61" t="n">
        <f aca="false">MONTH($B1923)</f>
        <v>8</v>
      </c>
      <c r="F1923" s="61" t="str">
        <f aca="false">INDEX(Parametros!$I$5:$I$16,$E1923)</f>
        <v>Ago</v>
      </c>
      <c r="G1923" s="61" t="str">
        <f aca="false">TEXT($C1923,"0000")&amp;"-"&amp;TEXT($E1923,"00")</f>
        <v>2025-08</v>
      </c>
      <c r="H1923" s="61" t="str">
        <f aca="false">INDEX(Parametros!$C$71:$C$91,MATCH(TRIM(INDEX(Datos_Origen!$C$2:$C$2459,$Z1923)),Parametros!$B$71:$B$91,0))</f>
        <v>Centro</v>
      </c>
      <c r="I1923" s="61" t="str">
        <f aca="false">IF(TRIM($AD1923)="",INDEX(Parametros!$I$20:$I$24,MATCH($H1923,Parametros!$H$20:$H$24,0)),TRIM($AD1923))</f>
        <v>Cordoba</v>
      </c>
      <c r="J1923" s="61" t="str">
        <f aca="false">INDEX(Parametros!$C$95:$C$106,MATCH(TRIM(INDEX(Datos_Origen!$E$2:$E$2459,$Z1923)),Parametros!$B$95:$B$106,0))</f>
        <v>E-commerce</v>
      </c>
      <c r="K1923" s="61" t="str">
        <f aca="false">INDEX(Parametros!$C$48:$C$67,MATCH(TRIM(INDEX(Datos_Origen!$F$2:$F$2459,$Z1923)),Parametros!$B$48:$B$67,0))</f>
        <v>Computacion</v>
      </c>
      <c r="L1923" s="61" t="str">
        <f aca="false">$K1923&amp;" "&amp;$C1923</f>
        <v>Computacion 2025</v>
      </c>
      <c r="M1923" s="61" t="str">
        <f aca="false">TRIM(INDEX(Datos_Origen!$G$2:$G$2459,$Z1923))</f>
        <v>Laptop Pro 15</v>
      </c>
      <c r="N1923" s="61" t="str">
        <f aca="false">$M1923&amp;" "&amp;$C1923</f>
        <v>Laptop Pro 15 2025</v>
      </c>
      <c r="O1923" s="63" t="n">
        <f aca="false">IF(ISTEXT($AC1923),VALUE($AC1923),$AC1923)</f>
        <v>8</v>
      </c>
      <c r="P1923" s="64" t="n">
        <f aca="false">INDEX(Datos_Origen!$I$2:$I$2459,$Z1923)</f>
        <v>1204.74</v>
      </c>
      <c r="Q1923" s="64" t="n">
        <f aca="false">INDEX(Datos_Origen!$J$2:$J$2459,$Z1923)</f>
        <v>766.32</v>
      </c>
      <c r="R1923" s="65" t="n">
        <f aca="false">ROUND($O1923*$P1923,2)</f>
        <v>9637.92</v>
      </c>
      <c r="S1923" s="65" t="n">
        <f aca="false">ROUND($O1923*$Q1923,2)</f>
        <v>6130.56</v>
      </c>
      <c r="T1923" s="65" t="n">
        <f aca="false">ROUND($R1923*SUMIFS(Parametros!$E$28:$E$43,Parametros!$B$28:$B$43,$J1923,Parametros!$C$28:$C$43,$C1923,Parametros!$D$28:$D$43,$D1923),2)</f>
        <v>539.72</v>
      </c>
      <c r="U1923" s="65" t="n">
        <f aca="false">$R1923-$S1923-$T1923</f>
        <v>2967.64</v>
      </c>
      <c r="V1923" s="66" t="n">
        <f aca="false">IFERROR($U1923/$R1923,0)</f>
        <v>0.307912910669522</v>
      </c>
      <c r="W1923" s="67" t="str">
        <f aca="false">IF(AND($V1923&gt;=Parametros!$C$8,$R1923&gt;=Parametros!$C$12),"Alta rentabilidad",IF(OR($V1923&lt;Parametros!$C$11,$R1923&lt;Parametros!$C$13),"Revisar","Estandar"))</f>
        <v>Estandar</v>
      </c>
      <c r="X1923" s="67" t="str">
        <f aca="false">IF(AND($J1923="E-commerce",IFERROR($T1923/$R1923,0)&gt;Parametros!$C$14),"Alerta","OK")</f>
        <v>Alerta</v>
      </c>
      <c r="Y1923" s="61" t="str">
        <f aca="false">IF($R1923&gt;=Parametros!$C$12,"Alto",IF($R1923&lt;Parametros!$C$13,"Bajo","Medio"))</f>
        <v>Alto</v>
      </c>
      <c r="Z1923" s="61" t="n">
        <v>918</v>
      </c>
      <c r="AA1923" s="61" t="str">
        <f aca="false">IF(MATCH($A1923,Datos_Origen!$A$2:$A$2459,0)=$Z1923,"OK","REVISAR")</f>
        <v>OK</v>
      </c>
      <c r="AB1923" s="62" t="n">
        <f aca="false">INDEX(Datos_Origen!$B$2:$B$2459,$Z1923)</f>
        <v>45878</v>
      </c>
      <c r="AC1923" s="61" t="n">
        <f aca="false">INDEX(Datos_Origen!$H$2:$H$2459,$Z1923)</f>
        <v>8</v>
      </c>
      <c r="AD1923" s="61" t="str">
        <f aca="false">INDEX(Datos_Origen!$D$2:$D$2459,$Z1923)&amp;""</f>
        <v>Cordoba</v>
      </c>
    </row>
    <row r="1924" customFormat="false" ht="15" hidden="false" customHeight="false" outlineLevel="0" collapsed="false">
      <c r="A1924" s="61" t="n">
        <f aca="false">INDEX(Datos_Origen!$A$2:$A$2459,$Z1924)</f>
        <v>1923</v>
      </c>
      <c r="B1924" s="62" t="n">
        <f aca="false">IF(ISNUMBER($AB1924),$AB1924,IF(MID($AB1924,5,1)="-",DATE(VALUE(LEFT($AB1924,4)),VALUE(MID($AB1924,6,2)),VALUE(RIGHT($AB1924,2))),DATE(VALUE(RIGHT($AB1924,4)),VALUE(MID($AB1924,4,2)),VALUE(LEFT($AB1924,2)))))</f>
        <v>45885</v>
      </c>
      <c r="C1924" s="61" t="n">
        <f aca="false">YEAR($B1924)</f>
        <v>2025</v>
      </c>
      <c r="D1924" s="61" t="str">
        <f aca="false">"Q"&amp;ROUNDUP(MONTH($B1924)/3,0)</f>
        <v>Q3</v>
      </c>
      <c r="E1924" s="61" t="n">
        <f aca="false">MONTH($B1924)</f>
        <v>8</v>
      </c>
      <c r="F1924" s="61" t="str">
        <f aca="false">INDEX(Parametros!$I$5:$I$16,$E1924)</f>
        <v>Ago</v>
      </c>
      <c r="G1924" s="61" t="str">
        <f aca="false">TEXT($C1924,"0000")&amp;"-"&amp;TEXT($E1924,"00")</f>
        <v>2025-08</v>
      </c>
      <c r="H1924" s="61" t="str">
        <f aca="false">INDEX(Parametros!$C$71:$C$91,MATCH(TRIM(INDEX(Datos_Origen!$C$2:$C$2459,$Z1924)),Parametros!$B$71:$B$91,0))</f>
        <v>Centro</v>
      </c>
      <c r="I1924" s="61" t="str">
        <f aca="false">IF(TRIM($AD1924)="",INDEX(Parametros!$I$20:$I$24,MATCH($H1924,Parametros!$H$20:$H$24,0)),TRIM($AD1924))</f>
        <v>Cordoba</v>
      </c>
      <c r="J1924" s="61" t="str">
        <f aca="false">INDEX(Parametros!$C$95:$C$106,MATCH(TRIM(INDEX(Datos_Origen!$E$2:$E$2459,$Z1924)),Parametros!$B$95:$B$106,0))</f>
        <v>Tienda fisica</v>
      </c>
      <c r="K1924" s="61" t="str">
        <f aca="false">INDEX(Parametros!$C$48:$C$67,MATCH(TRIM(INDEX(Datos_Origen!$F$2:$F$2459,$Z1924)),Parametros!$B$48:$B$67,0))</f>
        <v>Computacion</v>
      </c>
      <c r="L1924" s="61" t="str">
        <f aca="false">$K1924&amp;" "&amp;$C1924</f>
        <v>Computacion 2025</v>
      </c>
      <c r="M1924" s="61" t="str">
        <f aca="false">TRIM(INDEX(Datos_Origen!$G$2:$G$2459,$Z1924))</f>
        <v>Monitor 4K 27</v>
      </c>
      <c r="N1924" s="61" t="str">
        <f aca="false">$M1924&amp;" "&amp;$C1924</f>
        <v>Monitor 4K 27 2025</v>
      </c>
      <c r="O1924" s="63" t="n">
        <f aca="false">IF(ISTEXT($AC1924),VALUE($AC1924),$AC1924)</f>
        <v>10</v>
      </c>
      <c r="P1924" s="64" t="n">
        <f aca="false">INDEX(Datos_Origen!$I$2:$I$2459,$Z1924)</f>
        <v>451.78</v>
      </c>
      <c r="Q1924" s="64" t="n">
        <f aca="false">INDEX(Datos_Origen!$J$2:$J$2459,$Z1924)</f>
        <v>280.42</v>
      </c>
      <c r="R1924" s="65" t="n">
        <f aca="false">ROUND($O1924*$P1924,2)</f>
        <v>4517.8</v>
      </c>
      <c r="S1924" s="65" t="n">
        <f aca="false">ROUND($O1924*$Q1924,2)</f>
        <v>2804.2</v>
      </c>
      <c r="T1924" s="65" t="n">
        <f aca="false">ROUND($R1924*SUMIFS(Parametros!$E$28:$E$43,Parametros!$B$28:$B$43,$J1924,Parametros!$C$28:$C$43,$C1924,Parametros!$D$28:$D$43,$D1924),2)</f>
        <v>58.73</v>
      </c>
      <c r="U1924" s="65" t="n">
        <f aca="false">$R1924-$S1924-$T1924</f>
        <v>1654.87</v>
      </c>
      <c r="V1924" s="66" t="n">
        <f aca="false">IFERROR($U1924/$R1924,0)</f>
        <v>0.366299969011466</v>
      </c>
      <c r="W1924" s="67" t="str">
        <f aca="false">IF(AND($V1924&gt;=Parametros!$C$8,$R1924&gt;=Parametros!$C$12),"Alta rentabilidad",IF(OR($V1924&lt;Parametros!$C$11,$R1924&lt;Parametros!$C$13),"Revisar","Estandar"))</f>
        <v>Alta rentabilidad</v>
      </c>
      <c r="X1924" s="67" t="str">
        <f aca="false">IF(AND($J1924="E-commerce",IFERROR($T1924/$R1924,0)&gt;Parametros!$C$14),"Alerta","OK")</f>
        <v>OK</v>
      </c>
      <c r="Y1924" s="61" t="str">
        <f aca="false">IF($R1924&gt;=Parametros!$C$12,"Alto",IF($R1924&lt;Parametros!$C$13,"Bajo","Medio"))</f>
        <v>Alto</v>
      </c>
      <c r="Z1924" s="61" t="n">
        <v>45</v>
      </c>
      <c r="AA1924" s="61" t="str">
        <f aca="false">IF(MATCH($A1924,Datos_Origen!$A$2:$A$2459,0)=$Z1924,"OK","REVISAR")</f>
        <v>OK</v>
      </c>
      <c r="AB1924" s="62" t="n">
        <f aca="false">INDEX(Datos_Origen!$B$2:$B$2459,$Z1924)</f>
        <v>45885</v>
      </c>
      <c r="AC1924" s="61" t="n">
        <f aca="false">INDEX(Datos_Origen!$H$2:$H$2459,$Z1924)</f>
        <v>10</v>
      </c>
      <c r="AD1924" s="61" t="str">
        <f aca="false">INDEX(Datos_Origen!$D$2:$D$2459,$Z1924)&amp;""</f>
        <v>Cordoba</v>
      </c>
    </row>
    <row r="1925" customFormat="false" ht="15" hidden="false" customHeight="false" outlineLevel="0" collapsed="false">
      <c r="A1925" s="61" t="n">
        <f aca="false">INDEX(Datos_Origen!$A$2:$A$2459,$Z1925)</f>
        <v>1924</v>
      </c>
      <c r="B1925" s="62" t="n">
        <f aca="false">IF(ISNUMBER($AB1925),$AB1925,IF(MID($AB1925,5,1)="-",DATE(VALUE(LEFT($AB1925,4)),VALUE(MID($AB1925,6,2)),VALUE(RIGHT($AB1925,2))),DATE(VALUE(RIGHT($AB1925,4)),VALUE(MID($AB1925,4,2)),VALUE(LEFT($AB1925,2)))))</f>
        <v>45892</v>
      </c>
      <c r="C1925" s="61" t="n">
        <f aca="false">YEAR($B1925)</f>
        <v>2025</v>
      </c>
      <c r="D1925" s="61" t="str">
        <f aca="false">"Q"&amp;ROUNDUP(MONTH($B1925)/3,0)</f>
        <v>Q3</v>
      </c>
      <c r="E1925" s="61" t="n">
        <f aca="false">MONTH($B1925)</f>
        <v>8</v>
      </c>
      <c r="F1925" s="61" t="str">
        <f aca="false">INDEX(Parametros!$I$5:$I$16,$E1925)</f>
        <v>Ago</v>
      </c>
      <c r="G1925" s="61" t="str">
        <f aca="false">TEXT($C1925,"0000")&amp;"-"&amp;TEXT($E1925,"00")</f>
        <v>2025-08</v>
      </c>
      <c r="H1925" s="61" t="str">
        <f aca="false">INDEX(Parametros!$C$71:$C$91,MATCH(TRIM(INDEX(Datos_Origen!$C$2:$C$2459,$Z1925)),Parametros!$B$71:$B$91,0))</f>
        <v>Centro</v>
      </c>
      <c r="I1925" s="61" t="str">
        <f aca="false">IF(TRIM($AD1925)="",INDEX(Parametros!$I$20:$I$24,MATCH($H1925,Parametros!$H$20:$H$24,0)),TRIM($AD1925))</f>
        <v>Cordoba</v>
      </c>
      <c r="J1925" s="61" t="str">
        <f aca="false">INDEX(Parametros!$C$95:$C$106,MATCH(TRIM(INDEX(Datos_Origen!$E$2:$E$2459,$Z1925)),Parametros!$B$95:$B$106,0))</f>
        <v>E-commerce</v>
      </c>
      <c r="K1925" s="61" t="str">
        <f aca="false">INDEX(Parametros!$C$48:$C$67,MATCH(TRIM(INDEX(Datos_Origen!$F$2:$F$2459,$Z1925)),Parametros!$B$48:$B$67,0))</f>
        <v>Computacion</v>
      </c>
      <c r="L1925" s="61" t="str">
        <f aca="false">$K1925&amp;" "&amp;$C1925</f>
        <v>Computacion 2025</v>
      </c>
      <c r="M1925" s="61" t="str">
        <f aca="false">TRIM(INDEX(Datos_Origen!$G$2:$G$2459,$Z1925))</f>
        <v>Monitor 4K 27</v>
      </c>
      <c r="N1925" s="61" t="str">
        <f aca="false">$M1925&amp;" "&amp;$C1925</f>
        <v>Monitor 4K 27 2025</v>
      </c>
      <c r="O1925" s="63" t="n">
        <f aca="false">IF(ISTEXT($AC1925),VALUE($AC1925),$AC1925)</f>
        <v>8</v>
      </c>
      <c r="P1925" s="64" t="n">
        <f aca="false">INDEX(Datos_Origen!$I$2:$I$2459,$Z1925)</f>
        <v>451.78</v>
      </c>
      <c r="Q1925" s="64" t="n">
        <f aca="false">INDEX(Datos_Origen!$J$2:$J$2459,$Z1925)</f>
        <v>280.42</v>
      </c>
      <c r="R1925" s="65" t="n">
        <f aca="false">ROUND($O1925*$P1925,2)</f>
        <v>3614.24</v>
      </c>
      <c r="S1925" s="65" t="n">
        <f aca="false">ROUND($O1925*$Q1925,2)</f>
        <v>2243.36</v>
      </c>
      <c r="T1925" s="65" t="n">
        <f aca="false">ROUND($R1925*SUMIFS(Parametros!$E$28:$E$43,Parametros!$B$28:$B$43,$J1925,Parametros!$C$28:$C$43,$C1925,Parametros!$D$28:$D$43,$D1925),2)</f>
        <v>202.4</v>
      </c>
      <c r="U1925" s="65" t="n">
        <f aca="false">$R1925-$S1925-$T1925</f>
        <v>1168.48</v>
      </c>
      <c r="V1925" s="66" t="n">
        <f aca="false">IFERROR($U1925/$R1925,0)</f>
        <v>0.323298950816769</v>
      </c>
      <c r="W1925" s="67" t="str">
        <f aca="false">IF(AND($V1925&gt;=Parametros!$C$8,$R1925&gt;=Parametros!$C$12),"Alta rentabilidad",IF(OR($V1925&lt;Parametros!$C$11,$R1925&lt;Parametros!$C$13),"Revisar","Estandar"))</f>
        <v>Estandar</v>
      </c>
      <c r="X1925" s="67" t="str">
        <f aca="false">IF(AND($J1925="E-commerce",IFERROR($T1925/$R1925,0)&gt;Parametros!$C$14),"Alerta","OK")</f>
        <v>Alerta</v>
      </c>
      <c r="Y1925" s="61" t="str">
        <f aca="false">IF($R1925&gt;=Parametros!$C$12,"Alto",IF($R1925&lt;Parametros!$C$13,"Bajo","Medio"))</f>
        <v>Alto</v>
      </c>
      <c r="Z1925" s="61" t="n">
        <v>39</v>
      </c>
      <c r="AA1925" s="61" t="str">
        <f aca="false">IF(MATCH($A1925,Datos_Origen!$A$2:$A$2459,0)=$Z1925,"OK","REVISAR")</f>
        <v>OK</v>
      </c>
      <c r="AB1925" s="61" t="str">
        <f aca="false">INDEX(Datos_Origen!$B$2:$B$2459,$Z1925)</f>
        <v>2025-08-23</v>
      </c>
      <c r="AC1925" s="61" t="n">
        <f aca="false">INDEX(Datos_Origen!$H$2:$H$2459,$Z1925)</f>
        <v>8</v>
      </c>
      <c r="AD1925" s="61" t="str">
        <f aca="false">INDEX(Datos_Origen!$D$2:$D$2459,$Z1925)&amp;""</f>
        <v>Cordoba</v>
      </c>
    </row>
    <row r="1926" customFormat="false" ht="15" hidden="false" customHeight="false" outlineLevel="0" collapsed="false">
      <c r="A1926" s="61" t="n">
        <f aca="false">INDEX(Datos_Origen!$A$2:$A$2459,$Z1926)</f>
        <v>1925</v>
      </c>
      <c r="B1926" s="62" t="n">
        <f aca="false">IF(ISNUMBER($AB1926),$AB1926,IF(MID($AB1926,5,1)="-",DATE(VALUE(LEFT($AB1926,4)),VALUE(MID($AB1926,6,2)),VALUE(RIGHT($AB1926,2))),DATE(VALUE(RIGHT($AB1926,4)),VALUE(MID($AB1926,4,2)),VALUE(LEFT($AB1926,2)))))</f>
        <v>45872</v>
      </c>
      <c r="C1926" s="61" t="n">
        <f aca="false">YEAR($B1926)</f>
        <v>2025</v>
      </c>
      <c r="D1926" s="61" t="str">
        <f aca="false">"Q"&amp;ROUNDUP(MONTH($B1926)/3,0)</f>
        <v>Q3</v>
      </c>
      <c r="E1926" s="61" t="n">
        <f aca="false">MONTH($B1926)</f>
        <v>8</v>
      </c>
      <c r="F1926" s="61" t="str">
        <f aca="false">INDEX(Parametros!$I$5:$I$16,$E1926)</f>
        <v>Ago</v>
      </c>
      <c r="G1926" s="61" t="str">
        <f aca="false">TEXT($C1926,"0000")&amp;"-"&amp;TEXT($E1926,"00")</f>
        <v>2025-08</v>
      </c>
      <c r="H1926" s="61" t="str">
        <f aca="false">INDEX(Parametros!$C$71:$C$91,MATCH(TRIM(INDEX(Datos_Origen!$C$2:$C$2459,$Z1926)),Parametros!$B$71:$B$91,0))</f>
        <v>Centro</v>
      </c>
      <c r="I1926" s="61" t="str">
        <f aca="false">IF(TRIM($AD1926)="",INDEX(Parametros!$I$20:$I$24,MATCH($H1926,Parametros!$H$20:$H$24,0)),TRIM($AD1926))</f>
        <v>Cordoba</v>
      </c>
      <c r="J1926" s="61" t="str">
        <f aca="false">INDEX(Parametros!$C$95:$C$106,MATCH(TRIM(INDEX(Datos_Origen!$E$2:$E$2459,$Z1926)),Parametros!$B$95:$B$106,0))</f>
        <v>Tienda fisica</v>
      </c>
      <c r="K1926" s="61" t="str">
        <f aca="false">INDEX(Parametros!$C$48:$C$67,MATCH(TRIM(INDEX(Datos_Origen!$F$2:$F$2459,$Z1926)),Parametros!$B$48:$B$67,0))</f>
        <v>Computacion</v>
      </c>
      <c r="L1926" s="61" t="str">
        <f aca="false">$K1926&amp;" "&amp;$C1926</f>
        <v>Computacion 2025</v>
      </c>
      <c r="M1926" s="61" t="str">
        <f aca="false">TRIM(INDEX(Datos_Origen!$G$2:$G$2459,$Z1926))</f>
        <v>PC Gamer Ryzen</v>
      </c>
      <c r="N1926" s="61" t="str">
        <f aca="false">$M1926&amp;" "&amp;$C1926</f>
        <v>PC Gamer Ryzen 2025</v>
      </c>
      <c r="O1926" s="63" t="n">
        <f aca="false">IF(ISTEXT($AC1926),VALUE($AC1926),$AC1926)</f>
        <v>11</v>
      </c>
      <c r="P1926" s="64" t="n">
        <f aca="false">INDEX(Datos_Origen!$I$2:$I$2459,$Z1926)</f>
        <v>1656.52</v>
      </c>
      <c r="Q1926" s="64" t="n">
        <f aca="false">INDEX(Datos_Origen!$J$2:$J$2459,$Z1926)</f>
        <v>1155.66</v>
      </c>
      <c r="R1926" s="65" t="n">
        <f aca="false">ROUND($O1926*$P1926,2)</f>
        <v>18221.72</v>
      </c>
      <c r="S1926" s="65" t="n">
        <f aca="false">ROUND($O1926*$Q1926,2)</f>
        <v>12712.26</v>
      </c>
      <c r="T1926" s="65" t="n">
        <f aca="false">ROUND($R1926*SUMIFS(Parametros!$E$28:$E$43,Parametros!$B$28:$B$43,$J1926,Parametros!$C$28:$C$43,$C1926,Parametros!$D$28:$D$43,$D1926),2)</f>
        <v>236.88</v>
      </c>
      <c r="U1926" s="65" t="n">
        <f aca="false">$R1926-$S1926-$T1926</f>
        <v>5272.58</v>
      </c>
      <c r="V1926" s="66" t="n">
        <f aca="false">IFERROR($U1926/$R1926,0)</f>
        <v>0.289356877396865</v>
      </c>
      <c r="W1926" s="67" t="str">
        <f aca="false">IF(AND($V1926&gt;=Parametros!$C$8,$R1926&gt;=Parametros!$C$12),"Alta rentabilidad",IF(OR($V1926&lt;Parametros!$C$11,$R1926&lt;Parametros!$C$13),"Revisar","Estandar"))</f>
        <v>Estandar</v>
      </c>
      <c r="X1926" s="67" t="str">
        <f aca="false">IF(AND($J1926="E-commerce",IFERROR($T1926/$R1926,0)&gt;Parametros!$C$14),"Alerta","OK")</f>
        <v>OK</v>
      </c>
      <c r="Y1926" s="61" t="str">
        <f aca="false">IF($R1926&gt;=Parametros!$C$12,"Alto",IF($R1926&lt;Parametros!$C$13,"Bajo","Medio"))</f>
        <v>Alto</v>
      </c>
      <c r="Z1926" s="61" t="n">
        <v>452</v>
      </c>
      <c r="AA1926" s="61" t="str">
        <f aca="false">IF(MATCH($A1926,Datos_Origen!$A$2:$A$2459,0)=$Z1926,"OK","REVISAR")</f>
        <v>OK</v>
      </c>
      <c r="AB1926" s="62" t="n">
        <f aca="false">INDEX(Datos_Origen!$B$2:$B$2459,$Z1926)</f>
        <v>45872</v>
      </c>
      <c r="AC1926" s="61" t="n">
        <f aca="false">INDEX(Datos_Origen!$H$2:$H$2459,$Z1926)</f>
        <v>11</v>
      </c>
      <c r="AD1926" s="61" t="str">
        <f aca="false">INDEX(Datos_Origen!$D$2:$D$2459,$Z1926)&amp;""</f>
        <v>Cordoba</v>
      </c>
    </row>
    <row r="1927" customFormat="false" ht="15" hidden="false" customHeight="false" outlineLevel="0" collapsed="false">
      <c r="A1927" s="61" t="n">
        <f aca="false">INDEX(Datos_Origen!$A$2:$A$2459,$Z1927)</f>
        <v>1926</v>
      </c>
      <c r="B1927" s="62" t="n">
        <f aca="false">IF(ISNUMBER($AB1927),$AB1927,IF(MID($AB1927,5,1)="-",DATE(VALUE(LEFT($AB1927,4)),VALUE(MID($AB1927,6,2)),VALUE(RIGHT($AB1927,2))),DATE(VALUE(RIGHT($AB1927,4)),VALUE(MID($AB1927,4,2)),VALUE(LEFT($AB1927,2)))))</f>
        <v>45879</v>
      </c>
      <c r="C1927" s="61" t="n">
        <f aca="false">YEAR($B1927)</f>
        <v>2025</v>
      </c>
      <c r="D1927" s="61" t="str">
        <f aca="false">"Q"&amp;ROUNDUP(MONTH($B1927)/3,0)</f>
        <v>Q3</v>
      </c>
      <c r="E1927" s="61" t="n">
        <f aca="false">MONTH($B1927)</f>
        <v>8</v>
      </c>
      <c r="F1927" s="61" t="str">
        <f aca="false">INDEX(Parametros!$I$5:$I$16,$E1927)</f>
        <v>Ago</v>
      </c>
      <c r="G1927" s="61" t="str">
        <f aca="false">TEXT($C1927,"0000")&amp;"-"&amp;TEXT($E1927,"00")</f>
        <v>2025-08</v>
      </c>
      <c r="H1927" s="61" t="str">
        <f aca="false">INDEX(Parametros!$C$71:$C$91,MATCH(TRIM(INDEX(Datos_Origen!$C$2:$C$2459,$Z1927)),Parametros!$B$71:$B$91,0))</f>
        <v>Centro</v>
      </c>
      <c r="I1927" s="61" t="str">
        <f aca="false">IF(TRIM($AD1927)="",INDEX(Parametros!$I$20:$I$24,MATCH($H1927,Parametros!$H$20:$H$24,0)),TRIM($AD1927))</f>
        <v>Cordoba</v>
      </c>
      <c r="J1927" s="61" t="str">
        <f aca="false">INDEX(Parametros!$C$95:$C$106,MATCH(TRIM(INDEX(Datos_Origen!$E$2:$E$2459,$Z1927)),Parametros!$B$95:$B$106,0))</f>
        <v>E-commerce</v>
      </c>
      <c r="K1927" s="61" t="str">
        <f aca="false">INDEX(Parametros!$C$48:$C$67,MATCH(TRIM(INDEX(Datos_Origen!$F$2:$F$2459,$Z1927)),Parametros!$B$48:$B$67,0))</f>
        <v>Computacion</v>
      </c>
      <c r="L1927" s="61" t="str">
        <f aca="false">$K1927&amp;" "&amp;$C1927</f>
        <v>Computacion 2025</v>
      </c>
      <c r="M1927" s="61" t="str">
        <f aca="false">TRIM(INDEX(Datos_Origen!$G$2:$G$2459,$Z1927))</f>
        <v>PC Gamer Ryzen</v>
      </c>
      <c r="N1927" s="61" t="str">
        <f aca="false">$M1927&amp;" "&amp;$C1927</f>
        <v>PC Gamer Ryzen 2025</v>
      </c>
      <c r="O1927" s="63" t="n">
        <f aca="false">IF(ISTEXT($AC1927),VALUE($AC1927),$AC1927)</f>
        <v>8</v>
      </c>
      <c r="P1927" s="64" t="n">
        <f aca="false">INDEX(Datos_Origen!$I$2:$I$2459,$Z1927)</f>
        <v>1656.52</v>
      </c>
      <c r="Q1927" s="64" t="n">
        <f aca="false">INDEX(Datos_Origen!$J$2:$J$2459,$Z1927)</f>
        <v>1155.66</v>
      </c>
      <c r="R1927" s="65" t="n">
        <f aca="false">ROUND($O1927*$P1927,2)</f>
        <v>13252.16</v>
      </c>
      <c r="S1927" s="65" t="n">
        <f aca="false">ROUND($O1927*$Q1927,2)</f>
        <v>9245.28</v>
      </c>
      <c r="T1927" s="65" t="n">
        <f aca="false">ROUND($R1927*SUMIFS(Parametros!$E$28:$E$43,Parametros!$B$28:$B$43,$J1927,Parametros!$C$28:$C$43,$C1927,Parametros!$D$28:$D$43,$D1927),2)</f>
        <v>742.12</v>
      </c>
      <c r="U1927" s="65" t="n">
        <f aca="false">$R1927-$S1927-$T1927</f>
        <v>3264.76</v>
      </c>
      <c r="V1927" s="66" t="n">
        <f aca="false">IFERROR($U1927/$R1927,0)</f>
        <v>0.246356820322121</v>
      </c>
      <c r="W1927" s="67" t="str">
        <f aca="false">IF(AND($V1927&gt;=Parametros!$C$8,$R1927&gt;=Parametros!$C$12),"Alta rentabilidad",IF(OR($V1927&lt;Parametros!$C$11,$R1927&lt;Parametros!$C$13),"Revisar","Estandar"))</f>
        <v>Revisar</v>
      </c>
      <c r="X1927" s="67" t="str">
        <f aca="false">IF(AND($J1927="E-commerce",IFERROR($T1927/$R1927,0)&gt;Parametros!$C$14),"Alerta","OK")</f>
        <v>Alerta</v>
      </c>
      <c r="Y1927" s="61" t="str">
        <f aca="false">IF($R1927&gt;=Parametros!$C$12,"Alto",IF($R1927&lt;Parametros!$C$13,"Bajo","Medio"))</f>
        <v>Alto</v>
      </c>
      <c r="Z1927" s="61" t="n">
        <v>1293</v>
      </c>
      <c r="AA1927" s="61" t="str">
        <f aca="false">IF(MATCH($A1927,Datos_Origen!$A$2:$A$2459,0)=$Z1927,"OK","REVISAR")</f>
        <v>OK</v>
      </c>
      <c r="AB1927" s="61" t="str">
        <f aca="false">INDEX(Datos_Origen!$B$2:$B$2459,$Z1927)</f>
        <v>10/08/2025</v>
      </c>
      <c r="AC1927" s="61" t="n">
        <f aca="false">INDEX(Datos_Origen!$H$2:$H$2459,$Z1927)</f>
        <v>8</v>
      </c>
      <c r="AD1927" s="61" t="str">
        <f aca="false">INDEX(Datos_Origen!$D$2:$D$2459,$Z1927)&amp;""</f>
        <v>Cordoba</v>
      </c>
    </row>
    <row r="1928" customFormat="false" ht="15" hidden="false" customHeight="false" outlineLevel="0" collapsed="false">
      <c r="A1928" s="61" t="n">
        <f aca="false">INDEX(Datos_Origen!$A$2:$A$2459,$Z1928)</f>
        <v>1927</v>
      </c>
      <c r="B1928" s="62" t="n">
        <f aca="false">IF(ISNUMBER($AB1928),$AB1928,IF(MID($AB1928,5,1)="-",DATE(VALUE(LEFT($AB1928,4)),VALUE(MID($AB1928,6,2)),VALUE(RIGHT($AB1928,2))),DATE(VALUE(RIGHT($AB1928,4)),VALUE(MID($AB1928,4,2)),VALUE(LEFT($AB1928,2)))))</f>
        <v>45886</v>
      </c>
      <c r="C1928" s="61" t="n">
        <f aca="false">YEAR($B1928)</f>
        <v>2025</v>
      </c>
      <c r="D1928" s="61" t="str">
        <f aca="false">"Q"&amp;ROUNDUP(MONTH($B1928)/3,0)</f>
        <v>Q3</v>
      </c>
      <c r="E1928" s="61" t="n">
        <f aca="false">MONTH($B1928)</f>
        <v>8</v>
      </c>
      <c r="F1928" s="61" t="str">
        <f aca="false">INDEX(Parametros!$I$5:$I$16,$E1928)</f>
        <v>Ago</v>
      </c>
      <c r="G1928" s="61" t="str">
        <f aca="false">TEXT($C1928,"0000")&amp;"-"&amp;TEXT($E1928,"00")</f>
        <v>2025-08</v>
      </c>
      <c r="H1928" s="61" t="str">
        <f aca="false">INDEX(Parametros!$C$71:$C$91,MATCH(TRIM(INDEX(Datos_Origen!$C$2:$C$2459,$Z1928)),Parametros!$B$71:$B$91,0))</f>
        <v>Centro</v>
      </c>
      <c r="I1928" s="61" t="str">
        <f aca="false">IF(TRIM($AD1928)="",INDEX(Parametros!$I$20:$I$24,MATCH($H1928,Parametros!$H$20:$H$24,0)),TRIM($AD1928))</f>
        <v>Cordoba</v>
      </c>
      <c r="J1928" s="61" t="str">
        <f aca="false">INDEX(Parametros!$C$95:$C$106,MATCH(TRIM(INDEX(Datos_Origen!$E$2:$E$2459,$Z1928)),Parametros!$B$95:$B$106,0))</f>
        <v>Tienda fisica</v>
      </c>
      <c r="K1928" s="61" t="str">
        <f aca="false">INDEX(Parametros!$C$48:$C$67,MATCH(TRIM(INDEX(Datos_Origen!$F$2:$F$2459,$Z1928)),Parametros!$B$48:$B$67,0))</f>
        <v>Accesorios</v>
      </c>
      <c r="L1928" s="61" t="str">
        <f aca="false">$K1928&amp;" "&amp;$C1928</f>
        <v>Accesorios 2025</v>
      </c>
      <c r="M1928" s="61" t="str">
        <f aca="false">TRIM(INDEX(Datos_Origen!$G$2:$G$2459,$Z1928))</f>
        <v>Mouse Inalambrico</v>
      </c>
      <c r="N1928" s="61" t="str">
        <f aca="false">$M1928&amp;" "&amp;$C1928</f>
        <v>Mouse Inalambrico 2025</v>
      </c>
      <c r="O1928" s="63" t="n">
        <f aca="false">IF(ISTEXT($AC1928),VALUE($AC1928),$AC1928)</f>
        <v>62</v>
      </c>
      <c r="P1928" s="64" t="n">
        <f aca="false">INDEX(Datos_Origen!$I$2:$I$2459,$Z1928)</f>
        <v>28.11</v>
      </c>
      <c r="Q1928" s="64" t="n">
        <f aca="false">INDEX(Datos_Origen!$J$2:$J$2459,$Z1928)</f>
        <v>13.84</v>
      </c>
      <c r="R1928" s="65" t="n">
        <f aca="false">ROUND($O1928*$P1928,2)</f>
        <v>1742.82</v>
      </c>
      <c r="S1928" s="65" t="n">
        <f aca="false">ROUND($O1928*$Q1928,2)</f>
        <v>858.08</v>
      </c>
      <c r="T1928" s="65" t="n">
        <f aca="false">ROUND($R1928*SUMIFS(Parametros!$E$28:$E$43,Parametros!$B$28:$B$43,$J1928,Parametros!$C$28:$C$43,$C1928,Parametros!$D$28:$D$43,$D1928),2)</f>
        <v>22.66</v>
      </c>
      <c r="U1928" s="65" t="n">
        <f aca="false">$R1928-$S1928-$T1928</f>
        <v>862.08</v>
      </c>
      <c r="V1928" s="66" t="n">
        <f aca="false">IFERROR($U1928/$R1928,0)</f>
        <v>0.494646607222777</v>
      </c>
      <c r="W1928" s="67" t="str">
        <f aca="false">IF(AND($V1928&gt;=Parametros!$C$8,$R1928&gt;=Parametros!$C$12),"Alta rentabilidad",IF(OR($V1928&lt;Parametros!$C$11,$R1928&lt;Parametros!$C$13),"Revisar","Estandar"))</f>
        <v>Estandar</v>
      </c>
      <c r="X1928" s="67" t="str">
        <f aca="false">IF(AND($J1928="E-commerce",IFERROR($T1928/$R1928,0)&gt;Parametros!$C$14),"Alerta","OK")</f>
        <v>OK</v>
      </c>
      <c r="Y1928" s="61" t="str">
        <f aca="false">IF($R1928&gt;=Parametros!$C$12,"Alto",IF($R1928&lt;Parametros!$C$13,"Bajo","Medio"))</f>
        <v>Medio</v>
      </c>
      <c r="Z1928" s="61" t="n">
        <v>1073</v>
      </c>
      <c r="AA1928" s="61" t="str">
        <f aca="false">IF(MATCH($A1928,Datos_Origen!$A$2:$A$2459,0)=$Z1928,"OK","REVISAR")</f>
        <v>OK</v>
      </c>
      <c r="AB1928" s="62" t="n">
        <f aca="false">INDEX(Datos_Origen!$B$2:$B$2459,$Z1928)</f>
        <v>45886</v>
      </c>
      <c r="AC1928" s="61" t="n">
        <f aca="false">INDEX(Datos_Origen!$H$2:$H$2459,$Z1928)</f>
        <v>62</v>
      </c>
      <c r="AD1928" s="61" t="str">
        <f aca="false">INDEX(Datos_Origen!$D$2:$D$2459,$Z1928)&amp;""</f>
        <v>Cordoba</v>
      </c>
    </row>
    <row r="1929" customFormat="false" ht="15" hidden="false" customHeight="false" outlineLevel="0" collapsed="false">
      <c r="A1929" s="61" t="n">
        <f aca="false">INDEX(Datos_Origen!$A$2:$A$2459,$Z1929)</f>
        <v>1928</v>
      </c>
      <c r="B1929" s="62" t="n">
        <f aca="false">IF(ISNUMBER($AB1929),$AB1929,IF(MID($AB1929,5,1)="-",DATE(VALUE(LEFT($AB1929,4)),VALUE(MID($AB1929,6,2)),VALUE(RIGHT($AB1929,2))),DATE(VALUE(RIGHT($AB1929,4)),VALUE(MID($AB1929,4,2)),VALUE(LEFT($AB1929,2)))))</f>
        <v>45893</v>
      </c>
      <c r="C1929" s="61" t="n">
        <f aca="false">YEAR($B1929)</f>
        <v>2025</v>
      </c>
      <c r="D1929" s="61" t="str">
        <f aca="false">"Q"&amp;ROUNDUP(MONTH($B1929)/3,0)</f>
        <v>Q3</v>
      </c>
      <c r="E1929" s="61" t="n">
        <f aca="false">MONTH($B1929)</f>
        <v>8</v>
      </c>
      <c r="F1929" s="61" t="str">
        <f aca="false">INDEX(Parametros!$I$5:$I$16,$E1929)</f>
        <v>Ago</v>
      </c>
      <c r="G1929" s="61" t="str">
        <f aca="false">TEXT($C1929,"0000")&amp;"-"&amp;TEXT($E1929,"00")</f>
        <v>2025-08</v>
      </c>
      <c r="H1929" s="61" t="str">
        <f aca="false">INDEX(Parametros!$C$71:$C$91,MATCH(TRIM(INDEX(Datos_Origen!$C$2:$C$2459,$Z1929)),Parametros!$B$71:$B$91,0))</f>
        <v>Centro</v>
      </c>
      <c r="I1929" s="61" t="str">
        <f aca="false">IF(TRIM($AD1929)="",INDEX(Parametros!$I$20:$I$24,MATCH($H1929,Parametros!$H$20:$H$24,0)),TRIM($AD1929))</f>
        <v>Cordoba</v>
      </c>
      <c r="J1929" s="61" t="str">
        <f aca="false">INDEX(Parametros!$C$95:$C$106,MATCH(TRIM(INDEX(Datos_Origen!$E$2:$E$2459,$Z1929)),Parametros!$B$95:$B$106,0))</f>
        <v>E-commerce</v>
      </c>
      <c r="K1929" s="61" t="str">
        <f aca="false">INDEX(Parametros!$C$48:$C$67,MATCH(TRIM(INDEX(Datos_Origen!$F$2:$F$2459,$Z1929)),Parametros!$B$48:$B$67,0))</f>
        <v>Accesorios</v>
      </c>
      <c r="L1929" s="61" t="str">
        <f aca="false">$K1929&amp;" "&amp;$C1929</f>
        <v>Accesorios 2025</v>
      </c>
      <c r="M1929" s="61" t="str">
        <f aca="false">TRIM(INDEX(Datos_Origen!$G$2:$G$2459,$Z1929))</f>
        <v>Mouse Inalambrico</v>
      </c>
      <c r="N1929" s="61" t="str">
        <f aca="false">$M1929&amp;" "&amp;$C1929</f>
        <v>Mouse Inalambrico 2025</v>
      </c>
      <c r="O1929" s="63" t="n">
        <f aca="false">IF(ISTEXT($AC1929),VALUE($AC1929),$AC1929)</f>
        <v>36</v>
      </c>
      <c r="P1929" s="64" t="n">
        <f aca="false">INDEX(Datos_Origen!$I$2:$I$2459,$Z1929)</f>
        <v>28.11</v>
      </c>
      <c r="Q1929" s="64" t="n">
        <f aca="false">INDEX(Datos_Origen!$J$2:$J$2459,$Z1929)</f>
        <v>13.84</v>
      </c>
      <c r="R1929" s="65" t="n">
        <f aca="false">ROUND($O1929*$P1929,2)</f>
        <v>1011.96</v>
      </c>
      <c r="S1929" s="65" t="n">
        <f aca="false">ROUND($O1929*$Q1929,2)</f>
        <v>498.24</v>
      </c>
      <c r="T1929" s="65" t="n">
        <f aca="false">ROUND($R1929*SUMIFS(Parametros!$E$28:$E$43,Parametros!$B$28:$B$43,$J1929,Parametros!$C$28:$C$43,$C1929,Parametros!$D$28:$D$43,$D1929),2)</f>
        <v>56.67</v>
      </c>
      <c r="U1929" s="65" t="n">
        <f aca="false">$R1929-$S1929-$T1929</f>
        <v>457.05</v>
      </c>
      <c r="V1929" s="66" t="n">
        <f aca="false">IFERROR($U1929/$R1929,0)</f>
        <v>0.451648286493537</v>
      </c>
      <c r="W1929" s="67" t="str">
        <f aca="false">IF(AND($V1929&gt;=Parametros!$C$8,$R1929&gt;=Parametros!$C$12),"Alta rentabilidad",IF(OR($V1929&lt;Parametros!$C$11,$R1929&lt;Parametros!$C$13),"Revisar","Estandar"))</f>
        <v>Estandar</v>
      </c>
      <c r="X1929" s="67" t="str">
        <f aca="false">IF(AND($J1929="E-commerce",IFERROR($T1929/$R1929,0)&gt;Parametros!$C$14),"Alerta","OK")</f>
        <v>Alerta</v>
      </c>
      <c r="Y1929" s="61" t="str">
        <f aca="false">IF($R1929&gt;=Parametros!$C$12,"Alto",IF($R1929&lt;Parametros!$C$13,"Bajo","Medio"))</f>
        <v>Medio</v>
      </c>
      <c r="Z1929" s="61" t="n">
        <v>343</v>
      </c>
      <c r="AA1929" s="61" t="str">
        <f aca="false">IF(MATCH($A1929,Datos_Origen!$A$2:$A$2459,0)=$Z1929,"OK","REVISAR")</f>
        <v>OK</v>
      </c>
      <c r="AB1929" s="62" t="n">
        <f aca="false">INDEX(Datos_Origen!$B$2:$B$2459,$Z1929)</f>
        <v>45893</v>
      </c>
      <c r="AC1929" s="61" t="n">
        <f aca="false">INDEX(Datos_Origen!$H$2:$H$2459,$Z1929)</f>
        <v>36</v>
      </c>
      <c r="AD1929" s="61" t="str">
        <f aca="false">INDEX(Datos_Origen!$D$2:$D$2459,$Z1929)&amp;""</f>
        <v>Cordoba</v>
      </c>
    </row>
    <row r="1930" customFormat="false" ht="15" hidden="false" customHeight="false" outlineLevel="0" collapsed="false">
      <c r="A1930" s="61" t="n">
        <f aca="false">INDEX(Datos_Origen!$A$2:$A$2459,$Z1930)</f>
        <v>1929</v>
      </c>
      <c r="B1930" s="62" t="n">
        <f aca="false">IF(ISNUMBER($AB1930),$AB1930,IF(MID($AB1930,5,1)="-",DATE(VALUE(LEFT($AB1930,4)),VALUE(MID($AB1930,6,2)),VALUE(RIGHT($AB1930,2))),DATE(VALUE(RIGHT($AB1930,4)),VALUE(MID($AB1930,4,2)),VALUE(LEFT($AB1930,2)))))</f>
        <v>45873</v>
      </c>
      <c r="C1930" s="61" t="n">
        <f aca="false">YEAR($B1930)</f>
        <v>2025</v>
      </c>
      <c r="D1930" s="61" t="str">
        <f aca="false">"Q"&amp;ROUNDUP(MONTH($B1930)/3,0)</f>
        <v>Q3</v>
      </c>
      <c r="E1930" s="61" t="n">
        <f aca="false">MONTH($B1930)</f>
        <v>8</v>
      </c>
      <c r="F1930" s="61" t="str">
        <f aca="false">INDEX(Parametros!$I$5:$I$16,$E1930)</f>
        <v>Ago</v>
      </c>
      <c r="G1930" s="61" t="str">
        <f aca="false">TEXT($C1930,"0000")&amp;"-"&amp;TEXT($E1930,"00")</f>
        <v>2025-08</v>
      </c>
      <c r="H1930" s="61" t="str">
        <f aca="false">INDEX(Parametros!$C$71:$C$91,MATCH(TRIM(INDEX(Datos_Origen!$C$2:$C$2459,$Z1930)),Parametros!$B$71:$B$91,0))</f>
        <v>Centro</v>
      </c>
      <c r="I1930" s="61" t="str">
        <f aca="false">IF(TRIM($AD1930)="",INDEX(Parametros!$I$20:$I$24,MATCH($H1930,Parametros!$H$20:$H$24,0)),TRIM($AD1930))</f>
        <v>Cordoba</v>
      </c>
      <c r="J1930" s="61" t="str">
        <f aca="false">INDEX(Parametros!$C$95:$C$106,MATCH(TRIM(INDEX(Datos_Origen!$E$2:$E$2459,$Z1930)),Parametros!$B$95:$B$106,0))</f>
        <v>Tienda fisica</v>
      </c>
      <c r="K1930" s="61" t="str">
        <f aca="false">INDEX(Parametros!$C$48:$C$67,MATCH(TRIM(INDEX(Datos_Origen!$F$2:$F$2459,$Z1930)),Parametros!$B$48:$B$67,0))</f>
        <v>Accesorios</v>
      </c>
      <c r="L1930" s="61" t="str">
        <f aca="false">$K1930&amp;" "&amp;$C1930</f>
        <v>Accesorios 2025</v>
      </c>
      <c r="M1930" s="61" t="str">
        <f aca="false">TRIM(INDEX(Datos_Origen!$G$2:$G$2459,$Z1930))</f>
        <v>Teclado Mecanico</v>
      </c>
      <c r="N1930" s="61" t="str">
        <f aca="false">$M1930&amp;" "&amp;$C1930</f>
        <v>Teclado Mecanico 2025</v>
      </c>
      <c r="O1930" s="63" t="n">
        <f aca="false">IF(ISTEXT($AC1930),VALUE($AC1930),$AC1930)</f>
        <v>50</v>
      </c>
      <c r="P1930" s="64" t="n">
        <f aca="false">INDEX(Datos_Origen!$I$2:$I$2459,$Z1930)</f>
        <v>95.38</v>
      </c>
      <c r="Q1930" s="64" t="n">
        <f aca="false">INDEX(Datos_Origen!$J$2:$J$2459,$Z1930)</f>
        <v>49.41</v>
      </c>
      <c r="R1930" s="65" t="n">
        <f aca="false">ROUND($O1930*$P1930,2)</f>
        <v>4769</v>
      </c>
      <c r="S1930" s="65" t="n">
        <f aca="false">ROUND($O1930*$Q1930,2)</f>
        <v>2470.5</v>
      </c>
      <c r="T1930" s="65" t="n">
        <f aca="false">ROUND($R1930*SUMIFS(Parametros!$E$28:$E$43,Parametros!$B$28:$B$43,$J1930,Parametros!$C$28:$C$43,$C1930,Parametros!$D$28:$D$43,$D1930),2)</f>
        <v>62</v>
      </c>
      <c r="U1930" s="65" t="n">
        <f aca="false">$R1930-$S1930-$T1930</f>
        <v>2236.5</v>
      </c>
      <c r="V1930" s="66" t="n">
        <f aca="false">IFERROR($U1930/$R1930,0)</f>
        <v>0.46896624030195</v>
      </c>
      <c r="W1930" s="67" t="str">
        <f aca="false">IF(AND($V1930&gt;=Parametros!$C$8,$R1930&gt;=Parametros!$C$12),"Alta rentabilidad",IF(OR($V1930&lt;Parametros!$C$11,$R1930&lt;Parametros!$C$13),"Revisar","Estandar"))</f>
        <v>Alta rentabilidad</v>
      </c>
      <c r="X1930" s="67" t="str">
        <f aca="false">IF(AND($J1930="E-commerce",IFERROR($T1930/$R1930,0)&gt;Parametros!$C$14),"Alerta","OK")</f>
        <v>OK</v>
      </c>
      <c r="Y1930" s="61" t="str">
        <f aca="false">IF($R1930&gt;=Parametros!$C$12,"Alto",IF($R1930&lt;Parametros!$C$13,"Bajo","Medio"))</f>
        <v>Alto</v>
      </c>
      <c r="Z1930" s="61" t="n">
        <v>1397</v>
      </c>
      <c r="AA1930" s="61" t="str">
        <f aca="false">IF(MATCH($A1930,Datos_Origen!$A$2:$A$2459,0)=$Z1930,"OK","REVISAR")</f>
        <v>OK</v>
      </c>
      <c r="AB1930" s="61" t="str">
        <f aca="false">INDEX(Datos_Origen!$B$2:$B$2459,$Z1930)</f>
        <v>2025-08-04</v>
      </c>
      <c r="AC1930" s="61" t="n">
        <f aca="false">INDEX(Datos_Origen!$H$2:$H$2459,$Z1930)</f>
        <v>50</v>
      </c>
      <c r="AD1930" s="61" t="str">
        <f aca="false">INDEX(Datos_Origen!$D$2:$D$2459,$Z1930)&amp;""</f>
        <v>Cordoba</v>
      </c>
    </row>
    <row r="1931" customFormat="false" ht="15" hidden="false" customHeight="false" outlineLevel="0" collapsed="false">
      <c r="A1931" s="61" t="n">
        <f aca="false">INDEX(Datos_Origen!$A$2:$A$2459,$Z1931)</f>
        <v>1930</v>
      </c>
      <c r="B1931" s="62" t="n">
        <f aca="false">IF(ISNUMBER($AB1931),$AB1931,IF(MID($AB1931,5,1)="-",DATE(VALUE(LEFT($AB1931,4)),VALUE(MID($AB1931,6,2)),VALUE(RIGHT($AB1931,2))),DATE(VALUE(RIGHT($AB1931,4)),VALUE(MID($AB1931,4,2)),VALUE(LEFT($AB1931,2)))))</f>
        <v>45880</v>
      </c>
      <c r="C1931" s="61" t="n">
        <f aca="false">YEAR($B1931)</f>
        <v>2025</v>
      </c>
      <c r="D1931" s="61" t="str">
        <f aca="false">"Q"&amp;ROUNDUP(MONTH($B1931)/3,0)</f>
        <v>Q3</v>
      </c>
      <c r="E1931" s="61" t="n">
        <f aca="false">MONTH($B1931)</f>
        <v>8</v>
      </c>
      <c r="F1931" s="61" t="str">
        <f aca="false">INDEX(Parametros!$I$5:$I$16,$E1931)</f>
        <v>Ago</v>
      </c>
      <c r="G1931" s="61" t="str">
        <f aca="false">TEXT($C1931,"0000")&amp;"-"&amp;TEXT($E1931,"00")</f>
        <v>2025-08</v>
      </c>
      <c r="H1931" s="61" t="str">
        <f aca="false">INDEX(Parametros!$C$71:$C$91,MATCH(TRIM(INDEX(Datos_Origen!$C$2:$C$2459,$Z1931)),Parametros!$B$71:$B$91,0))</f>
        <v>Centro</v>
      </c>
      <c r="I1931" s="61" t="str">
        <f aca="false">IF(TRIM($AD1931)="",INDEX(Parametros!$I$20:$I$24,MATCH($H1931,Parametros!$H$20:$H$24,0)),TRIM($AD1931))</f>
        <v>Cordoba</v>
      </c>
      <c r="J1931" s="61" t="str">
        <f aca="false">INDEX(Parametros!$C$95:$C$106,MATCH(TRIM(INDEX(Datos_Origen!$E$2:$E$2459,$Z1931)),Parametros!$B$95:$B$106,0))</f>
        <v>E-commerce</v>
      </c>
      <c r="K1931" s="61" t="str">
        <f aca="false">INDEX(Parametros!$C$48:$C$67,MATCH(TRIM(INDEX(Datos_Origen!$F$2:$F$2459,$Z1931)),Parametros!$B$48:$B$67,0))</f>
        <v>Accesorios</v>
      </c>
      <c r="L1931" s="61" t="str">
        <f aca="false">$K1931&amp;" "&amp;$C1931</f>
        <v>Accesorios 2025</v>
      </c>
      <c r="M1931" s="61" t="str">
        <f aca="false">TRIM(INDEX(Datos_Origen!$G$2:$G$2459,$Z1931))</f>
        <v>Teclado Mecanico</v>
      </c>
      <c r="N1931" s="61" t="str">
        <f aca="false">$M1931&amp;" "&amp;$C1931</f>
        <v>Teclado Mecanico 2025</v>
      </c>
      <c r="O1931" s="63" t="n">
        <f aca="false">IF(ISTEXT($AC1931),VALUE($AC1931),$AC1931)</f>
        <v>35</v>
      </c>
      <c r="P1931" s="64" t="n">
        <f aca="false">INDEX(Datos_Origen!$I$2:$I$2459,$Z1931)</f>
        <v>95.38</v>
      </c>
      <c r="Q1931" s="64" t="n">
        <f aca="false">INDEX(Datos_Origen!$J$2:$J$2459,$Z1931)</f>
        <v>49.41</v>
      </c>
      <c r="R1931" s="65" t="n">
        <f aca="false">ROUND($O1931*$P1931,2)</f>
        <v>3338.3</v>
      </c>
      <c r="S1931" s="65" t="n">
        <f aca="false">ROUND($O1931*$Q1931,2)</f>
        <v>1729.35</v>
      </c>
      <c r="T1931" s="65" t="n">
        <f aca="false">ROUND($R1931*SUMIFS(Parametros!$E$28:$E$43,Parametros!$B$28:$B$43,$J1931,Parametros!$C$28:$C$43,$C1931,Parametros!$D$28:$D$43,$D1931),2)</f>
        <v>186.94</v>
      </c>
      <c r="U1931" s="65" t="n">
        <f aca="false">$R1931-$S1931-$T1931</f>
        <v>1422.01</v>
      </c>
      <c r="V1931" s="66" t="n">
        <f aca="false">IFERROR($U1931/$R1931,0)</f>
        <v>0.425968307222239</v>
      </c>
      <c r="W1931" s="67" t="str">
        <f aca="false">IF(AND($V1931&gt;=Parametros!$C$8,$R1931&gt;=Parametros!$C$12),"Alta rentabilidad",IF(OR($V1931&lt;Parametros!$C$11,$R1931&lt;Parametros!$C$13),"Revisar","Estandar"))</f>
        <v>Alta rentabilidad</v>
      </c>
      <c r="X1931" s="67" t="str">
        <f aca="false">IF(AND($J1931="E-commerce",IFERROR($T1931/$R1931,0)&gt;Parametros!$C$14),"Alerta","OK")</f>
        <v>Alerta</v>
      </c>
      <c r="Y1931" s="61" t="str">
        <f aca="false">IF($R1931&gt;=Parametros!$C$12,"Alto",IF($R1931&lt;Parametros!$C$13,"Bajo","Medio"))</f>
        <v>Alto</v>
      </c>
      <c r="Z1931" s="61" t="n">
        <v>1647</v>
      </c>
      <c r="AA1931" s="61" t="str">
        <f aca="false">IF(MATCH($A1931,Datos_Origen!$A$2:$A$2459,0)=$Z1931,"OK","REVISAR")</f>
        <v>OK</v>
      </c>
      <c r="AB1931" s="62" t="n">
        <f aca="false">INDEX(Datos_Origen!$B$2:$B$2459,$Z1931)</f>
        <v>45880</v>
      </c>
      <c r="AC1931" s="61" t="n">
        <f aca="false">INDEX(Datos_Origen!$H$2:$H$2459,$Z1931)</f>
        <v>35</v>
      </c>
      <c r="AD1931" s="61" t="str">
        <f aca="false">INDEX(Datos_Origen!$D$2:$D$2459,$Z1931)&amp;""</f>
        <v>Cordoba</v>
      </c>
    </row>
    <row r="1932" customFormat="false" ht="15" hidden="false" customHeight="false" outlineLevel="0" collapsed="false">
      <c r="A1932" s="61" t="n">
        <f aca="false">INDEX(Datos_Origen!$A$2:$A$2459,$Z1932)</f>
        <v>1931</v>
      </c>
      <c r="B1932" s="62" t="n">
        <f aca="false">IF(ISNUMBER($AB1932),$AB1932,IF(MID($AB1932,5,1)="-",DATE(VALUE(LEFT($AB1932,4)),VALUE(MID($AB1932,6,2)),VALUE(RIGHT($AB1932,2))),DATE(VALUE(RIGHT($AB1932,4)),VALUE(MID($AB1932,4,2)),VALUE(LEFT($AB1932,2)))))</f>
        <v>45887</v>
      </c>
      <c r="C1932" s="61" t="n">
        <f aca="false">YEAR($B1932)</f>
        <v>2025</v>
      </c>
      <c r="D1932" s="61" t="str">
        <f aca="false">"Q"&amp;ROUNDUP(MONTH($B1932)/3,0)</f>
        <v>Q3</v>
      </c>
      <c r="E1932" s="61" t="n">
        <f aca="false">MONTH($B1932)</f>
        <v>8</v>
      </c>
      <c r="F1932" s="61" t="str">
        <f aca="false">INDEX(Parametros!$I$5:$I$16,$E1932)</f>
        <v>Ago</v>
      </c>
      <c r="G1932" s="61" t="str">
        <f aca="false">TEXT($C1932,"0000")&amp;"-"&amp;TEXT($E1932,"00")</f>
        <v>2025-08</v>
      </c>
      <c r="H1932" s="61" t="str">
        <f aca="false">INDEX(Parametros!$C$71:$C$91,MATCH(TRIM(INDEX(Datos_Origen!$C$2:$C$2459,$Z1932)),Parametros!$B$71:$B$91,0))</f>
        <v>Centro</v>
      </c>
      <c r="I1932" s="61" t="str">
        <f aca="false">IF(TRIM($AD1932)="",INDEX(Parametros!$I$20:$I$24,MATCH($H1932,Parametros!$H$20:$H$24,0)),TRIM($AD1932))</f>
        <v>Cordoba</v>
      </c>
      <c r="J1932" s="61" t="str">
        <f aca="false">INDEX(Parametros!$C$95:$C$106,MATCH(TRIM(INDEX(Datos_Origen!$E$2:$E$2459,$Z1932)),Parametros!$B$95:$B$106,0))</f>
        <v>Tienda fisica</v>
      </c>
      <c r="K1932" s="61" t="str">
        <f aca="false">INDEX(Parametros!$C$48:$C$67,MATCH(TRIM(INDEX(Datos_Origen!$F$2:$F$2459,$Z1932)),Parametros!$B$48:$B$67,0))</f>
        <v>Accesorios</v>
      </c>
      <c r="L1932" s="61" t="str">
        <f aca="false">$K1932&amp;" "&amp;$C1932</f>
        <v>Accesorios 2025</v>
      </c>
      <c r="M1932" s="61" t="str">
        <f aca="false">TRIM(INDEX(Datos_Origen!$G$2:$G$2459,$Z1932))</f>
        <v>Webcam Full HD</v>
      </c>
      <c r="N1932" s="61" t="str">
        <f aca="false">$M1932&amp;" "&amp;$C1932</f>
        <v>Webcam Full HD 2025</v>
      </c>
      <c r="O1932" s="63" t="n">
        <f aca="false">IF(ISTEXT($AC1932),VALUE($AC1932),$AC1932)</f>
        <v>49</v>
      </c>
      <c r="P1932" s="64" t="n">
        <f aca="false">INDEX(Datos_Origen!$I$2:$I$2459,$Z1932)</f>
        <v>65.26</v>
      </c>
      <c r="Q1932" s="64" t="n">
        <f aca="false">INDEX(Datos_Origen!$J$2:$J$2459,$Z1932)</f>
        <v>36.49</v>
      </c>
      <c r="R1932" s="65" t="n">
        <f aca="false">ROUND($O1932*$P1932,2)</f>
        <v>3197.74</v>
      </c>
      <c r="S1932" s="65" t="n">
        <f aca="false">ROUND($O1932*$Q1932,2)</f>
        <v>1788.01</v>
      </c>
      <c r="T1932" s="65" t="n">
        <f aca="false">ROUND($R1932*SUMIFS(Parametros!$E$28:$E$43,Parametros!$B$28:$B$43,$J1932,Parametros!$C$28:$C$43,$C1932,Parametros!$D$28:$D$43,$D1932),2)</f>
        <v>41.57</v>
      </c>
      <c r="U1932" s="65" t="n">
        <f aca="false">$R1932-$S1932-$T1932</f>
        <v>1368.16</v>
      </c>
      <c r="V1932" s="66" t="n">
        <f aca="false">IFERROR($U1932/$R1932,0)</f>
        <v>0.427852170595483</v>
      </c>
      <c r="W1932" s="67" t="str">
        <f aca="false">IF(AND($V1932&gt;=Parametros!$C$8,$R1932&gt;=Parametros!$C$12),"Alta rentabilidad",IF(OR($V1932&lt;Parametros!$C$11,$R1932&lt;Parametros!$C$13),"Revisar","Estandar"))</f>
        <v>Alta rentabilidad</v>
      </c>
      <c r="X1932" s="67" t="str">
        <f aca="false">IF(AND($J1932="E-commerce",IFERROR($T1932/$R1932,0)&gt;Parametros!$C$14),"Alerta","OK")</f>
        <v>OK</v>
      </c>
      <c r="Y1932" s="61" t="str">
        <f aca="false">IF($R1932&gt;=Parametros!$C$12,"Alto",IF($R1932&lt;Parametros!$C$13,"Bajo","Medio"))</f>
        <v>Alto</v>
      </c>
      <c r="Z1932" s="61" t="n">
        <v>1347</v>
      </c>
      <c r="AA1932" s="61" t="str">
        <f aca="false">IF(MATCH($A1932,Datos_Origen!$A$2:$A$2459,0)=$Z1932,"OK","REVISAR")</f>
        <v>OK</v>
      </c>
      <c r="AB1932" s="62" t="n">
        <f aca="false">INDEX(Datos_Origen!$B$2:$B$2459,$Z1932)</f>
        <v>45887</v>
      </c>
      <c r="AC1932" s="61" t="str">
        <f aca="false">INDEX(Datos_Origen!$H$2:$H$2459,$Z1932)</f>
        <v>49</v>
      </c>
      <c r="AD1932" s="61" t="str">
        <f aca="false">INDEX(Datos_Origen!$D$2:$D$2459,$Z1932)&amp;""</f>
        <v>Cordoba</v>
      </c>
    </row>
    <row r="1933" customFormat="false" ht="15" hidden="false" customHeight="false" outlineLevel="0" collapsed="false">
      <c r="A1933" s="61" t="n">
        <f aca="false">INDEX(Datos_Origen!$A$2:$A$2459,$Z1933)</f>
        <v>1932</v>
      </c>
      <c r="B1933" s="62" t="n">
        <f aca="false">IF(ISNUMBER($AB1933),$AB1933,IF(MID($AB1933,5,1)="-",DATE(VALUE(LEFT($AB1933,4)),VALUE(MID($AB1933,6,2)),VALUE(RIGHT($AB1933,2))),DATE(VALUE(RIGHT($AB1933,4)),VALUE(MID($AB1933,4,2)),VALUE(LEFT($AB1933,2)))))</f>
        <v>45894</v>
      </c>
      <c r="C1933" s="61" t="n">
        <f aca="false">YEAR($B1933)</f>
        <v>2025</v>
      </c>
      <c r="D1933" s="61" t="str">
        <f aca="false">"Q"&amp;ROUNDUP(MONTH($B1933)/3,0)</f>
        <v>Q3</v>
      </c>
      <c r="E1933" s="61" t="n">
        <f aca="false">MONTH($B1933)</f>
        <v>8</v>
      </c>
      <c r="F1933" s="61" t="str">
        <f aca="false">INDEX(Parametros!$I$5:$I$16,$E1933)</f>
        <v>Ago</v>
      </c>
      <c r="G1933" s="61" t="str">
        <f aca="false">TEXT($C1933,"0000")&amp;"-"&amp;TEXT($E1933,"00")</f>
        <v>2025-08</v>
      </c>
      <c r="H1933" s="61" t="str">
        <f aca="false">INDEX(Parametros!$C$71:$C$91,MATCH(TRIM(INDEX(Datos_Origen!$C$2:$C$2459,$Z1933)),Parametros!$B$71:$B$91,0))</f>
        <v>Centro</v>
      </c>
      <c r="I1933" s="61" t="str">
        <f aca="false">IF(TRIM($AD1933)="",INDEX(Parametros!$I$20:$I$24,MATCH($H1933,Parametros!$H$20:$H$24,0)),TRIM($AD1933))</f>
        <v>Cordoba</v>
      </c>
      <c r="J1933" s="61" t="str">
        <f aca="false">INDEX(Parametros!$C$95:$C$106,MATCH(TRIM(INDEX(Datos_Origen!$E$2:$E$2459,$Z1933)),Parametros!$B$95:$B$106,0))</f>
        <v>E-commerce</v>
      </c>
      <c r="K1933" s="61" t="str">
        <f aca="false">INDEX(Parametros!$C$48:$C$67,MATCH(TRIM(INDEX(Datos_Origen!$F$2:$F$2459,$Z1933)),Parametros!$B$48:$B$67,0))</f>
        <v>Accesorios</v>
      </c>
      <c r="L1933" s="61" t="str">
        <f aca="false">$K1933&amp;" "&amp;$C1933</f>
        <v>Accesorios 2025</v>
      </c>
      <c r="M1933" s="61" t="str">
        <f aca="false">TRIM(INDEX(Datos_Origen!$G$2:$G$2459,$Z1933))</f>
        <v>Webcam Full HD</v>
      </c>
      <c r="N1933" s="61" t="str">
        <f aca="false">$M1933&amp;" "&amp;$C1933</f>
        <v>Webcam Full HD 2025</v>
      </c>
      <c r="O1933" s="63" t="n">
        <f aca="false">IF(ISTEXT($AC1933),VALUE($AC1933),$AC1933)</f>
        <v>42</v>
      </c>
      <c r="P1933" s="64" t="n">
        <f aca="false">INDEX(Datos_Origen!$I$2:$I$2459,$Z1933)</f>
        <v>65.26</v>
      </c>
      <c r="Q1933" s="64" t="n">
        <f aca="false">INDEX(Datos_Origen!$J$2:$J$2459,$Z1933)</f>
        <v>36.49</v>
      </c>
      <c r="R1933" s="65" t="n">
        <f aca="false">ROUND($O1933*$P1933,2)</f>
        <v>2740.92</v>
      </c>
      <c r="S1933" s="65" t="n">
        <f aca="false">ROUND($O1933*$Q1933,2)</f>
        <v>1532.58</v>
      </c>
      <c r="T1933" s="65" t="n">
        <f aca="false">ROUND($R1933*SUMIFS(Parametros!$E$28:$E$43,Parametros!$B$28:$B$43,$J1933,Parametros!$C$28:$C$43,$C1933,Parametros!$D$28:$D$43,$D1933),2)</f>
        <v>153.49</v>
      </c>
      <c r="U1933" s="65" t="n">
        <f aca="false">$R1933-$S1933-$T1933</f>
        <v>1054.85</v>
      </c>
      <c r="V1933" s="66" t="n">
        <f aca="false">IFERROR($U1933/$R1933,0)</f>
        <v>0.384852531266874</v>
      </c>
      <c r="W1933" s="67" t="str">
        <f aca="false">IF(AND($V1933&gt;=Parametros!$C$8,$R1933&gt;=Parametros!$C$12),"Alta rentabilidad",IF(OR($V1933&lt;Parametros!$C$11,$R1933&lt;Parametros!$C$13),"Revisar","Estandar"))</f>
        <v>Estandar</v>
      </c>
      <c r="X1933" s="67" t="str">
        <f aca="false">IF(AND($J1933="E-commerce",IFERROR($T1933/$R1933,0)&gt;Parametros!$C$14),"Alerta","OK")</f>
        <v>Alerta</v>
      </c>
      <c r="Y1933" s="61" t="str">
        <f aca="false">IF($R1933&gt;=Parametros!$C$12,"Alto",IF($R1933&lt;Parametros!$C$13,"Bajo","Medio"))</f>
        <v>Medio</v>
      </c>
      <c r="Z1933" s="61" t="n">
        <v>537</v>
      </c>
      <c r="AA1933" s="61" t="str">
        <f aca="false">IF(MATCH($A1933,Datos_Origen!$A$2:$A$2459,0)=$Z1933,"OK","REVISAR")</f>
        <v>OK</v>
      </c>
      <c r="AB1933" s="62" t="n">
        <f aca="false">INDEX(Datos_Origen!$B$2:$B$2459,$Z1933)</f>
        <v>45894</v>
      </c>
      <c r="AC1933" s="61" t="n">
        <f aca="false">INDEX(Datos_Origen!$H$2:$H$2459,$Z1933)</f>
        <v>42</v>
      </c>
      <c r="AD1933" s="61" t="str">
        <f aca="false">INDEX(Datos_Origen!$D$2:$D$2459,$Z1933)&amp;""</f>
        <v>Cordoba</v>
      </c>
    </row>
    <row r="1934" customFormat="false" ht="15" hidden="false" customHeight="false" outlineLevel="0" collapsed="false">
      <c r="A1934" s="61" t="n">
        <f aca="false">INDEX(Datos_Origen!$A$2:$A$2459,$Z1934)</f>
        <v>1933</v>
      </c>
      <c r="B1934" s="62" t="n">
        <f aca="false">IF(ISNUMBER($AB1934),$AB1934,IF(MID($AB1934,5,1)="-",DATE(VALUE(LEFT($AB1934,4)),VALUE(MID($AB1934,6,2)),VALUE(RIGHT($AB1934,2))),DATE(VALUE(RIGHT($AB1934,4)),VALUE(MID($AB1934,4,2)),VALUE(LEFT($AB1934,2)))))</f>
        <v>45874</v>
      </c>
      <c r="C1934" s="61" t="n">
        <f aca="false">YEAR($B1934)</f>
        <v>2025</v>
      </c>
      <c r="D1934" s="61" t="str">
        <f aca="false">"Q"&amp;ROUNDUP(MONTH($B1934)/3,0)</f>
        <v>Q3</v>
      </c>
      <c r="E1934" s="61" t="n">
        <f aca="false">MONTH($B1934)</f>
        <v>8</v>
      </c>
      <c r="F1934" s="61" t="str">
        <f aca="false">INDEX(Parametros!$I$5:$I$16,$E1934)</f>
        <v>Ago</v>
      </c>
      <c r="G1934" s="61" t="str">
        <f aca="false">TEXT($C1934,"0000")&amp;"-"&amp;TEXT($E1934,"00")</f>
        <v>2025-08</v>
      </c>
      <c r="H1934" s="61" t="str">
        <f aca="false">INDEX(Parametros!$C$71:$C$91,MATCH(TRIM(INDEX(Datos_Origen!$C$2:$C$2459,$Z1934)),Parametros!$B$71:$B$91,0))</f>
        <v>Centro</v>
      </c>
      <c r="I1934" s="61" t="str">
        <f aca="false">IF(TRIM($AD1934)="",INDEX(Parametros!$I$20:$I$24,MATCH($H1934,Parametros!$H$20:$H$24,0)),TRIM($AD1934))</f>
        <v>Cordoba</v>
      </c>
      <c r="J1934" s="61" t="str">
        <f aca="false">INDEX(Parametros!$C$95:$C$106,MATCH(TRIM(INDEX(Datos_Origen!$E$2:$E$2459,$Z1934)),Parametros!$B$95:$B$106,0))</f>
        <v>Tienda fisica</v>
      </c>
      <c r="K1934" s="61" t="str">
        <f aca="false">INDEX(Parametros!$C$48:$C$67,MATCH(TRIM(INDEX(Datos_Origen!$F$2:$F$2459,$Z1934)),Parametros!$B$48:$B$67,0))</f>
        <v>Audio</v>
      </c>
      <c r="L1934" s="61" t="str">
        <f aca="false">$K1934&amp;" "&amp;$C1934</f>
        <v>Audio 2025</v>
      </c>
      <c r="M1934" s="61" t="str">
        <f aca="false">TRIM(INDEX(Datos_Origen!$G$2:$G$2459,$Z1934))</f>
        <v>Auriculares BT Pro</v>
      </c>
      <c r="N1934" s="61" t="str">
        <f aca="false">$M1934&amp;" "&amp;$C1934</f>
        <v>Auriculares BT Pro 2025</v>
      </c>
      <c r="O1934" s="63" t="n">
        <f aca="false">IF(ISTEXT($AC1934),VALUE($AC1934),$AC1934)</f>
        <v>28</v>
      </c>
      <c r="P1934" s="64" t="n">
        <f aca="false">INDEX(Datos_Origen!$I$2:$I$2459,$Z1934)</f>
        <v>120.47</v>
      </c>
      <c r="Q1934" s="64" t="n">
        <f aca="false">INDEX(Datos_Origen!$J$2:$J$2459,$Z1934)</f>
        <v>65.51</v>
      </c>
      <c r="R1934" s="65" t="n">
        <f aca="false">ROUND($O1934*$P1934,2)</f>
        <v>3373.16</v>
      </c>
      <c r="S1934" s="65" t="n">
        <f aca="false">ROUND($O1934*$Q1934,2)</f>
        <v>1834.28</v>
      </c>
      <c r="T1934" s="65" t="n">
        <f aca="false">ROUND($R1934*SUMIFS(Parametros!$E$28:$E$43,Parametros!$B$28:$B$43,$J1934,Parametros!$C$28:$C$43,$C1934,Parametros!$D$28:$D$43,$D1934),2)</f>
        <v>43.85</v>
      </c>
      <c r="U1934" s="65" t="n">
        <f aca="false">$R1934-$S1934-$T1934</f>
        <v>1495.03</v>
      </c>
      <c r="V1934" s="66" t="n">
        <f aca="false">IFERROR($U1934/$R1934,0)</f>
        <v>0.4432134852779</v>
      </c>
      <c r="W1934" s="67" t="str">
        <f aca="false">IF(AND($V1934&gt;=Parametros!$C$8,$R1934&gt;=Parametros!$C$12),"Alta rentabilidad",IF(OR($V1934&lt;Parametros!$C$11,$R1934&lt;Parametros!$C$13),"Revisar","Estandar"))</f>
        <v>Alta rentabilidad</v>
      </c>
      <c r="X1934" s="67" t="str">
        <f aca="false">IF(AND($J1934="E-commerce",IFERROR($T1934/$R1934,0)&gt;Parametros!$C$14),"Alerta","OK")</f>
        <v>OK</v>
      </c>
      <c r="Y1934" s="61" t="str">
        <f aca="false">IF($R1934&gt;=Parametros!$C$12,"Alto",IF($R1934&lt;Parametros!$C$13,"Bajo","Medio"))</f>
        <v>Alto</v>
      </c>
      <c r="Z1934" s="61" t="n">
        <v>670</v>
      </c>
      <c r="AA1934" s="61" t="str">
        <f aca="false">IF(MATCH($A1934,Datos_Origen!$A$2:$A$2459,0)=$Z1934,"OK","REVISAR")</f>
        <v>OK</v>
      </c>
      <c r="AB1934" s="62" t="n">
        <f aca="false">INDEX(Datos_Origen!$B$2:$B$2459,$Z1934)</f>
        <v>45874</v>
      </c>
      <c r="AC1934" s="61" t="n">
        <f aca="false">INDEX(Datos_Origen!$H$2:$H$2459,$Z1934)</f>
        <v>28</v>
      </c>
      <c r="AD1934" s="61" t="str">
        <f aca="false">INDEX(Datos_Origen!$D$2:$D$2459,$Z1934)&amp;""</f>
        <v>Cordoba</v>
      </c>
    </row>
    <row r="1935" customFormat="false" ht="15" hidden="false" customHeight="false" outlineLevel="0" collapsed="false">
      <c r="A1935" s="61" t="n">
        <f aca="false">INDEX(Datos_Origen!$A$2:$A$2459,$Z1935)</f>
        <v>1934</v>
      </c>
      <c r="B1935" s="62" t="n">
        <f aca="false">IF(ISNUMBER($AB1935),$AB1935,IF(MID($AB1935,5,1)="-",DATE(VALUE(LEFT($AB1935,4)),VALUE(MID($AB1935,6,2)),VALUE(RIGHT($AB1935,2))),DATE(VALUE(RIGHT($AB1935,4)),VALUE(MID($AB1935,4,2)),VALUE(LEFT($AB1935,2)))))</f>
        <v>45881</v>
      </c>
      <c r="C1935" s="61" t="n">
        <f aca="false">YEAR($B1935)</f>
        <v>2025</v>
      </c>
      <c r="D1935" s="61" t="str">
        <f aca="false">"Q"&amp;ROUNDUP(MONTH($B1935)/3,0)</f>
        <v>Q3</v>
      </c>
      <c r="E1935" s="61" t="n">
        <f aca="false">MONTH($B1935)</f>
        <v>8</v>
      </c>
      <c r="F1935" s="61" t="str">
        <f aca="false">INDEX(Parametros!$I$5:$I$16,$E1935)</f>
        <v>Ago</v>
      </c>
      <c r="G1935" s="61" t="str">
        <f aca="false">TEXT($C1935,"0000")&amp;"-"&amp;TEXT($E1935,"00")</f>
        <v>2025-08</v>
      </c>
      <c r="H1935" s="61" t="str">
        <f aca="false">INDEX(Parametros!$C$71:$C$91,MATCH(TRIM(INDEX(Datos_Origen!$C$2:$C$2459,$Z1935)),Parametros!$B$71:$B$91,0))</f>
        <v>Centro</v>
      </c>
      <c r="I1935" s="61" t="str">
        <f aca="false">IF(TRIM($AD1935)="",INDEX(Parametros!$I$20:$I$24,MATCH($H1935,Parametros!$H$20:$H$24,0)),TRIM($AD1935))</f>
        <v>Cordoba</v>
      </c>
      <c r="J1935" s="61" t="str">
        <f aca="false">INDEX(Parametros!$C$95:$C$106,MATCH(TRIM(INDEX(Datos_Origen!$E$2:$E$2459,$Z1935)),Parametros!$B$95:$B$106,0))</f>
        <v>E-commerce</v>
      </c>
      <c r="K1935" s="61" t="str">
        <f aca="false">INDEX(Parametros!$C$48:$C$67,MATCH(TRIM(INDEX(Datos_Origen!$F$2:$F$2459,$Z1935)),Parametros!$B$48:$B$67,0))</f>
        <v>Audio</v>
      </c>
      <c r="L1935" s="61" t="str">
        <f aca="false">$K1935&amp;" "&amp;$C1935</f>
        <v>Audio 2025</v>
      </c>
      <c r="M1935" s="61" t="str">
        <f aca="false">TRIM(INDEX(Datos_Origen!$G$2:$G$2459,$Z1935))</f>
        <v>Auriculares BT Pro</v>
      </c>
      <c r="N1935" s="61" t="str">
        <f aca="false">$M1935&amp;" "&amp;$C1935</f>
        <v>Auriculares BT Pro 2025</v>
      </c>
      <c r="O1935" s="63" t="n">
        <f aca="false">IF(ISTEXT($AC1935),VALUE($AC1935),$AC1935)</f>
        <v>17</v>
      </c>
      <c r="P1935" s="64" t="n">
        <f aca="false">INDEX(Datos_Origen!$I$2:$I$2459,$Z1935)</f>
        <v>120.47</v>
      </c>
      <c r="Q1935" s="64" t="n">
        <f aca="false">INDEX(Datos_Origen!$J$2:$J$2459,$Z1935)</f>
        <v>65.51</v>
      </c>
      <c r="R1935" s="65" t="n">
        <f aca="false">ROUND($O1935*$P1935,2)</f>
        <v>2047.99</v>
      </c>
      <c r="S1935" s="65" t="n">
        <f aca="false">ROUND($O1935*$Q1935,2)</f>
        <v>1113.67</v>
      </c>
      <c r="T1935" s="65" t="n">
        <f aca="false">ROUND($R1935*SUMIFS(Parametros!$E$28:$E$43,Parametros!$B$28:$B$43,$J1935,Parametros!$C$28:$C$43,$C1935,Parametros!$D$28:$D$43,$D1935),2)</f>
        <v>114.69</v>
      </c>
      <c r="U1935" s="65" t="n">
        <f aca="false">$R1935-$S1935-$T1935</f>
        <v>819.63</v>
      </c>
      <c r="V1935" s="66" t="n">
        <f aca="false">IFERROR($U1935/$R1935,0)</f>
        <v>0.400211915097242</v>
      </c>
      <c r="W1935" s="67" t="str">
        <f aca="false">IF(AND($V1935&gt;=Parametros!$C$8,$R1935&gt;=Parametros!$C$12),"Alta rentabilidad",IF(OR($V1935&lt;Parametros!$C$11,$R1935&lt;Parametros!$C$13),"Revisar","Estandar"))</f>
        <v>Estandar</v>
      </c>
      <c r="X1935" s="67" t="str">
        <f aca="false">IF(AND($J1935="E-commerce",IFERROR($T1935/$R1935,0)&gt;Parametros!$C$14),"Alerta","OK")</f>
        <v>Alerta</v>
      </c>
      <c r="Y1935" s="61" t="str">
        <f aca="false">IF($R1935&gt;=Parametros!$C$12,"Alto",IF($R1935&lt;Parametros!$C$13,"Bajo","Medio"))</f>
        <v>Medio</v>
      </c>
      <c r="Z1935" s="61" t="n">
        <v>1472</v>
      </c>
      <c r="AA1935" s="61" t="str">
        <f aca="false">IF(MATCH($A1935,Datos_Origen!$A$2:$A$2459,0)=$Z1935,"OK","REVISAR")</f>
        <v>OK</v>
      </c>
      <c r="AB1935" s="61" t="str">
        <f aca="false">INDEX(Datos_Origen!$B$2:$B$2459,$Z1935)</f>
        <v>2025-08-12</v>
      </c>
      <c r="AC1935" s="61" t="n">
        <f aca="false">INDEX(Datos_Origen!$H$2:$H$2459,$Z1935)</f>
        <v>17</v>
      </c>
      <c r="AD1935" s="61" t="str">
        <f aca="false">INDEX(Datos_Origen!$D$2:$D$2459,$Z1935)&amp;""</f>
        <v>Cordoba</v>
      </c>
    </row>
    <row r="1936" customFormat="false" ht="15" hidden="false" customHeight="false" outlineLevel="0" collapsed="false">
      <c r="A1936" s="61" t="n">
        <f aca="false">INDEX(Datos_Origen!$A$2:$A$2459,$Z1936)</f>
        <v>1935</v>
      </c>
      <c r="B1936" s="62" t="n">
        <f aca="false">IF(ISNUMBER($AB1936),$AB1936,IF(MID($AB1936,5,1)="-",DATE(VALUE(LEFT($AB1936,4)),VALUE(MID($AB1936,6,2)),VALUE(RIGHT($AB1936,2))),DATE(VALUE(RIGHT($AB1936,4)),VALUE(MID($AB1936,4,2)),VALUE(LEFT($AB1936,2)))))</f>
        <v>45888</v>
      </c>
      <c r="C1936" s="61" t="n">
        <f aca="false">YEAR($B1936)</f>
        <v>2025</v>
      </c>
      <c r="D1936" s="61" t="str">
        <f aca="false">"Q"&amp;ROUNDUP(MONTH($B1936)/3,0)</f>
        <v>Q3</v>
      </c>
      <c r="E1936" s="61" t="n">
        <f aca="false">MONTH($B1936)</f>
        <v>8</v>
      </c>
      <c r="F1936" s="61" t="str">
        <f aca="false">INDEX(Parametros!$I$5:$I$16,$E1936)</f>
        <v>Ago</v>
      </c>
      <c r="G1936" s="61" t="str">
        <f aca="false">TEXT($C1936,"0000")&amp;"-"&amp;TEXT($E1936,"00")</f>
        <v>2025-08</v>
      </c>
      <c r="H1936" s="61" t="str">
        <f aca="false">INDEX(Parametros!$C$71:$C$91,MATCH(TRIM(INDEX(Datos_Origen!$C$2:$C$2459,$Z1936)),Parametros!$B$71:$B$91,0))</f>
        <v>Centro</v>
      </c>
      <c r="I1936" s="61" t="str">
        <f aca="false">IF(TRIM($AD1936)="",INDEX(Parametros!$I$20:$I$24,MATCH($H1936,Parametros!$H$20:$H$24,0)),TRIM($AD1936))</f>
        <v>Cordoba</v>
      </c>
      <c r="J1936" s="61" t="str">
        <f aca="false">INDEX(Parametros!$C$95:$C$106,MATCH(TRIM(INDEX(Datos_Origen!$E$2:$E$2459,$Z1936)),Parametros!$B$95:$B$106,0))</f>
        <v>Tienda fisica</v>
      </c>
      <c r="K1936" s="61" t="str">
        <f aca="false">INDEX(Parametros!$C$48:$C$67,MATCH(TRIM(INDEX(Datos_Origen!$F$2:$F$2459,$Z1936)),Parametros!$B$48:$B$67,0))</f>
        <v>Audio</v>
      </c>
      <c r="L1936" s="61" t="str">
        <f aca="false">$K1936&amp;" "&amp;$C1936</f>
        <v>Audio 2025</v>
      </c>
      <c r="M1936" s="61" t="str">
        <f aca="false">TRIM(INDEX(Datos_Origen!$G$2:$G$2459,$Z1936))</f>
        <v>Parlante Bluetooth</v>
      </c>
      <c r="N1936" s="61" t="str">
        <f aca="false">$M1936&amp;" "&amp;$C1936</f>
        <v>Parlante Bluetooth 2025</v>
      </c>
      <c r="O1936" s="63" t="n">
        <f aca="false">IF(ISTEXT($AC1936),VALUE($AC1936),$AC1936)</f>
        <v>24</v>
      </c>
      <c r="P1936" s="64" t="n">
        <f aca="false">INDEX(Datos_Origen!$I$2:$I$2459,$Z1936)</f>
        <v>85.34</v>
      </c>
      <c r="Q1936" s="64" t="n">
        <f aca="false">INDEX(Datos_Origen!$J$2:$J$2459,$Z1936)</f>
        <v>49.47</v>
      </c>
      <c r="R1936" s="65" t="n">
        <f aca="false">ROUND($O1936*$P1936,2)</f>
        <v>2048.16</v>
      </c>
      <c r="S1936" s="65" t="n">
        <f aca="false">ROUND($O1936*$Q1936,2)</f>
        <v>1187.28</v>
      </c>
      <c r="T1936" s="65" t="n">
        <f aca="false">ROUND($R1936*SUMIFS(Parametros!$E$28:$E$43,Parametros!$B$28:$B$43,$J1936,Parametros!$C$28:$C$43,$C1936,Parametros!$D$28:$D$43,$D1936),2)</f>
        <v>26.63</v>
      </c>
      <c r="U1936" s="65" t="n">
        <f aca="false">$R1936-$S1936-$T1936</f>
        <v>834.25</v>
      </c>
      <c r="V1936" s="66" t="n">
        <f aca="false">IFERROR($U1936/$R1936,0)</f>
        <v>0.407316811186626</v>
      </c>
      <c r="W1936" s="67" t="str">
        <f aca="false">IF(AND($V1936&gt;=Parametros!$C$8,$R1936&gt;=Parametros!$C$12),"Alta rentabilidad",IF(OR($V1936&lt;Parametros!$C$11,$R1936&lt;Parametros!$C$13),"Revisar","Estandar"))</f>
        <v>Estandar</v>
      </c>
      <c r="X1936" s="67" t="str">
        <f aca="false">IF(AND($J1936="E-commerce",IFERROR($T1936/$R1936,0)&gt;Parametros!$C$14),"Alerta","OK")</f>
        <v>OK</v>
      </c>
      <c r="Y1936" s="61" t="str">
        <f aca="false">IF($R1936&gt;=Parametros!$C$12,"Alto",IF($R1936&lt;Parametros!$C$13,"Bajo","Medio"))</f>
        <v>Medio</v>
      </c>
      <c r="Z1936" s="61" t="n">
        <v>2312</v>
      </c>
      <c r="AA1936" s="61" t="str">
        <f aca="false">IF(MATCH($A1936,Datos_Origen!$A$2:$A$2459,0)=$Z1936,"OK","REVISAR")</f>
        <v>OK</v>
      </c>
      <c r="AB1936" s="62" t="n">
        <f aca="false">INDEX(Datos_Origen!$B$2:$B$2459,$Z1936)</f>
        <v>45888</v>
      </c>
      <c r="AC1936" s="61" t="n">
        <f aca="false">INDEX(Datos_Origen!$H$2:$H$2459,$Z1936)</f>
        <v>24</v>
      </c>
      <c r="AD1936" s="61" t="str">
        <f aca="false">INDEX(Datos_Origen!$D$2:$D$2459,$Z1936)&amp;""</f>
        <v>Cordoba</v>
      </c>
    </row>
    <row r="1937" customFormat="false" ht="15" hidden="false" customHeight="false" outlineLevel="0" collapsed="false">
      <c r="A1937" s="61" t="n">
        <f aca="false">INDEX(Datos_Origen!$A$2:$A$2459,$Z1937)</f>
        <v>1936</v>
      </c>
      <c r="B1937" s="62" t="n">
        <f aca="false">IF(ISNUMBER($AB1937),$AB1937,IF(MID($AB1937,5,1)="-",DATE(VALUE(LEFT($AB1937,4)),VALUE(MID($AB1937,6,2)),VALUE(RIGHT($AB1937,2))),DATE(VALUE(RIGHT($AB1937,4)),VALUE(MID($AB1937,4,2)),VALUE(LEFT($AB1937,2)))))</f>
        <v>45895</v>
      </c>
      <c r="C1937" s="61" t="n">
        <f aca="false">YEAR($B1937)</f>
        <v>2025</v>
      </c>
      <c r="D1937" s="61" t="str">
        <f aca="false">"Q"&amp;ROUNDUP(MONTH($B1937)/3,0)</f>
        <v>Q3</v>
      </c>
      <c r="E1937" s="61" t="n">
        <f aca="false">MONTH($B1937)</f>
        <v>8</v>
      </c>
      <c r="F1937" s="61" t="str">
        <f aca="false">INDEX(Parametros!$I$5:$I$16,$E1937)</f>
        <v>Ago</v>
      </c>
      <c r="G1937" s="61" t="str">
        <f aca="false">TEXT($C1937,"0000")&amp;"-"&amp;TEXT($E1937,"00")</f>
        <v>2025-08</v>
      </c>
      <c r="H1937" s="61" t="str">
        <f aca="false">INDEX(Parametros!$C$71:$C$91,MATCH(TRIM(INDEX(Datos_Origen!$C$2:$C$2459,$Z1937)),Parametros!$B$71:$B$91,0))</f>
        <v>Centro</v>
      </c>
      <c r="I1937" s="61" t="str">
        <f aca="false">IF(TRIM($AD1937)="",INDEX(Parametros!$I$20:$I$24,MATCH($H1937,Parametros!$H$20:$H$24,0)),TRIM($AD1937))</f>
        <v>Cordoba</v>
      </c>
      <c r="J1937" s="61" t="str">
        <f aca="false">INDEX(Parametros!$C$95:$C$106,MATCH(TRIM(INDEX(Datos_Origen!$E$2:$E$2459,$Z1937)),Parametros!$B$95:$B$106,0))</f>
        <v>E-commerce</v>
      </c>
      <c r="K1937" s="61" t="str">
        <f aca="false">INDEX(Parametros!$C$48:$C$67,MATCH(TRIM(INDEX(Datos_Origen!$F$2:$F$2459,$Z1937)),Parametros!$B$48:$B$67,0))</f>
        <v>Audio</v>
      </c>
      <c r="L1937" s="61" t="str">
        <f aca="false">$K1937&amp;" "&amp;$C1937</f>
        <v>Audio 2025</v>
      </c>
      <c r="M1937" s="61" t="str">
        <f aca="false">TRIM(INDEX(Datos_Origen!$G$2:$G$2459,$Z1937))</f>
        <v>Parlante Bluetooth</v>
      </c>
      <c r="N1937" s="61" t="str">
        <f aca="false">$M1937&amp;" "&amp;$C1937</f>
        <v>Parlante Bluetooth 2025</v>
      </c>
      <c r="O1937" s="63" t="n">
        <f aca="false">IF(ISTEXT($AC1937),VALUE($AC1937),$AC1937)</f>
        <v>15</v>
      </c>
      <c r="P1937" s="64" t="n">
        <f aca="false">INDEX(Datos_Origen!$I$2:$I$2459,$Z1937)</f>
        <v>85.34</v>
      </c>
      <c r="Q1937" s="64" t="n">
        <f aca="false">INDEX(Datos_Origen!$J$2:$J$2459,$Z1937)</f>
        <v>49.47</v>
      </c>
      <c r="R1937" s="65" t="n">
        <f aca="false">ROUND($O1937*$P1937,2)</f>
        <v>1280.1</v>
      </c>
      <c r="S1937" s="65" t="n">
        <f aca="false">ROUND($O1937*$Q1937,2)</f>
        <v>742.05</v>
      </c>
      <c r="T1937" s="65" t="n">
        <f aca="false">ROUND($R1937*SUMIFS(Parametros!$E$28:$E$43,Parametros!$B$28:$B$43,$J1937,Parametros!$C$28:$C$43,$C1937,Parametros!$D$28:$D$43,$D1937),2)</f>
        <v>71.69</v>
      </c>
      <c r="U1937" s="65" t="n">
        <f aca="false">$R1937-$S1937-$T1937</f>
        <v>466.36</v>
      </c>
      <c r="V1937" s="66" t="n">
        <f aca="false">IFERROR($U1937/$R1937,0)</f>
        <v>0.364315287868135</v>
      </c>
      <c r="W1937" s="67" t="str">
        <f aca="false">IF(AND($V1937&gt;=Parametros!$C$8,$R1937&gt;=Parametros!$C$12),"Alta rentabilidad",IF(OR($V1937&lt;Parametros!$C$11,$R1937&lt;Parametros!$C$13),"Revisar","Estandar"))</f>
        <v>Estandar</v>
      </c>
      <c r="X1937" s="67" t="str">
        <f aca="false">IF(AND($J1937="E-commerce",IFERROR($T1937/$R1937,0)&gt;Parametros!$C$14),"Alerta","OK")</f>
        <v>Alerta</v>
      </c>
      <c r="Y1937" s="61" t="str">
        <f aca="false">IF($R1937&gt;=Parametros!$C$12,"Alto",IF($R1937&lt;Parametros!$C$13,"Bajo","Medio"))</f>
        <v>Medio</v>
      </c>
      <c r="Z1937" s="61" t="n">
        <v>622</v>
      </c>
      <c r="AA1937" s="61" t="str">
        <f aca="false">IF(MATCH($A1937,Datos_Origen!$A$2:$A$2459,0)=$Z1937,"OK","REVISAR")</f>
        <v>OK</v>
      </c>
      <c r="AB1937" s="62" t="n">
        <f aca="false">INDEX(Datos_Origen!$B$2:$B$2459,$Z1937)</f>
        <v>45895</v>
      </c>
      <c r="AC1937" s="61" t="n">
        <f aca="false">INDEX(Datos_Origen!$H$2:$H$2459,$Z1937)</f>
        <v>15</v>
      </c>
      <c r="AD1937" s="61" t="str">
        <f aca="false">INDEX(Datos_Origen!$D$2:$D$2459,$Z1937)&amp;""</f>
        <v>Cordoba</v>
      </c>
    </row>
    <row r="1938" customFormat="false" ht="15" hidden="false" customHeight="false" outlineLevel="0" collapsed="false">
      <c r="A1938" s="61" t="n">
        <f aca="false">INDEX(Datos_Origen!$A$2:$A$2459,$Z1938)</f>
        <v>1937</v>
      </c>
      <c r="B1938" s="62" t="n">
        <f aca="false">IF(ISNUMBER($AB1938),$AB1938,IF(MID($AB1938,5,1)="-",DATE(VALUE(LEFT($AB1938,4)),VALUE(MID($AB1938,6,2)),VALUE(RIGHT($AB1938,2))),DATE(VALUE(RIGHT($AB1938,4)),VALUE(MID($AB1938,4,2)),VALUE(LEFT($AB1938,2)))))</f>
        <v>45875</v>
      </c>
      <c r="C1938" s="61" t="n">
        <f aca="false">YEAR($B1938)</f>
        <v>2025</v>
      </c>
      <c r="D1938" s="61" t="str">
        <f aca="false">"Q"&amp;ROUNDUP(MONTH($B1938)/3,0)</f>
        <v>Q3</v>
      </c>
      <c r="E1938" s="61" t="n">
        <f aca="false">MONTH($B1938)</f>
        <v>8</v>
      </c>
      <c r="F1938" s="61" t="str">
        <f aca="false">INDEX(Parametros!$I$5:$I$16,$E1938)</f>
        <v>Ago</v>
      </c>
      <c r="G1938" s="61" t="str">
        <f aca="false">TEXT($C1938,"0000")&amp;"-"&amp;TEXT($E1938,"00")</f>
        <v>2025-08</v>
      </c>
      <c r="H1938" s="61" t="str">
        <f aca="false">INDEX(Parametros!$C$71:$C$91,MATCH(TRIM(INDEX(Datos_Origen!$C$2:$C$2459,$Z1938)),Parametros!$B$71:$B$91,0))</f>
        <v>Centro</v>
      </c>
      <c r="I1938" s="61" t="str">
        <f aca="false">IF(TRIM($AD1938)="",INDEX(Parametros!$I$20:$I$24,MATCH($H1938,Parametros!$H$20:$H$24,0)),TRIM($AD1938))</f>
        <v>Cordoba</v>
      </c>
      <c r="J1938" s="61" t="str">
        <f aca="false">INDEX(Parametros!$C$95:$C$106,MATCH(TRIM(INDEX(Datos_Origen!$E$2:$E$2459,$Z1938)),Parametros!$B$95:$B$106,0))</f>
        <v>Tienda fisica</v>
      </c>
      <c r="K1938" s="61" t="str">
        <f aca="false">INDEX(Parametros!$C$48:$C$67,MATCH(TRIM(INDEX(Datos_Origen!$F$2:$F$2459,$Z1938)),Parametros!$B$48:$B$67,0))</f>
        <v>Almacenamiento</v>
      </c>
      <c r="L1938" s="61" t="str">
        <f aca="false">$K1938&amp;" "&amp;$C1938</f>
        <v>Almacenamiento 2025</v>
      </c>
      <c r="M1938" s="61" t="str">
        <f aca="false">TRIM(INDEX(Datos_Origen!$G$2:$G$2459,$Z1938))</f>
        <v>SSD Externo 1TB</v>
      </c>
      <c r="N1938" s="61" t="str">
        <f aca="false">$M1938&amp;" "&amp;$C1938</f>
        <v>SSD Externo 1TB 2025</v>
      </c>
      <c r="O1938" s="63" t="n">
        <f aca="false">IF(ISTEXT($AC1938),VALUE($AC1938),$AC1938)</f>
        <v>34</v>
      </c>
      <c r="P1938" s="64" t="n">
        <f aca="false">INDEX(Datos_Origen!$I$2:$I$2459,$Z1938)</f>
        <v>130.51</v>
      </c>
      <c r="Q1938" s="64" t="n">
        <f aca="false">INDEX(Datos_Origen!$J$2:$J$2459,$Z1938)</f>
        <v>78.33</v>
      </c>
      <c r="R1938" s="65" t="n">
        <f aca="false">ROUND($O1938*$P1938,2)</f>
        <v>4437.34</v>
      </c>
      <c r="S1938" s="65" t="n">
        <f aca="false">ROUND($O1938*$Q1938,2)</f>
        <v>2663.22</v>
      </c>
      <c r="T1938" s="65" t="n">
        <f aca="false">ROUND($R1938*SUMIFS(Parametros!$E$28:$E$43,Parametros!$B$28:$B$43,$J1938,Parametros!$C$28:$C$43,$C1938,Parametros!$D$28:$D$43,$D1938),2)</f>
        <v>57.69</v>
      </c>
      <c r="U1938" s="65" t="n">
        <f aca="false">$R1938-$S1938-$T1938</f>
        <v>1716.43</v>
      </c>
      <c r="V1938" s="66" t="n">
        <f aca="false">IFERROR($U1938/$R1938,0)</f>
        <v>0.386815073895622</v>
      </c>
      <c r="W1938" s="67" t="str">
        <f aca="false">IF(AND($V1938&gt;=Parametros!$C$8,$R1938&gt;=Parametros!$C$12),"Alta rentabilidad",IF(OR($V1938&lt;Parametros!$C$11,$R1938&lt;Parametros!$C$13),"Revisar","Estandar"))</f>
        <v>Alta rentabilidad</v>
      </c>
      <c r="X1938" s="67" t="str">
        <f aca="false">IF(AND($J1938="E-commerce",IFERROR($T1938/$R1938,0)&gt;Parametros!$C$14),"Alerta","OK")</f>
        <v>OK</v>
      </c>
      <c r="Y1938" s="61" t="str">
        <f aca="false">IF($R1938&gt;=Parametros!$C$12,"Alto",IF($R1938&lt;Parametros!$C$13,"Bajo","Medio"))</f>
        <v>Alto</v>
      </c>
      <c r="Z1938" s="61" t="n">
        <v>714</v>
      </c>
      <c r="AA1938" s="61" t="str">
        <f aca="false">IF(MATCH($A1938,Datos_Origen!$A$2:$A$2459,0)=$Z1938,"OK","REVISAR")</f>
        <v>OK</v>
      </c>
      <c r="AB1938" s="61" t="str">
        <f aca="false">INDEX(Datos_Origen!$B$2:$B$2459,$Z1938)</f>
        <v>2025-08-06</v>
      </c>
      <c r="AC1938" s="61" t="n">
        <f aca="false">INDEX(Datos_Origen!$H$2:$H$2459,$Z1938)</f>
        <v>34</v>
      </c>
      <c r="AD1938" s="61" t="str">
        <f aca="false">INDEX(Datos_Origen!$D$2:$D$2459,$Z1938)&amp;""</f>
        <v>Cordoba</v>
      </c>
    </row>
    <row r="1939" customFormat="false" ht="15" hidden="false" customHeight="false" outlineLevel="0" collapsed="false">
      <c r="A1939" s="61" t="n">
        <f aca="false">INDEX(Datos_Origen!$A$2:$A$2459,$Z1939)</f>
        <v>1938</v>
      </c>
      <c r="B1939" s="62" t="n">
        <f aca="false">IF(ISNUMBER($AB1939),$AB1939,IF(MID($AB1939,5,1)="-",DATE(VALUE(LEFT($AB1939,4)),VALUE(MID($AB1939,6,2)),VALUE(RIGHT($AB1939,2))),DATE(VALUE(RIGHT($AB1939,4)),VALUE(MID($AB1939,4,2)),VALUE(LEFT($AB1939,2)))))</f>
        <v>45882</v>
      </c>
      <c r="C1939" s="61" t="n">
        <f aca="false">YEAR($B1939)</f>
        <v>2025</v>
      </c>
      <c r="D1939" s="61" t="str">
        <f aca="false">"Q"&amp;ROUNDUP(MONTH($B1939)/3,0)</f>
        <v>Q3</v>
      </c>
      <c r="E1939" s="61" t="n">
        <f aca="false">MONTH($B1939)</f>
        <v>8</v>
      </c>
      <c r="F1939" s="61" t="str">
        <f aca="false">INDEX(Parametros!$I$5:$I$16,$E1939)</f>
        <v>Ago</v>
      </c>
      <c r="G1939" s="61" t="str">
        <f aca="false">TEXT($C1939,"0000")&amp;"-"&amp;TEXT($E1939,"00")</f>
        <v>2025-08</v>
      </c>
      <c r="H1939" s="61" t="str">
        <f aca="false">INDEX(Parametros!$C$71:$C$91,MATCH(TRIM(INDEX(Datos_Origen!$C$2:$C$2459,$Z1939)),Parametros!$B$71:$B$91,0))</f>
        <v>Centro</v>
      </c>
      <c r="I1939" s="61" t="str">
        <f aca="false">IF(TRIM($AD1939)="",INDEX(Parametros!$I$20:$I$24,MATCH($H1939,Parametros!$H$20:$H$24,0)),TRIM($AD1939))</f>
        <v>Cordoba</v>
      </c>
      <c r="J1939" s="61" t="str">
        <f aca="false">INDEX(Parametros!$C$95:$C$106,MATCH(TRIM(INDEX(Datos_Origen!$E$2:$E$2459,$Z1939)),Parametros!$B$95:$B$106,0))</f>
        <v>E-commerce</v>
      </c>
      <c r="K1939" s="61" t="str">
        <f aca="false">INDEX(Parametros!$C$48:$C$67,MATCH(TRIM(INDEX(Datos_Origen!$F$2:$F$2459,$Z1939)),Parametros!$B$48:$B$67,0))</f>
        <v>Almacenamiento</v>
      </c>
      <c r="L1939" s="61" t="str">
        <f aca="false">$K1939&amp;" "&amp;$C1939</f>
        <v>Almacenamiento 2025</v>
      </c>
      <c r="M1939" s="61" t="str">
        <f aca="false">TRIM(INDEX(Datos_Origen!$G$2:$G$2459,$Z1939))</f>
        <v>SSD Externo 1TB</v>
      </c>
      <c r="N1939" s="61" t="str">
        <f aca="false">$M1939&amp;" "&amp;$C1939</f>
        <v>SSD Externo 1TB 2025</v>
      </c>
      <c r="O1939" s="63" t="n">
        <f aca="false">IF(ISTEXT($AC1939),VALUE($AC1939),$AC1939)</f>
        <v>18</v>
      </c>
      <c r="P1939" s="64" t="n">
        <f aca="false">INDEX(Datos_Origen!$I$2:$I$2459,$Z1939)</f>
        <v>130.51</v>
      </c>
      <c r="Q1939" s="64" t="n">
        <f aca="false">INDEX(Datos_Origen!$J$2:$J$2459,$Z1939)</f>
        <v>78.33</v>
      </c>
      <c r="R1939" s="65" t="n">
        <f aca="false">ROUND($O1939*$P1939,2)</f>
        <v>2349.18</v>
      </c>
      <c r="S1939" s="65" t="n">
        <f aca="false">ROUND($O1939*$Q1939,2)</f>
        <v>1409.94</v>
      </c>
      <c r="T1939" s="65" t="n">
        <f aca="false">ROUND($R1939*SUMIFS(Parametros!$E$28:$E$43,Parametros!$B$28:$B$43,$J1939,Parametros!$C$28:$C$43,$C1939,Parametros!$D$28:$D$43,$D1939),2)</f>
        <v>131.55</v>
      </c>
      <c r="U1939" s="65" t="n">
        <f aca="false">$R1939-$S1939-$T1939</f>
        <v>807.69</v>
      </c>
      <c r="V1939" s="66" t="n">
        <f aca="false">IFERROR($U1939/$R1939,0)</f>
        <v>0.343817842821751</v>
      </c>
      <c r="W1939" s="67" t="str">
        <f aca="false">IF(AND($V1939&gt;=Parametros!$C$8,$R1939&gt;=Parametros!$C$12),"Alta rentabilidad",IF(OR($V1939&lt;Parametros!$C$11,$R1939&lt;Parametros!$C$13),"Revisar","Estandar"))</f>
        <v>Estandar</v>
      </c>
      <c r="X1939" s="67" t="str">
        <f aca="false">IF(AND($J1939="E-commerce",IFERROR($T1939/$R1939,0)&gt;Parametros!$C$14),"Alerta","OK")</f>
        <v>Alerta</v>
      </c>
      <c r="Y1939" s="61" t="str">
        <f aca="false">IF($R1939&gt;=Parametros!$C$12,"Alto",IF($R1939&lt;Parametros!$C$13,"Bajo","Medio"))</f>
        <v>Medio</v>
      </c>
      <c r="Z1939" s="61" t="n">
        <v>1482</v>
      </c>
      <c r="AA1939" s="61" t="str">
        <f aca="false">IF(MATCH($A1939,Datos_Origen!$A$2:$A$2459,0)=$Z1939,"OK","REVISAR")</f>
        <v>OK</v>
      </c>
      <c r="AB1939" s="62" t="n">
        <f aca="false">INDEX(Datos_Origen!$B$2:$B$2459,$Z1939)</f>
        <v>45882</v>
      </c>
      <c r="AC1939" s="61" t="n">
        <f aca="false">INDEX(Datos_Origen!$H$2:$H$2459,$Z1939)</f>
        <v>18</v>
      </c>
      <c r="AD1939" s="61" t="str">
        <f aca="false">INDEX(Datos_Origen!$D$2:$D$2459,$Z1939)&amp;""</f>
        <v>Cordoba</v>
      </c>
    </row>
    <row r="1940" customFormat="false" ht="15" hidden="false" customHeight="false" outlineLevel="0" collapsed="false">
      <c r="A1940" s="61" t="n">
        <f aca="false">INDEX(Datos_Origen!$A$2:$A$2459,$Z1940)</f>
        <v>1939</v>
      </c>
      <c r="B1940" s="62" t="n">
        <f aca="false">IF(ISNUMBER($AB1940),$AB1940,IF(MID($AB1940,5,1)="-",DATE(VALUE(LEFT($AB1940,4)),VALUE(MID($AB1940,6,2)),VALUE(RIGHT($AB1940,2))),DATE(VALUE(RIGHT($AB1940,4)),VALUE(MID($AB1940,4,2)),VALUE(LEFT($AB1940,2)))))</f>
        <v>45889</v>
      </c>
      <c r="C1940" s="61" t="n">
        <f aca="false">YEAR($B1940)</f>
        <v>2025</v>
      </c>
      <c r="D1940" s="61" t="str">
        <f aca="false">"Q"&amp;ROUNDUP(MONTH($B1940)/3,0)</f>
        <v>Q3</v>
      </c>
      <c r="E1940" s="61" t="n">
        <f aca="false">MONTH($B1940)</f>
        <v>8</v>
      </c>
      <c r="F1940" s="61" t="str">
        <f aca="false">INDEX(Parametros!$I$5:$I$16,$E1940)</f>
        <v>Ago</v>
      </c>
      <c r="G1940" s="61" t="str">
        <f aca="false">TEXT($C1940,"0000")&amp;"-"&amp;TEXT($E1940,"00")</f>
        <v>2025-08</v>
      </c>
      <c r="H1940" s="61" t="str">
        <f aca="false">INDEX(Parametros!$C$71:$C$91,MATCH(TRIM(INDEX(Datos_Origen!$C$2:$C$2459,$Z1940)),Parametros!$B$71:$B$91,0))</f>
        <v>Centro</v>
      </c>
      <c r="I1940" s="61" t="str">
        <f aca="false">IF(TRIM($AD1940)="",INDEX(Parametros!$I$20:$I$24,MATCH($H1940,Parametros!$H$20:$H$24,0)),TRIM($AD1940))</f>
        <v>Cordoba</v>
      </c>
      <c r="J1940" s="61" t="str">
        <f aca="false">INDEX(Parametros!$C$95:$C$106,MATCH(TRIM(INDEX(Datos_Origen!$E$2:$E$2459,$Z1940)),Parametros!$B$95:$B$106,0))</f>
        <v>Tienda fisica</v>
      </c>
      <c r="K1940" s="61" t="str">
        <f aca="false">INDEX(Parametros!$C$48:$C$67,MATCH(TRIM(INDEX(Datos_Origen!$F$2:$F$2459,$Z1940)),Parametros!$B$48:$B$67,0))</f>
        <v>Almacenamiento</v>
      </c>
      <c r="L1940" s="61" t="str">
        <f aca="false">$K1940&amp;" "&amp;$C1940</f>
        <v>Almacenamiento 2025</v>
      </c>
      <c r="M1940" s="61" t="str">
        <f aca="false">TRIM(INDEX(Datos_Origen!$G$2:$G$2459,$Z1940))</f>
        <v>Pendrive 256GB</v>
      </c>
      <c r="N1940" s="61" t="str">
        <f aca="false">$M1940&amp;" "&amp;$C1940</f>
        <v>Pendrive 256GB 2025</v>
      </c>
      <c r="O1940" s="63" t="n">
        <f aca="false">IF(ISTEXT($AC1940),VALUE($AC1940),$AC1940)</f>
        <v>36</v>
      </c>
      <c r="P1940" s="64" t="n">
        <f aca="false">INDEX(Datos_Origen!$I$2:$I$2459,$Z1940)</f>
        <v>35.14</v>
      </c>
      <c r="Q1940" s="64" t="n">
        <f aca="false">INDEX(Datos_Origen!$J$2:$J$2459,$Z1940)</f>
        <v>18.39</v>
      </c>
      <c r="R1940" s="65" t="n">
        <f aca="false">ROUND($O1940*$P1940,2)</f>
        <v>1265.04</v>
      </c>
      <c r="S1940" s="65" t="n">
        <f aca="false">ROUND($O1940*$Q1940,2)</f>
        <v>662.04</v>
      </c>
      <c r="T1940" s="65" t="n">
        <f aca="false">ROUND($R1940*SUMIFS(Parametros!$E$28:$E$43,Parametros!$B$28:$B$43,$J1940,Parametros!$C$28:$C$43,$C1940,Parametros!$D$28:$D$43,$D1940),2)</f>
        <v>16.45</v>
      </c>
      <c r="U1940" s="65" t="n">
        <f aca="false">$R1940-$S1940-$T1940</f>
        <v>586.55</v>
      </c>
      <c r="V1940" s="66" t="n">
        <f aca="false">IFERROR($U1940/$R1940,0)</f>
        <v>0.463661228103459</v>
      </c>
      <c r="W1940" s="67" t="str">
        <f aca="false">IF(AND($V1940&gt;=Parametros!$C$8,$R1940&gt;=Parametros!$C$12),"Alta rentabilidad",IF(OR($V1940&lt;Parametros!$C$11,$R1940&lt;Parametros!$C$13),"Revisar","Estandar"))</f>
        <v>Estandar</v>
      </c>
      <c r="X1940" s="67" t="str">
        <f aca="false">IF(AND($J1940="E-commerce",IFERROR($T1940/$R1940,0)&gt;Parametros!$C$14),"Alerta","OK")</f>
        <v>OK</v>
      </c>
      <c r="Y1940" s="61" t="str">
        <f aca="false">IF($R1940&gt;=Parametros!$C$12,"Alto",IF($R1940&lt;Parametros!$C$13,"Bajo","Medio"))</f>
        <v>Medio</v>
      </c>
      <c r="Z1940" s="61" t="n">
        <v>1580</v>
      </c>
      <c r="AA1940" s="61" t="str">
        <f aca="false">IF(MATCH($A1940,Datos_Origen!$A$2:$A$2459,0)=$Z1940,"OK","REVISAR")</f>
        <v>OK</v>
      </c>
      <c r="AB1940" s="62" t="n">
        <f aca="false">INDEX(Datos_Origen!$B$2:$B$2459,$Z1940)</f>
        <v>45889</v>
      </c>
      <c r="AC1940" s="61" t="n">
        <f aca="false">INDEX(Datos_Origen!$H$2:$H$2459,$Z1940)</f>
        <v>36</v>
      </c>
      <c r="AD1940" s="61" t="str">
        <f aca="false">INDEX(Datos_Origen!$D$2:$D$2459,$Z1940)&amp;""</f>
        <v>Cordoba</v>
      </c>
    </row>
    <row r="1941" customFormat="false" ht="15" hidden="false" customHeight="false" outlineLevel="0" collapsed="false">
      <c r="A1941" s="61" t="n">
        <f aca="false">INDEX(Datos_Origen!$A$2:$A$2459,$Z1941)</f>
        <v>1940</v>
      </c>
      <c r="B1941" s="62" t="n">
        <f aca="false">IF(ISNUMBER($AB1941),$AB1941,IF(MID($AB1941,5,1)="-",DATE(VALUE(LEFT($AB1941,4)),VALUE(MID($AB1941,6,2)),VALUE(RIGHT($AB1941,2))),DATE(VALUE(RIGHT($AB1941,4)),VALUE(MID($AB1941,4,2)),VALUE(LEFT($AB1941,2)))))</f>
        <v>45896</v>
      </c>
      <c r="C1941" s="61" t="n">
        <f aca="false">YEAR($B1941)</f>
        <v>2025</v>
      </c>
      <c r="D1941" s="61" t="str">
        <f aca="false">"Q"&amp;ROUNDUP(MONTH($B1941)/3,0)</f>
        <v>Q3</v>
      </c>
      <c r="E1941" s="61" t="n">
        <f aca="false">MONTH($B1941)</f>
        <v>8</v>
      </c>
      <c r="F1941" s="61" t="str">
        <f aca="false">INDEX(Parametros!$I$5:$I$16,$E1941)</f>
        <v>Ago</v>
      </c>
      <c r="G1941" s="61" t="str">
        <f aca="false">TEXT($C1941,"0000")&amp;"-"&amp;TEXT($E1941,"00")</f>
        <v>2025-08</v>
      </c>
      <c r="H1941" s="61" t="str">
        <f aca="false">INDEX(Parametros!$C$71:$C$91,MATCH(TRIM(INDEX(Datos_Origen!$C$2:$C$2459,$Z1941)),Parametros!$B$71:$B$91,0))</f>
        <v>Centro</v>
      </c>
      <c r="I1941" s="61" t="str">
        <f aca="false">IF(TRIM($AD1941)="",INDEX(Parametros!$I$20:$I$24,MATCH($H1941,Parametros!$H$20:$H$24,0)),TRIM($AD1941))</f>
        <v>Cordoba</v>
      </c>
      <c r="J1941" s="61" t="str">
        <f aca="false">INDEX(Parametros!$C$95:$C$106,MATCH(TRIM(INDEX(Datos_Origen!$E$2:$E$2459,$Z1941)),Parametros!$B$95:$B$106,0))</f>
        <v>E-commerce</v>
      </c>
      <c r="K1941" s="61" t="str">
        <f aca="false">INDEX(Parametros!$C$48:$C$67,MATCH(TRIM(INDEX(Datos_Origen!$F$2:$F$2459,$Z1941)),Parametros!$B$48:$B$67,0))</f>
        <v>Almacenamiento</v>
      </c>
      <c r="L1941" s="61" t="str">
        <f aca="false">$K1941&amp;" "&amp;$C1941</f>
        <v>Almacenamiento 2025</v>
      </c>
      <c r="M1941" s="61" t="str">
        <f aca="false">TRIM(INDEX(Datos_Origen!$G$2:$G$2459,$Z1941))</f>
        <v>Pendrive 256GB</v>
      </c>
      <c r="N1941" s="61" t="str">
        <f aca="false">$M1941&amp;" "&amp;$C1941</f>
        <v>Pendrive 256GB 2025</v>
      </c>
      <c r="O1941" s="63" t="n">
        <f aca="false">IF(ISTEXT($AC1941),VALUE($AC1941),$AC1941)</f>
        <v>25</v>
      </c>
      <c r="P1941" s="64" t="n">
        <f aca="false">INDEX(Datos_Origen!$I$2:$I$2459,$Z1941)</f>
        <v>35.14</v>
      </c>
      <c r="Q1941" s="64" t="n">
        <f aca="false">INDEX(Datos_Origen!$J$2:$J$2459,$Z1941)</f>
        <v>18.39</v>
      </c>
      <c r="R1941" s="65" t="n">
        <f aca="false">ROUND($O1941*$P1941,2)</f>
        <v>878.5</v>
      </c>
      <c r="S1941" s="65" t="n">
        <f aca="false">ROUND($O1941*$Q1941,2)</f>
        <v>459.75</v>
      </c>
      <c r="T1941" s="65" t="n">
        <f aca="false">ROUND($R1941*SUMIFS(Parametros!$E$28:$E$43,Parametros!$B$28:$B$43,$J1941,Parametros!$C$28:$C$43,$C1941,Parametros!$D$28:$D$43,$D1941),2)</f>
        <v>49.2</v>
      </c>
      <c r="U1941" s="65" t="n">
        <f aca="false">$R1941-$S1941-$T1941</f>
        <v>369.55</v>
      </c>
      <c r="V1941" s="66" t="n">
        <f aca="false">IFERROR($U1941/$R1941,0)</f>
        <v>0.420660216277746</v>
      </c>
      <c r="W1941" s="67" t="str">
        <f aca="false">IF(AND($V1941&gt;=Parametros!$C$8,$R1941&gt;=Parametros!$C$12),"Alta rentabilidad",IF(OR($V1941&lt;Parametros!$C$11,$R1941&lt;Parametros!$C$13),"Revisar","Estandar"))</f>
        <v>Estandar</v>
      </c>
      <c r="X1941" s="67" t="str">
        <f aca="false">IF(AND($J1941="E-commerce",IFERROR($T1941/$R1941,0)&gt;Parametros!$C$14),"Alerta","OK")</f>
        <v>Alerta</v>
      </c>
      <c r="Y1941" s="61" t="str">
        <f aca="false">IF($R1941&gt;=Parametros!$C$12,"Alto",IF($R1941&lt;Parametros!$C$13,"Bajo","Medio"))</f>
        <v>Medio</v>
      </c>
      <c r="Z1941" s="61" t="n">
        <v>2042</v>
      </c>
      <c r="AA1941" s="61" t="str">
        <f aca="false">IF(MATCH($A1941,Datos_Origen!$A$2:$A$2459,0)=$Z1941,"OK","REVISAR")</f>
        <v>OK</v>
      </c>
      <c r="AB1941" s="61" t="str">
        <f aca="false">INDEX(Datos_Origen!$B$2:$B$2459,$Z1941)</f>
        <v>2025-08-27</v>
      </c>
      <c r="AC1941" s="61" t="n">
        <f aca="false">INDEX(Datos_Origen!$H$2:$H$2459,$Z1941)</f>
        <v>25</v>
      </c>
      <c r="AD1941" s="61" t="str">
        <f aca="false">INDEX(Datos_Origen!$D$2:$D$2459,$Z1941)&amp;""</f>
        <v>Cordoba</v>
      </c>
    </row>
    <row r="1942" customFormat="false" ht="15" hidden="false" customHeight="false" outlineLevel="0" collapsed="false">
      <c r="A1942" s="61" t="n">
        <f aca="false">INDEX(Datos_Origen!$A$2:$A$2459,$Z1942)</f>
        <v>1941</v>
      </c>
      <c r="B1942" s="62" t="n">
        <f aca="false">IF(ISNUMBER($AB1942),$AB1942,IF(MID($AB1942,5,1)="-",DATE(VALUE(LEFT($AB1942,4)),VALUE(MID($AB1942,6,2)),VALUE(RIGHT($AB1942,2))),DATE(VALUE(RIGHT($AB1942,4)),VALUE(MID($AB1942,4,2)),VALUE(LEFT($AB1942,2)))))</f>
        <v>45876</v>
      </c>
      <c r="C1942" s="61" t="n">
        <f aca="false">YEAR($B1942)</f>
        <v>2025</v>
      </c>
      <c r="D1942" s="61" t="str">
        <f aca="false">"Q"&amp;ROUNDUP(MONTH($B1942)/3,0)</f>
        <v>Q3</v>
      </c>
      <c r="E1942" s="61" t="n">
        <f aca="false">MONTH($B1942)</f>
        <v>8</v>
      </c>
      <c r="F1942" s="61" t="str">
        <f aca="false">INDEX(Parametros!$I$5:$I$16,$E1942)</f>
        <v>Ago</v>
      </c>
      <c r="G1942" s="61" t="str">
        <f aca="false">TEXT($C1942,"0000")&amp;"-"&amp;TEXT($E1942,"00")</f>
        <v>2025-08</v>
      </c>
      <c r="H1942" s="61" t="str">
        <f aca="false">INDEX(Parametros!$C$71:$C$91,MATCH(TRIM(INDEX(Datos_Origen!$C$2:$C$2459,$Z1942)),Parametros!$B$71:$B$91,0))</f>
        <v>Litoral</v>
      </c>
      <c r="I1942" s="61" t="str">
        <f aca="false">IF(TRIM($AD1942)="",INDEX(Parametros!$I$20:$I$24,MATCH($H1942,Parametros!$H$20:$H$24,0)),TRIM($AD1942))</f>
        <v>Rosario</v>
      </c>
      <c r="J1942" s="61" t="str">
        <f aca="false">INDEX(Parametros!$C$95:$C$106,MATCH(TRIM(INDEX(Datos_Origen!$E$2:$E$2459,$Z1942)),Parametros!$B$95:$B$106,0))</f>
        <v>Tienda fisica</v>
      </c>
      <c r="K1942" s="61" t="str">
        <f aca="false">INDEX(Parametros!$C$48:$C$67,MATCH(TRIM(INDEX(Datos_Origen!$F$2:$F$2459,$Z1942)),Parametros!$B$48:$B$67,0))</f>
        <v>Computacion</v>
      </c>
      <c r="L1942" s="61" t="str">
        <f aca="false">$K1942&amp;" "&amp;$C1942</f>
        <v>Computacion 2025</v>
      </c>
      <c r="M1942" s="61" t="str">
        <f aca="false">TRIM(INDEX(Datos_Origen!$G$2:$G$2459,$Z1942))</f>
        <v>Laptop Pro 15</v>
      </c>
      <c r="N1942" s="61" t="str">
        <f aca="false">$M1942&amp;" "&amp;$C1942</f>
        <v>Laptop Pro 15 2025</v>
      </c>
      <c r="O1942" s="63" t="n">
        <f aca="false">IF(ISTEXT($AC1942),VALUE($AC1942),$AC1942)</f>
        <v>9</v>
      </c>
      <c r="P1942" s="64" t="n">
        <f aca="false">INDEX(Datos_Origen!$I$2:$I$2459,$Z1942)</f>
        <v>1204.74</v>
      </c>
      <c r="Q1942" s="64" t="n">
        <f aca="false">INDEX(Datos_Origen!$J$2:$J$2459,$Z1942)</f>
        <v>766.32</v>
      </c>
      <c r="R1942" s="65" t="n">
        <f aca="false">ROUND($O1942*$P1942,2)</f>
        <v>10842.66</v>
      </c>
      <c r="S1942" s="65" t="n">
        <f aca="false">ROUND($O1942*$Q1942,2)</f>
        <v>6896.88</v>
      </c>
      <c r="T1942" s="65" t="n">
        <f aca="false">ROUND($R1942*SUMIFS(Parametros!$E$28:$E$43,Parametros!$B$28:$B$43,$J1942,Parametros!$C$28:$C$43,$C1942,Parametros!$D$28:$D$43,$D1942),2)</f>
        <v>140.95</v>
      </c>
      <c r="U1942" s="65" t="n">
        <f aca="false">$R1942-$S1942-$T1942</f>
        <v>3804.83</v>
      </c>
      <c r="V1942" s="66" t="n">
        <f aca="false">IFERROR($U1942/$R1942,0)</f>
        <v>0.350912967851062</v>
      </c>
      <c r="W1942" s="67" t="str">
        <f aca="false">IF(AND($V1942&gt;=Parametros!$C$8,$R1942&gt;=Parametros!$C$12),"Alta rentabilidad",IF(OR($V1942&lt;Parametros!$C$11,$R1942&lt;Parametros!$C$13),"Revisar","Estandar"))</f>
        <v>Alta rentabilidad</v>
      </c>
      <c r="X1942" s="67" t="str">
        <f aca="false">IF(AND($J1942="E-commerce",IFERROR($T1942/$R1942,0)&gt;Parametros!$C$14),"Alerta","OK")</f>
        <v>OK</v>
      </c>
      <c r="Y1942" s="61" t="str">
        <f aca="false">IF($R1942&gt;=Parametros!$C$12,"Alto",IF($R1942&lt;Parametros!$C$13,"Bajo","Medio"))</f>
        <v>Alto</v>
      </c>
      <c r="Z1942" s="61" t="n">
        <v>1044</v>
      </c>
      <c r="AA1942" s="61" t="str">
        <f aca="false">IF(MATCH($A1942,Datos_Origen!$A$2:$A$2459,0)=$Z1942,"OK","REVISAR")</f>
        <v>OK</v>
      </c>
      <c r="AB1942" s="61" t="str">
        <f aca="false">INDEX(Datos_Origen!$B$2:$B$2459,$Z1942)</f>
        <v>07/08/2025</v>
      </c>
      <c r="AC1942" s="61" t="n">
        <f aca="false">INDEX(Datos_Origen!$H$2:$H$2459,$Z1942)</f>
        <v>9</v>
      </c>
      <c r="AD1942" s="61" t="str">
        <f aca="false">INDEX(Datos_Origen!$D$2:$D$2459,$Z1942)&amp;""</f>
        <v>Rosario</v>
      </c>
    </row>
    <row r="1943" customFormat="false" ht="15" hidden="false" customHeight="false" outlineLevel="0" collapsed="false">
      <c r="A1943" s="61" t="n">
        <f aca="false">INDEX(Datos_Origen!$A$2:$A$2459,$Z1943)</f>
        <v>1942</v>
      </c>
      <c r="B1943" s="62" t="n">
        <f aca="false">IF(ISNUMBER($AB1943),$AB1943,IF(MID($AB1943,5,1)="-",DATE(VALUE(LEFT($AB1943,4)),VALUE(MID($AB1943,6,2)),VALUE(RIGHT($AB1943,2))),DATE(VALUE(RIGHT($AB1943,4)),VALUE(MID($AB1943,4,2)),VALUE(LEFT($AB1943,2)))))</f>
        <v>45883</v>
      </c>
      <c r="C1943" s="61" t="n">
        <f aca="false">YEAR($B1943)</f>
        <v>2025</v>
      </c>
      <c r="D1943" s="61" t="str">
        <f aca="false">"Q"&amp;ROUNDUP(MONTH($B1943)/3,0)</f>
        <v>Q3</v>
      </c>
      <c r="E1943" s="61" t="n">
        <f aca="false">MONTH($B1943)</f>
        <v>8</v>
      </c>
      <c r="F1943" s="61" t="str">
        <f aca="false">INDEX(Parametros!$I$5:$I$16,$E1943)</f>
        <v>Ago</v>
      </c>
      <c r="G1943" s="61" t="str">
        <f aca="false">TEXT($C1943,"0000")&amp;"-"&amp;TEXT($E1943,"00")</f>
        <v>2025-08</v>
      </c>
      <c r="H1943" s="61" t="str">
        <f aca="false">INDEX(Parametros!$C$71:$C$91,MATCH(TRIM(INDEX(Datos_Origen!$C$2:$C$2459,$Z1943)),Parametros!$B$71:$B$91,0))</f>
        <v>Litoral</v>
      </c>
      <c r="I1943" s="61" t="str">
        <f aca="false">IF(TRIM($AD1943)="",INDEX(Parametros!$I$20:$I$24,MATCH($H1943,Parametros!$H$20:$H$24,0)),TRIM($AD1943))</f>
        <v>Rosario</v>
      </c>
      <c r="J1943" s="61" t="str">
        <f aca="false">INDEX(Parametros!$C$95:$C$106,MATCH(TRIM(INDEX(Datos_Origen!$E$2:$E$2459,$Z1943)),Parametros!$B$95:$B$106,0))</f>
        <v>E-commerce</v>
      </c>
      <c r="K1943" s="61" t="str">
        <f aca="false">INDEX(Parametros!$C$48:$C$67,MATCH(TRIM(INDEX(Datos_Origen!$F$2:$F$2459,$Z1943)),Parametros!$B$48:$B$67,0))</f>
        <v>Computacion</v>
      </c>
      <c r="L1943" s="61" t="str">
        <f aca="false">$K1943&amp;" "&amp;$C1943</f>
        <v>Computacion 2025</v>
      </c>
      <c r="M1943" s="61" t="str">
        <f aca="false">TRIM(INDEX(Datos_Origen!$G$2:$G$2459,$Z1943))</f>
        <v>Laptop Pro 15</v>
      </c>
      <c r="N1943" s="61" t="str">
        <f aca="false">$M1943&amp;" "&amp;$C1943</f>
        <v>Laptop Pro 15 2025</v>
      </c>
      <c r="O1943" s="63" t="n">
        <f aca="false">IF(ISTEXT($AC1943),VALUE($AC1943),$AC1943)</f>
        <v>6</v>
      </c>
      <c r="P1943" s="64" t="n">
        <f aca="false">INDEX(Datos_Origen!$I$2:$I$2459,$Z1943)</f>
        <v>1204.74</v>
      </c>
      <c r="Q1943" s="64" t="n">
        <f aca="false">INDEX(Datos_Origen!$J$2:$J$2459,$Z1943)</f>
        <v>766.32</v>
      </c>
      <c r="R1943" s="65" t="n">
        <f aca="false">ROUND($O1943*$P1943,2)</f>
        <v>7228.44</v>
      </c>
      <c r="S1943" s="65" t="n">
        <f aca="false">ROUND($O1943*$Q1943,2)</f>
        <v>4597.92</v>
      </c>
      <c r="T1943" s="65" t="n">
        <f aca="false">ROUND($R1943*SUMIFS(Parametros!$E$28:$E$43,Parametros!$B$28:$B$43,$J1943,Parametros!$C$28:$C$43,$C1943,Parametros!$D$28:$D$43,$D1943),2)</f>
        <v>404.79</v>
      </c>
      <c r="U1943" s="65" t="n">
        <f aca="false">$R1943-$S1943-$T1943</f>
        <v>2225.73</v>
      </c>
      <c r="V1943" s="66" t="n">
        <f aca="false">IFERROR($U1943/$R1943,0)</f>
        <v>0.307912910669522</v>
      </c>
      <c r="W1943" s="67" t="str">
        <f aca="false">IF(AND($V1943&gt;=Parametros!$C$8,$R1943&gt;=Parametros!$C$12),"Alta rentabilidad",IF(OR($V1943&lt;Parametros!$C$11,$R1943&lt;Parametros!$C$13),"Revisar","Estandar"))</f>
        <v>Estandar</v>
      </c>
      <c r="X1943" s="67" t="str">
        <f aca="false">IF(AND($J1943="E-commerce",IFERROR($T1943/$R1943,0)&gt;Parametros!$C$14),"Alerta","OK")</f>
        <v>Alerta</v>
      </c>
      <c r="Y1943" s="61" t="str">
        <f aca="false">IF($R1943&gt;=Parametros!$C$12,"Alto",IF($R1943&lt;Parametros!$C$13,"Bajo","Medio"))</f>
        <v>Alto</v>
      </c>
      <c r="Z1943" s="61" t="n">
        <v>345</v>
      </c>
      <c r="AA1943" s="61" t="str">
        <f aca="false">IF(MATCH($A1943,Datos_Origen!$A$2:$A$2459,0)=$Z1943,"OK","REVISAR")</f>
        <v>OK</v>
      </c>
      <c r="AB1943" s="62" t="n">
        <f aca="false">INDEX(Datos_Origen!$B$2:$B$2459,$Z1943)</f>
        <v>45883</v>
      </c>
      <c r="AC1943" s="61" t="n">
        <f aca="false">INDEX(Datos_Origen!$H$2:$H$2459,$Z1943)</f>
        <v>6</v>
      </c>
      <c r="AD1943" s="61" t="str">
        <f aca="false">INDEX(Datos_Origen!$D$2:$D$2459,$Z1943)&amp;""</f>
        <v>Rosario</v>
      </c>
    </row>
    <row r="1944" customFormat="false" ht="15" hidden="false" customHeight="false" outlineLevel="0" collapsed="false">
      <c r="A1944" s="61" t="n">
        <f aca="false">INDEX(Datos_Origen!$A$2:$A$2459,$Z1944)</f>
        <v>1943</v>
      </c>
      <c r="B1944" s="62" t="n">
        <f aca="false">IF(ISNUMBER($AB1944),$AB1944,IF(MID($AB1944,5,1)="-",DATE(VALUE(LEFT($AB1944,4)),VALUE(MID($AB1944,6,2)),VALUE(RIGHT($AB1944,2))),DATE(VALUE(RIGHT($AB1944,4)),VALUE(MID($AB1944,4,2)),VALUE(LEFT($AB1944,2)))))</f>
        <v>45890</v>
      </c>
      <c r="C1944" s="61" t="n">
        <f aca="false">YEAR($B1944)</f>
        <v>2025</v>
      </c>
      <c r="D1944" s="61" t="str">
        <f aca="false">"Q"&amp;ROUNDUP(MONTH($B1944)/3,0)</f>
        <v>Q3</v>
      </c>
      <c r="E1944" s="61" t="n">
        <f aca="false">MONTH($B1944)</f>
        <v>8</v>
      </c>
      <c r="F1944" s="61" t="str">
        <f aca="false">INDEX(Parametros!$I$5:$I$16,$E1944)</f>
        <v>Ago</v>
      </c>
      <c r="G1944" s="61" t="str">
        <f aca="false">TEXT($C1944,"0000")&amp;"-"&amp;TEXT($E1944,"00")</f>
        <v>2025-08</v>
      </c>
      <c r="H1944" s="61" t="str">
        <f aca="false">INDEX(Parametros!$C$71:$C$91,MATCH(TRIM(INDEX(Datos_Origen!$C$2:$C$2459,$Z1944)),Parametros!$B$71:$B$91,0))</f>
        <v>Litoral</v>
      </c>
      <c r="I1944" s="61" t="str">
        <f aca="false">IF(TRIM($AD1944)="",INDEX(Parametros!$I$20:$I$24,MATCH($H1944,Parametros!$H$20:$H$24,0)),TRIM($AD1944))</f>
        <v>Rosario</v>
      </c>
      <c r="J1944" s="61" t="str">
        <f aca="false">INDEX(Parametros!$C$95:$C$106,MATCH(TRIM(INDEX(Datos_Origen!$E$2:$E$2459,$Z1944)),Parametros!$B$95:$B$106,0))</f>
        <v>Tienda fisica</v>
      </c>
      <c r="K1944" s="61" t="str">
        <f aca="false">INDEX(Parametros!$C$48:$C$67,MATCH(TRIM(INDEX(Datos_Origen!$F$2:$F$2459,$Z1944)),Parametros!$B$48:$B$67,0))</f>
        <v>Computacion</v>
      </c>
      <c r="L1944" s="61" t="str">
        <f aca="false">$K1944&amp;" "&amp;$C1944</f>
        <v>Computacion 2025</v>
      </c>
      <c r="M1944" s="61" t="str">
        <f aca="false">TRIM(INDEX(Datos_Origen!$G$2:$G$2459,$Z1944))</f>
        <v>Monitor 4K 27</v>
      </c>
      <c r="N1944" s="61" t="str">
        <f aca="false">$M1944&amp;" "&amp;$C1944</f>
        <v>Monitor 4K 27 2025</v>
      </c>
      <c r="O1944" s="63" t="n">
        <f aca="false">IF(ISTEXT($AC1944),VALUE($AC1944),$AC1944)</f>
        <v>9</v>
      </c>
      <c r="P1944" s="64" t="n">
        <f aca="false">INDEX(Datos_Origen!$I$2:$I$2459,$Z1944)</f>
        <v>451.78</v>
      </c>
      <c r="Q1944" s="64" t="n">
        <f aca="false">INDEX(Datos_Origen!$J$2:$J$2459,$Z1944)</f>
        <v>280.42</v>
      </c>
      <c r="R1944" s="65" t="n">
        <f aca="false">ROUND($O1944*$P1944,2)</f>
        <v>4066.02</v>
      </c>
      <c r="S1944" s="65" t="n">
        <f aca="false">ROUND($O1944*$Q1944,2)</f>
        <v>2523.78</v>
      </c>
      <c r="T1944" s="65" t="n">
        <f aca="false">ROUND($R1944*SUMIFS(Parametros!$E$28:$E$43,Parametros!$B$28:$B$43,$J1944,Parametros!$C$28:$C$43,$C1944,Parametros!$D$28:$D$43,$D1944),2)</f>
        <v>52.86</v>
      </c>
      <c r="U1944" s="65" t="n">
        <f aca="false">$R1944-$S1944-$T1944</f>
        <v>1489.38</v>
      </c>
      <c r="V1944" s="66" t="n">
        <f aca="false">IFERROR($U1944/$R1944,0)</f>
        <v>0.366299231189222</v>
      </c>
      <c r="W1944" s="67" t="str">
        <f aca="false">IF(AND($V1944&gt;=Parametros!$C$8,$R1944&gt;=Parametros!$C$12),"Alta rentabilidad",IF(OR($V1944&lt;Parametros!$C$11,$R1944&lt;Parametros!$C$13),"Revisar","Estandar"))</f>
        <v>Alta rentabilidad</v>
      </c>
      <c r="X1944" s="67" t="str">
        <f aca="false">IF(AND($J1944="E-commerce",IFERROR($T1944/$R1944,0)&gt;Parametros!$C$14),"Alerta","OK")</f>
        <v>OK</v>
      </c>
      <c r="Y1944" s="61" t="str">
        <f aca="false">IF($R1944&gt;=Parametros!$C$12,"Alto",IF($R1944&lt;Parametros!$C$13,"Bajo","Medio"))</f>
        <v>Alto</v>
      </c>
      <c r="Z1944" s="61" t="n">
        <v>267</v>
      </c>
      <c r="AA1944" s="61" t="str">
        <f aca="false">IF(MATCH($A1944,Datos_Origen!$A$2:$A$2459,0)=$Z1944,"OK","REVISAR")</f>
        <v>OK</v>
      </c>
      <c r="AB1944" s="61" t="str">
        <f aca="false">INDEX(Datos_Origen!$B$2:$B$2459,$Z1944)</f>
        <v>21/08/2025</v>
      </c>
      <c r="AC1944" s="61" t="n">
        <f aca="false">INDEX(Datos_Origen!$H$2:$H$2459,$Z1944)</f>
        <v>9</v>
      </c>
      <c r="AD1944" s="61" t="str">
        <f aca="false">INDEX(Datos_Origen!$D$2:$D$2459,$Z1944)&amp;""</f>
        <v>Rosario</v>
      </c>
    </row>
    <row r="1945" customFormat="false" ht="15" hidden="false" customHeight="false" outlineLevel="0" collapsed="false">
      <c r="A1945" s="61" t="n">
        <f aca="false">INDEX(Datos_Origen!$A$2:$A$2459,$Z1945)</f>
        <v>1944</v>
      </c>
      <c r="B1945" s="62" t="n">
        <f aca="false">IF(ISNUMBER($AB1945),$AB1945,IF(MID($AB1945,5,1)="-",DATE(VALUE(LEFT($AB1945,4)),VALUE(MID($AB1945,6,2)),VALUE(RIGHT($AB1945,2))),DATE(VALUE(RIGHT($AB1945,4)),VALUE(MID($AB1945,4,2)),VALUE(LEFT($AB1945,2)))))</f>
        <v>45870</v>
      </c>
      <c r="C1945" s="61" t="n">
        <f aca="false">YEAR($B1945)</f>
        <v>2025</v>
      </c>
      <c r="D1945" s="61" t="str">
        <f aca="false">"Q"&amp;ROUNDUP(MONTH($B1945)/3,0)</f>
        <v>Q3</v>
      </c>
      <c r="E1945" s="61" t="n">
        <f aca="false">MONTH($B1945)</f>
        <v>8</v>
      </c>
      <c r="F1945" s="61" t="str">
        <f aca="false">INDEX(Parametros!$I$5:$I$16,$E1945)</f>
        <v>Ago</v>
      </c>
      <c r="G1945" s="61" t="str">
        <f aca="false">TEXT($C1945,"0000")&amp;"-"&amp;TEXT($E1945,"00")</f>
        <v>2025-08</v>
      </c>
      <c r="H1945" s="61" t="str">
        <f aca="false">INDEX(Parametros!$C$71:$C$91,MATCH(TRIM(INDEX(Datos_Origen!$C$2:$C$2459,$Z1945)),Parametros!$B$71:$B$91,0))</f>
        <v>Litoral</v>
      </c>
      <c r="I1945" s="61" t="str">
        <f aca="false">IF(TRIM($AD1945)="",INDEX(Parametros!$I$20:$I$24,MATCH($H1945,Parametros!$H$20:$H$24,0)),TRIM($AD1945))</f>
        <v>Rosario</v>
      </c>
      <c r="J1945" s="61" t="str">
        <f aca="false">INDEX(Parametros!$C$95:$C$106,MATCH(TRIM(INDEX(Datos_Origen!$E$2:$E$2459,$Z1945)),Parametros!$B$95:$B$106,0))</f>
        <v>E-commerce</v>
      </c>
      <c r="K1945" s="61" t="str">
        <f aca="false">INDEX(Parametros!$C$48:$C$67,MATCH(TRIM(INDEX(Datos_Origen!$F$2:$F$2459,$Z1945)),Parametros!$B$48:$B$67,0))</f>
        <v>Computacion</v>
      </c>
      <c r="L1945" s="61" t="str">
        <f aca="false">$K1945&amp;" "&amp;$C1945</f>
        <v>Computacion 2025</v>
      </c>
      <c r="M1945" s="61" t="str">
        <f aca="false">TRIM(INDEX(Datos_Origen!$G$2:$G$2459,$Z1945))</f>
        <v>Monitor 4K 27</v>
      </c>
      <c r="N1945" s="61" t="str">
        <f aca="false">$M1945&amp;" "&amp;$C1945</f>
        <v>Monitor 4K 27 2025</v>
      </c>
      <c r="O1945" s="63" t="n">
        <f aca="false">IF(ISTEXT($AC1945),VALUE($AC1945),$AC1945)</f>
        <v>6</v>
      </c>
      <c r="P1945" s="64" t="n">
        <f aca="false">INDEX(Datos_Origen!$I$2:$I$2459,$Z1945)</f>
        <v>451.78</v>
      </c>
      <c r="Q1945" s="64" t="n">
        <f aca="false">INDEX(Datos_Origen!$J$2:$J$2459,$Z1945)</f>
        <v>280.42</v>
      </c>
      <c r="R1945" s="65" t="n">
        <f aca="false">ROUND($O1945*$P1945,2)</f>
        <v>2710.68</v>
      </c>
      <c r="S1945" s="65" t="n">
        <f aca="false">ROUND($O1945*$Q1945,2)</f>
        <v>1682.52</v>
      </c>
      <c r="T1945" s="65" t="n">
        <f aca="false">ROUND($R1945*SUMIFS(Parametros!$E$28:$E$43,Parametros!$B$28:$B$43,$J1945,Parametros!$C$28:$C$43,$C1945,Parametros!$D$28:$D$43,$D1945),2)</f>
        <v>151.8</v>
      </c>
      <c r="U1945" s="65" t="n">
        <f aca="false">$R1945-$S1945-$T1945</f>
        <v>876.36</v>
      </c>
      <c r="V1945" s="66" t="n">
        <f aca="false">IFERROR($U1945/$R1945,0)</f>
        <v>0.323298950816769</v>
      </c>
      <c r="W1945" s="67" t="str">
        <f aca="false">IF(AND($V1945&gt;=Parametros!$C$8,$R1945&gt;=Parametros!$C$12),"Alta rentabilidad",IF(OR($V1945&lt;Parametros!$C$11,$R1945&lt;Parametros!$C$13),"Revisar","Estandar"))</f>
        <v>Estandar</v>
      </c>
      <c r="X1945" s="67" t="str">
        <f aca="false">IF(AND($J1945="E-commerce",IFERROR($T1945/$R1945,0)&gt;Parametros!$C$14),"Alerta","OK")</f>
        <v>Alerta</v>
      </c>
      <c r="Y1945" s="61" t="str">
        <f aca="false">IF($R1945&gt;=Parametros!$C$12,"Alto",IF($R1945&lt;Parametros!$C$13,"Bajo","Medio"))</f>
        <v>Medio</v>
      </c>
      <c r="Z1945" s="61" t="n">
        <v>899</v>
      </c>
      <c r="AA1945" s="61" t="str">
        <f aca="false">IF(MATCH($A1945,Datos_Origen!$A$2:$A$2459,0)=$Z1945,"OK","REVISAR")</f>
        <v>OK</v>
      </c>
      <c r="AB1945" s="62" t="n">
        <f aca="false">INDEX(Datos_Origen!$B$2:$B$2459,$Z1945)</f>
        <v>45870</v>
      </c>
      <c r="AC1945" s="61" t="n">
        <f aca="false">INDEX(Datos_Origen!$H$2:$H$2459,$Z1945)</f>
        <v>6</v>
      </c>
      <c r="AD1945" s="61" t="str">
        <f aca="false">INDEX(Datos_Origen!$D$2:$D$2459,$Z1945)&amp;""</f>
        <v>Rosario</v>
      </c>
    </row>
    <row r="1946" customFormat="false" ht="15" hidden="false" customHeight="false" outlineLevel="0" collapsed="false">
      <c r="A1946" s="61" t="n">
        <f aca="false">INDEX(Datos_Origen!$A$2:$A$2459,$Z1946)</f>
        <v>1945</v>
      </c>
      <c r="B1946" s="62" t="n">
        <f aca="false">IF(ISNUMBER($AB1946),$AB1946,IF(MID($AB1946,5,1)="-",DATE(VALUE(LEFT($AB1946,4)),VALUE(MID($AB1946,6,2)),VALUE(RIGHT($AB1946,2))),DATE(VALUE(RIGHT($AB1946,4)),VALUE(MID($AB1946,4,2)),VALUE(LEFT($AB1946,2)))))</f>
        <v>45877</v>
      </c>
      <c r="C1946" s="61" t="n">
        <f aca="false">YEAR($B1946)</f>
        <v>2025</v>
      </c>
      <c r="D1946" s="61" t="str">
        <f aca="false">"Q"&amp;ROUNDUP(MONTH($B1946)/3,0)</f>
        <v>Q3</v>
      </c>
      <c r="E1946" s="61" t="n">
        <f aca="false">MONTH($B1946)</f>
        <v>8</v>
      </c>
      <c r="F1946" s="61" t="str">
        <f aca="false">INDEX(Parametros!$I$5:$I$16,$E1946)</f>
        <v>Ago</v>
      </c>
      <c r="G1946" s="61" t="str">
        <f aca="false">TEXT($C1946,"0000")&amp;"-"&amp;TEXT($E1946,"00")</f>
        <v>2025-08</v>
      </c>
      <c r="H1946" s="61" t="str">
        <f aca="false">INDEX(Parametros!$C$71:$C$91,MATCH(TRIM(INDEX(Datos_Origen!$C$2:$C$2459,$Z1946)),Parametros!$B$71:$B$91,0))</f>
        <v>Litoral</v>
      </c>
      <c r="I1946" s="61" t="str">
        <f aca="false">IF(TRIM($AD1946)="",INDEX(Parametros!$I$20:$I$24,MATCH($H1946,Parametros!$H$20:$H$24,0)),TRIM($AD1946))</f>
        <v>Rosario</v>
      </c>
      <c r="J1946" s="61" t="str">
        <f aca="false">INDEX(Parametros!$C$95:$C$106,MATCH(TRIM(INDEX(Datos_Origen!$E$2:$E$2459,$Z1946)),Parametros!$B$95:$B$106,0))</f>
        <v>Tienda fisica</v>
      </c>
      <c r="K1946" s="61" t="str">
        <f aca="false">INDEX(Parametros!$C$48:$C$67,MATCH(TRIM(INDEX(Datos_Origen!$F$2:$F$2459,$Z1946)),Parametros!$B$48:$B$67,0))</f>
        <v>Computacion</v>
      </c>
      <c r="L1946" s="61" t="str">
        <f aca="false">$K1946&amp;" "&amp;$C1946</f>
        <v>Computacion 2025</v>
      </c>
      <c r="M1946" s="61" t="str">
        <f aca="false">TRIM(INDEX(Datos_Origen!$G$2:$G$2459,$Z1946))</f>
        <v>PC Gamer Ryzen</v>
      </c>
      <c r="N1946" s="61" t="str">
        <f aca="false">$M1946&amp;" "&amp;$C1946</f>
        <v>PC Gamer Ryzen 2025</v>
      </c>
      <c r="O1946" s="63" t="n">
        <f aca="false">IF(ISTEXT($AC1946),VALUE($AC1946),$AC1946)</f>
        <v>10</v>
      </c>
      <c r="P1946" s="64" t="n">
        <f aca="false">INDEX(Datos_Origen!$I$2:$I$2459,$Z1946)</f>
        <v>1656.52</v>
      </c>
      <c r="Q1946" s="64" t="n">
        <f aca="false">INDEX(Datos_Origen!$J$2:$J$2459,$Z1946)</f>
        <v>1155.66</v>
      </c>
      <c r="R1946" s="65" t="n">
        <f aca="false">ROUND($O1946*$P1946,2)</f>
        <v>16565.2</v>
      </c>
      <c r="S1946" s="65" t="n">
        <f aca="false">ROUND($O1946*$Q1946,2)</f>
        <v>11556.6</v>
      </c>
      <c r="T1946" s="65" t="n">
        <f aca="false">ROUND($R1946*SUMIFS(Parametros!$E$28:$E$43,Parametros!$B$28:$B$43,$J1946,Parametros!$C$28:$C$43,$C1946,Parametros!$D$28:$D$43,$D1946),2)</f>
        <v>215.35</v>
      </c>
      <c r="U1946" s="65" t="n">
        <f aca="false">$R1946-$S1946-$T1946</f>
        <v>4793.25</v>
      </c>
      <c r="V1946" s="66" t="n">
        <f aca="false">IFERROR($U1946/$R1946,0)</f>
        <v>0.289356602999058</v>
      </c>
      <c r="W1946" s="67" t="str">
        <f aca="false">IF(AND($V1946&gt;=Parametros!$C$8,$R1946&gt;=Parametros!$C$12),"Alta rentabilidad",IF(OR($V1946&lt;Parametros!$C$11,$R1946&lt;Parametros!$C$13),"Revisar","Estandar"))</f>
        <v>Estandar</v>
      </c>
      <c r="X1946" s="67" t="str">
        <f aca="false">IF(AND($J1946="E-commerce",IFERROR($T1946/$R1946,0)&gt;Parametros!$C$14),"Alerta","OK")</f>
        <v>OK</v>
      </c>
      <c r="Y1946" s="61" t="str">
        <f aca="false">IF($R1946&gt;=Parametros!$C$12,"Alto",IF($R1946&lt;Parametros!$C$13,"Bajo","Medio"))</f>
        <v>Alto</v>
      </c>
      <c r="Z1946" s="61" t="n">
        <v>1896</v>
      </c>
      <c r="AA1946" s="61" t="str">
        <f aca="false">IF(MATCH($A1946,Datos_Origen!$A$2:$A$2459,0)=$Z1946,"OK","REVISAR")</f>
        <v>OK</v>
      </c>
      <c r="AB1946" s="62" t="n">
        <f aca="false">INDEX(Datos_Origen!$B$2:$B$2459,$Z1946)</f>
        <v>45877</v>
      </c>
      <c r="AC1946" s="61" t="n">
        <f aca="false">INDEX(Datos_Origen!$H$2:$H$2459,$Z1946)</f>
        <v>10</v>
      </c>
      <c r="AD1946" s="61" t="str">
        <f aca="false">INDEX(Datos_Origen!$D$2:$D$2459,$Z1946)&amp;""</f>
        <v>Rosario</v>
      </c>
    </row>
    <row r="1947" customFormat="false" ht="15" hidden="false" customHeight="false" outlineLevel="0" collapsed="false">
      <c r="A1947" s="61" t="n">
        <f aca="false">INDEX(Datos_Origen!$A$2:$A$2459,$Z1947)</f>
        <v>1946</v>
      </c>
      <c r="B1947" s="62" t="n">
        <f aca="false">IF(ISNUMBER($AB1947),$AB1947,IF(MID($AB1947,5,1)="-",DATE(VALUE(LEFT($AB1947,4)),VALUE(MID($AB1947,6,2)),VALUE(RIGHT($AB1947,2))),DATE(VALUE(RIGHT($AB1947,4)),VALUE(MID($AB1947,4,2)),VALUE(LEFT($AB1947,2)))))</f>
        <v>45884</v>
      </c>
      <c r="C1947" s="61" t="n">
        <f aca="false">YEAR($B1947)</f>
        <v>2025</v>
      </c>
      <c r="D1947" s="61" t="str">
        <f aca="false">"Q"&amp;ROUNDUP(MONTH($B1947)/3,0)</f>
        <v>Q3</v>
      </c>
      <c r="E1947" s="61" t="n">
        <f aca="false">MONTH($B1947)</f>
        <v>8</v>
      </c>
      <c r="F1947" s="61" t="str">
        <f aca="false">INDEX(Parametros!$I$5:$I$16,$E1947)</f>
        <v>Ago</v>
      </c>
      <c r="G1947" s="61" t="str">
        <f aca="false">TEXT($C1947,"0000")&amp;"-"&amp;TEXT($E1947,"00")</f>
        <v>2025-08</v>
      </c>
      <c r="H1947" s="61" t="str">
        <f aca="false">INDEX(Parametros!$C$71:$C$91,MATCH(TRIM(INDEX(Datos_Origen!$C$2:$C$2459,$Z1947)),Parametros!$B$71:$B$91,0))</f>
        <v>Litoral</v>
      </c>
      <c r="I1947" s="61" t="str">
        <f aca="false">IF(TRIM($AD1947)="",INDEX(Parametros!$I$20:$I$24,MATCH($H1947,Parametros!$H$20:$H$24,0)),TRIM($AD1947))</f>
        <v>Rosario</v>
      </c>
      <c r="J1947" s="61" t="str">
        <f aca="false">INDEX(Parametros!$C$95:$C$106,MATCH(TRIM(INDEX(Datos_Origen!$E$2:$E$2459,$Z1947)),Parametros!$B$95:$B$106,0))</f>
        <v>E-commerce</v>
      </c>
      <c r="K1947" s="61" t="str">
        <f aca="false">INDEX(Parametros!$C$48:$C$67,MATCH(TRIM(INDEX(Datos_Origen!$F$2:$F$2459,$Z1947)),Parametros!$B$48:$B$67,0))</f>
        <v>Computacion</v>
      </c>
      <c r="L1947" s="61" t="str">
        <f aca="false">$K1947&amp;" "&amp;$C1947</f>
        <v>Computacion 2025</v>
      </c>
      <c r="M1947" s="61" t="str">
        <f aca="false">TRIM(INDEX(Datos_Origen!$G$2:$G$2459,$Z1947))</f>
        <v>PC Gamer Ryzen</v>
      </c>
      <c r="N1947" s="61" t="str">
        <f aca="false">$M1947&amp;" "&amp;$C1947</f>
        <v>PC Gamer Ryzen 2025</v>
      </c>
      <c r="O1947" s="63" t="n">
        <f aca="false">IF(ISTEXT($AC1947),VALUE($AC1947),$AC1947)</f>
        <v>5</v>
      </c>
      <c r="P1947" s="64" t="n">
        <f aca="false">INDEX(Datos_Origen!$I$2:$I$2459,$Z1947)</f>
        <v>1656.52</v>
      </c>
      <c r="Q1947" s="64" t="n">
        <f aca="false">INDEX(Datos_Origen!$J$2:$J$2459,$Z1947)</f>
        <v>1155.66</v>
      </c>
      <c r="R1947" s="65" t="n">
        <f aca="false">ROUND($O1947*$P1947,2)</f>
        <v>8282.6</v>
      </c>
      <c r="S1947" s="65" t="n">
        <f aca="false">ROUND($O1947*$Q1947,2)</f>
        <v>5778.3</v>
      </c>
      <c r="T1947" s="65" t="n">
        <f aca="false">ROUND($R1947*SUMIFS(Parametros!$E$28:$E$43,Parametros!$B$28:$B$43,$J1947,Parametros!$C$28:$C$43,$C1947,Parametros!$D$28:$D$43,$D1947),2)</f>
        <v>463.83</v>
      </c>
      <c r="U1947" s="65" t="n">
        <f aca="false">$R1947-$S1947-$T1947</f>
        <v>2040.47</v>
      </c>
      <c r="V1947" s="66" t="n">
        <f aca="false">IFERROR($U1947/$R1947,0)</f>
        <v>0.246356216646947</v>
      </c>
      <c r="W1947" s="67" t="str">
        <f aca="false">IF(AND($V1947&gt;=Parametros!$C$8,$R1947&gt;=Parametros!$C$12),"Alta rentabilidad",IF(OR($V1947&lt;Parametros!$C$11,$R1947&lt;Parametros!$C$13),"Revisar","Estandar"))</f>
        <v>Revisar</v>
      </c>
      <c r="X1947" s="67" t="str">
        <f aca="false">IF(AND($J1947="E-commerce",IFERROR($T1947/$R1947,0)&gt;Parametros!$C$14),"Alerta","OK")</f>
        <v>Alerta</v>
      </c>
      <c r="Y1947" s="61" t="str">
        <f aca="false">IF($R1947&gt;=Parametros!$C$12,"Alto",IF($R1947&lt;Parametros!$C$13,"Bajo","Medio"))</f>
        <v>Alto</v>
      </c>
      <c r="Z1947" s="61" t="n">
        <v>1504</v>
      </c>
      <c r="AA1947" s="61" t="str">
        <f aca="false">IF(MATCH($A1947,Datos_Origen!$A$2:$A$2459,0)=$Z1947,"OK","REVISAR")</f>
        <v>OK</v>
      </c>
      <c r="AB1947" s="61" t="str">
        <f aca="false">INDEX(Datos_Origen!$B$2:$B$2459,$Z1947)</f>
        <v>15/08/2025</v>
      </c>
      <c r="AC1947" s="61" t="n">
        <f aca="false">INDEX(Datos_Origen!$H$2:$H$2459,$Z1947)</f>
        <v>5</v>
      </c>
      <c r="AD1947" s="61" t="str">
        <f aca="false">INDEX(Datos_Origen!$D$2:$D$2459,$Z1947)&amp;""</f>
        <v>Rosario</v>
      </c>
    </row>
    <row r="1948" customFormat="false" ht="15" hidden="false" customHeight="false" outlineLevel="0" collapsed="false">
      <c r="A1948" s="61" t="n">
        <f aca="false">INDEX(Datos_Origen!$A$2:$A$2459,$Z1948)</f>
        <v>1947</v>
      </c>
      <c r="B1948" s="62" t="n">
        <f aca="false">IF(ISNUMBER($AB1948),$AB1948,IF(MID($AB1948,5,1)="-",DATE(VALUE(LEFT($AB1948,4)),VALUE(MID($AB1948,6,2)),VALUE(RIGHT($AB1948,2))),DATE(VALUE(RIGHT($AB1948,4)),VALUE(MID($AB1948,4,2)),VALUE(LEFT($AB1948,2)))))</f>
        <v>45891</v>
      </c>
      <c r="C1948" s="61" t="n">
        <f aca="false">YEAR($B1948)</f>
        <v>2025</v>
      </c>
      <c r="D1948" s="61" t="str">
        <f aca="false">"Q"&amp;ROUNDUP(MONTH($B1948)/3,0)</f>
        <v>Q3</v>
      </c>
      <c r="E1948" s="61" t="n">
        <f aca="false">MONTH($B1948)</f>
        <v>8</v>
      </c>
      <c r="F1948" s="61" t="str">
        <f aca="false">INDEX(Parametros!$I$5:$I$16,$E1948)</f>
        <v>Ago</v>
      </c>
      <c r="G1948" s="61" t="str">
        <f aca="false">TEXT($C1948,"0000")&amp;"-"&amp;TEXT($E1948,"00")</f>
        <v>2025-08</v>
      </c>
      <c r="H1948" s="61" t="str">
        <f aca="false">INDEX(Parametros!$C$71:$C$91,MATCH(TRIM(INDEX(Datos_Origen!$C$2:$C$2459,$Z1948)),Parametros!$B$71:$B$91,0))</f>
        <v>Litoral</v>
      </c>
      <c r="I1948" s="61" t="str">
        <f aca="false">IF(TRIM($AD1948)="",INDEX(Parametros!$I$20:$I$24,MATCH($H1948,Parametros!$H$20:$H$24,0)),TRIM($AD1948))</f>
        <v>Rosario</v>
      </c>
      <c r="J1948" s="61" t="str">
        <f aca="false">INDEX(Parametros!$C$95:$C$106,MATCH(TRIM(INDEX(Datos_Origen!$E$2:$E$2459,$Z1948)),Parametros!$B$95:$B$106,0))</f>
        <v>Tienda fisica</v>
      </c>
      <c r="K1948" s="61" t="str">
        <f aca="false">INDEX(Parametros!$C$48:$C$67,MATCH(TRIM(INDEX(Datos_Origen!$F$2:$F$2459,$Z1948)),Parametros!$B$48:$B$67,0))</f>
        <v>Accesorios</v>
      </c>
      <c r="L1948" s="61" t="str">
        <f aca="false">$K1948&amp;" "&amp;$C1948</f>
        <v>Accesorios 2025</v>
      </c>
      <c r="M1948" s="61" t="str">
        <f aca="false">TRIM(INDEX(Datos_Origen!$G$2:$G$2459,$Z1948))</f>
        <v>Mouse Inalambrico</v>
      </c>
      <c r="N1948" s="61" t="str">
        <f aca="false">$M1948&amp;" "&amp;$C1948</f>
        <v>Mouse Inalambrico 2025</v>
      </c>
      <c r="O1948" s="63" t="n">
        <f aca="false">IF(ISTEXT($AC1948),VALUE($AC1948),$AC1948)</f>
        <v>36</v>
      </c>
      <c r="P1948" s="64" t="n">
        <f aca="false">INDEX(Datos_Origen!$I$2:$I$2459,$Z1948)</f>
        <v>28.11</v>
      </c>
      <c r="Q1948" s="64" t="n">
        <f aca="false">INDEX(Datos_Origen!$J$2:$J$2459,$Z1948)</f>
        <v>13.84</v>
      </c>
      <c r="R1948" s="65" t="n">
        <f aca="false">ROUND($O1948*$P1948,2)</f>
        <v>1011.96</v>
      </c>
      <c r="S1948" s="65" t="n">
        <f aca="false">ROUND($O1948*$Q1948,2)</f>
        <v>498.24</v>
      </c>
      <c r="T1948" s="65" t="n">
        <f aca="false">ROUND($R1948*SUMIFS(Parametros!$E$28:$E$43,Parametros!$B$28:$B$43,$J1948,Parametros!$C$28:$C$43,$C1948,Parametros!$D$28:$D$43,$D1948),2)</f>
        <v>13.16</v>
      </c>
      <c r="U1948" s="65" t="n">
        <f aca="false">$R1948-$S1948-$T1948</f>
        <v>500.56</v>
      </c>
      <c r="V1948" s="66" t="n">
        <f aca="false">IFERROR($U1948/$R1948,0)</f>
        <v>0.494644057077355</v>
      </c>
      <c r="W1948" s="67" t="str">
        <f aca="false">IF(AND($V1948&gt;=Parametros!$C$8,$R1948&gt;=Parametros!$C$12),"Alta rentabilidad",IF(OR($V1948&lt;Parametros!$C$11,$R1948&lt;Parametros!$C$13),"Revisar","Estandar"))</f>
        <v>Estandar</v>
      </c>
      <c r="X1948" s="67" t="str">
        <f aca="false">IF(AND($J1948="E-commerce",IFERROR($T1948/$R1948,0)&gt;Parametros!$C$14),"Alerta","OK")</f>
        <v>OK</v>
      </c>
      <c r="Y1948" s="61" t="str">
        <f aca="false">IF($R1948&gt;=Parametros!$C$12,"Alto",IF($R1948&lt;Parametros!$C$13,"Bajo","Medio"))</f>
        <v>Medio</v>
      </c>
      <c r="Z1948" s="61" t="n">
        <v>2057</v>
      </c>
      <c r="AA1948" s="61" t="str">
        <f aca="false">IF(MATCH($A1948,Datos_Origen!$A$2:$A$2459,0)=$Z1948,"OK","REVISAR")</f>
        <v>OK</v>
      </c>
      <c r="AB1948" s="62" t="n">
        <f aca="false">INDEX(Datos_Origen!$B$2:$B$2459,$Z1948)</f>
        <v>45891</v>
      </c>
      <c r="AC1948" s="61" t="n">
        <f aca="false">INDEX(Datos_Origen!$H$2:$H$2459,$Z1948)</f>
        <v>36</v>
      </c>
      <c r="AD1948" s="61" t="str">
        <f aca="false">INDEX(Datos_Origen!$D$2:$D$2459,$Z1948)&amp;""</f>
        <v>Rosario</v>
      </c>
    </row>
    <row r="1949" customFormat="false" ht="15" hidden="false" customHeight="false" outlineLevel="0" collapsed="false">
      <c r="A1949" s="61" t="n">
        <f aca="false">INDEX(Datos_Origen!$A$2:$A$2459,$Z1949)</f>
        <v>1948</v>
      </c>
      <c r="B1949" s="62" t="n">
        <f aca="false">IF(ISNUMBER($AB1949),$AB1949,IF(MID($AB1949,5,1)="-",DATE(VALUE(LEFT($AB1949,4)),VALUE(MID($AB1949,6,2)),VALUE(RIGHT($AB1949,2))),DATE(VALUE(RIGHT($AB1949,4)),VALUE(MID($AB1949,4,2)),VALUE(LEFT($AB1949,2)))))</f>
        <v>45871</v>
      </c>
      <c r="C1949" s="61" t="n">
        <f aca="false">YEAR($B1949)</f>
        <v>2025</v>
      </c>
      <c r="D1949" s="61" t="str">
        <f aca="false">"Q"&amp;ROUNDUP(MONTH($B1949)/3,0)</f>
        <v>Q3</v>
      </c>
      <c r="E1949" s="61" t="n">
        <f aca="false">MONTH($B1949)</f>
        <v>8</v>
      </c>
      <c r="F1949" s="61" t="str">
        <f aca="false">INDEX(Parametros!$I$5:$I$16,$E1949)</f>
        <v>Ago</v>
      </c>
      <c r="G1949" s="61" t="str">
        <f aca="false">TEXT($C1949,"0000")&amp;"-"&amp;TEXT($E1949,"00")</f>
        <v>2025-08</v>
      </c>
      <c r="H1949" s="61" t="str">
        <f aca="false">INDEX(Parametros!$C$71:$C$91,MATCH(TRIM(INDEX(Datos_Origen!$C$2:$C$2459,$Z1949)),Parametros!$B$71:$B$91,0))</f>
        <v>Litoral</v>
      </c>
      <c r="I1949" s="61" t="str">
        <f aca="false">IF(TRIM($AD1949)="",INDEX(Parametros!$I$20:$I$24,MATCH($H1949,Parametros!$H$20:$H$24,0)),TRIM($AD1949))</f>
        <v>Rosario</v>
      </c>
      <c r="J1949" s="61" t="str">
        <f aca="false">INDEX(Parametros!$C$95:$C$106,MATCH(TRIM(INDEX(Datos_Origen!$E$2:$E$2459,$Z1949)),Parametros!$B$95:$B$106,0))</f>
        <v>E-commerce</v>
      </c>
      <c r="K1949" s="61" t="str">
        <f aca="false">INDEX(Parametros!$C$48:$C$67,MATCH(TRIM(INDEX(Datos_Origen!$F$2:$F$2459,$Z1949)),Parametros!$B$48:$B$67,0))</f>
        <v>Accesorios</v>
      </c>
      <c r="L1949" s="61" t="str">
        <f aca="false">$K1949&amp;" "&amp;$C1949</f>
        <v>Accesorios 2025</v>
      </c>
      <c r="M1949" s="61" t="str">
        <f aca="false">TRIM(INDEX(Datos_Origen!$G$2:$G$2459,$Z1949))</f>
        <v>Mouse Inalambrico</v>
      </c>
      <c r="N1949" s="61" t="str">
        <f aca="false">$M1949&amp;" "&amp;$C1949</f>
        <v>Mouse Inalambrico 2025</v>
      </c>
      <c r="O1949" s="63" t="n">
        <f aca="false">IF(ISTEXT($AC1949),VALUE($AC1949),$AC1949)</f>
        <v>25</v>
      </c>
      <c r="P1949" s="64" t="n">
        <f aca="false">INDEX(Datos_Origen!$I$2:$I$2459,$Z1949)</f>
        <v>28.11</v>
      </c>
      <c r="Q1949" s="64" t="n">
        <f aca="false">INDEX(Datos_Origen!$J$2:$J$2459,$Z1949)</f>
        <v>13.84</v>
      </c>
      <c r="R1949" s="65" t="n">
        <f aca="false">ROUND($O1949*$P1949,2)</f>
        <v>702.75</v>
      </c>
      <c r="S1949" s="65" t="n">
        <f aca="false">ROUND($O1949*$Q1949,2)</f>
        <v>346</v>
      </c>
      <c r="T1949" s="65" t="n">
        <f aca="false">ROUND($R1949*SUMIFS(Parametros!$E$28:$E$43,Parametros!$B$28:$B$43,$J1949,Parametros!$C$28:$C$43,$C1949,Parametros!$D$28:$D$43,$D1949),2)</f>
        <v>39.35</v>
      </c>
      <c r="U1949" s="65" t="n">
        <f aca="false">$R1949-$S1949-$T1949</f>
        <v>317.4</v>
      </c>
      <c r="V1949" s="66" t="n">
        <f aca="false">IFERROR($U1949/$R1949,0)</f>
        <v>0.451654215581644</v>
      </c>
      <c r="W1949" s="67" t="str">
        <f aca="false">IF(AND($V1949&gt;=Parametros!$C$8,$R1949&gt;=Parametros!$C$12),"Alta rentabilidad",IF(OR($V1949&lt;Parametros!$C$11,$R1949&lt;Parametros!$C$13),"Revisar","Estandar"))</f>
        <v>Estandar</v>
      </c>
      <c r="X1949" s="67" t="str">
        <f aca="false">IF(AND($J1949="E-commerce",IFERROR($T1949/$R1949,0)&gt;Parametros!$C$14),"Alerta","OK")</f>
        <v>Alerta</v>
      </c>
      <c r="Y1949" s="61" t="str">
        <f aca="false">IF($R1949&gt;=Parametros!$C$12,"Alto",IF($R1949&lt;Parametros!$C$13,"Bajo","Medio"))</f>
        <v>Medio</v>
      </c>
      <c r="Z1949" s="61" t="n">
        <v>10</v>
      </c>
      <c r="AA1949" s="61" t="str">
        <f aca="false">IF(MATCH($A1949,Datos_Origen!$A$2:$A$2459,0)=$Z1949,"OK","REVISAR")</f>
        <v>OK</v>
      </c>
      <c r="AB1949" s="62" t="n">
        <f aca="false">INDEX(Datos_Origen!$B$2:$B$2459,$Z1949)</f>
        <v>45871</v>
      </c>
      <c r="AC1949" s="61" t="n">
        <f aca="false">INDEX(Datos_Origen!$H$2:$H$2459,$Z1949)</f>
        <v>25</v>
      </c>
      <c r="AD1949" s="61" t="str">
        <f aca="false">INDEX(Datos_Origen!$D$2:$D$2459,$Z1949)&amp;""</f>
        <v>Rosario</v>
      </c>
    </row>
    <row r="1950" customFormat="false" ht="15" hidden="false" customHeight="false" outlineLevel="0" collapsed="false">
      <c r="A1950" s="61" t="n">
        <f aca="false">INDEX(Datos_Origen!$A$2:$A$2459,$Z1950)</f>
        <v>1949</v>
      </c>
      <c r="B1950" s="62" t="n">
        <f aca="false">IF(ISNUMBER($AB1950),$AB1950,IF(MID($AB1950,5,1)="-",DATE(VALUE(LEFT($AB1950,4)),VALUE(MID($AB1950,6,2)),VALUE(RIGHT($AB1950,2))),DATE(VALUE(RIGHT($AB1950,4)),VALUE(MID($AB1950,4,2)),VALUE(LEFT($AB1950,2)))))</f>
        <v>45878</v>
      </c>
      <c r="C1950" s="61" t="n">
        <f aca="false">YEAR($B1950)</f>
        <v>2025</v>
      </c>
      <c r="D1950" s="61" t="str">
        <f aca="false">"Q"&amp;ROUNDUP(MONTH($B1950)/3,0)</f>
        <v>Q3</v>
      </c>
      <c r="E1950" s="61" t="n">
        <f aca="false">MONTH($B1950)</f>
        <v>8</v>
      </c>
      <c r="F1950" s="61" t="str">
        <f aca="false">INDEX(Parametros!$I$5:$I$16,$E1950)</f>
        <v>Ago</v>
      </c>
      <c r="G1950" s="61" t="str">
        <f aca="false">TEXT($C1950,"0000")&amp;"-"&amp;TEXT($E1950,"00")</f>
        <v>2025-08</v>
      </c>
      <c r="H1950" s="61" t="str">
        <f aca="false">INDEX(Parametros!$C$71:$C$91,MATCH(TRIM(INDEX(Datos_Origen!$C$2:$C$2459,$Z1950)),Parametros!$B$71:$B$91,0))</f>
        <v>Litoral</v>
      </c>
      <c r="I1950" s="61" t="str">
        <f aca="false">IF(TRIM($AD1950)="",INDEX(Parametros!$I$20:$I$24,MATCH($H1950,Parametros!$H$20:$H$24,0)),TRIM($AD1950))</f>
        <v>Rosario</v>
      </c>
      <c r="J1950" s="61" t="str">
        <f aca="false">INDEX(Parametros!$C$95:$C$106,MATCH(TRIM(INDEX(Datos_Origen!$E$2:$E$2459,$Z1950)),Parametros!$B$95:$B$106,0))</f>
        <v>Tienda fisica</v>
      </c>
      <c r="K1950" s="61" t="str">
        <f aca="false">INDEX(Parametros!$C$48:$C$67,MATCH(TRIM(INDEX(Datos_Origen!$F$2:$F$2459,$Z1950)),Parametros!$B$48:$B$67,0))</f>
        <v>Accesorios</v>
      </c>
      <c r="L1950" s="61" t="str">
        <f aca="false">$K1950&amp;" "&amp;$C1950</f>
        <v>Accesorios 2025</v>
      </c>
      <c r="M1950" s="61" t="str">
        <f aca="false">TRIM(INDEX(Datos_Origen!$G$2:$G$2459,$Z1950))</f>
        <v>Teclado Mecanico</v>
      </c>
      <c r="N1950" s="61" t="str">
        <f aca="false">$M1950&amp;" "&amp;$C1950</f>
        <v>Teclado Mecanico 2025</v>
      </c>
      <c r="O1950" s="63" t="n">
        <f aca="false">IF(ISTEXT($AC1950),VALUE($AC1950),$AC1950)</f>
        <v>38</v>
      </c>
      <c r="P1950" s="64" t="n">
        <f aca="false">INDEX(Datos_Origen!$I$2:$I$2459,$Z1950)</f>
        <v>95.38</v>
      </c>
      <c r="Q1950" s="64" t="n">
        <f aca="false">INDEX(Datos_Origen!$J$2:$J$2459,$Z1950)</f>
        <v>49.41</v>
      </c>
      <c r="R1950" s="65" t="n">
        <f aca="false">ROUND($O1950*$P1950,2)</f>
        <v>3624.44</v>
      </c>
      <c r="S1950" s="65" t="n">
        <f aca="false">ROUND($O1950*$Q1950,2)</f>
        <v>1877.58</v>
      </c>
      <c r="T1950" s="65" t="n">
        <f aca="false">ROUND($R1950*SUMIFS(Parametros!$E$28:$E$43,Parametros!$B$28:$B$43,$J1950,Parametros!$C$28:$C$43,$C1950,Parametros!$D$28:$D$43,$D1950),2)</f>
        <v>47.12</v>
      </c>
      <c r="U1950" s="65" t="n">
        <f aca="false">$R1950-$S1950-$T1950</f>
        <v>1699.74</v>
      </c>
      <c r="V1950" s="66" t="n">
        <f aca="false">IFERROR($U1950/$R1950,0)</f>
        <v>0.46896624030195</v>
      </c>
      <c r="W1950" s="67" t="str">
        <f aca="false">IF(AND($V1950&gt;=Parametros!$C$8,$R1950&gt;=Parametros!$C$12),"Alta rentabilidad",IF(OR($V1950&lt;Parametros!$C$11,$R1950&lt;Parametros!$C$13),"Revisar","Estandar"))</f>
        <v>Alta rentabilidad</v>
      </c>
      <c r="X1950" s="67" t="str">
        <f aca="false">IF(AND($J1950="E-commerce",IFERROR($T1950/$R1950,0)&gt;Parametros!$C$14),"Alerta","OK")</f>
        <v>OK</v>
      </c>
      <c r="Y1950" s="61" t="str">
        <f aca="false">IF($R1950&gt;=Parametros!$C$12,"Alto",IF($R1950&lt;Parametros!$C$13,"Bajo","Medio"))</f>
        <v>Alto</v>
      </c>
      <c r="Z1950" s="61" t="n">
        <v>2447</v>
      </c>
      <c r="AA1950" s="61" t="str">
        <f aca="false">IF(MATCH($A1950,Datos_Origen!$A$2:$A$2459,0)=$Z1950,"OK","REVISAR")</f>
        <v>OK</v>
      </c>
      <c r="AB1950" s="61" t="str">
        <f aca="false">INDEX(Datos_Origen!$B$2:$B$2459,$Z1950)</f>
        <v>09/08/2025</v>
      </c>
      <c r="AC1950" s="61" t="n">
        <f aca="false">INDEX(Datos_Origen!$H$2:$H$2459,$Z1950)</f>
        <v>38</v>
      </c>
      <c r="AD1950" s="61" t="str">
        <f aca="false">INDEX(Datos_Origen!$D$2:$D$2459,$Z1950)&amp;""</f>
        <v>Rosario</v>
      </c>
    </row>
    <row r="1951" customFormat="false" ht="15" hidden="false" customHeight="false" outlineLevel="0" collapsed="false">
      <c r="A1951" s="61" t="n">
        <f aca="false">INDEX(Datos_Origen!$A$2:$A$2459,$Z1951)</f>
        <v>1950</v>
      </c>
      <c r="B1951" s="62" t="n">
        <f aca="false">IF(ISNUMBER($AB1951),$AB1951,IF(MID($AB1951,5,1)="-",DATE(VALUE(LEFT($AB1951,4)),VALUE(MID($AB1951,6,2)),VALUE(RIGHT($AB1951,2))),DATE(VALUE(RIGHT($AB1951,4)),VALUE(MID($AB1951,4,2)),VALUE(LEFT($AB1951,2)))))</f>
        <v>45885</v>
      </c>
      <c r="C1951" s="61" t="n">
        <f aca="false">YEAR($B1951)</f>
        <v>2025</v>
      </c>
      <c r="D1951" s="61" t="str">
        <f aca="false">"Q"&amp;ROUNDUP(MONTH($B1951)/3,0)</f>
        <v>Q3</v>
      </c>
      <c r="E1951" s="61" t="n">
        <f aca="false">MONTH($B1951)</f>
        <v>8</v>
      </c>
      <c r="F1951" s="61" t="str">
        <f aca="false">INDEX(Parametros!$I$5:$I$16,$E1951)</f>
        <v>Ago</v>
      </c>
      <c r="G1951" s="61" t="str">
        <f aca="false">TEXT($C1951,"0000")&amp;"-"&amp;TEXT($E1951,"00")</f>
        <v>2025-08</v>
      </c>
      <c r="H1951" s="61" t="str">
        <f aca="false">INDEX(Parametros!$C$71:$C$91,MATCH(TRIM(INDEX(Datos_Origen!$C$2:$C$2459,$Z1951)),Parametros!$B$71:$B$91,0))</f>
        <v>Litoral</v>
      </c>
      <c r="I1951" s="61" t="str">
        <f aca="false">IF(TRIM($AD1951)="",INDEX(Parametros!$I$20:$I$24,MATCH($H1951,Parametros!$H$20:$H$24,0)),TRIM($AD1951))</f>
        <v>Rosario</v>
      </c>
      <c r="J1951" s="61" t="str">
        <f aca="false">INDEX(Parametros!$C$95:$C$106,MATCH(TRIM(INDEX(Datos_Origen!$E$2:$E$2459,$Z1951)),Parametros!$B$95:$B$106,0))</f>
        <v>E-commerce</v>
      </c>
      <c r="K1951" s="61" t="str">
        <f aca="false">INDEX(Parametros!$C$48:$C$67,MATCH(TRIM(INDEX(Datos_Origen!$F$2:$F$2459,$Z1951)),Parametros!$B$48:$B$67,0))</f>
        <v>Accesorios</v>
      </c>
      <c r="L1951" s="61" t="str">
        <f aca="false">$K1951&amp;" "&amp;$C1951</f>
        <v>Accesorios 2025</v>
      </c>
      <c r="M1951" s="61" t="str">
        <f aca="false">TRIM(INDEX(Datos_Origen!$G$2:$G$2459,$Z1951))</f>
        <v>Teclado Mecanico</v>
      </c>
      <c r="N1951" s="61" t="str">
        <f aca="false">$M1951&amp;" "&amp;$C1951</f>
        <v>Teclado Mecanico 2025</v>
      </c>
      <c r="O1951" s="63" t="n">
        <f aca="false">IF(ISTEXT($AC1951),VALUE($AC1951),$AC1951)</f>
        <v>23</v>
      </c>
      <c r="P1951" s="64" t="n">
        <f aca="false">INDEX(Datos_Origen!$I$2:$I$2459,$Z1951)</f>
        <v>95.38</v>
      </c>
      <c r="Q1951" s="64" t="n">
        <f aca="false">INDEX(Datos_Origen!$J$2:$J$2459,$Z1951)</f>
        <v>49.41</v>
      </c>
      <c r="R1951" s="65" t="n">
        <f aca="false">ROUND($O1951*$P1951,2)</f>
        <v>2193.74</v>
      </c>
      <c r="S1951" s="65" t="n">
        <f aca="false">ROUND($O1951*$Q1951,2)</f>
        <v>1136.43</v>
      </c>
      <c r="T1951" s="65" t="n">
        <f aca="false">ROUND($R1951*SUMIFS(Parametros!$E$28:$E$43,Parametros!$B$28:$B$43,$J1951,Parametros!$C$28:$C$43,$C1951,Parametros!$D$28:$D$43,$D1951),2)</f>
        <v>122.85</v>
      </c>
      <c r="U1951" s="65" t="n">
        <f aca="false">$R1951-$S1951-$T1951</f>
        <v>934.46</v>
      </c>
      <c r="V1951" s="66" t="n">
        <f aca="false">IFERROR($U1951/$R1951,0)</f>
        <v>0.425966614092828</v>
      </c>
      <c r="W1951" s="67" t="str">
        <f aca="false">IF(AND($V1951&gt;=Parametros!$C$8,$R1951&gt;=Parametros!$C$12),"Alta rentabilidad",IF(OR($V1951&lt;Parametros!$C$11,$R1951&lt;Parametros!$C$13),"Revisar","Estandar"))</f>
        <v>Estandar</v>
      </c>
      <c r="X1951" s="67" t="str">
        <f aca="false">IF(AND($J1951="E-commerce",IFERROR($T1951/$R1951,0)&gt;Parametros!$C$14),"Alerta","OK")</f>
        <v>Alerta</v>
      </c>
      <c r="Y1951" s="61" t="str">
        <f aca="false">IF($R1951&gt;=Parametros!$C$12,"Alto",IF($R1951&lt;Parametros!$C$13,"Bajo","Medio"))</f>
        <v>Medio</v>
      </c>
      <c r="Z1951" s="61" t="n">
        <v>1411</v>
      </c>
      <c r="AA1951" s="61" t="str">
        <f aca="false">IF(MATCH($A1951,Datos_Origen!$A$2:$A$2459,0)=$Z1951,"OK","REVISAR")</f>
        <v>OK</v>
      </c>
      <c r="AB1951" s="62" t="n">
        <f aca="false">INDEX(Datos_Origen!$B$2:$B$2459,$Z1951)</f>
        <v>45885</v>
      </c>
      <c r="AC1951" s="61" t="n">
        <f aca="false">INDEX(Datos_Origen!$H$2:$H$2459,$Z1951)</f>
        <v>23</v>
      </c>
      <c r="AD1951" s="61" t="str">
        <f aca="false">INDEX(Datos_Origen!$D$2:$D$2459,$Z1951)&amp;""</f>
        <v>Rosario</v>
      </c>
    </row>
    <row r="1952" customFormat="false" ht="15" hidden="false" customHeight="false" outlineLevel="0" collapsed="false">
      <c r="A1952" s="61" t="n">
        <f aca="false">INDEX(Datos_Origen!$A$2:$A$2459,$Z1952)</f>
        <v>1951</v>
      </c>
      <c r="B1952" s="62" t="n">
        <f aca="false">IF(ISNUMBER($AB1952),$AB1952,IF(MID($AB1952,5,1)="-",DATE(VALUE(LEFT($AB1952,4)),VALUE(MID($AB1952,6,2)),VALUE(RIGHT($AB1952,2))),DATE(VALUE(RIGHT($AB1952,4)),VALUE(MID($AB1952,4,2)),VALUE(LEFT($AB1952,2)))))</f>
        <v>45892</v>
      </c>
      <c r="C1952" s="61" t="n">
        <f aca="false">YEAR($B1952)</f>
        <v>2025</v>
      </c>
      <c r="D1952" s="61" t="str">
        <f aca="false">"Q"&amp;ROUNDUP(MONTH($B1952)/3,0)</f>
        <v>Q3</v>
      </c>
      <c r="E1952" s="61" t="n">
        <f aca="false">MONTH($B1952)</f>
        <v>8</v>
      </c>
      <c r="F1952" s="61" t="str">
        <f aca="false">INDEX(Parametros!$I$5:$I$16,$E1952)</f>
        <v>Ago</v>
      </c>
      <c r="G1952" s="61" t="str">
        <f aca="false">TEXT($C1952,"0000")&amp;"-"&amp;TEXT($E1952,"00")</f>
        <v>2025-08</v>
      </c>
      <c r="H1952" s="61" t="str">
        <f aca="false">INDEX(Parametros!$C$71:$C$91,MATCH(TRIM(INDEX(Datos_Origen!$C$2:$C$2459,$Z1952)),Parametros!$B$71:$B$91,0))</f>
        <v>Litoral</v>
      </c>
      <c r="I1952" s="61" t="str">
        <f aca="false">IF(TRIM($AD1952)="",INDEX(Parametros!$I$20:$I$24,MATCH($H1952,Parametros!$H$20:$H$24,0)),TRIM($AD1952))</f>
        <v>Rosario</v>
      </c>
      <c r="J1952" s="61" t="str">
        <f aca="false">INDEX(Parametros!$C$95:$C$106,MATCH(TRIM(INDEX(Datos_Origen!$E$2:$E$2459,$Z1952)),Parametros!$B$95:$B$106,0))</f>
        <v>Tienda fisica</v>
      </c>
      <c r="K1952" s="61" t="str">
        <f aca="false">INDEX(Parametros!$C$48:$C$67,MATCH(TRIM(INDEX(Datos_Origen!$F$2:$F$2459,$Z1952)),Parametros!$B$48:$B$67,0))</f>
        <v>Accesorios</v>
      </c>
      <c r="L1952" s="61" t="str">
        <f aca="false">$K1952&amp;" "&amp;$C1952</f>
        <v>Accesorios 2025</v>
      </c>
      <c r="M1952" s="61" t="str">
        <f aca="false">TRIM(INDEX(Datos_Origen!$G$2:$G$2459,$Z1952))</f>
        <v>Webcam Full HD</v>
      </c>
      <c r="N1952" s="61" t="str">
        <f aca="false">$M1952&amp;" "&amp;$C1952</f>
        <v>Webcam Full HD 2025</v>
      </c>
      <c r="O1952" s="63" t="n">
        <f aca="false">IF(ISTEXT($AC1952),VALUE($AC1952),$AC1952)</f>
        <v>34</v>
      </c>
      <c r="P1952" s="64" t="n">
        <f aca="false">INDEX(Datos_Origen!$I$2:$I$2459,$Z1952)</f>
        <v>65.26</v>
      </c>
      <c r="Q1952" s="64" t="n">
        <f aca="false">INDEX(Datos_Origen!$J$2:$J$2459,$Z1952)</f>
        <v>36.49</v>
      </c>
      <c r="R1952" s="65" t="n">
        <f aca="false">ROUND($O1952*$P1952,2)</f>
        <v>2218.84</v>
      </c>
      <c r="S1952" s="65" t="n">
        <f aca="false">ROUND($O1952*$Q1952,2)</f>
        <v>1240.66</v>
      </c>
      <c r="T1952" s="65" t="n">
        <f aca="false">ROUND($R1952*SUMIFS(Parametros!$E$28:$E$43,Parametros!$B$28:$B$43,$J1952,Parametros!$C$28:$C$43,$C1952,Parametros!$D$28:$D$43,$D1952),2)</f>
        <v>28.84</v>
      </c>
      <c r="U1952" s="65" t="n">
        <f aca="false">$R1952-$S1952-$T1952</f>
        <v>949.34</v>
      </c>
      <c r="V1952" s="66" t="n">
        <f aca="false">IFERROR($U1952/$R1952,0)</f>
        <v>0.427854194083395</v>
      </c>
      <c r="W1952" s="67" t="str">
        <f aca="false">IF(AND($V1952&gt;=Parametros!$C$8,$R1952&gt;=Parametros!$C$12),"Alta rentabilidad",IF(OR($V1952&lt;Parametros!$C$11,$R1952&lt;Parametros!$C$13),"Revisar","Estandar"))</f>
        <v>Estandar</v>
      </c>
      <c r="X1952" s="67" t="str">
        <f aca="false">IF(AND($J1952="E-commerce",IFERROR($T1952/$R1952,0)&gt;Parametros!$C$14),"Alerta","OK")</f>
        <v>OK</v>
      </c>
      <c r="Y1952" s="61" t="str">
        <f aca="false">IF($R1952&gt;=Parametros!$C$12,"Alto",IF($R1952&lt;Parametros!$C$13,"Bajo","Medio"))</f>
        <v>Medio</v>
      </c>
      <c r="Z1952" s="61" t="n">
        <v>1531</v>
      </c>
      <c r="AA1952" s="61" t="str">
        <f aca="false">IF(MATCH($A1952,Datos_Origen!$A$2:$A$2459,0)=$Z1952,"OK","REVISAR")</f>
        <v>OK</v>
      </c>
      <c r="AB1952" s="62" t="n">
        <f aca="false">INDEX(Datos_Origen!$B$2:$B$2459,$Z1952)</f>
        <v>45892</v>
      </c>
      <c r="AC1952" s="61" t="n">
        <f aca="false">INDEX(Datos_Origen!$H$2:$H$2459,$Z1952)</f>
        <v>34</v>
      </c>
      <c r="AD1952" s="61" t="str">
        <f aca="false">INDEX(Datos_Origen!$D$2:$D$2459,$Z1952)&amp;""</f>
        <v>Rosario</v>
      </c>
    </row>
    <row r="1953" customFormat="false" ht="15" hidden="false" customHeight="false" outlineLevel="0" collapsed="false">
      <c r="A1953" s="61" t="n">
        <f aca="false">INDEX(Datos_Origen!$A$2:$A$2459,$Z1953)</f>
        <v>1952</v>
      </c>
      <c r="B1953" s="62" t="n">
        <f aca="false">IF(ISNUMBER($AB1953),$AB1953,IF(MID($AB1953,5,1)="-",DATE(VALUE(LEFT($AB1953,4)),VALUE(MID($AB1953,6,2)),VALUE(RIGHT($AB1953,2))),DATE(VALUE(RIGHT($AB1953,4)),VALUE(MID($AB1953,4,2)),VALUE(LEFT($AB1953,2)))))</f>
        <v>45872</v>
      </c>
      <c r="C1953" s="61" t="n">
        <f aca="false">YEAR($B1953)</f>
        <v>2025</v>
      </c>
      <c r="D1953" s="61" t="str">
        <f aca="false">"Q"&amp;ROUNDUP(MONTH($B1953)/3,0)</f>
        <v>Q3</v>
      </c>
      <c r="E1953" s="61" t="n">
        <f aca="false">MONTH($B1953)</f>
        <v>8</v>
      </c>
      <c r="F1953" s="61" t="str">
        <f aca="false">INDEX(Parametros!$I$5:$I$16,$E1953)</f>
        <v>Ago</v>
      </c>
      <c r="G1953" s="61" t="str">
        <f aca="false">TEXT($C1953,"0000")&amp;"-"&amp;TEXT($E1953,"00")</f>
        <v>2025-08</v>
      </c>
      <c r="H1953" s="61" t="str">
        <f aca="false">INDEX(Parametros!$C$71:$C$91,MATCH(TRIM(INDEX(Datos_Origen!$C$2:$C$2459,$Z1953)),Parametros!$B$71:$B$91,0))</f>
        <v>Litoral</v>
      </c>
      <c r="I1953" s="61" t="str">
        <f aca="false">IF(TRIM($AD1953)="",INDEX(Parametros!$I$20:$I$24,MATCH($H1953,Parametros!$H$20:$H$24,0)),TRIM($AD1953))</f>
        <v>Rosario</v>
      </c>
      <c r="J1953" s="61" t="str">
        <f aca="false">INDEX(Parametros!$C$95:$C$106,MATCH(TRIM(INDEX(Datos_Origen!$E$2:$E$2459,$Z1953)),Parametros!$B$95:$B$106,0))</f>
        <v>E-commerce</v>
      </c>
      <c r="K1953" s="61" t="str">
        <f aca="false">INDEX(Parametros!$C$48:$C$67,MATCH(TRIM(INDEX(Datos_Origen!$F$2:$F$2459,$Z1953)),Parametros!$B$48:$B$67,0))</f>
        <v>Accesorios</v>
      </c>
      <c r="L1953" s="61" t="str">
        <f aca="false">$K1953&amp;" "&amp;$C1953</f>
        <v>Accesorios 2025</v>
      </c>
      <c r="M1953" s="61" t="str">
        <f aca="false">TRIM(INDEX(Datos_Origen!$G$2:$G$2459,$Z1953))</f>
        <v>Webcam Full HD</v>
      </c>
      <c r="N1953" s="61" t="str">
        <f aca="false">$M1953&amp;" "&amp;$C1953</f>
        <v>Webcam Full HD 2025</v>
      </c>
      <c r="O1953" s="63" t="n">
        <f aca="false">IF(ISTEXT($AC1953),VALUE($AC1953),$AC1953)</f>
        <v>30</v>
      </c>
      <c r="P1953" s="64" t="n">
        <f aca="false">INDEX(Datos_Origen!$I$2:$I$2459,$Z1953)</f>
        <v>65.26</v>
      </c>
      <c r="Q1953" s="64" t="n">
        <f aca="false">INDEX(Datos_Origen!$J$2:$J$2459,$Z1953)</f>
        <v>36.49</v>
      </c>
      <c r="R1953" s="65" t="n">
        <f aca="false">ROUND($O1953*$P1953,2)</f>
        <v>1957.8</v>
      </c>
      <c r="S1953" s="65" t="n">
        <f aca="false">ROUND($O1953*$Q1953,2)</f>
        <v>1094.7</v>
      </c>
      <c r="T1953" s="65" t="n">
        <f aca="false">ROUND($R1953*SUMIFS(Parametros!$E$28:$E$43,Parametros!$B$28:$B$43,$J1953,Parametros!$C$28:$C$43,$C1953,Parametros!$D$28:$D$43,$D1953),2)</f>
        <v>109.64</v>
      </c>
      <c r="U1953" s="65" t="n">
        <f aca="false">$R1953-$S1953-$T1953</f>
        <v>753.46</v>
      </c>
      <c r="V1953" s="66" t="n">
        <f aca="false">IFERROR($U1953/$R1953,0)</f>
        <v>0.38485034222086</v>
      </c>
      <c r="W1953" s="67" t="str">
        <f aca="false">IF(AND($V1953&gt;=Parametros!$C$8,$R1953&gt;=Parametros!$C$12),"Alta rentabilidad",IF(OR($V1953&lt;Parametros!$C$11,$R1953&lt;Parametros!$C$13),"Revisar","Estandar"))</f>
        <v>Estandar</v>
      </c>
      <c r="X1953" s="67" t="str">
        <f aca="false">IF(AND($J1953="E-commerce",IFERROR($T1953/$R1953,0)&gt;Parametros!$C$14),"Alerta","OK")</f>
        <v>Alerta</v>
      </c>
      <c r="Y1953" s="61" t="str">
        <f aca="false">IF($R1953&gt;=Parametros!$C$12,"Alto",IF($R1953&lt;Parametros!$C$13,"Bajo","Medio"))</f>
        <v>Medio</v>
      </c>
      <c r="Z1953" s="61" t="n">
        <v>394</v>
      </c>
      <c r="AA1953" s="61" t="str">
        <f aca="false">IF(MATCH($A1953,Datos_Origen!$A$2:$A$2459,0)=$Z1953,"OK","REVISAR")</f>
        <v>OK</v>
      </c>
      <c r="AB1953" s="62" t="n">
        <f aca="false">INDEX(Datos_Origen!$B$2:$B$2459,$Z1953)</f>
        <v>45872</v>
      </c>
      <c r="AC1953" s="61" t="n">
        <f aca="false">INDEX(Datos_Origen!$H$2:$H$2459,$Z1953)</f>
        <v>30</v>
      </c>
      <c r="AD1953" s="61" t="str">
        <f aca="false">INDEX(Datos_Origen!$D$2:$D$2459,$Z1953)&amp;""</f>
        <v>Rosario</v>
      </c>
    </row>
    <row r="1954" customFormat="false" ht="15" hidden="false" customHeight="false" outlineLevel="0" collapsed="false">
      <c r="A1954" s="61" t="n">
        <f aca="false">INDEX(Datos_Origen!$A$2:$A$2459,$Z1954)</f>
        <v>1953</v>
      </c>
      <c r="B1954" s="62" t="n">
        <f aca="false">IF(ISNUMBER($AB1954),$AB1954,IF(MID($AB1954,5,1)="-",DATE(VALUE(LEFT($AB1954,4)),VALUE(MID($AB1954,6,2)),VALUE(RIGHT($AB1954,2))),DATE(VALUE(RIGHT($AB1954,4)),VALUE(MID($AB1954,4,2)),VALUE(LEFT($AB1954,2)))))</f>
        <v>45879</v>
      </c>
      <c r="C1954" s="61" t="n">
        <f aca="false">YEAR($B1954)</f>
        <v>2025</v>
      </c>
      <c r="D1954" s="61" t="str">
        <f aca="false">"Q"&amp;ROUNDUP(MONTH($B1954)/3,0)</f>
        <v>Q3</v>
      </c>
      <c r="E1954" s="61" t="n">
        <f aca="false">MONTH($B1954)</f>
        <v>8</v>
      </c>
      <c r="F1954" s="61" t="str">
        <f aca="false">INDEX(Parametros!$I$5:$I$16,$E1954)</f>
        <v>Ago</v>
      </c>
      <c r="G1954" s="61" t="str">
        <f aca="false">TEXT($C1954,"0000")&amp;"-"&amp;TEXT($E1954,"00")</f>
        <v>2025-08</v>
      </c>
      <c r="H1954" s="61" t="str">
        <f aca="false">INDEX(Parametros!$C$71:$C$91,MATCH(TRIM(INDEX(Datos_Origen!$C$2:$C$2459,$Z1954)),Parametros!$B$71:$B$91,0))</f>
        <v>Litoral</v>
      </c>
      <c r="I1954" s="61" t="str">
        <f aca="false">IF(TRIM($AD1954)="",INDEX(Parametros!$I$20:$I$24,MATCH($H1954,Parametros!$H$20:$H$24,0)),TRIM($AD1954))</f>
        <v>Rosario</v>
      </c>
      <c r="J1954" s="61" t="str">
        <f aca="false">INDEX(Parametros!$C$95:$C$106,MATCH(TRIM(INDEX(Datos_Origen!$E$2:$E$2459,$Z1954)),Parametros!$B$95:$B$106,0))</f>
        <v>Tienda fisica</v>
      </c>
      <c r="K1954" s="61" t="str">
        <f aca="false">INDEX(Parametros!$C$48:$C$67,MATCH(TRIM(INDEX(Datos_Origen!$F$2:$F$2459,$Z1954)),Parametros!$B$48:$B$67,0))</f>
        <v>Audio</v>
      </c>
      <c r="L1954" s="61" t="str">
        <f aca="false">$K1954&amp;" "&amp;$C1954</f>
        <v>Audio 2025</v>
      </c>
      <c r="M1954" s="61" t="str">
        <f aca="false">TRIM(INDEX(Datos_Origen!$G$2:$G$2459,$Z1954))</f>
        <v>Auriculares BT Pro</v>
      </c>
      <c r="N1954" s="61" t="str">
        <f aca="false">$M1954&amp;" "&amp;$C1954</f>
        <v>Auriculares BT Pro 2025</v>
      </c>
      <c r="O1954" s="63" t="n">
        <f aca="false">IF(ISTEXT($AC1954),VALUE($AC1954),$AC1954)</f>
        <v>19</v>
      </c>
      <c r="P1954" s="64" t="n">
        <f aca="false">INDEX(Datos_Origen!$I$2:$I$2459,$Z1954)</f>
        <v>120.47</v>
      </c>
      <c r="Q1954" s="64" t="n">
        <f aca="false">INDEX(Datos_Origen!$J$2:$J$2459,$Z1954)</f>
        <v>65.51</v>
      </c>
      <c r="R1954" s="65" t="n">
        <f aca="false">ROUND($O1954*$P1954,2)</f>
        <v>2288.93</v>
      </c>
      <c r="S1954" s="65" t="n">
        <f aca="false">ROUND($O1954*$Q1954,2)</f>
        <v>1244.69</v>
      </c>
      <c r="T1954" s="65" t="n">
        <f aca="false">ROUND($R1954*SUMIFS(Parametros!$E$28:$E$43,Parametros!$B$28:$B$43,$J1954,Parametros!$C$28:$C$43,$C1954,Parametros!$D$28:$D$43,$D1954),2)</f>
        <v>29.76</v>
      </c>
      <c r="U1954" s="65" t="n">
        <f aca="false">$R1954-$S1954-$T1954</f>
        <v>1014.48</v>
      </c>
      <c r="V1954" s="66" t="n">
        <f aca="false">IFERROR($U1954/$R1954,0)</f>
        <v>0.4432114568816</v>
      </c>
      <c r="W1954" s="67" t="str">
        <f aca="false">IF(AND($V1954&gt;=Parametros!$C$8,$R1954&gt;=Parametros!$C$12),"Alta rentabilidad",IF(OR($V1954&lt;Parametros!$C$11,$R1954&lt;Parametros!$C$13),"Revisar","Estandar"))</f>
        <v>Estandar</v>
      </c>
      <c r="X1954" s="67" t="str">
        <f aca="false">IF(AND($J1954="E-commerce",IFERROR($T1954/$R1954,0)&gt;Parametros!$C$14),"Alerta","OK")</f>
        <v>OK</v>
      </c>
      <c r="Y1954" s="61" t="str">
        <f aca="false">IF($R1954&gt;=Parametros!$C$12,"Alto",IF($R1954&lt;Parametros!$C$13,"Bajo","Medio"))</f>
        <v>Medio</v>
      </c>
      <c r="Z1954" s="61" t="n">
        <v>1087</v>
      </c>
      <c r="AA1954" s="61" t="str">
        <f aca="false">IF(MATCH($A1954,Datos_Origen!$A$2:$A$2459,0)=$Z1954,"OK","REVISAR")</f>
        <v>OK</v>
      </c>
      <c r="AB1954" s="62" t="n">
        <f aca="false">INDEX(Datos_Origen!$B$2:$B$2459,$Z1954)</f>
        <v>45879</v>
      </c>
      <c r="AC1954" s="61" t="n">
        <f aca="false">INDEX(Datos_Origen!$H$2:$H$2459,$Z1954)</f>
        <v>19</v>
      </c>
      <c r="AD1954" s="61" t="str">
        <f aca="false">INDEX(Datos_Origen!$D$2:$D$2459,$Z1954)&amp;""</f>
        <v>Rosario</v>
      </c>
    </row>
    <row r="1955" customFormat="false" ht="15" hidden="false" customHeight="false" outlineLevel="0" collapsed="false">
      <c r="A1955" s="61" t="n">
        <f aca="false">INDEX(Datos_Origen!$A$2:$A$2459,$Z1955)</f>
        <v>1954</v>
      </c>
      <c r="B1955" s="62" t="n">
        <f aca="false">IF(ISNUMBER($AB1955),$AB1955,IF(MID($AB1955,5,1)="-",DATE(VALUE(LEFT($AB1955,4)),VALUE(MID($AB1955,6,2)),VALUE(RIGHT($AB1955,2))),DATE(VALUE(RIGHT($AB1955,4)),VALUE(MID($AB1955,4,2)),VALUE(LEFT($AB1955,2)))))</f>
        <v>45886</v>
      </c>
      <c r="C1955" s="61" t="n">
        <f aca="false">YEAR($B1955)</f>
        <v>2025</v>
      </c>
      <c r="D1955" s="61" t="str">
        <f aca="false">"Q"&amp;ROUNDUP(MONTH($B1955)/3,0)</f>
        <v>Q3</v>
      </c>
      <c r="E1955" s="61" t="n">
        <f aca="false">MONTH($B1955)</f>
        <v>8</v>
      </c>
      <c r="F1955" s="61" t="str">
        <f aca="false">INDEX(Parametros!$I$5:$I$16,$E1955)</f>
        <v>Ago</v>
      </c>
      <c r="G1955" s="61" t="str">
        <f aca="false">TEXT($C1955,"0000")&amp;"-"&amp;TEXT($E1955,"00")</f>
        <v>2025-08</v>
      </c>
      <c r="H1955" s="61" t="str">
        <f aca="false">INDEX(Parametros!$C$71:$C$91,MATCH(TRIM(INDEX(Datos_Origen!$C$2:$C$2459,$Z1955)),Parametros!$B$71:$B$91,0))</f>
        <v>Litoral</v>
      </c>
      <c r="I1955" s="61" t="str">
        <f aca="false">IF(TRIM($AD1955)="",INDEX(Parametros!$I$20:$I$24,MATCH($H1955,Parametros!$H$20:$H$24,0)),TRIM($AD1955))</f>
        <v>Rosario</v>
      </c>
      <c r="J1955" s="61" t="str">
        <f aca="false">INDEX(Parametros!$C$95:$C$106,MATCH(TRIM(INDEX(Datos_Origen!$E$2:$E$2459,$Z1955)),Parametros!$B$95:$B$106,0))</f>
        <v>E-commerce</v>
      </c>
      <c r="K1955" s="61" t="str">
        <f aca="false">INDEX(Parametros!$C$48:$C$67,MATCH(TRIM(INDEX(Datos_Origen!$F$2:$F$2459,$Z1955)),Parametros!$B$48:$B$67,0))</f>
        <v>Audio</v>
      </c>
      <c r="L1955" s="61" t="str">
        <f aca="false">$K1955&amp;" "&amp;$C1955</f>
        <v>Audio 2025</v>
      </c>
      <c r="M1955" s="61" t="str">
        <f aca="false">TRIM(INDEX(Datos_Origen!$G$2:$G$2459,$Z1955))</f>
        <v>Auriculares BT Pro</v>
      </c>
      <c r="N1955" s="61" t="str">
        <f aca="false">$M1955&amp;" "&amp;$C1955</f>
        <v>Auriculares BT Pro 2025</v>
      </c>
      <c r="O1955" s="63" t="n">
        <f aca="false">IF(ISTEXT($AC1955),VALUE($AC1955),$AC1955)</f>
        <v>11</v>
      </c>
      <c r="P1955" s="64" t="n">
        <f aca="false">INDEX(Datos_Origen!$I$2:$I$2459,$Z1955)</f>
        <v>120.47</v>
      </c>
      <c r="Q1955" s="64" t="n">
        <f aca="false">INDEX(Datos_Origen!$J$2:$J$2459,$Z1955)</f>
        <v>65.51</v>
      </c>
      <c r="R1955" s="65" t="n">
        <f aca="false">ROUND($O1955*$P1955,2)</f>
        <v>1325.17</v>
      </c>
      <c r="S1955" s="65" t="n">
        <f aca="false">ROUND($O1955*$Q1955,2)</f>
        <v>720.61</v>
      </c>
      <c r="T1955" s="65" t="n">
        <f aca="false">ROUND($R1955*SUMIFS(Parametros!$E$28:$E$43,Parametros!$B$28:$B$43,$J1955,Parametros!$C$28:$C$43,$C1955,Parametros!$D$28:$D$43,$D1955),2)</f>
        <v>74.21</v>
      </c>
      <c r="U1955" s="65" t="n">
        <f aca="false">$R1955-$S1955-$T1955</f>
        <v>530.35</v>
      </c>
      <c r="V1955" s="66" t="n">
        <f aca="false">IFERROR($U1955/$R1955,0)</f>
        <v>0.400212802885668</v>
      </c>
      <c r="W1955" s="67" t="str">
        <f aca="false">IF(AND($V1955&gt;=Parametros!$C$8,$R1955&gt;=Parametros!$C$12),"Alta rentabilidad",IF(OR($V1955&lt;Parametros!$C$11,$R1955&lt;Parametros!$C$13),"Revisar","Estandar"))</f>
        <v>Estandar</v>
      </c>
      <c r="X1955" s="67" t="str">
        <f aca="false">IF(AND($J1955="E-commerce",IFERROR($T1955/$R1955,0)&gt;Parametros!$C$14),"Alerta","OK")</f>
        <v>Alerta</v>
      </c>
      <c r="Y1955" s="61" t="str">
        <f aca="false">IF($R1955&gt;=Parametros!$C$12,"Alto",IF($R1955&lt;Parametros!$C$13,"Bajo","Medio"))</f>
        <v>Medio</v>
      </c>
      <c r="Z1955" s="61" t="n">
        <v>1835</v>
      </c>
      <c r="AA1955" s="61" t="str">
        <f aca="false">IF(MATCH($A1955,Datos_Origen!$A$2:$A$2459,0)=$Z1955,"OK","REVISAR")</f>
        <v>OK</v>
      </c>
      <c r="AB1955" s="62" t="n">
        <f aca="false">INDEX(Datos_Origen!$B$2:$B$2459,$Z1955)</f>
        <v>45886</v>
      </c>
      <c r="AC1955" s="61" t="n">
        <f aca="false">INDEX(Datos_Origen!$H$2:$H$2459,$Z1955)</f>
        <v>11</v>
      </c>
      <c r="AD1955" s="61" t="str">
        <f aca="false">INDEX(Datos_Origen!$D$2:$D$2459,$Z1955)&amp;""</f>
        <v>Rosario</v>
      </c>
    </row>
    <row r="1956" customFormat="false" ht="15" hidden="false" customHeight="false" outlineLevel="0" collapsed="false">
      <c r="A1956" s="61" t="n">
        <f aca="false">INDEX(Datos_Origen!$A$2:$A$2459,$Z1956)</f>
        <v>1955</v>
      </c>
      <c r="B1956" s="62" t="n">
        <f aca="false">IF(ISNUMBER($AB1956),$AB1956,IF(MID($AB1956,5,1)="-",DATE(VALUE(LEFT($AB1956,4)),VALUE(MID($AB1956,6,2)),VALUE(RIGHT($AB1956,2))),DATE(VALUE(RIGHT($AB1956,4)),VALUE(MID($AB1956,4,2)),VALUE(LEFT($AB1956,2)))))</f>
        <v>45893</v>
      </c>
      <c r="C1956" s="61" t="n">
        <f aca="false">YEAR($B1956)</f>
        <v>2025</v>
      </c>
      <c r="D1956" s="61" t="str">
        <f aca="false">"Q"&amp;ROUNDUP(MONTH($B1956)/3,0)</f>
        <v>Q3</v>
      </c>
      <c r="E1956" s="61" t="n">
        <f aca="false">MONTH($B1956)</f>
        <v>8</v>
      </c>
      <c r="F1956" s="61" t="str">
        <f aca="false">INDEX(Parametros!$I$5:$I$16,$E1956)</f>
        <v>Ago</v>
      </c>
      <c r="G1956" s="61" t="str">
        <f aca="false">TEXT($C1956,"0000")&amp;"-"&amp;TEXT($E1956,"00")</f>
        <v>2025-08</v>
      </c>
      <c r="H1956" s="61" t="str">
        <f aca="false">INDEX(Parametros!$C$71:$C$91,MATCH(TRIM(INDEX(Datos_Origen!$C$2:$C$2459,$Z1956)),Parametros!$B$71:$B$91,0))</f>
        <v>Litoral</v>
      </c>
      <c r="I1956" s="61" t="str">
        <f aca="false">IF(TRIM($AD1956)="",INDEX(Parametros!$I$20:$I$24,MATCH($H1956,Parametros!$H$20:$H$24,0)),TRIM($AD1956))</f>
        <v>Rosario</v>
      </c>
      <c r="J1956" s="61" t="str">
        <f aca="false">INDEX(Parametros!$C$95:$C$106,MATCH(TRIM(INDEX(Datos_Origen!$E$2:$E$2459,$Z1956)),Parametros!$B$95:$B$106,0))</f>
        <v>Tienda fisica</v>
      </c>
      <c r="K1956" s="61" t="str">
        <f aca="false">INDEX(Parametros!$C$48:$C$67,MATCH(TRIM(INDEX(Datos_Origen!$F$2:$F$2459,$Z1956)),Parametros!$B$48:$B$67,0))</f>
        <v>Audio</v>
      </c>
      <c r="L1956" s="61" t="str">
        <f aca="false">$K1956&amp;" "&amp;$C1956</f>
        <v>Audio 2025</v>
      </c>
      <c r="M1956" s="61" t="str">
        <f aca="false">TRIM(INDEX(Datos_Origen!$G$2:$G$2459,$Z1956))</f>
        <v>Parlante Bluetooth</v>
      </c>
      <c r="N1956" s="61" t="str">
        <f aca="false">$M1956&amp;" "&amp;$C1956</f>
        <v>Parlante Bluetooth 2025</v>
      </c>
      <c r="O1956" s="63" t="n">
        <f aca="false">IF(ISTEXT($AC1956),VALUE($AC1956),$AC1956)</f>
        <v>16</v>
      </c>
      <c r="P1956" s="64" t="n">
        <f aca="false">INDEX(Datos_Origen!$I$2:$I$2459,$Z1956)</f>
        <v>85.34</v>
      </c>
      <c r="Q1956" s="64" t="n">
        <f aca="false">INDEX(Datos_Origen!$J$2:$J$2459,$Z1956)</f>
        <v>49.47</v>
      </c>
      <c r="R1956" s="65" t="n">
        <f aca="false">ROUND($O1956*$P1956,2)</f>
        <v>1365.44</v>
      </c>
      <c r="S1956" s="65" t="n">
        <f aca="false">ROUND($O1956*$Q1956,2)</f>
        <v>791.52</v>
      </c>
      <c r="T1956" s="65" t="n">
        <f aca="false">ROUND($R1956*SUMIFS(Parametros!$E$28:$E$43,Parametros!$B$28:$B$43,$J1956,Parametros!$C$28:$C$43,$C1956,Parametros!$D$28:$D$43,$D1956),2)</f>
        <v>17.75</v>
      </c>
      <c r="U1956" s="65" t="n">
        <f aca="false">$R1956-$S1956-$T1956</f>
        <v>556.17</v>
      </c>
      <c r="V1956" s="66" t="n">
        <f aca="false">IFERROR($U1956/$R1956,0)</f>
        <v>0.407319252402156</v>
      </c>
      <c r="W1956" s="67" t="str">
        <f aca="false">IF(AND($V1956&gt;=Parametros!$C$8,$R1956&gt;=Parametros!$C$12),"Alta rentabilidad",IF(OR($V1956&lt;Parametros!$C$11,$R1956&lt;Parametros!$C$13),"Revisar","Estandar"))</f>
        <v>Estandar</v>
      </c>
      <c r="X1956" s="67" t="str">
        <f aca="false">IF(AND($J1956="E-commerce",IFERROR($T1956/$R1956,0)&gt;Parametros!$C$14),"Alerta","OK")</f>
        <v>OK</v>
      </c>
      <c r="Y1956" s="61" t="str">
        <f aca="false">IF($R1956&gt;=Parametros!$C$12,"Alto",IF($R1956&lt;Parametros!$C$13,"Bajo","Medio"))</f>
        <v>Medio</v>
      </c>
      <c r="Z1956" s="61" t="n">
        <v>1085</v>
      </c>
      <c r="AA1956" s="61" t="str">
        <f aca="false">IF(MATCH($A1956,Datos_Origen!$A$2:$A$2459,0)=$Z1956,"OK","REVISAR")</f>
        <v>OK</v>
      </c>
      <c r="AB1956" s="61" t="str">
        <f aca="false">INDEX(Datos_Origen!$B$2:$B$2459,$Z1956)</f>
        <v>24/08/2025</v>
      </c>
      <c r="AC1956" s="61" t="n">
        <f aca="false">INDEX(Datos_Origen!$H$2:$H$2459,$Z1956)</f>
        <v>16</v>
      </c>
      <c r="AD1956" s="61" t="str">
        <f aca="false">INDEX(Datos_Origen!$D$2:$D$2459,$Z1956)&amp;""</f>
        <v>Rosario</v>
      </c>
    </row>
    <row r="1957" customFormat="false" ht="15" hidden="false" customHeight="false" outlineLevel="0" collapsed="false">
      <c r="A1957" s="61" t="n">
        <f aca="false">INDEX(Datos_Origen!$A$2:$A$2459,$Z1957)</f>
        <v>1956</v>
      </c>
      <c r="B1957" s="62" t="n">
        <f aca="false">IF(ISNUMBER($AB1957),$AB1957,IF(MID($AB1957,5,1)="-",DATE(VALUE(LEFT($AB1957,4)),VALUE(MID($AB1957,6,2)),VALUE(RIGHT($AB1957,2))),DATE(VALUE(RIGHT($AB1957,4)),VALUE(MID($AB1957,4,2)),VALUE(LEFT($AB1957,2)))))</f>
        <v>45873</v>
      </c>
      <c r="C1957" s="61" t="n">
        <f aca="false">YEAR($B1957)</f>
        <v>2025</v>
      </c>
      <c r="D1957" s="61" t="str">
        <f aca="false">"Q"&amp;ROUNDUP(MONTH($B1957)/3,0)</f>
        <v>Q3</v>
      </c>
      <c r="E1957" s="61" t="n">
        <f aca="false">MONTH($B1957)</f>
        <v>8</v>
      </c>
      <c r="F1957" s="61" t="str">
        <f aca="false">INDEX(Parametros!$I$5:$I$16,$E1957)</f>
        <v>Ago</v>
      </c>
      <c r="G1957" s="61" t="str">
        <f aca="false">TEXT($C1957,"0000")&amp;"-"&amp;TEXT($E1957,"00")</f>
        <v>2025-08</v>
      </c>
      <c r="H1957" s="61" t="str">
        <f aca="false">INDEX(Parametros!$C$71:$C$91,MATCH(TRIM(INDEX(Datos_Origen!$C$2:$C$2459,$Z1957)),Parametros!$B$71:$B$91,0))</f>
        <v>Litoral</v>
      </c>
      <c r="I1957" s="61" t="str">
        <f aca="false">IF(TRIM($AD1957)="",INDEX(Parametros!$I$20:$I$24,MATCH($H1957,Parametros!$H$20:$H$24,0)),TRIM($AD1957))</f>
        <v>Rosario</v>
      </c>
      <c r="J1957" s="61" t="str">
        <f aca="false">INDEX(Parametros!$C$95:$C$106,MATCH(TRIM(INDEX(Datos_Origen!$E$2:$E$2459,$Z1957)),Parametros!$B$95:$B$106,0))</f>
        <v>E-commerce</v>
      </c>
      <c r="K1957" s="61" t="str">
        <f aca="false">INDEX(Parametros!$C$48:$C$67,MATCH(TRIM(INDEX(Datos_Origen!$F$2:$F$2459,$Z1957)),Parametros!$B$48:$B$67,0))</f>
        <v>Audio</v>
      </c>
      <c r="L1957" s="61" t="str">
        <f aca="false">$K1957&amp;" "&amp;$C1957</f>
        <v>Audio 2025</v>
      </c>
      <c r="M1957" s="61" t="str">
        <f aca="false">TRIM(INDEX(Datos_Origen!$G$2:$G$2459,$Z1957))</f>
        <v>Parlante Bluetooth</v>
      </c>
      <c r="N1957" s="61" t="str">
        <f aca="false">$M1957&amp;" "&amp;$C1957</f>
        <v>Parlante Bluetooth 2025</v>
      </c>
      <c r="O1957" s="63" t="n">
        <f aca="false">IF(ISTEXT($AC1957),VALUE($AC1957),$AC1957)</f>
        <v>11</v>
      </c>
      <c r="P1957" s="64" t="n">
        <f aca="false">INDEX(Datos_Origen!$I$2:$I$2459,$Z1957)</f>
        <v>85.34</v>
      </c>
      <c r="Q1957" s="64" t="n">
        <f aca="false">INDEX(Datos_Origen!$J$2:$J$2459,$Z1957)</f>
        <v>49.47</v>
      </c>
      <c r="R1957" s="65" t="n">
        <f aca="false">ROUND($O1957*$P1957,2)</f>
        <v>938.74</v>
      </c>
      <c r="S1957" s="65" t="n">
        <f aca="false">ROUND($O1957*$Q1957,2)</f>
        <v>544.17</v>
      </c>
      <c r="T1957" s="65" t="n">
        <f aca="false">ROUND($R1957*SUMIFS(Parametros!$E$28:$E$43,Parametros!$B$28:$B$43,$J1957,Parametros!$C$28:$C$43,$C1957,Parametros!$D$28:$D$43,$D1957),2)</f>
        <v>52.57</v>
      </c>
      <c r="U1957" s="65" t="n">
        <f aca="false">$R1957-$S1957-$T1957</f>
        <v>342</v>
      </c>
      <c r="V1957" s="66" t="n">
        <f aca="false">IFERROR($U1957/$R1957,0)</f>
        <v>0.364318128555298</v>
      </c>
      <c r="W1957" s="67" t="str">
        <f aca="false">IF(AND($V1957&gt;=Parametros!$C$8,$R1957&gt;=Parametros!$C$12),"Alta rentabilidad",IF(OR($V1957&lt;Parametros!$C$11,$R1957&lt;Parametros!$C$13),"Revisar","Estandar"))</f>
        <v>Estandar</v>
      </c>
      <c r="X1957" s="67" t="str">
        <f aca="false">IF(AND($J1957="E-commerce",IFERROR($T1957/$R1957,0)&gt;Parametros!$C$14),"Alerta","OK")</f>
        <v>Alerta</v>
      </c>
      <c r="Y1957" s="61" t="str">
        <f aca="false">IF($R1957&gt;=Parametros!$C$12,"Alto",IF($R1957&lt;Parametros!$C$13,"Bajo","Medio"))</f>
        <v>Medio</v>
      </c>
      <c r="Z1957" s="61" t="n">
        <v>2410</v>
      </c>
      <c r="AA1957" s="61" t="str">
        <f aca="false">IF(MATCH($A1957,Datos_Origen!$A$2:$A$2459,0)=$Z1957,"OK","REVISAR")</f>
        <v>OK</v>
      </c>
      <c r="AB1957" s="62" t="n">
        <f aca="false">INDEX(Datos_Origen!$B$2:$B$2459,$Z1957)</f>
        <v>45873</v>
      </c>
      <c r="AC1957" s="61" t="n">
        <f aca="false">INDEX(Datos_Origen!$H$2:$H$2459,$Z1957)</f>
        <v>11</v>
      </c>
      <c r="AD1957" s="61" t="str">
        <f aca="false">INDEX(Datos_Origen!$D$2:$D$2459,$Z1957)&amp;""</f>
        <v>Rosario</v>
      </c>
    </row>
    <row r="1958" customFormat="false" ht="15" hidden="false" customHeight="false" outlineLevel="0" collapsed="false">
      <c r="A1958" s="61" t="n">
        <f aca="false">INDEX(Datos_Origen!$A$2:$A$2459,$Z1958)</f>
        <v>1957</v>
      </c>
      <c r="B1958" s="62" t="n">
        <f aca="false">IF(ISNUMBER($AB1958),$AB1958,IF(MID($AB1958,5,1)="-",DATE(VALUE(LEFT($AB1958,4)),VALUE(MID($AB1958,6,2)),VALUE(RIGHT($AB1958,2))),DATE(VALUE(RIGHT($AB1958,4)),VALUE(MID($AB1958,4,2)),VALUE(LEFT($AB1958,2)))))</f>
        <v>45880</v>
      </c>
      <c r="C1958" s="61" t="n">
        <f aca="false">YEAR($B1958)</f>
        <v>2025</v>
      </c>
      <c r="D1958" s="61" t="str">
        <f aca="false">"Q"&amp;ROUNDUP(MONTH($B1958)/3,0)</f>
        <v>Q3</v>
      </c>
      <c r="E1958" s="61" t="n">
        <f aca="false">MONTH($B1958)</f>
        <v>8</v>
      </c>
      <c r="F1958" s="61" t="str">
        <f aca="false">INDEX(Parametros!$I$5:$I$16,$E1958)</f>
        <v>Ago</v>
      </c>
      <c r="G1958" s="61" t="str">
        <f aca="false">TEXT($C1958,"0000")&amp;"-"&amp;TEXT($E1958,"00")</f>
        <v>2025-08</v>
      </c>
      <c r="H1958" s="61" t="str">
        <f aca="false">INDEX(Parametros!$C$71:$C$91,MATCH(TRIM(INDEX(Datos_Origen!$C$2:$C$2459,$Z1958)),Parametros!$B$71:$B$91,0))</f>
        <v>Litoral</v>
      </c>
      <c r="I1958" s="61" t="str">
        <f aca="false">IF(TRIM($AD1958)="",INDEX(Parametros!$I$20:$I$24,MATCH($H1958,Parametros!$H$20:$H$24,0)),TRIM($AD1958))</f>
        <v>Rosario</v>
      </c>
      <c r="J1958" s="61" t="str">
        <f aca="false">INDEX(Parametros!$C$95:$C$106,MATCH(TRIM(INDEX(Datos_Origen!$E$2:$E$2459,$Z1958)),Parametros!$B$95:$B$106,0))</f>
        <v>Tienda fisica</v>
      </c>
      <c r="K1958" s="61" t="str">
        <f aca="false">INDEX(Parametros!$C$48:$C$67,MATCH(TRIM(INDEX(Datos_Origen!$F$2:$F$2459,$Z1958)),Parametros!$B$48:$B$67,0))</f>
        <v>Almacenamiento</v>
      </c>
      <c r="L1958" s="61" t="str">
        <f aca="false">$K1958&amp;" "&amp;$C1958</f>
        <v>Almacenamiento 2025</v>
      </c>
      <c r="M1958" s="61" t="str">
        <f aca="false">TRIM(INDEX(Datos_Origen!$G$2:$G$2459,$Z1958))</f>
        <v>SSD Externo 1TB</v>
      </c>
      <c r="N1958" s="61" t="str">
        <f aca="false">$M1958&amp;" "&amp;$C1958</f>
        <v>SSD Externo 1TB 2025</v>
      </c>
      <c r="O1958" s="63" t="n">
        <f aca="false">IF(ISTEXT($AC1958),VALUE($AC1958),$AC1958)</f>
        <v>20</v>
      </c>
      <c r="P1958" s="64" t="n">
        <f aca="false">INDEX(Datos_Origen!$I$2:$I$2459,$Z1958)</f>
        <v>130.51</v>
      </c>
      <c r="Q1958" s="64" t="n">
        <f aca="false">INDEX(Datos_Origen!$J$2:$J$2459,$Z1958)</f>
        <v>78.33</v>
      </c>
      <c r="R1958" s="65" t="n">
        <f aca="false">ROUND($O1958*$P1958,2)</f>
        <v>2610.2</v>
      </c>
      <c r="S1958" s="65" t="n">
        <f aca="false">ROUND($O1958*$Q1958,2)</f>
        <v>1566.6</v>
      </c>
      <c r="T1958" s="65" t="n">
        <f aca="false">ROUND($R1958*SUMIFS(Parametros!$E$28:$E$43,Parametros!$B$28:$B$43,$J1958,Parametros!$C$28:$C$43,$C1958,Parametros!$D$28:$D$43,$D1958),2)</f>
        <v>33.93</v>
      </c>
      <c r="U1958" s="65" t="n">
        <f aca="false">$R1958-$S1958-$T1958</f>
        <v>1009.67</v>
      </c>
      <c r="V1958" s="66" t="n">
        <f aca="false">IFERROR($U1958/$R1958,0)</f>
        <v>0.386817102137767</v>
      </c>
      <c r="W1958" s="67" t="str">
        <f aca="false">IF(AND($V1958&gt;=Parametros!$C$8,$R1958&gt;=Parametros!$C$12),"Alta rentabilidad",IF(OR($V1958&lt;Parametros!$C$11,$R1958&lt;Parametros!$C$13),"Revisar","Estandar"))</f>
        <v>Estandar</v>
      </c>
      <c r="X1958" s="67" t="str">
        <f aca="false">IF(AND($J1958="E-commerce",IFERROR($T1958/$R1958,0)&gt;Parametros!$C$14),"Alerta","OK")</f>
        <v>OK</v>
      </c>
      <c r="Y1958" s="61" t="str">
        <f aca="false">IF($R1958&gt;=Parametros!$C$12,"Alto",IF($R1958&lt;Parametros!$C$13,"Bajo","Medio"))</f>
        <v>Medio</v>
      </c>
      <c r="Z1958" s="61" t="n">
        <v>706</v>
      </c>
      <c r="AA1958" s="61" t="str">
        <f aca="false">IF(MATCH($A1958,Datos_Origen!$A$2:$A$2459,0)=$Z1958,"OK","REVISAR")</f>
        <v>OK</v>
      </c>
      <c r="AB1958" s="61" t="str">
        <f aca="false">INDEX(Datos_Origen!$B$2:$B$2459,$Z1958)</f>
        <v>2025-08-11</v>
      </c>
      <c r="AC1958" s="61" t="n">
        <f aca="false">INDEX(Datos_Origen!$H$2:$H$2459,$Z1958)</f>
        <v>20</v>
      </c>
      <c r="AD1958" s="61" t="str">
        <f aca="false">INDEX(Datos_Origen!$D$2:$D$2459,$Z1958)&amp;""</f>
        <v/>
      </c>
    </row>
    <row r="1959" customFormat="false" ht="15" hidden="false" customHeight="false" outlineLevel="0" collapsed="false">
      <c r="A1959" s="61" t="n">
        <f aca="false">INDEX(Datos_Origen!$A$2:$A$2459,$Z1959)</f>
        <v>1958</v>
      </c>
      <c r="B1959" s="62" t="n">
        <f aca="false">IF(ISNUMBER($AB1959),$AB1959,IF(MID($AB1959,5,1)="-",DATE(VALUE(LEFT($AB1959,4)),VALUE(MID($AB1959,6,2)),VALUE(RIGHT($AB1959,2))),DATE(VALUE(RIGHT($AB1959,4)),VALUE(MID($AB1959,4,2)),VALUE(LEFT($AB1959,2)))))</f>
        <v>45887</v>
      </c>
      <c r="C1959" s="61" t="n">
        <f aca="false">YEAR($B1959)</f>
        <v>2025</v>
      </c>
      <c r="D1959" s="61" t="str">
        <f aca="false">"Q"&amp;ROUNDUP(MONTH($B1959)/3,0)</f>
        <v>Q3</v>
      </c>
      <c r="E1959" s="61" t="n">
        <f aca="false">MONTH($B1959)</f>
        <v>8</v>
      </c>
      <c r="F1959" s="61" t="str">
        <f aca="false">INDEX(Parametros!$I$5:$I$16,$E1959)</f>
        <v>Ago</v>
      </c>
      <c r="G1959" s="61" t="str">
        <f aca="false">TEXT($C1959,"0000")&amp;"-"&amp;TEXT($E1959,"00")</f>
        <v>2025-08</v>
      </c>
      <c r="H1959" s="61" t="str">
        <f aca="false">INDEX(Parametros!$C$71:$C$91,MATCH(TRIM(INDEX(Datos_Origen!$C$2:$C$2459,$Z1959)),Parametros!$B$71:$B$91,0))</f>
        <v>Litoral</v>
      </c>
      <c r="I1959" s="61" t="str">
        <f aca="false">IF(TRIM($AD1959)="",INDEX(Parametros!$I$20:$I$24,MATCH($H1959,Parametros!$H$20:$H$24,0)),TRIM($AD1959))</f>
        <v>Rosario</v>
      </c>
      <c r="J1959" s="61" t="str">
        <f aca="false">INDEX(Parametros!$C$95:$C$106,MATCH(TRIM(INDEX(Datos_Origen!$E$2:$E$2459,$Z1959)),Parametros!$B$95:$B$106,0))</f>
        <v>E-commerce</v>
      </c>
      <c r="K1959" s="61" t="str">
        <f aca="false">INDEX(Parametros!$C$48:$C$67,MATCH(TRIM(INDEX(Datos_Origen!$F$2:$F$2459,$Z1959)),Parametros!$B$48:$B$67,0))</f>
        <v>Almacenamiento</v>
      </c>
      <c r="L1959" s="61" t="str">
        <f aca="false">$K1959&amp;" "&amp;$C1959</f>
        <v>Almacenamiento 2025</v>
      </c>
      <c r="M1959" s="61" t="str">
        <f aca="false">TRIM(INDEX(Datos_Origen!$G$2:$G$2459,$Z1959))</f>
        <v>SSD Externo 1TB</v>
      </c>
      <c r="N1959" s="61" t="str">
        <f aca="false">$M1959&amp;" "&amp;$C1959</f>
        <v>SSD Externo 1TB 2025</v>
      </c>
      <c r="O1959" s="63" t="n">
        <f aca="false">IF(ISTEXT($AC1959),VALUE($AC1959),$AC1959)</f>
        <v>14</v>
      </c>
      <c r="P1959" s="64" t="n">
        <f aca="false">INDEX(Datos_Origen!$I$2:$I$2459,$Z1959)</f>
        <v>130.51</v>
      </c>
      <c r="Q1959" s="64" t="n">
        <f aca="false">INDEX(Datos_Origen!$J$2:$J$2459,$Z1959)</f>
        <v>78.33</v>
      </c>
      <c r="R1959" s="65" t="n">
        <f aca="false">ROUND($O1959*$P1959,2)</f>
        <v>1827.14</v>
      </c>
      <c r="S1959" s="65" t="n">
        <f aca="false">ROUND($O1959*$Q1959,2)</f>
        <v>1096.62</v>
      </c>
      <c r="T1959" s="65" t="n">
        <f aca="false">ROUND($R1959*SUMIFS(Parametros!$E$28:$E$43,Parametros!$B$28:$B$43,$J1959,Parametros!$C$28:$C$43,$C1959,Parametros!$D$28:$D$43,$D1959),2)</f>
        <v>102.32</v>
      </c>
      <c r="U1959" s="65" t="n">
        <f aca="false">$R1959-$S1959-$T1959</f>
        <v>628.2</v>
      </c>
      <c r="V1959" s="66" t="n">
        <f aca="false">IFERROR($U1959/$R1959,0)</f>
        <v>0.343816018476964</v>
      </c>
      <c r="W1959" s="67" t="str">
        <f aca="false">IF(AND($V1959&gt;=Parametros!$C$8,$R1959&gt;=Parametros!$C$12),"Alta rentabilidad",IF(OR($V1959&lt;Parametros!$C$11,$R1959&lt;Parametros!$C$13),"Revisar","Estandar"))</f>
        <v>Estandar</v>
      </c>
      <c r="X1959" s="67" t="str">
        <f aca="false">IF(AND($J1959="E-commerce",IFERROR($T1959/$R1959,0)&gt;Parametros!$C$14),"Alerta","OK")</f>
        <v>Alerta</v>
      </c>
      <c r="Y1959" s="61" t="str">
        <f aca="false">IF($R1959&gt;=Parametros!$C$12,"Alto",IF($R1959&lt;Parametros!$C$13,"Bajo","Medio"))</f>
        <v>Medio</v>
      </c>
      <c r="Z1959" s="61" t="n">
        <v>2142</v>
      </c>
      <c r="AA1959" s="61" t="str">
        <f aca="false">IF(MATCH($A1959,Datos_Origen!$A$2:$A$2459,0)=$Z1959,"OK","REVISAR")</f>
        <v>OK</v>
      </c>
      <c r="AB1959" s="61" t="str">
        <f aca="false">INDEX(Datos_Origen!$B$2:$B$2459,$Z1959)</f>
        <v>2025-08-18</v>
      </c>
      <c r="AC1959" s="61" t="n">
        <f aca="false">INDEX(Datos_Origen!$H$2:$H$2459,$Z1959)</f>
        <v>14</v>
      </c>
      <c r="AD1959" s="61" t="str">
        <f aca="false">INDEX(Datos_Origen!$D$2:$D$2459,$Z1959)&amp;""</f>
        <v>Rosario</v>
      </c>
    </row>
    <row r="1960" customFormat="false" ht="15" hidden="false" customHeight="false" outlineLevel="0" collapsed="false">
      <c r="A1960" s="61" t="n">
        <f aca="false">INDEX(Datos_Origen!$A$2:$A$2459,$Z1960)</f>
        <v>1959</v>
      </c>
      <c r="B1960" s="62" t="n">
        <f aca="false">IF(ISNUMBER($AB1960),$AB1960,IF(MID($AB1960,5,1)="-",DATE(VALUE(LEFT($AB1960,4)),VALUE(MID($AB1960,6,2)),VALUE(RIGHT($AB1960,2))),DATE(VALUE(RIGHT($AB1960,4)),VALUE(MID($AB1960,4,2)),VALUE(LEFT($AB1960,2)))))</f>
        <v>45894</v>
      </c>
      <c r="C1960" s="61" t="n">
        <f aca="false">YEAR($B1960)</f>
        <v>2025</v>
      </c>
      <c r="D1960" s="61" t="str">
        <f aca="false">"Q"&amp;ROUNDUP(MONTH($B1960)/3,0)</f>
        <v>Q3</v>
      </c>
      <c r="E1960" s="61" t="n">
        <f aca="false">MONTH($B1960)</f>
        <v>8</v>
      </c>
      <c r="F1960" s="61" t="str">
        <f aca="false">INDEX(Parametros!$I$5:$I$16,$E1960)</f>
        <v>Ago</v>
      </c>
      <c r="G1960" s="61" t="str">
        <f aca="false">TEXT($C1960,"0000")&amp;"-"&amp;TEXT($E1960,"00")</f>
        <v>2025-08</v>
      </c>
      <c r="H1960" s="61" t="str">
        <f aca="false">INDEX(Parametros!$C$71:$C$91,MATCH(TRIM(INDEX(Datos_Origen!$C$2:$C$2459,$Z1960)),Parametros!$B$71:$B$91,0))</f>
        <v>Litoral</v>
      </c>
      <c r="I1960" s="61" t="str">
        <f aca="false">IF(TRIM($AD1960)="",INDEX(Parametros!$I$20:$I$24,MATCH($H1960,Parametros!$H$20:$H$24,0)),TRIM($AD1960))</f>
        <v>Rosario</v>
      </c>
      <c r="J1960" s="61" t="str">
        <f aca="false">INDEX(Parametros!$C$95:$C$106,MATCH(TRIM(INDEX(Datos_Origen!$E$2:$E$2459,$Z1960)),Parametros!$B$95:$B$106,0))</f>
        <v>Tienda fisica</v>
      </c>
      <c r="K1960" s="61" t="str">
        <f aca="false">INDEX(Parametros!$C$48:$C$67,MATCH(TRIM(INDEX(Datos_Origen!$F$2:$F$2459,$Z1960)),Parametros!$B$48:$B$67,0))</f>
        <v>Almacenamiento</v>
      </c>
      <c r="L1960" s="61" t="str">
        <f aca="false">$K1960&amp;" "&amp;$C1960</f>
        <v>Almacenamiento 2025</v>
      </c>
      <c r="M1960" s="61" t="str">
        <f aca="false">TRIM(INDEX(Datos_Origen!$G$2:$G$2459,$Z1960))</f>
        <v>Pendrive 256GB</v>
      </c>
      <c r="N1960" s="61" t="str">
        <f aca="false">$M1960&amp;" "&amp;$C1960</f>
        <v>Pendrive 256GB 2025</v>
      </c>
      <c r="O1960" s="63" t="n">
        <f aca="false">IF(ISTEXT($AC1960),VALUE($AC1960),$AC1960)</f>
        <v>26</v>
      </c>
      <c r="P1960" s="64" t="n">
        <f aca="false">INDEX(Datos_Origen!$I$2:$I$2459,$Z1960)</f>
        <v>35.14</v>
      </c>
      <c r="Q1960" s="64" t="n">
        <f aca="false">INDEX(Datos_Origen!$J$2:$J$2459,$Z1960)</f>
        <v>18.39</v>
      </c>
      <c r="R1960" s="65" t="n">
        <f aca="false">ROUND($O1960*$P1960,2)</f>
        <v>913.64</v>
      </c>
      <c r="S1960" s="65" t="n">
        <f aca="false">ROUND($O1960*$Q1960,2)</f>
        <v>478.14</v>
      </c>
      <c r="T1960" s="65" t="n">
        <f aca="false">ROUND($R1960*SUMIFS(Parametros!$E$28:$E$43,Parametros!$B$28:$B$43,$J1960,Parametros!$C$28:$C$43,$C1960,Parametros!$D$28:$D$43,$D1960),2)</f>
        <v>11.88</v>
      </c>
      <c r="U1960" s="65" t="n">
        <f aca="false">$R1960-$S1960-$T1960</f>
        <v>423.62</v>
      </c>
      <c r="V1960" s="66" t="n">
        <f aca="false">IFERROR($U1960/$R1960,0)</f>
        <v>0.463661836171796</v>
      </c>
      <c r="W1960" s="67" t="str">
        <f aca="false">IF(AND($V1960&gt;=Parametros!$C$8,$R1960&gt;=Parametros!$C$12),"Alta rentabilidad",IF(OR($V1960&lt;Parametros!$C$11,$R1960&lt;Parametros!$C$13),"Revisar","Estandar"))</f>
        <v>Estandar</v>
      </c>
      <c r="X1960" s="67" t="str">
        <f aca="false">IF(AND($J1960="E-commerce",IFERROR($T1960/$R1960,0)&gt;Parametros!$C$14),"Alerta","OK")</f>
        <v>OK</v>
      </c>
      <c r="Y1960" s="61" t="str">
        <f aca="false">IF($R1960&gt;=Parametros!$C$12,"Alto",IF($R1960&lt;Parametros!$C$13,"Bajo","Medio"))</f>
        <v>Medio</v>
      </c>
      <c r="Z1960" s="61" t="n">
        <v>1965</v>
      </c>
      <c r="AA1960" s="61" t="str">
        <f aca="false">IF(MATCH($A1960,Datos_Origen!$A$2:$A$2459,0)=$Z1960,"OK","REVISAR")</f>
        <v>OK</v>
      </c>
      <c r="AB1960" s="62" t="n">
        <f aca="false">INDEX(Datos_Origen!$B$2:$B$2459,$Z1960)</f>
        <v>45894</v>
      </c>
      <c r="AC1960" s="61" t="n">
        <f aca="false">INDEX(Datos_Origen!$H$2:$H$2459,$Z1960)</f>
        <v>26</v>
      </c>
      <c r="AD1960" s="61" t="str">
        <f aca="false">INDEX(Datos_Origen!$D$2:$D$2459,$Z1960)&amp;""</f>
        <v>Rosario</v>
      </c>
    </row>
    <row r="1961" customFormat="false" ht="15" hidden="false" customHeight="false" outlineLevel="0" collapsed="false">
      <c r="A1961" s="61" t="n">
        <f aca="false">INDEX(Datos_Origen!$A$2:$A$2459,$Z1961)</f>
        <v>1960</v>
      </c>
      <c r="B1961" s="62" t="n">
        <f aca="false">IF(ISNUMBER($AB1961),$AB1961,IF(MID($AB1961,5,1)="-",DATE(VALUE(LEFT($AB1961,4)),VALUE(MID($AB1961,6,2)),VALUE(RIGHT($AB1961,2))),DATE(VALUE(RIGHT($AB1961,4)),VALUE(MID($AB1961,4,2)),VALUE(LEFT($AB1961,2)))))</f>
        <v>45874</v>
      </c>
      <c r="C1961" s="61" t="n">
        <f aca="false">YEAR($B1961)</f>
        <v>2025</v>
      </c>
      <c r="D1961" s="61" t="str">
        <f aca="false">"Q"&amp;ROUNDUP(MONTH($B1961)/3,0)</f>
        <v>Q3</v>
      </c>
      <c r="E1961" s="61" t="n">
        <f aca="false">MONTH($B1961)</f>
        <v>8</v>
      </c>
      <c r="F1961" s="61" t="str">
        <f aca="false">INDEX(Parametros!$I$5:$I$16,$E1961)</f>
        <v>Ago</v>
      </c>
      <c r="G1961" s="61" t="str">
        <f aca="false">TEXT($C1961,"0000")&amp;"-"&amp;TEXT($E1961,"00")</f>
        <v>2025-08</v>
      </c>
      <c r="H1961" s="61" t="str">
        <f aca="false">INDEX(Parametros!$C$71:$C$91,MATCH(TRIM(INDEX(Datos_Origen!$C$2:$C$2459,$Z1961)),Parametros!$B$71:$B$91,0))</f>
        <v>Litoral</v>
      </c>
      <c r="I1961" s="61" t="str">
        <f aca="false">IF(TRIM($AD1961)="",INDEX(Parametros!$I$20:$I$24,MATCH($H1961,Parametros!$H$20:$H$24,0)),TRIM($AD1961))</f>
        <v>Rosario</v>
      </c>
      <c r="J1961" s="61" t="str">
        <f aca="false">INDEX(Parametros!$C$95:$C$106,MATCH(TRIM(INDEX(Datos_Origen!$E$2:$E$2459,$Z1961)),Parametros!$B$95:$B$106,0))</f>
        <v>E-commerce</v>
      </c>
      <c r="K1961" s="61" t="str">
        <f aca="false">INDEX(Parametros!$C$48:$C$67,MATCH(TRIM(INDEX(Datos_Origen!$F$2:$F$2459,$Z1961)),Parametros!$B$48:$B$67,0))</f>
        <v>Almacenamiento</v>
      </c>
      <c r="L1961" s="61" t="str">
        <f aca="false">$K1961&amp;" "&amp;$C1961</f>
        <v>Almacenamiento 2025</v>
      </c>
      <c r="M1961" s="61" t="str">
        <f aca="false">TRIM(INDEX(Datos_Origen!$G$2:$G$2459,$Z1961))</f>
        <v>Pendrive 256GB</v>
      </c>
      <c r="N1961" s="61" t="str">
        <f aca="false">$M1961&amp;" "&amp;$C1961</f>
        <v>Pendrive 256GB 2025</v>
      </c>
      <c r="O1961" s="63" t="n">
        <f aca="false">IF(ISTEXT($AC1961),VALUE($AC1961),$AC1961)</f>
        <v>18</v>
      </c>
      <c r="P1961" s="64" t="n">
        <f aca="false">INDEX(Datos_Origen!$I$2:$I$2459,$Z1961)</f>
        <v>35.14</v>
      </c>
      <c r="Q1961" s="64" t="n">
        <f aca="false">INDEX(Datos_Origen!$J$2:$J$2459,$Z1961)</f>
        <v>18.39</v>
      </c>
      <c r="R1961" s="65" t="n">
        <f aca="false">ROUND($O1961*$P1961,2)</f>
        <v>632.52</v>
      </c>
      <c r="S1961" s="65" t="n">
        <f aca="false">ROUND($O1961*$Q1961,2)</f>
        <v>331.02</v>
      </c>
      <c r="T1961" s="65" t="n">
        <f aca="false">ROUND($R1961*SUMIFS(Parametros!$E$28:$E$43,Parametros!$B$28:$B$43,$J1961,Parametros!$C$28:$C$43,$C1961,Parametros!$D$28:$D$43,$D1961),2)</f>
        <v>35.42</v>
      </c>
      <c r="U1961" s="65" t="n">
        <f aca="false">$R1961-$S1961-$T1961</f>
        <v>266.08</v>
      </c>
      <c r="V1961" s="66" t="n">
        <f aca="false">IFERROR($U1961/$R1961,0)</f>
        <v>0.420666540188453</v>
      </c>
      <c r="W1961" s="67" t="str">
        <f aca="false">IF(AND($V1961&gt;=Parametros!$C$8,$R1961&gt;=Parametros!$C$12),"Alta rentabilidad",IF(OR($V1961&lt;Parametros!$C$11,$R1961&lt;Parametros!$C$13),"Revisar","Estandar"))</f>
        <v>Estandar</v>
      </c>
      <c r="X1961" s="67" t="str">
        <f aca="false">IF(AND($J1961="E-commerce",IFERROR($T1961/$R1961,0)&gt;Parametros!$C$14),"Alerta","OK")</f>
        <v>Alerta</v>
      </c>
      <c r="Y1961" s="61" t="str">
        <f aca="false">IF($R1961&gt;=Parametros!$C$12,"Alto",IF($R1961&lt;Parametros!$C$13,"Bajo","Medio"))</f>
        <v>Medio</v>
      </c>
      <c r="Z1961" s="61" t="n">
        <v>355</v>
      </c>
      <c r="AA1961" s="61" t="str">
        <f aca="false">IF(MATCH($A1961,Datos_Origen!$A$2:$A$2459,0)=$Z1961,"OK","REVISAR")</f>
        <v>OK</v>
      </c>
      <c r="AB1961" s="61" t="str">
        <f aca="false">INDEX(Datos_Origen!$B$2:$B$2459,$Z1961)</f>
        <v>05/08/2025</v>
      </c>
      <c r="AC1961" s="61" t="n">
        <f aca="false">INDEX(Datos_Origen!$H$2:$H$2459,$Z1961)</f>
        <v>18</v>
      </c>
      <c r="AD1961" s="61" t="str">
        <f aca="false">INDEX(Datos_Origen!$D$2:$D$2459,$Z1961)&amp;""</f>
        <v>Rosario</v>
      </c>
    </row>
    <row r="1962" customFormat="false" ht="15" hidden="false" customHeight="false" outlineLevel="0" collapsed="false">
      <c r="A1962" s="61" t="n">
        <f aca="false">INDEX(Datos_Origen!$A$2:$A$2459,$Z1962)</f>
        <v>1961</v>
      </c>
      <c r="B1962" s="62" t="n">
        <f aca="false">IF(ISNUMBER($AB1962),$AB1962,IF(MID($AB1962,5,1)="-",DATE(VALUE(LEFT($AB1962,4)),VALUE(MID($AB1962,6,2)),VALUE(RIGHT($AB1962,2))),DATE(VALUE(RIGHT($AB1962,4)),VALUE(MID($AB1962,4,2)),VALUE(LEFT($AB1962,2)))))</f>
        <v>45881</v>
      </c>
      <c r="C1962" s="61" t="n">
        <f aca="false">YEAR($B1962)</f>
        <v>2025</v>
      </c>
      <c r="D1962" s="61" t="str">
        <f aca="false">"Q"&amp;ROUNDUP(MONTH($B1962)/3,0)</f>
        <v>Q3</v>
      </c>
      <c r="E1962" s="61" t="n">
        <f aca="false">MONTH($B1962)</f>
        <v>8</v>
      </c>
      <c r="F1962" s="61" t="str">
        <f aca="false">INDEX(Parametros!$I$5:$I$16,$E1962)</f>
        <v>Ago</v>
      </c>
      <c r="G1962" s="61" t="str">
        <f aca="false">TEXT($C1962,"0000")&amp;"-"&amp;TEXT($E1962,"00")</f>
        <v>2025-08</v>
      </c>
      <c r="H1962" s="61" t="str">
        <f aca="false">INDEX(Parametros!$C$71:$C$91,MATCH(TRIM(INDEX(Datos_Origen!$C$2:$C$2459,$Z1962)),Parametros!$B$71:$B$91,0))</f>
        <v>Cuyo</v>
      </c>
      <c r="I1962" s="61" t="str">
        <f aca="false">IF(TRIM($AD1962)="",INDEX(Parametros!$I$20:$I$24,MATCH($H1962,Parametros!$H$20:$H$24,0)),TRIM($AD1962))</f>
        <v>Mendoza</v>
      </c>
      <c r="J1962" s="61" t="str">
        <f aca="false">INDEX(Parametros!$C$95:$C$106,MATCH(TRIM(INDEX(Datos_Origen!$E$2:$E$2459,$Z1962)),Parametros!$B$95:$B$106,0))</f>
        <v>Tienda fisica</v>
      </c>
      <c r="K1962" s="61" t="str">
        <f aca="false">INDEX(Parametros!$C$48:$C$67,MATCH(TRIM(INDEX(Datos_Origen!$F$2:$F$2459,$Z1962)),Parametros!$B$48:$B$67,0))</f>
        <v>Computacion</v>
      </c>
      <c r="L1962" s="61" t="str">
        <f aca="false">$K1962&amp;" "&amp;$C1962</f>
        <v>Computacion 2025</v>
      </c>
      <c r="M1962" s="61" t="str">
        <f aca="false">TRIM(INDEX(Datos_Origen!$G$2:$G$2459,$Z1962))</f>
        <v>Laptop Pro 15</v>
      </c>
      <c r="N1962" s="61" t="str">
        <f aca="false">$M1962&amp;" "&amp;$C1962</f>
        <v>Laptop Pro 15 2025</v>
      </c>
      <c r="O1962" s="63" t="n">
        <f aca="false">IF(ISTEXT($AC1962),VALUE($AC1962),$AC1962)</f>
        <v>6</v>
      </c>
      <c r="P1962" s="64" t="n">
        <f aca="false">INDEX(Datos_Origen!$I$2:$I$2459,$Z1962)</f>
        <v>1204.74</v>
      </c>
      <c r="Q1962" s="64" t="n">
        <f aca="false">INDEX(Datos_Origen!$J$2:$J$2459,$Z1962)</f>
        <v>766.32</v>
      </c>
      <c r="R1962" s="65" t="n">
        <f aca="false">ROUND($O1962*$P1962,2)</f>
        <v>7228.44</v>
      </c>
      <c r="S1962" s="65" t="n">
        <f aca="false">ROUND($O1962*$Q1962,2)</f>
        <v>4597.92</v>
      </c>
      <c r="T1962" s="65" t="n">
        <f aca="false">ROUND($R1962*SUMIFS(Parametros!$E$28:$E$43,Parametros!$B$28:$B$43,$J1962,Parametros!$C$28:$C$43,$C1962,Parametros!$D$28:$D$43,$D1962),2)</f>
        <v>93.97</v>
      </c>
      <c r="U1962" s="65" t="n">
        <f aca="false">$R1962-$S1962-$T1962</f>
        <v>2536.55</v>
      </c>
      <c r="V1962" s="66" t="n">
        <f aca="false">IFERROR($U1962/$R1962,0)</f>
        <v>0.350912506709608</v>
      </c>
      <c r="W1962" s="67" t="str">
        <f aca="false">IF(AND($V1962&gt;=Parametros!$C$8,$R1962&gt;=Parametros!$C$12),"Alta rentabilidad",IF(OR($V1962&lt;Parametros!$C$11,$R1962&lt;Parametros!$C$13),"Revisar","Estandar"))</f>
        <v>Alta rentabilidad</v>
      </c>
      <c r="X1962" s="67" t="str">
        <f aca="false">IF(AND($J1962="E-commerce",IFERROR($T1962/$R1962,0)&gt;Parametros!$C$14),"Alerta","OK")</f>
        <v>OK</v>
      </c>
      <c r="Y1962" s="61" t="str">
        <f aca="false">IF($R1962&gt;=Parametros!$C$12,"Alto",IF($R1962&lt;Parametros!$C$13,"Bajo","Medio"))</f>
        <v>Alto</v>
      </c>
      <c r="Z1962" s="61" t="n">
        <v>2216</v>
      </c>
      <c r="AA1962" s="61" t="str">
        <f aca="false">IF(MATCH($A1962,Datos_Origen!$A$2:$A$2459,0)=$Z1962,"OK","REVISAR")</f>
        <v>OK</v>
      </c>
      <c r="AB1962" s="62" t="n">
        <f aca="false">INDEX(Datos_Origen!$B$2:$B$2459,$Z1962)</f>
        <v>45881</v>
      </c>
      <c r="AC1962" s="61" t="n">
        <f aca="false">INDEX(Datos_Origen!$H$2:$H$2459,$Z1962)</f>
        <v>6</v>
      </c>
      <c r="AD1962" s="61" t="str">
        <f aca="false">INDEX(Datos_Origen!$D$2:$D$2459,$Z1962)&amp;""</f>
        <v>Mendoza</v>
      </c>
    </row>
    <row r="1963" customFormat="false" ht="15" hidden="false" customHeight="false" outlineLevel="0" collapsed="false">
      <c r="A1963" s="61" t="n">
        <f aca="false">INDEX(Datos_Origen!$A$2:$A$2459,$Z1963)</f>
        <v>1962</v>
      </c>
      <c r="B1963" s="62" t="n">
        <f aca="false">IF(ISNUMBER($AB1963),$AB1963,IF(MID($AB1963,5,1)="-",DATE(VALUE(LEFT($AB1963,4)),VALUE(MID($AB1963,6,2)),VALUE(RIGHT($AB1963,2))),DATE(VALUE(RIGHT($AB1963,4)),VALUE(MID($AB1963,4,2)),VALUE(LEFT($AB1963,2)))))</f>
        <v>45888</v>
      </c>
      <c r="C1963" s="61" t="n">
        <f aca="false">YEAR($B1963)</f>
        <v>2025</v>
      </c>
      <c r="D1963" s="61" t="str">
        <f aca="false">"Q"&amp;ROUNDUP(MONTH($B1963)/3,0)</f>
        <v>Q3</v>
      </c>
      <c r="E1963" s="61" t="n">
        <f aca="false">MONTH($B1963)</f>
        <v>8</v>
      </c>
      <c r="F1963" s="61" t="str">
        <f aca="false">INDEX(Parametros!$I$5:$I$16,$E1963)</f>
        <v>Ago</v>
      </c>
      <c r="G1963" s="61" t="str">
        <f aca="false">TEXT($C1963,"0000")&amp;"-"&amp;TEXT($E1963,"00")</f>
        <v>2025-08</v>
      </c>
      <c r="H1963" s="61" t="str">
        <f aca="false">INDEX(Parametros!$C$71:$C$91,MATCH(TRIM(INDEX(Datos_Origen!$C$2:$C$2459,$Z1963)),Parametros!$B$71:$B$91,0))</f>
        <v>Cuyo</v>
      </c>
      <c r="I1963" s="61" t="str">
        <f aca="false">IF(TRIM($AD1963)="",INDEX(Parametros!$I$20:$I$24,MATCH($H1963,Parametros!$H$20:$H$24,0)),TRIM($AD1963))</f>
        <v>Mendoza</v>
      </c>
      <c r="J1963" s="61" t="str">
        <f aca="false">INDEX(Parametros!$C$95:$C$106,MATCH(TRIM(INDEX(Datos_Origen!$E$2:$E$2459,$Z1963)),Parametros!$B$95:$B$106,0))</f>
        <v>E-commerce</v>
      </c>
      <c r="K1963" s="61" t="str">
        <f aca="false">INDEX(Parametros!$C$48:$C$67,MATCH(TRIM(INDEX(Datos_Origen!$F$2:$F$2459,$Z1963)),Parametros!$B$48:$B$67,0))</f>
        <v>Computacion</v>
      </c>
      <c r="L1963" s="61" t="str">
        <f aca="false">$K1963&amp;" "&amp;$C1963</f>
        <v>Computacion 2025</v>
      </c>
      <c r="M1963" s="61" t="str">
        <f aca="false">TRIM(INDEX(Datos_Origen!$G$2:$G$2459,$Z1963))</f>
        <v>Laptop Pro 15</v>
      </c>
      <c r="N1963" s="61" t="str">
        <f aca="false">$M1963&amp;" "&amp;$C1963</f>
        <v>Laptop Pro 15 2025</v>
      </c>
      <c r="O1963" s="63" t="n">
        <f aca="false">IF(ISTEXT($AC1963),VALUE($AC1963),$AC1963)</f>
        <v>5</v>
      </c>
      <c r="P1963" s="64" t="n">
        <f aca="false">INDEX(Datos_Origen!$I$2:$I$2459,$Z1963)</f>
        <v>1204.74</v>
      </c>
      <c r="Q1963" s="64" t="n">
        <f aca="false">INDEX(Datos_Origen!$J$2:$J$2459,$Z1963)</f>
        <v>766.32</v>
      </c>
      <c r="R1963" s="65" t="n">
        <f aca="false">ROUND($O1963*$P1963,2)</f>
        <v>6023.7</v>
      </c>
      <c r="S1963" s="65" t="n">
        <f aca="false">ROUND($O1963*$Q1963,2)</f>
        <v>3831.6</v>
      </c>
      <c r="T1963" s="65" t="n">
        <f aca="false">ROUND($R1963*SUMIFS(Parametros!$E$28:$E$43,Parametros!$B$28:$B$43,$J1963,Parametros!$C$28:$C$43,$C1963,Parametros!$D$28:$D$43,$D1963),2)</f>
        <v>337.33</v>
      </c>
      <c r="U1963" s="65" t="n">
        <f aca="false">$R1963-$S1963-$T1963</f>
        <v>1854.77</v>
      </c>
      <c r="V1963" s="66" t="n">
        <f aca="false">IFERROR($U1963/$R1963,0)</f>
        <v>0.307912080614905</v>
      </c>
      <c r="W1963" s="67" t="str">
        <f aca="false">IF(AND($V1963&gt;=Parametros!$C$8,$R1963&gt;=Parametros!$C$12),"Alta rentabilidad",IF(OR($V1963&lt;Parametros!$C$11,$R1963&lt;Parametros!$C$13),"Revisar","Estandar"))</f>
        <v>Estandar</v>
      </c>
      <c r="X1963" s="67" t="str">
        <f aca="false">IF(AND($J1963="E-commerce",IFERROR($T1963/$R1963,0)&gt;Parametros!$C$14),"Alerta","OK")</f>
        <v>Alerta</v>
      </c>
      <c r="Y1963" s="61" t="str">
        <f aca="false">IF($R1963&gt;=Parametros!$C$12,"Alto",IF($R1963&lt;Parametros!$C$13,"Bajo","Medio"))</f>
        <v>Alto</v>
      </c>
      <c r="Z1963" s="61" t="n">
        <v>1982</v>
      </c>
      <c r="AA1963" s="61" t="str">
        <f aca="false">IF(MATCH($A1963,Datos_Origen!$A$2:$A$2459,0)=$Z1963,"OK","REVISAR")</f>
        <v>OK</v>
      </c>
      <c r="AB1963" s="61" t="str">
        <f aca="false">INDEX(Datos_Origen!$B$2:$B$2459,$Z1963)</f>
        <v>19/08/2025</v>
      </c>
      <c r="AC1963" s="61" t="n">
        <f aca="false">INDEX(Datos_Origen!$H$2:$H$2459,$Z1963)</f>
        <v>5</v>
      </c>
      <c r="AD1963" s="61" t="str">
        <f aca="false">INDEX(Datos_Origen!$D$2:$D$2459,$Z1963)&amp;""</f>
        <v>Mendoza</v>
      </c>
    </row>
    <row r="1964" customFormat="false" ht="15" hidden="false" customHeight="false" outlineLevel="0" collapsed="false">
      <c r="A1964" s="61" t="n">
        <f aca="false">INDEX(Datos_Origen!$A$2:$A$2459,$Z1964)</f>
        <v>1963</v>
      </c>
      <c r="B1964" s="62" t="n">
        <f aca="false">IF(ISNUMBER($AB1964),$AB1964,IF(MID($AB1964,5,1)="-",DATE(VALUE(LEFT($AB1964,4)),VALUE(MID($AB1964,6,2)),VALUE(RIGHT($AB1964,2))),DATE(VALUE(RIGHT($AB1964,4)),VALUE(MID($AB1964,4,2)),VALUE(LEFT($AB1964,2)))))</f>
        <v>45895</v>
      </c>
      <c r="C1964" s="61" t="n">
        <f aca="false">YEAR($B1964)</f>
        <v>2025</v>
      </c>
      <c r="D1964" s="61" t="str">
        <f aca="false">"Q"&amp;ROUNDUP(MONTH($B1964)/3,0)</f>
        <v>Q3</v>
      </c>
      <c r="E1964" s="61" t="n">
        <f aca="false">MONTH($B1964)</f>
        <v>8</v>
      </c>
      <c r="F1964" s="61" t="str">
        <f aca="false">INDEX(Parametros!$I$5:$I$16,$E1964)</f>
        <v>Ago</v>
      </c>
      <c r="G1964" s="61" t="str">
        <f aca="false">TEXT($C1964,"0000")&amp;"-"&amp;TEXT($E1964,"00")</f>
        <v>2025-08</v>
      </c>
      <c r="H1964" s="61" t="str">
        <f aca="false">INDEX(Parametros!$C$71:$C$91,MATCH(TRIM(INDEX(Datos_Origen!$C$2:$C$2459,$Z1964)),Parametros!$B$71:$B$91,0))</f>
        <v>Cuyo</v>
      </c>
      <c r="I1964" s="61" t="str">
        <f aca="false">IF(TRIM($AD1964)="",INDEX(Parametros!$I$20:$I$24,MATCH($H1964,Parametros!$H$20:$H$24,0)),TRIM($AD1964))</f>
        <v>Mendoza</v>
      </c>
      <c r="J1964" s="61" t="str">
        <f aca="false">INDEX(Parametros!$C$95:$C$106,MATCH(TRIM(INDEX(Datos_Origen!$E$2:$E$2459,$Z1964)),Parametros!$B$95:$B$106,0))</f>
        <v>Tienda fisica</v>
      </c>
      <c r="K1964" s="61" t="str">
        <f aca="false">INDEX(Parametros!$C$48:$C$67,MATCH(TRIM(INDEX(Datos_Origen!$F$2:$F$2459,$Z1964)),Parametros!$B$48:$B$67,0))</f>
        <v>Computacion</v>
      </c>
      <c r="L1964" s="61" t="str">
        <f aca="false">$K1964&amp;" "&amp;$C1964</f>
        <v>Computacion 2025</v>
      </c>
      <c r="M1964" s="61" t="str">
        <f aca="false">TRIM(INDEX(Datos_Origen!$G$2:$G$2459,$Z1964))</f>
        <v>Monitor 4K 27</v>
      </c>
      <c r="N1964" s="61" t="str">
        <f aca="false">$M1964&amp;" "&amp;$C1964</f>
        <v>Monitor 4K 27 2025</v>
      </c>
      <c r="O1964" s="63" t="n">
        <f aca="false">IF(ISTEXT($AC1964),VALUE($AC1964),$AC1964)</f>
        <v>5</v>
      </c>
      <c r="P1964" s="64" t="n">
        <f aca="false">INDEX(Datos_Origen!$I$2:$I$2459,$Z1964)</f>
        <v>451.78</v>
      </c>
      <c r="Q1964" s="64" t="n">
        <f aca="false">INDEX(Datos_Origen!$J$2:$J$2459,$Z1964)</f>
        <v>280.42</v>
      </c>
      <c r="R1964" s="65" t="n">
        <f aca="false">ROUND($O1964*$P1964,2)</f>
        <v>2258.9</v>
      </c>
      <c r="S1964" s="65" t="n">
        <f aca="false">ROUND($O1964*$Q1964,2)</f>
        <v>1402.1</v>
      </c>
      <c r="T1964" s="65" t="n">
        <f aca="false">ROUND($R1964*SUMIFS(Parametros!$E$28:$E$43,Parametros!$B$28:$B$43,$J1964,Parametros!$C$28:$C$43,$C1964,Parametros!$D$28:$D$43,$D1964),2)</f>
        <v>29.37</v>
      </c>
      <c r="U1964" s="65" t="n">
        <f aca="false">$R1964-$S1964-$T1964</f>
        <v>827.43</v>
      </c>
      <c r="V1964" s="66" t="n">
        <f aca="false">IFERROR($U1964/$R1964,0)</f>
        <v>0.366297755544734</v>
      </c>
      <c r="W1964" s="67" t="str">
        <f aca="false">IF(AND($V1964&gt;=Parametros!$C$8,$R1964&gt;=Parametros!$C$12),"Alta rentabilidad",IF(OR($V1964&lt;Parametros!$C$11,$R1964&lt;Parametros!$C$13),"Revisar","Estandar"))</f>
        <v>Estandar</v>
      </c>
      <c r="X1964" s="67" t="str">
        <f aca="false">IF(AND($J1964="E-commerce",IFERROR($T1964/$R1964,0)&gt;Parametros!$C$14),"Alerta","OK")</f>
        <v>OK</v>
      </c>
      <c r="Y1964" s="61" t="str">
        <f aca="false">IF($R1964&gt;=Parametros!$C$12,"Alto",IF($R1964&lt;Parametros!$C$13,"Bajo","Medio"))</f>
        <v>Medio</v>
      </c>
      <c r="Z1964" s="61" t="n">
        <v>2310</v>
      </c>
      <c r="AA1964" s="61" t="str">
        <f aca="false">IF(MATCH($A1964,Datos_Origen!$A$2:$A$2459,0)=$Z1964,"OK","REVISAR")</f>
        <v>OK</v>
      </c>
      <c r="AB1964" s="61" t="str">
        <f aca="false">INDEX(Datos_Origen!$B$2:$B$2459,$Z1964)</f>
        <v>26/08/2025</v>
      </c>
      <c r="AC1964" s="61" t="str">
        <f aca="false">INDEX(Datos_Origen!$H$2:$H$2459,$Z1964)</f>
        <v>5</v>
      </c>
      <c r="AD1964" s="61" t="str">
        <f aca="false">INDEX(Datos_Origen!$D$2:$D$2459,$Z1964)&amp;""</f>
        <v>Mendoza</v>
      </c>
    </row>
    <row r="1965" customFormat="false" ht="15" hidden="false" customHeight="false" outlineLevel="0" collapsed="false">
      <c r="A1965" s="61" t="n">
        <f aca="false">INDEX(Datos_Origen!$A$2:$A$2459,$Z1965)</f>
        <v>1964</v>
      </c>
      <c r="B1965" s="62" t="n">
        <f aca="false">IF(ISNUMBER($AB1965),$AB1965,IF(MID($AB1965,5,1)="-",DATE(VALUE(LEFT($AB1965,4)),VALUE(MID($AB1965,6,2)),VALUE(RIGHT($AB1965,2))),DATE(VALUE(RIGHT($AB1965,4)),VALUE(MID($AB1965,4,2)),VALUE(LEFT($AB1965,2)))))</f>
        <v>45875</v>
      </c>
      <c r="C1965" s="61" t="n">
        <f aca="false">YEAR($B1965)</f>
        <v>2025</v>
      </c>
      <c r="D1965" s="61" t="str">
        <f aca="false">"Q"&amp;ROUNDUP(MONTH($B1965)/3,0)</f>
        <v>Q3</v>
      </c>
      <c r="E1965" s="61" t="n">
        <f aca="false">MONTH($B1965)</f>
        <v>8</v>
      </c>
      <c r="F1965" s="61" t="str">
        <f aca="false">INDEX(Parametros!$I$5:$I$16,$E1965)</f>
        <v>Ago</v>
      </c>
      <c r="G1965" s="61" t="str">
        <f aca="false">TEXT($C1965,"0000")&amp;"-"&amp;TEXT($E1965,"00")</f>
        <v>2025-08</v>
      </c>
      <c r="H1965" s="61" t="str">
        <f aca="false">INDEX(Parametros!$C$71:$C$91,MATCH(TRIM(INDEX(Datos_Origen!$C$2:$C$2459,$Z1965)),Parametros!$B$71:$B$91,0))</f>
        <v>Cuyo</v>
      </c>
      <c r="I1965" s="61" t="str">
        <f aca="false">IF(TRIM($AD1965)="",INDEX(Parametros!$I$20:$I$24,MATCH($H1965,Parametros!$H$20:$H$24,0)),TRIM($AD1965))</f>
        <v>Mendoza</v>
      </c>
      <c r="J1965" s="61" t="str">
        <f aca="false">INDEX(Parametros!$C$95:$C$106,MATCH(TRIM(INDEX(Datos_Origen!$E$2:$E$2459,$Z1965)),Parametros!$B$95:$B$106,0))</f>
        <v>E-commerce</v>
      </c>
      <c r="K1965" s="61" t="str">
        <f aca="false">INDEX(Parametros!$C$48:$C$67,MATCH(TRIM(INDEX(Datos_Origen!$F$2:$F$2459,$Z1965)),Parametros!$B$48:$B$67,0))</f>
        <v>Computacion</v>
      </c>
      <c r="L1965" s="61" t="str">
        <f aca="false">$K1965&amp;" "&amp;$C1965</f>
        <v>Computacion 2025</v>
      </c>
      <c r="M1965" s="61" t="str">
        <f aca="false">TRIM(INDEX(Datos_Origen!$G$2:$G$2459,$Z1965))</f>
        <v>Monitor 4K 27</v>
      </c>
      <c r="N1965" s="61" t="str">
        <f aca="false">$M1965&amp;" "&amp;$C1965</f>
        <v>Monitor 4K 27 2025</v>
      </c>
      <c r="O1965" s="63" t="n">
        <f aca="false">IF(ISTEXT($AC1965),VALUE($AC1965),$AC1965)</f>
        <v>5</v>
      </c>
      <c r="P1965" s="64" t="n">
        <f aca="false">INDEX(Datos_Origen!$I$2:$I$2459,$Z1965)</f>
        <v>451.78</v>
      </c>
      <c r="Q1965" s="64" t="n">
        <f aca="false">INDEX(Datos_Origen!$J$2:$J$2459,$Z1965)</f>
        <v>280.42</v>
      </c>
      <c r="R1965" s="65" t="n">
        <f aca="false">ROUND($O1965*$P1965,2)</f>
        <v>2258.9</v>
      </c>
      <c r="S1965" s="65" t="n">
        <f aca="false">ROUND($O1965*$Q1965,2)</f>
        <v>1402.1</v>
      </c>
      <c r="T1965" s="65" t="n">
        <f aca="false">ROUND($R1965*SUMIFS(Parametros!$E$28:$E$43,Parametros!$B$28:$B$43,$J1965,Parametros!$C$28:$C$43,$C1965,Parametros!$D$28:$D$43,$D1965),2)</f>
        <v>126.5</v>
      </c>
      <c r="U1965" s="65" t="n">
        <f aca="false">$R1965-$S1965-$T1965</f>
        <v>730.3</v>
      </c>
      <c r="V1965" s="66" t="n">
        <f aca="false">IFERROR($U1965/$R1965,0)</f>
        <v>0.323298950816769</v>
      </c>
      <c r="W1965" s="67" t="str">
        <f aca="false">IF(AND($V1965&gt;=Parametros!$C$8,$R1965&gt;=Parametros!$C$12),"Alta rentabilidad",IF(OR($V1965&lt;Parametros!$C$11,$R1965&lt;Parametros!$C$13),"Revisar","Estandar"))</f>
        <v>Estandar</v>
      </c>
      <c r="X1965" s="67" t="str">
        <f aca="false">IF(AND($J1965="E-commerce",IFERROR($T1965/$R1965,0)&gt;Parametros!$C$14),"Alerta","OK")</f>
        <v>Alerta</v>
      </c>
      <c r="Y1965" s="61" t="str">
        <f aca="false">IF($R1965&gt;=Parametros!$C$12,"Alto",IF($R1965&lt;Parametros!$C$13,"Bajo","Medio"))</f>
        <v>Medio</v>
      </c>
      <c r="Z1965" s="61" t="n">
        <v>1020</v>
      </c>
      <c r="AA1965" s="61" t="str">
        <f aca="false">IF(MATCH($A1965,Datos_Origen!$A$2:$A$2459,0)=$Z1965,"OK","REVISAR")</f>
        <v>OK</v>
      </c>
      <c r="AB1965" s="62" t="n">
        <f aca="false">INDEX(Datos_Origen!$B$2:$B$2459,$Z1965)</f>
        <v>45875</v>
      </c>
      <c r="AC1965" s="61" t="n">
        <f aca="false">INDEX(Datos_Origen!$H$2:$H$2459,$Z1965)</f>
        <v>5</v>
      </c>
      <c r="AD1965" s="61" t="str">
        <f aca="false">INDEX(Datos_Origen!$D$2:$D$2459,$Z1965)&amp;""</f>
        <v>Mendoza</v>
      </c>
    </row>
    <row r="1966" customFormat="false" ht="15" hidden="false" customHeight="false" outlineLevel="0" collapsed="false">
      <c r="A1966" s="61" t="n">
        <f aca="false">INDEX(Datos_Origen!$A$2:$A$2459,$Z1966)</f>
        <v>1965</v>
      </c>
      <c r="B1966" s="62" t="n">
        <f aca="false">IF(ISNUMBER($AB1966),$AB1966,IF(MID($AB1966,5,1)="-",DATE(VALUE(LEFT($AB1966,4)),VALUE(MID($AB1966,6,2)),VALUE(RIGHT($AB1966,2))),DATE(VALUE(RIGHT($AB1966,4)),VALUE(MID($AB1966,4,2)),VALUE(LEFT($AB1966,2)))))</f>
        <v>45882</v>
      </c>
      <c r="C1966" s="61" t="n">
        <f aca="false">YEAR($B1966)</f>
        <v>2025</v>
      </c>
      <c r="D1966" s="61" t="str">
        <f aca="false">"Q"&amp;ROUNDUP(MONTH($B1966)/3,0)</f>
        <v>Q3</v>
      </c>
      <c r="E1966" s="61" t="n">
        <f aca="false">MONTH($B1966)</f>
        <v>8</v>
      </c>
      <c r="F1966" s="61" t="str">
        <f aca="false">INDEX(Parametros!$I$5:$I$16,$E1966)</f>
        <v>Ago</v>
      </c>
      <c r="G1966" s="61" t="str">
        <f aca="false">TEXT($C1966,"0000")&amp;"-"&amp;TEXT($E1966,"00")</f>
        <v>2025-08</v>
      </c>
      <c r="H1966" s="61" t="str">
        <f aca="false">INDEX(Parametros!$C$71:$C$91,MATCH(TRIM(INDEX(Datos_Origen!$C$2:$C$2459,$Z1966)),Parametros!$B$71:$B$91,0))</f>
        <v>Cuyo</v>
      </c>
      <c r="I1966" s="61" t="str">
        <f aca="false">IF(TRIM($AD1966)="",INDEX(Parametros!$I$20:$I$24,MATCH($H1966,Parametros!$H$20:$H$24,0)),TRIM($AD1966))</f>
        <v>Mendoza</v>
      </c>
      <c r="J1966" s="61" t="str">
        <f aca="false">INDEX(Parametros!$C$95:$C$106,MATCH(TRIM(INDEX(Datos_Origen!$E$2:$E$2459,$Z1966)),Parametros!$B$95:$B$106,0))</f>
        <v>Tienda fisica</v>
      </c>
      <c r="K1966" s="61" t="str">
        <f aca="false">INDEX(Parametros!$C$48:$C$67,MATCH(TRIM(INDEX(Datos_Origen!$F$2:$F$2459,$Z1966)),Parametros!$B$48:$B$67,0))</f>
        <v>Computacion</v>
      </c>
      <c r="L1966" s="61" t="str">
        <f aca="false">$K1966&amp;" "&amp;$C1966</f>
        <v>Computacion 2025</v>
      </c>
      <c r="M1966" s="61" t="str">
        <f aca="false">TRIM(INDEX(Datos_Origen!$G$2:$G$2459,$Z1966))</f>
        <v>PC Gamer Ryzen</v>
      </c>
      <c r="N1966" s="61" t="str">
        <f aca="false">$M1966&amp;" "&amp;$C1966</f>
        <v>PC Gamer Ryzen 2025</v>
      </c>
      <c r="O1966" s="63" t="n">
        <f aca="false">IF(ISTEXT($AC1966),VALUE($AC1966),$AC1966)</f>
        <v>7</v>
      </c>
      <c r="P1966" s="64" t="n">
        <f aca="false">INDEX(Datos_Origen!$I$2:$I$2459,$Z1966)</f>
        <v>1656.52</v>
      </c>
      <c r="Q1966" s="64" t="n">
        <f aca="false">INDEX(Datos_Origen!$J$2:$J$2459,$Z1966)</f>
        <v>1155.66</v>
      </c>
      <c r="R1966" s="65" t="n">
        <f aca="false">ROUND($O1966*$P1966,2)</f>
        <v>11595.64</v>
      </c>
      <c r="S1966" s="65" t="n">
        <f aca="false">ROUND($O1966*$Q1966,2)</f>
        <v>8089.62</v>
      </c>
      <c r="T1966" s="65" t="n">
        <f aca="false">ROUND($R1966*SUMIFS(Parametros!$E$28:$E$43,Parametros!$B$28:$B$43,$J1966,Parametros!$C$28:$C$43,$C1966,Parametros!$D$28:$D$43,$D1966),2)</f>
        <v>150.74</v>
      </c>
      <c r="U1966" s="65" t="n">
        <f aca="false">$R1966-$S1966-$T1966</f>
        <v>3355.28</v>
      </c>
      <c r="V1966" s="66" t="n">
        <f aca="false">IFERROR($U1966/$R1966,0)</f>
        <v>0.289357034195611</v>
      </c>
      <c r="W1966" s="67" t="str">
        <f aca="false">IF(AND($V1966&gt;=Parametros!$C$8,$R1966&gt;=Parametros!$C$12),"Alta rentabilidad",IF(OR($V1966&lt;Parametros!$C$11,$R1966&lt;Parametros!$C$13),"Revisar","Estandar"))</f>
        <v>Estandar</v>
      </c>
      <c r="X1966" s="67" t="str">
        <f aca="false">IF(AND($J1966="E-commerce",IFERROR($T1966/$R1966,0)&gt;Parametros!$C$14),"Alerta","OK")</f>
        <v>OK</v>
      </c>
      <c r="Y1966" s="61" t="str">
        <f aca="false">IF($R1966&gt;=Parametros!$C$12,"Alto",IF($R1966&lt;Parametros!$C$13,"Bajo","Medio"))</f>
        <v>Alto</v>
      </c>
      <c r="Z1966" s="61" t="n">
        <v>235</v>
      </c>
      <c r="AA1966" s="61" t="str">
        <f aca="false">IF(MATCH($A1966,Datos_Origen!$A$2:$A$2459,0)=$Z1966,"OK","REVISAR")</f>
        <v>OK</v>
      </c>
      <c r="AB1966" s="62" t="n">
        <f aca="false">INDEX(Datos_Origen!$B$2:$B$2459,$Z1966)</f>
        <v>45882</v>
      </c>
      <c r="AC1966" s="61" t="n">
        <f aca="false">INDEX(Datos_Origen!$H$2:$H$2459,$Z1966)</f>
        <v>7</v>
      </c>
      <c r="AD1966" s="61" t="str">
        <f aca="false">INDEX(Datos_Origen!$D$2:$D$2459,$Z1966)&amp;""</f>
        <v>Mendoza</v>
      </c>
    </row>
    <row r="1967" customFormat="false" ht="15" hidden="false" customHeight="false" outlineLevel="0" collapsed="false">
      <c r="A1967" s="61" t="n">
        <f aca="false">INDEX(Datos_Origen!$A$2:$A$2459,$Z1967)</f>
        <v>1966</v>
      </c>
      <c r="B1967" s="62" t="n">
        <f aca="false">IF(ISNUMBER($AB1967),$AB1967,IF(MID($AB1967,5,1)="-",DATE(VALUE(LEFT($AB1967,4)),VALUE(MID($AB1967,6,2)),VALUE(RIGHT($AB1967,2))),DATE(VALUE(RIGHT($AB1967,4)),VALUE(MID($AB1967,4,2)),VALUE(LEFT($AB1967,2)))))</f>
        <v>45889</v>
      </c>
      <c r="C1967" s="61" t="n">
        <f aca="false">YEAR($B1967)</f>
        <v>2025</v>
      </c>
      <c r="D1967" s="61" t="str">
        <f aca="false">"Q"&amp;ROUNDUP(MONTH($B1967)/3,0)</f>
        <v>Q3</v>
      </c>
      <c r="E1967" s="61" t="n">
        <f aca="false">MONTH($B1967)</f>
        <v>8</v>
      </c>
      <c r="F1967" s="61" t="str">
        <f aca="false">INDEX(Parametros!$I$5:$I$16,$E1967)</f>
        <v>Ago</v>
      </c>
      <c r="G1967" s="61" t="str">
        <f aca="false">TEXT($C1967,"0000")&amp;"-"&amp;TEXT($E1967,"00")</f>
        <v>2025-08</v>
      </c>
      <c r="H1967" s="61" t="str">
        <f aca="false">INDEX(Parametros!$C$71:$C$91,MATCH(TRIM(INDEX(Datos_Origen!$C$2:$C$2459,$Z1967)),Parametros!$B$71:$B$91,0))</f>
        <v>Cuyo</v>
      </c>
      <c r="I1967" s="61" t="str">
        <f aca="false">IF(TRIM($AD1967)="",INDEX(Parametros!$I$20:$I$24,MATCH($H1967,Parametros!$H$20:$H$24,0)),TRIM($AD1967))</f>
        <v>Mendoza</v>
      </c>
      <c r="J1967" s="61" t="str">
        <f aca="false">INDEX(Parametros!$C$95:$C$106,MATCH(TRIM(INDEX(Datos_Origen!$E$2:$E$2459,$Z1967)),Parametros!$B$95:$B$106,0))</f>
        <v>E-commerce</v>
      </c>
      <c r="K1967" s="61" t="str">
        <f aca="false">INDEX(Parametros!$C$48:$C$67,MATCH(TRIM(INDEX(Datos_Origen!$F$2:$F$2459,$Z1967)),Parametros!$B$48:$B$67,0))</f>
        <v>Computacion</v>
      </c>
      <c r="L1967" s="61" t="str">
        <f aca="false">$K1967&amp;" "&amp;$C1967</f>
        <v>Computacion 2025</v>
      </c>
      <c r="M1967" s="61" t="str">
        <f aca="false">TRIM(INDEX(Datos_Origen!$G$2:$G$2459,$Z1967))</f>
        <v>PC Gamer Ryzen</v>
      </c>
      <c r="N1967" s="61" t="str">
        <f aca="false">$M1967&amp;" "&amp;$C1967</f>
        <v>PC Gamer Ryzen 2025</v>
      </c>
      <c r="O1967" s="63" t="n">
        <f aca="false">IF(ISTEXT($AC1967),VALUE($AC1967),$AC1967)</f>
        <v>4</v>
      </c>
      <c r="P1967" s="64" t="n">
        <f aca="false">INDEX(Datos_Origen!$I$2:$I$2459,$Z1967)</f>
        <v>1656.52</v>
      </c>
      <c r="Q1967" s="64" t="n">
        <f aca="false">INDEX(Datos_Origen!$J$2:$J$2459,$Z1967)</f>
        <v>1155.66</v>
      </c>
      <c r="R1967" s="65" t="n">
        <f aca="false">ROUND($O1967*$P1967,2)</f>
        <v>6626.08</v>
      </c>
      <c r="S1967" s="65" t="n">
        <f aca="false">ROUND($O1967*$Q1967,2)</f>
        <v>4622.64</v>
      </c>
      <c r="T1967" s="65" t="n">
        <f aca="false">ROUND($R1967*SUMIFS(Parametros!$E$28:$E$43,Parametros!$B$28:$B$43,$J1967,Parametros!$C$28:$C$43,$C1967,Parametros!$D$28:$D$43,$D1967),2)</f>
        <v>371.06</v>
      </c>
      <c r="U1967" s="65" t="n">
        <f aca="false">$R1967-$S1967-$T1967</f>
        <v>1632.38</v>
      </c>
      <c r="V1967" s="66" t="n">
        <f aca="false">IFERROR($U1967/$R1967,0)</f>
        <v>0.246356820322121</v>
      </c>
      <c r="W1967" s="67" t="str">
        <f aca="false">IF(AND($V1967&gt;=Parametros!$C$8,$R1967&gt;=Parametros!$C$12),"Alta rentabilidad",IF(OR($V1967&lt;Parametros!$C$11,$R1967&lt;Parametros!$C$13),"Revisar","Estandar"))</f>
        <v>Revisar</v>
      </c>
      <c r="X1967" s="67" t="str">
        <f aca="false">IF(AND($J1967="E-commerce",IFERROR($T1967/$R1967,0)&gt;Parametros!$C$14),"Alerta","OK")</f>
        <v>Alerta</v>
      </c>
      <c r="Y1967" s="61" t="str">
        <f aca="false">IF($R1967&gt;=Parametros!$C$12,"Alto",IF($R1967&lt;Parametros!$C$13,"Bajo","Medio"))</f>
        <v>Alto</v>
      </c>
      <c r="Z1967" s="61" t="n">
        <v>1140</v>
      </c>
      <c r="AA1967" s="61" t="str">
        <f aca="false">IF(MATCH($A1967,Datos_Origen!$A$2:$A$2459,0)=$Z1967,"OK","REVISAR")</f>
        <v>OK</v>
      </c>
      <c r="AB1967" s="61" t="str">
        <f aca="false">INDEX(Datos_Origen!$B$2:$B$2459,$Z1967)</f>
        <v>20/08/2025</v>
      </c>
      <c r="AC1967" s="61" t="n">
        <f aca="false">INDEX(Datos_Origen!$H$2:$H$2459,$Z1967)</f>
        <v>4</v>
      </c>
      <c r="AD1967" s="61" t="str">
        <f aca="false">INDEX(Datos_Origen!$D$2:$D$2459,$Z1967)&amp;""</f>
        <v>Mendoza</v>
      </c>
    </row>
    <row r="1968" customFormat="false" ht="15" hidden="false" customHeight="false" outlineLevel="0" collapsed="false">
      <c r="A1968" s="61" t="n">
        <f aca="false">INDEX(Datos_Origen!$A$2:$A$2459,$Z1968)</f>
        <v>1967</v>
      </c>
      <c r="B1968" s="62" t="n">
        <f aca="false">IF(ISNUMBER($AB1968),$AB1968,IF(MID($AB1968,5,1)="-",DATE(VALUE(LEFT($AB1968,4)),VALUE(MID($AB1968,6,2)),VALUE(RIGHT($AB1968,2))),DATE(VALUE(RIGHT($AB1968,4)),VALUE(MID($AB1968,4,2)),VALUE(LEFT($AB1968,2)))))</f>
        <v>45896</v>
      </c>
      <c r="C1968" s="61" t="n">
        <f aca="false">YEAR($B1968)</f>
        <v>2025</v>
      </c>
      <c r="D1968" s="61" t="str">
        <f aca="false">"Q"&amp;ROUNDUP(MONTH($B1968)/3,0)</f>
        <v>Q3</v>
      </c>
      <c r="E1968" s="61" t="n">
        <f aca="false">MONTH($B1968)</f>
        <v>8</v>
      </c>
      <c r="F1968" s="61" t="str">
        <f aca="false">INDEX(Parametros!$I$5:$I$16,$E1968)</f>
        <v>Ago</v>
      </c>
      <c r="G1968" s="61" t="str">
        <f aca="false">TEXT($C1968,"0000")&amp;"-"&amp;TEXT($E1968,"00")</f>
        <v>2025-08</v>
      </c>
      <c r="H1968" s="61" t="str">
        <f aca="false">INDEX(Parametros!$C$71:$C$91,MATCH(TRIM(INDEX(Datos_Origen!$C$2:$C$2459,$Z1968)),Parametros!$B$71:$B$91,0))</f>
        <v>Cuyo</v>
      </c>
      <c r="I1968" s="61" t="str">
        <f aca="false">IF(TRIM($AD1968)="",INDEX(Parametros!$I$20:$I$24,MATCH($H1968,Parametros!$H$20:$H$24,0)),TRIM($AD1968))</f>
        <v>Mendoza</v>
      </c>
      <c r="J1968" s="61" t="str">
        <f aca="false">INDEX(Parametros!$C$95:$C$106,MATCH(TRIM(INDEX(Datos_Origen!$E$2:$E$2459,$Z1968)),Parametros!$B$95:$B$106,0))</f>
        <v>Tienda fisica</v>
      </c>
      <c r="K1968" s="61" t="str">
        <f aca="false">INDEX(Parametros!$C$48:$C$67,MATCH(TRIM(INDEX(Datos_Origen!$F$2:$F$2459,$Z1968)),Parametros!$B$48:$B$67,0))</f>
        <v>Accesorios</v>
      </c>
      <c r="L1968" s="61" t="str">
        <f aca="false">$K1968&amp;" "&amp;$C1968</f>
        <v>Accesorios 2025</v>
      </c>
      <c r="M1968" s="61" t="str">
        <f aca="false">TRIM(INDEX(Datos_Origen!$G$2:$G$2459,$Z1968))</f>
        <v>Mouse Inalambrico</v>
      </c>
      <c r="N1968" s="61" t="str">
        <f aca="false">$M1968&amp;" "&amp;$C1968</f>
        <v>Mouse Inalambrico 2025</v>
      </c>
      <c r="O1968" s="63" t="n">
        <f aca="false">IF(ISTEXT($AC1968),VALUE($AC1968),$AC1968)</f>
        <v>27</v>
      </c>
      <c r="P1968" s="64" t="n">
        <f aca="false">INDEX(Datos_Origen!$I$2:$I$2459,$Z1968)</f>
        <v>28.11</v>
      </c>
      <c r="Q1968" s="64" t="n">
        <f aca="false">INDEX(Datos_Origen!$J$2:$J$2459,$Z1968)</f>
        <v>13.84</v>
      </c>
      <c r="R1968" s="65" t="n">
        <f aca="false">ROUND($O1968*$P1968,2)</f>
        <v>758.97</v>
      </c>
      <c r="S1968" s="65" t="n">
        <f aca="false">ROUND($O1968*$Q1968,2)</f>
        <v>373.68</v>
      </c>
      <c r="T1968" s="65" t="n">
        <f aca="false">ROUND($R1968*SUMIFS(Parametros!$E$28:$E$43,Parametros!$B$28:$B$43,$J1968,Parametros!$C$28:$C$43,$C1968,Parametros!$D$28:$D$43,$D1968),2)</f>
        <v>9.87</v>
      </c>
      <c r="U1968" s="65" t="n">
        <f aca="false">$R1968-$S1968-$T1968</f>
        <v>375.42</v>
      </c>
      <c r="V1968" s="66" t="n">
        <f aca="false">IFERROR($U1968/$R1968,0)</f>
        <v>0.494644057077355</v>
      </c>
      <c r="W1968" s="67" t="str">
        <f aca="false">IF(AND($V1968&gt;=Parametros!$C$8,$R1968&gt;=Parametros!$C$12),"Alta rentabilidad",IF(OR($V1968&lt;Parametros!$C$11,$R1968&lt;Parametros!$C$13),"Revisar","Estandar"))</f>
        <v>Estandar</v>
      </c>
      <c r="X1968" s="67" t="str">
        <f aca="false">IF(AND($J1968="E-commerce",IFERROR($T1968/$R1968,0)&gt;Parametros!$C$14),"Alerta","OK")</f>
        <v>OK</v>
      </c>
      <c r="Y1968" s="61" t="str">
        <f aca="false">IF($R1968&gt;=Parametros!$C$12,"Alto",IF($R1968&lt;Parametros!$C$13,"Bajo","Medio"))</f>
        <v>Medio</v>
      </c>
      <c r="Z1968" s="61" t="n">
        <v>554</v>
      </c>
      <c r="AA1968" s="61" t="str">
        <f aca="false">IF(MATCH($A1968,Datos_Origen!$A$2:$A$2459,0)=$Z1968,"OK","REVISAR")</f>
        <v>OK</v>
      </c>
      <c r="AB1968" s="62" t="n">
        <f aca="false">INDEX(Datos_Origen!$B$2:$B$2459,$Z1968)</f>
        <v>45896</v>
      </c>
      <c r="AC1968" s="61" t="n">
        <f aca="false">INDEX(Datos_Origen!$H$2:$H$2459,$Z1968)</f>
        <v>27</v>
      </c>
      <c r="AD1968" s="61" t="str">
        <f aca="false">INDEX(Datos_Origen!$D$2:$D$2459,$Z1968)&amp;""</f>
        <v/>
      </c>
    </row>
    <row r="1969" customFormat="false" ht="15" hidden="false" customHeight="false" outlineLevel="0" collapsed="false">
      <c r="A1969" s="61" t="n">
        <f aca="false">INDEX(Datos_Origen!$A$2:$A$2459,$Z1969)</f>
        <v>1968</v>
      </c>
      <c r="B1969" s="62" t="n">
        <f aca="false">IF(ISNUMBER($AB1969),$AB1969,IF(MID($AB1969,5,1)="-",DATE(VALUE(LEFT($AB1969,4)),VALUE(MID($AB1969,6,2)),VALUE(RIGHT($AB1969,2))),DATE(VALUE(RIGHT($AB1969,4)),VALUE(MID($AB1969,4,2)),VALUE(LEFT($AB1969,2)))))</f>
        <v>45876</v>
      </c>
      <c r="C1969" s="61" t="n">
        <f aca="false">YEAR($B1969)</f>
        <v>2025</v>
      </c>
      <c r="D1969" s="61" t="str">
        <f aca="false">"Q"&amp;ROUNDUP(MONTH($B1969)/3,0)</f>
        <v>Q3</v>
      </c>
      <c r="E1969" s="61" t="n">
        <f aca="false">MONTH($B1969)</f>
        <v>8</v>
      </c>
      <c r="F1969" s="61" t="str">
        <f aca="false">INDEX(Parametros!$I$5:$I$16,$E1969)</f>
        <v>Ago</v>
      </c>
      <c r="G1969" s="61" t="str">
        <f aca="false">TEXT($C1969,"0000")&amp;"-"&amp;TEXT($E1969,"00")</f>
        <v>2025-08</v>
      </c>
      <c r="H1969" s="61" t="str">
        <f aca="false">INDEX(Parametros!$C$71:$C$91,MATCH(TRIM(INDEX(Datos_Origen!$C$2:$C$2459,$Z1969)),Parametros!$B$71:$B$91,0))</f>
        <v>Cuyo</v>
      </c>
      <c r="I1969" s="61" t="str">
        <f aca="false">IF(TRIM($AD1969)="",INDEX(Parametros!$I$20:$I$24,MATCH($H1969,Parametros!$H$20:$H$24,0)),TRIM($AD1969))</f>
        <v>Mendoza</v>
      </c>
      <c r="J1969" s="61" t="str">
        <f aca="false">INDEX(Parametros!$C$95:$C$106,MATCH(TRIM(INDEX(Datos_Origen!$E$2:$E$2459,$Z1969)),Parametros!$B$95:$B$106,0))</f>
        <v>E-commerce</v>
      </c>
      <c r="K1969" s="61" t="str">
        <f aca="false">INDEX(Parametros!$C$48:$C$67,MATCH(TRIM(INDEX(Datos_Origen!$F$2:$F$2459,$Z1969)),Parametros!$B$48:$B$67,0))</f>
        <v>Accesorios</v>
      </c>
      <c r="L1969" s="61" t="str">
        <f aca="false">$K1969&amp;" "&amp;$C1969</f>
        <v>Accesorios 2025</v>
      </c>
      <c r="M1969" s="61" t="str">
        <f aca="false">TRIM(INDEX(Datos_Origen!$G$2:$G$2459,$Z1969))</f>
        <v>Mouse Inalambrico</v>
      </c>
      <c r="N1969" s="61" t="str">
        <f aca="false">$M1969&amp;" "&amp;$C1969</f>
        <v>Mouse Inalambrico 2025</v>
      </c>
      <c r="O1969" s="63" t="n">
        <f aca="false">IF(ISTEXT($AC1969),VALUE($AC1969),$AC1969)</f>
        <v>18</v>
      </c>
      <c r="P1969" s="64" t="n">
        <f aca="false">INDEX(Datos_Origen!$I$2:$I$2459,$Z1969)</f>
        <v>28.11</v>
      </c>
      <c r="Q1969" s="64" t="n">
        <f aca="false">INDEX(Datos_Origen!$J$2:$J$2459,$Z1969)</f>
        <v>13.84</v>
      </c>
      <c r="R1969" s="65" t="n">
        <f aca="false">ROUND($O1969*$P1969,2)</f>
        <v>505.98</v>
      </c>
      <c r="S1969" s="65" t="n">
        <f aca="false">ROUND($O1969*$Q1969,2)</f>
        <v>249.12</v>
      </c>
      <c r="T1969" s="65" t="n">
        <f aca="false">ROUND($R1969*SUMIFS(Parametros!$E$28:$E$43,Parametros!$B$28:$B$43,$J1969,Parametros!$C$28:$C$43,$C1969,Parametros!$D$28:$D$43,$D1969),2)</f>
        <v>28.33</v>
      </c>
      <c r="U1969" s="65" t="n">
        <f aca="false">$R1969-$S1969-$T1969</f>
        <v>228.53</v>
      </c>
      <c r="V1969" s="66" t="n">
        <f aca="false">IFERROR($U1969/$R1969,0)</f>
        <v>0.451658168307048</v>
      </c>
      <c r="W1969" s="67" t="str">
        <f aca="false">IF(AND($V1969&gt;=Parametros!$C$8,$R1969&gt;=Parametros!$C$12),"Alta rentabilidad",IF(OR($V1969&lt;Parametros!$C$11,$R1969&lt;Parametros!$C$13),"Revisar","Estandar"))</f>
        <v>Estandar</v>
      </c>
      <c r="X1969" s="67" t="str">
        <f aca="false">IF(AND($J1969="E-commerce",IFERROR($T1969/$R1969,0)&gt;Parametros!$C$14),"Alerta","OK")</f>
        <v>Alerta</v>
      </c>
      <c r="Y1969" s="61" t="str">
        <f aca="false">IF($R1969&gt;=Parametros!$C$12,"Alto",IF($R1969&lt;Parametros!$C$13,"Bajo","Medio"))</f>
        <v>Medio</v>
      </c>
      <c r="Z1969" s="61" t="n">
        <v>508</v>
      </c>
      <c r="AA1969" s="61" t="str">
        <f aca="false">IF(MATCH($A1969,Datos_Origen!$A$2:$A$2459,0)=$Z1969,"OK","REVISAR")</f>
        <v>OK</v>
      </c>
      <c r="AB1969" s="62" t="n">
        <f aca="false">INDEX(Datos_Origen!$B$2:$B$2459,$Z1969)</f>
        <v>45876</v>
      </c>
      <c r="AC1969" s="61" t="n">
        <f aca="false">INDEX(Datos_Origen!$H$2:$H$2459,$Z1969)</f>
        <v>18</v>
      </c>
      <c r="AD1969" s="61" t="str">
        <f aca="false">INDEX(Datos_Origen!$D$2:$D$2459,$Z1969)&amp;""</f>
        <v>Mendoza</v>
      </c>
    </row>
    <row r="1970" customFormat="false" ht="15" hidden="false" customHeight="false" outlineLevel="0" collapsed="false">
      <c r="A1970" s="61" t="n">
        <f aca="false">INDEX(Datos_Origen!$A$2:$A$2459,$Z1970)</f>
        <v>1969</v>
      </c>
      <c r="B1970" s="62" t="n">
        <f aca="false">IF(ISNUMBER($AB1970),$AB1970,IF(MID($AB1970,5,1)="-",DATE(VALUE(LEFT($AB1970,4)),VALUE(MID($AB1970,6,2)),VALUE(RIGHT($AB1970,2))),DATE(VALUE(RIGHT($AB1970,4)),VALUE(MID($AB1970,4,2)),VALUE(LEFT($AB1970,2)))))</f>
        <v>45883</v>
      </c>
      <c r="C1970" s="61" t="n">
        <f aca="false">YEAR($B1970)</f>
        <v>2025</v>
      </c>
      <c r="D1970" s="61" t="str">
        <f aca="false">"Q"&amp;ROUNDUP(MONTH($B1970)/3,0)</f>
        <v>Q3</v>
      </c>
      <c r="E1970" s="61" t="n">
        <f aca="false">MONTH($B1970)</f>
        <v>8</v>
      </c>
      <c r="F1970" s="61" t="str">
        <f aca="false">INDEX(Parametros!$I$5:$I$16,$E1970)</f>
        <v>Ago</v>
      </c>
      <c r="G1970" s="61" t="str">
        <f aca="false">TEXT($C1970,"0000")&amp;"-"&amp;TEXT($E1970,"00")</f>
        <v>2025-08</v>
      </c>
      <c r="H1970" s="61" t="str">
        <f aca="false">INDEX(Parametros!$C$71:$C$91,MATCH(TRIM(INDEX(Datos_Origen!$C$2:$C$2459,$Z1970)),Parametros!$B$71:$B$91,0))</f>
        <v>Cuyo</v>
      </c>
      <c r="I1970" s="61" t="str">
        <f aca="false">IF(TRIM($AD1970)="",INDEX(Parametros!$I$20:$I$24,MATCH($H1970,Parametros!$H$20:$H$24,0)),TRIM($AD1970))</f>
        <v>Mendoza</v>
      </c>
      <c r="J1970" s="61" t="str">
        <f aca="false">INDEX(Parametros!$C$95:$C$106,MATCH(TRIM(INDEX(Datos_Origen!$E$2:$E$2459,$Z1970)),Parametros!$B$95:$B$106,0))</f>
        <v>Tienda fisica</v>
      </c>
      <c r="K1970" s="61" t="str">
        <f aca="false">INDEX(Parametros!$C$48:$C$67,MATCH(TRIM(INDEX(Datos_Origen!$F$2:$F$2459,$Z1970)),Parametros!$B$48:$B$67,0))</f>
        <v>Accesorios</v>
      </c>
      <c r="L1970" s="61" t="str">
        <f aca="false">$K1970&amp;" "&amp;$C1970</f>
        <v>Accesorios 2025</v>
      </c>
      <c r="M1970" s="61" t="str">
        <f aca="false">TRIM(INDEX(Datos_Origen!$G$2:$G$2459,$Z1970))</f>
        <v>Teclado Mecanico</v>
      </c>
      <c r="N1970" s="61" t="str">
        <f aca="false">$M1970&amp;" "&amp;$C1970</f>
        <v>Teclado Mecanico 2025</v>
      </c>
      <c r="O1970" s="63" t="n">
        <f aca="false">IF(ISTEXT($AC1970),VALUE($AC1970),$AC1970)</f>
        <v>31</v>
      </c>
      <c r="P1970" s="64" t="n">
        <f aca="false">INDEX(Datos_Origen!$I$2:$I$2459,$Z1970)</f>
        <v>95.38</v>
      </c>
      <c r="Q1970" s="64" t="n">
        <f aca="false">INDEX(Datos_Origen!$J$2:$J$2459,$Z1970)</f>
        <v>49.41</v>
      </c>
      <c r="R1970" s="65" t="n">
        <f aca="false">ROUND($O1970*$P1970,2)</f>
        <v>2956.78</v>
      </c>
      <c r="S1970" s="65" t="n">
        <f aca="false">ROUND($O1970*$Q1970,2)</f>
        <v>1531.71</v>
      </c>
      <c r="T1970" s="65" t="n">
        <f aca="false">ROUND($R1970*SUMIFS(Parametros!$E$28:$E$43,Parametros!$B$28:$B$43,$J1970,Parametros!$C$28:$C$43,$C1970,Parametros!$D$28:$D$43,$D1970),2)</f>
        <v>38.44</v>
      </c>
      <c r="U1970" s="65" t="n">
        <f aca="false">$R1970-$S1970-$T1970</f>
        <v>1386.63</v>
      </c>
      <c r="V1970" s="66" t="n">
        <f aca="false">IFERROR($U1970/$R1970,0)</f>
        <v>0.46896624030195</v>
      </c>
      <c r="W1970" s="67" t="str">
        <f aca="false">IF(AND($V1970&gt;=Parametros!$C$8,$R1970&gt;=Parametros!$C$12),"Alta rentabilidad",IF(OR($V1970&lt;Parametros!$C$11,$R1970&lt;Parametros!$C$13),"Revisar","Estandar"))</f>
        <v>Estandar</v>
      </c>
      <c r="X1970" s="67" t="str">
        <f aca="false">IF(AND($J1970="E-commerce",IFERROR($T1970/$R1970,0)&gt;Parametros!$C$14),"Alerta","OK")</f>
        <v>OK</v>
      </c>
      <c r="Y1970" s="61" t="str">
        <f aca="false">IF($R1970&gt;=Parametros!$C$12,"Alto",IF($R1970&lt;Parametros!$C$13,"Bajo","Medio"))</f>
        <v>Medio</v>
      </c>
      <c r="Z1970" s="61" t="n">
        <v>1350</v>
      </c>
      <c r="AA1970" s="61" t="str">
        <f aca="false">IF(MATCH($A1970,Datos_Origen!$A$2:$A$2459,0)=$Z1970,"OK","REVISAR")</f>
        <v>OK</v>
      </c>
      <c r="AB1970" s="62" t="n">
        <f aca="false">INDEX(Datos_Origen!$B$2:$B$2459,$Z1970)</f>
        <v>45883</v>
      </c>
      <c r="AC1970" s="61" t="n">
        <f aca="false">INDEX(Datos_Origen!$H$2:$H$2459,$Z1970)</f>
        <v>31</v>
      </c>
      <c r="AD1970" s="61" t="str">
        <f aca="false">INDEX(Datos_Origen!$D$2:$D$2459,$Z1970)&amp;""</f>
        <v>Mendoza</v>
      </c>
    </row>
    <row r="1971" customFormat="false" ht="15" hidden="false" customHeight="false" outlineLevel="0" collapsed="false">
      <c r="A1971" s="61" t="n">
        <f aca="false">INDEX(Datos_Origen!$A$2:$A$2459,$Z1971)</f>
        <v>1970</v>
      </c>
      <c r="B1971" s="62" t="n">
        <f aca="false">IF(ISNUMBER($AB1971),$AB1971,IF(MID($AB1971,5,1)="-",DATE(VALUE(LEFT($AB1971,4)),VALUE(MID($AB1971,6,2)),VALUE(RIGHT($AB1971,2))),DATE(VALUE(RIGHT($AB1971,4)),VALUE(MID($AB1971,4,2)),VALUE(LEFT($AB1971,2)))))</f>
        <v>45890</v>
      </c>
      <c r="C1971" s="61" t="n">
        <f aca="false">YEAR($B1971)</f>
        <v>2025</v>
      </c>
      <c r="D1971" s="61" t="str">
        <f aca="false">"Q"&amp;ROUNDUP(MONTH($B1971)/3,0)</f>
        <v>Q3</v>
      </c>
      <c r="E1971" s="61" t="n">
        <f aca="false">MONTH($B1971)</f>
        <v>8</v>
      </c>
      <c r="F1971" s="61" t="str">
        <f aca="false">INDEX(Parametros!$I$5:$I$16,$E1971)</f>
        <v>Ago</v>
      </c>
      <c r="G1971" s="61" t="str">
        <f aca="false">TEXT($C1971,"0000")&amp;"-"&amp;TEXT($E1971,"00")</f>
        <v>2025-08</v>
      </c>
      <c r="H1971" s="61" t="str">
        <f aca="false">INDEX(Parametros!$C$71:$C$91,MATCH(TRIM(INDEX(Datos_Origen!$C$2:$C$2459,$Z1971)),Parametros!$B$71:$B$91,0))</f>
        <v>Cuyo</v>
      </c>
      <c r="I1971" s="61" t="str">
        <f aca="false">IF(TRIM($AD1971)="",INDEX(Parametros!$I$20:$I$24,MATCH($H1971,Parametros!$H$20:$H$24,0)),TRIM($AD1971))</f>
        <v>Mendoza</v>
      </c>
      <c r="J1971" s="61" t="str">
        <f aca="false">INDEX(Parametros!$C$95:$C$106,MATCH(TRIM(INDEX(Datos_Origen!$E$2:$E$2459,$Z1971)),Parametros!$B$95:$B$106,0))</f>
        <v>E-commerce</v>
      </c>
      <c r="K1971" s="61" t="str">
        <f aca="false">INDEX(Parametros!$C$48:$C$67,MATCH(TRIM(INDEX(Datos_Origen!$F$2:$F$2459,$Z1971)),Parametros!$B$48:$B$67,0))</f>
        <v>Accesorios</v>
      </c>
      <c r="L1971" s="61" t="str">
        <f aca="false">$K1971&amp;" "&amp;$C1971</f>
        <v>Accesorios 2025</v>
      </c>
      <c r="M1971" s="61" t="str">
        <f aca="false">TRIM(INDEX(Datos_Origen!$G$2:$G$2459,$Z1971))</f>
        <v>Teclado Mecanico</v>
      </c>
      <c r="N1971" s="61" t="str">
        <f aca="false">$M1971&amp;" "&amp;$C1971</f>
        <v>Teclado Mecanico 2025</v>
      </c>
      <c r="O1971" s="63" t="n">
        <f aca="false">IF(ISTEXT($AC1971),VALUE($AC1971),$AC1971)</f>
        <v>20</v>
      </c>
      <c r="P1971" s="64" t="n">
        <f aca="false">INDEX(Datos_Origen!$I$2:$I$2459,$Z1971)</f>
        <v>95.38</v>
      </c>
      <c r="Q1971" s="64" t="n">
        <f aca="false">INDEX(Datos_Origen!$J$2:$J$2459,$Z1971)</f>
        <v>49.41</v>
      </c>
      <c r="R1971" s="65" t="n">
        <f aca="false">ROUND($O1971*$P1971,2)</f>
        <v>1907.6</v>
      </c>
      <c r="S1971" s="65" t="n">
        <f aca="false">ROUND($O1971*$Q1971,2)</f>
        <v>988.2</v>
      </c>
      <c r="T1971" s="65" t="n">
        <f aca="false">ROUND($R1971*SUMIFS(Parametros!$E$28:$E$43,Parametros!$B$28:$B$43,$J1971,Parametros!$C$28:$C$43,$C1971,Parametros!$D$28:$D$43,$D1971),2)</f>
        <v>106.83</v>
      </c>
      <c r="U1971" s="65" t="n">
        <f aca="false">$R1971-$S1971-$T1971</f>
        <v>812.57</v>
      </c>
      <c r="V1971" s="66" t="n">
        <f aca="false">IFERROR($U1971/$R1971,0)</f>
        <v>0.425964562801426</v>
      </c>
      <c r="W1971" s="67" t="str">
        <f aca="false">IF(AND($V1971&gt;=Parametros!$C$8,$R1971&gt;=Parametros!$C$12),"Alta rentabilidad",IF(OR($V1971&lt;Parametros!$C$11,$R1971&lt;Parametros!$C$13),"Revisar","Estandar"))</f>
        <v>Estandar</v>
      </c>
      <c r="X1971" s="67" t="str">
        <f aca="false">IF(AND($J1971="E-commerce",IFERROR($T1971/$R1971,0)&gt;Parametros!$C$14),"Alerta","OK")</f>
        <v>Alerta</v>
      </c>
      <c r="Y1971" s="61" t="str">
        <f aca="false">IF($R1971&gt;=Parametros!$C$12,"Alto",IF($R1971&lt;Parametros!$C$13,"Bajo","Medio"))</f>
        <v>Medio</v>
      </c>
      <c r="Z1971" s="61" t="n">
        <v>712</v>
      </c>
      <c r="AA1971" s="61" t="str">
        <f aca="false">IF(MATCH($A1971,Datos_Origen!$A$2:$A$2459,0)=$Z1971,"OK","REVISAR")</f>
        <v>OK</v>
      </c>
      <c r="AB1971" s="62" t="n">
        <f aca="false">INDEX(Datos_Origen!$B$2:$B$2459,$Z1971)</f>
        <v>45890</v>
      </c>
      <c r="AC1971" s="61" t="n">
        <f aca="false">INDEX(Datos_Origen!$H$2:$H$2459,$Z1971)</f>
        <v>20</v>
      </c>
      <c r="AD1971" s="61" t="str">
        <f aca="false">INDEX(Datos_Origen!$D$2:$D$2459,$Z1971)&amp;""</f>
        <v>Mendoza</v>
      </c>
    </row>
    <row r="1972" customFormat="false" ht="15" hidden="false" customHeight="false" outlineLevel="0" collapsed="false">
      <c r="A1972" s="61" t="n">
        <f aca="false">INDEX(Datos_Origen!$A$2:$A$2459,$Z1972)</f>
        <v>1971</v>
      </c>
      <c r="B1972" s="62" t="n">
        <f aca="false">IF(ISNUMBER($AB1972),$AB1972,IF(MID($AB1972,5,1)="-",DATE(VALUE(LEFT($AB1972,4)),VALUE(MID($AB1972,6,2)),VALUE(RIGHT($AB1972,2))),DATE(VALUE(RIGHT($AB1972,4)),VALUE(MID($AB1972,4,2)),VALUE(LEFT($AB1972,2)))))</f>
        <v>45870</v>
      </c>
      <c r="C1972" s="61" t="n">
        <f aca="false">YEAR($B1972)</f>
        <v>2025</v>
      </c>
      <c r="D1972" s="61" t="str">
        <f aca="false">"Q"&amp;ROUNDUP(MONTH($B1972)/3,0)</f>
        <v>Q3</v>
      </c>
      <c r="E1972" s="61" t="n">
        <f aca="false">MONTH($B1972)</f>
        <v>8</v>
      </c>
      <c r="F1972" s="61" t="str">
        <f aca="false">INDEX(Parametros!$I$5:$I$16,$E1972)</f>
        <v>Ago</v>
      </c>
      <c r="G1972" s="61" t="str">
        <f aca="false">TEXT($C1972,"0000")&amp;"-"&amp;TEXT($E1972,"00")</f>
        <v>2025-08</v>
      </c>
      <c r="H1972" s="61" t="str">
        <f aca="false">INDEX(Parametros!$C$71:$C$91,MATCH(TRIM(INDEX(Datos_Origen!$C$2:$C$2459,$Z1972)),Parametros!$B$71:$B$91,0))</f>
        <v>Cuyo</v>
      </c>
      <c r="I1972" s="61" t="str">
        <f aca="false">IF(TRIM($AD1972)="",INDEX(Parametros!$I$20:$I$24,MATCH($H1972,Parametros!$H$20:$H$24,0)),TRIM($AD1972))</f>
        <v>Mendoza</v>
      </c>
      <c r="J1972" s="61" t="str">
        <f aca="false">INDEX(Parametros!$C$95:$C$106,MATCH(TRIM(INDEX(Datos_Origen!$E$2:$E$2459,$Z1972)),Parametros!$B$95:$B$106,0))</f>
        <v>Tienda fisica</v>
      </c>
      <c r="K1972" s="61" t="str">
        <f aca="false">INDEX(Parametros!$C$48:$C$67,MATCH(TRIM(INDEX(Datos_Origen!$F$2:$F$2459,$Z1972)),Parametros!$B$48:$B$67,0))</f>
        <v>Accesorios</v>
      </c>
      <c r="L1972" s="61" t="str">
        <f aca="false">$K1972&amp;" "&amp;$C1972</f>
        <v>Accesorios 2025</v>
      </c>
      <c r="M1972" s="61" t="str">
        <f aca="false">TRIM(INDEX(Datos_Origen!$G$2:$G$2459,$Z1972))</f>
        <v>Webcam Full HD</v>
      </c>
      <c r="N1972" s="61" t="str">
        <f aca="false">$M1972&amp;" "&amp;$C1972</f>
        <v>Webcam Full HD 2025</v>
      </c>
      <c r="O1972" s="63" t="n">
        <f aca="false">IF(ISTEXT($AC1972),VALUE($AC1972),$AC1972)</f>
        <v>34</v>
      </c>
      <c r="P1972" s="64" t="n">
        <f aca="false">INDEX(Datos_Origen!$I$2:$I$2459,$Z1972)</f>
        <v>65.26</v>
      </c>
      <c r="Q1972" s="64" t="n">
        <f aca="false">INDEX(Datos_Origen!$J$2:$J$2459,$Z1972)</f>
        <v>36.49</v>
      </c>
      <c r="R1972" s="65" t="n">
        <f aca="false">ROUND($O1972*$P1972,2)</f>
        <v>2218.84</v>
      </c>
      <c r="S1972" s="65" t="n">
        <f aca="false">ROUND($O1972*$Q1972,2)</f>
        <v>1240.66</v>
      </c>
      <c r="T1972" s="65" t="n">
        <f aca="false">ROUND($R1972*SUMIFS(Parametros!$E$28:$E$43,Parametros!$B$28:$B$43,$J1972,Parametros!$C$28:$C$43,$C1972,Parametros!$D$28:$D$43,$D1972),2)</f>
        <v>28.84</v>
      </c>
      <c r="U1972" s="65" t="n">
        <f aca="false">$R1972-$S1972-$T1972</f>
        <v>949.34</v>
      </c>
      <c r="V1972" s="66" t="n">
        <f aca="false">IFERROR($U1972/$R1972,0)</f>
        <v>0.427854194083395</v>
      </c>
      <c r="W1972" s="67" t="str">
        <f aca="false">IF(AND($V1972&gt;=Parametros!$C$8,$R1972&gt;=Parametros!$C$12),"Alta rentabilidad",IF(OR($V1972&lt;Parametros!$C$11,$R1972&lt;Parametros!$C$13),"Revisar","Estandar"))</f>
        <v>Estandar</v>
      </c>
      <c r="X1972" s="67" t="str">
        <f aca="false">IF(AND($J1972="E-commerce",IFERROR($T1972/$R1972,0)&gt;Parametros!$C$14),"Alerta","OK")</f>
        <v>OK</v>
      </c>
      <c r="Y1972" s="61" t="str">
        <f aca="false">IF($R1972&gt;=Parametros!$C$12,"Alto",IF($R1972&lt;Parametros!$C$13,"Bajo","Medio"))</f>
        <v>Medio</v>
      </c>
      <c r="Z1972" s="61" t="n">
        <v>1283</v>
      </c>
      <c r="AA1972" s="61" t="str">
        <f aca="false">IF(MATCH($A1972,Datos_Origen!$A$2:$A$2459,0)=$Z1972,"OK","REVISAR")</f>
        <v>OK</v>
      </c>
      <c r="AB1972" s="62" t="n">
        <f aca="false">INDEX(Datos_Origen!$B$2:$B$2459,$Z1972)</f>
        <v>45870</v>
      </c>
      <c r="AC1972" s="61" t="n">
        <f aca="false">INDEX(Datos_Origen!$H$2:$H$2459,$Z1972)</f>
        <v>34</v>
      </c>
      <c r="AD1972" s="61" t="str">
        <f aca="false">INDEX(Datos_Origen!$D$2:$D$2459,$Z1972)&amp;""</f>
        <v>Mendoza</v>
      </c>
    </row>
    <row r="1973" customFormat="false" ht="15" hidden="false" customHeight="false" outlineLevel="0" collapsed="false">
      <c r="A1973" s="61" t="n">
        <f aca="false">INDEX(Datos_Origen!$A$2:$A$2459,$Z1973)</f>
        <v>1972</v>
      </c>
      <c r="B1973" s="62" t="n">
        <f aca="false">IF(ISNUMBER($AB1973),$AB1973,IF(MID($AB1973,5,1)="-",DATE(VALUE(LEFT($AB1973,4)),VALUE(MID($AB1973,6,2)),VALUE(RIGHT($AB1973,2))),DATE(VALUE(RIGHT($AB1973,4)),VALUE(MID($AB1973,4,2)),VALUE(LEFT($AB1973,2)))))</f>
        <v>45877</v>
      </c>
      <c r="C1973" s="61" t="n">
        <f aca="false">YEAR($B1973)</f>
        <v>2025</v>
      </c>
      <c r="D1973" s="61" t="str">
        <f aca="false">"Q"&amp;ROUNDUP(MONTH($B1973)/3,0)</f>
        <v>Q3</v>
      </c>
      <c r="E1973" s="61" t="n">
        <f aca="false">MONTH($B1973)</f>
        <v>8</v>
      </c>
      <c r="F1973" s="61" t="str">
        <f aca="false">INDEX(Parametros!$I$5:$I$16,$E1973)</f>
        <v>Ago</v>
      </c>
      <c r="G1973" s="61" t="str">
        <f aca="false">TEXT($C1973,"0000")&amp;"-"&amp;TEXT($E1973,"00")</f>
        <v>2025-08</v>
      </c>
      <c r="H1973" s="61" t="str">
        <f aca="false">INDEX(Parametros!$C$71:$C$91,MATCH(TRIM(INDEX(Datos_Origen!$C$2:$C$2459,$Z1973)),Parametros!$B$71:$B$91,0))</f>
        <v>Cuyo</v>
      </c>
      <c r="I1973" s="61" t="str">
        <f aca="false">IF(TRIM($AD1973)="",INDEX(Parametros!$I$20:$I$24,MATCH($H1973,Parametros!$H$20:$H$24,0)),TRIM($AD1973))</f>
        <v>Mendoza</v>
      </c>
      <c r="J1973" s="61" t="str">
        <f aca="false">INDEX(Parametros!$C$95:$C$106,MATCH(TRIM(INDEX(Datos_Origen!$E$2:$E$2459,$Z1973)),Parametros!$B$95:$B$106,0))</f>
        <v>E-commerce</v>
      </c>
      <c r="K1973" s="61" t="str">
        <f aca="false">INDEX(Parametros!$C$48:$C$67,MATCH(TRIM(INDEX(Datos_Origen!$F$2:$F$2459,$Z1973)),Parametros!$B$48:$B$67,0))</f>
        <v>Accesorios</v>
      </c>
      <c r="L1973" s="61" t="str">
        <f aca="false">$K1973&amp;" "&amp;$C1973</f>
        <v>Accesorios 2025</v>
      </c>
      <c r="M1973" s="61" t="str">
        <f aca="false">TRIM(INDEX(Datos_Origen!$G$2:$G$2459,$Z1973))</f>
        <v>Webcam Full HD</v>
      </c>
      <c r="N1973" s="61" t="str">
        <f aca="false">$M1973&amp;" "&amp;$C1973</f>
        <v>Webcam Full HD 2025</v>
      </c>
      <c r="O1973" s="63" t="n">
        <f aca="false">IF(ISTEXT($AC1973),VALUE($AC1973),$AC1973)</f>
        <v>22</v>
      </c>
      <c r="P1973" s="64" t="n">
        <f aca="false">INDEX(Datos_Origen!$I$2:$I$2459,$Z1973)</f>
        <v>65.26</v>
      </c>
      <c r="Q1973" s="64" t="n">
        <f aca="false">INDEX(Datos_Origen!$J$2:$J$2459,$Z1973)</f>
        <v>36.49</v>
      </c>
      <c r="R1973" s="65" t="n">
        <f aca="false">ROUND($O1973*$P1973,2)</f>
        <v>1435.72</v>
      </c>
      <c r="S1973" s="65" t="n">
        <f aca="false">ROUND($O1973*$Q1973,2)</f>
        <v>802.78</v>
      </c>
      <c r="T1973" s="65" t="n">
        <f aca="false">ROUND($R1973*SUMIFS(Parametros!$E$28:$E$43,Parametros!$B$28:$B$43,$J1973,Parametros!$C$28:$C$43,$C1973,Parametros!$D$28:$D$43,$D1973),2)</f>
        <v>80.4</v>
      </c>
      <c r="U1973" s="65" t="n">
        <f aca="false">$R1973-$S1973-$T1973</f>
        <v>552.54</v>
      </c>
      <c r="V1973" s="66" t="n">
        <f aca="false">IFERROR($U1973/$R1973,0)</f>
        <v>0.384852199593236</v>
      </c>
      <c r="W1973" s="67" t="str">
        <f aca="false">IF(AND($V1973&gt;=Parametros!$C$8,$R1973&gt;=Parametros!$C$12),"Alta rentabilidad",IF(OR($V1973&lt;Parametros!$C$11,$R1973&lt;Parametros!$C$13),"Revisar","Estandar"))</f>
        <v>Estandar</v>
      </c>
      <c r="X1973" s="67" t="str">
        <f aca="false">IF(AND($J1973="E-commerce",IFERROR($T1973/$R1973,0)&gt;Parametros!$C$14),"Alerta","OK")</f>
        <v>Alerta</v>
      </c>
      <c r="Y1973" s="61" t="str">
        <f aca="false">IF($R1973&gt;=Parametros!$C$12,"Alto",IF($R1973&lt;Parametros!$C$13,"Bajo","Medio"))</f>
        <v>Medio</v>
      </c>
      <c r="Z1973" s="61" t="n">
        <v>591</v>
      </c>
      <c r="AA1973" s="61" t="str">
        <f aca="false">IF(MATCH($A1973,Datos_Origen!$A$2:$A$2459,0)=$Z1973,"OK","REVISAR")</f>
        <v>OK</v>
      </c>
      <c r="AB1973" s="62" t="n">
        <f aca="false">INDEX(Datos_Origen!$B$2:$B$2459,$Z1973)</f>
        <v>45877</v>
      </c>
      <c r="AC1973" s="61" t="n">
        <f aca="false">INDEX(Datos_Origen!$H$2:$H$2459,$Z1973)</f>
        <v>22</v>
      </c>
      <c r="AD1973" s="61" t="str">
        <f aca="false">INDEX(Datos_Origen!$D$2:$D$2459,$Z1973)&amp;""</f>
        <v>Mendoza</v>
      </c>
    </row>
    <row r="1974" customFormat="false" ht="15" hidden="false" customHeight="false" outlineLevel="0" collapsed="false">
      <c r="A1974" s="61" t="n">
        <f aca="false">INDEX(Datos_Origen!$A$2:$A$2459,$Z1974)</f>
        <v>1973</v>
      </c>
      <c r="B1974" s="62" t="n">
        <f aca="false">IF(ISNUMBER($AB1974),$AB1974,IF(MID($AB1974,5,1)="-",DATE(VALUE(LEFT($AB1974,4)),VALUE(MID($AB1974,6,2)),VALUE(RIGHT($AB1974,2))),DATE(VALUE(RIGHT($AB1974,4)),VALUE(MID($AB1974,4,2)),VALUE(LEFT($AB1974,2)))))</f>
        <v>45884</v>
      </c>
      <c r="C1974" s="61" t="n">
        <f aca="false">YEAR($B1974)</f>
        <v>2025</v>
      </c>
      <c r="D1974" s="61" t="str">
        <f aca="false">"Q"&amp;ROUNDUP(MONTH($B1974)/3,0)</f>
        <v>Q3</v>
      </c>
      <c r="E1974" s="61" t="n">
        <f aca="false">MONTH($B1974)</f>
        <v>8</v>
      </c>
      <c r="F1974" s="61" t="str">
        <f aca="false">INDEX(Parametros!$I$5:$I$16,$E1974)</f>
        <v>Ago</v>
      </c>
      <c r="G1974" s="61" t="str">
        <f aca="false">TEXT($C1974,"0000")&amp;"-"&amp;TEXT($E1974,"00")</f>
        <v>2025-08</v>
      </c>
      <c r="H1974" s="61" t="str">
        <f aca="false">INDEX(Parametros!$C$71:$C$91,MATCH(TRIM(INDEX(Datos_Origen!$C$2:$C$2459,$Z1974)),Parametros!$B$71:$B$91,0))</f>
        <v>Cuyo</v>
      </c>
      <c r="I1974" s="61" t="str">
        <f aca="false">IF(TRIM($AD1974)="",INDEX(Parametros!$I$20:$I$24,MATCH($H1974,Parametros!$H$20:$H$24,0)),TRIM($AD1974))</f>
        <v>Mendoza</v>
      </c>
      <c r="J1974" s="61" t="str">
        <f aca="false">INDEX(Parametros!$C$95:$C$106,MATCH(TRIM(INDEX(Datos_Origen!$E$2:$E$2459,$Z1974)),Parametros!$B$95:$B$106,0))</f>
        <v>Tienda fisica</v>
      </c>
      <c r="K1974" s="61" t="str">
        <f aca="false">INDEX(Parametros!$C$48:$C$67,MATCH(TRIM(INDEX(Datos_Origen!$F$2:$F$2459,$Z1974)),Parametros!$B$48:$B$67,0))</f>
        <v>Audio</v>
      </c>
      <c r="L1974" s="61" t="str">
        <f aca="false">$K1974&amp;" "&amp;$C1974</f>
        <v>Audio 2025</v>
      </c>
      <c r="M1974" s="61" t="str">
        <f aca="false">TRIM(INDEX(Datos_Origen!$G$2:$G$2459,$Z1974))</f>
        <v>Auriculares BT Pro</v>
      </c>
      <c r="N1974" s="61" t="str">
        <f aca="false">$M1974&amp;" "&amp;$C1974</f>
        <v>Auriculares BT Pro 2025</v>
      </c>
      <c r="O1974" s="63" t="n">
        <f aca="false">IF(ISTEXT($AC1974),VALUE($AC1974),$AC1974)</f>
        <v>13</v>
      </c>
      <c r="P1974" s="64" t="n">
        <f aca="false">INDEX(Datos_Origen!$I$2:$I$2459,$Z1974)</f>
        <v>120.47</v>
      </c>
      <c r="Q1974" s="64" t="n">
        <f aca="false">INDEX(Datos_Origen!$J$2:$J$2459,$Z1974)</f>
        <v>65.51</v>
      </c>
      <c r="R1974" s="65" t="n">
        <f aca="false">ROUND($O1974*$P1974,2)</f>
        <v>1566.11</v>
      </c>
      <c r="S1974" s="65" t="n">
        <f aca="false">ROUND($O1974*$Q1974,2)</f>
        <v>851.63</v>
      </c>
      <c r="T1974" s="65" t="n">
        <f aca="false">ROUND($R1974*SUMIFS(Parametros!$E$28:$E$43,Parametros!$B$28:$B$43,$J1974,Parametros!$C$28:$C$43,$C1974,Parametros!$D$28:$D$43,$D1974),2)</f>
        <v>20.36</v>
      </c>
      <c r="U1974" s="65" t="n">
        <f aca="false">$R1974-$S1974-$T1974</f>
        <v>694.12</v>
      </c>
      <c r="V1974" s="66" t="n">
        <f aca="false">IFERROR($U1974/$R1974,0)</f>
        <v>0.443212801144236</v>
      </c>
      <c r="W1974" s="67" t="str">
        <f aca="false">IF(AND($V1974&gt;=Parametros!$C$8,$R1974&gt;=Parametros!$C$12),"Alta rentabilidad",IF(OR($V1974&lt;Parametros!$C$11,$R1974&lt;Parametros!$C$13),"Revisar","Estandar"))</f>
        <v>Estandar</v>
      </c>
      <c r="X1974" s="67" t="str">
        <f aca="false">IF(AND($J1974="E-commerce",IFERROR($T1974/$R1974,0)&gt;Parametros!$C$14),"Alerta","OK")</f>
        <v>OK</v>
      </c>
      <c r="Y1974" s="61" t="str">
        <f aca="false">IF($R1974&gt;=Parametros!$C$12,"Alto",IF($R1974&lt;Parametros!$C$13,"Bajo","Medio"))</f>
        <v>Medio</v>
      </c>
      <c r="Z1974" s="61" t="n">
        <v>704</v>
      </c>
      <c r="AA1974" s="61" t="str">
        <f aca="false">IF(MATCH($A1974,Datos_Origen!$A$2:$A$2459,0)=$Z1974,"OK","REVISAR")</f>
        <v>OK</v>
      </c>
      <c r="AB1974" s="62" t="n">
        <f aca="false">INDEX(Datos_Origen!$B$2:$B$2459,$Z1974)</f>
        <v>45884</v>
      </c>
      <c r="AC1974" s="61" t="n">
        <f aca="false">INDEX(Datos_Origen!$H$2:$H$2459,$Z1974)</f>
        <v>13</v>
      </c>
      <c r="AD1974" s="61" t="str">
        <f aca="false">INDEX(Datos_Origen!$D$2:$D$2459,$Z1974)&amp;""</f>
        <v>Mendoza</v>
      </c>
    </row>
    <row r="1975" customFormat="false" ht="15" hidden="false" customHeight="false" outlineLevel="0" collapsed="false">
      <c r="A1975" s="61" t="n">
        <f aca="false">INDEX(Datos_Origen!$A$2:$A$2459,$Z1975)</f>
        <v>1974</v>
      </c>
      <c r="B1975" s="62" t="n">
        <f aca="false">IF(ISNUMBER($AB1975),$AB1975,IF(MID($AB1975,5,1)="-",DATE(VALUE(LEFT($AB1975,4)),VALUE(MID($AB1975,6,2)),VALUE(RIGHT($AB1975,2))),DATE(VALUE(RIGHT($AB1975,4)),VALUE(MID($AB1975,4,2)),VALUE(LEFT($AB1975,2)))))</f>
        <v>45891</v>
      </c>
      <c r="C1975" s="61" t="n">
        <f aca="false">YEAR($B1975)</f>
        <v>2025</v>
      </c>
      <c r="D1975" s="61" t="str">
        <f aca="false">"Q"&amp;ROUNDUP(MONTH($B1975)/3,0)</f>
        <v>Q3</v>
      </c>
      <c r="E1975" s="61" t="n">
        <f aca="false">MONTH($B1975)</f>
        <v>8</v>
      </c>
      <c r="F1975" s="61" t="str">
        <f aca="false">INDEX(Parametros!$I$5:$I$16,$E1975)</f>
        <v>Ago</v>
      </c>
      <c r="G1975" s="61" t="str">
        <f aca="false">TEXT($C1975,"0000")&amp;"-"&amp;TEXT($E1975,"00")</f>
        <v>2025-08</v>
      </c>
      <c r="H1975" s="61" t="str">
        <f aca="false">INDEX(Parametros!$C$71:$C$91,MATCH(TRIM(INDEX(Datos_Origen!$C$2:$C$2459,$Z1975)),Parametros!$B$71:$B$91,0))</f>
        <v>Cuyo</v>
      </c>
      <c r="I1975" s="61" t="str">
        <f aca="false">IF(TRIM($AD1975)="",INDEX(Parametros!$I$20:$I$24,MATCH($H1975,Parametros!$H$20:$H$24,0)),TRIM($AD1975))</f>
        <v>Mendoza</v>
      </c>
      <c r="J1975" s="61" t="str">
        <f aca="false">INDEX(Parametros!$C$95:$C$106,MATCH(TRIM(INDEX(Datos_Origen!$E$2:$E$2459,$Z1975)),Parametros!$B$95:$B$106,0))</f>
        <v>E-commerce</v>
      </c>
      <c r="K1975" s="61" t="str">
        <f aca="false">INDEX(Parametros!$C$48:$C$67,MATCH(TRIM(INDEX(Datos_Origen!$F$2:$F$2459,$Z1975)),Parametros!$B$48:$B$67,0))</f>
        <v>Audio</v>
      </c>
      <c r="L1975" s="61" t="str">
        <f aca="false">$K1975&amp;" "&amp;$C1975</f>
        <v>Audio 2025</v>
      </c>
      <c r="M1975" s="61" t="str">
        <f aca="false">TRIM(INDEX(Datos_Origen!$G$2:$G$2459,$Z1975))</f>
        <v>Auriculares BT Pro</v>
      </c>
      <c r="N1975" s="61" t="str">
        <f aca="false">$M1975&amp;" "&amp;$C1975</f>
        <v>Auriculares BT Pro 2025</v>
      </c>
      <c r="O1975" s="63" t="n">
        <f aca="false">IF(ISTEXT($AC1975),VALUE($AC1975),$AC1975)</f>
        <v>8</v>
      </c>
      <c r="P1975" s="64" t="n">
        <f aca="false">INDEX(Datos_Origen!$I$2:$I$2459,$Z1975)</f>
        <v>120.47</v>
      </c>
      <c r="Q1975" s="64" t="n">
        <f aca="false">INDEX(Datos_Origen!$J$2:$J$2459,$Z1975)</f>
        <v>65.51</v>
      </c>
      <c r="R1975" s="65" t="n">
        <f aca="false">ROUND($O1975*$P1975,2)</f>
        <v>963.76</v>
      </c>
      <c r="S1975" s="65" t="n">
        <f aca="false">ROUND($O1975*$Q1975,2)</f>
        <v>524.08</v>
      </c>
      <c r="T1975" s="65" t="n">
        <f aca="false">ROUND($R1975*SUMIFS(Parametros!$E$28:$E$43,Parametros!$B$28:$B$43,$J1975,Parametros!$C$28:$C$43,$C1975,Parametros!$D$28:$D$43,$D1975),2)</f>
        <v>53.97</v>
      </c>
      <c r="U1975" s="65" t="n">
        <f aca="false">$R1975-$S1975-$T1975</f>
        <v>385.71</v>
      </c>
      <c r="V1975" s="66" t="n">
        <f aca="false">IFERROR($U1975/$R1975,0)</f>
        <v>0.40021374616087</v>
      </c>
      <c r="W1975" s="67" t="str">
        <f aca="false">IF(AND($V1975&gt;=Parametros!$C$8,$R1975&gt;=Parametros!$C$12),"Alta rentabilidad",IF(OR($V1975&lt;Parametros!$C$11,$R1975&lt;Parametros!$C$13),"Revisar","Estandar"))</f>
        <v>Estandar</v>
      </c>
      <c r="X1975" s="67" t="str">
        <f aca="false">IF(AND($J1975="E-commerce",IFERROR($T1975/$R1975,0)&gt;Parametros!$C$14),"Alerta","OK")</f>
        <v>Alerta</v>
      </c>
      <c r="Y1975" s="61" t="str">
        <f aca="false">IF($R1975&gt;=Parametros!$C$12,"Alto",IF($R1975&lt;Parametros!$C$13,"Bajo","Medio"))</f>
        <v>Medio</v>
      </c>
      <c r="Z1975" s="61" t="n">
        <v>2206</v>
      </c>
      <c r="AA1975" s="61" t="str">
        <f aca="false">IF(MATCH($A1975,Datos_Origen!$A$2:$A$2459,0)=$Z1975,"OK","REVISAR")</f>
        <v>OK</v>
      </c>
      <c r="AB1975" s="62" t="n">
        <f aca="false">INDEX(Datos_Origen!$B$2:$B$2459,$Z1975)</f>
        <v>45891</v>
      </c>
      <c r="AC1975" s="61" t="n">
        <f aca="false">INDEX(Datos_Origen!$H$2:$H$2459,$Z1975)</f>
        <v>8</v>
      </c>
      <c r="AD1975" s="61" t="str">
        <f aca="false">INDEX(Datos_Origen!$D$2:$D$2459,$Z1975)&amp;""</f>
        <v>Mendoza</v>
      </c>
    </row>
    <row r="1976" customFormat="false" ht="15" hidden="false" customHeight="false" outlineLevel="0" collapsed="false">
      <c r="A1976" s="61" t="n">
        <f aca="false">INDEX(Datos_Origen!$A$2:$A$2459,$Z1976)</f>
        <v>1975</v>
      </c>
      <c r="B1976" s="62" t="n">
        <f aca="false">IF(ISNUMBER($AB1976),$AB1976,IF(MID($AB1976,5,1)="-",DATE(VALUE(LEFT($AB1976,4)),VALUE(MID($AB1976,6,2)),VALUE(RIGHT($AB1976,2))),DATE(VALUE(RIGHT($AB1976,4)),VALUE(MID($AB1976,4,2)),VALUE(LEFT($AB1976,2)))))</f>
        <v>45871</v>
      </c>
      <c r="C1976" s="61" t="n">
        <f aca="false">YEAR($B1976)</f>
        <v>2025</v>
      </c>
      <c r="D1976" s="61" t="str">
        <f aca="false">"Q"&amp;ROUNDUP(MONTH($B1976)/3,0)</f>
        <v>Q3</v>
      </c>
      <c r="E1976" s="61" t="n">
        <f aca="false">MONTH($B1976)</f>
        <v>8</v>
      </c>
      <c r="F1976" s="61" t="str">
        <f aca="false">INDEX(Parametros!$I$5:$I$16,$E1976)</f>
        <v>Ago</v>
      </c>
      <c r="G1976" s="61" t="str">
        <f aca="false">TEXT($C1976,"0000")&amp;"-"&amp;TEXT($E1976,"00")</f>
        <v>2025-08</v>
      </c>
      <c r="H1976" s="61" t="str">
        <f aca="false">INDEX(Parametros!$C$71:$C$91,MATCH(TRIM(INDEX(Datos_Origen!$C$2:$C$2459,$Z1976)),Parametros!$B$71:$B$91,0))</f>
        <v>Cuyo</v>
      </c>
      <c r="I1976" s="61" t="str">
        <f aca="false">IF(TRIM($AD1976)="",INDEX(Parametros!$I$20:$I$24,MATCH($H1976,Parametros!$H$20:$H$24,0)),TRIM($AD1976))</f>
        <v>Mendoza</v>
      </c>
      <c r="J1976" s="61" t="str">
        <f aca="false">INDEX(Parametros!$C$95:$C$106,MATCH(TRIM(INDEX(Datos_Origen!$E$2:$E$2459,$Z1976)),Parametros!$B$95:$B$106,0))</f>
        <v>Tienda fisica</v>
      </c>
      <c r="K1976" s="61" t="str">
        <f aca="false">INDEX(Parametros!$C$48:$C$67,MATCH(TRIM(INDEX(Datos_Origen!$F$2:$F$2459,$Z1976)),Parametros!$B$48:$B$67,0))</f>
        <v>Audio</v>
      </c>
      <c r="L1976" s="61" t="str">
        <f aca="false">$K1976&amp;" "&amp;$C1976</f>
        <v>Audio 2025</v>
      </c>
      <c r="M1976" s="61" t="str">
        <f aca="false">TRIM(INDEX(Datos_Origen!$G$2:$G$2459,$Z1976))</f>
        <v>Parlante Bluetooth</v>
      </c>
      <c r="N1976" s="61" t="str">
        <f aca="false">$M1976&amp;" "&amp;$C1976</f>
        <v>Parlante Bluetooth 2025</v>
      </c>
      <c r="O1976" s="63" t="n">
        <f aca="false">IF(ISTEXT($AC1976),VALUE($AC1976),$AC1976)</f>
        <v>11</v>
      </c>
      <c r="P1976" s="64" t="n">
        <f aca="false">INDEX(Datos_Origen!$I$2:$I$2459,$Z1976)</f>
        <v>85.34</v>
      </c>
      <c r="Q1976" s="64" t="n">
        <f aca="false">INDEX(Datos_Origen!$J$2:$J$2459,$Z1976)</f>
        <v>49.47</v>
      </c>
      <c r="R1976" s="65" t="n">
        <f aca="false">ROUND($O1976*$P1976,2)</f>
        <v>938.74</v>
      </c>
      <c r="S1976" s="65" t="n">
        <f aca="false">ROUND($O1976*$Q1976,2)</f>
        <v>544.17</v>
      </c>
      <c r="T1976" s="65" t="n">
        <f aca="false">ROUND($R1976*SUMIFS(Parametros!$E$28:$E$43,Parametros!$B$28:$B$43,$J1976,Parametros!$C$28:$C$43,$C1976,Parametros!$D$28:$D$43,$D1976),2)</f>
        <v>12.2</v>
      </c>
      <c r="U1976" s="65" t="n">
        <f aca="false">$R1976-$S1976-$T1976</f>
        <v>382.37</v>
      </c>
      <c r="V1976" s="66" t="n">
        <f aca="false">IFERROR($U1976/$R1976,0)</f>
        <v>0.407322581332424</v>
      </c>
      <c r="W1976" s="67" t="str">
        <f aca="false">IF(AND($V1976&gt;=Parametros!$C$8,$R1976&gt;=Parametros!$C$12),"Alta rentabilidad",IF(OR($V1976&lt;Parametros!$C$11,$R1976&lt;Parametros!$C$13),"Revisar","Estandar"))</f>
        <v>Estandar</v>
      </c>
      <c r="X1976" s="67" t="str">
        <f aca="false">IF(AND($J1976="E-commerce",IFERROR($T1976/$R1976,0)&gt;Parametros!$C$14),"Alerta","OK")</f>
        <v>OK</v>
      </c>
      <c r="Y1976" s="61" t="str">
        <f aca="false">IF($R1976&gt;=Parametros!$C$12,"Alto",IF($R1976&lt;Parametros!$C$13,"Bajo","Medio"))</f>
        <v>Medio</v>
      </c>
      <c r="Z1976" s="61" t="n">
        <v>1865</v>
      </c>
      <c r="AA1976" s="61" t="str">
        <f aca="false">IF(MATCH($A1976,Datos_Origen!$A$2:$A$2459,0)=$Z1976,"OK","REVISAR")</f>
        <v>OK</v>
      </c>
      <c r="AB1976" s="61" t="str">
        <f aca="false">INDEX(Datos_Origen!$B$2:$B$2459,$Z1976)</f>
        <v>02/08/2025</v>
      </c>
      <c r="AC1976" s="61" t="n">
        <f aca="false">INDEX(Datos_Origen!$H$2:$H$2459,$Z1976)</f>
        <v>11</v>
      </c>
      <c r="AD1976" s="61" t="str">
        <f aca="false">INDEX(Datos_Origen!$D$2:$D$2459,$Z1976)&amp;""</f>
        <v>Mendoza</v>
      </c>
    </row>
    <row r="1977" customFormat="false" ht="15" hidden="false" customHeight="false" outlineLevel="0" collapsed="false">
      <c r="A1977" s="61" t="n">
        <f aca="false">INDEX(Datos_Origen!$A$2:$A$2459,$Z1977)</f>
        <v>1976</v>
      </c>
      <c r="B1977" s="62" t="n">
        <f aca="false">IF(ISNUMBER($AB1977),$AB1977,IF(MID($AB1977,5,1)="-",DATE(VALUE(LEFT($AB1977,4)),VALUE(MID($AB1977,6,2)),VALUE(RIGHT($AB1977,2))),DATE(VALUE(RIGHT($AB1977,4)),VALUE(MID($AB1977,4,2)),VALUE(LEFT($AB1977,2)))))</f>
        <v>45878</v>
      </c>
      <c r="C1977" s="61" t="n">
        <f aca="false">YEAR($B1977)</f>
        <v>2025</v>
      </c>
      <c r="D1977" s="61" t="str">
        <f aca="false">"Q"&amp;ROUNDUP(MONTH($B1977)/3,0)</f>
        <v>Q3</v>
      </c>
      <c r="E1977" s="61" t="n">
        <f aca="false">MONTH($B1977)</f>
        <v>8</v>
      </c>
      <c r="F1977" s="61" t="str">
        <f aca="false">INDEX(Parametros!$I$5:$I$16,$E1977)</f>
        <v>Ago</v>
      </c>
      <c r="G1977" s="61" t="str">
        <f aca="false">TEXT($C1977,"0000")&amp;"-"&amp;TEXT($E1977,"00")</f>
        <v>2025-08</v>
      </c>
      <c r="H1977" s="61" t="str">
        <f aca="false">INDEX(Parametros!$C$71:$C$91,MATCH(TRIM(INDEX(Datos_Origen!$C$2:$C$2459,$Z1977)),Parametros!$B$71:$B$91,0))</f>
        <v>Cuyo</v>
      </c>
      <c r="I1977" s="61" t="str">
        <f aca="false">IF(TRIM($AD1977)="",INDEX(Parametros!$I$20:$I$24,MATCH($H1977,Parametros!$H$20:$H$24,0)),TRIM($AD1977))</f>
        <v>Mendoza</v>
      </c>
      <c r="J1977" s="61" t="str">
        <f aca="false">INDEX(Parametros!$C$95:$C$106,MATCH(TRIM(INDEX(Datos_Origen!$E$2:$E$2459,$Z1977)),Parametros!$B$95:$B$106,0))</f>
        <v>E-commerce</v>
      </c>
      <c r="K1977" s="61" t="str">
        <f aca="false">INDEX(Parametros!$C$48:$C$67,MATCH(TRIM(INDEX(Datos_Origen!$F$2:$F$2459,$Z1977)),Parametros!$B$48:$B$67,0))</f>
        <v>Audio</v>
      </c>
      <c r="L1977" s="61" t="str">
        <f aca="false">$K1977&amp;" "&amp;$C1977</f>
        <v>Audio 2025</v>
      </c>
      <c r="M1977" s="61" t="str">
        <f aca="false">TRIM(INDEX(Datos_Origen!$G$2:$G$2459,$Z1977))</f>
        <v>Parlante Bluetooth</v>
      </c>
      <c r="N1977" s="61" t="str">
        <f aca="false">$M1977&amp;" "&amp;$C1977</f>
        <v>Parlante Bluetooth 2025</v>
      </c>
      <c r="O1977" s="63" t="n">
        <f aca="false">IF(ISTEXT($AC1977),VALUE($AC1977),$AC1977)</f>
        <v>11</v>
      </c>
      <c r="P1977" s="64" t="n">
        <f aca="false">INDEX(Datos_Origen!$I$2:$I$2459,$Z1977)</f>
        <v>85.34</v>
      </c>
      <c r="Q1977" s="64" t="n">
        <f aca="false">INDEX(Datos_Origen!$J$2:$J$2459,$Z1977)</f>
        <v>49.47</v>
      </c>
      <c r="R1977" s="65" t="n">
        <f aca="false">ROUND($O1977*$P1977,2)</f>
        <v>938.74</v>
      </c>
      <c r="S1977" s="65" t="n">
        <f aca="false">ROUND($O1977*$Q1977,2)</f>
        <v>544.17</v>
      </c>
      <c r="T1977" s="65" t="n">
        <f aca="false">ROUND($R1977*SUMIFS(Parametros!$E$28:$E$43,Parametros!$B$28:$B$43,$J1977,Parametros!$C$28:$C$43,$C1977,Parametros!$D$28:$D$43,$D1977),2)</f>
        <v>52.57</v>
      </c>
      <c r="U1977" s="65" t="n">
        <f aca="false">$R1977-$S1977-$T1977</f>
        <v>342</v>
      </c>
      <c r="V1977" s="66" t="n">
        <f aca="false">IFERROR($U1977/$R1977,0)</f>
        <v>0.364318128555298</v>
      </c>
      <c r="W1977" s="67" t="str">
        <f aca="false">IF(AND($V1977&gt;=Parametros!$C$8,$R1977&gt;=Parametros!$C$12),"Alta rentabilidad",IF(OR($V1977&lt;Parametros!$C$11,$R1977&lt;Parametros!$C$13),"Revisar","Estandar"))</f>
        <v>Estandar</v>
      </c>
      <c r="X1977" s="67" t="str">
        <f aca="false">IF(AND($J1977="E-commerce",IFERROR($T1977/$R1977,0)&gt;Parametros!$C$14),"Alerta","OK")</f>
        <v>Alerta</v>
      </c>
      <c r="Y1977" s="61" t="str">
        <f aca="false">IF($R1977&gt;=Parametros!$C$12,"Alto",IF($R1977&lt;Parametros!$C$13,"Bajo","Medio"))</f>
        <v>Medio</v>
      </c>
      <c r="Z1977" s="61" t="n">
        <v>1758</v>
      </c>
      <c r="AA1977" s="61" t="str">
        <f aca="false">IF(MATCH($A1977,Datos_Origen!$A$2:$A$2459,0)=$Z1977,"OK","REVISAR")</f>
        <v>OK</v>
      </c>
      <c r="AB1977" s="62" t="n">
        <f aca="false">INDEX(Datos_Origen!$B$2:$B$2459,$Z1977)</f>
        <v>45878</v>
      </c>
      <c r="AC1977" s="61" t="n">
        <f aca="false">INDEX(Datos_Origen!$H$2:$H$2459,$Z1977)</f>
        <v>11</v>
      </c>
      <c r="AD1977" s="61" t="str">
        <f aca="false">INDEX(Datos_Origen!$D$2:$D$2459,$Z1977)&amp;""</f>
        <v>Mendoza</v>
      </c>
    </row>
    <row r="1978" customFormat="false" ht="15" hidden="false" customHeight="false" outlineLevel="0" collapsed="false">
      <c r="A1978" s="61" t="n">
        <f aca="false">INDEX(Datos_Origen!$A$2:$A$2459,$Z1978)</f>
        <v>1977</v>
      </c>
      <c r="B1978" s="62" t="n">
        <f aca="false">IF(ISNUMBER($AB1978),$AB1978,IF(MID($AB1978,5,1)="-",DATE(VALUE(LEFT($AB1978,4)),VALUE(MID($AB1978,6,2)),VALUE(RIGHT($AB1978,2))),DATE(VALUE(RIGHT($AB1978,4)),VALUE(MID($AB1978,4,2)),VALUE(LEFT($AB1978,2)))))</f>
        <v>45885</v>
      </c>
      <c r="C1978" s="61" t="n">
        <f aca="false">YEAR($B1978)</f>
        <v>2025</v>
      </c>
      <c r="D1978" s="61" t="str">
        <f aca="false">"Q"&amp;ROUNDUP(MONTH($B1978)/3,0)</f>
        <v>Q3</v>
      </c>
      <c r="E1978" s="61" t="n">
        <f aca="false">MONTH($B1978)</f>
        <v>8</v>
      </c>
      <c r="F1978" s="61" t="str">
        <f aca="false">INDEX(Parametros!$I$5:$I$16,$E1978)</f>
        <v>Ago</v>
      </c>
      <c r="G1978" s="61" t="str">
        <f aca="false">TEXT($C1978,"0000")&amp;"-"&amp;TEXT($E1978,"00")</f>
        <v>2025-08</v>
      </c>
      <c r="H1978" s="61" t="str">
        <f aca="false">INDEX(Parametros!$C$71:$C$91,MATCH(TRIM(INDEX(Datos_Origen!$C$2:$C$2459,$Z1978)),Parametros!$B$71:$B$91,0))</f>
        <v>Cuyo</v>
      </c>
      <c r="I1978" s="61" t="str">
        <f aca="false">IF(TRIM($AD1978)="",INDEX(Parametros!$I$20:$I$24,MATCH($H1978,Parametros!$H$20:$H$24,0)),TRIM($AD1978))</f>
        <v>Mendoza</v>
      </c>
      <c r="J1978" s="61" t="str">
        <f aca="false">INDEX(Parametros!$C$95:$C$106,MATCH(TRIM(INDEX(Datos_Origen!$E$2:$E$2459,$Z1978)),Parametros!$B$95:$B$106,0))</f>
        <v>Tienda fisica</v>
      </c>
      <c r="K1978" s="61" t="str">
        <f aca="false">INDEX(Parametros!$C$48:$C$67,MATCH(TRIM(INDEX(Datos_Origen!$F$2:$F$2459,$Z1978)),Parametros!$B$48:$B$67,0))</f>
        <v>Almacenamiento</v>
      </c>
      <c r="L1978" s="61" t="str">
        <f aca="false">$K1978&amp;" "&amp;$C1978</f>
        <v>Almacenamiento 2025</v>
      </c>
      <c r="M1978" s="61" t="str">
        <f aca="false">TRIM(INDEX(Datos_Origen!$G$2:$G$2459,$Z1978))</f>
        <v>SSD Externo 1TB</v>
      </c>
      <c r="N1978" s="61" t="str">
        <f aca="false">$M1978&amp;" "&amp;$C1978</f>
        <v>SSD Externo 1TB 2025</v>
      </c>
      <c r="O1978" s="63" t="n">
        <f aca="false">IF(ISTEXT($AC1978),VALUE($AC1978),$AC1978)</f>
        <v>14</v>
      </c>
      <c r="P1978" s="64" t="n">
        <f aca="false">INDEX(Datos_Origen!$I$2:$I$2459,$Z1978)</f>
        <v>130.51</v>
      </c>
      <c r="Q1978" s="64" t="n">
        <f aca="false">INDEX(Datos_Origen!$J$2:$J$2459,$Z1978)</f>
        <v>78.33</v>
      </c>
      <c r="R1978" s="65" t="n">
        <f aca="false">ROUND($O1978*$P1978,2)</f>
        <v>1827.14</v>
      </c>
      <c r="S1978" s="65" t="n">
        <f aca="false">ROUND($O1978*$Q1978,2)</f>
        <v>1096.62</v>
      </c>
      <c r="T1978" s="65" t="n">
        <f aca="false">ROUND($R1978*SUMIFS(Parametros!$E$28:$E$43,Parametros!$B$28:$B$43,$J1978,Parametros!$C$28:$C$43,$C1978,Parametros!$D$28:$D$43,$D1978),2)</f>
        <v>23.75</v>
      </c>
      <c r="U1978" s="65" t="n">
        <f aca="false">$R1978-$S1978-$T1978</f>
        <v>706.77</v>
      </c>
      <c r="V1978" s="66" t="n">
        <f aca="false">IFERROR($U1978/$R1978,0)</f>
        <v>0.386817649441203</v>
      </c>
      <c r="W1978" s="67" t="str">
        <f aca="false">IF(AND($V1978&gt;=Parametros!$C$8,$R1978&gt;=Parametros!$C$12),"Alta rentabilidad",IF(OR($V1978&lt;Parametros!$C$11,$R1978&lt;Parametros!$C$13),"Revisar","Estandar"))</f>
        <v>Estandar</v>
      </c>
      <c r="X1978" s="67" t="str">
        <f aca="false">IF(AND($J1978="E-commerce",IFERROR($T1978/$R1978,0)&gt;Parametros!$C$14),"Alerta","OK")</f>
        <v>OK</v>
      </c>
      <c r="Y1978" s="61" t="str">
        <f aca="false">IF($R1978&gt;=Parametros!$C$12,"Alto",IF($R1978&lt;Parametros!$C$13,"Bajo","Medio"))</f>
        <v>Medio</v>
      </c>
      <c r="Z1978" s="61" t="n">
        <v>1866</v>
      </c>
      <c r="AA1978" s="61" t="str">
        <f aca="false">IF(MATCH($A1978,Datos_Origen!$A$2:$A$2459,0)=$Z1978,"OK","REVISAR")</f>
        <v>OK</v>
      </c>
      <c r="AB1978" s="62" t="n">
        <f aca="false">INDEX(Datos_Origen!$B$2:$B$2459,$Z1978)</f>
        <v>45885</v>
      </c>
      <c r="AC1978" s="61" t="n">
        <f aca="false">INDEX(Datos_Origen!$H$2:$H$2459,$Z1978)</f>
        <v>14</v>
      </c>
      <c r="AD1978" s="61" t="str">
        <f aca="false">INDEX(Datos_Origen!$D$2:$D$2459,$Z1978)&amp;""</f>
        <v/>
      </c>
    </row>
    <row r="1979" customFormat="false" ht="15" hidden="false" customHeight="false" outlineLevel="0" collapsed="false">
      <c r="A1979" s="61" t="n">
        <f aca="false">INDEX(Datos_Origen!$A$2:$A$2459,$Z1979)</f>
        <v>1978</v>
      </c>
      <c r="B1979" s="62" t="n">
        <f aca="false">IF(ISNUMBER($AB1979),$AB1979,IF(MID($AB1979,5,1)="-",DATE(VALUE(LEFT($AB1979,4)),VALUE(MID($AB1979,6,2)),VALUE(RIGHT($AB1979,2))),DATE(VALUE(RIGHT($AB1979,4)),VALUE(MID($AB1979,4,2)),VALUE(LEFT($AB1979,2)))))</f>
        <v>45892</v>
      </c>
      <c r="C1979" s="61" t="n">
        <f aca="false">YEAR($B1979)</f>
        <v>2025</v>
      </c>
      <c r="D1979" s="61" t="str">
        <f aca="false">"Q"&amp;ROUNDUP(MONTH($B1979)/3,0)</f>
        <v>Q3</v>
      </c>
      <c r="E1979" s="61" t="n">
        <f aca="false">MONTH($B1979)</f>
        <v>8</v>
      </c>
      <c r="F1979" s="61" t="str">
        <f aca="false">INDEX(Parametros!$I$5:$I$16,$E1979)</f>
        <v>Ago</v>
      </c>
      <c r="G1979" s="61" t="str">
        <f aca="false">TEXT($C1979,"0000")&amp;"-"&amp;TEXT($E1979,"00")</f>
        <v>2025-08</v>
      </c>
      <c r="H1979" s="61" t="str">
        <f aca="false">INDEX(Parametros!$C$71:$C$91,MATCH(TRIM(INDEX(Datos_Origen!$C$2:$C$2459,$Z1979)),Parametros!$B$71:$B$91,0))</f>
        <v>Cuyo</v>
      </c>
      <c r="I1979" s="61" t="str">
        <f aca="false">IF(TRIM($AD1979)="",INDEX(Parametros!$I$20:$I$24,MATCH($H1979,Parametros!$H$20:$H$24,0)),TRIM($AD1979))</f>
        <v>Mendoza</v>
      </c>
      <c r="J1979" s="61" t="str">
        <f aca="false">INDEX(Parametros!$C$95:$C$106,MATCH(TRIM(INDEX(Datos_Origen!$E$2:$E$2459,$Z1979)),Parametros!$B$95:$B$106,0))</f>
        <v>E-commerce</v>
      </c>
      <c r="K1979" s="61" t="str">
        <f aca="false">INDEX(Parametros!$C$48:$C$67,MATCH(TRIM(INDEX(Datos_Origen!$F$2:$F$2459,$Z1979)),Parametros!$B$48:$B$67,0))</f>
        <v>Almacenamiento</v>
      </c>
      <c r="L1979" s="61" t="str">
        <f aca="false">$K1979&amp;" "&amp;$C1979</f>
        <v>Almacenamiento 2025</v>
      </c>
      <c r="M1979" s="61" t="str">
        <f aca="false">TRIM(INDEX(Datos_Origen!$G$2:$G$2459,$Z1979))</f>
        <v>SSD Externo 1TB</v>
      </c>
      <c r="N1979" s="61" t="str">
        <f aca="false">$M1979&amp;" "&amp;$C1979</f>
        <v>SSD Externo 1TB 2025</v>
      </c>
      <c r="O1979" s="63" t="n">
        <f aca="false">IF(ISTEXT($AC1979),VALUE($AC1979),$AC1979)</f>
        <v>13</v>
      </c>
      <c r="P1979" s="64" t="n">
        <f aca="false">INDEX(Datos_Origen!$I$2:$I$2459,$Z1979)</f>
        <v>130.51</v>
      </c>
      <c r="Q1979" s="64" t="n">
        <f aca="false">INDEX(Datos_Origen!$J$2:$J$2459,$Z1979)</f>
        <v>78.33</v>
      </c>
      <c r="R1979" s="65" t="n">
        <f aca="false">ROUND($O1979*$P1979,2)</f>
        <v>1696.63</v>
      </c>
      <c r="S1979" s="65" t="n">
        <f aca="false">ROUND($O1979*$Q1979,2)</f>
        <v>1018.29</v>
      </c>
      <c r="T1979" s="65" t="n">
        <f aca="false">ROUND($R1979*SUMIFS(Parametros!$E$28:$E$43,Parametros!$B$28:$B$43,$J1979,Parametros!$C$28:$C$43,$C1979,Parametros!$D$28:$D$43,$D1979),2)</f>
        <v>95.01</v>
      </c>
      <c r="U1979" s="65" t="n">
        <f aca="false">$R1979-$S1979-$T1979</f>
        <v>583.33</v>
      </c>
      <c r="V1979" s="66" t="n">
        <f aca="false">IFERROR($U1979/$R1979,0)</f>
        <v>0.34381686048225</v>
      </c>
      <c r="W1979" s="67" t="str">
        <f aca="false">IF(AND($V1979&gt;=Parametros!$C$8,$R1979&gt;=Parametros!$C$12),"Alta rentabilidad",IF(OR($V1979&lt;Parametros!$C$11,$R1979&lt;Parametros!$C$13),"Revisar","Estandar"))</f>
        <v>Estandar</v>
      </c>
      <c r="X1979" s="67" t="str">
        <f aca="false">IF(AND($J1979="E-commerce",IFERROR($T1979/$R1979,0)&gt;Parametros!$C$14),"Alerta","OK")</f>
        <v>Alerta</v>
      </c>
      <c r="Y1979" s="61" t="str">
        <f aca="false">IF($R1979&gt;=Parametros!$C$12,"Alto",IF($R1979&lt;Parametros!$C$13,"Bajo","Medio"))</f>
        <v>Medio</v>
      </c>
      <c r="Z1979" s="61" t="n">
        <v>824</v>
      </c>
      <c r="AA1979" s="61" t="str">
        <f aca="false">IF(MATCH($A1979,Datos_Origen!$A$2:$A$2459,0)=$Z1979,"OK","REVISAR")</f>
        <v>OK</v>
      </c>
      <c r="AB1979" s="62" t="n">
        <f aca="false">INDEX(Datos_Origen!$B$2:$B$2459,$Z1979)</f>
        <v>45892</v>
      </c>
      <c r="AC1979" s="61" t="str">
        <f aca="false">INDEX(Datos_Origen!$H$2:$H$2459,$Z1979)</f>
        <v>13</v>
      </c>
      <c r="AD1979" s="61" t="str">
        <f aca="false">INDEX(Datos_Origen!$D$2:$D$2459,$Z1979)&amp;""</f>
        <v>Mendoza</v>
      </c>
    </row>
    <row r="1980" customFormat="false" ht="15" hidden="false" customHeight="false" outlineLevel="0" collapsed="false">
      <c r="A1980" s="61" t="n">
        <f aca="false">INDEX(Datos_Origen!$A$2:$A$2459,$Z1980)</f>
        <v>1979</v>
      </c>
      <c r="B1980" s="62" t="n">
        <f aca="false">IF(ISNUMBER($AB1980),$AB1980,IF(MID($AB1980,5,1)="-",DATE(VALUE(LEFT($AB1980,4)),VALUE(MID($AB1980,6,2)),VALUE(RIGHT($AB1980,2))),DATE(VALUE(RIGHT($AB1980,4)),VALUE(MID($AB1980,4,2)),VALUE(LEFT($AB1980,2)))))</f>
        <v>45872</v>
      </c>
      <c r="C1980" s="61" t="n">
        <f aca="false">YEAR($B1980)</f>
        <v>2025</v>
      </c>
      <c r="D1980" s="61" t="str">
        <f aca="false">"Q"&amp;ROUNDUP(MONTH($B1980)/3,0)</f>
        <v>Q3</v>
      </c>
      <c r="E1980" s="61" t="n">
        <f aca="false">MONTH($B1980)</f>
        <v>8</v>
      </c>
      <c r="F1980" s="61" t="str">
        <f aca="false">INDEX(Parametros!$I$5:$I$16,$E1980)</f>
        <v>Ago</v>
      </c>
      <c r="G1980" s="61" t="str">
        <f aca="false">TEXT($C1980,"0000")&amp;"-"&amp;TEXT($E1980,"00")</f>
        <v>2025-08</v>
      </c>
      <c r="H1980" s="61" t="str">
        <f aca="false">INDEX(Parametros!$C$71:$C$91,MATCH(TRIM(INDEX(Datos_Origen!$C$2:$C$2459,$Z1980)),Parametros!$B$71:$B$91,0))</f>
        <v>Cuyo</v>
      </c>
      <c r="I1980" s="61" t="str">
        <f aca="false">IF(TRIM($AD1980)="",INDEX(Parametros!$I$20:$I$24,MATCH($H1980,Parametros!$H$20:$H$24,0)),TRIM($AD1980))</f>
        <v>Mendoza</v>
      </c>
      <c r="J1980" s="61" t="str">
        <f aca="false">INDEX(Parametros!$C$95:$C$106,MATCH(TRIM(INDEX(Datos_Origen!$E$2:$E$2459,$Z1980)),Parametros!$B$95:$B$106,0))</f>
        <v>Tienda fisica</v>
      </c>
      <c r="K1980" s="61" t="str">
        <f aca="false">INDEX(Parametros!$C$48:$C$67,MATCH(TRIM(INDEX(Datos_Origen!$F$2:$F$2459,$Z1980)),Parametros!$B$48:$B$67,0))</f>
        <v>Almacenamiento</v>
      </c>
      <c r="L1980" s="61" t="str">
        <f aca="false">$K1980&amp;" "&amp;$C1980</f>
        <v>Almacenamiento 2025</v>
      </c>
      <c r="M1980" s="61" t="str">
        <f aca="false">TRIM(INDEX(Datos_Origen!$G$2:$G$2459,$Z1980))</f>
        <v>Pendrive 256GB</v>
      </c>
      <c r="N1980" s="61" t="str">
        <f aca="false">$M1980&amp;" "&amp;$C1980</f>
        <v>Pendrive 256GB 2025</v>
      </c>
      <c r="O1980" s="63" t="n">
        <f aca="false">IF(ISTEXT($AC1980),VALUE($AC1980),$AC1980)</f>
        <v>18</v>
      </c>
      <c r="P1980" s="64" t="n">
        <f aca="false">INDEX(Datos_Origen!$I$2:$I$2459,$Z1980)</f>
        <v>35.14</v>
      </c>
      <c r="Q1980" s="64" t="n">
        <f aca="false">INDEX(Datos_Origen!$J$2:$J$2459,$Z1980)</f>
        <v>18.39</v>
      </c>
      <c r="R1980" s="65" t="n">
        <f aca="false">ROUND($O1980*$P1980,2)</f>
        <v>632.52</v>
      </c>
      <c r="S1980" s="65" t="n">
        <f aca="false">ROUND($O1980*$Q1980,2)</f>
        <v>331.02</v>
      </c>
      <c r="T1980" s="65" t="n">
        <f aca="false">ROUND($R1980*SUMIFS(Parametros!$E$28:$E$43,Parametros!$B$28:$B$43,$J1980,Parametros!$C$28:$C$43,$C1980,Parametros!$D$28:$D$43,$D1980),2)</f>
        <v>8.22</v>
      </c>
      <c r="U1980" s="65" t="n">
        <f aca="false">$R1980-$S1980-$T1980</f>
        <v>293.28</v>
      </c>
      <c r="V1980" s="66" t="n">
        <f aca="false">IFERROR($U1980/$R1980,0)</f>
        <v>0.463669132991842</v>
      </c>
      <c r="W1980" s="67" t="str">
        <f aca="false">IF(AND($V1980&gt;=Parametros!$C$8,$R1980&gt;=Parametros!$C$12),"Alta rentabilidad",IF(OR($V1980&lt;Parametros!$C$11,$R1980&lt;Parametros!$C$13),"Revisar","Estandar"))</f>
        <v>Estandar</v>
      </c>
      <c r="X1980" s="67" t="str">
        <f aca="false">IF(AND($J1980="E-commerce",IFERROR($T1980/$R1980,0)&gt;Parametros!$C$14),"Alerta","OK")</f>
        <v>OK</v>
      </c>
      <c r="Y1980" s="61" t="str">
        <f aca="false">IF($R1980&gt;=Parametros!$C$12,"Alto",IF($R1980&lt;Parametros!$C$13,"Bajo","Medio"))</f>
        <v>Medio</v>
      </c>
      <c r="Z1980" s="61" t="n">
        <v>1242</v>
      </c>
      <c r="AA1980" s="61" t="str">
        <f aca="false">IF(MATCH($A1980,Datos_Origen!$A$2:$A$2459,0)=$Z1980,"OK","REVISAR")</f>
        <v>OK</v>
      </c>
      <c r="AB1980" s="62" t="n">
        <f aca="false">INDEX(Datos_Origen!$B$2:$B$2459,$Z1980)</f>
        <v>45872</v>
      </c>
      <c r="AC1980" s="61" t="n">
        <f aca="false">INDEX(Datos_Origen!$H$2:$H$2459,$Z1980)</f>
        <v>18</v>
      </c>
      <c r="AD1980" s="61" t="str">
        <f aca="false">INDEX(Datos_Origen!$D$2:$D$2459,$Z1980)&amp;""</f>
        <v>Mendoza</v>
      </c>
    </row>
    <row r="1981" customFormat="false" ht="15" hidden="false" customHeight="false" outlineLevel="0" collapsed="false">
      <c r="A1981" s="61" t="n">
        <f aca="false">INDEX(Datos_Origen!$A$2:$A$2459,$Z1981)</f>
        <v>1980</v>
      </c>
      <c r="B1981" s="62" t="n">
        <f aca="false">IF(ISNUMBER($AB1981),$AB1981,IF(MID($AB1981,5,1)="-",DATE(VALUE(LEFT($AB1981,4)),VALUE(MID($AB1981,6,2)),VALUE(RIGHT($AB1981,2))),DATE(VALUE(RIGHT($AB1981,4)),VALUE(MID($AB1981,4,2)),VALUE(LEFT($AB1981,2)))))</f>
        <v>45879</v>
      </c>
      <c r="C1981" s="61" t="n">
        <f aca="false">YEAR($B1981)</f>
        <v>2025</v>
      </c>
      <c r="D1981" s="61" t="str">
        <f aca="false">"Q"&amp;ROUNDUP(MONTH($B1981)/3,0)</f>
        <v>Q3</v>
      </c>
      <c r="E1981" s="61" t="n">
        <f aca="false">MONTH($B1981)</f>
        <v>8</v>
      </c>
      <c r="F1981" s="61" t="str">
        <f aca="false">INDEX(Parametros!$I$5:$I$16,$E1981)</f>
        <v>Ago</v>
      </c>
      <c r="G1981" s="61" t="str">
        <f aca="false">TEXT($C1981,"0000")&amp;"-"&amp;TEXT($E1981,"00")</f>
        <v>2025-08</v>
      </c>
      <c r="H1981" s="61" t="str">
        <f aca="false">INDEX(Parametros!$C$71:$C$91,MATCH(TRIM(INDEX(Datos_Origen!$C$2:$C$2459,$Z1981)),Parametros!$B$71:$B$91,0))</f>
        <v>Cuyo</v>
      </c>
      <c r="I1981" s="61" t="str">
        <f aca="false">IF(TRIM($AD1981)="",INDEX(Parametros!$I$20:$I$24,MATCH($H1981,Parametros!$H$20:$H$24,0)),TRIM($AD1981))</f>
        <v>Mendoza</v>
      </c>
      <c r="J1981" s="61" t="str">
        <f aca="false">INDEX(Parametros!$C$95:$C$106,MATCH(TRIM(INDEX(Datos_Origen!$E$2:$E$2459,$Z1981)),Parametros!$B$95:$B$106,0))</f>
        <v>E-commerce</v>
      </c>
      <c r="K1981" s="61" t="str">
        <f aca="false">INDEX(Parametros!$C$48:$C$67,MATCH(TRIM(INDEX(Datos_Origen!$F$2:$F$2459,$Z1981)),Parametros!$B$48:$B$67,0))</f>
        <v>Almacenamiento</v>
      </c>
      <c r="L1981" s="61" t="str">
        <f aca="false">$K1981&amp;" "&amp;$C1981</f>
        <v>Almacenamiento 2025</v>
      </c>
      <c r="M1981" s="61" t="str">
        <f aca="false">TRIM(INDEX(Datos_Origen!$G$2:$G$2459,$Z1981))</f>
        <v>Pendrive 256GB</v>
      </c>
      <c r="N1981" s="61" t="str">
        <f aca="false">$M1981&amp;" "&amp;$C1981</f>
        <v>Pendrive 256GB 2025</v>
      </c>
      <c r="O1981" s="63" t="n">
        <f aca="false">IF(ISTEXT($AC1981),VALUE($AC1981),$AC1981)</f>
        <v>13</v>
      </c>
      <c r="P1981" s="64" t="n">
        <f aca="false">INDEX(Datos_Origen!$I$2:$I$2459,$Z1981)</f>
        <v>35.14</v>
      </c>
      <c r="Q1981" s="64" t="n">
        <f aca="false">INDEX(Datos_Origen!$J$2:$J$2459,$Z1981)</f>
        <v>18.39</v>
      </c>
      <c r="R1981" s="65" t="n">
        <f aca="false">ROUND($O1981*$P1981,2)</f>
        <v>456.82</v>
      </c>
      <c r="S1981" s="65" t="n">
        <f aca="false">ROUND($O1981*$Q1981,2)</f>
        <v>239.07</v>
      </c>
      <c r="T1981" s="65" t="n">
        <f aca="false">ROUND($R1981*SUMIFS(Parametros!$E$28:$E$43,Parametros!$B$28:$B$43,$J1981,Parametros!$C$28:$C$43,$C1981,Parametros!$D$28:$D$43,$D1981),2)</f>
        <v>25.58</v>
      </c>
      <c r="U1981" s="65" t="n">
        <f aca="false">$R1981-$S1981-$T1981</f>
        <v>192.17</v>
      </c>
      <c r="V1981" s="66" t="n">
        <f aca="false">IFERROR($U1981/$R1981,0)</f>
        <v>0.420668972461801</v>
      </c>
      <c r="W1981" s="67" t="str">
        <f aca="false">IF(AND($V1981&gt;=Parametros!$C$8,$R1981&gt;=Parametros!$C$12),"Alta rentabilidad",IF(OR($V1981&lt;Parametros!$C$11,$R1981&lt;Parametros!$C$13),"Revisar","Estandar"))</f>
        <v>Estandar</v>
      </c>
      <c r="X1981" s="67" t="str">
        <f aca="false">IF(AND($J1981="E-commerce",IFERROR($T1981/$R1981,0)&gt;Parametros!$C$14),"Alerta","OK")</f>
        <v>Alerta</v>
      </c>
      <c r="Y1981" s="61" t="str">
        <f aca="false">IF($R1981&gt;=Parametros!$C$12,"Alto",IF($R1981&lt;Parametros!$C$13,"Bajo","Medio"))</f>
        <v>Medio</v>
      </c>
      <c r="Z1981" s="61" t="n">
        <v>2172</v>
      </c>
      <c r="AA1981" s="61" t="str">
        <f aca="false">IF(MATCH($A1981,Datos_Origen!$A$2:$A$2459,0)=$Z1981,"OK","REVISAR")</f>
        <v>OK</v>
      </c>
      <c r="AB1981" s="62" t="n">
        <f aca="false">INDEX(Datos_Origen!$B$2:$B$2459,$Z1981)</f>
        <v>45879</v>
      </c>
      <c r="AC1981" s="61" t="n">
        <f aca="false">INDEX(Datos_Origen!$H$2:$H$2459,$Z1981)</f>
        <v>13</v>
      </c>
      <c r="AD1981" s="61" t="str">
        <f aca="false">INDEX(Datos_Origen!$D$2:$D$2459,$Z1981)&amp;""</f>
        <v>Mendoza</v>
      </c>
    </row>
    <row r="1982" customFormat="false" ht="15" hidden="false" customHeight="false" outlineLevel="0" collapsed="false">
      <c r="A1982" s="61" t="n">
        <f aca="false">INDEX(Datos_Origen!$A$2:$A$2459,$Z1982)</f>
        <v>1981</v>
      </c>
      <c r="B1982" s="62" t="n">
        <f aca="false">IF(ISNUMBER($AB1982),$AB1982,IF(MID($AB1982,5,1)="-",DATE(VALUE(LEFT($AB1982,4)),VALUE(MID($AB1982,6,2)),VALUE(RIGHT($AB1982,2))),DATE(VALUE(RIGHT($AB1982,4)),VALUE(MID($AB1982,4,2)),VALUE(LEFT($AB1982,2)))))</f>
        <v>45886</v>
      </c>
      <c r="C1982" s="61" t="n">
        <f aca="false">YEAR($B1982)</f>
        <v>2025</v>
      </c>
      <c r="D1982" s="61" t="str">
        <f aca="false">"Q"&amp;ROUNDUP(MONTH($B1982)/3,0)</f>
        <v>Q3</v>
      </c>
      <c r="E1982" s="61" t="n">
        <f aca="false">MONTH($B1982)</f>
        <v>8</v>
      </c>
      <c r="F1982" s="61" t="str">
        <f aca="false">INDEX(Parametros!$I$5:$I$16,$E1982)</f>
        <v>Ago</v>
      </c>
      <c r="G1982" s="61" t="str">
        <f aca="false">TEXT($C1982,"0000")&amp;"-"&amp;TEXT($E1982,"00")</f>
        <v>2025-08</v>
      </c>
      <c r="H1982" s="61" t="str">
        <f aca="false">INDEX(Parametros!$C$71:$C$91,MATCH(TRIM(INDEX(Datos_Origen!$C$2:$C$2459,$Z1982)),Parametros!$B$71:$B$91,0))</f>
        <v>NOA</v>
      </c>
      <c r="I1982" s="61" t="str">
        <f aca="false">IF(TRIM($AD1982)="",INDEX(Parametros!$I$20:$I$24,MATCH($H1982,Parametros!$H$20:$H$24,0)),TRIM($AD1982))</f>
        <v>Tucuman</v>
      </c>
      <c r="J1982" s="61" t="str">
        <f aca="false">INDEX(Parametros!$C$95:$C$106,MATCH(TRIM(INDEX(Datos_Origen!$E$2:$E$2459,$Z1982)),Parametros!$B$95:$B$106,0))</f>
        <v>Tienda fisica</v>
      </c>
      <c r="K1982" s="61" t="str">
        <f aca="false">INDEX(Parametros!$C$48:$C$67,MATCH(TRIM(INDEX(Datos_Origen!$F$2:$F$2459,$Z1982)),Parametros!$B$48:$B$67,0))</f>
        <v>Computacion</v>
      </c>
      <c r="L1982" s="61" t="str">
        <f aca="false">$K1982&amp;" "&amp;$C1982</f>
        <v>Computacion 2025</v>
      </c>
      <c r="M1982" s="61" t="str">
        <f aca="false">TRIM(INDEX(Datos_Origen!$G$2:$G$2459,$Z1982))</f>
        <v>Laptop Pro 15</v>
      </c>
      <c r="N1982" s="61" t="str">
        <f aca="false">$M1982&amp;" "&amp;$C1982</f>
        <v>Laptop Pro 15 2025</v>
      </c>
      <c r="O1982" s="63" t="n">
        <f aca="false">IF(ISTEXT($AC1982),VALUE($AC1982),$AC1982)</f>
        <v>7</v>
      </c>
      <c r="P1982" s="64" t="n">
        <f aca="false">INDEX(Datos_Origen!$I$2:$I$2459,$Z1982)</f>
        <v>1204.74</v>
      </c>
      <c r="Q1982" s="64" t="n">
        <f aca="false">INDEX(Datos_Origen!$J$2:$J$2459,$Z1982)</f>
        <v>766.32</v>
      </c>
      <c r="R1982" s="65" t="n">
        <f aca="false">ROUND($O1982*$P1982,2)</f>
        <v>8433.18</v>
      </c>
      <c r="S1982" s="65" t="n">
        <f aca="false">ROUND($O1982*$Q1982,2)</f>
        <v>5364.24</v>
      </c>
      <c r="T1982" s="65" t="n">
        <f aca="false">ROUND($R1982*SUMIFS(Parametros!$E$28:$E$43,Parametros!$B$28:$B$43,$J1982,Parametros!$C$28:$C$43,$C1982,Parametros!$D$28:$D$43,$D1982),2)</f>
        <v>109.63</v>
      </c>
      <c r="U1982" s="65" t="n">
        <f aca="false">$R1982-$S1982-$T1982</f>
        <v>2959.31</v>
      </c>
      <c r="V1982" s="66" t="n">
        <f aca="false">IFERROR($U1982/$R1982,0)</f>
        <v>0.35091270434166</v>
      </c>
      <c r="W1982" s="67" t="str">
        <f aca="false">IF(AND($V1982&gt;=Parametros!$C$8,$R1982&gt;=Parametros!$C$12),"Alta rentabilidad",IF(OR($V1982&lt;Parametros!$C$11,$R1982&lt;Parametros!$C$13),"Revisar","Estandar"))</f>
        <v>Alta rentabilidad</v>
      </c>
      <c r="X1982" s="67" t="str">
        <f aca="false">IF(AND($J1982="E-commerce",IFERROR($T1982/$R1982,0)&gt;Parametros!$C$14),"Alerta","OK")</f>
        <v>OK</v>
      </c>
      <c r="Y1982" s="61" t="str">
        <f aca="false">IF($R1982&gt;=Parametros!$C$12,"Alto",IF($R1982&lt;Parametros!$C$13,"Bajo","Medio"))</f>
        <v>Alto</v>
      </c>
      <c r="Z1982" s="61" t="n">
        <v>2016</v>
      </c>
      <c r="AA1982" s="61" t="str">
        <f aca="false">IF(MATCH($A1982,Datos_Origen!$A$2:$A$2459,0)=$Z1982,"OK","REVISAR")</f>
        <v>OK</v>
      </c>
      <c r="AB1982" s="62" t="n">
        <f aca="false">INDEX(Datos_Origen!$B$2:$B$2459,$Z1982)</f>
        <v>45886</v>
      </c>
      <c r="AC1982" s="61" t="n">
        <f aca="false">INDEX(Datos_Origen!$H$2:$H$2459,$Z1982)</f>
        <v>7</v>
      </c>
      <c r="AD1982" s="61" t="str">
        <f aca="false">INDEX(Datos_Origen!$D$2:$D$2459,$Z1982)&amp;""</f>
        <v>Tucuman</v>
      </c>
    </row>
    <row r="1983" customFormat="false" ht="15" hidden="false" customHeight="false" outlineLevel="0" collapsed="false">
      <c r="A1983" s="61" t="n">
        <f aca="false">INDEX(Datos_Origen!$A$2:$A$2459,$Z1983)</f>
        <v>1982</v>
      </c>
      <c r="B1983" s="62" t="n">
        <f aca="false">IF(ISNUMBER($AB1983),$AB1983,IF(MID($AB1983,5,1)="-",DATE(VALUE(LEFT($AB1983,4)),VALUE(MID($AB1983,6,2)),VALUE(RIGHT($AB1983,2))),DATE(VALUE(RIGHT($AB1983,4)),VALUE(MID($AB1983,4,2)),VALUE(LEFT($AB1983,2)))))</f>
        <v>45893</v>
      </c>
      <c r="C1983" s="61" t="n">
        <f aca="false">YEAR($B1983)</f>
        <v>2025</v>
      </c>
      <c r="D1983" s="61" t="str">
        <f aca="false">"Q"&amp;ROUNDUP(MONTH($B1983)/3,0)</f>
        <v>Q3</v>
      </c>
      <c r="E1983" s="61" t="n">
        <f aca="false">MONTH($B1983)</f>
        <v>8</v>
      </c>
      <c r="F1983" s="61" t="str">
        <f aca="false">INDEX(Parametros!$I$5:$I$16,$E1983)</f>
        <v>Ago</v>
      </c>
      <c r="G1983" s="61" t="str">
        <f aca="false">TEXT($C1983,"0000")&amp;"-"&amp;TEXT($E1983,"00")</f>
        <v>2025-08</v>
      </c>
      <c r="H1983" s="61" t="str">
        <f aca="false">INDEX(Parametros!$C$71:$C$91,MATCH(TRIM(INDEX(Datos_Origen!$C$2:$C$2459,$Z1983)),Parametros!$B$71:$B$91,0))</f>
        <v>NOA</v>
      </c>
      <c r="I1983" s="61" t="str">
        <f aca="false">IF(TRIM($AD1983)="",INDEX(Parametros!$I$20:$I$24,MATCH($H1983,Parametros!$H$20:$H$24,0)),TRIM($AD1983))</f>
        <v>Tucuman</v>
      </c>
      <c r="J1983" s="61" t="str">
        <f aca="false">INDEX(Parametros!$C$95:$C$106,MATCH(TRIM(INDEX(Datos_Origen!$E$2:$E$2459,$Z1983)),Parametros!$B$95:$B$106,0))</f>
        <v>E-commerce</v>
      </c>
      <c r="K1983" s="61" t="str">
        <f aca="false">INDEX(Parametros!$C$48:$C$67,MATCH(TRIM(INDEX(Datos_Origen!$F$2:$F$2459,$Z1983)),Parametros!$B$48:$B$67,0))</f>
        <v>Computacion</v>
      </c>
      <c r="L1983" s="61" t="str">
        <f aca="false">$K1983&amp;" "&amp;$C1983</f>
        <v>Computacion 2025</v>
      </c>
      <c r="M1983" s="61" t="str">
        <f aca="false">TRIM(INDEX(Datos_Origen!$G$2:$G$2459,$Z1983))</f>
        <v>Laptop Pro 15</v>
      </c>
      <c r="N1983" s="61" t="str">
        <f aca="false">$M1983&amp;" "&amp;$C1983</f>
        <v>Laptop Pro 15 2025</v>
      </c>
      <c r="O1983" s="63" t="n">
        <f aca="false">IF(ISTEXT($AC1983),VALUE($AC1983),$AC1983)</f>
        <v>4</v>
      </c>
      <c r="P1983" s="64" t="n">
        <f aca="false">INDEX(Datos_Origen!$I$2:$I$2459,$Z1983)</f>
        <v>1204.74</v>
      </c>
      <c r="Q1983" s="64" t="n">
        <f aca="false">INDEX(Datos_Origen!$J$2:$J$2459,$Z1983)</f>
        <v>766.32</v>
      </c>
      <c r="R1983" s="65" t="n">
        <f aca="false">ROUND($O1983*$P1983,2)</f>
        <v>4818.96</v>
      </c>
      <c r="S1983" s="65" t="n">
        <f aca="false">ROUND($O1983*$Q1983,2)</f>
        <v>3065.28</v>
      </c>
      <c r="T1983" s="65" t="n">
        <f aca="false">ROUND($R1983*SUMIFS(Parametros!$E$28:$E$43,Parametros!$B$28:$B$43,$J1983,Parametros!$C$28:$C$43,$C1983,Parametros!$D$28:$D$43,$D1983),2)</f>
        <v>269.86</v>
      </c>
      <c r="U1983" s="65" t="n">
        <f aca="false">$R1983-$S1983-$T1983</f>
        <v>1483.82</v>
      </c>
      <c r="V1983" s="66" t="n">
        <f aca="false">IFERROR($U1983/$R1983,0)</f>
        <v>0.307912910669522</v>
      </c>
      <c r="W1983" s="67" t="str">
        <f aca="false">IF(AND($V1983&gt;=Parametros!$C$8,$R1983&gt;=Parametros!$C$12),"Alta rentabilidad",IF(OR($V1983&lt;Parametros!$C$11,$R1983&lt;Parametros!$C$13),"Revisar","Estandar"))</f>
        <v>Estandar</v>
      </c>
      <c r="X1983" s="67" t="str">
        <f aca="false">IF(AND($J1983="E-commerce",IFERROR($T1983/$R1983,0)&gt;Parametros!$C$14),"Alerta","OK")</f>
        <v>Alerta</v>
      </c>
      <c r="Y1983" s="61" t="str">
        <f aca="false">IF($R1983&gt;=Parametros!$C$12,"Alto",IF($R1983&lt;Parametros!$C$13,"Bajo","Medio"))</f>
        <v>Alto</v>
      </c>
      <c r="Z1983" s="61" t="n">
        <v>2183</v>
      </c>
      <c r="AA1983" s="61" t="str">
        <f aca="false">IF(MATCH($A1983,Datos_Origen!$A$2:$A$2459,0)=$Z1983,"OK","REVISAR")</f>
        <v>OK</v>
      </c>
      <c r="AB1983" s="61" t="str">
        <f aca="false">INDEX(Datos_Origen!$B$2:$B$2459,$Z1983)</f>
        <v>24/08/2025</v>
      </c>
      <c r="AC1983" s="61" t="n">
        <f aca="false">INDEX(Datos_Origen!$H$2:$H$2459,$Z1983)</f>
        <v>4</v>
      </c>
      <c r="AD1983" s="61" t="str">
        <f aca="false">INDEX(Datos_Origen!$D$2:$D$2459,$Z1983)&amp;""</f>
        <v>Tucuman</v>
      </c>
    </row>
    <row r="1984" customFormat="false" ht="15" hidden="false" customHeight="false" outlineLevel="0" collapsed="false">
      <c r="A1984" s="61" t="n">
        <f aca="false">INDEX(Datos_Origen!$A$2:$A$2459,$Z1984)</f>
        <v>1983</v>
      </c>
      <c r="B1984" s="62" t="n">
        <f aca="false">IF(ISNUMBER($AB1984),$AB1984,IF(MID($AB1984,5,1)="-",DATE(VALUE(LEFT($AB1984,4)),VALUE(MID($AB1984,6,2)),VALUE(RIGHT($AB1984,2))),DATE(VALUE(RIGHT($AB1984,4)),VALUE(MID($AB1984,4,2)),VALUE(LEFT($AB1984,2)))))</f>
        <v>45873</v>
      </c>
      <c r="C1984" s="61" t="n">
        <f aca="false">YEAR($B1984)</f>
        <v>2025</v>
      </c>
      <c r="D1984" s="61" t="str">
        <f aca="false">"Q"&amp;ROUNDUP(MONTH($B1984)/3,0)</f>
        <v>Q3</v>
      </c>
      <c r="E1984" s="61" t="n">
        <f aca="false">MONTH($B1984)</f>
        <v>8</v>
      </c>
      <c r="F1984" s="61" t="str">
        <f aca="false">INDEX(Parametros!$I$5:$I$16,$E1984)</f>
        <v>Ago</v>
      </c>
      <c r="G1984" s="61" t="str">
        <f aca="false">TEXT($C1984,"0000")&amp;"-"&amp;TEXT($E1984,"00")</f>
        <v>2025-08</v>
      </c>
      <c r="H1984" s="61" t="str">
        <f aca="false">INDEX(Parametros!$C$71:$C$91,MATCH(TRIM(INDEX(Datos_Origen!$C$2:$C$2459,$Z1984)),Parametros!$B$71:$B$91,0))</f>
        <v>NOA</v>
      </c>
      <c r="I1984" s="61" t="str">
        <f aca="false">IF(TRIM($AD1984)="",INDEX(Parametros!$I$20:$I$24,MATCH($H1984,Parametros!$H$20:$H$24,0)),TRIM($AD1984))</f>
        <v>Tucuman</v>
      </c>
      <c r="J1984" s="61" t="str">
        <f aca="false">INDEX(Parametros!$C$95:$C$106,MATCH(TRIM(INDEX(Datos_Origen!$E$2:$E$2459,$Z1984)),Parametros!$B$95:$B$106,0))</f>
        <v>Tienda fisica</v>
      </c>
      <c r="K1984" s="61" t="str">
        <f aca="false">INDEX(Parametros!$C$48:$C$67,MATCH(TRIM(INDEX(Datos_Origen!$F$2:$F$2459,$Z1984)),Parametros!$B$48:$B$67,0))</f>
        <v>Computacion</v>
      </c>
      <c r="L1984" s="61" t="str">
        <f aca="false">$K1984&amp;" "&amp;$C1984</f>
        <v>Computacion 2025</v>
      </c>
      <c r="M1984" s="61" t="str">
        <f aca="false">TRIM(INDEX(Datos_Origen!$G$2:$G$2459,$Z1984))</f>
        <v>Monitor 4K 27</v>
      </c>
      <c r="N1984" s="61" t="str">
        <f aca="false">$M1984&amp;" "&amp;$C1984</f>
        <v>Monitor 4K 27 2025</v>
      </c>
      <c r="O1984" s="63" t="n">
        <f aca="false">IF(ISTEXT($AC1984),VALUE($AC1984),$AC1984)</f>
        <v>7</v>
      </c>
      <c r="P1984" s="64" t="n">
        <f aca="false">INDEX(Datos_Origen!$I$2:$I$2459,$Z1984)</f>
        <v>451.78</v>
      </c>
      <c r="Q1984" s="64" t="n">
        <f aca="false">INDEX(Datos_Origen!$J$2:$J$2459,$Z1984)</f>
        <v>280.42</v>
      </c>
      <c r="R1984" s="65" t="n">
        <f aca="false">ROUND($O1984*$P1984,2)</f>
        <v>3162.46</v>
      </c>
      <c r="S1984" s="65" t="n">
        <f aca="false">ROUND($O1984*$Q1984,2)</f>
        <v>1962.94</v>
      </c>
      <c r="T1984" s="65" t="n">
        <f aca="false">ROUND($R1984*SUMIFS(Parametros!$E$28:$E$43,Parametros!$B$28:$B$43,$J1984,Parametros!$C$28:$C$43,$C1984,Parametros!$D$28:$D$43,$D1984),2)</f>
        <v>41.11</v>
      </c>
      <c r="U1984" s="65" t="n">
        <f aca="false">$R1984-$S1984-$T1984</f>
        <v>1158.41</v>
      </c>
      <c r="V1984" s="66" t="n">
        <f aca="false">IFERROR($U1984/$R1984,0)</f>
        <v>0.366300285220999</v>
      </c>
      <c r="W1984" s="67" t="str">
        <f aca="false">IF(AND($V1984&gt;=Parametros!$C$8,$R1984&gt;=Parametros!$C$12),"Alta rentabilidad",IF(OR($V1984&lt;Parametros!$C$11,$R1984&lt;Parametros!$C$13),"Revisar","Estandar"))</f>
        <v>Alta rentabilidad</v>
      </c>
      <c r="X1984" s="67" t="str">
        <f aca="false">IF(AND($J1984="E-commerce",IFERROR($T1984/$R1984,0)&gt;Parametros!$C$14),"Alerta","OK")</f>
        <v>OK</v>
      </c>
      <c r="Y1984" s="61" t="str">
        <f aca="false">IF($R1984&gt;=Parametros!$C$12,"Alto",IF($R1984&lt;Parametros!$C$13,"Bajo","Medio"))</f>
        <v>Alto</v>
      </c>
      <c r="Z1984" s="61" t="n">
        <v>2022</v>
      </c>
      <c r="AA1984" s="61" t="str">
        <f aca="false">IF(MATCH($A1984,Datos_Origen!$A$2:$A$2459,0)=$Z1984,"OK","REVISAR")</f>
        <v>OK</v>
      </c>
      <c r="AB1984" s="61" t="str">
        <f aca="false">INDEX(Datos_Origen!$B$2:$B$2459,$Z1984)</f>
        <v>2025-08-04</v>
      </c>
      <c r="AC1984" s="61" t="n">
        <f aca="false">INDEX(Datos_Origen!$H$2:$H$2459,$Z1984)</f>
        <v>7</v>
      </c>
      <c r="AD1984" s="61" t="str">
        <f aca="false">INDEX(Datos_Origen!$D$2:$D$2459,$Z1984)&amp;""</f>
        <v>Tucuman</v>
      </c>
    </row>
    <row r="1985" customFormat="false" ht="15" hidden="false" customHeight="false" outlineLevel="0" collapsed="false">
      <c r="A1985" s="61" t="n">
        <f aca="false">INDEX(Datos_Origen!$A$2:$A$2459,$Z1985)</f>
        <v>1984</v>
      </c>
      <c r="B1985" s="62" t="n">
        <f aca="false">IF(ISNUMBER($AB1985),$AB1985,IF(MID($AB1985,5,1)="-",DATE(VALUE(LEFT($AB1985,4)),VALUE(MID($AB1985,6,2)),VALUE(RIGHT($AB1985,2))),DATE(VALUE(RIGHT($AB1985,4)),VALUE(MID($AB1985,4,2)),VALUE(LEFT($AB1985,2)))))</f>
        <v>45880</v>
      </c>
      <c r="C1985" s="61" t="n">
        <f aca="false">YEAR($B1985)</f>
        <v>2025</v>
      </c>
      <c r="D1985" s="61" t="str">
        <f aca="false">"Q"&amp;ROUNDUP(MONTH($B1985)/3,0)</f>
        <v>Q3</v>
      </c>
      <c r="E1985" s="61" t="n">
        <f aca="false">MONTH($B1985)</f>
        <v>8</v>
      </c>
      <c r="F1985" s="61" t="str">
        <f aca="false">INDEX(Parametros!$I$5:$I$16,$E1985)</f>
        <v>Ago</v>
      </c>
      <c r="G1985" s="61" t="str">
        <f aca="false">TEXT($C1985,"0000")&amp;"-"&amp;TEXT($E1985,"00")</f>
        <v>2025-08</v>
      </c>
      <c r="H1985" s="61" t="str">
        <f aca="false">INDEX(Parametros!$C$71:$C$91,MATCH(TRIM(INDEX(Datos_Origen!$C$2:$C$2459,$Z1985)),Parametros!$B$71:$B$91,0))</f>
        <v>NOA</v>
      </c>
      <c r="I1985" s="61" t="str">
        <f aca="false">IF(TRIM($AD1985)="",INDEX(Parametros!$I$20:$I$24,MATCH($H1985,Parametros!$H$20:$H$24,0)),TRIM($AD1985))</f>
        <v>Tucuman</v>
      </c>
      <c r="J1985" s="61" t="str">
        <f aca="false">INDEX(Parametros!$C$95:$C$106,MATCH(TRIM(INDEX(Datos_Origen!$E$2:$E$2459,$Z1985)),Parametros!$B$95:$B$106,0))</f>
        <v>E-commerce</v>
      </c>
      <c r="K1985" s="61" t="str">
        <f aca="false">INDEX(Parametros!$C$48:$C$67,MATCH(TRIM(INDEX(Datos_Origen!$F$2:$F$2459,$Z1985)),Parametros!$B$48:$B$67,0))</f>
        <v>Computacion</v>
      </c>
      <c r="L1985" s="61" t="str">
        <f aca="false">$K1985&amp;" "&amp;$C1985</f>
        <v>Computacion 2025</v>
      </c>
      <c r="M1985" s="61" t="str">
        <f aca="false">TRIM(INDEX(Datos_Origen!$G$2:$G$2459,$Z1985))</f>
        <v>Monitor 4K 27</v>
      </c>
      <c r="N1985" s="61" t="str">
        <f aca="false">$M1985&amp;" "&amp;$C1985</f>
        <v>Monitor 4K 27 2025</v>
      </c>
      <c r="O1985" s="63" t="n">
        <f aca="false">IF(ISTEXT($AC1985),VALUE($AC1985),$AC1985)</f>
        <v>4</v>
      </c>
      <c r="P1985" s="64" t="n">
        <f aca="false">INDEX(Datos_Origen!$I$2:$I$2459,$Z1985)</f>
        <v>451.78</v>
      </c>
      <c r="Q1985" s="64" t="n">
        <f aca="false">INDEX(Datos_Origen!$J$2:$J$2459,$Z1985)</f>
        <v>280.42</v>
      </c>
      <c r="R1985" s="65" t="n">
        <f aca="false">ROUND($O1985*$P1985,2)</f>
        <v>1807.12</v>
      </c>
      <c r="S1985" s="65" t="n">
        <f aca="false">ROUND($O1985*$Q1985,2)</f>
        <v>1121.68</v>
      </c>
      <c r="T1985" s="65" t="n">
        <f aca="false">ROUND($R1985*SUMIFS(Parametros!$E$28:$E$43,Parametros!$B$28:$B$43,$J1985,Parametros!$C$28:$C$43,$C1985,Parametros!$D$28:$D$43,$D1985),2)</f>
        <v>101.2</v>
      </c>
      <c r="U1985" s="65" t="n">
        <f aca="false">$R1985-$S1985-$T1985</f>
        <v>584.24</v>
      </c>
      <c r="V1985" s="66" t="n">
        <f aca="false">IFERROR($U1985/$R1985,0)</f>
        <v>0.323298950816769</v>
      </c>
      <c r="W1985" s="67" t="str">
        <f aca="false">IF(AND($V1985&gt;=Parametros!$C$8,$R1985&gt;=Parametros!$C$12),"Alta rentabilidad",IF(OR($V1985&lt;Parametros!$C$11,$R1985&lt;Parametros!$C$13),"Revisar","Estandar"))</f>
        <v>Estandar</v>
      </c>
      <c r="X1985" s="67" t="str">
        <f aca="false">IF(AND($J1985="E-commerce",IFERROR($T1985/$R1985,0)&gt;Parametros!$C$14),"Alerta","OK")</f>
        <v>Alerta</v>
      </c>
      <c r="Y1985" s="61" t="str">
        <f aca="false">IF($R1985&gt;=Parametros!$C$12,"Alto",IF($R1985&lt;Parametros!$C$13,"Bajo","Medio"))</f>
        <v>Medio</v>
      </c>
      <c r="Z1985" s="61" t="n">
        <v>1923</v>
      </c>
      <c r="AA1985" s="61" t="str">
        <f aca="false">IF(MATCH($A1985,Datos_Origen!$A$2:$A$2459,0)=$Z1985,"OK","REVISAR")</f>
        <v>OK</v>
      </c>
      <c r="AB1985" s="62" t="n">
        <f aca="false">INDEX(Datos_Origen!$B$2:$B$2459,$Z1985)</f>
        <v>45880</v>
      </c>
      <c r="AC1985" s="61" t="n">
        <f aca="false">INDEX(Datos_Origen!$H$2:$H$2459,$Z1985)</f>
        <v>4</v>
      </c>
      <c r="AD1985" s="61" t="str">
        <f aca="false">INDEX(Datos_Origen!$D$2:$D$2459,$Z1985)&amp;""</f>
        <v>Tucuman</v>
      </c>
    </row>
    <row r="1986" customFormat="false" ht="15" hidden="false" customHeight="false" outlineLevel="0" collapsed="false">
      <c r="A1986" s="61" t="n">
        <f aca="false">INDEX(Datos_Origen!$A$2:$A$2459,$Z1986)</f>
        <v>1985</v>
      </c>
      <c r="B1986" s="62" t="n">
        <f aca="false">IF(ISNUMBER($AB1986),$AB1986,IF(MID($AB1986,5,1)="-",DATE(VALUE(LEFT($AB1986,4)),VALUE(MID($AB1986,6,2)),VALUE(RIGHT($AB1986,2))),DATE(VALUE(RIGHT($AB1986,4)),VALUE(MID($AB1986,4,2)),VALUE(LEFT($AB1986,2)))))</f>
        <v>45887</v>
      </c>
      <c r="C1986" s="61" t="n">
        <f aca="false">YEAR($B1986)</f>
        <v>2025</v>
      </c>
      <c r="D1986" s="61" t="str">
        <f aca="false">"Q"&amp;ROUNDUP(MONTH($B1986)/3,0)</f>
        <v>Q3</v>
      </c>
      <c r="E1986" s="61" t="n">
        <f aca="false">MONTH($B1986)</f>
        <v>8</v>
      </c>
      <c r="F1986" s="61" t="str">
        <f aca="false">INDEX(Parametros!$I$5:$I$16,$E1986)</f>
        <v>Ago</v>
      </c>
      <c r="G1986" s="61" t="str">
        <f aca="false">TEXT($C1986,"0000")&amp;"-"&amp;TEXT($E1986,"00")</f>
        <v>2025-08</v>
      </c>
      <c r="H1986" s="61" t="str">
        <f aca="false">INDEX(Parametros!$C$71:$C$91,MATCH(TRIM(INDEX(Datos_Origen!$C$2:$C$2459,$Z1986)),Parametros!$B$71:$B$91,0))</f>
        <v>NOA</v>
      </c>
      <c r="I1986" s="61" t="str">
        <f aca="false">IF(TRIM($AD1986)="",INDEX(Parametros!$I$20:$I$24,MATCH($H1986,Parametros!$H$20:$H$24,0)),TRIM($AD1986))</f>
        <v>Tucuman</v>
      </c>
      <c r="J1986" s="61" t="str">
        <f aca="false">INDEX(Parametros!$C$95:$C$106,MATCH(TRIM(INDEX(Datos_Origen!$E$2:$E$2459,$Z1986)),Parametros!$B$95:$B$106,0))</f>
        <v>Tienda fisica</v>
      </c>
      <c r="K1986" s="61" t="str">
        <f aca="false">INDEX(Parametros!$C$48:$C$67,MATCH(TRIM(INDEX(Datos_Origen!$F$2:$F$2459,$Z1986)),Parametros!$B$48:$B$67,0))</f>
        <v>Computacion</v>
      </c>
      <c r="L1986" s="61" t="str">
        <f aca="false">$K1986&amp;" "&amp;$C1986</f>
        <v>Computacion 2025</v>
      </c>
      <c r="M1986" s="61" t="str">
        <f aca="false">TRIM(INDEX(Datos_Origen!$G$2:$G$2459,$Z1986))</f>
        <v>PC Gamer Ryzen</v>
      </c>
      <c r="N1986" s="61" t="str">
        <f aca="false">$M1986&amp;" "&amp;$C1986</f>
        <v>PC Gamer Ryzen 2025</v>
      </c>
      <c r="O1986" s="63" t="n">
        <f aca="false">IF(ISTEXT($AC1986),VALUE($AC1986),$AC1986)</f>
        <v>5</v>
      </c>
      <c r="P1986" s="64" t="n">
        <f aca="false">INDEX(Datos_Origen!$I$2:$I$2459,$Z1986)</f>
        <v>1656.52</v>
      </c>
      <c r="Q1986" s="64" t="n">
        <f aca="false">INDEX(Datos_Origen!$J$2:$J$2459,$Z1986)</f>
        <v>1155.66</v>
      </c>
      <c r="R1986" s="65" t="n">
        <f aca="false">ROUND($O1986*$P1986,2)</f>
        <v>8282.6</v>
      </c>
      <c r="S1986" s="65" t="n">
        <f aca="false">ROUND($O1986*$Q1986,2)</f>
        <v>5778.3</v>
      </c>
      <c r="T1986" s="65" t="n">
        <f aca="false">ROUND($R1986*SUMIFS(Parametros!$E$28:$E$43,Parametros!$B$28:$B$43,$J1986,Parametros!$C$28:$C$43,$C1986,Parametros!$D$28:$D$43,$D1986),2)</f>
        <v>107.67</v>
      </c>
      <c r="U1986" s="65" t="n">
        <f aca="false">$R1986-$S1986-$T1986</f>
        <v>2396.63</v>
      </c>
      <c r="V1986" s="66" t="n">
        <f aca="false">IFERROR($U1986/$R1986,0)</f>
        <v>0.289357206674233</v>
      </c>
      <c r="W1986" s="67" t="str">
        <f aca="false">IF(AND($V1986&gt;=Parametros!$C$8,$R1986&gt;=Parametros!$C$12),"Alta rentabilidad",IF(OR($V1986&lt;Parametros!$C$11,$R1986&lt;Parametros!$C$13),"Revisar","Estandar"))</f>
        <v>Estandar</v>
      </c>
      <c r="X1986" s="67" t="str">
        <f aca="false">IF(AND($J1986="E-commerce",IFERROR($T1986/$R1986,0)&gt;Parametros!$C$14),"Alerta","OK")</f>
        <v>OK</v>
      </c>
      <c r="Y1986" s="61" t="str">
        <f aca="false">IF($R1986&gt;=Parametros!$C$12,"Alto",IF($R1986&lt;Parametros!$C$13,"Bajo","Medio"))</f>
        <v>Alto</v>
      </c>
      <c r="Z1986" s="61" t="n">
        <v>1636</v>
      </c>
      <c r="AA1986" s="61" t="str">
        <f aca="false">IF(MATCH($A1986,Datos_Origen!$A$2:$A$2459,0)=$Z1986,"OK","REVISAR")</f>
        <v>OK</v>
      </c>
      <c r="AB1986" s="61" t="str">
        <f aca="false">INDEX(Datos_Origen!$B$2:$B$2459,$Z1986)</f>
        <v>18/08/2025</v>
      </c>
      <c r="AC1986" s="61" t="n">
        <f aca="false">INDEX(Datos_Origen!$H$2:$H$2459,$Z1986)</f>
        <v>5</v>
      </c>
      <c r="AD1986" s="61" t="str">
        <f aca="false">INDEX(Datos_Origen!$D$2:$D$2459,$Z1986)&amp;""</f>
        <v>Tucuman</v>
      </c>
    </row>
    <row r="1987" customFormat="false" ht="15" hidden="false" customHeight="false" outlineLevel="0" collapsed="false">
      <c r="A1987" s="61" t="n">
        <f aca="false">INDEX(Datos_Origen!$A$2:$A$2459,$Z1987)</f>
        <v>1986</v>
      </c>
      <c r="B1987" s="62" t="n">
        <f aca="false">IF(ISNUMBER($AB1987),$AB1987,IF(MID($AB1987,5,1)="-",DATE(VALUE(LEFT($AB1987,4)),VALUE(MID($AB1987,6,2)),VALUE(RIGHT($AB1987,2))),DATE(VALUE(RIGHT($AB1987,4)),VALUE(MID($AB1987,4,2)),VALUE(LEFT($AB1987,2)))))</f>
        <v>45894</v>
      </c>
      <c r="C1987" s="61" t="n">
        <f aca="false">YEAR($B1987)</f>
        <v>2025</v>
      </c>
      <c r="D1987" s="61" t="str">
        <f aca="false">"Q"&amp;ROUNDUP(MONTH($B1987)/3,0)</f>
        <v>Q3</v>
      </c>
      <c r="E1987" s="61" t="n">
        <f aca="false">MONTH($B1987)</f>
        <v>8</v>
      </c>
      <c r="F1987" s="61" t="str">
        <f aca="false">INDEX(Parametros!$I$5:$I$16,$E1987)</f>
        <v>Ago</v>
      </c>
      <c r="G1987" s="61" t="str">
        <f aca="false">TEXT($C1987,"0000")&amp;"-"&amp;TEXT($E1987,"00")</f>
        <v>2025-08</v>
      </c>
      <c r="H1987" s="61" t="str">
        <f aca="false">INDEX(Parametros!$C$71:$C$91,MATCH(TRIM(INDEX(Datos_Origen!$C$2:$C$2459,$Z1987)),Parametros!$B$71:$B$91,0))</f>
        <v>NOA</v>
      </c>
      <c r="I1987" s="61" t="str">
        <f aca="false">IF(TRIM($AD1987)="",INDEX(Parametros!$I$20:$I$24,MATCH($H1987,Parametros!$H$20:$H$24,0)),TRIM($AD1987))</f>
        <v>Tucuman</v>
      </c>
      <c r="J1987" s="61" t="str">
        <f aca="false">INDEX(Parametros!$C$95:$C$106,MATCH(TRIM(INDEX(Datos_Origen!$E$2:$E$2459,$Z1987)),Parametros!$B$95:$B$106,0))</f>
        <v>E-commerce</v>
      </c>
      <c r="K1987" s="61" t="str">
        <f aca="false">INDEX(Parametros!$C$48:$C$67,MATCH(TRIM(INDEX(Datos_Origen!$F$2:$F$2459,$Z1987)),Parametros!$B$48:$B$67,0))</f>
        <v>Computacion</v>
      </c>
      <c r="L1987" s="61" t="str">
        <f aca="false">$K1987&amp;" "&amp;$C1987</f>
        <v>Computacion 2025</v>
      </c>
      <c r="M1987" s="61" t="str">
        <f aca="false">TRIM(INDEX(Datos_Origen!$G$2:$G$2459,$Z1987))</f>
        <v>PC Gamer Ryzen</v>
      </c>
      <c r="N1987" s="61" t="str">
        <f aca="false">$M1987&amp;" "&amp;$C1987</f>
        <v>PC Gamer Ryzen 2025</v>
      </c>
      <c r="O1987" s="63" t="n">
        <f aca="false">IF(ISTEXT($AC1987),VALUE($AC1987),$AC1987)</f>
        <v>4</v>
      </c>
      <c r="P1987" s="64" t="n">
        <f aca="false">INDEX(Datos_Origen!$I$2:$I$2459,$Z1987)</f>
        <v>1656.52</v>
      </c>
      <c r="Q1987" s="64" t="n">
        <f aca="false">INDEX(Datos_Origen!$J$2:$J$2459,$Z1987)</f>
        <v>1155.66</v>
      </c>
      <c r="R1987" s="65" t="n">
        <f aca="false">ROUND($O1987*$P1987,2)</f>
        <v>6626.08</v>
      </c>
      <c r="S1987" s="65" t="n">
        <f aca="false">ROUND($O1987*$Q1987,2)</f>
        <v>4622.64</v>
      </c>
      <c r="T1987" s="65" t="n">
        <f aca="false">ROUND($R1987*SUMIFS(Parametros!$E$28:$E$43,Parametros!$B$28:$B$43,$J1987,Parametros!$C$28:$C$43,$C1987,Parametros!$D$28:$D$43,$D1987),2)</f>
        <v>371.06</v>
      </c>
      <c r="U1987" s="65" t="n">
        <f aca="false">$R1987-$S1987-$T1987</f>
        <v>1632.38</v>
      </c>
      <c r="V1987" s="66" t="n">
        <f aca="false">IFERROR($U1987/$R1987,0)</f>
        <v>0.246356820322121</v>
      </c>
      <c r="W1987" s="67" t="str">
        <f aca="false">IF(AND($V1987&gt;=Parametros!$C$8,$R1987&gt;=Parametros!$C$12),"Alta rentabilidad",IF(OR($V1987&lt;Parametros!$C$11,$R1987&lt;Parametros!$C$13),"Revisar","Estandar"))</f>
        <v>Revisar</v>
      </c>
      <c r="X1987" s="67" t="str">
        <f aca="false">IF(AND($J1987="E-commerce",IFERROR($T1987/$R1987,0)&gt;Parametros!$C$14),"Alerta","OK")</f>
        <v>Alerta</v>
      </c>
      <c r="Y1987" s="61" t="str">
        <f aca="false">IF($R1987&gt;=Parametros!$C$12,"Alto",IF($R1987&lt;Parametros!$C$13,"Bajo","Medio"))</f>
        <v>Alto</v>
      </c>
      <c r="Z1987" s="61" t="n">
        <v>2441</v>
      </c>
      <c r="AA1987" s="61" t="str">
        <f aca="false">IF(MATCH($A1987,Datos_Origen!$A$2:$A$2459,0)=$Z1987,"OK","REVISAR")</f>
        <v>OK</v>
      </c>
      <c r="AB1987" s="61" t="str">
        <f aca="false">INDEX(Datos_Origen!$B$2:$B$2459,$Z1987)</f>
        <v>2025-08-25</v>
      </c>
      <c r="AC1987" s="61" t="n">
        <f aca="false">INDEX(Datos_Origen!$H$2:$H$2459,$Z1987)</f>
        <v>4</v>
      </c>
      <c r="AD1987" s="61" t="str">
        <f aca="false">INDEX(Datos_Origen!$D$2:$D$2459,$Z1987)&amp;""</f>
        <v>Tucuman</v>
      </c>
    </row>
    <row r="1988" customFormat="false" ht="15" hidden="false" customHeight="false" outlineLevel="0" collapsed="false">
      <c r="A1988" s="61" t="n">
        <f aca="false">INDEX(Datos_Origen!$A$2:$A$2459,$Z1988)</f>
        <v>1987</v>
      </c>
      <c r="B1988" s="62" t="n">
        <f aca="false">IF(ISNUMBER($AB1988),$AB1988,IF(MID($AB1988,5,1)="-",DATE(VALUE(LEFT($AB1988,4)),VALUE(MID($AB1988,6,2)),VALUE(RIGHT($AB1988,2))),DATE(VALUE(RIGHT($AB1988,4)),VALUE(MID($AB1988,4,2)),VALUE(LEFT($AB1988,2)))))</f>
        <v>45874</v>
      </c>
      <c r="C1988" s="61" t="n">
        <f aca="false">YEAR($B1988)</f>
        <v>2025</v>
      </c>
      <c r="D1988" s="61" t="str">
        <f aca="false">"Q"&amp;ROUNDUP(MONTH($B1988)/3,0)</f>
        <v>Q3</v>
      </c>
      <c r="E1988" s="61" t="n">
        <f aca="false">MONTH($B1988)</f>
        <v>8</v>
      </c>
      <c r="F1988" s="61" t="str">
        <f aca="false">INDEX(Parametros!$I$5:$I$16,$E1988)</f>
        <v>Ago</v>
      </c>
      <c r="G1988" s="61" t="str">
        <f aca="false">TEXT($C1988,"0000")&amp;"-"&amp;TEXT($E1988,"00")</f>
        <v>2025-08</v>
      </c>
      <c r="H1988" s="61" t="str">
        <f aca="false">INDEX(Parametros!$C$71:$C$91,MATCH(TRIM(INDEX(Datos_Origen!$C$2:$C$2459,$Z1988)),Parametros!$B$71:$B$91,0))</f>
        <v>NOA</v>
      </c>
      <c r="I1988" s="61" t="str">
        <f aca="false">IF(TRIM($AD1988)="",INDEX(Parametros!$I$20:$I$24,MATCH($H1988,Parametros!$H$20:$H$24,0)),TRIM($AD1988))</f>
        <v>Tucuman</v>
      </c>
      <c r="J1988" s="61" t="str">
        <f aca="false">INDEX(Parametros!$C$95:$C$106,MATCH(TRIM(INDEX(Datos_Origen!$E$2:$E$2459,$Z1988)),Parametros!$B$95:$B$106,0))</f>
        <v>Tienda fisica</v>
      </c>
      <c r="K1988" s="61" t="str">
        <f aca="false">INDEX(Parametros!$C$48:$C$67,MATCH(TRIM(INDEX(Datos_Origen!$F$2:$F$2459,$Z1988)),Parametros!$B$48:$B$67,0))</f>
        <v>Accesorios</v>
      </c>
      <c r="L1988" s="61" t="str">
        <f aca="false">$K1988&amp;" "&amp;$C1988</f>
        <v>Accesorios 2025</v>
      </c>
      <c r="M1988" s="61" t="str">
        <f aca="false">TRIM(INDEX(Datos_Origen!$G$2:$G$2459,$Z1988))</f>
        <v>Mouse Inalambrico</v>
      </c>
      <c r="N1988" s="61" t="str">
        <f aca="false">$M1988&amp;" "&amp;$C1988</f>
        <v>Mouse Inalambrico 2025</v>
      </c>
      <c r="O1988" s="63" t="n">
        <f aca="false">IF(ISTEXT($AC1988),VALUE($AC1988),$AC1988)</f>
        <v>33</v>
      </c>
      <c r="P1988" s="64" t="n">
        <f aca="false">INDEX(Datos_Origen!$I$2:$I$2459,$Z1988)</f>
        <v>28.11</v>
      </c>
      <c r="Q1988" s="64" t="n">
        <f aca="false">INDEX(Datos_Origen!$J$2:$J$2459,$Z1988)</f>
        <v>13.84</v>
      </c>
      <c r="R1988" s="65" t="n">
        <f aca="false">ROUND($O1988*$P1988,2)</f>
        <v>927.63</v>
      </c>
      <c r="S1988" s="65" t="n">
        <f aca="false">ROUND($O1988*$Q1988,2)</f>
        <v>456.72</v>
      </c>
      <c r="T1988" s="65" t="n">
        <f aca="false">ROUND($R1988*SUMIFS(Parametros!$E$28:$E$43,Parametros!$B$28:$B$43,$J1988,Parametros!$C$28:$C$43,$C1988,Parametros!$D$28:$D$43,$D1988),2)</f>
        <v>12.06</v>
      </c>
      <c r="U1988" s="65" t="n">
        <f aca="false">$R1988-$S1988-$T1988</f>
        <v>458.85</v>
      </c>
      <c r="V1988" s="66" t="n">
        <f aca="false">IFERROR($U1988/$R1988,0)</f>
        <v>0.494647650464086</v>
      </c>
      <c r="W1988" s="67" t="str">
        <f aca="false">IF(AND($V1988&gt;=Parametros!$C$8,$R1988&gt;=Parametros!$C$12),"Alta rentabilidad",IF(OR($V1988&lt;Parametros!$C$11,$R1988&lt;Parametros!$C$13),"Revisar","Estandar"))</f>
        <v>Estandar</v>
      </c>
      <c r="X1988" s="67" t="str">
        <f aca="false">IF(AND($J1988="E-commerce",IFERROR($T1988/$R1988,0)&gt;Parametros!$C$14),"Alerta","OK")</f>
        <v>OK</v>
      </c>
      <c r="Y1988" s="61" t="str">
        <f aca="false">IF($R1988&gt;=Parametros!$C$12,"Alto",IF($R1988&lt;Parametros!$C$13,"Bajo","Medio"))</f>
        <v>Medio</v>
      </c>
      <c r="Z1988" s="61" t="n">
        <v>1692</v>
      </c>
      <c r="AA1988" s="61" t="str">
        <f aca="false">IF(MATCH($A1988,Datos_Origen!$A$2:$A$2459,0)=$Z1988,"OK","REVISAR")</f>
        <v>OK</v>
      </c>
      <c r="AB1988" s="62" t="n">
        <f aca="false">INDEX(Datos_Origen!$B$2:$B$2459,$Z1988)</f>
        <v>45874</v>
      </c>
      <c r="AC1988" s="61" t="n">
        <f aca="false">INDEX(Datos_Origen!$H$2:$H$2459,$Z1988)</f>
        <v>33</v>
      </c>
      <c r="AD1988" s="61" t="str">
        <f aca="false">INDEX(Datos_Origen!$D$2:$D$2459,$Z1988)&amp;""</f>
        <v>Tucuman</v>
      </c>
    </row>
    <row r="1989" customFormat="false" ht="15" hidden="false" customHeight="false" outlineLevel="0" collapsed="false">
      <c r="A1989" s="61" t="n">
        <f aca="false">INDEX(Datos_Origen!$A$2:$A$2459,$Z1989)</f>
        <v>1988</v>
      </c>
      <c r="B1989" s="62" t="n">
        <f aca="false">IF(ISNUMBER($AB1989),$AB1989,IF(MID($AB1989,5,1)="-",DATE(VALUE(LEFT($AB1989,4)),VALUE(MID($AB1989,6,2)),VALUE(RIGHT($AB1989,2))),DATE(VALUE(RIGHT($AB1989,4)),VALUE(MID($AB1989,4,2)),VALUE(LEFT($AB1989,2)))))</f>
        <v>45881</v>
      </c>
      <c r="C1989" s="61" t="n">
        <f aca="false">YEAR($B1989)</f>
        <v>2025</v>
      </c>
      <c r="D1989" s="61" t="str">
        <f aca="false">"Q"&amp;ROUNDUP(MONTH($B1989)/3,0)</f>
        <v>Q3</v>
      </c>
      <c r="E1989" s="61" t="n">
        <f aca="false">MONTH($B1989)</f>
        <v>8</v>
      </c>
      <c r="F1989" s="61" t="str">
        <f aca="false">INDEX(Parametros!$I$5:$I$16,$E1989)</f>
        <v>Ago</v>
      </c>
      <c r="G1989" s="61" t="str">
        <f aca="false">TEXT($C1989,"0000")&amp;"-"&amp;TEXT($E1989,"00")</f>
        <v>2025-08</v>
      </c>
      <c r="H1989" s="61" t="str">
        <f aca="false">INDEX(Parametros!$C$71:$C$91,MATCH(TRIM(INDEX(Datos_Origen!$C$2:$C$2459,$Z1989)),Parametros!$B$71:$B$91,0))</f>
        <v>NOA</v>
      </c>
      <c r="I1989" s="61" t="str">
        <f aca="false">IF(TRIM($AD1989)="",INDEX(Parametros!$I$20:$I$24,MATCH($H1989,Parametros!$H$20:$H$24,0)),TRIM($AD1989))</f>
        <v>Tucuman</v>
      </c>
      <c r="J1989" s="61" t="str">
        <f aca="false">INDEX(Parametros!$C$95:$C$106,MATCH(TRIM(INDEX(Datos_Origen!$E$2:$E$2459,$Z1989)),Parametros!$B$95:$B$106,0))</f>
        <v>E-commerce</v>
      </c>
      <c r="K1989" s="61" t="str">
        <f aca="false">INDEX(Parametros!$C$48:$C$67,MATCH(TRIM(INDEX(Datos_Origen!$F$2:$F$2459,$Z1989)),Parametros!$B$48:$B$67,0))</f>
        <v>Accesorios</v>
      </c>
      <c r="L1989" s="61" t="str">
        <f aca="false">$K1989&amp;" "&amp;$C1989</f>
        <v>Accesorios 2025</v>
      </c>
      <c r="M1989" s="61" t="str">
        <f aca="false">TRIM(INDEX(Datos_Origen!$G$2:$G$2459,$Z1989))</f>
        <v>Mouse Inalambrico</v>
      </c>
      <c r="N1989" s="61" t="str">
        <f aca="false">$M1989&amp;" "&amp;$C1989</f>
        <v>Mouse Inalambrico 2025</v>
      </c>
      <c r="O1989" s="63" t="n">
        <f aca="false">IF(ISTEXT($AC1989),VALUE($AC1989),$AC1989)</f>
        <v>22</v>
      </c>
      <c r="P1989" s="64" t="n">
        <f aca="false">INDEX(Datos_Origen!$I$2:$I$2459,$Z1989)</f>
        <v>28.11</v>
      </c>
      <c r="Q1989" s="64" t="n">
        <f aca="false">INDEX(Datos_Origen!$J$2:$J$2459,$Z1989)</f>
        <v>13.84</v>
      </c>
      <c r="R1989" s="65" t="n">
        <f aca="false">ROUND($O1989*$P1989,2)</f>
        <v>618.42</v>
      </c>
      <c r="S1989" s="65" t="n">
        <f aca="false">ROUND($O1989*$Q1989,2)</f>
        <v>304.48</v>
      </c>
      <c r="T1989" s="65" t="n">
        <f aca="false">ROUND($R1989*SUMIFS(Parametros!$E$28:$E$43,Parametros!$B$28:$B$43,$J1989,Parametros!$C$28:$C$43,$C1989,Parametros!$D$28:$D$43,$D1989),2)</f>
        <v>34.63</v>
      </c>
      <c r="U1989" s="65" t="n">
        <f aca="false">$R1989-$S1989-$T1989</f>
        <v>279.31</v>
      </c>
      <c r="V1989" s="66" t="n">
        <f aca="false">IFERROR($U1989/$R1989,0)</f>
        <v>0.451650981533586</v>
      </c>
      <c r="W1989" s="67" t="str">
        <f aca="false">IF(AND($V1989&gt;=Parametros!$C$8,$R1989&gt;=Parametros!$C$12),"Alta rentabilidad",IF(OR($V1989&lt;Parametros!$C$11,$R1989&lt;Parametros!$C$13),"Revisar","Estandar"))</f>
        <v>Estandar</v>
      </c>
      <c r="X1989" s="67" t="str">
        <f aca="false">IF(AND($J1989="E-commerce",IFERROR($T1989/$R1989,0)&gt;Parametros!$C$14),"Alerta","OK")</f>
        <v>Alerta</v>
      </c>
      <c r="Y1989" s="61" t="str">
        <f aca="false">IF($R1989&gt;=Parametros!$C$12,"Alto",IF($R1989&lt;Parametros!$C$13,"Bajo","Medio"))</f>
        <v>Medio</v>
      </c>
      <c r="Z1989" s="61" t="n">
        <v>1113</v>
      </c>
      <c r="AA1989" s="61" t="str">
        <f aca="false">IF(MATCH($A1989,Datos_Origen!$A$2:$A$2459,0)=$Z1989,"OK","REVISAR")</f>
        <v>OK</v>
      </c>
      <c r="AB1989" s="62" t="n">
        <f aca="false">INDEX(Datos_Origen!$B$2:$B$2459,$Z1989)</f>
        <v>45881</v>
      </c>
      <c r="AC1989" s="61" t="n">
        <f aca="false">INDEX(Datos_Origen!$H$2:$H$2459,$Z1989)</f>
        <v>22</v>
      </c>
      <c r="AD1989" s="61" t="str">
        <f aca="false">INDEX(Datos_Origen!$D$2:$D$2459,$Z1989)&amp;""</f>
        <v>Tucuman</v>
      </c>
    </row>
    <row r="1990" customFormat="false" ht="15" hidden="false" customHeight="false" outlineLevel="0" collapsed="false">
      <c r="A1990" s="61" t="n">
        <f aca="false">INDEX(Datos_Origen!$A$2:$A$2459,$Z1990)</f>
        <v>1989</v>
      </c>
      <c r="B1990" s="62" t="n">
        <f aca="false">IF(ISNUMBER($AB1990),$AB1990,IF(MID($AB1990,5,1)="-",DATE(VALUE(LEFT($AB1990,4)),VALUE(MID($AB1990,6,2)),VALUE(RIGHT($AB1990,2))),DATE(VALUE(RIGHT($AB1990,4)),VALUE(MID($AB1990,4,2)),VALUE(LEFT($AB1990,2)))))</f>
        <v>45888</v>
      </c>
      <c r="C1990" s="61" t="n">
        <f aca="false">YEAR($B1990)</f>
        <v>2025</v>
      </c>
      <c r="D1990" s="61" t="str">
        <f aca="false">"Q"&amp;ROUNDUP(MONTH($B1990)/3,0)</f>
        <v>Q3</v>
      </c>
      <c r="E1990" s="61" t="n">
        <f aca="false">MONTH($B1990)</f>
        <v>8</v>
      </c>
      <c r="F1990" s="61" t="str">
        <f aca="false">INDEX(Parametros!$I$5:$I$16,$E1990)</f>
        <v>Ago</v>
      </c>
      <c r="G1990" s="61" t="str">
        <f aca="false">TEXT($C1990,"0000")&amp;"-"&amp;TEXT($E1990,"00")</f>
        <v>2025-08</v>
      </c>
      <c r="H1990" s="61" t="str">
        <f aca="false">INDEX(Parametros!$C$71:$C$91,MATCH(TRIM(INDEX(Datos_Origen!$C$2:$C$2459,$Z1990)),Parametros!$B$71:$B$91,0))</f>
        <v>NOA</v>
      </c>
      <c r="I1990" s="61" t="str">
        <f aca="false">IF(TRIM($AD1990)="",INDEX(Parametros!$I$20:$I$24,MATCH($H1990,Parametros!$H$20:$H$24,0)),TRIM($AD1990))</f>
        <v>Tucuman</v>
      </c>
      <c r="J1990" s="61" t="str">
        <f aca="false">INDEX(Parametros!$C$95:$C$106,MATCH(TRIM(INDEX(Datos_Origen!$E$2:$E$2459,$Z1990)),Parametros!$B$95:$B$106,0))</f>
        <v>Tienda fisica</v>
      </c>
      <c r="K1990" s="61" t="str">
        <f aca="false">INDEX(Parametros!$C$48:$C$67,MATCH(TRIM(INDEX(Datos_Origen!$F$2:$F$2459,$Z1990)),Parametros!$B$48:$B$67,0))</f>
        <v>Accesorios</v>
      </c>
      <c r="L1990" s="61" t="str">
        <f aca="false">$K1990&amp;" "&amp;$C1990</f>
        <v>Accesorios 2025</v>
      </c>
      <c r="M1990" s="61" t="str">
        <f aca="false">TRIM(INDEX(Datos_Origen!$G$2:$G$2459,$Z1990))</f>
        <v>Teclado Mecanico</v>
      </c>
      <c r="N1990" s="61" t="str">
        <f aca="false">$M1990&amp;" "&amp;$C1990</f>
        <v>Teclado Mecanico 2025</v>
      </c>
      <c r="O1990" s="63" t="n">
        <f aca="false">IF(ISTEXT($AC1990),VALUE($AC1990),$AC1990)</f>
        <v>28</v>
      </c>
      <c r="P1990" s="64" t="n">
        <f aca="false">INDEX(Datos_Origen!$I$2:$I$2459,$Z1990)</f>
        <v>95.38</v>
      </c>
      <c r="Q1990" s="64" t="n">
        <f aca="false">INDEX(Datos_Origen!$J$2:$J$2459,$Z1990)</f>
        <v>49.41</v>
      </c>
      <c r="R1990" s="65" t="n">
        <f aca="false">ROUND($O1990*$P1990,2)</f>
        <v>2670.64</v>
      </c>
      <c r="S1990" s="65" t="n">
        <f aca="false">ROUND($O1990*$Q1990,2)</f>
        <v>1383.48</v>
      </c>
      <c r="T1990" s="65" t="n">
        <f aca="false">ROUND($R1990*SUMIFS(Parametros!$E$28:$E$43,Parametros!$B$28:$B$43,$J1990,Parametros!$C$28:$C$43,$C1990,Parametros!$D$28:$D$43,$D1990),2)</f>
        <v>34.72</v>
      </c>
      <c r="U1990" s="65" t="n">
        <f aca="false">$R1990-$S1990-$T1990</f>
        <v>1252.44</v>
      </c>
      <c r="V1990" s="66" t="n">
        <f aca="false">IFERROR($U1990/$R1990,0)</f>
        <v>0.46896624030195</v>
      </c>
      <c r="W1990" s="67" t="str">
        <f aca="false">IF(AND($V1990&gt;=Parametros!$C$8,$R1990&gt;=Parametros!$C$12),"Alta rentabilidad",IF(OR($V1990&lt;Parametros!$C$11,$R1990&lt;Parametros!$C$13),"Revisar","Estandar"))</f>
        <v>Estandar</v>
      </c>
      <c r="X1990" s="67" t="str">
        <f aca="false">IF(AND($J1990="E-commerce",IFERROR($T1990/$R1990,0)&gt;Parametros!$C$14),"Alerta","OK")</f>
        <v>OK</v>
      </c>
      <c r="Y1990" s="61" t="str">
        <f aca="false">IF($R1990&gt;=Parametros!$C$12,"Alto",IF($R1990&lt;Parametros!$C$13,"Bajo","Medio"))</f>
        <v>Medio</v>
      </c>
      <c r="Z1990" s="61" t="n">
        <v>427</v>
      </c>
      <c r="AA1990" s="61" t="str">
        <f aca="false">IF(MATCH($A1990,Datos_Origen!$A$2:$A$2459,0)=$Z1990,"OK","REVISAR")</f>
        <v>OK</v>
      </c>
      <c r="AB1990" s="62" t="n">
        <f aca="false">INDEX(Datos_Origen!$B$2:$B$2459,$Z1990)</f>
        <v>45888</v>
      </c>
      <c r="AC1990" s="61" t="n">
        <f aca="false">INDEX(Datos_Origen!$H$2:$H$2459,$Z1990)</f>
        <v>28</v>
      </c>
      <c r="AD1990" s="61" t="str">
        <f aca="false">INDEX(Datos_Origen!$D$2:$D$2459,$Z1990)&amp;""</f>
        <v>Tucuman</v>
      </c>
    </row>
    <row r="1991" customFormat="false" ht="15" hidden="false" customHeight="false" outlineLevel="0" collapsed="false">
      <c r="A1991" s="61" t="n">
        <f aca="false">INDEX(Datos_Origen!$A$2:$A$2459,$Z1991)</f>
        <v>1990</v>
      </c>
      <c r="B1991" s="62" t="n">
        <f aca="false">IF(ISNUMBER($AB1991),$AB1991,IF(MID($AB1991,5,1)="-",DATE(VALUE(LEFT($AB1991,4)),VALUE(MID($AB1991,6,2)),VALUE(RIGHT($AB1991,2))),DATE(VALUE(RIGHT($AB1991,4)),VALUE(MID($AB1991,4,2)),VALUE(LEFT($AB1991,2)))))</f>
        <v>45895</v>
      </c>
      <c r="C1991" s="61" t="n">
        <f aca="false">YEAR($B1991)</f>
        <v>2025</v>
      </c>
      <c r="D1991" s="61" t="str">
        <f aca="false">"Q"&amp;ROUNDUP(MONTH($B1991)/3,0)</f>
        <v>Q3</v>
      </c>
      <c r="E1991" s="61" t="n">
        <f aca="false">MONTH($B1991)</f>
        <v>8</v>
      </c>
      <c r="F1991" s="61" t="str">
        <f aca="false">INDEX(Parametros!$I$5:$I$16,$E1991)</f>
        <v>Ago</v>
      </c>
      <c r="G1991" s="61" t="str">
        <f aca="false">TEXT($C1991,"0000")&amp;"-"&amp;TEXT($E1991,"00")</f>
        <v>2025-08</v>
      </c>
      <c r="H1991" s="61" t="str">
        <f aca="false">INDEX(Parametros!$C$71:$C$91,MATCH(TRIM(INDEX(Datos_Origen!$C$2:$C$2459,$Z1991)),Parametros!$B$71:$B$91,0))</f>
        <v>NOA</v>
      </c>
      <c r="I1991" s="61" t="str">
        <f aca="false">IF(TRIM($AD1991)="",INDEX(Parametros!$I$20:$I$24,MATCH($H1991,Parametros!$H$20:$H$24,0)),TRIM($AD1991))</f>
        <v>Tucuman</v>
      </c>
      <c r="J1991" s="61" t="str">
        <f aca="false">INDEX(Parametros!$C$95:$C$106,MATCH(TRIM(INDEX(Datos_Origen!$E$2:$E$2459,$Z1991)),Parametros!$B$95:$B$106,0))</f>
        <v>E-commerce</v>
      </c>
      <c r="K1991" s="61" t="str">
        <f aca="false">INDEX(Parametros!$C$48:$C$67,MATCH(TRIM(INDEX(Datos_Origen!$F$2:$F$2459,$Z1991)),Parametros!$B$48:$B$67,0))</f>
        <v>Accesorios</v>
      </c>
      <c r="L1991" s="61" t="str">
        <f aca="false">$K1991&amp;" "&amp;$C1991</f>
        <v>Accesorios 2025</v>
      </c>
      <c r="M1991" s="61" t="str">
        <f aca="false">TRIM(INDEX(Datos_Origen!$G$2:$G$2459,$Z1991))</f>
        <v>Teclado Mecanico</v>
      </c>
      <c r="N1991" s="61" t="str">
        <f aca="false">$M1991&amp;" "&amp;$C1991</f>
        <v>Teclado Mecanico 2025</v>
      </c>
      <c r="O1991" s="63" t="n">
        <f aca="false">IF(ISTEXT($AC1991),VALUE($AC1991),$AC1991)</f>
        <v>17</v>
      </c>
      <c r="P1991" s="64" t="n">
        <f aca="false">INDEX(Datos_Origen!$I$2:$I$2459,$Z1991)</f>
        <v>95.38</v>
      </c>
      <c r="Q1991" s="64" t="n">
        <f aca="false">INDEX(Datos_Origen!$J$2:$J$2459,$Z1991)</f>
        <v>49.41</v>
      </c>
      <c r="R1991" s="65" t="n">
        <f aca="false">ROUND($O1991*$P1991,2)</f>
        <v>1621.46</v>
      </c>
      <c r="S1991" s="65" t="n">
        <f aca="false">ROUND($O1991*$Q1991,2)</f>
        <v>839.97</v>
      </c>
      <c r="T1991" s="65" t="n">
        <f aca="false">ROUND($R1991*SUMIFS(Parametros!$E$28:$E$43,Parametros!$B$28:$B$43,$J1991,Parametros!$C$28:$C$43,$C1991,Parametros!$D$28:$D$43,$D1991),2)</f>
        <v>90.8</v>
      </c>
      <c r="U1991" s="65" t="n">
        <f aca="false">$R1991-$S1991-$T1991</f>
        <v>690.69</v>
      </c>
      <c r="V1991" s="66" t="n">
        <f aca="false">IFERROR($U1991/$R1991,0)</f>
        <v>0.425967954806162</v>
      </c>
      <c r="W1991" s="67" t="str">
        <f aca="false">IF(AND($V1991&gt;=Parametros!$C$8,$R1991&gt;=Parametros!$C$12),"Alta rentabilidad",IF(OR($V1991&lt;Parametros!$C$11,$R1991&lt;Parametros!$C$13),"Revisar","Estandar"))</f>
        <v>Estandar</v>
      </c>
      <c r="X1991" s="67" t="str">
        <f aca="false">IF(AND($J1991="E-commerce",IFERROR($T1991/$R1991,0)&gt;Parametros!$C$14),"Alerta","OK")</f>
        <v>Alerta</v>
      </c>
      <c r="Y1991" s="61" t="str">
        <f aca="false">IF($R1991&gt;=Parametros!$C$12,"Alto",IF($R1991&lt;Parametros!$C$13,"Bajo","Medio"))</f>
        <v>Medio</v>
      </c>
      <c r="Z1991" s="61" t="n">
        <v>2166</v>
      </c>
      <c r="AA1991" s="61" t="str">
        <f aca="false">IF(MATCH($A1991,Datos_Origen!$A$2:$A$2459,0)=$Z1991,"OK","REVISAR")</f>
        <v>OK</v>
      </c>
      <c r="AB1991" s="62" t="n">
        <f aca="false">INDEX(Datos_Origen!$B$2:$B$2459,$Z1991)</f>
        <v>45895</v>
      </c>
      <c r="AC1991" s="61" t="str">
        <f aca="false">INDEX(Datos_Origen!$H$2:$H$2459,$Z1991)</f>
        <v>17</v>
      </c>
      <c r="AD1991" s="61" t="str">
        <f aca="false">INDEX(Datos_Origen!$D$2:$D$2459,$Z1991)&amp;""</f>
        <v>Tucuman</v>
      </c>
    </row>
    <row r="1992" customFormat="false" ht="15" hidden="false" customHeight="false" outlineLevel="0" collapsed="false">
      <c r="A1992" s="61" t="n">
        <f aca="false">INDEX(Datos_Origen!$A$2:$A$2459,$Z1992)</f>
        <v>1991</v>
      </c>
      <c r="B1992" s="62" t="n">
        <f aca="false">IF(ISNUMBER($AB1992),$AB1992,IF(MID($AB1992,5,1)="-",DATE(VALUE(LEFT($AB1992,4)),VALUE(MID($AB1992,6,2)),VALUE(RIGHT($AB1992,2))),DATE(VALUE(RIGHT($AB1992,4)),VALUE(MID($AB1992,4,2)),VALUE(LEFT($AB1992,2)))))</f>
        <v>45875</v>
      </c>
      <c r="C1992" s="61" t="n">
        <f aca="false">YEAR($B1992)</f>
        <v>2025</v>
      </c>
      <c r="D1992" s="61" t="str">
        <f aca="false">"Q"&amp;ROUNDUP(MONTH($B1992)/3,0)</f>
        <v>Q3</v>
      </c>
      <c r="E1992" s="61" t="n">
        <f aca="false">MONTH($B1992)</f>
        <v>8</v>
      </c>
      <c r="F1992" s="61" t="str">
        <f aca="false">INDEX(Parametros!$I$5:$I$16,$E1992)</f>
        <v>Ago</v>
      </c>
      <c r="G1992" s="61" t="str">
        <f aca="false">TEXT($C1992,"0000")&amp;"-"&amp;TEXT($E1992,"00")</f>
        <v>2025-08</v>
      </c>
      <c r="H1992" s="61" t="str">
        <f aca="false">INDEX(Parametros!$C$71:$C$91,MATCH(TRIM(INDEX(Datos_Origen!$C$2:$C$2459,$Z1992)),Parametros!$B$71:$B$91,0))</f>
        <v>NOA</v>
      </c>
      <c r="I1992" s="61" t="str">
        <f aca="false">IF(TRIM($AD1992)="",INDEX(Parametros!$I$20:$I$24,MATCH($H1992,Parametros!$H$20:$H$24,0)),TRIM($AD1992))</f>
        <v>Tucuman</v>
      </c>
      <c r="J1992" s="61" t="str">
        <f aca="false">INDEX(Parametros!$C$95:$C$106,MATCH(TRIM(INDEX(Datos_Origen!$E$2:$E$2459,$Z1992)),Parametros!$B$95:$B$106,0))</f>
        <v>Tienda fisica</v>
      </c>
      <c r="K1992" s="61" t="str">
        <f aca="false">INDEX(Parametros!$C$48:$C$67,MATCH(TRIM(INDEX(Datos_Origen!$F$2:$F$2459,$Z1992)),Parametros!$B$48:$B$67,0))</f>
        <v>Accesorios</v>
      </c>
      <c r="L1992" s="61" t="str">
        <f aca="false">$K1992&amp;" "&amp;$C1992</f>
        <v>Accesorios 2025</v>
      </c>
      <c r="M1992" s="61" t="str">
        <f aca="false">TRIM(INDEX(Datos_Origen!$G$2:$G$2459,$Z1992))</f>
        <v>Webcam Full HD</v>
      </c>
      <c r="N1992" s="61" t="str">
        <f aca="false">$M1992&amp;" "&amp;$C1992</f>
        <v>Webcam Full HD 2025</v>
      </c>
      <c r="O1992" s="63" t="n">
        <f aca="false">IF(ISTEXT($AC1992),VALUE($AC1992),$AC1992)</f>
        <v>33</v>
      </c>
      <c r="P1992" s="64" t="n">
        <f aca="false">INDEX(Datos_Origen!$I$2:$I$2459,$Z1992)</f>
        <v>65.26</v>
      </c>
      <c r="Q1992" s="64" t="n">
        <f aca="false">INDEX(Datos_Origen!$J$2:$J$2459,$Z1992)</f>
        <v>36.49</v>
      </c>
      <c r="R1992" s="65" t="n">
        <f aca="false">ROUND($O1992*$P1992,2)</f>
        <v>2153.58</v>
      </c>
      <c r="S1992" s="65" t="n">
        <f aca="false">ROUND($O1992*$Q1992,2)</f>
        <v>1204.17</v>
      </c>
      <c r="T1992" s="65" t="n">
        <f aca="false">ROUND($R1992*SUMIFS(Parametros!$E$28:$E$43,Parametros!$B$28:$B$43,$J1992,Parametros!$C$28:$C$43,$C1992,Parametros!$D$28:$D$43,$D1992),2)</f>
        <v>28</v>
      </c>
      <c r="U1992" s="65" t="n">
        <f aca="false">$R1992-$S1992-$T1992</f>
        <v>921.41</v>
      </c>
      <c r="V1992" s="66" t="n">
        <f aca="false">IFERROR($U1992/$R1992,0)</f>
        <v>0.427850370081446</v>
      </c>
      <c r="W1992" s="67" t="str">
        <f aca="false">IF(AND($V1992&gt;=Parametros!$C$8,$R1992&gt;=Parametros!$C$12),"Alta rentabilidad",IF(OR($V1992&lt;Parametros!$C$11,$R1992&lt;Parametros!$C$13),"Revisar","Estandar"))</f>
        <v>Estandar</v>
      </c>
      <c r="X1992" s="67" t="str">
        <f aca="false">IF(AND($J1992="E-commerce",IFERROR($T1992/$R1992,0)&gt;Parametros!$C$14),"Alerta","OK")</f>
        <v>OK</v>
      </c>
      <c r="Y1992" s="61" t="str">
        <f aca="false">IF($R1992&gt;=Parametros!$C$12,"Alto",IF($R1992&lt;Parametros!$C$13,"Bajo","Medio"))</f>
        <v>Medio</v>
      </c>
      <c r="Z1992" s="61" t="n">
        <v>813</v>
      </c>
      <c r="AA1992" s="61" t="str">
        <f aca="false">IF(MATCH($A1992,Datos_Origen!$A$2:$A$2459,0)=$Z1992,"OK","REVISAR")</f>
        <v>OK</v>
      </c>
      <c r="AB1992" s="62" t="n">
        <f aca="false">INDEX(Datos_Origen!$B$2:$B$2459,$Z1992)</f>
        <v>45875</v>
      </c>
      <c r="AC1992" s="61" t="n">
        <f aca="false">INDEX(Datos_Origen!$H$2:$H$2459,$Z1992)</f>
        <v>33</v>
      </c>
      <c r="AD1992" s="61" t="str">
        <f aca="false">INDEX(Datos_Origen!$D$2:$D$2459,$Z1992)&amp;""</f>
        <v>Tucuman</v>
      </c>
    </row>
    <row r="1993" customFormat="false" ht="15" hidden="false" customHeight="false" outlineLevel="0" collapsed="false">
      <c r="A1993" s="61" t="n">
        <f aca="false">INDEX(Datos_Origen!$A$2:$A$2459,$Z1993)</f>
        <v>1992</v>
      </c>
      <c r="B1993" s="62" t="n">
        <f aca="false">IF(ISNUMBER($AB1993),$AB1993,IF(MID($AB1993,5,1)="-",DATE(VALUE(LEFT($AB1993,4)),VALUE(MID($AB1993,6,2)),VALUE(RIGHT($AB1993,2))),DATE(VALUE(RIGHT($AB1993,4)),VALUE(MID($AB1993,4,2)),VALUE(LEFT($AB1993,2)))))</f>
        <v>45882</v>
      </c>
      <c r="C1993" s="61" t="n">
        <f aca="false">YEAR($B1993)</f>
        <v>2025</v>
      </c>
      <c r="D1993" s="61" t="str">
        <f aca="false">"Q"&amp;ROUNDUP(MONTH($B1993)/3,0)</f>
        <v>Q3</v>
      </c>
      <c r="E1993" s="61" t="n">
        <f aca="false">MONTH($B1993)</f>
        <v>8</v>
      </c>
      <c r="F1993" s="61" t="str">
        <f aca="false">INDEX(Parametros!$I$5:$I$16,$E1993)</f>
        <v>Ago</v>
      </c>
      <c r="G1993" s="61" t="str">
        <f aca="false">TEXT($C1993,"0000")&amp;"-"&amp;TEXT($E1993,"00")</f>
        <v>2025-08</v>
      </c>
      <c r="H1993" s="61" t="str">
        <f aca="false">INDEX(Parametros!$C$71:$C$91,MATCH(TRIM(INDEX(Datos_Origen!$C$2:$C$2459,$Z1993)),Parametros!$B$71:$B$91,0))</f>
        <v>NOA</v>
      </c>
      <c r="I1993" s="61" t="str">
        <f aca="false">IF(TRIM($AD1993)="",INDEX(Parametros!$I$20:$I$24,MATCH($H1993,Parametros!$H$20:$H$24,0)),TRIM($AD1993))</f>
        <v>Tucuman</v>
      </c>
      <c r="J1993" s="61" t="str">
        <f aca="false">INDEX(Parametros!$C$95:$C$106,MATCH(TRIM(INDEX(Datos_Origen!$E$2:$E$2459,$Z1993)),Parametros!$B$95:$B$106,0))</f>
        <v>E-commerce</v>
      </c>
      <c r="K1993" s="61" t="str">
        <f aca="false">INDEX(Parametros!$C$48:$C$67,MATCH(TRIM(INDEX(Datos_Origen!$F$2:$F$2459,$Z1993)),Parametros!$B$48:$B$67,0))</f>
        <v>Accesorios</v>
      </c>
      <c r="L1993" s="61" t="str">
        <f aca="false">$K1993&amp;" "&amp;$C1993</f>
        <v>Accesorios 2025</v>
      </c>
      <c r="M1993" s="61" t="str">
        <f aca="false">TRIM(INDEX(Datos_Origen!$G$2:$G$2459,$Z1993))</f>
        <v>Webcam Full HD</v>
      </c>
      <c r="N1993" s="61" t="str">
        <f aca="false">$M1993&amp;" "&amp;$C1993</f>
        <v>Webcam Full HD 2025</v>
      </c>
      <c r="O1993" s="63" t="n">
        <f aca="false">IF(ISTEXT($AC1993),VALUE($AC1993),$AC1993)</f>
        <v>22</v>
      </c>
      <c r="P1993" s="64" t="n">
        <f aca="false">INDEX(Datos_Origen!$I$2:$I$2459,$Z1993)</f>
        <v>65.26</v>
      </c>
      <c r="Q1993" s="64" t="n">
        <f aca="false">INDEX(Datos_Origen!$J$2:$J$2459,$Z1993)</f>
        <v>36.49</v>
      </c>
      <c r="R1993" s="65" t="n">
        <f aca="false">ROUND($O1993*$P1993,2)</f>
        <v>1435.72</v>
      </c>
      <c r="S1993" s="65" t="n">
        <f aca="false">ROUND($O1993*$Q1993,2)</f>
        <v>802.78</v>
      </c>
      <c r="T1993" s="65" t="n">
        <f aca="false">ROUND($R1993*SUMIFS(Parametros!$E$28:$E$43,Parametros!$B$28:$B$43,$J1993,Parametros!$C$28:$C$43,$C1993,Parametros!$D$28:$D$43,$D1993),2)</f>
        <v>80.4</v>
      </c>
      <c r="U1993" s="65" t="n">
        <f aca="false">$R1993-$S1993-$T1993</f>
        <v>552.54</v>
      </c>
      <c r="V1993" s="66" t="n">
        <f aca="false">IFERROR($U1993/$R1993,0)</f>
        <v>0.384852199593236</v>
      </c>
      <c r="W1993" s="67" t="str">
        <f aca="false">IF(AND($V1993&gt;=Parametros!$C$8,$R1993&gt;=Parametros!$C$12),"Alta rentabilidad",IF(OR($V1993&lt;Parametros!$C$11,$R1993&lt;Parametros!$C$13),"Revisar","Estandar"))</f>
        <v>Estandar</v>
      </c>
      <c r="X1993" s="67" t="str">
        <f aca="false">IF(AND($J1993="E-commerce",IFERROR($T1993/$R1993,0)&gt;Parametros!$C$14),"Alerta","OK")</f>
        <v>Alerta</v>
      </c>
      <c r="Y1993" s="61" t="str">
        <f aca="false">IF($R1993&gt;=Parametros!$C$12,"Alto",IF($R1993&lt;Parametros!$C$13,"Bajo","Medio"))</f>
        <v>Medio</v>
      </c>
      <c r="Z1993" s="61" t="n">
        <v>1603</v>
      </c>
      <c r="AA1993" s="61" t="str">
        <f aca="false">IF(MATCH($A1993,Datos_Origen!$A$2:$A$2459,0)=$Z1993,"OK","REVISAR")</f>
        <v>OK</v>
      </c>
      <c r="AB1993" s="62" t="n">
        <f aca="false">INDEX(Datos_Origen!$B$2:$B$2459,$Z1993)</f>
        <v>45882</v>
      </c>
      <c r="AC1993" s="61" t="n">
        <f aca="false">INDEX(Datos_Origen!$H$2:$H$2459,$Z1993)</f>
        <v>22</v>
      </c>
      <c r="AD1993" s="61" t="str">
        <f aca="false">INDEX(Datos_Origen!$D$2:$D$2459,$Z1993)&amp;""</f>
        <v>Tucuman</v>
      </c>
    </row>
    <row r="1994" customFormat="false" ht="15" hidden="false" customHeight="false" outlineLevel="0" collapsed="false">
      <c r="A1994" s="61" t="n">
        <f aca="false">INDEX(Datos_Origen!$A$2:$A$2459,$Z1994)</f>
        <v>1993</v>
      </c>
      <c r="B1994" s="62" t="n">
        <f aca="false">IF(ISNUMBER($AB1994),$AB1994,IF(MID($AB1994,5,1)="-",DATE(VALUE(LEFT($AB1994,4)),VALUE(MID($AB1994,6,2)),VALUE(RIGHT($AB1994,2))),DATE(VALUE(RIGHT($AB1994,4)),VALUE(MID($AB1994,4,2)),VALUE(LEFT($AB1994,2)))))</f>
        <v>45889</v>
      </c>
      <c r="C1994" s="61" t="n">
        <f aca="false">YEAR($B1994)</f>
        <v>2025</v>
      </c>
      <c r="D1994" s="61" t="str">
        <f aca="false">"Q"&amp;ROUNDUP(MONTH($B1994)/3,0)</f>
        <v>Q3</v>
      </c>
      <c r="E1994" s="61" t="n">
        <f aca="false">MONTH($B1994)</f>
        <v>8</v>
      </c>
      <c r="F1994" s="61" t="str">
        <f aca="false">INDEX(Parametros!$I$5:$I$16,$E1994)</f>
        <v>Ago</v>
      </c>
      <c r="G1994" s="61" t="str">
        <f aca="false">TEXT($C1994,"0000")&amp;"-"&amp;TEXT($E1994,"00")</f>
        <v>2025-08</v>
      </c>
      <c r="H1994" s="61" t="str">
        <f aca="false">INDEX(Parametros!$C$71:$C$91,MATCH(TRIM(INDEX(Datos_Origen!$C$2:$C$2459,$Z1994)),Parametros!$B$71:$B$91,0))</f>
        <v>NOA</v>
      </c>
      <c r="I1994" s="61" t="str">
        <f aca="false">IF(TRIM($AD1994)="",INDEX(Parametros!$I$20:$I$24,MATCH($H1994,Parametros!$H$20:$H$24,0)),TRIM($AD1994))</f>
        <v>Tucuman</v>
      </c>
      <c r="J1994" s="61" t="str">
        <f aca="false">INDEX(Parametros!$C$95:$C$106,MATCH(TRIM(INDEX(Datos_Origen!$E$2:$E$2459,$Z1994)),Parametros!$B$95:$B$106,0))</f>
        <v>Tienda fisica</v>
      </c>
      <c r="K1994" s="61" t="str">
        <f aca="false">INDEX(Parametros!$C$48:$C$67,MATCH(TRIM(INDEX(Datos_Origen!$F$2:$F$2459,$Z1994)),Parametros!$B$48:$B$67,0))</f>
        <v>Audio</v>
      </c>
      <c r="L1994" s="61" t="str">
        <f aca="false">$K1994&amp;" "&amp;$C1994</f>
        <v>Audio 2025</v>
      </c>
      <c r="M1994" s="61" t="str">
        <f aca="false">TRIM(INDEX(Datos_Origen!$G$2:$G$2459,$Z1994))</f>
        <v>Auriculares BT Pro</v>
      </c>
      <c r="N1994" s="61" t="str">
        <f aca="false">$M1994&amp;" "&amp;$C1994</f>
        <v>Auriculares BT Pro 2025</v>
      </c>
      <c r="O1994" s="63" t="n">
        <f aca="false">IF(ISTEXT($AC1994),VALUE($AC1994),$AC1994)</f>
        <v>12</v>
      </c>
      <c r="P1994" s="64" t="n">
        <f aca="false">INDEX(Datos_Origen!$I$2:$I$2459,$Z1994)</f>
        <v>120.47</v>
      </c>
      <c r="Q1994" s="64" t="n">
        <f aca="false">INDEX(Datos_Origen!$J$2:$J$2459,$Z1994)</f>
        <v>65.51</v>
      </c>
      <c r="R1994" s="65" t="n">
        <f aca="false">ROUND($O1994*$P1994,2)</f>
        <v>1445.64</v>
      </c>
      <c r="S1994" s="65" t="n">
        <f aca="false">ROUND($O1994*$Q1994,2)</f>
        <v>786.12</v>
      </c>
      <c r="T1994" s="65" t="n">
        <f aca="false">ROUND($R1994*SUMIFS(Parametros!$E$28:$E$43,Parametros!$B$28:$B$43,$J1994,Parametros!$C$28:$C$43,$C1994,Parametros!$D$28:$D$43,$D1994),2)</f>
        <v>18.79</v>
      </c>
      <c r="U1994" s="65" t="n">
        <f aca="false">$R1994-$S1994-$T1994</f>
        <v>640.73</v>
      </c>
      <c r="V1994" s="66" t="n">
        <f aca="false">IFERROR($U1994/$R1994,0)</f>
        <v>0.443215461664038</v>
      </c>
      <c r="W1994" s="67" t="str">
        <f aca="false">IF(AND($V1994&gt;=Parametros!$C$8,$R1994&gt;=Parametros!$C$12),"Alta rentabilidad",IF(OR($V1994&lt;Parametros!$C$11,$R1994&lt;Parametros!$C$13),"Revisar","Estandar"))</f>
        <v>Estandar</v>
      </c>
      <c r="X1994" s="67" t="str">
        <f aca="false">IF(AND($J1994="E-commerce",IFERROR($T1994/$R1994,0)&gt;Parametros!$C$14),"Alerta","OK")</f>
        <v>OK</v>
      </c>
      <c r="Y1994" s="61" t="str">
        <f aca="false">IF($R1994&gt;=Parametros!$C$12,"Alto",IF($R1994&lt;Parametros!$C$13,"Bajo","Medio"))</f>
        <v>Medio</v>
      </c>
      <c r="Z1994" s="61" t="n">
        <v>1519</v>
      </c>
      <c r="AA1994" s="61" t="str">
        <f aca="false">IF(MATCH($A1994,Datos_Origen!$A$2:$A$2459,0)=$Z1994,"OK","REVISAR")</f>
        <v>OK</v>
      </c>
      <c r="AB1994" s="61" t="str">
        <f aca="false">INDEX(Datos_Origen!$B$2:$B$2459,$Z1994)</f>
        <v>2025-08-20</v>
      </c>
      <c r="AC1994" s="61" t="n">
        <f aca="false">INDEX(Datos_Origen!$H$2:$H$2459,$Z1994)</f>
        <v>12</v>
      </c>
      <c r="AD1994" s="61" t="str">
        <f aca="false">INDEX(Datos_Origen!$D$2:$D$2459,$Z1994)&amp;""</f>
        <v>Tucuman</v>
      </c>
    </row>
    <row r="1995" customFormat="false" ht="15" hidden="false" customHeight="false" outlineLevel="0" collapsed="false">
      <c r="A1995" s="61" t="n">
        <f aca="false">INDEX(Datos_Origen!$A$2:$A$2459,$Z1995)</f>
        <v>1994</v>
      </c>
      <c r="B1995" s="62" t="n">
        <f aca="false">IF(ISNUMBER($AB1995),$AB1995,IF(MID($AB1995,5,1)="-",DATE(VALUE(LEFT($AB1995,4)),VALUE(MID($AB1995,6,2)),VALUE(RIGHT($AB1995,2))),DATE(VALUE(RIGHT($AB1995,4)),VALUE(MID($AB1995,4,2)),VALUE(LEFT($AB1995,2)))))</f>
        <v>45896</v>
      </c>
      <c r="C1995" s="61" t="n">
        <f aca="false">YEAR($B1995)</f>
        <v>2025</v>
      </c>
      <c r="D1995" s="61" t="str">
        <f aca="false">"Q"&amp;ROUNDUP(MONTH($B1995)/3,0)</f>
        <v>Q3</v>
      </c>
      <c r="E1995" s="61" t="n">
        <f aca="false">MONTH($B1995)</f>
        <v>8</v>
      </c>
      <c r="F1995" s="61" t="str">
        <f aca="false">INDEX(Parametros!$I$5:$I$16,$E1995)</f>
        <v>Ago</v>
      </c>
      <c r="G1995" s="61" t="str">
        <f aca="false">TEXT($C1995,"0000")&amp;"-"&amp;TEXT($E1995,"00")</f>
        <v>2025-08</v>
      </c>
      <c r="H1995" s="61" t="str">
        <f aca="false">INDEX(Parametros!$C$71:$C$91,MATCH(TRIM(INDEX(Datos_Origen!$C$2:$C$2459,$Z1995)),Parametros!$B$71:$B$91,0))</f>
        <v>NOA</v>
      </c>
      <c r="I1995" s="61" t="str">
        <f aca="false">IF(TRIM($AD1995)="",INDEX(Parametros!$I$20:$I$24,MATCH($H1995,Parametros!$H$20:$H$24,0)),TRIM($AD1995))</f>
        <v>Tucuman</v>
      </c>
      <c r="J1995" s="61" t="str">
        <f aca="false">INDEX(Parametros!$C$95:$C$106,MATCH(TRIM(INDEX(Datos_Origen!$E$2:$E$2459,$Z1995)),Parametros!$B$95:$B$106,0))</f>
        <v>E-commerce</v>
      </c>
      <c r="K1995" s="61" t="str">
        <f aca="false">INDEX(Parametros!$C$48:$C$67,MATCH(TRIM(INDEX(Datos_Origen!$F$2:$F$2459,$Z1995)),Parametros!$B$48:$B$67,0))</f>
        <v>Audio</v>
      </c>
      <c r="L1995" s="61" t="str">
        <f aca="false">$K1995&amp;" "&amp;$C1995</f>
        <v>Audio 2025</v>
      </c>
      <c r="M1995" s="61" t="str">
        <f aca="false">TRIM(INDEX(Datos_Origen!$G$2:$G$2459,$Z1995))</f>
        <v>Auriculares BT Pro</v>
      </c>
      <c r="N1995" s="61" t="str">
        <f aca="false">$M1995&amp;" "&amp;$C1995</f>
        <v>Auriculares BT Pro 2025</v>
      </c>
      <c r="O1995" s="63" t="n">
        <f aca="false">IF(ISTEXT($AC1995),VALUE($AC1995),$AC1995)</f>
        <v>9</v>
      </c>
      <c r="P1995" s="64" t="n">
        <f aca="false">INDEX(Datos_Origen!$I$2:$I$2459,$Z1995)</f>
        <v>120.47</v>
      </c>
      <c r="Q1995" s="64" t="n">
        <f aca="false">INDEX(Datos_Origen!$J$2:$J$2459,$Z1995)</f>
        <v>65.51</v>
      </c>
      <c r="R1995" s="65" t="n">
        <f aca="false">ROUND($O1995*$P1995,2)</f>
        <v>1084.23</v>
      </c>
      <c r="S1995" s="65" t="n">
        <f aca="false">ROUND($O1995*$Q1995,2)</f>
        <v>589.59</v>
      </c>
      <c r="T1995" s="65" t="n">
        <f aca="false">ROUND($R1995*SUMIFS(Parametros!$E$28:$E$43,Parametros!$B$28:$B$43,$J1995,Parametros!$C$28:$C$43,$C1995,Parametros!$D$28:$D$43,$D1995),2)</f>
        <v>60.72</v>
      </c>
      <c r="U1995" s="65" t="n">
        <f aca="false">$R1995-$S1995-$T1995</f>
        <v>433.92</v>
      </c>
      <c r="V1995" s="66" t="n">
        <f aca="false">IFERROR($U1995/$R1995,0)</f>
        <v>0.400210287485128</v>
      </c>
      <c r="W1995" s="67" t="str">
        <f aca="false">IF(AND($V1995&gt;=Parametros!$C$8,$R1995&gt;=Parametros!$C$12),"Alta rentabilidad",IF(OR($V1995&lt;Parametros!$C$11,$R1995&lt;Parametros!$C$13),"Revisar","Estandar"))</f>
        <v>Estandar</v>
      </c>
      <c r="X1995" s="67" t="str">
        <f aca="false">IF(AND($J1995="E-commerce",IFERROR($T1995/$R1995,0)&gt;Parametros!$C$14),"Alerta","OK")</f>
        <v>Alerta</v>
      </c>
      <c r="Y1995" s="61" t="str">
        <f aca="false">IF($R1995&gt;=Parametros!$C$12,"Alto",IF($R1995&lt;Parametros!$C$13,"Bajo","Medio"))</f>
        <v>Medio</v>
      </c>
      <c r="Z1995" s="61" t="n">
        <v>1720</v>
      </c>
      <c r="AA1995" s="61" t="str">
        <f aca="false">IF(MATCH($A1995,Datos_Origen!$A$2:$A$2459,0)=$Z1995,"OK","REVISAR")</f>
        <v>OK</v>
      </c>
      <c r="AB1995" s="61" t="str">
        <f aca="false">INDEX(Datos_Origen!$B$2:$B$2459,$Z1995)</f>
        <v>27/08/2025</v>
      </c>
      <c r="AC1995" s="61" t="n">
        <f aca="false">INDEX(Datos_Origen!$H$2:$H$2459,$Z1995)</f>
        <v>9</v>
      </c>
      <c r="AD1995" s="61" t="str">
        <f aca="false">INDEX(Datos_Origen!$D$2:$D$2459,$Z1995)&amp;""</f>
        <v>Tucuman</v>
      </c>
    </row>
    <row r="1996" customFormat="false" ht="15" hidden="false" customHeight="false" outlineLevel="0" collapsed="false">
      <c r="A1996" s="61" t="n">
        <f aca="false">INDEX(Datos_Origen!$A$2:$A$2459,$Z1996)</f>
        <v>1995</v>
      </c>
      <c r="B1996" s="62" t="n">
        <f aca="false">IF(ISNUMBER($AB1996),$AB1996,IF(MID($AB1996,5,1)="-",DATE(VALUE(LEFT($AB1996,4)),VALUE(MID($AB1996,6,2)),VALUE(RIGHT($AB1996,2))),DATE(VALUE(RIGHT($AB1996,4)),VALUE(MID($AB1996,4,2)),VALUE(LEFT($AB1996,2)))))</f>
        <v>45876</v>
      </c>
      <c r="C1996" s="61" t="n">
        <f aca="false">YEAR($B1996)</f>
        <v>2025</v>
      </c>
      <c r="D1996" s="61" t="str">
        <f aca="false">"Q"&amp;ROUNDUP(MONTH($B1996)/3,0)</f>
        <v>Q3</v>
      </c>
      <c r="E1996" s="61" t="n">
        <f aca="false">MONTH($B1996)</f>
        <v>8</v>
      </c>
      <c r="F1996" s="61" t="str">
        <f aca="false">INDEX(Parametros!$I$5:$I$16,$E1996)</f>
        <v>Ago</v>
      </c>
      <c r="G1996" s="61" t="str">
        <f aca="false">TEXT($C1996,"0000")&amp;"-"&amp;TEXT($E1996,"00")</f>
        <v>2025-08</v>
      </c>
      <c r="H1996" s="61" t="str">
        <f aca="false">INDEX(Parametros!$C$71:$C$91,MATCH(TRIM(INDEX(Datos_Origen!$C$2:$C$2459,$Z1996)),Parametros!$B$71:$B$91,0))</f>
        <v>NOA</v>
      </c>
      <c r="I1996" s="61" t="str">
        <f aca="false">IF(TRIM($AD1996)="",INDEX(Parametros!$I$20:$I$24,MATCH($H1996,Parametros!$H$20:$H$24,0)),TRIM($AD1996))</f>
        <v>Tucuman</v>
      </c>
      <c r="J1996" s="61" t="str">
        <f aca="false">INDEX(Parametros!$C$95:$C$106,MATCH(TRIM(INDEX(Datos_Origen!$E$2:$E$2459,$Z1996)),Parametros!$B$95:$B$106,0))</f>
        <v>Tienda fisica</v>
      </c>
      <c r="K1996" s="61" t="str">
        <f aca="false">INDEX(Parametros!$C$48:$C$67,MATCH(TRIM(INDEX(Datos_Origen!$F$2:$F$2459,$Z1996)),Parametros!$B$48:$B$67,0))</f>
        <v>Audio</v>
      </c>
      <c r="L1996" s="61" t="str">
        <f aca="false">$K1996&amp;" "&amp;$C1996</f>
        <v>Audio 2025</v>
      </c>
      <c r="M1996" s="61" t="str">
        <f aca="false">TRIM(INDEX(Datos_Origen!$G$2:$G$2459,$Z1996))</f>
        <v>Parlante Bluetooth</v>
      </c>
      <c r="N1996" s="61" t="str">
        <f aca="false">$M1996&amp;" "&amp;$C1996</f>
        <v>Parlante Bluetooth 2025</v>
      </c>
      <c r="O1996" s="63" t="n">
        <f aca="false">IF(ISTEXT($AC1996),VALUE($AC1996),$AC1996)</f>
        <v>13</v>
      </c>
      <c r="P1996" s="64" t="n">
        <f aca="false">INDEX(Datos_Origen!$I$2:$I$2459,$Z1996)</f>
        <v>85.34</v>
      </c>
      <c r="Q1996" s="64" t="n">
        <f aca="false">INDEX(Datos_Origen!$J$2:$J$2459,$Z1996)</f>
        <v>49.47</v>
      </c>
      <c r="R1996" s="65" t="n">
        <f aca="false">ROUND($O1996*$P1996,2)</f>
        <v>1109.42</v>
      </c>
      <c r="S1996" s="65" t="n">
        <f aca="false">ROUND($O1996*$Q1996,2)</f>
        <v>643.11</v>
      </c>
      <c r="T1996" s="65" t="n">
        <f aca="false">ROUND($R1996*SUMIFS(Parametros!$E$28:$E$43,Parametros!$B$28:$B$43,$J1996,Parametros!$C$28:$C$43,$C1996,Parametros!$D$28:$D$43,$D1996),2)</f>
        <v>14.42</v>
      </c>
      <c r="U1996" s="65" t="n">
        <f aca="false">$R1996-$S1996-$T1996</f>
        <v>451.89</v>
      </c>
      <c r="V1996" s="66" t="n">
        <f aca="false">IFERROR($U1996/$R1996,0)</f>
        <v>0.407320942474446</v>
      </c>
      <c r="W1996" s="67" t="str">
        <f aca="false">IF(AND($V1996&gt;=Parametros!$C$8,$R1996&gt;=Parametros!$C$12),"Alta rentabilidad",IF(OR($V1996&lt;Parametros!$C$11,$R1996&lt;Parametros!$C$13),"Revisar","Estandar"))</f>
        <v>Estandar</v>
      </c>
      <c r="X1996" s="67" t="str">
        <f aca="false">IF(AND($J1996="E-commerce",IFERROR($T1996/$R1996,0)&gt;Parametros!$C$14),"Alerta","OK")</f>
        <v>OK</v>
      </c>
      <c r="Y1996" s="61" t="str">
        <f aca="false">IF($R1996&gt;=Parametros!$C$12,"Alto",IF($R1996&lt;Parametros!$C$13,"Bajo","Medio"))</f>
        <v>Medio</v>
      </c>
      <c r="Z1996" s="61" t="n">
        <v>179</v>
      </c>
      <c r="AA1996" s="61" t="str">
        <f aca="false">IF(MATCH($A1996,Datos_Origen!$A$2:$A$2459,0)=$Z1996,"OK","REVISAR")</f>
        <v>OK</v>
      </c>
      <c r="AB1996" s="62" t="n">
        <f aca="false">INDEX(Datos_Origen!$B$2:$B$2459,$Z1996)</f>
        <v>45876</v>
      </c>
      <c r="AC1996" s="61" t="n">
        <f aca="false">INDEX(Datos_Origen!$H$2:$H$2459,$Z1996)</f>
        <v>13</v>
      </c>
      <c r="AD1996" s="61" t="str">
        <f aca="false">INDEX(Datos_Origen!$D$2:$D$2459,$Z1996)&amp;""</f>
        <v>Tucuman</v>
      </c>
    </row>
    <row r="1997" customFormat="false" ht="15" hidden="false" customHeight="false" outlineLevel="0" collapsed="false">
      <c r="A1997" s="61" t="n">
        <f aca="false">INDEX(Datos_Origen!$A$2:$A$2459,$Z1997)</f>
        <v>1996</v>
      </c>
      <c r="B1997" s="62" t="n">
        <f aca="false">IF(ISNUMBER($AB1997),$AB1997,IF(MID($AB1997,5,1)="-",DATE(VALUE(LEFT($AB1997,4)),VALUE(MID($AB1997,6,2)),VALUE(RIGHT($AB1997,2))),DATE(VALUE(RIGHT($AB1997,4)),VALUE(MID($AB1997,4,2)),VALUE(LEFT($AB1997,2)))))</f>
        <v>45883</v>
      </c>
      <c r="C1997" s="61" t="n">
        <f aca="false">YEAR($B1997)</f>
        <v>2025</v>
      </c>
      <c r="D1997" s="61" t="str">
        <f aca="false">"Q"&amp;ROUNDUP(MONTH($B1997)/3,0)</f>
        <v>Q3</v>
      </c>
      <c r="E1997" s="61" t="n">
        <f aca="false">MONTH($B1997)</f>
        <v>8</v>
      </c>
      <c r="F1997" s="61" t="str">
        <f aca="false">INDEX(Parametros!$I$5:$I$16,$E1997)</f>
        <v>Ago</v>
      </c>
      <c r="G1997" s="61" t="str">
        <f aca="false">TEXT($C1997,"0000")&amp;"-"&amp;TEXT($E1997,"00")</f>
        <v>2025-08</v>
      </c>
      <c r="H1997" s="61" t="str">
        <f aca="false">INDEX(Parametros!$C$71:$C$91,MATCH(TRIM(INDEX(Datos_Origen!$C$2:$C$2459,$Z1997)),Parametros!$B$71:$B$91,0))</f>
        <v>NOA</v>
      </c>
      <c r="I1997" s="61" t="str">
        <f aca="false">IF(TRIM($AD1997)="",INDEX(Parametros!$I$20:$I$24,MATCH($H1997,Parametros!$H$20:$H$24,0)),TRIM($AD1997))</f>
        <v>Tucuman</v>
      </c>
      <c r="J1997" s="61" t="str">
        <f aca="false">INDEX(Parametros!$C$95:$C$106,MATCH(TRIM(INDEX(Datos_Origen!$E$2:$E$2459,$Z1997)),Parametros!$B$95:$B$106,0))</f>
        <v>E-commerce</v>
      </c>
      <c r="K1997" s="61" t="str">
        <f aca="false">INDEX(Parametros!$C$48:$C$67,MATCH(TRIM(INDEX(Datos_Origen!$F$2:$F$2459,$Z1997)),Parametros!$B$48:$B$67,0))</f>
        <v>Audio</v>
      </c>
      <c r="L1997" s="61" t="str">
        <f aca="false">$K1997&amp;" "&amp;$C1997</f>
        <v>Audio 2025</v>
      </c>
      <c r="M1997" s="61" t="str">
        <f aca="false">TRIM(INDEX(Datos_Origen!$G$2:$G$2459,$Z1997))</f>
        <v>Parlante Bluetooth</v>
      </c>
      <c r="N1997" s="61" t="str">
        <f aca="false">$M1997&amp;" "&amp;$C1997</f>
        <v>Parlante Bluetooth 2025</v>
      </c>
      <c r="O1997" s="63" t="n">
        <f aca="false">IF(ISTEXT($AC1997),VALUE($AC1997),$AC1997)</f>
        <v>10</v>
      </c>
      <c r="P1997" s="64" t="n">
        <f aca="false">INDEX(Datos_Origen!$I$2:$I$2459,$Z1997)</f>
        <v>85.34</v>
      </c>
      <c r="Q1997" s="64" t="n">
        <f aca="false">INDEX(Datos_Origen!$J$2:$J$2459,$Z1997)</f>
        <v>49.47</v>
      </c>
      <c r="R1997" s="65" t="n">
        <f aca="false">ROUND($O1997*$P1997,2)</f>
        <v>853.4</v>
      </c>
      <c r="S1997" s="65" t="n">
        <f aca="false">ROUND($O1997*$Q1997,2)</f>
        <v>494.7</v>
      </c>
      <c r="T1997" s="65" t="n">
        <f aca="false">ROUND($R1997*SUMIFS(Parametros!$E$28:$E$43,Parametros!$B$28:$B$43,$J1997,Parametros!$C$28:$C$43,$C1997,Parametros!$D$28:$D$43,$D1997),2)</f>
        <v>47.79</v>
      </c>
      <c r="U1997" s="65" t="n">
        <f aca="false">$R1997-$S1997-$T1997</f>
        <v>310.91</v>
      </c>
      <c r="V1997" s="66" t="n">
        <f aca="false">IFERROR($U1997/$R1997,0)</f>
        <v>0.364319193812983</v>
      </c>
      <c r="W1997" s="67" t="str">
        <f aca="false">IF(AND($V1997&gt;=Parametros!$C$8,$R1997&gt;=Parametros!$C$12),"Alta rentabilidad",IF(OR($V1997&lt;Parametros!$C$11,$R1997&lt;Parametros!$C$13),"Revisar","Estandar"))</f>
        <v>Estandar</v>
      </c>
      <c r="X1997" s="67" t="str">
        <f aca="false">IF(AND($J1997="E-commerce",IFERROR($T1997/$R1997,0)&gt;Parametros!$C$14),"Alerta","OK")</f>
        <v>Alerta</v>
      </c>
      <c r="Y1997" s="61" t="str">
        <f aca="false">IF($R1997&gt;=Parametros!$C$12,"Alto",IF($R1997&lt;Parametros!$C$13,"Bajo","Medio"))</f>
        <v>Medio</v>
      </c>
      <c r="Z1997" s="61" t="n">
        <v>2370</v>
      </c>
      <c r="AA1997" s="61" t="str">
        <f aca="false">IF(MATCH($A1997,Datos_Origen!$A$2:$A$2459,0)=$Z1997,"OK","REVISAR")</f>
        <v>OK</v>
      </c>
      <c r="AB1997" s="62" t="n">
        <f aca="false">INDEX(Datos_Origen!$B$2:$B$2459,$Z1997)</f>
        <v>45883</v>
      </c>
      <c r="AC1997" s="61" t="n">
        <f aca="false">INDEX(Datos_Origen!$H$2:$H$2459,$Z1997)</f>
        <v>10</v>
      </c>
      <c r="AD1997" s="61" t="str">
        <f aca="false">INDEX(Datos_Origen!$D$2:$D$2459,$Z1997)&amp;""</f>
        <v>Tucuman</v>
      </c>
    </row>
    <row r="1998" customFormat="false" ht="15" hidden="false" customHeight="false" outlineLevel="0" collapsed="false">
      <c r="A1998" s="61" t="n">
        <f aca="false">INDEX(Datos_Origen!$A$2:$A$2459,$Z1998)</f>
        <v>1997</v>
      </c>
      <c r="B1998" s="62" t="n">
        <f aca="false">IF(ISNUMBER($AB1998),$AB1998,IF(MID($AB1998,5,1)="-",DATE(VALUE(LEFT($AB1998,4)),VALUE(MID($AB1998,6,2)),VALUE(RIGHT($AB1998,2))),DATE(VALUE(RIGHT($AB1998,4)),VALUE(MID($AB1998,4,2)),VALUE(LEFT($AB1998,2)))))</f>
        <v>45890</v>
      </c>
      <c r="C1998" s="61" t="n">
        <f aca="false">YEAR($B1998)</f>
        <v>2025</v>
      </c>
      <c r="D1998" s="61" t="str">
        <f aca="false">"Q"&amp;ROUNDUP(MONTH($B1998)/3,0)</f>
        <v>Q3</v>
      </c>
      <c r="E1998" s="61" t="n">
        <f aca="false">MONTH($B1998)</f>
        <v>8</v>
      </c>
      <c r="F1998" s="61" t="str">
        <f aca="false">INDEX(Parametros!$I$5:$I$16,$E1998)</f>
        <v>Ago</v>
      </c>
      <c r="G1998" s="61" t="str">
        <f aca="false">TEXT($C1998,"0000")&amp;"-"&amp;TEXT($E1998,"00")</f>
        <v>2025-08</v>
      </c>
      <c r="H1998" s="61" t="str">
        <f aca="false">INDEX(Parametros!$C$71:$C$91,MATCH(TRIM(INDEX(Datos_Origen!$C$2:$C$2459,$Z1998)),Parametros!$B$71:$B$91,0))</f>
        <v>NOA</v>
      </c>
      <c r="I1998" s="61" t="str">
        <f aca="false">IF(TRIM($AD1998)="",INDEX(Parametros!$I$20:$I$24,MATCH($H1998,Parametros!$H$20:$H$24,0)),TRIM($AD1998))</f>
        <v>Tucuman</v>
      </c>
      <c r="J1998" s="61" t="str">
        <f aca="false">INDEX(Parametros!$C$95:$C$106,MATCH(TRIM(INDEX(Datos_Origen!$E$2:$E$2459,$Z1998)),Parametros!$B$95:$B$106,0))</f>
        <v>Tienda fisica</v>
      </c>
      <c r="K1998" s="61" t="str">
        <f aca="false">INDEX(Parametros!$C$48:$C$67,MATCH(TRIM(INDEX(Datos_Origen!$F$2:$F$2459,$Z1998)),Parametros!$B$48:$B$67,0))</f>
        <v>Almacenamiento</v>
      </c>
      <c r="L1998" s="61" t="str">
        <f aca="false">$K1998&amp;" "&amp;$C1998</f>
        <v>Almacenamiento 2025</v>
      </c>
      <c r="M1998" s="61" t="str">
        <f aca="false">TRIM(INDEX(Datos_Origen!$G$2:$G$2459,$Z1998))</f>
        <v>SSD Externo 1TB</v>
      </c>
      <c r="N1998" s="61" t="str">
        <f aca="false">$M1998&amp;" "&amp;$C1998</f>
        <v>SSD Externo 1TB 2025</v>
      </c>
      <c r="O1998" s="63" t="n">
        <f aca="false">IF(ISTEXT($AC1998),VALUE($AC1998),$AC1998)</f>
        <v>17</v>
      </c>
      <c r="P1998" s="64" t="n">
        <f aca="false">INDEX(Datos_Origen!$I$2:$I$2459,$Z1998)</f>
        <v>130.51</v>
      </c>
      <c r="Q1998" s="64" t="n">
        <f aca="false">INDEX(Datos_Origen!$J$2:$J$2459,$Z1998)</f>
        <v>78.33</v>
      </c>
      <c r="R1998" s="65" t="n">
        <f aca="false">ROUND($O1998*$P1998,2)</f>
        <v>2218.67</v>
      </c>
      <c r="S1998" s="65" t="n">
        <f aca="false">ROUND($O1998*$Q1998,2)</f>
        <v>1331.61</v>
      </c>
      <c r="T1998" s="65" t="n">
        <f aca="false">ROUND($R1998*SUMIFS(Parametros!$E$28:$E$43,Parametros!$B$28:$B$43,$J1998,Parametros!$C$28:$C$43,$C1998,Parametros!$D$28:$D$43,$D1998),2)</f>
        <v>28.84</v>
      </c>
      <c r="U1998" s="65" t="n">
        <f aca="false">$R1998-$S1998-$T1998</f>
        <v>858.22</v>
      </c>
      <c r="V1998" s="66" t="n">
        <f aca="false">IFERROR($U1998/$R1998,0)</f>
        <v>0.386817327498006</v>
      </c>
      <c r="W1998" s="67" t="str">
        <f aca="false">IF(AND($V1998&gt;=Parametros!$C$8,$R1998&gt;=Parametros!$C$12),"Alta rentabilidad",IF(OR($V1998&lt;Parametros!$C$11,$R1998&lt;Parametros!$C$13),"Revisar","Estandar"))</f>
        <v>Estandar</v>
      </c>
      <c r="X1998" s="67" t="str">
        <f aca="false">IF(AND($J1998="E-commerce",IFERROR($T1998/$R1998,0)&gt;Parametros!$C$14),"Alerta","OK")</f>
        <v>OK</v>
      </c>
      <c r="Y1998" s="61" t="str">
        <f aca="false">IF($R1998&gt;=Parametros!$C$12,"Alto",IF($R1998&lt;Parametros!$C$13,"Bajo","Medio"))</f>
        <v>Medio</v>
      </c>
      <c r="Z1998" s="61" t="n">
        <v>2074</v>
      </c>
      <c r="AA1998" s="61" t="str">
        <f aca="false">IF(MATCH($A1998,Datos_Origen!$A$2:$A$2459,0)=$Z1998,"OK","REVISAR")</f>
        <v>OK</v>
      </c>
      <c r="AB1998" s="61" t="str">
        <f aca="false">INDEX(Datos_Origen!$B$2:$B$2459,$Z1998)</f>
        <v>2025-08-21</v>
      </c>
      <c r="AC1998" s="61" t="n">
        <f aca="false">INDEX(Datos_Origen!$H$2:$H$2459,$Z1998)</f>
        <v>17</v>
      </c>
      <c r="AD1998" s="61" t="str">
        <f aca="false">INDEX(Datos_Origen!$D$2:$D$2459,$Z1998)&amp;""</f>
        <v>Tucuman</v>
      </c>
    </row>
    <row r="1999" customFormat="false" ht="15" hidden="false" customHeight="false" outlineLevel="0" collapsed="false">
      <c r="A1999" s="61" t="n">
        <f aca="false">INDEX(Datos_Origen!$A$2:$A$2459,$Z1999)</f>
        <v>1998</v>
      </c>
      <c r="B1999" s="62" t="n">
        <f aca="false">IF(ISNUMBER($AB1999),$AB1999,IF(MID($AB1999,5,1)="-",DATE(VALUE(LEFT($AB1999,4)),VALUE(MID($AB1999,6,2)),VALUE(RIGHT($AB1999,2))),DATE(VALUE(RIGHT($AB1999,4)),VALUE(MID($AB1999,4,2)),VALUE(LEFT($AB1999,2)))))</f>
        <v>45870</v>
      </c>
      <c r="C1999" s="61" t="n">
        <f aca="false">YEAR($B1999)</f>
        <v>2025</v>
      </c>
      <c r="D1999" s="61" t="str">
        <f aca="false">"Q"&amp;ROUNDUP(MONTH($B1999)/3,0)</f>
        <v>Q3</v>
      </c>
      <c r="E1999" s="61" t="n">
        <f aca="false">MONTH($B1999)</f>
        <v>8</v>
      </c>
      <c r="F1999" s="61" t="str">
        <f aca="false">INDEX(Parametros!$I$5:$I$16,$E1999)</f>
        <v>Ago</v>
      </c>
      <c r="G1999" s="61" t="str">
        <f aca="false">TEXT($C1999,"0000")&amp;"-"&amp;TEXT($E1999,"00")</f>
        <v>2025-08</v>
      </c>
      <c r="H1999" s="61" t="str">
        <f aca="false">INDEX(Parametros!$C$71:$C$91,MATCH(TRIM(INDEX(Datos_Origen!$C$2:$C$2459,$Z1999)),Parametros!$B$71:$B$91,0))</f>
        <v>NOA</v>
      </c>
      <c r="I1999" s="61" t="str">
        <f aca="false">IF(TRIM($AD1999)="",INDEX(Parametros!$I$20:$I$24,MATCH($H1999,Parametros!$H$20:$H$24,0)),TRIM($AD1999))</f>
        <v>Tucuman</v>
      </c>
      <c r="J1999" s="61" t="str">
        <f aca="false">INDEX(Parametros!$C$95:$C$106,MATCH(TRIM(INDEX(Datos_Origen!$E$2:$E$2459,$Z1999)),Parametros!$B$95:$B$106,0))</f>
        <v>E-commerce</v>
      </c>
      <c r="K1999" s="61" t="str">
        <f aca="false">INDEX(Parametros!$C$48:$C$67,MATCH(TRIM(INDEX(Datos_Origen!$F$2:$F$2459,$Z1999)),Parametros!$B$48:$B$67,0))</f>
        <v>Almacenamiento</v>
      </c>
      <c r="L1999" s="61" t="str">
        <f aca="false">$K1999&amp;" "&amp;$C1999</f>
        <v>Almacenamiento 2025</v>
      </c>
      <c r="M1999" s="61" t="str">
        <f aca="false">TRIM(INDEX(Datos_Origen!$G$2:$G$2459,$Z1999))</f>
        <v>SSD Externo 1TB</v>
      </c>
      <c r="N1999" s="61" t="str">
        <f aca="false">$M1999&amp;" "&amp;$C1999</f>
        <v>SSD Externo 1TB 2025</v>
      </c>
      <c r="O1999" s="63" t="n">
        <f aca="false">IF(ISTEXT($AC1999),VALUE($AC1999),$AC1999)</f>
        <v>10</v>
      </c>
      <c r="P1999" s="64" t="n">
        <f aca="false">INDEX(Datos_Origen!$I$2:$I$2459,$Z1999)</f>
        <v>130.51</v>
      </c>
      <c r="Q1999" s="64" t="n">
        <f aca="false">INDEX(Datos_Origen!$J$2:$J$2459,$Z1999)</f>
        <v>78.33</v>
      </c>
      <c r="R1999" s="65" t="n">
        <f aca="false">ROUND($O1999*$P1999,2)</f>
        <v>1305.1</v>
      </c>
      <c r="S1999" s="65" t="n">
        <f aca="false">ROUND($O1999*$Q1999,2)</f>
        <v>783.3</v>
      </c>
      <c r="T1999" s="65" t="n">
        <f aca="false">ROUND($R1999*SUMIFS(Parametros!$E$28:$E$43,Parametros!$B$28:$B$43,$J1999,Parametros!$C$28:$C$43,$C1999,Parametros!$D$28:$D$43,$D1999),2)</f>
        <v>73.09</v>
      </c>
      <c r="U1999" s="65" t="n">
        <f aca="false">$R1999-$S1999-$T1999</f>
        <v>448.71</v>
      </c>
      <c r="V1999" s="66" t="n">
        <f aca="false">IFERROR($U1999/$R1999,0)</f>
        <v>0.343812734656348</v>
      </c>
      <c r="W1999" s="67" t="str">
        <f aca="false">IF(AND($V1999&gt;=Parametros!$C$8,$R1999&gt;=Parametros!$C$12),"Alta rentabilidad",IF(OR($V1999&lt;Parametros!$C$11,$R1999&lt;Parametros!$C$13),"Revisar","Estandar"))</f>
        <v>Estandar</v>
      </c>
      <c r="X1999" s="67" t="str">
        <f aca="false">IF(AND($J1999="E-commerce",IFERROR($T1999/$R1999,0)&gt;Parametros!$C$14),"Alerta","OK")</f>
        <v>Alerta</v>
      </c>
      <c r="Y1999" s="61" t="str">
        <f aca="false">IF($R1999&gt;=Parametros!$C$12,"Alto",IF($R1999&lt;Parametros!$C$13,"Bajo","Medio"))</f>
        <v>Medio</v>
      </c>
      <c r="Z1999" s="61" t="n">
        <v>1473</v>
      </c>
      <c r="AA1999" s="61" t="str">
        <f aca="false">IF(MATCH($A1999,Datos_Origen!$A$2:$A$2459,0)=$Z1999,"OK","REVISAR")</f>
        <v>OK</v>
      </c>
      <c r="AB1999" s="62" t="n">
        <f aca="false">INDEX(Datos_Origen!$B$2:$B$2459,$Z1999)</f>
        <v>45870</v>
      </c>
      <c r="AC1999" s="61" t="n">
        <f aca="false">INDEX(Datos_Origen!$H$2:$H$2459,$Z1999)</f>
        <v>10</v>
      </c>
      <c r="AD1999" s="61" t="str">
        <f aca="false">INDEX(Datos_Origen!$D$2:$D$2459,$Z1999)&amp;""</f>
        <v>Tucuman</v>
      </c>
    </row>
    <row r="2000" customFormat="false" ht="15" hidden="false" customHeight="false" outlineLevel="0" collapsed="false">
      <c r="A2000" s="61" t="n">
        <f aca="false">INDEX(Datos_Origen!$A$2:$A$2459,$Z2000)</f>
        <v>1999</v>
      </c>
      <c r="B2000" s="62" t="n">
        <f aca="false">IF(ISNUMBER($AB2000),$AB2000,IF(MID($AB2000,5,1)="-",DATE(VALUE(LEFT($AB2000,4)),VALUE(MID($AB2000,6,2)),VALUE(RIGHT($AB2000,2))),DATE(VALUE(RIGHT($AB2000,4)),VALUE(MID($AB2000,4,2)),VALUE(LEFT($AB2000,2)))))</f>
        <v>45877</v>
      </c>
      <c r="C2000" s="61" t="n">
        <f aca="false">YEAR($B2000)</f>
        <v>2025</v>
      </c>
      <c r="D2000" s="61" t="str">
        <f aca="false">"Q"&amp;ROUNDUP(MONTH($B2000)/3,0)</f>
        <v>Q3</v>
      </c>
      <c r="E2000" s="61" t="n">
        <f aca="false">MONTH($B2000)</f>
        <v>8</v>
      </c>
      <c r="F2000" s="61" t="str">
        <f aca="false">INDEX(Parametros!$I$5:$I$16,$E2000)</f>
        <v>Ago</v>
      </c>
      <c r="G2000" s="61" t="str">
        <f aca="false">TEXT($C2000,"0000")&amp;"-"&amp;TEXT($E2000,"00")</f>
        <v>2025-08</v>
      </c>
      <c r="H2000" s="61" t="str">
        <f aca="false">INDEX(Parametros!$C$71:$C$91,MATCH(TRIM(INDEX(Datos_Origen!$C$2:$C$2459,$Z2000)),Parametros!$B$71:$B$91,0))</f>
        <v>NOA</v>
      </c>
      <c r="I2000" s="61" t="str">
        <f aca="false">IF(TRIM($AD2000)="",INDEX(Parametros!$I$20:$I$24,MATCH($H2000,Parametros!$H$20:$H$24,0)),TRIM($AD2000))</f>
        <v>Tucuman</v>
      </c>
      <c r="J2000" s="61" t="str">
        <f aca="false">INDEX(Parametros!$C$95:$C$106,MATCH(TRIM(INDEX(Datos_Origen!$E$2:$E$2459,$Z2000)),Parametros!$B$95:$B$106,0))</f>
        <v>Tienda fisica</v>
      </c>
      <c r="K2000" s="61" t="str">
        <f aca="false">INDEX(Parametros!$C$48:$C$67,MATCH(TRIM(INDEX(Datos_Origen!$F$2:$F$2459,$Z2000)),Parametros!$B$48:$B$67,0))</f>
        <v>Almacenamiento</v>
      </c>
      <c r="L2000" s="61" t="str">
        <f aca="false">$K2000&amp;" "&amp;$C2000</f>
        <v>Almacenamiento 2025</v>
      </c>
      <c r="M2000" s="61" t="str">
        <f aca="false">TRIM(INDEX(Datos_Origen!$G$2:$G$2459,$Z2000))</f>
        <v>Pendrive 256GB</v>
      </c>
      <c r="N2000" s="61" t="str">
        <f aca="false">$M2000&amp;" "&amp;$C2000</f>
        <v>Pendrive 256GB 2025</v>
      </c>
      <c r="O2000" s="63" t="n">
        <f aca="false">IF(ISTEXT($AC2000),VALUE($AC2000),$AC2000)</f>
        <v>15</v>
      </c>
      <c r="P2000" s="64" t="n">
        <f aca="false">INDEX(Datos_Origen!$I$2:$I$2459,$Z2000)</f>
        <v>35.14</v>
      </c>
      <c r="Q2000" s="64" t="n">
        <f aca="false">INDEX(Datos_Origen!$J$2:$J$2459,$Z2000)</f>
        <v>18.39</v>
      </c>
      <c r="R2000" s="65" t="n">
        <f aca="false">ROUND($O2000*$P2000,2)</f>
        <v>527.1</v>
      </c>
      <c r="S2000" s="65" t="n">
        <f aca="false">ROUND($O2000*$Q2000,2)</f>
        <v>275.85</v>
      </c>
      <c r="T2000" s="65" t="n">
        <f aca="false">ROUND($R2000*SUMIFS(Parametros!$E$28:$E$43,Parametros!$B$28:$B$43,$J2000,Parametros!$C$28:$C$43,$C2000,Parametros!$D$28:$D$43,$D2000),2)</f>
        <v>6.85</v>
      </c>
      <c r="U2000" s="65" t="n">
        <f aca="false">$R2000-$S2000-$T2000</f>
        <v>244.4</v>
      </c>
      <c r="V2000" s="66" t="n">
        <f aca="false">IFERROR($U2000/$R2000,0)</f>
        <v>0.463669132991842</v>
      </c>
      <c r="W2000" s="67" t="str">
        <f aca="false">IF(AND($V2000&gt;=Parametros!$C$8,$R2000&gt;=Parametros!$C$12),"Alta rentabilidad",IF(OR($V2000&lt;Parametros!$C$11,$R2000&lt;Parametros!$C$13),"Revisar","Estandar"))</f>
        <v>Estandar</v>
      </c>
      <c r="X2000" s="67" t="str">
        <f aca="false">IF(AND($J2000="E-commerce",IFERROR($T2000/$R2000,0)&gt;Parametros!$C$14),"Alerta","OK")</f>
        <v>OK</v>
      </c>
      <c r="Y2000" s="61" t="str">
        <f aca="false">IF($R2000&gt;=Parametros!$C$12,"Alto",IF($R2000&lt;Parametros!$C$13,"Bajo","Medio"))</f>
        <v>Medio</v>
      </c>
      <c r="Z2000" s="61" t="n">
        <v>1247</v>
      </c>
      <c r="AA2000" s="61" t="str">
        <f aca="false">IF(MATCH($A2000,Datos_Origen!$A$2:$A$2459,0)=$Z2000,"OK","REVISAR")</f>
        <v>OK</v>
      </c>
      <c r="AB2000" s="62" t="n">
        <f aca="false">INDEX(Datos_Origen!$B$2:$B$2459,$Z2000)</f>
        <v>45877</v>
      </c>
      <c r="AC2000" s="61" t="n">
        <f aca="false">INDEX(Datos_Origen!$H$2:$H$2459,$Z2000)</f>
        <v>15</v>
      </c>
      <c r="AD2000" s="61" t="str">
        <f aca="false">INDEX(Datos_Origen!$D$2:$D$2459,$Z2000)&amp;""</f>
        <v>Tucuman</v>
      </c>
    </row>
    <row r="2001" customFormat="false" ht="15" hidden="false" customHeight="false" outlineLevel="0" collapsed="false">
      <c r="A2001" s="61" t="n">
        <f aca="false">INDEX(Datos_Origen!$A$2:$A$2459,$Z2001)</f>
        <v>2000</v>
      </c>
      <c r="B2001" s="62" t="n">
        <f aca="false">IF(ISNUMBER($AB2001),$AB2001,IF(MID($AB2001,5,1)="-",DATE(VALUE(LEFT($AB2001,4)),VALUE(MID($AB2001,6,2)),VALUE(RIGHT($AB2001,2))),DATE(VALUE(RIGHT($AB2001,4)),VALUE(MID($AB2001,4,2)),VALUE(LEFT($AB2001,2)))))</f>
        <v>45884</v>
      </c>
      <c r="C2001" s="61" t="n">
        <f aca="false">YEAR($B2001)</f>
        <v>2025</v>
      </c>
      <c r="D2001" s="61" t="str">
        <f aca="false">"Q"&amp;ROUNDUP(MONTH($B2001)/3,0)</f>
        <v>Q3</v>
      </c>
      <c r="E2001" s="61" t="n">
        <f aca="false">MONTH($B2001)</f>
        <v>8</v>
      </c>
      <c r="F2001" s="61" t="str">
        <f aca="false">INDEX(Parametros!$I$5:$I$16,$E2001)</f>
        <v>Ago</v>
      </c>
      <c r="G2001" s="61" t="str">
        <f aca="false">TEXT($C2001,"0000")&amp;"-"&amp;TEXT($E2001,"00")</f>
        <v>2025-08</v>
      </c>
      <c r="H2001" s="61" t="str">
        <f aca="false">INDEX(Parametros!$C$71:$C$91,MATCH(TRIM(INDEX(Datos_Origen!$C$2:$C$2459,$Z2001)),Parametros!$B$71:$B$91,0))</f>
        <v>NOA</v>
      </c>
      <c r="I2001" s="61" t="str">
        <f aca="false">IF(TRIM($AD2001)="",INDEX(Parametros!$I$20:$I$24,MATCH($H2001,Parametros!$H$20:$H$24,0)),TRIM($AD2001))</f>
        <v>Tucuman</v>
      </c>
      <c r="J2001" s="61" t="str">
        <f aca="false">INDEX(Parametros!$C$95:$C$106,MATCH(TRIM(INDEX(Datos_Origen!$E$2:$E$2459,$Z2001)),Parametros!$B$95:$B$106,0))</f>
        <v>E-commerce</v>
      </c>
      <c r="K2001" s="61" t="str">
        <f aca="false">INDEX(Parametros!$C$48:$C$67,MATCH(TRIM(INDEX(Datos_Origen!$F$2:$F$2459,$Z2001)),Parametros!$B$48:$B$67,0))</f>
        <v>Almacenamiento</v>
      </c>
      <c r="L2001" s="61" t="str">
        <f aca="false">$K2001&amp;" "&amp;$C2001</f>
        <v>Almacenamiento 2025</v>
      </c>
      <c r="M2001" s="61" t="str">
        <f aca="false">TRIM(INDEX(Datos_Origen!$G$2:$G$2459,$Z2001))</f>
        <v>Pendrive 256GB</v>
      </c>
      <c r="N2001" s="61" t="str">
        <f aca="false">$M2001&amp;" "&amp;$C2001</f>
        <v>Pendrive 256GB 2025</v>
      </c>
      <c r="O2001" s="63" t="n">
        <f aca="false">IF(ISTEXT($AC2001),VALUE($AC2001),$AC2001)</f>
        <v>13</v>
      </c>
      <c r="P2001" s="64" t="n">
        <f aca="false">INDEX(Datos_Origen!$I$2:$I$2459,$Z2001)</f>
        <v>35.14</v>
      </c>
      <c r="Q2001" s="64" t="n">
        <f aca="false">INDEX(Datos_Origen!$J$2:$J$2459,$Z2001)</f>
        <v>18.39</v>
      </c>
      <c r="R2001" s="65" t="n">
        <f aca="false">ROUND($O2001*$P2001,2)</f>
        <v>456.82</v>
      </c>
      <c r="S2001" s="65" t="n">
        <f aca="false">ROUND($O2001*$Q2001,2)</f>
        <v>239.07</v>
      </c>
      <c r="T2001" s="65" t="n">
        <f aca="false">ROUND($R2001*SUMIFS(Parametros!$E$28:$E$43,Parametros!$B$28:$B$43,$J2001,Parametros!$C$28:$C$43,$C2001,Parametros!$D$28:$D$43,$D2001),2)</f>
        <v>25.58</v>
      </c>
      <c r="U2001" s="65" t="n">
        <f aca="false">$R2001-$S2001-$T2001</f>
        <v>192.17</v>
      </c>
      <c r="V2001" s="66" t="n">
        <f aca="false">IFERROR($U2001/$R2001,0)</f>
        <v>0.420668972461801</v>
      </c>
      <c r="W2001" s="67" t="str">
        <f aca="false">IF(AND($V2001&gt;=Parametros!$C$8,$R2001&gt;=Parametros!$C$12),"Alta rentabilidad",IF(OR($V2001&lt;Parametros!$C$11,$R2001&lt;Parametros!$C$13),"Revisar","Estandar"))</f>
        <v>Estandar</v>
      </c>
      <c r="X2001" s="67" t="str">
        <f aca="false">IF(AND($J2001="E-commerce",IFERROR($T2001/$R2001,0)&gt;Parametros!$C$14),"Alerta","OK")</f>
        <v>Alerta</v>
      </c>
      <c r="Y2001" s="61" t="str">
        <f aca="false">IF($R2001&gt;=Parametros!$C$12,"Alto",IF($R2001&lt;Parametros!$C$13,"Bajo","Medio"))</f>
        <v>Medio</v>
      </c>
      <c r="Z2001" s="61" t="n">
        <v>932</v>
      </c>
      <c r="AA2001" s="61" t="str">
        <f aca="false">IF(MATCH($A2001,Datos_Origen!$A$2:$A$2459,0)=$Z2001,"OK","REVISAR")</f>
        <v>OK</v>
      </c>
      <c r="AB2001" s="61" t="str">
        <f aca="false">INDEX(Datos_Origen!$B$2:$B$2459,$Z2001)</f>
        <v>15/08/2025</v>
      </c>
      <c r="AC2001" s="61" t="n">
        <f aca="false">INDEX(Datos_Origen!$H$2:$H$2459,$Z2001)</f>
        <v>13</v>
      </c>
      <c r="AD2001" s="61" t="str">
        <f aca="false">INDEX(Datos_Origen!$D$2:$D$2459,$Z2001)&amp;""</f>
        <v>Tucuman</v>
      </c>
    </row>
    <row r="2002" customFormat="false" ht="15" hidden="false" customHeight="false" outlineLevel="0" collapsed="false">
      <c r="A2002" s="61" t="n">
        <f aca="false">INDEX(Datos_Origen!$A$2:$A$2459,$Z2002)</f>
        <v>2001</v>
      </c>
      <c r="B2002" s="62" t="n">
        <f aca="false">IF(ISNUMBER($AB2002),$AB2002,IF(MID($AB2002,5,1)="-",DATE(VALUE(LEFT($AB2002,4)),VALUE(MID($AB2002,6,2)),VALUE(RIGHT($AB2002,2))),DATE(VALUE(RIGHT($AB2002,4)),VALUE(MID($AB2002,4,2)),VALUE(LEFT($AB2002,2)))))</f>
        <v>45922</v>
      </c>
      <c r="C2002" s="61" t="n">
        <f aca="false">YEAR($B2002)</f>
        <v>2025</v>
      </c>
      <c r="D2002" s="61" t="str">
        <f aca="false">"Q"&amp;ROUNDUP(MONTH($B2002)/3,0)</f>
        <v>Q3</v>
      </c>
      <c r="E2002" s="61" t="n">
        <f aca="false">MONTH($B2002)</f>
        <v>9</v>
      </c>
      <c r="F2002" s="61" t="str">
        <f aca="false">INDEX(Parametros!$I$5:$I$16,$E2002)</f>
        <v>Sep</v>
      </c>
      <c r="G2002" s="61" t="str">
        <f aca="false">TEXT($C2002,"0000")&amp;"-"&amp;TEXT($E2002,"00")</f>
        <v>2025-09</v>
      </c>
      <c r="H2002" s="61" t="str">
        <f aca="false">INDEX(Parametros!$C$71:$C$91,MATCH(TRIM(INDEX(Datos_Origen!$C$2:$C$2459,$Z2002)),Parametros!$B$71:$B$91,0))</f>
        <v>AMBA</v>
      </c>
      <c r="I2002" s="61" t="str">
        <f aca="false">IF(TRIM($AD2002)="",INDEX(Parametros!$I$20:$I$24,MATCH($H2002,Parametros!$H$20:$H$24,0)),TRIM($AD2002))</f>
        <v>Buenos Aires</v>
      </c>
      <c r="J2002" s="61" t="str">
        <f aca="false">INDEX(Parametros!$C$95:$C$106,MATCH(TRIM(INDEX(Datos_Origen!$E$2:$E$2459,$Z2002)),Parametros!$B$95:$B$106,0))</f>
        <v>Tienda fisica</v>
      </c>
      <c r="K2002" s="61" t="str">
        <f aca="false">INDEX(Parametros!$C$48:$C$67,MATCH(TRIM(INDEX(Datos_Origen!$F$2:$F$2459,$Z2002)),Parametros!$B$48:$B$67,0))</f>
        <v>Computacion</v>
      </c>
      <c r="L2002" s="61" t="str">
        <f aca="false">$K2002&amp;" "&amp;$C2002</f>
        <v>Computacion 2025</v>
      </c>
      <c r="M2002" s="61" t="str">
        <f aca="false">TRIM(INDEX(Datos_Origen!$G$2:$G$2459,$Z2002))</f>
        <v>Laptop Pro 15</v>
      </c>
      <c r="N2002" s="61" t="str">
        <f aca="false">$M2002&amp;" "&amp;$C2002</f>
        <v>Laptop Pro 15 2025</v>
      </c>
      <c r="O2002" s="63" t="n">
        <f aca="false">IF(ISTEXT($AC2002),VALUE($AC2002),$AC2002)</f>
        <v>18</v>
      </c>
      <c r="P2002" s="64" t="n">
        <f aca="false">INDEX(Datos_Origen!$I$2:$I$2459,$Z2002)</f>
        <v>1204.74</v>
      </c>
      <c r="Q2002" s="64" t="n">
        <f aca="false">INDEX(Datos_Origen!$J$2:$J$2459,$Z2002)</f>
        <v>766.32</v>
      </c>
      <c r="R2002" s="65" t="n">
        <f aca="false">ROUND($O2002*$P2002,2)</f>
        <v>21685.32</v>
      </c>
      <c r="S2002" s="65" t="n">
        <f aca="false">ROUND($O2002*$Q2002,2)</f>
        <v>13793.76</v>
      </c>
      <c r="T2002" s="65" t="n">
        <f aca="false">ROUND($R2002*SUMIFS(Parametros!$E$28:$E$43,Parametros!$B$28:$B$43,$J2002,Parametros!$C$28:$C$43,$C2002,Parametros!$D$28:$D$43,$D2002),2)</f>
        <v>281.91</v>
      </c>
      <c r="U2002" s="65" t="n">
        <f aca="false">$R2002-$S2002-$T2002</f>
        <v>7609.65</v>
      </c>
      <c r="V2002" s="66" t="n">
        <f aca="false">IFERROR($U2002/$R2002,0)</f>
        <v>0.350912506709608</v>
      </c>
      <c r="W2002" s="67" t="str">
        <f aca="false">IF(AND($V2002&gt;=Parametros!$C$8,$R2002&gt;=Parametros!$C$12),"Alta rentabilidad",IF(OR($V2002&lt;Parametros!$C$11,$R2002&lt;Parametros!$C$13),"Revisar","Estandar"))</f>
        <v>Alta rentabilidad</v>
      </c>
      <c r="X2002" s="67" t="str">
        <f aca="false">IF(AND($J2002="E-commerce",IFERROR($T2002/$R2002,0)&gt;Parametros!$C$14),"Alerta","OK")</f>
        <v>OK</v>
      </c>
      <c r="Y2002" s="61" t="str">
        <f aca="false">IF($R2002&gt;=Parametros!$C$12,"Alto",IF($R2002&lt;Parametros!$C$13,"Bajo","Medio"))</f>
        <v>Alto</v>
      </c>
      <c r="Z2002" s="61" t="n">
        <v>1739</v>
      </c>
      <c r="AA2002" s="61" t="str">
        <f aca="false">IF(MATCH($A2002,Datos_Origen!$A$2:$A$2459,0)=$Z2002,"OK","REVISAR")</f>
        <v>OK</v>
      </c>
      <c r="AB2002" s="62" t="n">
        <f aca="false">INDEX(Datos_Origen!$B$2:$B$2459,$Z2002)</f>
        <v>45922</v>
      </c>
      <c r="AC2002" s="61" t="n">
        <f aca="false">INDEX(Datos_Origen!$H$2:$H$2459,$Z2002)</f>
        <v>18</v>
      </c>
      <c r="AD2002" s="61" t="str">
        <f aca="false">INDEX(Datos_Origen!$D$2:$D$2459,$Z2002)&amp;""</f>
        <v>Buenos Aires</v>
      </c>
    </row>
    <row r="2003" customFormat="false" ht="15" hidden="false" customHeight="false" outlineLevel="0" collapsed="false">
      <c r="A2003" s="61" t="n">
        <f aca="false">INDEX(Datos_Origen!$A$2:$A$2459,$Z2003)</f>
        <v>2002</v>
      </c>
      <c r="B2003" s="62" t="n">
        <f aca="false">IF(ISNUMBER($AB2003),$AB2003,IF(MID($AB2003,5,1)="-",DATE(VALUE(LEFT($AB2003,4)),VALUE(MID($AB2003,6,2)),VALUE(RIGHT($AB2003,2))),DATE(VALUE(RIGHT($AB2003,4)),VALUE(MID($AB2003,4,2)),VALUE(LEFT($AB2003,2)))))</f>
        <v>45902</v>
      </c>
      <c r="C2003" s="61" t="n">
        <f aca="false">YEAR($B2003)</f>
        <v>2025</v>
      </c>
      <c r="D2003" s="61" t="str">
        <f aca="false">"Q"&amp;ROUNDUP(MONTH($B2003)/3,0)</f>
        <v>Q3</v>
      </c>
      <c r="E2003" s="61" t="n">
        <f aca="false">MONTH($B2003)</f>
        <v>9</v>
      </c>
      <c r="F2003" s="61" t="str">
        <f aca="false">INDEX(Parametros!$I$5:$I$16,$E2003)</f>
        <v>Sep</v>
      </c>
      <c r="G2003" s="61" t="str">
        <f aca="false">TEXT($C2003,"0000")&amp;"-"&amp;TEXT($E2003,"00")</f>
        <v>2025-09</v>
      </c>
      <c r="H2003" s="61" t="str">
        <f aca="false">INDEX(Parametros!$C$71:$C$91,MATCH(TRIM(INDEX(Datos_Origen!$C$2:$C$2459,$Z2003)),Parametros!$B$71:$B$91,0))</f>
        <v>AMBA</v>
      </c>
      <c r="I2003" s="61" t="str">
        <f aca="false">IF(TRIM($AD2003)="",INDEX(Parametros!$I$20:$I$24,MATCH($H2003,Parametros!$H$20:$H$24,0)),TRIM($AD2003))</f>
        <v>Buenos Aires</v>
      </c>
      <c r="J2003" s="61" t="str">
        <f aca="false">INDEX(Parametros!$C$95:$C$106,MATCH(TRIM(INDEX(Datos_Origen!$E$2:$E$2459,$Z2003)),Parametros!$B$95:$B$106,0))</f>
        <v>E-commerce</v>
      </c>
      <c r="K2003" s="61" t="str">
        <f aca="false">INDEX(Parametros!$C$48:$C$67,MATCH(TRIM(INDEX(Datos_Origen!$F$2:$F$2459,$Z2003)),Parametros!$B$48:$B$67,0))</f>
        <v>Computacion</v>
      </c>
      <c r="L2003" s="61" t="str">
        <f aca="false">$K2003&amp;" "&amp;$C2003</f>
        <v>Computacion 2025</v>
      </c>
      <c r="M2003" s="61" t="str">
        <f aca="false">TRIM(INDEX(Datos_Origen!$G$2:$G$2459,$Z2003))</f>
        <v>Laptop Pro 15</v>
      </c>
      <c r="N2003" s="61" t="str">
        <f aca="false">$M2003&amp;" "&amp;$C2003</f>
        <v>Laptop Pro 15 2025</v>
      </c>
      <c r="O2003" s="63" t="n">
        <f aca="false">IF(ISTEXT($AC2003),VALUE($AC2003),$AC2003)</f>
        <v>13</v>
      </c>
      <c r="P2003" s="64" t="n">
        <f aca="false">INDEX(Datos_Origen!$I$2:$I$2459,$Z2003)</f>
        <v>1204.74</v>
      </c>
      <c r="Q2003" s="64" t="n">
        <f aca="false">INDEX(Datos_Origen!$J$2:$J$2459,$Z2003)</f>
        <v>766.32</v>
      </c>
      <c r="R2003" s="65" t="n">
        <f aca="false">ROUND($O2003*$P2003,2)</f>
        <v>15661.62</v>
      </c>
      <c r="S2003" s="65" t="n">
        <f aca="false">ROUND($O2003*$Q2003,2)</f>
        <v>9962.16</v>
      </c>
      <c r="T2003" s="65" t="n">
        <f aca="false">ROUND($R2003*SUMIFS(Parametros!$E$28:$E$43,Parametros!$B$28:$B$43,$J2003,Parametros!$C$28:$C$43,$C2003,Parametros!$D$28:$D$43,$D2003),2)</f>
        <v>877.05</v>
      </c>
      <c r="U2003" s="65" t="n">
        <f aca="false">$R2003-$S2003-$T2003</f>
        <v>4822.41</v>
      </c>
      <c r="V2003" s="66" t="n">
        <f aca="false">IFERROR($U2003/$R2003,0)</f>
        <v>0.307912591417746</v>
      </c>
      <c r="W2003" s="67" t="str">
        <f aca="false">IF(AND($V2003&gt;=Parametros!$C$8,$R2003&gt;=Parametros!$C$12),"Alta rentabilidad",IF(OR($V2003&lt;Parametros!$C$11,$R2003&lt;Parametros!$C$13),"Revisar","Estandar"))</f>
        <v>Estandar</v>
      </c>
      <c r="X2003" s="67" t="str">
        <f aca="false">IF(AND($J2003="E-commerce",IFERROR($T2003/$R2003,0)&gt;Parametros!$C$14),"Alerta","OK")</f>
        <v>Alerta</v>
      </c>
      <c r="Y2003" s="61" t="str">
        <f aca="false">IF($R2003&gt;=Parametros!$C$12,"Alto",IF($R2003&lt;Parametros!$C$13,"Bajo","Medio"))</f>
        <v>Alto</v>
      </c>
      <c r="Z2003" s="61" t="n">
        <v>1322</v>
      </c>
      <c r="AA2003" s="61" t="str">
        <f aca="false">IF(MATCH($A2003,Datos_Origen!$A$2:$A$2459,0)=$Z2003,"OK","REVISAR")</f>
        <v>OK</v>
      </c>
      <c r="AB2003" s="61" t="str">
        <f aca="false">INDEX(Datos_Origen!$B$2:$B$2459,$Z2003)</f>
        <v>02/09/2025</v>
      </c>
      <c r="AC2003" s="61" t="n">
        <f aca="false">INDEX(Datos_Origen!$H$2:$H$2459,$Z2003)</f>
        <v>13</v>
      </c>
      <c r="AD2003" s="61" t="str">
        <f aca="false">INDEX(Datos_Origen!$D$2:$D$2459,$Z2003)&amp;""</f>
        <v>Buenos Aires</v>
      </c>
    </row>
    <row r="2004" customFormat="false" ht="15" hidden="false" customHeight="false" outlineLevel="0" collapsed="false">
      <c r="A2004" s="61" t="n">
        <f aca="false">INDEX(Datos_Origen!$A$2:$A$2459,$Z2004)</f>
        <v>2003</v>
      </c>
      <c r="B2004" s="62" t="n">
        <f aca="false">IF(ISNUMBER($AB2004),$AB2004,IF(MID($AB2004,5,1)="-",DATE(VALUE(LEFT($AB2004,4)),VALUE(MID($AB2004,6,2)),VALUE(RIGHT($AB2004,2))),DATE(VALUE(RIGHT($AB2004,4)),VALUE(MID($AB2004,4,2)),VALUE(LEFT($AB2004,2)))))</f>
        <v>45909</v>
      </c>
      <c r="C2004" s="61" t="n">
        <f aca="false">YEAR($B2004)</f>
        <v>2025</v>
      </c>
      <c r="D2004" s="61" t="str">
        <f aca="false">"Q"&amp;ROUNDUP(MONTH($B2004)/3,0)</f>
        <v>Q3</v>
      </c>
      <c r="E2004" s="61" t="n">
        <f aca="false">MONTH($B2004)</f>
        <v>9</v>
      </c>
      <c r="F2004" s="61" t="str">
        <f aca="false">INDEX(Parametros!$I$5:$I$16,$E2004)</f>
        <v>Sep</v>
      </c>
      <c r="G2004" s="61" t="str">
        <f aca="false">TEXT($C2004,"0000")&amp;"-"&amp;TEXT($E2004,"00")</f>
        <v>2025-09</v>
      </c>
      <c r="H2004" s="61" t="str">
        <f aca="false">INDEX(Parametros!$C$71:$C$91,MATCH(TRIM(INDEX(Datos_Origen!$C$2:$C$2459,$Z2004)),Parametros!$B$71:$B$91,0))</f>
        <v>AMBA</v>
      </c>
      <c r="I2004" s="61" t="str">
        <f aca="false">IF(TRIM($AD2004)="",INDEX(Parametros!$I$20:$I$24,MATCH($H2004,Parametros!$H$20:$H$24,0)),TRIM($AD2004))</f>
        <v>Buenos Aires</v>
      </c>
      <c r="J2004" s="61" t="str">
        <f aca="false">INDEX(Parametros!$C$95:$C$106,MATCH(TRIM(INDEX(Datos_Origen!$E$2:$E$2459,$Z2004)),Parametros!$B$95:$B$106,0))</f>
        <v>Tienda fisica</v>
      </c>
      <c r="K2004" s="61" t="str">
        <f aca="false">INDEX(Parametros!$C$48:$C$67,MATCH(TRIM(INDEX(Datos_Origen!$F$2:$F$2459,$Z2004)),Parametros!$B$48:$B$67,0))</f>
        <v>Computacion</v>
      </c>
      <c r="L2004" s="61" t="str">
        <f aca="false">$K2004&amp;" "&amp;$C2004</f>
        <v>Computacion 2025</v>
      </c>
      <c r="M2004" s="61" t="str">
        <f aca="false">TRIM(INDEX(Datos_Origen!$G$2:$G$2459,$Z2004))</f>
        <v>Monitor 4K 27</v>
      </c>
      <c r="N2004" s="61" t="str">
        <f aca="false">$M2004&amp;" "&amp;$C2004</f>
        <v>Monitor 4K 27 2025</v>
      </c>
      <c r="O2004" s="63" t="n">
        <f aca="false">IF(ISTEXT($AC2004),VALUE($AC2004),$AC2004)</f>
        <v>17</v>
      </c>
      <c r="P2004" s="64" t="n">
        <f aca="false">INDEX(Datos_Origen!$I$2:$I$2459,$Z2004)</f>
        <v>451.78</v>
      </c>
      <c r="Q2004" s="64" t="n">
        <f aca="false">INDEX(Datos_Origen!$J$2:$J$2459,$Z2004)</f>
        <v>280.42</v>
      </c>
      <c r="R2004" s="65" t="n">
        <f aca="false">ROUND($O2004*$P2004,2)</f>
        <v>7680.26</v>
      </c>
      <c r="S2004" s="65" t="n">
        <f aca="false">ROUND($O2004*$Q2004,2)</f>
        <v>4767.14</v>
      </c>
      <c r="T2004" s="65" t="n">
        <f aca="false">ROUND($R2004*SUMIFS(Parametros!$E$28:$E$43,Parametros!$B$28:$B$43,$J2004,Parametros!$C$28:$C$43,$C2004,Parametros!$D$28:$D$43,$D2004),2)</f>
        <v>99.84</v>
      </c>
      <c r="U2004" s="65" t="n">
        <f aca="false">$R2004-$S2004-$T2004</f>
        <v>2813.28</v>
      </c>
      <c r="V2004" s="66" t="n">
        <f aca="false">IFERROR($U2004/$R2004,0)</f>
        <v>0.366300099215391</v>
      </c>
      <c r="W2004" s="67" t="str">
        <f aca="false">IF(AND($V2004&gt;=Parametros!$C$8,$R2004&gt;=Parametros!$C$12),"Alta rentabilidad",IF(OR($V2004&lt;Parametros!$C$11,$R2004&lt;Parametros!$C$13),"Revisar","Estandar"))</f>
        <v>Alta rentabilidad</v>
      </c>
      <c r="X2004" s="67" t="str">
        <f aca="false">IF(AND($J2004="E-commerce",IFERROR($T2004/$R2004,0)&gt;Parametros!$C$14),"Alerta","OK")</f>
        <v>OK</v>
      </c>
      <c r="Y2004" s="61" t="str">
        <f aca="false">IF($R2004&gt;=Parametros!$C$12,"Alto",IF($R2004&lt;Parametros!$C$13,"Bajo","Medio"))</f>
        <v>Alto</v>
      </c>
      <c r="Z2004" s="61" t="n">
        <v>2448</v>
      </c>
      <c r="AA2004" s="61" t="str">
        <f aca="false">IF(MATCH($A2004,Datos_Origen!$A$2:$A$2459,0)=$Z2004,"OK","REVISAR")</f>
        <v>OK</v>
      </c>
      <c r="AB2004" s="61" t="str">
        <f aca="false">INDEX(Datos_Origen!$B$2:$B$2459,$Z2004)</f>
        <v>2025-09-09</v>
      </c>
      <c r="AC2004" s="61" t="n">
        <f aca="false">INDEX(Datos_Origen!$H$2:$H$2459,$Z2004)</f>
        <v>17</v>
      </c>
      <c r="AD2004" s="61" t="str">
        <f aca="false">INDEX(Datos_Origen!$D$2:$D$2459,$Z2004)&amp;""</f>
        <v>Buenos Aires</v>
      </c>
    </row>
    <row r="2005" customFormat="false" ht="15" hidden="false" customHeight="false" outlineLevel="0" collapsed="false">
      <c r="A2005" s="61" t="n">
        <f aca="false">INDEX(Datos_Origen!$A$2:$A$2459,$Z2005)</f>
        <v>2004</v>
      </c>
      <c r="B2005" s="62" t="n">
        <f aca="false">IF(ISNUMBER($AB2005),$AB2005,IF(MID($AB2005,5,1)="-",DATE(VALUE(LEFT($AB2005,4)),VALUE(MID($AB2005,6,2)),VALUE(RIGHT($AB2005,2))),DATE(VALUE(RIGHT($AB2005,4)),VALUE(MID($AB2005,4,2)),VALUE(LEFT($AB2005,2)))))</f>
        <v>45916</v>
      </c>
      <c r="C2005" s="61" t="n">
        <f aca="false">YEAR($B2005)</f>
        <v>2025</v>
      </c>
      <c r="D2005" s="61" t="str">
        <f aca="false">"Q"&amp;ROUNDUP(MONTH($B2005)/3,0)</f>
        <v>Q3</v>
      </c>
      <c r="E2005" s="61" t="n">
        <f aca="false">MONTH($B2005)</f>
        <v>9</v>
      </c>
      <c r="F2005" s="61" t="str">
        <f aca="false">INDEX(Parametros!$I$5:$I$16,$E2005)</f>
        <v>Sep</v>
      </c>
      <c r="G2005" s="61" t="str">
        <f aca="false">TEXT($C2005,"0000")&amp;"-"&amp;TEXT($E2005,"00")</f>
        <v>2025-09</v>
      </c>
      <c r="H2005" s="61" t="str">
        <f aca="false">INDEX(Parametros!$C$71:$C$91,MATCH(TRIM(INDEX(Datos_Origen!$C$2:$C$2459,$Z2005)),Parametros!$B$71:$B$91,0))</f>
        <v>AMBA</v>
      </c>
      <c r="I2005" s="61" t="str">
        <f aca="false">IF(TRIM($AD2005)="",INDEX(Parametros!$I$20:$I$24,MATCH($H2005,Parametros!$H$20:$H$24,0)),TRIM($AD2005))</f>
        <v>Buenos Aires</v>
      </c>
      <c r="J2005" s="61" t="str">
        <f aca="false">INDEX(Parametros!$C$95:$C$106,MATCH(TRIM(INDEX(Datos_Origen!$E$2:$E$2459,$Z2005)),Parametros!$B$95:$B$106,0))</f>
        <v>E-commerce</v>
      </c>
      <c r="K2005" s="61" t="str">
        <f aca="false">INDEX(Parametros!$C$48:$C$67,MATCH(TRIM(INDEX(Datos_Origen!$F$2:$F$2459,$Z2005)),Parametros!$B$48:$B$67,0))</f>
        <v>Computacion</v>
      </c>
      <c r="L2005" s="61" t="str">
        <f aca="false">$K2005&amp;" "&amp;$C2005</f>
        <v>Computacion 2025</v>
      </c>
      <c r="M2005" s="61" t="str">
        <f aca="false">TRIM(INDEX(Datos_Origen!$G$2:$G$2459,$Z2005))</f>
        <v>Monitor 4K 27</v>
      </c>
      <c r="N2005" s="61" t="str">
        <f aca="false">$M2005&amp;" "&amp;$C2005</f>
        <v>Monitor 4K 27 2025</v>
      </c>
      <c r="O2005" s="63" t="n">
        <f aca="false">IF(ISTEXT($AC2005),VALUE($AC2005),$AC2005)</f>
        <v>16</v>
      </c>
      <c r="P2005" s="64" t="n">
        <f aca="false">INDEX(Datos_Origen!$I$2:$I$2459,$Z2005)</f>
        <v>451.78</v>
      </c>
      <c r="Q2005" s="64" t="n">
        <f aca="false">INDEX(Datos_Origen!$J$2:$J$2459,$Z2005)</f>
        <v>280.42</v>
      </c>
      <c r="R2005" s="65" t="n">
        <f aca="false">ROUND($O2005*$P2005,2)</f>
        <v>7228.48</v>
      </c>
      <c r="S2005" s="65" t="n">
        <f aca="false">ROUND($O2005*$Q2005,2)</f>
        <v>4486.72</v>
      </c>
      <c r="T2005" s="65" t="n">
        <f aca="false">ROUND($R2005*SUMIFS(Parametros!$E$28:$E$43,Parametros!$B$28:$B$43,$J2005,Parametros!$C$28:$C$43,$C2005,Parametros!$D$28:$D$43,$D2005),2)</f>
        <v>404.79</v>
      </c>
      <c r="U2005" s="65" t="n">
        <f aca="false">$R2005-$S2005-$T2005</f>
        <v>2336.97</v>
      </c>
      <c r="V2005" s="66" t="n">
        <f aca="false">IFERROR($U2005/$R2005,0)</f>
        <v>0.323300334233476</v>
      </c>
      <c r="W2005" s="67" t="str">
        <f aca="false">IF(AND($V2005&gt;=Parametros!$C$8,$R2005&gt;=Parametros!$C$12),"Alta rentabilidad",IF(OR($V2005&lt;Parametros!$C$11,$R2005&lt;Parametros!$C$13),"Revisar","Estandar"))</f>
        <v>Estandar</v>
      </c>
      <c r="X2005" s="67" t="str">
        <f aca="false">IF(AND($J2005="E-commerce",IFERROR($T2005/$R2005,0)&gt;Parametros!$C$14),"Alerta","OK")</f>
        <v>Alerta</v>
      </c>
      <c r="Y2005" s="61" t="str">
        <f aca="false">IF($R2005&gt;=Parametros!$C$12,"Alto",IF($R2005&lt;Parametros!$C$13,"Bajo","Medio"))</f>
        <v>Alto</v>
      </c>
      <c r="Z2005" s="61" t="n">
        <v>1709</v>
      </c>
      <c r="AA2005" s="61" t="str">
        <f aca="false">IF(MATCH($A2005,Datos_Origen!$A$2:$A$2459,0)=$Z2005,"OK","REVISAR")</f>
        <v>OK</v>
      </c>
      <c r="AB2005" s="61" t="str">
        <f aca="false">INDEX(Datos_Origen!$B$2:$B$2459,$Z2005)</f>
        <v>16/09/2025</v>
      </c>
      <c r="AC2005" s="61" t="n">
        <f aca="false">INDEX(Datos_Origen!$H$2:$H$2459,$Z2005)</f>
        <v>16</v>
      </c>
      <c r="AD2005" s="61" t="str">
        <f aca="false">INDEX(Datos_Origen!$D$2:$D$2459,$Z2005)&amp;""</f>
        <v>Buenos Aires</v>
      </c>
    </row>
    <row r="2006" customFormat="false" ht="15" hidden="false" customHeight="false" outlineLevel="0" collapsed="false">
      <c r="A2006" s="61" t="n">
        <f aca="false">INDEX(Datos_Origen!$A$2:$A$2459,$Z2006)</f>
        <v>2005</v>
      </c>
      <c r="B2006" s="62" t="n">
        <f aca="false">IF(ISNUMBER($AB2006),$AB2006,IF(MID($AB2006,5,1)="-",DATE(VALUE(LEFT($AB2006,4)),VALUE(MID($AB2006,6,2)),VALUE(RIGHT($AB2006,2))),DATE(VALUE(RIGHT($AB2006,4)),VALUE(MID($AB2006,4,2)),VALUE(LEFT($AB2006,2)))))</f>
        <v>45923</v>
      </c>
      <c r="C2006" s="61" t="n">
        <f aca="false">YEAR($B2006)</f>
        <v>2025</v>
      </c>
      <c r="D2006" s="61" t="str">
        <f aca="false">"Q"&amp;ROUNDUP(MONTH($B2006)/3,0)</f>
        <v>Q3</v>
      </c>
      <c r="E2006" s="61" t="n">
        <f aca="false">MONTH($B2006)</f>
        <v>9</v>
      </c>
      <c r="F2006" s="61" t="str">
        <f aca="false">INDEX(Parametros!$I$5:$I$16,$E2006)</f>
        <v>Sep</v>
      </c>
      <c r="G2006" s="61" t="str">
        <f aca="false">TEXT($C2006,"0000")&amp;"-"&amp;TEXT($E2006,"00")</f>
        <v>2025-09</v>
      </c>
      <c r="H2006" s="61" t="str">
        <f aca="false">INDEX(Parametros!$C$71:$C$91,MATCH(TRIM(INDEX(Datos_Origen!$C$2:$C$2459,$Z2006)),Parametros!$B$71:$B$91,0))</f>
        <v>AMBA</v>
      </c>
      <c r="I2006" s="61" t="str">
        <f aca="false">IF(TRIM($AD2006)="",INDEX(Parametros!$I$20:$I$24,MATCH($H2006,Parametros!$H$20:$H$24,0)),TRIM($AD2006))</f>
        <v>Buenos Aires</v>
      </c>
      <c r="J2006" s="61" t="str">
        <f aca="false">INDEX(Parametros!$C$95:$C$106,MATCH(TRIM(INDEX(Datos_Origen!$E$2:$E$2459,$Z2006)),Parametros!$B$95:$B$106,0))</f>
        <v>Tienda fisica</v>
      </c>
      <c r="K2006" s="61" t="str">
        <f aca="false">INDEX(Parametros!$C$48:$C$67,MATCH(TRIM(INDEX(Datos_Origen!$F$2:$F$2459,$Z2006)),Parametros!$B$48:$B$67,0))</f>
        <v>Computacion</v>
      </c>
      <c r="L2006" s="61" t="str">
        <f aca="false">$K2006&amp;" "&amp;$C2006</f>
        <v>Computacion 2025</v>
      </c>
      <c r="M2006" s="61" t="str">
        <f aca="false">TRIM(INDEX(Datos_Origen!$G$2:$G$2459,$Z2006))</f>
        <v>PC Gamer Ryzen</v>
      </c>
      <c r="N2006" s="61" t="str">
        <f aca="false">$M2006&amp;" "&amp;$C2006</f>
        <v>PC Gamer Ryzen 2025</v>
      </c>
      <c r="O2006" s="63" t="n">
        <f aca="false">IF(ISTEXT($AC2006),VALUE($AC2006),$AC2006)</f>
        <v>17</v>
      </c>
      <c r="P2006" s="64" t="n">
        <f aca="false">INDEX(Datos_Origen!$I$2:$I$2459,$Z2006)</f>
        <v>1656.52</v>
      </c>
      <c r="Q2006" s="64" t="n">
        <f aca="false">INDEX(Datos_Origen!$J$2:$J$2459,$Z2006)</f>
        <v>1155.66</v>
      </c>
      <c r="R2006" s="65" t="n">
        <f aca="false">ROUND($O2006*$P2006,2)</f>
        <v>28160.84</v>
      </c>
      <c r="S2006" s="65" t="n">
        <f aca="false">ROUND($O2006*$Q2006,2)</f>
        <v>19646.22</v>
      </c>
      <c r="T2006" s="65" t="n">
        <f aca="false">ROUND($R2006*SUMIFS(Parametros!$E$28:$E$43,Parametros!$B$28:$B$43,$J2006,Parametros!$C$28:$C$43,$C2006,Parametros!$D$28:$D$43,$D2006),2)</f>
        <v>366.09</v>
      </c>
      <c r="U2006" s="65" t="n">
        <f aca="false">$R2006-$S2006-$T2006</f>
        <v>8148.53</v>
      </c>
      <c r="V2006" s="66" t="n">
        <f aca="false">IFERROR($U2006/$R2006,0)</f>
        <v>0.28935678055058</v>
      </c>
      <c r="W2006" s="67" t="str">
        <f aca="false">IF(AND($V2006&gt;=Parametros!$C$8,$R2006&gt;=Parametros!$C$12),"Alta rentabilidad",IF(OR($V2006&lt;Parametros!$C$11,$R2006&lt;Parametros!$C$13),"Revisar","Estandar"))</f>
        <v>Estandar</v>
      </c>
      <c r="X2006" s="67" t="str">
        <f aca="false">IF(AND($J2006="E-commerce",IFERROR($T2006/$R2006,0)&gt;Parametros!$C$14),"Alerta","OK")</f>
        <v>OK</v>
      </c>
      <c r="Y2006" s="61" t="str">
        <f aca="false">IF($R2006&gt;=Parametros!$C$12,"Alto",IF($R2006&lt;Parametros!$C$13,"Bajo","Medio"))</f>
        <v>Alto</v>
      </c>
      <c r="Z2006" s="61" t="n">
        <v>1236</v>
      </c>
      <c r="AA2006" s="61" t="str">
        <f aca="false">IF(MATCH($A2006,Datos_Origen!$A$2:$A$2459,0)=$Z2006,"OK","REVISAR")</f>
        <v>OK</v>
      </c>
      <c r="AB2006" s="62" t="n">
        <f aca="false">INDEX(Datos_Origen!$B$2:$B$2459,$Z2006)</f>
        <v>45923</v>
      </c>
      <c r="AC2006" s="61" t="n">
        <f aca="false">INDEX(Datos_Origen!$H$2:$H$2459,$Z2006)</f>
        <v>17</v>
      </c>
      <c r="AD2006" s="61" t="str">
        <f aca="false">INDEX(Datos_Origen!$D$2:$D$2459,$Z2006)&amp;""</f>
        <v>Buenos Aires</v>
      </c>
    </row>
    <row r="2007" customFormat="false" ht="15" hidden="false" customHeight="false" outlineLevel="0" collapsed="false">
      <c r="A2007" s="61" t="n">
        <f aca="false">INDEX(Datos_Origen!$A$2:$A$2459,$Z2007)</f>
        <v>2006</v>
      </c>
      <c r="B2007" s="62" t="n">
        <f aca="false">IF(ISNUMBER($AB2007),$AB2007,IF(MID($AB2007,5,1)="-",DATE(VALUE(LEFT($AB2007,4)),VALUE(MID($AB2007,6,2)),VALUE(RIGHT($AB2007,2))),DATE(VALUE(RIGHT($AB2007,4)),VALUE(MID($AB2007,4,2)),VALUE(LEFT($AB2007,2)))))</f>
        <v>45903</v>
      </c>
      <c r="C2007" s="61" t="n">
        <f aca="false">YEAR($B2007)</f>
        <v>2025</v>
      </c>
      <c r="D2007" s="61" t="str">
        <f aca="false">"Q"&amp;ROUNDUP(MONTH($B2007)/3,0)</f>
        <v>Q3</v>
      </c>
      <c r="E2007" s="61" t="n">
        <f aca="false">MONTH($B2007)</f>
        <v>9</v>
      </c>
      <c r="F2007" s="61" t="str">
        <f aca="false">INDEX(Parametros!$I$5:$I$16,$E2007)</f>
        <v>Sep</v>
      </c>
      <c r="G2007" s="61" t="str">
        <f aca="false">TEXT($C2007,"0000")&amp;"-"&amp;TEXT($E2007,"00")</f>
        <v>2025-09</v>
      </c>
      <c r="H2007" s="61" t="str">
        <f aca="false">INDEX(Parametros!$C$71:$C$91,MATCH(TRIM(INDEX(Datos_Origen!$C$2:$C$2459,$Z2007)),Parametros!$B$71:$B$91,0))</f>
        <v>AMBA</v>
      </c>
      <c r="I2007" s="61" t="str">
        <f aca="false">IF(TRIM($AD2007)="",INDEX(Parametros!$I$20:$I$24,MATCH($H2007,Parametros!$H$20:$H$24,0)),TRIM($AD2007))</f>
        <v>Buenos Aires</v>
      </c>
      <c r="J2007" s="61" t="str">
        <f aca="false">INDEX(Parametros!$C$95:$C$106,MATCH(TRIM(INDEX(Datos_Origen!$E$2:$E$2459,$Z2007)),Parametros!$B$95:$B$106,0))</f>
        <v>E-commerce</v>
      </c>
      <c r="K2007" s="61" t="str">
        <f aca="false">INDEX(Parametros!$C$48:$C$67,MATCH(TRIM(INDEX(Datos_Origen!$F$2:$F$2459,$Z2007)),Parametros!$B$48:$B$67,0))</f>
        <v>Computacion</v>
      </c>
      <c r="L2007" s="61" t="str">
        <f aca="false">$K2007&amp;" "&amp;$C2007</f>
        <v>Computacion 2025</v>
      </c>
      <c r="M2007" s="61" t="str">
        <f aca="false">TRIM(INDEX(Datos_Origen!$G$2:$G$2459,$Z2007))</f>
        <v>PC Gamer Ryzen</v>
      </c>
      <c r="N2007" s="61" t="str">
        <f aca="false">$M2007&amp;" "&amp;$C2007</f>
        <v>PC Gamer Ryzen 2025</v>
      </c>
      <c r="O2007" s="63" t="n">
        <f aca="false">IF(ISTEXT($AC2007),VALUE($AC2007),$AC2007)</f>
        <v>15</v>
      </c>
      <c r="P2007" s="64" t="n">
        <f aca="false">INDEX(Datos_Origen!$I$2:$I$2459,$Z2007)</f>
        <v>1656.52</v>
      </c>
      <c r="Q2007" s="64" t="n">
        <f aca="false">INDEX(Datos_Origen!$J$2:$J$2459,$Z2007)</f>
        <v>1155.66</v>
      </c>
      <c r="R2007" s="65" t="n">
        <f aca="false">ROUND($O2007*$P2007,2)</f>
        <v>24847.8</v>
      </c>
      <c r="S2007" s="65" t="n">
        <f aca="false">ROUND($O2007*$Q2007,2)</f>
        <v>17334.9</v>
      </c>
      <c r="T2007" s="65" t="n">
        <f aca="false">ROUND($R2007*SUMIFS(Parametros!$E$28:$E$43,Parametros!$B$28:$B$43,$J2007,Parametros!$C$28:$C$43,$C2007,Parametros!$D$28:$D$43,$D2007),2)</f>
        <v>1391.48</v>
      </c>
      <c r="U2007" s="65" t="n">
        <f aca="false">$R2007-$S2007-$T2007</f>
        <v>6121.42</v>
      </c>
      <c r="V2007" s="66" t="n">
        <f aca="false">IFERROR($U2007/$R2007,0)</f>
        <v>0.246356619097063</v>
      </c>
      <c r="W2007" s="67" t="str">
        <f aca="false">IF(AND($V2007&gt;=Parametros!$C$8,$R2007&gt;=Parametros!$C$12),"Alta rentabilidad",IF(OR($V2007&lt;Parametros!$C$11,$R2007&lt;Parametros!$C$13),"Revisar","Estandar"))</f>
        <v>Revisar</v>
      </c>
      <c r="X2007" s="67" t="str">
        <f aca="false">IF(AND($J2007="E-commerce",IFERROR($T2007/$R2007,0)&gt;Parametros!$C$14),"Alerta","OK")</f>
        <v>Alerta</v>
      </c>
      <c r="Y2007" s="61" t="str">
        <f aca="false">IF($R2007&gt;=Parametros!$C$12,"Alto",IF($R2007&lt;Parametros!$C$13,"Bajo","Medio"))</f>
        <v>Alto</v>
      </c>
      <c r="Z2007" s="61" t="n">
        <v>1194</v>
      </c>
      <c r="AA2007" s="61" t="str">
        <f aca="false">IF(MATCH($A2007,Datos_Origen!$A$2:$A$2459,0)=$Z2007,"OK","REVISAR")</f>
        <v>OK</v>
      </c>
      <c r="AB2007" s="62" t="n">
        <f aca="false">INDEX(Datos_Origen!$B$2:$B$2459,$Z2007)</f>
        <v>45903</v>
      </c>
      <c r="AC2007" s="61" t="n">
        <f aca="false">INDEX(Datos_Origen!$H$2:$H$2459,$Z2007)</f>
        <v>15</v>
      </c>
      <c r="AD2007" s="61" t="str">
        <f aca="false">INDEX(Datos_Origen!$D$2:$D$2459,$Z2007)&amp;""</f>
        <v>Buenos Aires</v>
      </c>
    </row>
    <row r="2008" customFormat="false" ht="15" hidden="false" customHeight="false" outlineLevel="0" collapsed="false">
      <c r="A2008" s="61" t="n">
        <f aca="false">INDEX(Datos_Origen!$A$2:$A$2459,$Z2008)</f>
        <v>2007</v>
      </c>
      <c r="B2008" s="62" t="n">
        <f aca="false">IF(ISNUMBER($AB2008),$AB2008,IF(MID($AB2008,5,1)="-",DATE(VALUE(LEFT($AB2008,4)),VALUE(MID($AB2008,6,2)),VALUE(RIGHT($AB2008,2))),DATE(VALUE(RIGHT($AB2008,4)),VALUE(MID($AB2008,4,2)),VALUE(LEFT($AB2008,2)))))</f>
        <v>45910</v>
      </c>
      <c r="C2008" s="61" t="n">
        <f aca="false">YEAR($B2008)</f>
        <v>2025</v>
      </c>
      <c r="D2008" s="61" t="str">
        <f aca="false">"Q"&amp;ROUNDUP(MONTH($B2008)/3,0)</f>
        <v>Q3</v>
      </c>
      <c r="E2008" s="61" t="n">
        <f aca="false">MONTH($B2008)</f>
        <v>9</v>
      </c>
      <c r="F2008" s="61" t="str">
        <f aca="false">INDEX(Parametros!$I$5:$I$16,$E2008)</f>
        <v>Sep</v>
      </c>
      <c r="G2008" s="61" t="str">
        <f aca="false">TEXT($C2008,"0000")&amp;"-"&amp;TEXT($E2008,"00")</f>
        <v>2025-09</v>
      </c>
      <c r="H2008" s="61" t="str">
        <f aca="false">INDEX(Parametros!$C$71:$C$91,MATCH(TRIM(INDEX(Datos_Origen!$C$2:$C$2459,$Z2008)),Parametros!$B$71:$B$91,0))</f>
        <v>AMBA</v>
      </c>
      <c r="I2008" s="61" t="str">
        <f aca="false">IF(TRIM($AD2008)="",INDEX(Parametros!$I$20:$I$24,MATCH($H2008,Parametros!$H$20:$H$24,0)),TRIM($AD2008))</f>
        <v>Buenos Aires</v>
      </c>
      <c r="J2008" s="61" t="str">
        <f aca="false">INDEX(Parametros!$C$95:$C$106,MATCH(TRIM(INDEX(Datos_Origen!$E$2:$E$2459,$Z2008)),Parametros!$B$95:$B$106,0))</f>
        <v>Tienda fisica</v>
      </c>
      <c r="K2008" s="61" t="str">
        <f aca="false">INDEX(Parametros!$C$48:$C$67,MATCH(TRIM(INDEX(Datos_Origen!$F$2:$F$2459,$Z2008)),Parametros!$B$48:$B$67,0))</f>
        <v>Accesorios</v>
      </c>
      <c r="L2008" s="61" t="str">
        <f aca="false">$K2008&amp;" "&amp;$C2008</f>
        <v>Accesorios 2025</v>
      </c>
      <c r="M2008" s="61" t="str">
        <f aca="false">TRIM(INDEX(Datos_Origen!$G$2:$G$2459,$Z2008))</f>
        <v>Mouse Inalambrico</v>
      </c>
      <c r="N2008" s="61" t="str">
        <f aca="false">$M2008&amp;" "&amp;$C2008</f>
        <v>Mouse Inalambrico 2025</v>
      </c>
      <c r="O2008" s="63" t="n">
        <f aca="false">IF(ISTEXT($AC2008),VALUE($AC2008),$AC2008)</f>
        <v>84</v>
      </c>
      <c r="P2008" s="64" t="n">
        <f aca="false">INDEX(Datos_Origen!$I$2:$I$2459,$Z2008)</f>
        <v>28.11</v>
      </c>
      <c r="Q2008" s="64" t="n">
        <f aca="false">INDEX(Datos_Origen!$J$2:$J$2459,$Z2008)</f>
        <v>13.84</v>
      </c>
      <c r="R2008" s="65" t="n">
        <f aca="false">ROUND($O2008*$P2008,2)</f>
        <v>2361.24</v>
      </c>
      <c r="S2008" s="65" t="n">
        <f aca="false">ROUND($O2008*$Q2008,2)</f>
        <v>1162.56</v>
      </c>
      <c r="T2008" s="65" t="n">
        <f aca="false">ROUND($R2008*SUMIFS(Parametros!$E$28:$E$43,Parametros!$B$28:$B$43,$J2008,Parametros!$C$28:$C$43,$C2008,Parametros!$D$28:$D$43,$D2008),2)</f>
        <v>30.7</v>
      </c>
      <c r="U2008" s="65" t="n">
        <f aca="false">$R2008-$S2008-$T2008</f>
        <v>1167.98</v>
      </c>
      <c r="V2008" s="66" t="n">
        <f aca="false">IFERROR($U2008/$R2008,0)</f>
        <v>0.494646880452644</v>
      </c>
      <c r="W2008" s="67" t="str">
        <f aca="false">IF(AND($V2008&gt;=Parametros!$C$8,$R2008&gt;=Parametros!$C$12),"Alta rentabilidad",IF(OR($V2008&lt;Parametros!$C$11,$R2008&lt;Parametros!$C$13),"Revisar","Estandar"))</f>
        <v>Estandar</v>
      </c>
      <c r="X2008" s="67" t="str">
        <f aca="false">IF(AND($J2008="E-commerce",IFERROR($T2008/$R2008,0)&gt;Parametros!$C$14),"Alerta","OK")</f>
        <v>OK</v>
      </c>
      <c r="Y2008" s="61" t="str">
        <f aca="false">IF($R2008&gt;=Parametros!$C$12,"Alto",IF($R2008&lt;Parametros!$C$13,"Bajo","Medio"))</f>
        <v>Medio</v>
      </c>
      <c r="Z2008" s="61" t="n">
        <v>139</v>
      </c>
      <c r="AA2008" s="61" t="str">
        <f aca="false">IF(MATCH($A2008,Datos_Origen!$A$2:$A$2459,0)=$Z2008,"OK","REVISAR")</f>
        <v>OK</v>
      </c>
      <c r="AB2008" s="61" t="str">
        <f aca="false">INDEX(Datos_Origen!$B$2:$B$2459,$Z2008)</f>
        <v>10/09/2025</v>
      </c>
      <c r="AC2008" s="61" t="n">
        <f aca="false">INDEX(Datos_Origen!$H$2:$H$2459,$Z2008)</f>
        <v>84</v>
      </c>
      <c r="AD2008" s="61" t="str">
        <f aca="false">INDEX(Datos_Origen!$D$2:$D$2459,$Z2008)&amp;""</f>
        <v>Buenos Aires</v>
      </c>
    </row>
    <row r="2009" customFormat="false" ht="15" hidden="false" customHeight="false" outlineLevel="0" collapsed="false">
      <c r="A2009" s="61" t="n">
        <f aca="false">INDEX(Datos_Origen!$A$2:$A$2459,$Z2009)</f>
        <v>2008</v>
      </c>
      <c r="B2009" s="62" t="n">
        <f aca="false">IF(ISNUMBER($AB2009),$AB2009,IF(MID($AB2009,5,1)="-",DATE(VALUE(LEFT($AB2009,4)),VALUE(MID($AB2009,6,2)),VALUE(RIGHT($AB2009,2))),DATE(VALUE(RIGHT($AB2009,4)),VALUE(MID($AB2009,4,2)),VALUE(LEFT($AB2009,2)))))</f>
        <v>45917</v>
      </c>
      <c r="C2009" s="61" t="n">
        <f aca="false">YEAR($B2009)</f>
        <v>2025</v>
      </c>
      <c r="D2009" s="61" t="str">
        <f aca="false">"Q"&amp;ROUNDUP(MONTH($B2009)/3,0)</f>
        <v>Q3</v>
      </c>
      <c r="E2009" s="61" t="n">
        <f aca="false">MONTH($B2009)</f>
        <v>9</v>
      </c>
      <c r="F2009" s="61" t="str">
        <f aca="false">INDEX(Parametros!$I$5:$I$16,$E2009)</f>
        <v>Sep</v>
      </c>
      <c r="G2009" s="61" t="str">
        <f aca="false">TEXT($C2009,"0000")&amp;"-"&amp;TEXT($E2009,"00")</f>
        <v>2025-09</v>
      </c>
      <c r="H2009" s="61" t="str">
        <f aca="false">INDEX(Parametros!$C$71:$C$91,MATCH(TRIM(INDEX(Datos_Origen!$C$2:$C$2459,$Z2009)),Parametros!$B$71:$B$91,0))</f>
        <v>AMBA</v>
      </c>
      <c r="I2009" s="61" t="str">
        <f aca="false">IF(TRIM($AD2009)="",INDEX(Parametros!$I$20:$I$24,MATCH($H2009,Parametros!$H$20:$H$24,0)),TRIM($AD2009))</f>
        <v>Buenos Aires</v>
      </c>
      <c r="J2009" s="61" t="str">
        <f aca="false">INDEX(Parametros!$C$95:$C$106,MATCH(TRIM(INDEX(Datos_Origen!$E$2:$E$2459,$Z2009)),Parametros!$B$95:$B$106,0))</f>
        <v>E-commerce</v>
      </c>
      <c r="K2009" s="61" t="str">
        <f aca="false">INDEX(Parametros!$C$48:$C$67,MATCH(TRIM(INDEX(Datos_Origen!$F$2:$F$2459,$Z2009)),Parametros!$B$48:$B$67,0))</f>
        <v>Accesorios</v>
      </c>
      <c r="L2009" s="61" t="str">
        <f aca="false">$K2009&amp;" "&amp;$C2009</f>
        <v>Accesorios 2025</v>
      </c>
      <c r="M2009" s="61" t="str">
        <f aca="false">TRIM(INDEX(Datos_Origen!$G$2:$G$2459,$Z2009))</f>
        <v>Mouse Inalambrico</v>
      </c>
      <c r="N2009" s="61" t="str">
        <f aca="false">$M2009&amp;" "&amp;$C2009</f>
        <v>Mouse Inalambrico 2025</v>
      </c>
      <c r="O2009" s="63" t="n">
        <f aca="false">IF(ISTEXT($AC2009),VALUE($AC2009),$AC2009)</f>
        <v>56</v>
      </c>
      <c r="P2009" s="64" t="n">
        <f aca="false">INDEX(Datos_Origen!$I$2:$I$2459,$Z2009)</f>
        <v>28.11</v>
      </c>
      <c r="Q2009" s="64" t="n">
        <f aca="false">INDEX(Datos_Origen!$J$2:$J$2459,$Z2009)</f>
        <v>13.84</v>
      </c>
      <c r="R2009" s="65" t="n">
        <f aca="false">ROUND($O2009*$P2009,2)</f>
        <v>1574.16</v>
      </c>
      <c r="S2009" s="65" t="n">
        <f aca="false">ROUND($O2009*$Q2009,2)</f>
        <v>775.04</v>
      </c>
      <c r="T2009" s="65" t="n">
        <f aca="false">ROUND($R2009*SUMIFS(Parametros!$E$28:$E$43,Parametros!$B$28:$B$43,$J2009,Parametros!$C$28:$C$43,$C2009,Parametros!$D$28:$D$43,$D2009),2)</f>
        <v>88.15</v>
      </c>
      <c r="U2009" s="65" t="n">
        <f aca="false">$R2009-$S2009-$T2009</f>
        <v>710.97</v>
      </c>
      <c r="V2009" s="66" t="n">
        <f aca="false">IFERROR($U2009/$R2009,0)</f>
        <v>0.451650404025004</v>
      </c>
      <c r="W2009" s="67" t="str">
        <f aca="false">IF(AND($V2009&gt;=Parametros!$C$8,$R2009&gt;=Parametros!$C$12),"Alta rentabilidad",IF(OR($V2009&lt;Parametros!$C$11,$R2009&lt;Parametros!$C$13),"Revisar","Estandar"))</f>
        <v>Estandar</v>
      </c>
      <c r="X2009" s="67" t="str">
        <f aca="false">IF(AND($J2009="E-commerce",IFERROR($T2009/$R2009,0)&gt;Parametros!$C$14),"Alerta","OK")</f>
        <v>Alerta</v>
      </c>
      <c r="Y2009" s="61" t="str">
        <f aca="false">IF($R2009&gt;=Parametros!$C$12,"Alto",IF($R2009&lt;Parametros!$C$13,"Bajo","Medio"))</f>
        <v>Medio</v>
      </c>
      <c r="Z2009" s="61" t="n">
        <v>924</v>
      </c>
      <c r="AA2009" s="61" t="str">
        <f aca="false">IF(MATCH($A2009,Datos_Origen!$A$2:$A$2459,0)=$Z2009,"OK","REVISAR")</f>
        <v>OK</v>
      </c>
      <c r="AB2009" s="62" t="n">
        <f aca="false">INDEX(Datos_Origen!$B$2:$B$2459,$Z2009)</f>
        <v>45917</v>
      </c>
      <c r="AC2009" s="61" t="n">
        <f aca="false">INDEX(Datos_Origen!$H$2:$H$2459,$Z2009)</f>
        <v>56</v>
      </c>
      <c r="AD2009" s="61" t="str">
        <f aca="false">INDEX(Datos_Origen!$D$2:$D$2459,$Z2009)&amp;""</f>
        <v>Buenos Aires</v>
      </c>
    </row>
    <row r="2010" customFormat="false" ht="15" hidden="false" customHeight="false" outlineLevel="0" collapsed="false">
      <c r="A2010" s="61" t="n">
        <f aca="false">INDEX(Datos_Origen!$A$2:$A$2459,$Z2010)</f>
        <v>2009</v>
      </c>
      <c r="B2010" s="62" t="n">
        <f aca="false">IF(ISNUMBER($AB2010),$AB2010,IF(MID($AB2010,5,1)="-",DATE(VALUE(LEFT($AB2010,4)),VALUE(MID($AB2010,6,2)),VALUE(RIGHT($AB2010,2))),DATE(VALUE(RIGHT($AB2010,4)),VALUE(MID($AB2010,4,2)),VALUE(LEFT($AB2010,2)))))</f>
        <v>45924</v>
      </c>
      <c r="C2010" s="61" t="n">
        <f aca="false">YEAR($B2010)</f>
        <v>2025</v>
      </c>
      <c r="D2010" s="61" t="str">
        <f aca="false">"Q"&amp;ROUNDUP(MONTH($B2010)/3,0)</f>
        <v>Q3</v>
      </c>
      <c r="E2010" s="61" t="n">
        <f aca="false">MONTH($B2010)</f>
        <v>9</v>
      </c>
      <c r="F2010" s="61" t="str">
        <f aca="false">INDEX(Parametros!$I$5:$I$16,$E2010)</f>
        <v>Sep</v>
      </c>
      <c r="G2010" s="61" t="str">
        <f aca="false">TEXT($C2010,"0000")&amp;"-"&amp;TEXT($E2010,"00")</f>
        <v>2025-09</v>
      </c>
      <c r="H2010" s="61" t="str">
        <f aca="false">INDEX(Parametros!$C$71:$C$91,MATCH(TRIM(INDEX(Datos_Origen!$C$2:$C$2459,$Z2010)),Parametros!$B$71:$B$91,0))</f>
        <v>AMBA</v>
      </c>
      <c r="I2010" s="61" t="str">
        <f aca="false">IF(TRIM($AD2010)="",INDEX(Parametros!$I$20:$I$24,MATCH($H2010,Parametros!$H$20:$H$24,0)),TRIM($AD2010))</f>
        <v>Buenos Aires</v>
      </c>
      <c r="J2010" s="61" t="str">
        <f aca="false">INDEX(Parametros!$C$95:$C$106,MATCH(TRIM(INDEX(Datos_Origen!$E$2:$E$2459,$Z2010)),Parametros!$B$95:$B$106,0))</f>
        <v>Tienda fisica</v>
      </c>
      <c r="K2010" s="61" t="str">
        <f aca="false">INDEX(Parametros!$C$48:$C$67,MATCH(TRIM(INDEX(Datos_Origen!$F$2:$F$2459,$Z2010)),Parametros!$B$48:$B$67,0))</f>
        <v>Accesorios</v>
      </c>
      <c r="L2010" s="61" t="str">
        <f aca="false">$K2010&amp;" "&amp;$C2010</f>
        <v>Accesorios 2025</v>
      </c>
      <c r="M2010" s="61" t="str">
        <f aca="false">TRIM(INDEX(Datos_Origen!$G$2:$G$2459,$Z2010))</f>
        <v>Teclado Mecanico</v>
      </c>
      <c r="N2010" s="61" t="str">
        <f aca="false">$M2010&amp;" "&amp;$C2010</f>
        <v>Teclado Mecanico 2025</v>
      </c>
      <c r="O2010" s="63" t="n">
        <f aca="false">IF(ISTEXT($AC2010),VALUE($AC2010),$AC2010)</f>
        <v>95</v>
      </c>
      <c r="P2010" s="64" t="n">
        <f aca="false">INDEX(Datos_Origen!$I$2:$I$2459,$Z2010)</f>
        <v>95.38</v>
      </c>
      <c r="Q2010" s="64" t="n">
        <f aca="false">INDEX(Datos_Origen!$J$2:$J$2459,$Z2010)</f>
        <v>49.41</v>
      </c>
      <c r="R2010" s="65" t="n">
        <f aca="false">ROUND($O2010*$P2010,2)</f>
        <v>9061.1</v>
      </c>
      <c r="S2010" s="65" t="n">
        <f aca="false">ROUND($O2010*$Q2010,2)</f>
        <v>4693.95</v>
      </c>
      <c r="T2010" s="65" t="n">
        <f aca="false">ROUND($R2010*SUMIFS(Parametros!$E$28:$E$43,Parametros!$B$28:$B$43,$J2010,Parametros!$C$28:$C$43,$C2010,Parametros!$D$28:$D$43,$D2010),2)</f>
        <v>117.79</v>
      </c>
      <c r="U2010" s="65" t="n">
        <f aca="false">$R2010-$S2010-$T2010</f>
        <v>4249.36</v>
      </c>
      <c r="V2010" s="66" t="n">
        <f aca="false">IFERROR($U2010/$R2010,0)</f>
        <v>0.468967343920716</v>
      </c>
      <c r="W2010" s="67" t="str">
        <f aca="false">IF(AND($V2010&gt;=Parametros!$C$8,$R2010&gt;=Parametros!$C$12),"Alta rentabilidad",IF(OR($V2010&lt;Parametros!$C$11,$R2010&lt;Parametros!$C$13),"Revisar","Estandar"))</f>
        <v>Alta rentabilidad</v>
      </c>
      <c r="X2010" s="67" t="str">
        <f aca="false">IF(AND($J2010="E-commerce",IFERROR($T2010/$R2010,0)&gt;Parametros!$C$14),"Alerta","OK")</f>
        <v>OK</v>
      </c>
      <c r="Y2010" s="61" t="str">
        <f aca="false">IF($R2010&gt;=Parametros!$C$12,"Alto",IF($R2010&lt;Parametros!$C$13,"Bajo","Medio"))</f>
        <v>Alto</v>
      </c>
      <c r="Z2010" s="61" t="n">
        <v>1798</v>
      </c>
      <c r="AA2010" s="61" t="str">
        <f aca="false">IF(MATCH($A2010,Datos_Origen!$A$2:$A$2459,0)=$Z2010,"OK","REVISAR")</f>
        <v>OK</v>
      </c>
      <c r="AB2010" s="61" t="str">
        <f aca="false">INDEX(Datos_Origen!$B$2:$B$2459,$Z2010)</f>
        <v>24/09/2025</v>
      </c>
      <c r="AC2010" s="61" t="n">
        <f aca="false">INDEX(Datos_Origen!$H$2:$H$2459,$Z2010)</f>
        <v>95</v>
      </c>
      <c r="AD2010" s="61" t="str">
        <f aca="false">INDEX(Datos_Origen!$D$2:$D$2459,$Z2010)&amp;""</f>
        <v>Buenos Aires</v>
      </c>
    </row>
    <row r="2011" customFormat="false" ht="15" hidden="false" customHeight="false" outlineLevel="0" collapsed="false">
      <c r="A2011" s="61" t="n">
        <f aca="false">INDEX(Datos_Origen!$A$2:$A$2459,$Z2011)</f>
        <v>2010</v>
      </c>
      <c r="B2011" s="62" t="n">
        <f aca="false">IF(ISNUMBER($AB2011),$AB2011,IF(MID($AB2011,5,1)="-",DATE(VALUE(LEFT($AB2011,4)),VALUE(MID($AB2011,6,2)),VALUE(RIGHT($AB2011,2))),DATE(VALUE(RIGHT($AB2011,4)),VALUE(MID($AB2011,4,2)),VALUE(LEFT($AB2011,2)))))</f>
        <v>45904</v>
      </c>
      <c r="C2011" s="61" t="n">
        <f aca="false">YEAR($B2011)</f>
        <v>2025</v>
      </c>
      <c r="D2011" s="61" t="str">
        <f aca="false">"Q"&amp;ROUNDUP(MONTH($B2011)/3,0)</f>
        <v>Q3</v>
      </c>
      <c r="E2011" s="61" t="n">
        <f aca="false">MONTH($B2011)</f>
        <v>9</v>
      </c>
      <c r="F2011" s="61" t="str">
        <f aca="false">INDEX(Parametros!$I$5:$I$16,$E2011)</f>
        <v>Sep</v>
      </c>
      <c r="G2011" s="61" t="str">
        <f aca="false">TEXT($C2011,"0000")&amp;"-"&amp;TEXT($E2011,"00")</f>
        <v>2025-09</v>
      </c>
      <c r="H2011" s="61" t="str">
        <f aca="false">INDEX(Parametros!$C$71:$C$91,MATCH(TRIM(INDEX(Datos_Origen!$C$2:$C$2459,$Z2011)),Parametros!$B$71:$B$91,0))</f>
        <v>AMBA</v>
      </c>
      <c r="I2011" s="61" t="str">
        <f aca="false">IF(TRIM($AD2011)="",INDEX(Parametros!$I$20:$I$24,MATCH($H2011,Parametros!$H$20:$H$24,0)),TRIM($AD2011))</f>
        <v>Buenos Aires</v>
      </c>
      <c r="J2011" s="61" t="str">
        <f aca="false">INDEX(Parametros!$C$95:$C$106,MATCH(TRIM(INDEX(Datos_Origen!$E$2:$E$2459,$Z2011)),Parametros!$B$95:$B$106,0))</f>
        <v>E-commerce</v>
      </c>
      <c r="K2011" s="61" t="str">
        <f aca="false">INDEX(Parametros!$C$48:$C$67,MATCH(TRIM(INDEX(Datos_Origen!$F$2:$F$2459,$Z2011)),Parametros!$B$48:$B$67,0))</f>
        <v>Accesorios</v>
      </c>
      <c r="L2011" s="61" t="str">
        <f aca="false">$K2011&amp;" "&amp;$C2011</f>
        <v>Accesorios 2025</v>
      </c>
      <c r="M2011" s="61" t="str">
        <f aca="false">TRIM(INDEX(Datos_Origen!$G$2:$G$2459,$Z2011))</f>
        <v>Teclado Mecanico</v>
      </c>
      <c r="N2011" s="61" t="str">
        <f aca="false">$M2011&amp;" "&amp;$C2011</f>
        <v>Teclado Mecanico 2025</v>
      </c>
      <c r="O2011" s="63" t="n">
        <f aca="false">IF(ISTEXT($AC2011),VALUE($AC2011),$AC2011)</f>
        <v>57</v>
      </c>
      <c r="P2011" s="64" t="n">
        <f aca="false">INDEX(Datos_Origen!$I$2:$I$2459,$Z2011)</f>
        <v>95.38</v>
      </c>
      <c r="Q2011" s="64" t="n">
        <f aca="false">INDEX(Datos_Origen!$J$2:$J$2459,$Z2011)</f>
        <v>49.41</v>
      </c>
      <c r="R2011" s="65" t="n">
        <f aca="false">ROUND($O2011*$P2011,2)</f>
        <v>5436.66</v>
      </c>
      <c r="S2011" s="65" t="n">
        <f aca="false">ROUND($O2011*$Q2011,2)</f>
        <v>2816.37</v>
      </c>
      <c r="T2011" s="65" t="n">
        <f aca="false">ROUND($R2011*SUMIFS(Parametros!$E$28:$E$43,Parametros!$B$28:$B$43,$J2011,Parametros!$C$28:$C$43,$C2011,Parametros!$D$28:$D$43,$D2011),2)</f>
        <v>304.45</v>
      </c>
      <c r="U2011" s="65" t="n">
        <f aca="false">$R2011-$S2011-$T2011</f>
        <v>2315.84</v>
      </c>
      <c r="V2011" s="66" t="n">
        <f aca="false">IFERROR($U2011/$R2011,0)</f>
        <v>0.425967413816571</v>
      </c>
      <c r="W2011" s="67" t="str">
        <f aca="false">IF(AND($V2011&gt;=Parametros!$C$8,$R2011&gt;=Parametros!$C$12),"Alta rentabilidad",IF(OR($V2011&lt;Parametros!$C$11,$R2011&lt;Parametros!$C$13),"Revisar","Estandar"))</f>
        <v>Alta rentabilidad</v>
      </c>
      <c r="X2011" s="67" t="str">
        <f aca="false">IF(AND($J2011="E-commerce",IFERROR($T2011/$R2011,0)&gt;Parametros!$C$14),"Alerta","OK")</f>
        <v>Alerta</v>
      </c>
      <c r="Y2011" s="61" t="str">
        <f aca="false">IF($R2011&gt;=Parametros!$C$12,"Alto",IF($R2011&lt;Parametros!$C$13,"Bajo","Medio"))</f>
        <v>Alto</v>
      </c>
      <c r="Z2011" s="61" t="n">
        <v>405</v>
      </c>
      <c r="AA2011" s="61" t="str">
        <f aca="false">IF(MATCH($A2011,Datos_Origen!$A$2:$A$2459,0)=$Z2011,"OK","REVISAR")</f>
        <v>OK</v>
      </c>
      <c r="AB2011" s="61" t="str">
        <f aca="false">INDEX(Datos_Origen!$B$2:$B$2459,$Z2011)</f>
        <v>04/09/2025</v>
      </c>
      <c r="AC2011" s="61" t="n">
        <f aca="false">INDEX(Datos_Origen!$H$2:$H$2459,$Z2011)</f>
        <v>57</v>
      </c>
      <c r="AD2011" s="61" t="str">
        <f aca="false">INDEX(Datos_Origen!$D$2:$D$2459,$Z2011)&amp;""</f>
        <v/>
      </c>
    </row>
    <row r="2012" customFormat="false" ht="15" hidden="false" customHeight="false" outlineLevel="0" collapsed="false">
      <c r="A2012" s="61" t="n">
        <f aca="false">INDEX(Datos_Origen!$A$2:$A$2459,$Z2012)</f>
        <v>2011</v>
      </c>
      <c r="B2012" s="62" t="n">
        <f aca="false">IF(ISNUMBER($AB2012),$AB2012,IF(MID($AB2012,5,1)="-",DATE(VALUE(LEFT($AB2012,4)),VALUE(MID($AB2012,6,2)),VALUE(RIGHT($AB2012,2))),DATE(VALUE(RIGHT($AB2012,4)),VALUE(MID($AB2012,4,2)),VALUE(LEFT($AB2012,2)))))</f>
        <v>45911</v>
      </c>
      <c r="C2012" s="61" t="n">
        <f aca="false">YEAR($B2012)</f>
        <v>2025</v>
      </c>
      <c r="D2012" s="61" t="str">
        <f aca="false">"Q"&amp;ROUNDUP(MONTH($B2012)/3,0)</f>
        <v>Q3</v>
      </c>
      <c r="E2012" s="61" t="n">
        <f aca="false">MONTH($B2012)</f>
        <v>9</v>
      </c>
      <c r="F2012" s="61" t="str">
        <f aca="false">INDEX(Parametros!$I$5:$I$16,$E2012)</f>
        <v>Sep</v>
      </c>
      <c r="G2012" s="61" t="str">
        <f aca="false">TEXT($C2012,"0000")&amp;"-"&amp;TEXT($E2012,"00")</f>
        <v>2025-09</v>
      </c>
      <c r="H2012" s="61" t="str">
        <f aca="false">INDEX(Parametros!$C$71:$C$91,MATCH(TRIM(INDEX(Datos_Origen!$C$2:$C$2459,$Z2012)),Parametros!$B$71:$B$91,0))</f>
        <v>AMBA</v>
      </c>
      <c r="I2012" s="61" t="str">
        <f aca="false">IF(TRIM($AD2012)="",INDEX(Parametros!$I$20:$I$24,MATCH($H2012,Parametros!$H$20:$H$24,0)),TRIM($AD2012))</f>
        <v>Buenos Aires</v>
      </c>
      <c r="J2012" s="61" t="str">
        <f aca="false">INDEX(Parametros!$C$95:$C$106,MATCH(TRIM(INDEX(Datos_Origen!$E$2:$E$2459,$Z2012)),Parametros!$B$95:$B$106,0))</f>
        <v>Tienda fisica</v>
      </c>
      <c r="K2012" s="61" t="str">
        <f aca="false">INDEX(Parametros!$C$48:$C$67,MATCH(TRIM(INDEX(Datos_Origen!$F$2:$F$2459,$Z2012)),Parametros!$B$48:$B$67,0))</f>
        <v>Accesorios</v>
      </c>
      <c r="L2012" s="61" t="str">
        <f aca="false">$K2012&amp;" "&amp;$C2012</f>
        <v>Accesorios 2025</v>
      </c>
      <c r="M2012" s="61" t="str">
        <f aca="false">TRIM(INDEX(Datos_Origen!$G$2:$G$2459,$Z2012))</f>
        <v>Webcam Full HD</v>
      </c>
      <c r="N2012" s="61" t="str">
        <f aca="false">$M2012&amp;" "&amp;$C2012</f>
        <v>Webcam Full HD 2025</v>
      </c>
      <c r="O2012" s="63" t="n">
        <f aca="false">IF(ISTEXT($AC2012),VALUE($AC2012),$AC2012)</f>
        <v>91</v>
      </c>
      <c r="P2012" s="64" t="n">
        <f aca="false">INDEX(Datos_Origen!$I$2:$I$2459,$Z2012)</f>
        <v>65.26</v>
      </c>
      <c r="Q2012" s="64" t="n">
        <f aca="false">INDEX(Datos_Origen!$J$2:$J$2459,$Z2012)</f>
        <v>36.49</v>
      </c>
      <c r="R2012" s="65" t="n">
        <f aca="false">ROUND($O2012*$P2012,2)</f>
        <v>5938.66</v>
      </c>
      <c r="S2012" s="65" t="n">
        <f aca="false">ROUND($O2012*$Q2012,2)</f>
        <v>3320.59</v>
      </c>
      <c r="T2012" s="65" t="n">
        <f aca="false">ROUND($R2012*SUMIFS(Parametros!$E$28:$E$43,Parametros!$B$28:$B$43,$J2012,Parametros!$C$28:$C$43,$C2012,Parametros!$D$28:$D$43,$D2012),2)</f>
        <v>77.2</v>
      </c>
      <c r="U2012" s="65" t="n">
        <f aca="false">$R2012-$S2012-$T2012</f>
        <v>2540.87</v>
      </c>
      <c r="V2012" s="66" t="n">
        <f aca="false">IFERROR($U2012/$R2012,0)</f>
        <v>0.42785241114999</v>
      </c>
      <c r="W2012" s="67" t="str">
        <f aca="false">IF(AND($V2012&gt;=Parametros!$C$8,$R2012&gt;=Parametros!$C$12),"Alta rentabilidad",IF(OR($V2012&lt;Parametros!$C$11,$R2012&lt;Parametros!$C$13),"Revisar","Estandar"))</f>
        <v>Alta rentabilidad</v>
      </c>
      <c r="X2012" s="67" t="str">
        <f aca="false">IF(AND($J2012="E-commerce",IFERROR($T2012/$R2012,0)&gt;Parametros!$C$14),"Alerta","OK")</f>
        <v>OK</v>
      </c>
      <c r="Y2012" s="61" t="str">
        <f aca="false">IF($R2012&gt;=Parametros!$C$12,"Alto",IF($R2012&lt;Parametros!$C$13,"Bajo","Medio"))</f>
        <v>Alto</v>
      </c>
      <c r="Z2012" s="61" t="n">
        <v>867</v>
      </c>
      <c r="AA2012" s="61" t="str">
        <f aca="false">IF(MATCH($A2012,Datos_Origen!$A$2:$A$2459,0)=$Z2012,"OK","REVISAR")</f>
        <v>OK</v>
      </c>
      <c r="AB2012" s="61" t="str">
        <f aca="false">INDEX(Datos_Origen!$B$2:$B$2459,$Z2012)</f>
        <v>2025-09-11</v>
      </c>
      <c r="AC2012" s="61" t="n">
        <f aca="false">INDEX(Datos_Origen!$H$2:$H$2459,$Z2012)</f>
        <v>91</v>
      </c>
      <c r="AD2012" s="61" t="str">
        <f aca="false">INDEX(Datos_Origen!$D$2:$D$2459,$Z2012)&amp;""</f>
        <v>Buenos Aires</v>
      </c>
    </row>
    <row r="2013" customFormat="false" ht="15" hidden="false" customHeight="false" outlineLevel="0" collapsed="false">
      <c r="A2013" s="61" t="n">
        <f aca="false">INDEX(Datos_Origen!$A$2:$A$2459,$Z2013)</f>
        <v>2012</v>
      </c>
      <c r="B2013" s="62" t="n">
        <f aca="false">IF(ISNUMBER($AB2013),$AB2013,IF(MID($AB2013,5,1)="-",DATE(VALUE(LEFT($AB2013,4)),VALUE(MID($AB2013,6,2)),VALUE(RIGHT($AB2013,2))),DATE(VALUE(RIGHT($AB2013,4)),VALUE(MID($AB2013,4,2)),VALUE(LEFT($AB2013,2)))))</f>
        <v>45918</v>
      </c>
      <c r="C2013" s="61" t="n">
        <f aca="false">YEAR($B2013)</f>
        <v>2025</v>
      </c>
      <c r="D2013" s="61" t="str">
        <f aca="false">"Q"&amp;ROUNDUP(MONTH($B2013)/3,0)</f>
        <v>Q3</v>
      </c>
      <c r="E2013" s="61" t="n">
        <f aca="false">MONTH($B2013)</f>
        <v>9</v>
      </c>
      <c r="F2013" s="61" t="str">
        <f aca="false">INDEX(Parametros!$I$5:$I$16,$E2013)</f>
        <v>Sep</v>
      </c>
      <c r="G2013" s="61" t="str">
        <f aca="false">TEXT($C2013,"0000")&amp;"-"&amp;TEXT($E2013,"00")</f>
        <v>2025-09</v>
      </c>
      <c r="H2013" s="61" t="str">
        <f aca="false">INDEX(Parametros!$C$71:$C$91,MATCH(TRIM(INDEX(Datos_Origen!$C$2:$C$2459,$Z2013)),Parametros!$B$71:$B$91,0))</f>
        <v>AMBA</v>
      </c>
      <c r="I2013" s="61" t="str">
        <f aca="false">IF(TRIM($AD2013)="",INDEX(Parametros!$I$20:$I$24,MATCH($H2013,Parametros!$H$20:$H$24,0)),TRIM($AD2013))</f>
        <v>Buenos Aires</v>
      </c>
      <c r="J2013" s="61" t="str">
        <f aca="false">INDEX(Parametros!$C$95:$C$106,MATCH(TRIM(INDEX(Datos_Origen!$E$2:$E$2459,$Z2013)),Parametros!$B$95:$B$106,0))</f>
        <v>E-commerce</v>
      </c>
      <c r="K2013" s="61" t="str">
        <f aca="false">INDEX(Parametros!$C$48:$C$67,MATCH(TRIM(INDEX(Datos_Origen!$F$2:$F$2459,$Z2013)),Parametros!$B$48:$B$67,0))</f>
        <v>Accesorios</v>
      </c>
      <c r="L2013" s="61" t="str">
        <f aca="false">$K2013&amp;" "&amp;$C2013</f>
        <v>Accesorios 2025</v>
      </c>
      <c r="M2013" s="61" t="str">
        <f aca="false">TRIM(INDEX(Datos_Origen!$G$2:$G$2459,$Z2013))</f>
        <v>Webcam Full HD</v>
      </c>
      <c r="N2013" s="61" t="str">
        <f aca="false">$M2013&amp;" "&amp;$C2013</f>
        <v>Webcam Full HD 2025</v>
      </c>
      <c r="O2013" s="63" t="n">
        <f aca="false">IF(ISTEXT($AC2013),VALUE($AC2013),$AC2013)</f>
        <v>64</v>
      </c>
      <c r="P2013" s="64" t="n">
        <f aca="false">INDEX(Datos_Origen!$I$2:$I$2459,$Z2013)</f>
        <v>65.26</v>
      </c>
      <c r="Q2013" s="64" t="n">
        <f aca="false">INDEX(Datos_Origen!$J$2:$J$2459,$Z2013)</f>
        <v>36.49</v>
      </c>
      <c r="R2013" s="65" t="n">
        <f aca="false">ROUND($O2013*$P2013,2)</f>
        <v>4176.64</v>
      </c>
      <c r="S2013" s="65" t="n">
        <f aca="false">ROUND($O2013*$Q2013,2)</f>
        <v>2335.36</v>
      </c>
      <c r="T2013" s="65" t="n">
        <f aca="false">ROUND($R2013*SUMIFS(Parametros!$E$28:$E$43,Parametros!$B$28:$B$43,$J2013,Parametros!$C$28:$C$43,$C2013,Parametros!$D$28:$D$43,$D2013),2)</f>
        <v>233.89</v>
      </c>
      <c r="U2013" s="65" t="n">
        <f aca="false">$R2013-$S2013-$T2013</f>
        <v>1607.39</v>
      </c>
      <c r="V2013" s="66" t="n">
        <f aca="false">IFERROR($U2013/$R2013,0)</f>
        <v>0.384852417254061</v>
      </c>
      <c r="W2013" s="67" t="str">
        <f aca="false">IF(AND($V2013&gt;=Parametros!$C$8,$R2013&gt;=Parametros!$C$12),"Alta rentabilidad",IF(OR($V2013&lt;Parametros!$C$11,$R2013&lt;Parametros!$C$13),"Revisar","Estandar"))</f>
        <v>Alta rentabilidad</v>
      </c>
      <c r="X2013" s="67" t="str">
        <f aca="false">IF(AND($J2013="E-commerce",IFERROR($T2013/$R2013,0)&gt;Parametros!$C$14),"Alerta","OK")</f>
        <v>Alerta</v>
      </c>
      <c r="Y2013" s="61" t="str">
        <f aca="false">IF($R2013&gt;=Parametros!$C$12,"Alto",IF($R2013&lt;Parametros!$C$13,"Bajo","Medio"))</f>
        <v>Alto</v>
      </c>
      <c r="Z2013" s="61" t="n">
        <v>1352</v>
      </c>
      <c r="AA2013" s="61" t="str">
        <f aca="false">IF(MATCH($A2013,Datos_Origen!$A$2:$A$2459,0)=$Z2013,"OK","REVISAR")</f>
        <v>OK</v>
      </c>
      <c r="AB2013" s="61" t="str">
        <f aca="false">INDEX(Datos_Origen!$B$2:$B$2459,$Z2013)</f>
        <v>2025-09-18</v>
      </c>
      <c r="AC2013" s="61" t="str">
        <f aca="false">INDEX(Datos_Origen!$H$2:$H$2459,$Z2013)</f>
        <v>64</v>
      </c>
      <c r="AD2013" s="61" t="str">
        <f aca="false">INDEX(Datos_Origen!$D$2:$D$2459,$Z2013)&amp;""</f>
        <v>Buenos Aires</v>
      </c>
    </row>
    <row r="2014" customFormat="false" ht="15" hidden="false" customHeight="false" outlineLevel="0" collapsed="false">
      <c r="A2014" s="61" t="n">
        <f aca="false">INDEX(Datos_Origen!$A$2:$A$2459,$Z2014)</f>
        <v>2013</v>
      </c>
      <c r="B2014" s="62" t="n">
        <f aca="false">IF(ISNUMBER($AB2014),$AB2014,IF(MID($AB2014,5,1)="-",DATE(VALUE(LEFT($AB2014,4)),VALUE(MID($AB2014,6,2)),VALUE(RIGHT($AB2014,2))),DATE(VALUE(RIGHT($AB2014,4)),VALUE(MID($AB2014,4,2)),VALUE(LEFT($AB2014,2)))))</f>
        <v>45925</v>
      </c>
      <c r="C2014" s="61" t="n">
        <f aca="false">YEAR($B2014)</f>
        <v>2025</v>
      </c>
      <c r="D2014" s="61" t="str">
        <f aca="false">"Q"&amp;ROUNDUP(MONTH($B2014)/3,0)</f>
        <v>Q3</v>
      </c>
      <c r="E2014" s="61" t="n">
        <f aca="false">MONTH($B2014)</f>
        <v>9</v>
      </c>
      <c r="F2014" s="61" t="str">
        <f aca="false">INDEX(Parametros!$I$5:$I$16,$E2014)</f>
        <v>Sep</v>
      </c>
      <c r="G2014" s="61" t="str">
        <f aca="false">TEXT($C2014,"0000")&amp;"-"&amp;TEXT($E2014,"00")</f>
        <v>2025-09</v>
      </c>
      <c r="H2014" s="61" t="str">
        <f aca="false">INDEX(Parametros!$C$71:$C$91,MATCH(TRIM(INDEX(Datos_Origen!$C$2:$C$2459,$Z2014)),Parametros!$B$71:$B$91,0))</f>
        <v>AMBA</v>
      </c>
      <c r="I2014" s="61" t="str">
        <f aca="false">IF(TRIM($AD2014)="",INDEX(Parametros!$I$20:$I$24,MATCH($H2014,Parametros!$H$20:$H$24,0)),TRIM($AD2014))</f>
        <v>Buenos Aires</v>
      </c>
      <c r="J2014" s="61" t="str">
        <f aca="false">INDEX(Parametros!$C$95:$C$106,MATCH(TRIM(INDEX(Datos_Origen!$E$2:$E$2459,$Z2014)),Parametros!$B$95:$B$106,0))</f>
        <v>Tienda fisica</v>
      </c>
      <c r="K2014" s="61" t="str">
        <f aca="false">INDEX(Parametros!$C$48:$C$67,MATCH(TRIM(INDEX(Datos_Origen!$F$2:$F$2459,$Z2014)),Parametros!$B$48:$B$67,0))</f>
        <v>Audio</v>
      </c>
      <c r="L2014" s="61" t="str">
        <f aca="false">$K2014&amp;" "&amp;$C2014</f>
        <v>Audio 2025</v>
      </c>
      <c r="M2014" s="61" t="str">
        <f aca="false">TRIM(INDEX(Datos_Origen!$G$2:$G$2459,$Z2014))</f>
        <v>Auriculares BT Pro</v>
      </c>
      <c r="N2014" s="61" t="str">
        <f aca="false">$M2014&amp;" "&amp;$C2014</f>
        <v>Auriculares BT Pro 2025</v>
      </c>
      <c r="O2014" s="63" t="n">
        <f aca="false">IF(ISTEXT($AC2014),VALUE($AC2014),$AC2014)</f>
        <v>46</v>
      </c>
      <c r="P2014" s="64" t="n">
        <f aca="false">INDEX(Datos_Origen!$I$2:$I$2459,$Z2014)</f>
        <v>120.47</v>
      </c>
      <c r="Q2014" s="64" t="n">
        <f aca="false">INDEX(Datos_Origen!$J$2:$J$2459,$Z2014)</f>
        <v>65.51</v>
      </c>
      <c r="R2014" s="65" t="n">
        <f aca="false">ROUND($O2014*$P2014,2)</f>
        <v>5541.62</v>
      </c>
      <c r="S2014" s="65" t="n">
        <f aca="false">ROUND($O2014*$Q2014,2)</f>
        <v>3013.46</v>
      </c>
      <c r="T2014" s="65" t="n">
        <f aca="false">ROUND($R2014*SUMIFS(Parametros!$E$28:$E$43,Parametros!$B$28:$B$43,$J2014,Parametros!$C$28:$C$43,$C2014,Parametros!$D$28:$D$43,$D2014),2)</f>
        <v>72.04</v>
      </c>
      <c r="U2014" s="65" t="n">
        <f aca="false">$R2014-$S2014-$T2014</f>
        <v>2456.12</v>
      </c>
      <c r="V2014" s="66" t="n">
        <f aca="false">IFERROR($U2014/$R2014,0)</f>
        <v>0.443213356383152</v>
      </c>
      <c r="W2014" s="67" t="str">
        <f aca="false">IF(AND($V2014&gt;=Parametros!$C$8,$R2014&gt;=Parametros!$C$12),"Alta rentabilidad",IF(OR($V2014&lt;Parametros!$C$11,$R2014&lt;Parametros!$C$13),"Revisar","Estandar"))</f>
        <v>Alta rentabilidad</v>
      </c>
      <c r="X2014" s="67" t="str">
        <f aca="false">IF(AND($J2014="E-commerce",IFERROR($T2014/$R2014,0)&gt;Parametros!$C$14),"Alerta","OK")</f>
        <v>OK</v>
      </c>
      <c r="Y2014" s="61" t="str">
        <f aca="false">IF($R2014&gt;=Parametros!$C$12,"Alto",IF($R2014&lt;Parametros!$C$13,"Bajo","Medio"))</f>
        <v>Alto</v>
      </c>
      <c r="Z2014" s="61" t="n">
        <v>430</v>
      </c>
      <c r="AA2014" s="61" t="str">
        <f aca="false">IF(MATCH($A2014,Datos_Origen!$A$2:$A$2459,0)=$Z2014,"OK","REVISAR")</f>
        <v>OK</v>
      </c>
      <c r="AB2014" s="62" t="n">
        <f aca="false">INDEX(Datos_Origen!$B$2:$B$2459,$Z2014)</f>
        <v>45925</v>
      </c>
      <c r="AC2014" s="61" t="n">
        <f aca="false">INDEX(Datos_Origen!$H$2:$H$2459,$Z2014)</f>
        <v>46</v>
      </c>
      <c r="AD2014" s="61" t="str">
        <f aca="false">INDEX(Datos_Origen!$D$2:$D$2459,$Z2014)&amp;""</f>
        <v>Buenos Aires</v>
      </c>
    </row>
    <row r="2015" customFormat="false" ht="15" hidden="false" customHeight="false" outlineLevel="0" collapsed="false">
      <c r="A2015" s="61" t="n">
        <f aca="false">INDEX(Datos_Origen!$A$2:$A$2459,$Z2015)</f>
        <v>2014</v>
      </c>
      <c r="B2015" s="62" t="n">
        <f aca="false">IF(ISNUMBER($AB2015),$AB2015,IF(MID($AB2015,5,1)="-",DATE(VALUE(LEFT($AB2015,4)),VALUE(MID($AB2015,6,2)),VALUE(RIGHT($AB2015,2))),DATE(VALUE(RIGHT($AB2015,4)),VALUE(MID($AB2015,4,2)),VALUE(LEFT($AB2015,2)))))</f>
        <v>45905</v>
      </c>
      <c r="C2015" s="61" t="n">
        <f aca="false">YEAR($B2015)</f>
        <v>2025</v>
      </c>
      <c r="D2015" s="61" t="str">
        <f aca="false">"Q"&amp;ROUNDUP(MONTH($B2015)/3,0)</f>
        <v>Q3</v>
      </c>
      <c r="E2015" s="61" t="n">
        <f aca="false">MONTH($B2015)</f>
        <v>9</v>
      </c>
      <c r="F2015" s="61" t="str">
        <f aca="false">INDEX(Parametros!$I$5:$I$16,$E2015)</f>
        <v>Sep</v>
      </c>
      <c r="G2015" s="61" t="str">
        <f aca="false">TEXT($C2015,"0000")&amp;"-"&amp;TEXT($E2015,"00")</f>
        <v>2025-09</v>
      </c>
      <c r="H2015" s="61" t="str">
        <f aca="false">INDEX(Parametros!$C$71:$C$91,MATCH(TRIM(INDEX(Datos_Origen!$C$2:$C$2459,$Z2015)),Parametros!$B$71:$B$91,0))</f>
        <v>AMBA</v>
      </c>
      <c r="I2015" s="61" t="str">
        <f aca="false">IF(TRIM($AD2015)="",INDEX(Parametros!$I$20:$I$24,MATCH($H2015,Parametros!$H$20:$H$24,0)),TRIM($AD2015))</f>
        <v>Buenos Aires</v>
      </c>
      <c r="J2015" s="61" t="str">
        <f aca="false">INDEX(Parametros!$C$95:$C$106,MATCH(TRIM(INDEX(Datos_Origen!$E$2:$E$2459,$Z2015)),Parametros!$B$95:$B$106,0))</f>
        <v>E-commerce</v>
      </c>
      <c r="K2015" s="61" t="str">
        <f aca="false">INDEX(Parametros!$C$48:$C$67,MATCH(TRIM(INDEX(Datos_Origen!$F$2:$F$2459,$Z2015)),Parametros!$B$48:$B$67,0))</f>
        <v>Audio</v>
      </c>
      <c r="L2015" s="61" t="str">
        <f aca="false">$K2015&amp;" "&amp;$C2015</f>
        <v>Audio 2025</v>
      </c>
      <c r="M2015" s="61" t="str">
        <f aca="false">TRIM(INDEX(Datos_Origen!$G$2:$G$2459,$Z2015))</f>
        <v>Auriculares BT Pro</v>
      </c>
      <c r="N2015" s="61" t="str">
        <f aca="false">$M2015&amp;" "&amp;$C2015</f>
        <v>Auriculares BT Pro 2025</v>
      </c>
      <c r="O2015" s="63" t="n">
        <f aca="false">IF(ISTEXT($AC2015),VALUE($AC2015),$AC2015)</f>
        <v>31</v>
      </c>
      <c r="P2015" s="64" t="n">
        <f aca="false">INDEX(Datos_Origen!$I$2:$I$2459,$Z2015)</f>
        <v>120.47</v>
      </c>
      <c r="Q2015" s="64" t="n">
        <f aca="false">INDEX(Datos_Origen!$J$2:$J$2459,$Z2015)</f>
        <v>65.51</v>
      </c>
      <c r="R2015" s="65" t="n">
        <f aca="false">ROUND($O2015*$P2015,2)</f>
        <v>3734.57</v>
      </c>
      <c r="S2015" s="65" t="n">
        <f aca="false">ROUND($O2015*$Q2015,2)</f>
        <v>2030.81</v>
      </c>
      <c r="T2015" s="65" t="n">
        <f aca="false">ROUND($R2015*SUMIFS(Parametros!$E$28:$E$43,Parametros!$B$28:$B$43,$J2015,Parametros!$C$28:$C$43,$C2015,Parametros!$D$28:$D$43,$D2015),2)</f>
        <v>209.14</v>
      </c>
      <c r="U2015" s="65" t="n">
        <f aca="false">$R2015-$S2015-$T2015</f>
        <v>1494.62</v>
      </c>
      <c r="V2015" s="66" t="n">
        <f aca="false">IFERROR($U2015/$R2015,0)</f>
        <v>0.400212072608092</v>
      </c>
      <c r="W2015" s="67" t="str">
        <f aca="false">IF(AND($V2015&gt;=Parametros!$C$8,$R2015&gt;=Parametros!$C$12),"Alta rentabilidad",IF(OR($V2015&lt;Parametros!$C$11,$R2015&lt;Parametros!$C$13),"Revisar","Estandar"))</f>
        <v>Alta rentabilidad</v>
      </c>
      <c r="X2015" s="67" t="str">
        <f aca="false">IF(AND($J2015="E-commerce",IFERROR($T2015/$R2015,0)&gt;Parametros!$C$14),"Alerta","OK")</f>
        <v>Alerta</v>
      </c>
      <c r="Y2015" s="61" t="str">
        <f aca="false">IF($R2015&gt;=Parametros!$C$12,"Alto",IF($R2015&lt;Parametros!$C$13,"Bajo","Medio"))</f>
        <v>Alto</v>
      </c>
      <c r="Z2015" s="61" t="n">
        <v>1301</v>
      </c>
      <c r="AA2015" s="61" t="str">
        <f aca="false">IF(MATCH($A2015,Datos_Origen!$A$2:$A$2459,0)=$Z2015,"OK","REVISAR")</f>
        <v>OK</v>
      </c>
      <c r="AB2015" s="62" t="n">
        <f aca="false">INDEX(Datos_Origen!$B$2:$B$2459,$Z2015)</f>
        <v>45905</v>
      </c>
      <c r="AC2015" s="61" t="n">
        <f aca="false">INDEX(Datos_Origen!$H$2:$H$2459,$Z2015)</f>
        <v>31</v>
      </c>
      <c r="AD2015" s="61" t="str">
        <f aca="false">INDEX(Datos_Origen!$D$2:$D$2459,$Z2015)&amp;""</f>
        <v>Buenos Aires</v>
      </c>
    </row>
    <row r="2016" customFormat="false" ht="15" hidden="false" customHeight="false" outlineLevel="0" collapsed="false">
      <c r="A2016" s="61" t="n">
        <f aca="false">INDEX(Datos_Origen!$A$2:$A$2459,$Z2016)</f>
        <v>2015</v>
      </c>
      <c r="B2016" s="62" t="n">
        <f aca="false">IF(ISNUMBER($AB2016),$AB2016,IF(MID($AB2016,5,1)="-",DATE(VALUE(LEFT($AB2016,4)),VALUE(MID($AB2016,6,2)),VALUE(RIGHT($AB2016,2))),DATE(VALUE(RIGHT($AB2016,4)),VALUE(MID($AB2016,4,2)),VALUE(LEFT($AB2016,2)))))</f>
        <v>45912</v>
      </c>
      <c r="C2016" s="61" t="n">
        <f aca="false">YEAR($B2016)</f>
        <v>2025</v>
      </c>
      <c r="D2016" s="61" t="str">
        <f aca="false">"Q"&amp;ROUNDUP(MONTH($B2016)/3,0)</f>
        <v>Q3</v>
      </c>
      <c r="E2016" s="61" t="n">
        <f aca="false">MONTH($B2016)</f>
        <v>9</v>
      </c>
      <c r="F2016" s="61" t="str">
        <f aca="false">INDEX(Parametros!$I$5:$I$16,$E2016)</f>
        <v>Sep</v>
      </c>
      <c r="G2016" s="61" t="str">
        <f aca="false">TEXT($C2016,"0000")&amp;"-"&amp;TEXT($E2016,"00")</f>
        <v>2025-09</v>
      </c>
      <c r="H2016" s="61" t="str">
        <f aca="false">INDEX(Parametros!$C$71:$C$91,MATCH(TRIM(INDEX(Datos_Origen!$C$2:$C$2459,$Z2016)),Parametros!$B$71:$B$91,0))</f>
        <v>AMBA</v>
      </c>
      <c r="I2016" s="61" t="str">
        <f aca="false">IF(TRIM($AD2016)="",INDEX(Parametros!$I$20:$I$24,MATCH($H2016,Parametros!$H$20:$H$24,0)),TRIM($AD2016))</f>
        <v>Buenos Aires</v>
      </c>
      <c r="J2016" s="61" t="str">
        <f aca="false">INDEX(Parametros!$C$95:$C$106,MATCH(TRIM(INDEX(Datos_Origen!$E$2:$E$2459,$Z2016)),Parametros!$B$95:$B$106,0))</f>
        <v>Tienda fisica</v>
      </c>
      <c r="K2016" s="61" t="str">
        <f aca="false">INDEX(Parametros!$C$48:$C$67,MATCH(TRIM(INDEX(Datos_Origen!$F$2:$F$2459,$Z2016)),Parametros!$B$48:$B$67,0))</f>
        <v>Audio</v>
      </c>
      <c r="L2016" s="61" t="str">
        <f aca="false">$K2016&amp;" "&amp;$C2016</f>
        <v>Audio 2025</v>
      </c>
      <c r="M2016" s="61" t="str">
        <f aca="false">TRIM(INDEX(Datos_Origen!$G$2:$G$2459,$Z2016))</f>
        <v>Parlante Bluetooth</v>
      </c>
      <c r="N2016" s="61" t="str">
        <f aca="false">$M2016&amp;" "&amp;$C2016</f>
        <v>Parlante Bluetooth 2025</v>
      </c>
      <c r="O2016" s="63" t="n">
        <f aca="false">IF(ISTEXT($AC2016),VALUE($AC2016),$AC2016)</f>
        <v>36</v>
      </c>
      <c r="P2016" s="64" t="n">
        <f aca="false">INDEX(Datos_Origen!$I$2:$I$2459,$Z2016)</f>
        <v>85.34</v>
      </c>
      <c r="Q2016" s="64" t="n">
        <f aca="false">INDEX(Datos_Origen!$J$2:$J$2459,$Z2016)</f>
        <v>49.47</v>
      </c>
      <c r="R2016" s="65" t="n">
        <f aca="false">ROUND($O2016*$P2016,2)</f>
        <v>3072.24</v>
      </c>
      <c r="S2016" s="65" t="n">
        <f aca="false">ROUND($O2016*$Q2016,2)</f>
        <v>1780.92</v>
      </c>
      <c r="T2016" s="65" t="n">
        <f aca="false">ROUND($R2016*SUMIFS(Parametros!$E$28:$E$43,Parametros!$B$28:$B$43,$J2016,Parametros!$C$28:$C$43,$C2016,Parametros!$D$28:$D$43,$D2016),2)</f>
        <v>39.94</v>
      </c>
      <c r="U2016" s="65" t="n">
        <f aca="false">$R2016-$S2016-$T2016</f>
        <v>1251.38</v>
      </c>
      <c r="V2016" s="66" t="n">
        <f aca="false">IFERROR($U2016/$R2016,0)</f>
        <v>0.407318438663646</v>
      </c>
      <c r="W2016" s="67" t="str">
        <f aca="false">IF(AND($V2016&gt;=Parametros!$C$8,$R2016&gt;=Parametros!$C$12),"Alta rentabilidad",IF(OR($V2016&lt;Parametros!$C$11,$R2016&lt;Parametros!$C$13),"Revisar","Estandar"))</f>
        <v>Alta rentabilidad</v>
      </c>
      <c r="X2016" s="67" t="str">
        <f aca="false">IF(AND($J2016="E-commerce",IFERROR($T2016/$R2016,0)&gt;Parametros!$C$14),"Alerta","OK")</f>
        <v>OK</v>
      </c>
      <c r="Y2016" s="61" t="str">
        <f aca="false">IF($R2016&gt;=Parametros!$C$12,"Alto",IF($R2016&lt;Parametros!$C$13,"Bajo","Medio"))</f>
        <v>Alto</v>
      </c>
      <c r="Z2016" s="61" t="n">
        <v>845</v>
      </c>
      <c r="AA2016" s="61" t="str">
        <f aca="false">IF(MATCH($A2016,Datos_Origen!$A$2:$A$2459,0)=$Z2016,"OK","REVISAR")</f>
        <v>OK</v>
      </c>
      <c r="AB2016" s="61" t="str">
        <f aca="false">INDEX(Datos_Origen!$B$2:$B$2459,$Z2016)</f>
        <v>12/09/2025</v>
      </c>
      <c r="AC2016" s="61" t="n">
        <f aca="false">INDEX(Datos_Origen!$H$2:$H$2459,$Z2016)</f>
        <v>36</v>
      </c>
      <c r="AD2016" s="61" t="str">
        <f aca="false">INDEX(Datos_Origen!$D$2:$D$2459,$Z2016)&amp;""</f>
        <v>Buenos Aires</v>
      </c>
    </row>
    <row r="2017" customFormat="false" ht="15" hidden="false" customHeight="false" outlineLevel="0" collapsed="false">
      <c r="A2017" s="61" t="n">
        <f aca="false">INDEX(Datos_Origen!$A$2:$A$2459,$Z2017)</f>
        <v>2016</v>
      </c>
      <c r="B2017" s="62" t="n">
        <f aca="false">IF(ISNUMBER($AB2017),$AB2017,IF(MID($AB2017,5,1)="-",DATE(VALUE(LEFT($AB2017,4)),VALUE(MID($AB2017,6,2)),VALUE(RIGHT($AB2017,2))),DATE(VALUE(RIGHT($AB2017,4)),VALUE(MID($AB2017,4,2)),VALUE(LEFT($AB2017,2)))))</f>
        <v>45919</v>
      </c>
      <c r="C2017" s="61" t="n">
        <f aca="false">YEAR($B2017)</f>
        <v>2025</v>
      </c>
      <c r="D2017" s="61" t="str">
        <f aca="false">"Q"&amp;ROUNDUP(MONTH($B2017)/3,0)</f>
        <v>Q3</v>
      </c>
      <c r="E2017" s="61" t="n">
        <f aca="false">MONTH($B2017)</f>
        <v>9</v>
      </c>
      <c r="F2017" s="61" t="str">
        <f aca="false">INDEX(Parametros!$I$5:$I$16,$E2017)</f>
        <v>Sep</v>
      </c>
      <c r="G2017" s="61" t="str">
        <f aca="false">TEXT($C2017,"0000")&amp;"-"&amp;TEXT($E2017,"00")</f>
        <v>2025-09</v>
      </c>
      <c r="H2017" s="61" t="str">
        <f aca="false">INDEX(Parametros!$C$71:$C$91,MATCH(TRIM(INDEX(Datos_Origen!$C$2:$C$2459,$Z2017)),Parametros!$B$71:$B$91,0))</f>
        <v>AMBA</v>
      </c>
      <c r="I2017" s="61" t="str">
        <f aca="false">IF(TRIM($AD2017)="",INDEX(Parametros!$I$20:$I$24,MATCH($H2017,Parametros!$H$20:$H$24,0)),TRIM($AD2017))</f>
        <v>Buenos Aires</v>
      </c>
      <c r="J2017" s="61" t="str">
        <f aca="false">INDEX(Parametros!$C$95:$C$106,MATCH(TRIM(INDEX(Datos_Origen!$E$2:$E$2459,$Z2017)),Parametros!$B$95:$B$106,0))</f>
        <v>E-commerce</v>
      </c>
      <c r="K2017" s="61" t="str">
        <f aca="false">INDEX(Parametros!$C$48:$C$67,MATCH(TRIM(INDEX(Datos_Origen!$F$2:$F$2459,$Z2017)),Parametros!$B$48:$B$67,0))</f>
        <v>Audio</v>
      </c>
      <c r="L2017" s="61" t="str">
        <f aca="false">$K2017&amp;" "&amp;$C2017</f>
        <v>Audio 2025</v>
      </c>
      <c r="M2017" s="61" t="str">
        <f aca="false">TRIM(INDEX(Datos_Origen!$G$2:$G$2459,$Z2017))</f>
        <v>Parlante Bluetooth</v>
      </c>
      <c r="N2017" s="61" t="str">
        <f aca="false">$M2017&amp;" "&amp;$C2017</f>
        <v>Parlante Bluetooth 2025</v>
      </c>
      <c r="O2017" s="63" t="n">
        <f aca="false">IF(ISTEXT($AC2017),VALUE($AC2017),$AC2017)</f>
        <v>35</v>
      </c>
      <c r="P2017" s="64" t="n">
        <f aca="false">INDEX(Datos_Origen!$I$2:$I$2459,$Z2017)</f>
        <v>85.34</v>
      </c>
      <c r="Q2017" s="64" t="n">
        <f aca="false">INDEX(Datos_Origen!$J$2:$J$2459,$Z2017)</f>
        <v>49.47</v>
      </c>
      <c r="R2017" s="65" t="n">
        <f aca="false">ROUND($O2017*$P2017,2)</f>
        <v>2986.9</v>
      </c>
      <c r="S2017" s="65" t="n">
        <f aca="false">ROUND($O2017*$Q2017,2)</f>
        <v>1731.45</v>
      </c>
      <c r="T2017" s="65" t="n">
        <f aca="false">ROUND($R2017*SUMIFS(Parametros!$E$28:$E$43,Parametros!$B$28:$B$43,$J2017,Parametros!$C$28:$C$43,$C2017,Parametros!$D$28:$D$43,$D2017),2)</f>
        <v>167.27</v>
      </c>
      <c r="U2017" s="65" t="n">
        <f aca="false">$R2017-$S2017-$T2017</f>
        <v>1088.18</v>
      </c>
      <c r="V2017" s="66" t="n">
        <f aca="false">IFERROR($U2017/$R2017,0)</f>
        <v>0.36431751983662</v>
      </c>
      <c r="W2017" s="67" t="str">
        <f aca="false">IF(AND($V2017&gt;=Parametros!$C$8,$R2017&gt;=Parametros!$C$12),"Alta rentabilidad",IF(OR($V2017&lt;Parametros!$C$11,$R2017&lt;Parametros!$C$13),"Revisar","Estandar"))</f>
        <v>Estandar</v>
      </c>
      <c r="X2017" s="67" t="str">
        <f aca="false">IF(AND($J2017="E-commerce",IFERROR($T2017/$R2017,0)&gt;Parametros!$C$14),"Alerta","OK")</f>
        <v>Alerta</v>
      </c>
      <c r="Y2017" s="61" t="str">
        <f aca="false">IF($R2017&gt;=Parametros!$C$12,"Alto",IF($R2017&lt;Parametros!$C$13,"Bajo","Medio"))</f>
        <v>Medio</v>
      </c>
      <c r="Z2017" s="61" t="n">
        <v>874</v>
      </c>
      <c r="AA2017" s="61" t="str">
        <f aca="false">IF(MATCH($A2017,Datos_Origen!$A$2:$A$2459,0)=$Z2017,"OK","REVISAR")</f>
        <v>OK</v>
      </c>
      <c r="AB2017" s="61" t="str">
        <f aca="false">INDEX(Datos_Origen!$B$2:$B$2459,$Z2017)</f>
        <v>2025-09-19</v>
      </c>
      <c r="AC2017" s="61" t="n">
        <f aca="false">INDEX(Datos_Origen!$H$2:$H$2459,$Z2017)</f>
        <v>35</v>
      </c>
      <c r="AD2017" s="61" t="str">
        <f aca="false">INDEX(Datos_Origen!$D$2:$D$2459,$Z2017)&amp;""</f>
        <v>Buenos Aires</v>
      </c>
    </row>
    <row r="2018" customFormat="false" ht="15" hidden="false" customHeight="false" outlineLevel="0" collapsed="false">
      <c r="A2018" s="61" t="n">
        <f aca="false">INDEX(Datos_Origen!$A$2:$A$2459,$Z2018)</f>
        <v>2017</v>
      </c>
      <c r="B2018" s="62" t="n">
        <f aca="false">IF(ISNUMBER($AB2018),$AB2018,IF(MID($AB2018,5,1)="-",DATE(VALUE(LEFT($AB2018,4)),VALUE(MID($AB2018,6,2)),VALUE(RIGHT($AB2018,2))),DATE(VALUE(RIGHT($AB2018,4)),VALUE(MID($AB2018,4,2)),VALUE(LEFT($AB2018,2)))))</f>
        <v>45926</v>
      </c>
      <c r="C2018" s="61" t="n">
        <f aca="false">YEAR($B2018)</f>
        <v>2025</v>
      </c>
      <c r="D2018" s="61" t="str">
        <f aca="false">"Q"&amp;ROUNDUP(MONTH($B2018)/3,0)</f>
        <v>Q3</v>
      </c>
      <c r="E2018" s="61" t="n">
        <f aca="false">MONTH($B2018)</f>
        <v>9</v>
      </c>
      <c r="F2018" s="61" t="str">
        <f aca="false">INDEX(Parametros!$I$5:$I$16,$E2018)</f>
        <v>Sep</v>
      </c>
      <c r="G2018" s="61" t="str">
        <f aca="false">TEXT($C2018,"0000")&amp;"-"&amp;TEXT($E2018,"00")</f>
        <v>2025-09</v>
      </c>
      <c r="H2018" s="61" t="str">
        <f aca="false">INDEX(Parametros!$C$71:$C$91,MATCH(TRIM(INDEX(Datos_Origen!$C$2:$C$2459,$Z2018)),Parametros!$B$71:$B$91,0))</f>
        <v>AMBA</v>
      </c>
      <c r="I2018" s="61" t="str">
        <f aca="false">IF(TRIM($AD2018)="",INDEX(Parametros!$I$20:$I$24,MATCH($H2018,Parametros!$H$20:$H$24,0)),TRIM($AD2018))</f>
        <v>Buenos Aires</v>
      </c>
      <c r="J2018" s="61" t="str">
        <f aca="false">INDEX(Parametros!$C$95:$C$106,MATCH(TRIM(INDEX(Datos_Origen!$E$2:$E$2459,$Z2018)),Parametros!$B$95:$B$106,0))</f>
        <v>Tienda fisica</v>
      </c>
      <c r="K2018" s="61" t="str">
        <f aca="false">INDEX(Parametros!$C$48:$C$67,MATCH(TRIM(INDEX(Datos_Origen!$F$2:$F$2459,$Z2018)),Parametros!$B$48:$B$67,0))</f>
        <v>Almacenamiento</v>
      </c>
      <c r="L2018" s="61" t="str">
        <f aca="false">$K2018&amp;" "&amp;$C2018</f>
        <v>Almacenamiento 2025</v>
      </c>
      <c r="M2018" s="61" t="str">
        <f aca="false">TRIM(INDEX(Datos_Origen!$G$2:$G$2459,$Z2018))</f>
        <v>SSD Externo 1TB</v>
      </c>
      <c r="N2018" s="61" t="str">
        <f aca="false">$M2018&amp;" "&amp;$C2018</f>
        <v>SSD Externo 1TB 2025</v>
      </c>
      <c r="O2018" s="63" t="n">
        <f aca="false">IF(ISTEXT($AC2018),VALUE($AC2018),$AC2018)</f>
        <v>56</v>
      </c>
      <c r="P2018" s="64" t="n">
        <f aca="false">INDEX(Datos_Origen!$I$2:$I$2459,$Z2018)</f>
        <v>130.51</v>
      </c>
      <c r="Q2018" s="64" t="n">
        <f aca="false">INDEX(Datos_Origen!$J$2:$J$2459,$Z2018)</f>
        <v>78.33</v>
      </c>
      <c r="R2018" s="65" t="n">
        <f aca="false">ROUND($O2018*$P2018,2)</f>
        <v>7308.56</v>
      </c>
      <c r="S2018" s="65" t="n">
        <f aca="false">ROUND($O2018*$Q2018,2)</f>
        <v>4386.48</v>
      </c>
      <c r="T2018" s="65" t="n">
        <f aca="false">ROUND($R2018*SUMIFS(Parametros!$E$28:$E$43,Parametros!$B$28:$B$43,$J2018,Parametros!$C$28:$C$43,$C2018,Parametros!$D$28:$D$43,$D2018),2)</f>
        <v>95.01</v>
      </c>
      <c r="U2018" s="65" t="n">
        <f aca="false">$R2018-$S2018-$T2018</f>
        <v>2827.07</v>
      </c>
      <c r="V2018" s="66" t="n">
        <f aca="false">IFERROR($U2018/$R2018,0)</f>
        <v>0.386816281182613</v>
      </c>
      <c r="W2018" s="67" t="str">
        <f aca="false">IF(AND($V2018&gt;=Parametros!$C$8,$R2018&gt;=Parametros!$C$12),"Alta rentabilidad",IF(OR($V2018&lt;Parametros!$C$11,$R2018&lt;Parametros!$C$13),"Revisar","Estandar"))</f>
        <v>Alta rentabilidad</v>
      </c>
      <c r="X2018" s="67" t="str">
        <f aca="false">IF(AND($J2018="E-commerce",IFERROR($T2018/$R2018,0)&gt;Parametros!$C$14),"Alerta","OK")</f>
        <v>OK</v>
      </c>
      <c r="Y2018" s="61" t="str">
        <f aca="false">IF($R2018&gt;=Parametros!$C$12,"Alto",IF($R2018&lt;Parametros!$C$13,"Bajo","Medio"))</f>
        <v>Alto</v>
      </c>
      <c r="Z2018" s="61" t="n">
        <v>516</v>
      </c>
      <c r="AA2018" s="61" t="str">
        <f aca="false">IF(MATCH($A2018,Datos_Origen!$A$2:$A$2459,0)=$Z2018,"OK","REVISAR")</f>
        <v>OK</v>
      </c>
      <c r="AB2018" s="62" t="n">
        <f aca="false">INDEX(Datos_Origen!$B$2:$B$2459,$Z2018)</f>
        <v>45926</v>
      </c>
      <c r="AC2018" s="61" t="n">
        <f aca="false">INDEX(Datos_Origen!$H$2:$H$2459,$Z2018)</f>
        <v>56</v>
      </c>
      <c r="AD2018" s="61" t="str">
        <f aca="false">INDEX(Datos_Origen!$D$2:$D$2459,$Z2018)&amp;""</f>
        <v>Buenos Aires</v>
      </c>
    </row>
    <row r="2019" customFormat="false" ht="15" hidden="false" customHeight="false" outlineLevel="0" collapsed="false">
      <c r="A2019" s="61" t="n">
        <f aca="false">INDEX(Datos_Origen!$A$2:$A$2459,$Z2019)</f>
        <v>2018</v>
      </c>
      <c r="B2019" s="62" t="n">
        <f aca="false">IF(ISNUMBER($AB2019),$AB2019,IF(MID($AB2019,5,1)="-",DATE(VALUE(LEFT($AB2019,4)),VALUE(MID($AB2019,6,2)),VALUE(RIGHT($AB2019,2))),DATE(VALUE(RIGHT($AB2019,4)),VALUE(MID($AB2019,4,2)),VALUE(LEFT($AB2019,2)))))</f>
        <v>45906</v>
      </c>
      <c r="C2019" s="61" t="n">
        <f aca="false">YEAR($B2019)</f>
        <v>2025</v>
      </c>
      <c r="D2019" s="61" t="str">
        <f aca="false">"Q"&amp;ROUNDUP(MONTH($B2019)/3,0)</f>
        <v>Q3</v>
      </c>
      <c r="E2019" s="61" t="n">
        <f aca="false">MONTH($B2019)</f>
        <v>9</v>
      </c>
      <c r="F2019" s="61" t="str">
        <f aca="false">INDEX(Parametros!$I$5:$I$16,$E2019)</f>
        <v>Sep</v>
      </c>
      <c r="G2019" s="61" t="str">
        <f aca="false">TEXT($C2019,"0000")&amp;"-"&amp;TEXT($E2019,"00")</f>
        <v>2025-09</v>
      </c>
      <c r="H2019" s="61" t="str">
        <f aca="false">INDEX(Parametros!$C$71:$C$91,MATCH(TRIM(INDEX(Datos_Origen!$C$2:$C$2459,$Z2019)),Parametros!$B$71:$B$91,0))</f>
        <v>AMBA</v>
      </c>
      <c r="I2019" s="61" t="str">
        <f aca="false">IF(TRIM($AD2019)="",INDEX(Parametros!$I$20:$I$24,MATCH($H2019,Parametros!$H$20:$H$24,0)),TRIM($AD2019))</f>
        <v>Buenos Aires</v>
      </c>
      <c r="J2019" s="61" t="str">
        <f aca="false">INDEX(Parametros!$C$95:$C$106,MATCH(TRIM(INDEX(Datos_Origen!$E$2:$E$2459,$Z2019)),Parametros!$B$95:$B$106,0))</f>
        <v>E-commerce</v>
      </c>
      <c r="K2019" s="61" t="str">
        <f aca="false">INDEX(Parametros!$C$48:$C$67,MATCH(TRIM(INDEX(Datos_Origen!$F$2:$F$2459,$Z2019)),Parametros!$B$48:$B$67,0))</f>
        <v>Almacenamiento</v>
      </c>
      <c r="L2019" s="61" t="str">
        <f aca="false">$K2019&amp;" "&amp;$C2019</f>
        <v>Almacenamiento 2025</v>
      </c>
      <c r="M2019" s="61" t="str">
        <f aca="false">TRIM(INDEX(Datos_Origen!$G$2:$G$2459,$Z2019))</f>
        <v>SSD Externo 1TB</v>
      </c>
      <c r="N2019" s="61" t="str">
        <f aca="false">$M2019&amp;" "&amp;$C2019</f>
        <v>SSD Externo 1TB 2025</v>
      </c>
      <c r="O2019" s="63" t="n">
        <f aca="false">IF(ISTEXT($AC2019),VALUE($AC2019),$AC2019)</f>
        <v>34</v>
      </c>
      <c r="P2019" s="64" t="n">
        <f aca="false">INDEX(Datos_Origen!$I$2:$I$2459,$Z2019)</f>
        <v>130.51</v>
      </c>
      <c r="Q2019" s="64" t="n">
        <f aca="false">INDEX(Datos_Origen!$J$2:$J$2459,$Z2019)</f>
        <v>78.33</v>
      </c>
      <c r="R2019" s="65" t="n">
        <f aca="false">ROUND($O2019*$P2019,2)</f>
        <v>4437.34</v>
      </c>
      <c r="S2019" s="65" t="n">
        <f aca="false">ROUND($O2019*$Q2019,2)</f>
        <v>2663.22</v>
      </c>
      <c r="T2019" s="65" t="n">
        <f aca="false">ROUND($R2019*SUMIFS(Parametros!$E$28:$E$43,Parametros!$B$28:$B$43,$J2019,Parametros!$C$28:$C$43,$C2019,Parametros!$D$28:$D$43,$D2019),2)</f>
        <v>248.49</v>
      </c>
      <c r="U2019" s="65" t="n">
        <f aca="false">$R2019-$S2019-$T2019</f>
        <v>1525.63</v>
      </c>
      <c r="V2019" s="66" t="n">
        <f aca="false">IFERROR($U2019/$R2019,0)</f>
        <v>0.343816340420162</v>
      </c>
      <c r="W2019" s="67" t="str">
        <f aca="false">IF(AND($V2019&gt;=Parametros!$C$8,$R2019&gt;=Parametros!$C$12),"Alta rentabilidad",IF(OR($V2019&lt;Parametros!$C$11,$R2019&lt;Parametros!$C$13),"Revisar","Estandar"))</f>
        <v>Alta rentabilidad</v>
      </c>
      <c r="X2019" s="67" t="str">
        <f aca="false">IF(AND($J2019="E-commerce",IFERROR($T2019/$R2019,0)&gt;Parametros!$C$14),"Alerta","OK")</f>
        <v>Alerta</v>
      </c>
      <c r="Y2019" s="61" t="str">
        <f aca="false">IF($R2019&gt;=Parametros!$C$12,"Alto",IF($R2019&lt;Parametros!$C$13,"Bajo","Medio"))</f>
        <v>Alto</v>
      </c>
      <c r="Z2019" s="61" t="n">
        <v>2188</v>
      </c>
      <c r="AA2019" s="61" t="str">
        <f aca="false">IF(MATCH($A2019,Datos_Origen!$A$2:$A$2459,0)=$Z2019,"OK","REVISAR")</f>
        <v>OK</v>
      </c>
      <c r="AB2019" s="62" t="n">
        <f aca="false">INDEX(Datos_Origen!$B$2:$B$2459,$Z2019)</f>
        <v>45906</v>
      </c>
      <c r="AC2019" s="61" t="n">
        <f aca="false">INDEX(Datos_Origen!$H$2:$H$2459,$Z2019)</f>
        <v>34</v>
      </c>
      <c r="AD2019" s="61" t="str">
        <f aca="false">INDEX(Datos_Origen!$D$2:$D$2459,$Z2019)&amp;""</f>
        <v>Buenos Aires</v>
      </c>
    </row>
    <row r="2020" customFormat="false" ht="15" hidden="false" customHeight="false" outlineLevel="0" collapsed="false">
      <c r="A2020" s="61" t="n">
        <f aca="false">INDEX(Datos_Origen!$A$2:$A$2459,$Z2020)</f>
        <v>2019</v>
      </c>
      <c r="B2020" s="62" t="n">
        <f aca="false">IF(ISNUMBER($AB2020),$AB2020,IF(MID($AB2020,5,1)="-",DATE(VALUE(LEFT($AB2020,4)),VALUE(MID($AB2020,6,2)),VALUE(RIGHT($AB2020,2))),DATE(VALUE(RIGHT($AB2020,4)),VALUE(MID($AB2020,4,2)),VALUE(LEFT($AB2020,2)))))</f>
        <v>45913</v>
      </c>
      <c r="C2020" s="61" t="n">
        <f aca="false">YEAR($B2020)</f>
        <v>2025</v>
      </c>
      <c r="D2020" s="61" t="str">
        <f aca="false">"Q"&amp;ROUNDUP(MONTH($B2020)/3,0)</f>
        <v>Q3</v>
      </c>
      <c r="E2020" s="61" t="n">
        <f aca="false">MONTH($B2020)</f>
        <v>9</v>
      </c>
      <c r="F2020" s="61" t="str">
        <f aca="false">INDEX(Parametros!$I$5:$I$16,$E2020)</f>
        <v>Sep</v>
      </c>
      <c r="G2020" s="61" t="str">
        <f aca="false">TEXT($C2020,"0000")&amp;"-"&amp;TEXT($E2020,"00")</f>
        <v>2025-09</v>
      </c>
      <c r="H2020" s="61" t="str">
        <f aca="false">INDEX(Parametros!$C$71:$C$91,MATCH(TRIM(INDEX(Datos_Origen!$C$2:$C$2459,$Z2020)),Parametros!$B$71:$B$91,0))</f>
        <v>AMBA</v>
      </c>
      <c r="I2020" s="61" t="str">
        <f aca="false">IF(TRIM($AD2020)="",INDEX(Parametros!$I$20:$I$24,MATCH($H2020,Parametros!$H$20:$H$24,0)),TRIM($AD2020))</f>
        <v>Buenos Aires</v>
      </c>
      <c r="J2020" s="61" t="str">
        <f aca="false">INDEX(Parametros!$C$95:$C$106,MATCH(TRIM(INDEX(Datos_Origen!$E$2:$E$2459,$Z2020)),Parametros!$B$95:$B$106,0))</f>
        <v>Tienda fisica</v>
      </c>
      <c r="K2020" s="61" t="str">
        <f aca="false">INDEX(Parametros!$C$48:$C$67,MATCH(TRIM(INDEX(Datos_Origen!$F$2:$F$2459,$Z2020)),Parametros!$B$48:$B$67,0))</f>
        <v>Almacenamiento</v>
      </c>
      <c r="L2020" s="61" t="str">
        <f aca="false">$K2020&amp;" "&amp;$C2020</f>
        <v>Almacenamiento 2025</v>
      </c>
      <c r="M2020" s="61" t="str">
        <f aca="false">TRIM(INDEX(Datos_Origen!$G$2:$G$2459,$Z2020))</f>
        <v>Pendrive 256GB</v>
      </c>
      <c r="N2020" s="61" t="str">
        <f aca="false">$M2020&amp;" "&amp;$C2020</f>
        <v>Pendrive 256GB 2025</v>
      </c>
      <c r="O2020" s="63" t="n">
        <f aca="false">IF(ISTEXT($AC2020),VALUE($AC2020),$AC2020)</f>
        <v>48</v>
      </c>
      <c r="P2020" s="64" t="n">
        <f aca="false">INDEX(Datos_Origen!$I$2:$I$2459,$Z2020)</f>
        <v>35.14</v>
      </c>
      <c r="Q2020" s="64" t="n">
        <f aca="false">INDEX(Datos_Origen!$J$2:$J$2459,$Z2020)</f>
        <v>18.39</v>
      </c>
      <c r="R2020" s="65" t="n">
        <f aca="false">ROUND($O2020*$P2020,2)</f>
        <v>1686.72</v>
      </c>
      <c r="S2020" s="65" t="n">
        <f aca="false">ROUND($O2020*$Q2020,2)</f>
        <v>882.72</v>
      </c>
      <c r="T2020" s="65" t="n">
        <f aca="false">ROUND($R2020*SUMIFS(Parametros!$E$28:$E$43,Parametros!$B$28:$B$43,$J2020,Parametros!$C$28:$C$43,$C2020,Parametros!$D$28:$D$43,$D2020),2)</f>
        <v>21.93</v>
      </c>
      <c r="U2020" s="65" t="n">
        <f aca="false">$R2020-$S2020-$T2020</f>
        <v>782.07</v>
      </c>
      <c r="V2020" s="66" t="n">
        <f aca="false">IFERROR($U2020/$R2020,0)</f>
        <v>0.463663204325555</v>
      </c>
      <c r="W2020" s="67" t="str">
        <f aca="false">IF(AND($V2020&gt;=Parametros!$C$8,$R2020&gt;=Parametros!$C$12),"Alta rentabilidad",IF(OR($V2020&lt;Parametros!$C$11,$R2020&lt;Parametros!$C$13),"Revisar","Estandar"))</f>
        <v>Estandar</v>
      </c>
      <c r="X2020" s="67" t="str">
        <f aca="false">IF(AND($J2020="E-commerce",IFERROR($T2020/$R2020,0)&gt;Parametros!$C$14),"Alerta","OK")</f>
        <v>OK</v>
      </c>
      <c r="Y2020" s="61" t="str">
        <f aca="false">IF($R2020&gt;=Parametros!$C$12,"Alto",IF($R2020&lt;Parametros!$C$13,"Bajo","Medio"))</f>
        <v>Medio</v>
      </c>
      <c r="Z2020" s="61" t="n">
        <v>857</v>
      </c>
      <c r="AA2020" s="61" t="str">
        <f aca="false">IF(MATCH($A2020,Datos_Origen!$A$2:$A$2459,0)=$Z2020,"OK","REVISAR")</f>
        <v>OK</v>
      </c>
      <c r="AB2020" s="62" t="n">
        <f aca="false">INDEX(Datos_Origen!$B$2:$B$2459,$Z2020)</f>
        <v>45913</v>
      </c>
      <c r="AC2020" s="61" t="str">
        <f aca="false">INDEX(Datos_Origen!$H$2:$H$2459,$Z2020)</f>
        <v>48</v>
      </c>
      <c r="AD2020" s="61" t="str">
        <f aca="false">INDEX(Datos_Origen!$D$2:$D$2459,$Z2020)&amp;""</f>
        <v>Buenos Aires</v>
      </c>
    </row>
    <row r="2021" customFormat="false" ht="15" hidden="false" customHeight="false" outlineLevel="0" collapsed="false">
      <c r="A2021" s="61" t="n">
        <f aca="false">INDEX(Datos_Origen!$A$2:$A$2459,$Z2021)</f>
        <v>2020</v>
      </c>
      <c r="B2021" s="62" t="n">
        <f aca="false">IF(ISNUMBER($AB2021),$AB2021,IF(MID($AB2021,5,1)="-",DATE(VALUE(LEFT($AB2021,4)),VALUE(MID($AB2021,6,2)),VALUE(RIGHT($AB2021,2))),DATE(VALUE(RIGHT($AB2021,4)),VALUE(MID($AB2021,4,2)),VALUE(LEFT($AB2021,2)))))</f>
        <v>45920</v>
      </c>
      <c r="C2021" s="61" t="n">
        <f aca="false">YEAR($B2021)</f>
        <v>2025</v>
      </c>
      <c r="D2021" s="61" t="str">
        <f aca="false">"Q"&amp;ROUNDUP(MONTH($B2021)/3,0)</f>
        <v>Q3</v>
      </c>
      <c r="E2021" s="61" t="n">
        <f aca="false">MONTH($B2021)</f>
        <v>9</v>
      </c>
      <c r="F2021" s="61" t="str">
        <f aca="false">INDEX(Parametros!$I$5:$I$16,$E2021)</f>
        <v>Sep</v>
      </c>
      <c r="G2021" s="61" t="str">
        <f aca="false">TEXT($C2021,"0000")&amp;"-"&amp;TEXT($E2021,"00")</f>
        <v>2025-09</v>
      </c>
      <c r="H2021" s="61" t="str">
        <f aca="false">INDEX(Parametros!$C$71:$C$91,MATCH(TRIM(INDEX(Datos_Origen!$C$2:$C$2459,$Z2021)),Parametros!$B$71:$B$91,0))</f>
        <v>AMBA</v>
      </c>
      <c r="I2021" s="61" t="str">
        <f aca="false">IF(TRIM($AD2021)="",INDEX(Parametros!$I$20:$I$24,MATCH($H2021,Parametros!$H$20:$H$24,0)),TRIM($AD2021))</f>
        <v>Buenos Aires</v>
      </c>
      <c r="J2021" s="61" t="str">
        <f aca="false">INDEX(Parametros!$C$95:$C$106,MATCH(TRIM(INDEX(Datos_Origen!$E$2:$E$2459,$Z2021)),Parametros!$B$95:$B$106,0))</f>
        <v>E-commerce</v>
      </c>
      <c r="K2021" s="61" t="str">
        <f aca="false">INDEX(Parametros!$C$48:$C$67,MATCH(TRIM(INDEX(Datos_Origen!$F$2:$F$2459,$Z2021)),Parametros!$B$48:$B$67,0))</f>
        <v>Almacenamiento</v>
      </c>
      <c r="L2021" s="61" t="str">
        <f aca="false">$K2021&amp;" "&amp;$C2021</f>
        <v>Almacenamiento 2025</v>
      </c>
      <c r="M2021" s="61" t="str">
        <f aca="false">TRIM(INDEX(Datos_Origen!$G$2:$G$2459,$Z2021))</f>
        <v>Pendrive 256GB</v>
      </c>
      <c r="N2021" s="61" t="str">
        <f aca="false">$M2021&amp;" "&amp;$C2021</f>
        <v>Pendrive 256GB 2025</v>
      </c>
      <c r="O2021" s="63" t="n">
        <f aca="false">IF(ISTEXT($AC2021),VALUE($AC2021),$AC2021)</f>
        <v>41</v>
      </c>
      <c r="P2021" s="64" t="n">
        <f aca="false">INDEX(Datos_Origen!$I$2:$I$2459,$Z2021)</f>
        <v>35.14</v>
      </c>
      <c r="Q2021" s="64" t="n">
        <f aca="false">INDEX(Datos_Origen!$J$2:$J$2459,$Z2021)</f>
        <v>18.39</v>
      </c>
      <c r="R2021" s="65" t="n">
        <f aca="false">ROUND($O2021*$P2021,2)</f>
        <v>1440.74</v>
      </c>
      <c r="S2021" s="65" t="n">
        <f aca="false">ROUND($O2021*$Q2021,2)</f>
        <v>753.99</v>
      </c>
      <c r="T2021" s="65" t="n">
        <f aca="false">ROUND($R2021*SUMIFS(Parametros!$E$28:$E$43,Parametros!$B$28:$B$43,$J2021,Parametros!$C$28:$C$43,$C2021,Parametros!$D$28:$D$43,$D2021),2)</f>
        <v>80.68</v>
      </c>
      <c r="U2021" s="65" t="n">
        <f aca="false">$R2021-$S2021-$T2021</f>
        <v>606.07</v>
      </c>
      <c r="V2021" s="66" t="n">
        <f aca="false">IFERROR($U2021/$R2021,0)</f>
        <v>0.42066576897983</v>
      </c>
      <c r="W2021" s="67" t="str">
        <f aca="false">IF(AND($V2021&gt;=Parametros!$C$8,$R2021&gt;=Parametros!$C$12),"Alta rentabilidad",IF(OR($V2021&lt;Parametros!$C$11,$R2021&lt;Parametros!$C$13),"Revisar","Estandar"))</f>
        <v>Estandar</v>
      </c>
      <c r="X2021" s="67" t="str">
        <f aca="false">IF(AND($J2021="E-commerce",IFERROR($T2021/$R2021,0)&gt;Parametros!$C$14),"Alerta","OK")</f>
        <v>Alerta</v>
      </c>
      <c r="Y2021" s="61" t="str">
        <f aca="false">IF($R2021&gt;=Parametros!$C$12,"Alto",IF($R2021&lt;Parametros!$C$13,"Bajo","Medio"))</f>
        <v>Medio</v>
      </c>
      <c r="Z2021" s="61" t="n">
        <v>250</v>
      </c>
      <c r="AA2021" s="61" t="str">
        <f aca="false">IF(MATCH($A2021,Datos_Origen!$A$2:$A$2459,0)=$Z2021,"OK","REVISAR")</f>
        <v>OK</v>
      </c>
      <c r="AB2021" s="61" t="str">
        <f aca="false">INDEX(Datos_Origen!$B$2:$B$2459,$Z2021)</f>
        <v>20/09/2025</v>
      </c>
      <c r="AC2021" s="61" t="n">
        <f aca="false">INDEX(Datos_Origen!$H$2:$H$2459,$Z2021)</f>
        <v>41</v>
      </c>
      <c r="AD2021" s="61" t="str">
        <f aca="false">INDEX(Datos_Origen!$D$2:$D$2459,$Z2021)&amp;""</f>
        <v>Buenos Aires</v>
      </c>
    </row>
    <row r="2022" customFormat="false" ht="15" hidden="false" customHeight="false" outlineLevel="0" collapsed="false">
      <c r="A2022" s="61" t="n">
        <f aca="false">INDEX(Datos_Origen!$A$2:$A$2459,$Z2022)</f>
        <v>2021</v>
      </c>
      <c r="B2022" s="62" t="n">
        <f aca="false">IF(ISNUMBER($AB2022),$AB2022,IF(MID($AB2022,5,1)="-",DATE(VALUE(LEFT($AB2022,4)),VALUE(MID($AB2022,6,2)),VALUE(RIGHT($AB2022,2))),DATE(VALUE(RIGHT($AB2022,4)),VALUE(MID($AB2022,4,2)),VALUE(LEFT($AB2022,2)))))</f>
        <v>45927</v>
      </c>
      <c r="C2022" s="61" t="n">
        <f aca="false">YEAR($B2022)</f>
        <v>2025</v>
      </c>
      <c r="D2022" s="61" t="str">
        <f aca="false">"Q"&amp;ROUNDUP(MONTH($B2022)/3,0)</f>
        <v>Q3</v>
      </c>
      <c r="E2022" s="61" t="n">
        <f aca="false">MONTH($B2022)</f>
        <v>9</v>
      </c>
      <c r="F2022" s="61" t="str">
        <f aca="false">INDEX(Parametros!$I$5:$I$16,$E2022)</f>
        <v>Sep</v>
      </c>
      <c r="G2022" s="61" t="str">
        <f aca="false">TEXT($C2022,"0000")&amp;"-"&amp;TEXT($E2022,"00")</f>
        <v>2025-09</v>
      </c>
      <c r="H2022" s="61" t="str">
        <f aca="false">INDEX(Parametros!$C$71:$C$91,MATCH(TRIM(INDEX(Datos_Origen!$C$2:$C$2459,$Z2022)),Parametros!$B$71:$B$91,0))</f>
        <v>Centro</v>
      </c>
      <c r="I2022" s="61" t="str">
        <f aca="false">IF(TRIM($AD2022)="",INDEX(Parametros!$I$20:$I$24,MATCH($H2022,Parametros!$H$20:$H$24,0)),TRIM($AD2022))</f>
        <v>Cordoba</v>
      </c>
      <c r="J2022" s="61" t="str">
        <f aca="false">INDEX(Parametros!$C$95:$C$106,MATCH(TRIM(INDEX(Datos_Origen!$E$2:$E$2459,$Z2022)),Parametros!$B$95:$B$106,0))</f>
        <v>Tienda fisica</v>
      </c>
      <c r="K2022" s="61" t="str">
        <f aca="false">INDEX(Parametros!$C$48:$C$67,MATCH(TRIM(INDEX(Datos_Origen!$F$2:$F$2459,$Z2022)),Parametros!$B$48:$B$67,0))</f>
        <v>Computacion</v>
      </c>
      <c r="L2022" s="61" t="str">
        <f aca="false">$K2022&amp;" "&amp;$C2022</f>
        <v>Computacion 2025</v>
      </c>
      <c r="M2022" s="61" t="str">
        <f aca="false">TRIM(INDEX(Datos_Origen!$G$2:$G$2459,$Z2022))</f>
        <v>Laptop Pro 15</v>
      </c>
      <c r="N2022" s="61" t="str">
        <f aca="false">$M2022&amp;" "&amp;$C2022</f>
        <v>Laptop Pro 15 2025</v>
      </c>
      <c r="O2022" s="63" t="n">
        <f aca="false">IF(ISTEXT($AC2022),VALUE($AC2022),$AC2022)</f>
        <v>12</v>
      </c>
      <c r="P2022" s="64" t="n">
        <f aca="false">INDEX(Datos_Origen!$I$2:$I$2459,$Z2022)</f>
        <v>1204.74</v>
      </c>
      <c r="Q2022" s="64" t="n">
        <f aca="false">INDEX(Datos_Origen!$J$2:$J$2459,$Z2022)</f>
        <v>766.32</v>
      </c>
      <c r="R2022" s="65" t="n">
        <f aca="false">ROUND($O2022*$P2022,2)</f>
        <v>14456.88</v>
      </c>
      <c r="S2022" s="65" t="n">
        <f aca="false">ROUND($O2022*$Q2022,2)</f>
        <v>9195.84</v>
      </c>
      <c r="T2022" s="65" t="n">
        <f aca="false">ROUND($R2022*SUMIFS(Parametros!$E$28:$E$43,Parametros!$B$28:$B$43,$J2022,Parametros!$C$28:$C$43,$C2022,Parametros!$D$28:$D$43,$D2022),2)</f>
        <v>187.94</v>
      </c>
      <c r="U2022" s="65" t="n">
        <f aca="false">$R2022-$S2022-$T2022</f>
        <v>5073.1</v>
      </c>
      <c r="V2022" s="66" t="n">
        <f aca="false">IFERROR($U2022/$R2022,0)</f>
        <v>0.350912506709608</v>
      </c>
      <c r="W2022" s="67" t="str">
        <f aca="false">IF(AND($V2022&gt;=Parametros!$C$8,$R2022&gt;=Parametros!$C$12),"Alta rentabilidad",IF(OR($V2022&lt;Parametros!$C$11,$R2022&lt;Parametros!$C$13),"Revisar","Estandar"))</f>
        <v>Alta rentabilidad</v>
      </c>
      <c r="X2022" s="67" t="str">
        <f aca="false">IF(AND($J2022="E-commerce",IFERROR($T2022/$R2022,0)&gt;Parametros!$C$14),"Alerta","OK")</f>
        <v>OK</v>
      </c>
      <c r="Y2022" s="61" t="str">
        <f aca="false">IF($R2022&gt;=Parametros!$C$12,"Alto",IF($R2022&lt;Parametros!$C$13,"Bajo","Medio"))</f>
        <v>Alto</v>
      </c>
      <c r="Z2022" s="61" t="n">
        <v>2279</v>
      </c>
      <c r="AA2022" s="61" t="str">
        <f aca="false">IF(MATCH($A2022,Datos_Origen!$A$2:$A$2459,0)=$Z2022,"OK","REVISAR")</f>
        <v>OK</v>
      </c>
      <c r="AB2022" s="62" t="n">
        <f aca="false">INDEX(Datos_Origen!$B$2:$B$2459,$Z2022)</f>
        <v>45927</v>
      </c>
      <c r="AC2022" s="61" t="n">
        <f aca="false">INDEX(Datos_Origen!$H$2:$H$2459,$Z2022)</f>
        <v>12</v>
      </c>
      <c r="AD2022" s="61" t="str">
        <f aca="false">INDEX(Datos_Origen!$D$2:$D$2459,$Z2022)&amp;""</f>
        <v>Cordoba</v>
      </c>
    </row>
    <row r="2023" customFormat="false" ht="15" hidden="false" customHeight="false" outlineLevel="0" collapsed="false">
      <c r="A2023" s="61" t="n">
        <f aca="false">INDEX(Datos_Origen!$A$2:$A$2459,$Z2023)</f>
        <v>2022</v>
      </c>
      <c r="B2023" s="62" t="n">
        <f aca="false">IF(ISNUMBER($AB2023),$AB2023,IF(MID($AB2023,5,1)="-",DATE(VALUE(LEFT($AB2023,4)),VALUE(MID($AB2023,6,2)),VALUE(RIGHT($AB2023,2))),DATE(VALUE(RIGHT($AB2023,4)),VALUE(MID($AB2023,4,2)),VALUE(LEFT($AB2023,2)))))</f>
        <v>45907</v>
      </c>
      <c r="C2023" s="61" t="n">
        <f aca="false">YEAR($B2023)</f>
        <v>2025</v>
      </c>
      <c r="D2023" s="61" t="str">
        <f aca="false">"Q"&amp;ROUNDUP(MONTH($B2023)/3,0)</f>
        <v>Q3</v>
      </c>
      <c r="E2023" s="61" t="n">
        <f aca="false">MONTH($B2023)</f>
        <v>9</v>
      </c>
      <c r="F2023" s="61" t="str">
        <f aca="false">INDEX(Parametros!$I$5:$I$16,$E2023)</f>
        <v>Sep</v>
      </c>
      <c r="G2023" s="61" t="str">
        <f aca="false">TEXT($C2023,"0000")&amp;"-"&amp;TEXT($E2023,"00")</f>
        <v>2025-09</v>
      </c>
      <c r="H2023" s="61" t="str">
        <f aca="false">INDEX(Parametros!$C$71:$C$91,MATCH(TRIM(INDEX(Datos_Origen!$C$2:$C$2459,$Z2023)),Parametros!$B$71:$B$91,0))</f>
        <v>Centro</v>
      </c>
      <c r="I2023" s="61" t="str">
        <f aca="false">IF(TRIM($AD2023)="",INDEX(Parametros!$I$20:$I$24,MATCH($H2023,Parametros!$H$20:$H$24,0)),TRIM($AD2023))</f>
        <v>Cordoba</v>
      </c>
      <c r="J2023" s="61" t="str">
        <f aca="false">INDEX(Parametros!$C$95:$C$106,MATCH(TRIM(INDEX(Datos_Origen!$E$2:$E$2459,$Z2023)),Parametros!$B$95:$B$106,0))</f>
        <v>E-commerce</v>
      </c>
      <c r="K2023" s="61" t="str">
        <f aca="false">INDEX(Parametros!$C$48:$C$67,MATCH(TRIM(INDEX(Datos_Origen!$F$2:$F$2459,$Z2023)),Parametros!$B$48:$B$67,0))</f>
        <v>Computacion</v>
      </c>
      <c r="L2023" s="61" t="str">
        <f aca="false">$K2023&amp;" "&amp;$C2023</f>
        <v>Computacion 2025</v>
      </c>
      <c r="M2023" s="61" t="str">
        <f aca="false">TRIM(INDEX(Datos_Origen!$G$2:$G$2459,$Z2023))</f>
        <v>Laptop Pro 15</v>
      </c>
      <c r="N2023" s="61" t="str">
        <f aca="false">$M2023&amp;" "&amp;$C2023</f>
        <v>Laptop Pro 15 2025</v>
      </c>
      <c r="O2023" s="63" t="n">
        <f aca="false">IF(ISTEXT($AC2023),VALUE($AC2023),$AC2023)</f>
        <v>8</v>
      </c>
      <c r="P2023" s="64" t="n">
        <f aca="false">INDEX(Datos_Origen!$I$2:$I$2459,$Z2023)</f>
        <v>1204.74</v>
      </c>
      <c r="Q2023" s="64" t="n">
        <f aca="false">INDEX(Datos_Origen!$J$2:$J$2459,$Z2023)</f>
        <v>766.32</v>
      </c>
      <c r="R2023" s="65" t="n">
        <f aca="false">ROUND($O2023*$P2023,2)</f>
        <v>9637.92</v>
      </c>
      <c r="S2023" s="65" t="n">
        <f aca="false">ROUND($O2023*$Q2023,2)</f>
        <v>6130.56</v>
      </c>
      <c r="T2023" s="65" t="n">
        <f aca="false">ROUND($R2023*SUMIFS(Parametros!$E$28:$E$43,Parametros!$B$28:$B$43,$J2023,Parametros!$C$28:$C$43,$C2023,Parametros!$D$28:$D$43,$D2023),2)</f>
        <v>539.72</v>
      </c>
      <c r="U2023" s="65" t="n">
        <f aca="false">$R2023-$S2023-$T2023</f>
        <v>2967.64</v>
      </c>
      <c r="V2023" s="66" t="n">
        <f aca="false">IFERROR($U2023/$R2023,0)</f>
        <v>0.307912910669522</v>
      </c>
      <c r="W2023" s="67" t="str">
        <f aca="false">IF(AND($V2023&gt;=Parametros!$C$8,$R2023&gt;=Parametros!$C$12),"Alta rentabilidad",IF(OR($V2023&lt;Parametros!$C$11,$R2023&lt;Parametros!$C$13),"Revisar","Estandar"))</f>
        <v>Estandar</v>
      </c>
      <c r="X2023" s="67" t="str">
        <f aca="false">IF(AND($J2023="E-commerce",IFERROR($T2023/$R2023,0)&gt;Parametros!$C$14),"Alerta","OK")</f>
        <v>Alerta</v>
      </c>
      <c r="Y2023" s="61" t="str">
        <f aca="false">IF($R2023&gt;=Parametros!$C$12,"Alto",IF($R2023&lt;Parametros!$C$13,"Bajo","Medio"))</f>
        <v>Alto</v>
      </c>
      <c r="Z2023" s="61" t="n">
        <v>364</v>
      </c>
      <c r="AA2023" s="61" t="str">
        <f aca="false">IF(MATCH($A2023,Datos_Origen!$A$2:$A$2459,0)=$Z2023,"OK","REVISAR")</f>
        <v>OK</v>
      </c>
      <c r="AB2023" s="61" t="str">
        <f aca="false">INDEX(Datos_Origen!$B$2:$B$2459,$Z2023)</f>
        <v>07/09/2025</v>
      </c>
      <c r="AC2023" s="61" t="n">
        <f aca="false">INDEX(Datos_Origen!$H$2:$H$2459,$Z2023)</f>
        <v>8</v>
      </c>
      <c r="AD2023" s="61" t="str">
        <f aca="false">INDEX(Datos_Origen!$D$2:$D$2459,$Z2023)&amp;""</f>
        <v>Cordoba</v>
      </c>
    </row>
    <row r="2024" customFormat="false" ht="15" hidden="false" customHeight="false" outlineLevel="0" collapsed="false">
      <c r="A2024" s="61" t="n">
        <f aca="false">INDEX(Datos_Origen!$A$2:$A$2459,$Z2024)</f>
        <v>2023</v>
      </c>
      <c r="B2024" s="62" t="n">
        <f aca="false">IF(ISNUMBER($AB2024),$AB2024,IF(MID($AB2024,5,1)="-",DATE(VALUE(LEFT($AB2024,4)),VALUE(MID($AB2024,6,2)),VALUE(RIGHT($AB2024,2))),DATE(VALUE(RIGHT($AB2024,4)),VALUE(MID($AB2024,4,2)),VALUE(LEFT($AB2024,2)))))</f>
        <v>45914</v>
      </c>
      <c r="C2024" s="61" t="n">
        <f aca="false">YEAR($B2024)</f>
        <v>2025</v>
      </c>
      <c r="D2024" s="61" t="str">
        <f aca="false">"Q"&amp;ROUNDUP(MONTH($B2024)/3,0)</f>
        <v>Q3</v>
      </c>
      <c r="E2024" s="61" t="n">
        <f aca="false">MONTH($B2024)</f>
        <v>9</v>
      </c>
      <c r="F2024" s="61" t="str">
        <f aca="false">INDEX(Parametros!$I$5:$I$16,$E2024)</f>
        <v>Sep</v>
      </c>
      <c r="G2024" s="61" t="str">
        <f aca="false">TEXT($C2024,"0000")&amp;"-"&amp;TEXT($E2024,"00")</f>
        <v>2025-09</v>
      </c>
      <c r="H2024" s="61" t="str">
        <f aca="false">INDEX(Parametros!$C$71:$C$91,MATCH(TRIM(INDEX(Datos_Origen!$C$2:$C$2459,$Z2024)),Parametros!$B$71:$B$91,0))</f>
        <v>Centro</v>
      </c>
      <c r="I2024" s="61" t="str">
        <f aca="false">IF(TRIM($AD2024)="",INDEX(Parametros!$I$20:$I$24,MATCH($H2024,Parametros!$H$20:$H$24,0)),TRIM($AD2024))</f>
        <v>Cordoba</v>
      </c>
      <c r="J2024" s="61" t="str">
        <f aca="false">INDEX(Parametros!$C$95:$C$106,MATCH(TRIM(INDEX(Datos_Origen!$E$2:$E$2459,$Z2024)),Parametros!$B$95:$B$106,0))</f>
        <v>Tienda fisica</v>
      </c>
      <c r="K2024" s="61" t="str">
        <f aca="false">INDEX(Parametros!$C$48:$C$67,MATCH(TRIM(INDEX(Datos_Origen!$F$2:$F$2459,$Z2024)),Parametros!$B$48:$B$67,0))</f>
        <v>Computacion</v>
      </c>
      <c r="L2024" s="61" t="str">
        <f aca="false">$K2024&amp;" "&amp;$C2024</f>
        <v>Computacion 2025</v>
      </c>
      <c r="M2024" s="61" t="str">
        <f aca="false">TRIM(INDEX(Datos_Origen!$G$2:$G$2459,$Z2024))</f>
        <v>Monitor 4K 27</v>
      </c>
      <c r="N2024" s="61" t="str">
        <f aca="false">$M2024&amp;" "&amp;$C2024</f>
        <v>Monitor 4K 27 2025</v>
      </c>
      <c r="O2024" s="63" t="n">
        <f aca="false">IF(ISTEXT($AC2024),VALUE($AC2024),$AC2024)</f>
        <v>10</v>
      </c>
      <c r="P2024" s="64" t="n">
        <f aca="false">INDEX(Datos_Origen!$I$2:$I$2459,$Z2024)</f>
        <v>451.78</v>
      </c>
      <c r="Q2024" s="64" t="n">
        <f aca="false">INDEX(Datos_Origen!$J$2:$J$2459,$Z2024)</f>
        <v>280.42</v>
      </c>
      <c r="R2024" s="65" t="n">
        <f aca="false">ROUND($O2024*$P2024,2)</f>
        <v>4517.8</v>
      </c>
      <c r="S2024" s="65" t="n">
        <f aca="false">ROUND($O2024*$Q2024,2)</f>
        <v>2804.2</v>
      </c>
      <c r="T2024" s="65" t="n">
        <f aca="false">ROUND($R2024*SUMIFS(Parametros!$E$28:$E$43,Parametros!$B$28:$B$43,$J2024,Parametros!$C$28:$C$43,$C2024,Parametros!$D$28:$D$43,$D2024),2)</f>
        <v>58.73</v>
      </c>
      <c r="U2024" s="65" t="n">
        <f aca="false">$R2024-$S2024-$T2024</f>
        <v>1654.87</v>
      </c>
      <c r="V2024" s="66" t="n">
        <f aca="false">IFERROR($U2024/$R2024,0)</f>
        <v>0.366299969011466</v>
      </c>
      <c r="W2024" s="67" t="str">
        <f aca="false">IF(AND($V2024&gt;=Parametros!$C$8,$R2024&gt;=Parametros!$C$12),"Alta rentabilidad",IF(OR($V2024&lt;Parametros!$C$11,$R2024&lt;Parametros!$C$13),"Revisar","Estandar"))</f>
        <v>Alta rentabilidad</v>
      </c>
      <c r="X2024" s="67" t="str">
        <f aca="false">IF(AND($J2024="E-commerce",IFERROR($T2024/$R2024,0)&gt;Parametros!$C$14),"Alerta","OK")</f>
        <v>OK</v>
      </c>
      <c r="Y2024" s="61" t="str">
        <f aca="false">IF($R2024&gt;=Parametros!$C$12,"Alto",IF($R2024&lt;Parametros!$C$13,"Bajo","Medio"))</f>
        <v>Alto</v>
      </c>
      <c r="Z2024" s="61" t="n">
        <v>1931</v>
      </c>
      <c r="AA2024" s="61" t="str">
        <f aca="false">IF(MATCH($A2024,Datos_Origen!$A$2:$A$2459,0)=$Z2024,"OK","REVISAR")</f>
        <v>OK</v>
      </c>
      <c r="AB2024" s="61" t="str">
        <f aca="false">INDEX(Datos_Origen!$B$2:$B$2459,$Z2024)</f>
        <v>14/09/2025</v>
      </c>
      <c r="AC2024" s="61" t="n">
        <f aca="false">INDEX(Datos_Origen!$H$2:$H$2459,$Z2024)</f>
        <v>10</v>
      </c>
      <c r="AD2024" s="61" t="str">
        <f aca="false">INDEX(Datos_Origen!$D$2:$D$2459,$Z2024)&amp;""</f>
        <v/>
      </c>
    </row>
    <row r="2025" customFormat="false" ht="15" hidden="false" customHeight="false" outlineLevel="0" collapsed="false">
      <c r="A2025" s="61" t="n">
        <f aca="false">INDEX(Datos_Origen!$A$2:$A$2459,$Z2025)</f>
        <v>2024</v>
      </c>
      <c r="B2025" s="62" t="n">
        <f aca="false">IF(ISNUMBER($AB2025),$AB2025,IF(MID($AB2025,5,1)="-",DATE(VALUE(LEFT($AB2025,4)),VALUE(MID($AB2025,6,2)),VALUE(RIGHT($AB2025,2))),DATE(VALUE(RIGHT($AB2025,4)),VALUE(MID($AB2025,4,2)),VALUE(LEFT($AB2025,2)))))</f>
        <v>45921</v>
      </c>
      <c r="C2025" s="61" t="n">
        <f aca="false">YEAR($B2025)</f>
        <v>2025</v>
      </c>
      <c r="D2025" s="61" t="str">
        <f aca="false">"Q"&amp;ROUNDUP(MONTH($B2025)/3,0)</f>
        <v>Q3</v>
      </c>
      <c r="E2025" s="61" t="n">
        <f aca="false">MONTH($B2025)</f>
        <v>9</v>
      </c>
      <c r="F2025" s="61" t="str">
        <f aca="false">INDEX(Parametros!$I$5:$I$16,$E2025)</f>
        <v>Sep</v>
      </c>
      <c r="G2025" s="61" t="str">
        <f aca="false">TEXT($C2025,"0000")&amp;"-"&amp;TEXT($E2025,"00")</f>
        <v>2025-09</v>
      </c>
      <c r="H2025" s="61" t="str">
        <f aca="false">INDEX(Parametros!$C$71:$C$91,MATCH(TRIM(INDEX(Datos_Origen!$C$2:$C$2459,$Z2025)),Parametros!$B$71:$B$91,0))</f>
        <v>Centro</v>
      </c>
      <c r="I2025" s="61" t="str">
        <f aca="false">IF(TRIM($AD2025)="",INDEX(Parametros!$I$20:$I$24,MATCH($H2025,Parametros!$H$20:$H$24,0)),TRIM($AD2025))</f>
        <v>Cordoba</v>
      </c>
      <c r="J2025" s="61" t="str">
        <f aca="false">INDEX(Parametros!$C$95:$C$106,MATCH(TRIM(INDEX(Datos_Origen!$E$2:$E$2459,$Z2025)),Parametros!$B$95:$B$106,0))</f>
        <v>E-commerce</v>
      </c>
      <c r="K2025" s="61" t="str">
        <f aca="false">INDEX(Parametros!$C$48:$C$67,MATCH(TRIM(INDEX(Datos_Origen!$F$2:$F$2459,$Z2025)),Parametros!$B$48:$B$67,0))</f>
        <v>Computacion</v>
      </c>
      <c r="L2025" s="61" t="str">
        <f aca="false">$K2025&amp;" "&amp;$C2025</f>
        <v>Computacion 2025</v>
      </c>
      <c r="M2025" s="61" t="str">
        <f aca="false">TRIM(INDEX(Datos_Origen!$G$2:$G$2459,$Z2025))</f>
        <v>Monitor 4K 27</v>
      </c>
      <c r="N2025" s="61" t="str">
        <f aca="false">$M2025&amp;" "&amp;$C2025</f>
        <v>Monitor 4K 27 2025</v>
      </c>
      <c r="O2025" s="63" t="n">
        <f aca="false">IF(ISTEXT($AC2025),VALUE($AC2025),$AC2025)</f>
        <v>9</v>
      </c>
      <c r="P2025" s="64" t="n">
        <f aca="false">INDEX(Datos_Origen!$I$2:$I$2459,$Z2025)</f>
        <v>451.78</v>
      </c>
      <c r="Q2025" s="64" t="n">
        <f aca="false">INDEX(Datos_Origen!$J$2:$J$2459,$Z2025)</f>
        <v>280.42</v>
      </c>
      <c r="R2025" s="65" t="n">
        <f aca="false">ROUND($O2025*$P2025,2)</f>
        <v>4066.02</v>
      </c>
      <c r="S2025" s="65" t="n">
        <f aca="false">ROUND($O2025*$Q2025,2)</f>
        <v>2523.78</v>
      </c>
      <c r="T2025" s="65" t="n">
        <f aca="false">ROUND($R2025*SUMIFS(Parametros!$E$28:$E$43,Parametros!$B$28:$B$43,$J2025,Parametros!$C$28:$C$43,$C2025,Parametros!$D$28:$D$43,$D2025),2)</f>
        <v>227.7</v>
      </c>
      <c r="U2025" s="65" t="n">
        <f aca="false">$R2025-$S2025-$T2025</f>
        <v>1314.54</v>
      </c>
      <c r="V2025" s="66" t="n">
        <f aca="false">IFERROR($U2025/$R2025,0)</f>
        <v>0.323298950816769</v>
      </c>
      <c r="W2025" s="67" t="str">
        <f aca="false">IF(AND($V2025&gt;=Parametros!$C$8,$R2025&gt;=Parametros!$C$12),"Alta rentabilidad",IF(OR($V2025&lt;Parametros!$C$11,$R2025&lt;Parametros!$C$13),"Revisar","Estandar"))</f>
        <v>Estandar</v>
      </c>
      <c r="X2025" s="67" t="str">
        <f aca="false">IF(AND($J2025="E-commerce",IFERROR($T2025/$R2025,0)&gt;Parametros!$C$14),"Alerta","OK")</f>
        <v>Alerta</v>
      </c>
      <c r="Y2025" s="61" t="str">
        <f aca="false">IF($R2025&gt;=Parametros!$C$12,"Alto",IF($R2025&lt;Parametros!$C$13,"Bajo","Medio"))</f>
        <v>Alto</v>
      </c>
      <c r="Z2025" s="61" t="n">
        <v>23</v>
      </c>
      <c r="AA2025" s="61" t="str">
        <f aca="false">IF(MATCH($A2025,Datos_Origen!$A$2:$A$2459,0)=$Z2025,"OK","REVISAR")</f>
        <v>OK</v>
      </c>
      <c r="AB2025" s="62" t="n">
        <f aca="false">INDEX(Datos_Origen!$B$2:$B$2459,$Z2025)</f>
        <v>45921</v>
      </c>
      <c r="AC2025" s="61" t="n">
        <f aca="false">INDEX(Datos_Origen!$H$2:$H$2459,$Z2025)</f>
        <v>9</v>
      </c>
      <c r="AD2025" s="61" t="str">
        <f aca="false">INDEX(Datos_Origen!$D$2:$D$2459,$Z2025)&amp;""</f>
        <v>Cordoba</v>
      </c>
    </row>
    <row r="2026" customFormat="false" ht="15" hidden="false" customHeight="false" outlineLevel="0" collapsed="false">
      <c r="A2026" s="61" t="n">
        <f aca="false">INDEX(Datos_Origen!$A$2:$A$2459,$Z2026)</f>
        <v>2025</v>
      </c>
      <c r="B2026" s="62" t="n">
        <f aca="false">IF(ISNUMBER($AB2026),$AB2026,IF(MID($AB2026,5,1)="-",DATE(VALUE(LEFT($AB2026,4)),VALUE(MID($AB2026,6,2)),VALUE(RIGHT($AB2026,2))),DATE(VALUE(RIGHT($AB2026,4)),VALUE(MID($AB2026,4,2)),VALUE(LEFT($AB2026,2)))))</f>
        <v>45901</v>
      </c>
      <c r="C2026" s="61" t="n">
        <f aca="false">YEAR($B2026)</f>
        <v>2025</v>
      </c>
      <c r="D2026" s="61" t="str">
        <f aca="false">"Q"&amp;ROUNDUP(MONTH($B2026)/3,0)</f>
        <v>Q3</v>
      </c>
      <c r="E2026" s="61" t="n">
        <f aca="false">MONTH($B2026)</f>
        <v>9</v>
      </c>
      <c r="F2026" s="61" t="str">
        <f aca="false">INDEX(Parametros!$I$5:$I$16,$E2026)</f>
        <v>Sep</v>
      </c>
      <c r="G2026" s="61" t="str">
        <f aca="false">TEXT($C2026,"0000")&amp;"-"&amp;TEXT($E2026,"00")</f>
        <v>2025-09</v>
      </c>
      <c r="H2026" s="61" t="str">
        <f aca="false">INDEX(Parametros!$C$71:$C$91,MATCH(TRIM(INDEX(Datos_Origen!$C$2:$C$2459,$Z2026)),Parametros!$B$71:$B$91,0))</f>
        <v>Centro</v>
      </c>
      <c r="I2026" s="61" t="str">
        <f aca="false">IF(TRIM($AD2026)="",INDEX(Parametros!$I$20:$I$24,MATCH($H2026,Parametros!$H$20:$H$24,0)),TRIM($AD2026))</f>
        <v>Cordoba</v>
      </c>
      <c r="J2026" s="61" t="str">
        <f aca="false">INDEX(Parametros!$C$95:$C$106,MATCH(TRIM(INDEX(Datos_Origen!$E$2:$E$2459,$Z2026)),Parametros!$B$95:$B$106,0))</f>
        <v>Tienda fisica</v>
      </c>
      <c r="K2026" s="61" t="str">
        <f aca="false">INDEX(Parametros!$C$48:$C$67,MATCH(TRIM(INDEX(Datos_Origen!$F$2:$F$2459,$Z2026)),Parametros!$B$48:$B$67,0))</f>
        <v>Computacion</v>
      </c>
      <c r="L2026" s="61" t="str">
        <f aca="false">$K2026&amp;" "&amp;$C2026</f>
        <v>Computacion 2025</v>
      </c>
      <c r="M2026" s="61" t="str">
        <f aca="false">TRIM(INDEX(Datos_Origen!$G$2:$G$2459,$Z2026))</f>
        <v>PC Gamer Ryzen</v>
      </c>
      <c r="N2026" s="61" t="str">
        <f aca="false">$M2026&amp;" "&amp;$C2026</f>
        <v>PC Gamer Ryzen 2025</v>
      </c>
      <c r="O2026" s="63" t="n">
        <f aca="false">IF(ISTEXT($AC2026),VALUE($AC2026),$AC2026)</f>
        <v>14</v>
      </c>
      <c r="P2026" s="64" t="n">
        <f aca="false">INDEX(Datos_Origen!$I$2:$I$2459,$Z2026)</f>
        <v>1656.52</v>
      </c>
      <c r="Q2026" s="64" t="n">
        <f aca="false">INDEX(Datos_Origen!$J$2:$J$2459,$Z2026)</f>
        <v>1155.66</v>
      </c>
      <c r="R2026" s="65" t="n">
        <f aca="false">ROUND($O2026*$P2026,2)</f>
        <v>23191.28</v>
      </c>
      <c r="S2026" s="65" t="n">
        <f aca="false">ROUND($O2026*$Q2026,2)</f>
        <v>16179.24</v>
      </c>
      <c r="T2026" s="65" t="n">
        <f aca="false">ROUND($R2026*SUMIFS(Parametros!$E$28:$E$43,Parametros!$B$28:$B$43,$J2026,Parametros!$C$28:$C$43,$C2026,Parametros!$D$28:$D$43,$D2026),2)</f>
        <v>301.49</v>
      </c>
      <c r="U2026" s="65" t="n">
        <f aca="false">$R2026-$S2026-$T2026</f>
        <v>6710.55</v>
      </c>
      <c r="V2026" s="66" t="n">
        <f aca="false">IFERROR($U2026/$R2026,0)</f>
        <v>0.289356602999058</v>
      </c>
      <c r="W2026" s="67" t="str">
        <f aca="false">IF(AND($V2026&gt;=Parametros!$C$8,$R2026&gt;=Parametros!$C$12),"Alta rentabilidad",IF(OR($V2026&lt;Parametros!$C$11,$R2026&lt;Parametros!$C$13),"Revisar","Estandar"))</f>
        <v>Estandar</v>
      </c>
      <c r="X2026" s="67" t="str">
        <f aca="false">IF(AND($J2026="E-commerce",IFERROR($T2026/$R2026,0)&gt;Parametros!$C$14),"Alerta","OK")</f>
        <v>OK</v>
      </c>
      <c r="Y2026" s="61" t="str">
        <f aca="false">IF($R2026&gt;=Parametros!$C$12,"Alto",IF($R2026&lt;Parametros!$C$13,"Bajo","Medio"))</f>
        <v>Alto</v>
      </c>
      <c r="Z2026" s="61" t="n">
        <v>483</v>
      </c>
      <c r="AA2026" s="61" t="str">
        <f aca="false">IF(MATCH($A2026,Datos_Origen!$A$2:$A$2459,0)=$Z2026,"OK","REVISAR")</f>
        <v>OK</v>
      </c>
      <c r="AB2026" s="62" t="n">
        <f aca="false">INDEX(Datos_Origen!$B$2:$B$2459,$Z2026)</f>
        <v>45901</v>
      </c>
      <c r="AC2026" s="61" t="n">
        <f aca="false">INDEX(Datos_Origen!$H$2:$H$2459,$Z2026)</f>
        <v>14</v>
      </c>
      <c r="AD2026" s="61" t="str">
        <f aca="false">INDEX(Datos_Origen!$D$2:$D$2459,$Z2026)&amp;""</f>
        <v>Cordoba</v>
      </c>
    </row>
    <row r="2027" customFormat="false" ht="15" hidden="false" customHeight="false" outlineLevel="0" collapsed="false">
      <c r="A2027" s="61" t="n">
        <f aca="false">INDEX(Datos_Origen!$A$2:$A$2459,$Z2027)</f>
        <v>2026</v>
      </c>
      <c r="B2027" s="62" t="n">
        <f aca="false">IF(ISNUMBER($AB2027),$AB2027,IF(MID($AB2027,5,1)="-",DATE(VALUE(LEFT($AB2027,4)),VALUE(MID($AB2027,6,2)),VALUE(RIGHT($AB2027,2))),DATE(VALUE(RIGHT($AB2027,4)),VALUE(MID($AB2027,4,2)),VALUE(LEFT($AB2027,2)))))</f>
        <v>45908</v>
      </c>
      <c r="C2027" s="61" t="n">
        <f aca="false">YEAR($B2027)</f>
        <v>2025</v>
      </c>
      <c r="D2027" s="61" t="str">
        <f aca="false">"Q"&amp;ROUNDUP(MONTH($B2027)/3,0)</f>
        <v>Q3</v>
      </c>
      <c r="E2027" s="61" t="n">
        <f aca="false">MONTH($B2027)</f>
        <v>9</v>
      </c>
      <c r="F2027" s="61" t="str">
        <f aca="false">INDEX(Parametros!$I$5:$I$16,$E2027)</f>
        <v>Sep</v>
      </c>
      <c r="G2027" s="61" t="str">
        <f aca="false">TEXT($C2027,"0000")&amp;"-"&amp;TEXT($E2027,"00")</f>
        <v>2025-09</v>
      </c>
      <c r="H2027" s="61" t="str">
        <f aca="false">INDEX(Parametros!$C$71:$C$91,MATCH(TRIM(INDEX(Datos_Origen!$C$2:$C$2459,$Z2027)),Parametros!$B$71:$B$91,0))</f>
        <v>Centro</v>
      </c>
      <c r="I2027" s="61" t="str">
        <f aca="false">IF(TRIM($AD2027)="",INDEX(Parametros!$I$20:$I$24,MATCH($H2027,Parametros!$H$20:$H$24,0)),TRIM($AD2027))</f>
        <v>Cordoba</v>
      </c>
      <c r="J2027" s="61" t="str">
        <f aca="false">INDEX(Parametros!$C$95:$C$106,MATCH(TRIM(INDEX(Datos_Origen!$E$2:$E$2459,$Z2027)),Parametros!$B$95:$B$106,0))</f>
        <v>E-commerce</v>
      </c>
      <c r="K2027" s="61" t="str">
        <f aca="false">INDEX(Parametros!$C$48:$C$67,MATCH(TRIM(INDEX(Datos_Origen!$F$2:$F$2459,$Z2027)),Parametros!$B$48:$B$67,0))</f>
        <v>Computacion</v>
      </c>
      <c r="L2027" s="61" t="str">
        <f aca="false">$K2027&amp;" "&amp;$C2027</f>
        <v>Computacion 2025</v>
      </c>
      <c r="M2027" s="61" t="str">
        <f aca="false">TRIM(INDEX(Datos_Origen!$G$2:$G$2459,$Z2027))</f>
        <v>PC Gamer Ryzen</v>
      </c>
      <c r="N2027" s="61" t="str">
        <f aca="false">$M2027&amp;" "&amp;$C2027</f>
        <v>PC Gamer Ryzen 2025</v>
      </c>
      <c r="O2027" s="63" t="n">
        <f aca="false">IF(ISTEXT($AC2027),VALUE($AC2027),$AC2027)</f>
        <v>7</v>
      </c>
      <c r="P2027" s="64" t="n">
        <f aca="false">INDEX(Datos_Origen!$I$2:$I$2459,$Z2027)</f>
        <v>1656.52</v>
      </c>
      <c r="Q2027" s="64" t="n">
        <f aca="false">INDEX(Datos_Origen!$J$2:$J$2459,$Z2027)</f>
        <v>1155.66</v>
      </c>
      <c r="R2027" s="65" t="n">
        <f aca="false">ROUND($O2027*$P2027,2)</f>
        <v>11595.64</v>
      </c>
      <c r="S2027" s="65" t="n">
        <f aca="false">ROUND($O2027*$Q2027,2)</f>
        <v>8089.62</v>
      </c>
      <c r="T2027" s="65" t="n">
        <f aca="false">ROUND($R2027*SUMIFS(Parametros!$E$28:$E$43,Parametros!$B$28:$B$43,$J2027,Parametros!$C$28:$C$43,$C2027,Parametros!$D$28:$D$43,$D2027),2)</f>
        <v>649.36</v>
      </c>
      <c r="U2027" s="65" t="n">
        <f aca="false">$R2027-$S2027-$T2027</f>
        <v>2856.66</v>
      </c>
      <c r="V2027" s="66" t="n">
        <f aca="false">IFERROR($U2027/$R2027,0)</f>
        <v>0.246356389125568</v>
      </c>
      <c r="W2027" s="67" t="str">
        <f aca="false">IF(AND($V2027&gt;=Parametros!$C$8,$R2027&gt;=Parametros!$C$12),"Alta rentabilidad",IF(OR($V2027&lt;Parametros!$C$11,$R2027&lt;Parametros!$C$13),"Revisar","Estandar"))</f>
        <v>Revisar</v>
      </c>
      <c r="X2027" s="67" t="str">
        <f aca="false">IF(AND($J2027="E-commerce",IFERROR($T2027/$R2027,0)&gt;Parametros!$C$14),"Alerta","OK")</f>
        <v>Alerta</v>
      </c>
      <c r="Y2027" s="61" t="str">
        <f aca="false">IF($R2027&gt;=Parametros!$C$12,"Alto",IF($R2027&lt;Parametros!$C$13,"Bajo","Medio"))</f>
        <v>Alto</v>
      </c>
      <c r="Z2027" s="61" t="n">
        <v>2356</v>
      </c>
      <c r="AA2027" s="61" t="str">
        <f aca="false">IF(MATCH($A2027,Datos_Origen!$A$2:$A$2459,0)=$Z2027,"OK","REVISAR")</f>
        <v>OK</v>
      </c>
      <c r="AB2027" s="62" t="n">
        <f aca="false">INDEX(Datos_Origen!$B$2:$B$2459,$Z2027)</f>
        <v>45908</v>
      </c>
      <c r="AC2027" s="61" t="n">
        <f aca="false">INDEX(Datos_Origen!$H$2:$H$2459,$Z2027)</f>
        <v>7</v>
      </c>
      <c r="AD2027" s="61" t="str">
        <f aca="false">INDEX(Datos_Origen!$D$2:$D$2459,$Z2027)&amp;""</f>
        <v>Cordoba</v>
      </c>
    </row>
    <row r="2028" customFormat="false" ht="15" hidden="false" customHeight="false" outlineLevel="0" collapsed="false">
      <c r="A2028" s="61" t="n">
        <f aca="false">INDEX(Datos_Origen!$A$2:$A$2459,$Z2028)</f>
        <v>2027</v>
      </c>
      <c r="B2028" s="62" t="n">
        <f aca="false">IF(ISNUMBER($AB2028),$AB2028,IF(MID($AB2028,5,1)="-",DATE(VALUE(LEFT($AB2028,4)),VALUE(MID($AB2028,6,2)),VALUE(RIGHT($AB2028,2))),DATE(VALUE(RIGHT($AB2028,4)),VALUE(MID($AB2028,4,2)),VALUE(LEFT($AB2028,2)))))</f>
        <v>45915</v>
      </c>
      <c r="C2028" s="61" t="n">
        <f aca="false">YEAR($B2028)</f>
        <v>2025</v>
      </c>
      <c r="D2028" s="61" t="str">
        <f aca="false">"Q"&amp;ROUNDUP(MONTH($B2028)/3,0)</f>
        <v>Q3</v>
      </c>
      <c r="E2028" s="61" t="n">
        <f aca="false">MONTH($B2028)</f>
        <v>9</v>
      </c>
      <c r="F2028" s="61" t="str">
        <f aca="false">INDEX(Parametros!$I$5:$I$16,$E2028)</f>
        <v>Sep</v>
      </c>
      <c r="G2028" s="61" t="str">
        <f aca="false">TEXT($C2028,"0000")&amp;"-"&amp;TEXT($E2028,"00")</f>
        <v>2025-09</v>
      </c>
      <c r="H2028" s="61" t="str">
        <f aca="false">INDEX(Parametros!$C$71:$C$91,MATCH(TRIM(INDEX(Datos_Origen!$C$2:$C$2459,$Z2028)),Parametros!$B$71:$B$91,0))</f>
        <v>Centro</v>
      </c>
      <c r="I2028" s="61" t="str">
        <f aca="false">IF(TRIM($AD2028)="",INDEX(Parametros!$I$20:$I$24,MATCH($H2028,Parametros!$H$20:$H$24,0)),TRIM($AD2028))</f>
        <v>Cordoba</v>
      </c>
      <c r="J2028" s="61" t="str">
        <f aca="false">INDEX(Parametros!$C$95:$C$106,MATCH(TRIM(INDEX(Datos_Origen!$E$2:$E$2459,$Z2028)),Parametros!$B$95:$B$106,0))</f>
        <v>Tienda fisica</v>
      </c>
      <c r="K2028" s="61" t="str">
        <f aca="false">INDEX(Parametros!$C$48:$C$67,MATCH(TRIM(INDEX(Datos_Origen!$F$2:$F$2459,$Z2028)),Parametros!$B$48:$B$67,0))</f>
        <v>Accesorios</v>
      </c>
      <c r="L2028" s="61" t="str">
        <f aca="false">$K2028&amp;" "&amp;$C2028</f>
        <v>Accesorios 2025</v>
      </c>
      <c r="M2028" s="61" t="str">
        <f aca="false">TRIM(INDEX(Datos_Origen!$G$2:$G$2459,$Z2028))</f>
        <v>Mouse Inalambrico</v>
      </c>
      <c r="N2028" s="61" t="str">
        <f aca="false">$M2028&amp;" "&amp;$C2028</f>
        <v>Mouse Inalambrico 2025</v>
      </c>
      <c r="O2028" s="63" t="n">
        <f aca="false">IF(ISTEXT($AC2028),VALUE($AC2028),$AC2028)</f>
        <v>60</v>
      </c>
      <c r="P2028" s="64" t="n">
        <f aca="false">INDEX(Datos_Origen!$I$2:$I$2459,$Z2028)</f>
        <v>28.11</v>
      </c>
      <c r="Q2028" s="64" t="n">
        <f aca="false">INDEX(Datos_Origen!$J$2:$J$2459,$Z2028)</f>
        <v>13.84</v>
      </c>
      <c r="R2028" s="65" t="n">
        <f aca="false">ROUND($O2028*$P2028,2)</f>
        <v>1686.6</v>
      </c>
      <c r="S2028" s="65" t="n">
        <f aca="false">ROUND($O2028*$Q2028,2)</f>
        <v>830.4</v>
      </c>
      <c r="T2028" s="65" t="n">
        <f aca="false">ROUND($R2028*SUMIFS(Parametros!$E$28:$E$43,Parametros!$B$28:$B$43,$J2028,Parametros!$C$28:$C$43,$C2028,Parametros!$D$28:$D$43,$D2028),2)</f>
        <v>21.93</v>
      </c>
      <c r="U2028" s="65" t="n">
        <f aca="false">$R2028-$S2028-$T2028</f>
        <v>834.27</v>
      </c>
      <c r="V2028" s="66" t="n">
        <f aca="false">IFERROR($U2028/$R2028,0)</f>
        <v>0.494646033440057</v>
      </c>
      <c r="W2028" s="67" t="str">
        <f aca="false">IF(AND($V2028&gt;=Parametros!$C$8,$R2028&gt;=Parametros!$C$12),"Alta rentabilidad",IF(OR($V2028&lt;Parametros!$C$11,$R2028&lt;Parametros!$C$13),"Revisar","Estandar"))</f>
        <v>Estandar</v>
      </c>
      <c r="X2028" s="67" t="str">
        <f aca="false">IF(AND($J2028="E-commerce",IFERROR($T2028/$R2028,0)&gt;Parametros!$C$14),"Alerta","OK")</f>
        <v>OK</v>
      </c>
      <c r="Y2028" s="61" t="str">
        <f aca="false">IF($R2028&gt;=Parametros!$C$12,"Alto",IF($R2028&lt;Parametros!$C$13,"Bajo","Medio"))</f>
        <v>Medio</v>
      </c>
      <c r="Z2028" s="61" t="n">
        <v>116</v>
      </c>
      <c r="AA2028" s="61" t="str">
        <f aca="false">IF(MATCH($A2028,Datos_Origen!$A$2:$A$2459,0)=$Z2028,"OK","REVISAR")</f>
        <v>OK</v>
      </c>
      <c r="AB2028" s="61" t="str">
        <f aca="false">INDEX(Datos_Origen!$B$2:$B$2459,$Z2028)</f>
        <v>15/09/2025</v>
      </c>
      <c r="AC2028" s="61" t="n">
        <f aca="false">INDEX(Datos_Origen!$H$2:$H$2459,$Z2028)</f>
        <v>60</v>
      </c>
      <c r="AD2028" s="61" t="str">
        <f aca="false">INDEX(Datos_Origen!$D$2:$D$2459,$Z2028)&amp;""</f>
        <v>Cordoba</v>
      </c>
    </row>
    <row r="2029" customFormat="false" ht="15" hidden="false" customHeight="false" outlineLevel="0" collapsed="false">
      <c r="A2029" s="61" t="n">
        <f aca="false">INDEX(Datos_Origen!$A$2:$A$2459,$Z2029)</f>
        <v>2028</v>
      </c>
      <c r="B2029" s="62" t="n">
        <f aca="false">IF(ISNUMBER($AB2029),$AB2029,IF(MID($AB2029,5,1)="-",DATE(VALUE(LEFT($AB2029,4)),VALUE(MID($AB2029,6,2)),VALUE(RIGHT($AB2029,2))),DATE(VALUE(RIGHT($AB2029,4)),VALUE(MID($AB2029,4,2)),VALUE(LEFT($AB2029,2)))))</f>
        <v>45922</v>
      </c>
      <c r="C2029" s="61" t="n">
        <f aca="false">YEAR($B2029)</f>
        <v>2025</v>
      </c>
      <c r="D2029" s="61" t="str">
        <f aca="false">"Q"&amp;ROUNDUP(MONTH($B2029)/3,0)</f>
        <v>Q3</v>
      </c>
      <c r="E2029" s="61" t="n">
        <f aca="false">MONTH($B2029)</f>
        <v>9</v>
      </c>
      <c r="F2029" s="61" t="str">
        <f aca="false">INDEX(Parametros!$I$5:$I$16,$E2029)</f>
        <v>Sep</v>
      </c>
      <c r="G2029" s="61" t="str">
        <f aca="false">TEXT($C2029,"0000")&amp;"-"&amp;TEXT($E2029,"00")</f>
        <v>2025-09</v>
      </c>
      <c r="H2029" s="61" t="str">
        <f aca="false">INDEX(Parametros!$C$71:$C$91,MATCH(TRIM(INDEX(Datos_Origen!$C$2:$C$2459,$Z2029)),Parametros!$B$71:$B$91,0))</f>
        <v>Centro</v>
      </c>
      <c r="I2029" s="61" t="str">
        <f aca="false">IF(TRIM($AD2029)="",INDEX(Parametros!$I$20:$I$24,MATCH($H2029,Parametros!$H$20:$H$24,0)),TRIM($AD2029))</f>
        <v>Cordoba</v>
      </c>
      <c r="J2029" s="61" t="str">
        <f aca="false">INDEX(Parametros!$C$95:$C$106,MATCH(TRIM(INDEX(Datos_Origen!$E$2:$E$2459,$Z2029)),Parametros!$B$95:$B$106,0))</f>
        <v>E-commerce</v>
      </c>
      <c r="K2029" s="61" t="str">
        <f aca="false">INDEX(Parametros!$C$48:$C$67,MATCH(TRIM(INDEX(Datos_Origen!$F$2:$F$2459,$Z2029)),Parametros!$B$48:$B$67,0))</f>
        <v>Accesorios</v>
      </c>
      <c r="L2029" s="61" t="str">
        <f aca="false">$K2029&amp;" "&amp;$C2029</f>
        <v>Accesorios 2025</v>
      </c>
      <c r="M2029" s="61" t="str">
        <f aca="false">TRIM(INDEX(Datos_Origen!$G$2:$G$2459,$Z2029))</f>
        <v>Mouse Inalambrico</v>
      </c>
      <c r="N2029" s="61" t="str">
        <f aca="false">$M2029&amp;" "&amp;$C2029</f>
        <v>Mouse Inalambrico 2025</v>
      </c>
      <c r="O2029" s="63" t="n">
        <f aca="false">IF(ISTEXT($AC2029),VALUE($AC2029),$AC2029)</f>
        <v>44</v>
      </c>
      <c r="P2029" s="64" t="n">
        <f aca="false">INDEX(Datos_Origen!$I$2:$I$2459,$Z2029)</f>
        <v>28.11</v>
      </c>
      <c r="Q2029" s="64" t="n">
        <f aca="false">INDEX(Datos_Origen!$J$2:$J$2459,$Z2029)</f>
        <v>13.84</v>
      </c>
      <c r="R2029" s="65" t="n">
        <f aca="false">ROUND($O2029*$P2029,2)</f>
        <v>1236.84</v>
      </c>
      <c r="S2029" s="65" t="n">
        <f aca="false">ROUND($O2029*$Q2029,2)</f>
        <v>608.96</v>
      </c>
      <c r="T2029" s="65" t="n">
        <f aca="false">ROUND($R2029*SUMIFS(Parametros!$E$28:$E$43,Parametros!$B$28:$B$43,$J2029,Parametros!$C$28:$C$43,$C2029,Parametros!$D$28:$D$43,$D2029),2)</f>
        <v>69.26</v>
      </c>
      <c r="U2029" s="65" t="n">
        <f aca="false">$R2029-$S2029-$T2029</f>
        <v>558.62</v>
      </c>
      <c r="V2029" s="66" t="n">
        <f aca="false">IFERROR($U2029/$R2029,0)</f>
        <v>0.451650981533586</v>
      </c>
      <c r="W2029" s="67" t="str">
        <f aca="false">IF(AND($V2029&gt;=Parametros!$C$8,$R2029&gt;=Parametros!$C$12),"Alta rentabilidad",IF(OR($V2029&lt;Parametros!$C$11,$R2029&lt;Parametros!$C$13),"Revisar","Estandar"))</f>
        <v>Estandar</v>
      </c>
      <c r="X2029" s="67" t="str">
        <f aca="false">IF(AND($J2029="E-commerce",IFERROR($T2029/$R2029,0)&gt;Parametros!$C$14),"Alerta","OK")</f>
        <v>Alerta</v>
      </c>
      <c r="Y2029" s="61" t="str">
        <f aca="false">IF($R2029&gt;=Parametros!$C$12,"Alto",IF($R2029&lt;Parametros!$C$13,"Bajo","Medio"))</f>
        <v>Medio</v>
      </c>
      <c r="Z2029" s="61" t="n">
        <v>838</v>
      </c>
      <c r="AA2029" s="61" t="str">
        <f aca="false">IF(MATCH($A2029,Datos_Origen!$A$2:$A$2459,0)=$Z2029,"OK","REVISAR")</f>
        <v>OK</v>
      </c>
      <c r="AB2029" s="61" t="str">
        <f aca="false">INDEX(Datos_Origen!$B$2:$B$2459,$Z2029)</f>
        <v>2025-09-22</v>
      </c>
      <c r="AC2029" s="61" t="n">
        <f aca="false">INDEX(Datos_Origen!$H$2:$H$2459,$Z2029)</f>
        <v>44</v>
      </c>
      <c r="AD2029" s="61" t="str">
        <f aca="false">INDEX(Datos_Origen!$D$2:$D$2459,$Z2029)&amp;""</f>
        <v>Cordoba</v>
      </c>
    </row>
    <row r="2030" customFormat="false" ht="15" hidden="false" customHeight="false" outlineLevel="0" collapsed="false">
      <c r="A2030" s="61" t="n">
        <f aca="false">INDEX(Datos_Origen!$A$2:$A$2459,$Z2030)</f>
        <v>2029</v>
      </c>
      <c r="B2030" s="62" t="n">
        <f aca="false">IF(ISNUMBER($AB2030),$AB2030,IF(MID($AB2030,5,1)="-",DATE(VALUE(LEFT($AB2030,4)),VALUE(MID($AB2030,6,2)),VALUE(RIGHT($AB2030,2))),DATE(VALUE(RIGHT($AB2030,4)),VALUE(MID($AB2030,4,2)),VALUE(LEFT($AB2030,2)))))</f>
        <v>45902</v>
      </c>
      <c r="C2030" s="61" t="n">
        <f aca="false">YEAR($B2030)</f>
        <v>2025</v>
      </c>
      <c r="D2030" s="61" t="str">
        <f aca="false">"Q"&amp;ROUNDUP(MONTH($B2030)/3,0)</f>
        <v>Q3</v>
      </c>
      <c r="E2030" s="61" t="n">
        <f aca="false">MONTH($B2030)</f>
        <v>9</v>
      </c>
      <c r="F2030" s="61" t="str">
        <f aca="false">INDEX(Parametros!$I$5:$I$16,$E2030)</f>
        <v>Sep</v>
      </c>
      <c r="G2030" s="61" t="str">
        <f aca="false">TEXT($C2030,"0000")&amp;"-"&amp;TEXT($E2030,"00")</f>
        <v>2025-09</v>
      </c>
      <c r="H2030" s="61" t="str">
        <f aca="false">INDEX(Parametros!$C$71:$C$91,MATCH(TRIM(INDEX(Datos_Origen!$C$2:$C$2459,$Z2030)),Parametros!$B$71:$B$91,0))</f>
        <v>Centro</v>
      </c>
      <c r="I2030" s="61" t="str">
        <f aca="false">IF(TRIM($AD2030)="",INDEX(Parametros!$I$20:$I$24,MATCH($H2030,Parametros!$H$20:$H$24,0)),TRIM($AD2030))</f>
        <v>Cordoba</v>
      </c>
      <c r="J2030" s="61" t="str">
        <f aca="false">INDEX(Parametros!$C$95:$C$106,MATCH(TRIM(INDEX(Datos_Origen!$E$2:$E$2459,$Z2030)),Parametros!$B$95:$B$106,0))</f>
        <v>Tienda fisica</v>
      </c>
      <c r="K2030" s="61" t="str">
        <f aca="false">INDEX(Parametros!$C$48:$C$67,MATCH(TRIM(INDEX(Datos_Origen!$F$2:$F$2459,$Z2030)),Parametros!$B$48:$B$67,0))</f>
        <v>Accesorios</v>
      </c>
      <c r="L2030" s="61" t="str">
        <f aca="false">$K2030&amp;" "&amp;$C2030</f>
        <v>Accesorios 2025</v>
      </c>
      <c r="M2030" s="61" t="str">
        <f aca="false">TRIM(INDEX(Datos_Origen!$G$2:$G$2459,$Z2030))</f>
        <v>Teclado Mecanico</v>
      </c>
      <c r="N2030" s="61" t="str">
        <f aca="false">$M2030&amp;" "&amp;$C2030</f>
        <v>Teclado Mecanico 2025</v>
      </c>
      <c r="O2030" s="63" t="n">
        <f aca="false">IF(ISTEXT($AC2030),VALUE($AC2030),$AC2030)</f>
        <v>55</v>
      </c>
      <c r="P2030" s="64" t="n">
        <f aca="false">INDEX(Datos_Origen!$I$2:$I$2459,$Z2030)</f>
        <v>95.38</v>
      </c>
      <c r="Q2030" s="64" t="n">
        <f aca="false">INDEX(Datos_Origen!$J$2:$J$2459,$Z2030)</f>
        <v>49.41</v>
      </c>
      <c r="R2030" s="65" t="n">
        <f aca="false">ROUND($O2030*$P2030,2)</f>
        <v>5245.9</v>
      </c>
      <c r="S2030" s="65" t="n">
        <f aca="false">ROUND($O2030*$Q2030,2)</f>
        <v>2717.55</v>
      </c>
      <c r="T2030" s="65" t="n">
        <f aca="false">ROUND($R2030*SUMIFS(Parametros!$E$28:$E$43,Parametros!$B$28:$B$43,$J2030,Parametros!$C$28:$C$43,$C2030,Parametros!$D$28:$D$43,$D2030),2)</f>
        <v>68.2</v>
      </c>
      <c r="U2030" s="65" t="n">
        <f aca="false">$R2030-$S2030-$T2030</f>
        <v>2460.15</v>
      </c>
      <c r="V2030" s="66" t="n">
        <f aca="false">IFERROR($U2030/$R2030,0)</f>
        <v>0.46896624030195</v>
      </c>
      <c r="W2030" s="67" t="str">
        <f aca="false">IF(AND($V2030&gt;=Parametros!$C$8,$R2030&gt;=Parametros!$C$12),"Alta rentabilidad",IF(OR($V2030&lt;Parametros!$C$11,$R2030&lt;Parametros!$C$13),"Revisar","Estandar"))</f>
        <v>Alta rentabilidad</v>
      </c>
      <c r="X2030" s="67" t="str">
        <f aca="false">IF(AND($J2030="E-commerce",IFERROR($T2030/$R2030,0)&gt;Parametros!$C$14),"Alerta","OK")</f>
        <v>OK</v>
      </c>
      <c r="Y2030" s="61" t="str">
        <f aca="false">IF($R2030&gt;=Parametros!$C$12,"Alto",IF($R2030&lt;Parametros!$C$13,"Bajo","Medio"))</f>
        <v>Alto</v>
      </c>
      <c r="Z2030" s="61" t="n">
        <v>1819</v>
      </c>
      <c r="AA2030" s="61" t="str">
        <f aca="false">IF(MATCH($A2030,Datos_Origen!$A$2:$A$2459,0)=$Z2030,"OK","REVISAR")</f>
        <v>OK</v>
      </c>
      <c r="AB2030" s="61" t="str">
        <f aca="false">INDEX(Datos_Origen!$B$2:$B$2459,$Z2030)</f>
        <v>2025-09-02</v>
      </c>
      <c r="AC2030" s="61" t="n">
        <f aca="false">INDEX(Datos_Origen!$H$2:$H$2459,$Z2030)</f>
        <v>55</v>
      </c>
      <c r="AD2030" s="61" t="str">
        <f aca="false">INDEX(Datos_Origen!$D$2:$D$2459,$Z2030)&amp;""</f>
        <v>Cordoba</v>
      </c>
    </row>
    <row r="2031" customFormat="false" ht="15" hidden="false" customHeight="false" outlineLevel="0" collapsed="false">
      <c r="A2031" s="61" t="n">
        <f aca="false">INDEX(Datos_Origen!$A$2:$A$2459,$Z2031)</f>
        <v>2030</v>
      </c>
      <c r="B2031" s="62" t="n">
        <f aca="false">IF(ISNUMBER($AB2031),$AB2031,IF(MID($AB2031,5,1)="-",DATE(VALUE(LEFT($AB2031,4)),VALUE(MID($AB2031,6,2)),VALUE(RIGHT($AB2031,2))),DATE(VALUE(RIGHT($AB2031,4)),VALUE(MID($AB2031,4,2)),VALUE(LEFT($AB2031,2)))))</f>
        <v>45909</v>
      </c>
      <c r="C2031" s="61" t="n">
        <f aca="false">YEAR($B2031)</f>
        <v>2025</v>
      </c>
      <c r="D2031" s="61" t="str">
        <f aca="false">"Q"&amp;ROUNDUP(MONTH($B2031)/3,0)</f>
        <v>Q3</v>
      </c>
      <c r="E2031" s="61" t="n">
        <f aca="false">MONTH($B2031)</f>
        <v>9</v>
      </c>
      <c r="F2031" s="61" t="str">
        <f aca="false">INDEX(Parametros!$I$5:$I$16,$E2031)</f>
        <v>Sep</v>
      </c>
      <c r="G2031" s="61" t="str">
        <f aca="false">TEXT($C2031,"0000")&amp;"-"&amp;TEXT($E2031,"00")</f>
        <v>2025-09</v>
      </c>
      <c r="H2031" s="61" t="str">
        <f aca="false">INDEX(Parametros!$C$71:$C$91,MATCH(TRIM(INDEX(Datos_Origen!$C$2:$C$2459,$Z2031)),Parametros!$B$71:$B$91,0))</f>
        <v>Centro</v>
      </c>
      <c r="I2031" s="61" t="str">
        <f aca="false">IF(TRIM($AD2031)="",INDEX(Parametros!$I$20:$I$24,MATCH($H2031,Parametros!$H$20:$H$24,0)),TRIM($AD2031))</f>
        <v>Cordoba</v>
      </c>
      <c r="J2031" s="61" t="str">
        <f aca="false">INDEX(Parametros!$C$95:$C$106,MATCH(TRIM(INDEX(Datos_Origen!$E$2:$E$2459,$Z2031)),Parametros!$B$95:$B$106,0))</f>
        <v>E-commerce</v>
      </c>
      <c r="K2031" s="61" t="str">
        <f aca="false">INDEX(Parametros!$C$48:$C$67,MATCH(TRIM(INDEX(Datos_Origen!$F$2:$F$2459,$Z2031)),Parametros!$B$48:$B$67,0))</f>
        <v>Accesorios</v>
      </c>
      <c r="L2031" s="61" t="str">
        <f aca="false">$K2031&amp;" "&amp;$C2031</f>
        <v>Accesorios 2025</v>
      </c>
      <c r="M2031" s="61" t="str">
        <f aca="false">TRIM(INDEX(Datos_Origen!$G$2:$G$2459,$Z2031))</f>
        <v>Teclado Mecanico</v>
      </c>
      <c r="N2031" s="61" t="str">
        <f aca="false">$M2031&amp;" "&amp;$C2031</f>
        <v>Teclado Mecanico 2025</v>
      </c>
      <c r="O2031" s="63" t="n">
        <f aca="false">IF(ISTEXT($AC2031),VALUE($AC2031),$AC2031)</f>
        <v>43</v>
      </c>
      <c r="P2031" s="64" t="n">
        <f aca="false">INDEX(Datos_Origen!$I$2:$I$2459,$Z2031)</f>
        <v>95.38</v>
      </c>
      <c r="Q2031" s="64" t="n">
        <f aca="false">INDEX(Datos_Origen!$J$2:$J$2459,$Z2031)</f>
        <v>49.41</v>
      </c>
      <c r="R2031" s="65" t="n">
        <f aca="false">ROUND($O2031*$P2031,2)</f>
        <v>4101.34</v>
      </c>
      <c r="S2031" s="65" t="n">
        <f aca="false">ROUND($O2031*$Q2031,2)</f>
        <v>2124.63</v>
      </c>
      <c r="T2031" s="65" t="n">
        <f aca="false">ROUND($R2031*SUMIFS(Parametros!$E$28:$E$43,Parametros!$B$28:$B$43,$J2031,Parametros!$C$28:$C$43,$C2031,Parametros!$D$28:$D$43,$D2031),2)</f>
        <v>229.68</v>
      </c>
      <c r="U2031" s="65" t="n">
        <f aca="false">$R2031-$S2031-$T2031</f>
        <v>1747.03</v>
      </c>
      <c r="V2031" s="66" t="n">
        <f aca="false">IFERROR($U2031/$R2031,0)</f>
        <v>0.425965660003804</v>
      </c>
      <c r="W2031" s="67" t="str">
        <f aca="false">IF(AND($V2031&gt;=Parametros!$C$8,$R2031&gt;=Parametros!$C$12),"Alta rentabilidad",IF(OR($V2031&lt;Parametros!$C$11,$R2031&lt;Parametros!$C$13),"Revisar","Estandar"))</f>
        <v>Alta rentabilidad</v>
      </c>
      <c r="X2031" s="67" t="str">
        <f aca="false">IF(AND($J2031="E-commerce",IFERROR($T2031/$R2031,0)&gt;Parametros!$C$14),"Alerta","OK")</f>
        <v>Alerta</v>
      </c>
      <c r="Y2031" s="61" t="str">
        <f aca="false">IF($R2031&gt;=Parametros!$C$12,"Alto",IF($R2031&lt;Parametros!$C$13,"Bajo","Medio"))</f>
        <v>Alto</v>
      </c>
      <c r="Z2031" s="61" t="n">
        <v>1302</v>
      </c>
      <c r="AA2031" s="61" t="str">
        <f aca="false">IF(MATCH($A2031,Datos_Origen!$A$2:$A$2459,0)=$Z2031,"OK","REVISAR")</f>
        <v>OK</v>
      </c>
      <c r="AB2031" s="62" t="n">
        <f aca="false">INDEX(Datos_Origen!$B$2:$B$2459,$Z2031)</f>
        <v>45909</v>
      </c>
      <c r="AC2031" s="61" t="str">
        <f aca="false">INDEX(Datos_Origen!$H$2:$H$2459,$Z2031)</f>
        <v>43</v>
      </c>
      <c r="AD2031" s="61" t="str">
        <f aca="false">INDEX(Datos_Origen!$D$2:$D$2459,$Z2031)&amp;""</f>
        <v>Cordoba</v>
      </c>
    </row>
    <row r="2032" customFormat="false" ht="15" hidden="false" customHeight="false" outlineLevel="0" collapsed="false">
      <c r="A2032" s="61" t="n">
        <f aca="false">INDEX(Datos_Origen!$A$2:$A$2459,$Z2032)</f>
        <v>2031</v>
      </c>
      <c r="B2032" s="62" t="n">
        <f aca="false">IF(ISNUMBER($AB2032),$AB2032,IF(MID($AB2032,5,1)="-",DATE(VALUE(LEFT($AB2032,4)),VALUE(MID($AB2032,6,2)),VALUE(RIGHT($AB2032,2))),DATE(VALUE(RIGHT($AB2032,4)),VALUE(MID($AB2032,4,2)),VALUE(LEFT($AB2032,2)))))</f>
        <v>45916</v>
      </c>
      <c r="C2032" s="61" t="n">
        <f aca="false">YEAR($B2032)</f>
        <v>2025</v>
      </c>
      <c r="D2032" s="61" t="str">
        <f aca="false">"Q"&amp;ROUNDUP(MONTH($B2032)/3,0)</f>
        <v>Q3</v>
      </c>
      <c r="E2032" s="61" t="n">
        <f aca="false">MONTH($B2032)</f>
        <v>9</v>
      </c>
      <c r="F2032" s="61" t="str">
        <f aca="false">INDEX(Parametros!$I$5:$I$16,$E2032)</f>
        <v>Sep</v>
      </c>
      <c r="G2032" s="61" t="str">
        <f aca="false">TEXT($C2032,"0000")&amp;"-"&amp;TEXT($E2032,"00")</f>
        <v>2025-09</v>
      </c>
      <c r="H2032" s="61" t="str">
        <f aca="false">INDEX(Parametros!$C$71:$C$91,MATCH(TRIM(INDEX(Datos_Origen!$C$2:$C$2459,$Z2032)),Parametros!$B$71:$B$91,0))</f>
        <v>Centro</v>
      </c>
      <c r="I2032" s="61" t="str">
        <f aca="false">IF(TRIM($AD2032)="",INDEX(Parametros!$I$20:$I$24,MATCH($H2032,Parametros!$H$20:$H$24,0)),TRIM($AD2032))</f>
        <v>Cordoba</v>
      </c>
      <c r="J2032" s="61" t="str">
        <f aca="false">INDEX(Parametros!$C$95:$C$106,MATCH(TRIM(INDEX(Datos_Origen!$E$2:$E$2459,$Z2032)),Parametros!$B$95:$B$106,0))</f>
        <v>Tienda fisica</v>
      </c>
      <c r="K2032" s="61" t="str">
        <f aca="false">INDEX(Parametros!$C$48:$C$67,MATCH(TRIM(INDEX(Datos_Origen!$F$2:$F$2459,$Z2032)),Parametros!$B$48:$B$67,0))</f>
        <v>Accesorios</v>
      </c>
      <c r="L2032" s="61" t="str">
        <f aca="false">$K2032&amp;" "&amp;$C2032</f>
        <v>Accesorios 2025</v>
      </c>
      <c r="M2032" s="61" t="str">
        <f aca="false">TRIM(INDEX(Datos_Origen!$G$2:$G$2459,$Z2032))</f>
        <v>Webcam Full HD</v>
      </c>
      <c r="N2032" s="61" t="str">
        <f aca="false">$M2032&amp;" "&amp;$C2032</f>
        <v>Webcam Full HD 2025</v>
      </c>
      <c r="O2032" s="63" t="n">
        <f aca="false">IF(ISTEXT($AC2032),VALUE($AC2032),$AC2032)</f>
        <v>48</v>
      </c>
      <c r="P2032" s="64" t="n">
        <f aca="false">INDEX(Datos_Origen!$I$2:$I$2459,$Z2032)</f>
        <v>65.26</v>
      </c>
      <c r="Q2032" s="64" t="n">
        <f aca="false">INDEX(Datos_Origen!$J$2:$J$2459,$Z2032)</f>
        <v>36.49</v>
      </c>
      <c r="R2032" s="65" t="n">
        <f aca="false">ROUND($O2032*$P2032,2)</f>
        <v>3132.48</v>
      </c>
      <c r="S2032" s="65" t="n">
        <f aca="false">ROUND($O2032*$Q2032,2)</f>
        <v>1751.52</v>
      </c>
      <c r="T2032" s="65" t="n">
        <f aca="false">ROUND($R2032*SUMIFS(Parametros!$E$28:$E$43,Parametros!$B$28:$B$43,$J2032,Parametros!$C$28:$C$43,$C2032,Parametros!$D$28:$D$43,$D2032),2)</f>
        <v>40.72</v>
      </c>
      <c r="U2032" s="65" t="n">
        <f aca="false">$R2032-$S2032-$T2032</f>
        <v>1340.24</v>
      </c>
      <c r="V2032" s="66" t="n">
        <f aca="false">IFERROR($U2032/$R2032,0)</f>
        <v>0.427852691796915</v>
      </c>
      <c r="W2032" s="67" t="str">
        <f aca="false">IF(AND($V2032&gt;=Parametros!$C$8,$R2032&gt;=Parametros!$C$12),"Alta rentabilidad",IF(OR($V2032&lt;Parametros!$C$11,$R2032&lt;Parametros!$C$13),"Revisar","Estandar"))</f>
        <v>Alta rentabilidad</v>
      </c>
      <c r="X2032" s="67" t="str">
        <f aca="false">IF(AND($J2032="E-commerce",IFERROR($T2032/$R2032,0)&gt;Parametros!$C$14),"Alerta","OK")</f>
        <v>OK</v>
      </c>
      <c r="Y2032" s="61" t="str">
        <f aca="false">IF($R2032&gt;=Parametros!$C$12,"Alto",IF($R2032&lt;Parametros!$C$13,"Bajo","Medio"))</f>
        <v>Alto</v>
      </c>
      <c r="Z2032" s="61" t="n">
        <v>543</v>
      </c>
      <c r="AA2032" s="61" t="str">
        <f aca="false">IF(MATCH($A2032,Datos_Origen!$A$2:$A$2459,0)=$Z2032,"OK","REVISAR")</f>
        <v>OK</v>
      </c>
      <c r="AB2032" s="61" t="str">
        <f aca="false">INDEX(Datos_Origen!$B$2:$B$2459,$Z2032)</f>
        <v>16/09/2025</v>
      </c>
      <c r="AC2032" s="61" t="n">
        <f aca="false">INDEX(Datos_Origen!$H$2:$H$2459,$Z2032)</f>
        <v>48</v>
      </c>
      <c r="AD2032" s="61" t="str">
        <f aca="false">INDEX(Datos_Origen!$D$2:$D$2459,$Z2032)&amp;""</f>
        <v>Cordoba</v>
      </c>
    </row>
    <row r="2033" customFormat="false" ht="15" hidden="false" customHeight="false" outlineLevel="0" collapsed="false">
      <c r="A2033" s="61" t="n">
        <f aca="false">INDEX(Datos_Origen!$A$2:$A$2459,$Z2033)</f>
        <v>2032</v>
      </c>
      <c r="B2033" s="62" t="n">
        <f aca="false">IF(ISNUMBER($AB2033),$AB2033,IF(MID($AB2033,5,1)="-",DATE(VALUE(LEFT($AB2033,4)),VALUE(MID($AB2033,6,2)),VALUE(RIGHT($AB2033,2))),DATE(VALUE(RIGHT($AB2033,4)),VALUE(MID($AB2033,4,2)),VALUE(LEFT($AB2033,2)))))</f>
        <v>45923</v>
      </c>
      <c r="C2033" s="61" t="n">
        <f aca="false">YEAR($B2033)</f>
        <v>2025</v>
      </c>
      <c r="D2033" s="61" t="str">
        <f aca="false">"Q"&amp;ROUNDUP(MONTH($B2033)/3,0)</f>
        <v>Q3</v>
      </c>
      <c r="E2033" s="61" t="n">
        <f aca="false">MONTH($B2033)</f>
        <v>9</v>
      </c>
      <c r="F2033" s="61" t="str">
        <f aca="false">INDEX(Parametros!$I$5:$I$16,$E2033)</f>
        <v>Sep</v>
      </c>
      <c r="G2033" s="61" t="str">
        <f aca="false">TEXT($C2033,"0000")&amp;"-"&amp;TEXT($E2033,"00")</f>
        <v>2025-09</v>
      </c>
      <c r="H2033" s="61" t="str">
        <f aca="false">INDEX(Parametros!$C$71:$C$91,MATCH(TRIM(INDEX(Datos_Origen!$C$2:$C$2459,$Z2033)),Parametros!$B$71:$B$91,0))</f>
        <v>Centro</v>
      </c>
      <c r="I2033" s="61" t="str">
        <f aca="false">IF(TRIM($AD2033)="",INDEX(Parametros!$I$20:$I$24,MATCH($H2033,Parametros!$H$20:$H$24,0)),TRIM($AD2033))</f>
        <v>Cordoba</v>
      </c>
      <c r="J2033" s="61" t="str">
        <f aca="false">INDEX(Parametros!$C$95:$C$106,MATCH(TRIM(INDEX(Datos_Origen!$E$2:$E$2459,$Z2033)),Parametros!$B$95:$B$106,0))</f>
        <v>E-commerce</v>
      </c>
      <c r="K2033" s="61" t="str">
        <f aca="false">INDEX(Parametros!$C$48:$C$67,MATCH(TRIM(INDEX(Datos_Origen!$F$2:$F$2459,$Z2033)),Parametros!$B$48:$B$67,0))</f>
        <v>Accesorios</v>
      </c>
      <c r="L2033" s="61" t="str">
        <f aca="false">$K2033&amp;" "&amp;$C2033</f>
        <v>Accesorios 2025</v>
      </c>
      <c r="M2033" s="61" t="str">
        <f aca="false">TRIM(INDEX(Datos_Origen!$G$2:$G$2459,$Z2033))</f>
        <v>Webcam Full HD</v>
      </c>
      <c r="N2033" s="61" t="str">
        <f aca="false">$M2033&amp;" "&amp;$C2033</f>
        <v>Webcam Full HD 2025</v>
      </c>
      <c r="O2033" s="63" t="n">
        <f aca="false">IF(ISTEXT($AC2033),VALUE($AC2033),$AC2033)</f>
        <v>43</v>
      </c>
      <c r="P2033" s="64" t="n">
        <f aca="false">INDEX(Datos_Origen!$I$2:$I$2459,$Z2033)</f>
        <v>65.26</v>
      </c>
      <c r="Q2033" s="64" t="n">
        <f aca="false">INDEX(Datos_Origen!$J$2:$J$2459,$Z2033)</f>
        <v>36.49</v>
      </c>
      <c r="R2033" s="65" t="n">
        <f aca="false">ROUND($O2033*$P2033,2)</f>
        <v>2806.18</v>
      </c>
      <c r="S2033" s="65" t="n">
        <f aca="false">ROUND($O2033*$Q2033,2)</f>
        <v>1569.07</v>
      </c>
      <c r="T2033" s="65" t="n">
        <f aca="false">ROUND($R2033*SUMIFS(Parametros!$E$28:$E$43,Parametros!$B$28:$B$43,$J2033,Parametros!$C$28:$C$43,$C2033,Parametros!$D$28:$D$43,$D2033),2)</f>
        <v>157.15</v>
      </c>
      <c r="U2033" s="65" t="n">
        <f aca="false">$R2033-$S2033-$T2033</f>
        <v>1079.96</v>
      </c>
      <c r="V2033" s="66" t="n">
        <f aca="false">IFERROR($U2033/$R2033,0)</f>
        <v>0.384850579791745</v>
      </c>
      <c r="W2033" s="67" t="str">
        <f aca="false">IF(AND($V2033&gt;=Parametros!$C$8,$R2033&gt;=Parametros!$C$12),"Alta rentabilidad",IF(OR($V2033&lt;Parametros!$C$11,$R2033&lt;Parametros!$C$13),"Revisar","Estandar"))</f>
        <v>Estandar</v>
      </c>
      <c r="X2033" s="67" t="str">
        <f aca="false">IF(AND($J2033="E-commerce",IFERROR($T2033/$R2033,0)&gt;Parametros!$C$14),"Alerta","OK")</f>
        <v>Alerta</v>
      </c>
      <c r="Y2033" s="61" t="str">
        <f aca="false">IF($R2033&gt;=Parametros!$C$12,"Alto",IF($R2033&lt;Parametros!$C$13,"Bajo","Medio"))</f>
        <v>Medio</v>
      </c>
      <c r="Z2033" s="61" t="n">
        <v>2163</v>
      </c>
      <c r="AA2033" s="61" t="str">
        <f aca="false">IF(MATCH($A2033,Datos_Origen!$A$2:$A$2459,0)=$Z2033,"OK","REVISAR")</f>
        <v>OK</v>
      </c>
      <c r="AB2033" s="62" t="n">
        <f aca="false">INDEX(Datos_Origen!$B$2:$B$2459,$Z2033)</f>
        <v>45923</v>
      </c>
      <c r="AC2033" s="61" t="n">
        <f aca="false">INDEX(Datos_Origen!$H$2:$H$2459,$Z2033)</f>
        <v>43</v>
      </c>
      <c r="AD2033" s="61" t="str">
        <f aca="false">INDEX(Datos_Origen!$D$2:$D$2459,$Z2033)&amp;""</f>
        <v>Cordoba</v>
      </c>
    </row>
    <row r="2034" customFormat="false" ht="15" hidden="false" customHeight="false" outlineLevel="0" collapsed="false">
      <c r="A2034" s="61" t="n">
        <f aca="false">INDEX(Datos_Origen!$A$2:$A$2459,$Z2034)</f>
        <v>2033</v>
      </c>
      <c r="B2034" s="62" t="n">
        <f aca="false">IF(ISNUMBER($AB2034),$AB2034,IF(MID($AB2034,5,1)="-",DATE(VALUE(LEFT($AB2034,4)),VALUE(MID($AB2034,6,2)),VALUE(RIGHT($AB2034,2))),DATE(VALUE(RIGHT($AB2034,4)),VALUE(MID($AB2034,4,2)),VALUE(LEFT($AB2034,2)))))</f>
        <v>45903</v>
      </c>
      <c r="C2034" s="61" t="n">
        <f aca="false">YEAR($B2034)</f>
        <v>2025</v>
      </c>
      <c r="D2034" s="61" t="str">
        <f aca="false">"Q"&amp;ROUNDUP(MONTH($B2034)/3,0)</f>
        <v>Q3</v>
      </c>
      <c r="E2034" s="61" t="n">
        <f aca="false">MONTH($B2034)</f>
        <v>9</v>
      </c>
      <c r="F2034" s="61" t="str">
        <f aca="false">INDEX(Parametros!$I$5:$I$16,$E2034)</f>
        <v>Sep</v>
      </c>
      <c r="G2034" s="61" t="str">
        <f aca="false">TEXT($C2034,"0000")&amp;"-"&amp;TEXT($E2034,"00")</f>
        <v>2025-09</v>
      </c>
      <c r="H2034" s="61" t="str">
        <f aca="false">INDEX(Parametros!$C$71:$C$91,MATCH(TRIM(INDEX(Datos_Origen!$C$2:$C$2459,$Z2034)),Parametros!$B$71:$B$91,0))</f>
        <v>Centro</v>
      </c>
      <c r="I2034" s="61" t="str">
        <f aca="false">IF(TRIM($AD2034)="",INDEX(Parametros!$I$20:$I$24,MATCH($H2034,Parametros!$H$20:$H$24,0)),TRIM($AD2034))</f>
        <v>Cordoba</v>
      </c>
      <c r="J2034" s="61" t="str">
        <f aca="false">INDEX(Parametros!$C$95:$C$106,MATCH(TRIM(INDEX(Datos_Origen!$E$2:$E$2459,$Z2034)),Parametros!$B$95:$B$106,0))</f>
        <v>Tienda fisica</v>
      </c>
      <c r="K2034" s="61" t="str">
        <f aca="false">INDEX(Parametros!$C$48:$C$67,MATCH(TRIM(INDEX(Datos_Origen!$F$2:$F$2459,$Z2034)),Parametros!$B$48:$B$67,0))</f>
        <v>Audio</v>
      </c>
      <c r="L2034" s="61" t="str">
        <f aca="false">$K2034&amp;" "&amp;$C2034</f>
        <v>Audio 2025</v>
      </c>
      <c r="M2034" s="61" t="str">
        <f aca="false">TRIM(INDEX(Datos_Origen!$G$2:$G$2459,$Z2034))</f>
        <v>Auriculares BT Pro</v>
      </c>
      <c r="N2034" s="61" t="str">
        <f aca="false">$M2034&amp;" "&amp;$C2034</f>
        <v>Auriculares BT Pro 2025</v>
      </c>
      <c r="O2034" s="63" t="n">
        <f aca="false">IF(ISTEXT($AC2034),VALUE($AC2034),$AC2034)</f>
        <v>24</v>
      </c>
      <c r="P2034" s="64" t="n">
        <f aca="false">INDEX(Datos_Origen!$I$2:$I$2459,$Z2034)</f>
        <v>120.47</v>
      </c>
      <c r="Q2034" s="64" t="n">
        <f aca="false">INDEX(Datos_Origen!$J$2:$J$2459,$Z2034)</f>
        <v>65.51</v>
      </c>
      <c r="R2034" s="65" t="n">
        <f aca="false">ROUND($O2034*$P2034,2)</f>
        <v>2891.28</v>
      </c>
      <c r="S2034" s="65" t="n">
        <f aca="false">ROUND($O2034*$Q2034,2)</f>
        <v>1572.24</v>
      </c>
      <c r="T2034" s="65" t="n">
        <f aca="false">ROUND($R2034*SUMIFS(Parametros!$E$28:$E$43,Parametros!$B$28:$B$43,$J2034,Parametros!$C$28:$C$43,$C2034,Parametros!$D$28:$D$43,$D2034),2)</f>
        <v>37.59</v>
      </c>
      <c r="U2034" s="65" t="n">
        <f aca="false">$R2034-$S2034-$T2034</f>
        <v>1281.45</v>
      </c>
      <c r="V2034" s="66" t="n">
        <f aca="false">IFERROR($U2034/$R2034,0)</f>
        <v>0.443212002988296</v>
      </c>
      <c r="W2034" s="67" t="str">
        <f aca="false">IF(AND($V2034&gt;=Parametros!$C$8,$R2034&gt;=Parametros!$C$12),"Alta rentabilidad",IF(OR($V2034&lt;Parametros!$C$11,$R2034&lt;Parametros!$C$13),"Revisar","Estandar"))</f>
        <v>Estandar</v>
      </c>
      <c r="X2034" s="67" t="str">
        <f aca="false">IF(AND($J2034="E-commerce",IFERROR($T2034/$R2034,0)&gt;Parametros!$C$14),"Alerta","OK")</f>
        <v>OK</v>
      </c>
      <c r="Y2034" s="61" t="str">
        <f aca="false">IF($R2034&gt;=Parametros!$C$12,"Alto",IF($R2034&lt;Parametros!$C$13,"Bajo","Medio"))</f>
        <v>Medio</v>
      </c>
      <c r="Z2034" s="61" t="n">
        <v>2134</v>
      </c>
      <c r="AA2034" s="61" t="str">
        <f aca="false">IF(MATCH($A2034,Datos_Origen!$A$2:$A$2459,0)=$Z2034,"OK","REVISAR")</f>
        <v>OK</v>
      </c>
      <c r="AB2034" s="62" t="n">
        <f aca="false">INDEX(Datos_Origen!$B$2:$B$2459,$Z2034)</f>
        <v>45903</v>
      </c>
      <c r="AC2034" s="61" t="str">
        <f aca="false">INDEX(Datos_Origen!$H$2:$H$2459,$Z2034)</f>
        <v>24</v>
      </c>
      <c r="AD2034" s="61" t="str">
        <f aca="false">INDEX(Datos_Origen!$D$2:$D$2459,$Z2034)&amp;""</f>
        <v>Cordoba</v>
      </c>
    </row>
    <row r="2035" customFormat="false" ht="15" hidden="false" customHeight="false" outlineLevel="0" collapsed="false">
      <c r="A2035" s="61" t="n">
        <f aca="false">INDEX(Datos_Origen!$A$2:$A$2459,$Z2035)</f>
        <v>2034</v>
      </c>
      <c r="B2035" s="62" t="n">
        <f aca="false">IF(ISNUMBER($AB2035),$AB2035,IF(MID($AB2035,5,1)="-",DATE(VALUE(LEFT($AB2035,4)),VALUE(MID($AB2035,6,2)),VALUE(RIGHT($AB2035,2))),DATE(VALUE(RIGHT($AB2035,4)),VALUE(MID($AB2035,4,2)),VALUE(LEFT($AB2035,2)))))</f>
        <v>45910</v>
      </c>
      <c r="C2035" s="61" t="n">
        <f aca="false">YEAR($B2035)</f>
        <v>2025</v>
      </c>
      <c r="D2035" s="61" t="str">
        <f aca="false">"Q"&amp;ROUNDUP(MONTH($B2035)/3,0)</f>
        <v>Q3</v>
      </c>
      <c r="E2035" s="61" t="n">
        <f aca="false">MONTH($B2035)</f>
        <v>9</v>
      </c>
      <c r="F2035" s="61" t="str">
        <f aca="false">INDEX(Parametros!$I$5:$I$16,$E2035)</f>
        <v>Sep</v>
      </c>
      <c r="G2035" s="61" t="str">
        <f aca="false">TEXT($C2035,"0000")&amp;"-"&amp;TEXT($E2035,"00")</f>
        <v>2025-09</v>
      </c>
      <c r="H2035" s="61" t="str">
        <f aca="false">INDEX(Parametros!$C$71:$C$91,MATCH(TRIM(INDEX(Datos_Origen!$C$2:$C$2459,$Z2035)),Parametros!$B$71:$B$91,0))</f>
        <v>Centro</v>
      </c>
      <c r="I2035" s="61" t="str">
        <f aca="false">IF(TRIM($AD2035)="",INDEX(Parametros!$I$20:$I$24,MATCH($H2035,Parametros!$H$20:$H$24,0)),TRIM($AD2035))</f>
        <v>Cordoba</v>
      </c>
      <c r="J2035" s="61" t="str">
        <f aca="false">INDEX(Parametros!$C$95:$C$106,MATCH(TRIM(INDEX(Datos_Origen!$E$2:$E$2459,$Z2035)),Parametros!$B$95:$B$106,0))</f>
        <v>E-commerce</v>
      </c>
      <c r="K2035" s="61" t="str">
        <f aca="false">INDEX(Parametros!$C$48:$C$67,MATCH(TRIM(INDEX(Datos_Origen!$F$2:$F$2459,$Z2035)),Parametros!$B$48:$B$67,0))</f>
        <v>Audio</v>
      </c>
      <c r="L2035" s="61" t="str">
        <f aca="false">$K2035&amp;" "&amp;$C2035</f>
        <v>Audio 2025</v>
      </c>
      <c r="M2035" s="61" t="str">
        <f aca="false">TRIM(INDEX(Datos_Origen!$G$2:$G$2459,$Z2035))</f>
        <v>Auriculares BT Pro</v>
      </c>
      <c r="N2035" s="61" t="str">
        <f aca="false">$M2035&amp;" "&amp;$C2035</f>
        <v>Auriculares BT Pro 2025</v>
      </c>
      <c r="O2035" s="63" t="n">
        <f aca="false">IF(ISTEXT($AC2035),VALUE($AC2035),$AC2035)</f>
        <v>16</v>
      </c>
      <c r="P2035" s="64" t="n">
        <f aca="false">INDEX(Datos_Origen!$I$2:$I$2459,$Z2035)</f>
        <v>120.47</v>
      </c>
      <c r="Q2035" s="64" t="n">
        <f aca="false">INDEX(Datos_Origen!$J$2:$J$2459,$Z2035)</f>
        <v>65.51</v>
      </c>
      <c r="R2035" s="65" t="n">
        <f aca="false">ROUND($O2035*$P2035,2)</f>
        <v>1927.52</v>
      </c>
      <c r="S2035" s="65" t="n">
        <f aca="false">ROUND($O2035*$Q2035,2)</f>
        <v>1048.16</v>
      </c>
      <c r="T2035" s="65" t="n">
        <f aca="false">ROUND($R2035*SUMIFS(Parametros!$E$28:$E$43,Parametros!$B$28:$B$43,$J2035,Parametros!$C$28:$C$43,$C2035,Parametros!$D$28:$D$43,$D2035),2)</f>
        <v>107.94</v>
      </c>
      <c r="U2035" s="65" t="n">
        <f aca="false">$R2035-$S2035-$T2035</f>
        <v>771.42</v>
      </c>
      <c r="V2035" s="66" t="n">
        <f aca="false">IFERROR($U2035/$R2035,0)</f>
        <v>0.40021374616087</v>
      </c>
      <c r="W2035" s="67" t="str">
        <f aca="false">IF(AND($V2035&gt;=Parametros!$C$8,$R2035&gt;=Parametros!$C$12),"Alta rentabilidad",IF(OR($V2035&lt;Parametros!$C$11,$R2035&lt;Parametros!$C$13),"Revisar","Estandar"))</f>
        <v>Estandar</v>
      </c>
      <c r="X2035" s="67" t="str">
        <f aca="false">IF(AND($J2035="E-commerce",IFERROR($T2035/$R2035,0)&gt;Parametros!$C$14),"Alerta","OK")</f>
        <v>Alerta</v>
      </c>
      <c r="Y2035" s="61" t="str">
        <f aca="false">IF($R2035&gt;=Parametros!$C$12,"Alto",IF($R2035&lt;Parametros!$C$13,"Bajo","Medio"))</f>
        <v>Medio</v>
      </c>
      <c r="Z2035" s="61" t="n">
        <v>512</v>
      </c>
      <c r="AA2035" s="61" t="str">
        <f aca="false">IF(MATCH($A2035,Datos_Origen!$A$2:$A$2459,0)=$Z2035,"OK","REVISAR")</f>
        <v>OK</v>
      </c>
      <c r="AB2035" s="62" t="n">
        <f aca="false">INDEX(Datos_Origen!$B$2:$B$2459,$Z2035)</f>
        <v>45910</v>
      </c>
      <c r="AC2035" s="61" t="n">
        <f aca="false">INDEX(Datos_Origen!$H$2:$H$2459,$Z2035)</f>
        <v>16</v>
      </c>
      <c r="AD2035" s="61" t="str">
        <f aca="false">INDEX(Datos_Origen!$D$2:$D$2459,$Z2035)&amp;""</f>
        <v>Cordoba</v>
      </c>
    </row>
    <row r="2036" customFormat="false" ht="15" hidden="false" customHeight="false" outlineLevel="0" collapsed="false">
      <c r="A2036" s="61" t="n">
        <f aca="false">INDEX(Datos_Origen!$A$2:$A$2459,$Z2036)</f>
        <v>2035</v>
      </c>
      <c r="B2036" s="62" t="n">
        <f aca="false">IF(ISNUMBER($AB2036),$AB2036,IF(MID($AB2036,5,1)="-",DATE(VALUE(LEFT($AB2036,4)),VALUE(MID($AB2036,6,2)),VALUE(RIGHT($AB2036,2))),DATE(VALUE(RIGHT($AB2036,4)),VALUE(MID($AB2036,4,2)),VALUE(LEFT($AB2036,2)))))</f>
        <v>45917</v>
      </c>
      <c r="C2036" s="61" t="n">
        <f aca="false">YEAR($B2036)</f>
        <v>2025</v>
      </c>
      <c r="D2036" s="61" t="str">
        <f aca="false">"Q"&amp;ROUNDUP(MONTH($B2036)/3,0)</f>
        <v>Q3</v>
      </c>
      <c r="E2036" s="61" t="n">
        <f aca="false">MONTH($B2036)</f>
        <v>9</v>
      </c>
      <c r="F2036" s="61" t="str">
        <f aca="false">INDEX(Parametros!$I$5:$I$16,$E2036)</f>
        <v>Sep</v>
      </c>
      <c r="G2036" s="61" t="str">
        <f aca="false">TEXT($C2036,"0000")&amp;"-"&amp;TEXT($E2036,"00")</f>
        <v>2025-09</v>
      </c>
      <c r="H2036" s="61" t="str">
        <f aca="false">INDEX(Parametros!$C$71:$C$91,MATCH(TRIM(INDEX(Datos_Origen!$C$2:$C$2459,$Z2036)),Parametros!$B$71:$B$91,0))</f>
        <v>Centro</v>
      </c>
      <c r="I2036" s="61" t="str">
        <f aca="false">IF(TRIM($AD2036)="",INDEX(Parametros!$I$20:$I$24,MATCH($H2036,Parametros!$H$20:$H$24,0)),TRIM($AD2036))</f>
        <v>Cordoba</v>
      </c>
      <c r="J2036" s="61" t="str">
        <f aca="false">INDEX(Parametros!$C$95:$C$106,MATCH(TRIM(INDEX(Datos_Origen!$E$2:$E$2459,$Z2036)),Parametros!$B$95:$B$106,0))</f>
        <v>Tienda fisica</v>
      </c>
      <c r="K2036" s="61" t="str">
        <f aca="false">INDEX(Parametros!$C$48:$C$67,MATCH(TRIM(INDEX(Datos_Origen!$F$2:$F$2459,$Z2036)),Parametros!$B$48:$B$67,0))</f>
        <v>Audio</v>
      </c>
      <c r="L2036" s="61" t="str">
        <f aca="false">$K2036&amp;" "&amp;$C2036</f>
        <v>Audio 2025</v>
      </c>
      <c r="M2036" s="61" t="str">
        <f aca="false">TRIM(INDEX(Datos_Origen!$G$2:$G$2459,$Z2036))</f>
        <v>Parlante Bluetooth</v>
      </c>
      <c r="N2036" s="61" t="str">
        <f aca="false">$M2036&amp;" "&amp;$C2036</f>
        <v>Parlante Bluetooth 2025</v>
      </c>
      <c r="O2036" s="63" t="n">
        <f aca="false">IF(ISTEXT($AC2036),VALUE($AC2036),$AC2036)</f>
        <v>24</v>
      </c>
      <c r="P2036" s="64" t="n">
        <f aca="false">INDEX(Datos_Origen!$I$2:$I$2459,$Z2036)</f>
        <v>85.34</v>
      </c>
      <c r="Q2036" s="64" t="n">
        <f aca="false">INDEX(Datos_Origen!$J$2:$J$2459,$Z2036)</f>
        <v>49.47</v>
      </c>
      <c r="R2036" s="65" t="n">
        <f aca="false">ROUND($O2036*$P2036,2)</f>
        <v>2048.16</v>
      </c>
      <c r="S2036" s="65" t="n">
        <f aca="false">ROUND($O2036*$Q2036,2)</f>
        <v>1187.28</v>
      </c>
      <c r="T2036" s="65" t="n">
        <f aca="false">ROUND($R2036*SUMIFS(Parametros!$E$28:$E$43,Parametros!$B$28:$B$43,$J2036,Parametros!$C$28:$C$43,$C2036,Parametros!$D$28:$D$43,$D2036),2)</f>
        <v>26.63</v>
      </c>
      <c r="U2036" s="65" t="n">
        <f aca="false">$R2036-$S2036-$T2036</f>
        <v>834.25</v>
      </c>
      <c r="V2036" s="66" t="n">
        <f aca="false">IFERROR($U2036/$R2036,0)</f>
        <v>0.407316811186626</v>
      </c>
      <c r="W2036" s="67" t="str">
        <f aca="false">IF(AND($V2036&gt;=Parametros!$C$8,$R2036&gt;=Parametros!$C$12),"Alta rentabilidad",IF(OR($V2036&lt;Parametros!$C$11,$R2036&lt;Parametros!$C$13),"Revisar","Estandar"))</f>
        <v>Estandar</v>
      </c>
      <c r="X2036" s="67" t="str">
        <f aca="false">IF(AND($J2036="E-commerce",IFERROR($T2036/$R2036,0)&gt;Parametros!$C$14),"Alerta","OK")</f>
        <v>OK</v>
      </c>
      <c r="Y2036" s="61" t="str">
        <f aca="false">IF($R2036&gt;=Parametros!$C$12,"Alto",IF($R2036&lt;Parametros!$C$13,"Bajo","Medio"))</f>
        <v>Medio</v>
      </c>
      <c r="Z2036" s="61" t="n">
        <v>1533</v>
      </c>
      <c r="AA2036" s="61" t="str">
        <f aca="false">IF(MATCH($A2036,Datos_Origen!$A$2:$A$2459,0)=$Z2036,"OK","REVISAR")</f>
        <v>OK</v>
      </c>
      <c r="AB2036" s="61" t="str">
        <f aca="false">INDEX(Datos_Origen!$B$2:$B$2459,$Z2036)</f>
        <v>17/09/2025</v>
      </c>
      <c r="AC2036" s="61" t="n">
        <f aca="false">INDEX(Datos_Origen!$H$2:$H$2459,$Z2036)</f>
        <v>24</v>
      </c>
      <c r="AD2036" s="61" t="str">
        <f aca="false">INDEX(Datos_Origen!$D$2:$D$2459,$Z2036)&amp;""</f>
        <v>Cordoba</v>
      </c>
    </row>
    <row r="2037" customFormat="false" ht="15" hidden="false" customHeight="false" outlineLevel="0" collapsed="false">
      <c r="A2037" s="61" t="n">
        <f aca="false">INDEX(Datos_Origen!$A$2:$A$2459,$Z2037)</f>
        <v>2036</v>
      </c>
      <c r="B2037" s="62" t="n">
        <f aca="false">IF(ISNUMBER($AB2037),$AB2037,IF(MID($AB2037,5,1)="-",DATE(VALUE(LEFT($AB2037,4)),VALUE(MID($AB2037,6,2)),VALUE(RIGHT($AB2037,2))),DATE(VALUE(RIGHT($AB2037,4)),VALUE(MID($AB2037,4,2)),VALUE(LEFT($AB2037,2)))))</f>
        <v>45924</v>
      </c>
      <c r="C2037" s="61" t="n">
        <f aca="false">YEAR($B2037)</f>
        <v>2025</v>
      </c>
      <c r="D2037" s="61" t="str">
        <f aca="false">"Q"&amp;ROUNDUP(MONTH($B2037)/3,0)</f>
        <v>Q3</v>
      </c>
      <c r="E2037" s="61" t="n">
        <f aca="false">MONTH($B2037)</f>
        <v>9</v>
      </c>
      <c r="F2037" s="61" t="str">
        <f aca="false">INDEX(Parametros!$I$5:$I$16,$E2037)</f>
        <v>Sep</v>
      </c>
      <c r="G2037" s="61" t="str">
        <f aca="false">TEXT($C2037,"0000")&amp;"-"&amp;TEXT($E2037,"00")</f>
        <v>2025-09</v>
      </c>
      <c r="H2037" s="61" t="str">
        <f aca="false">INDEX(Parametros!$C$71:$C$91,MATCH(TRIM(INDEX(Datos_Origen!$C$2:$C$2459,$Z2037)),Parametros!$B$71:$B$91,0))</f>
        <v>Centro</v>
      </c>
      <c r="I2037" s="61" t="str">
        <f aca="false">IF(TRIM($AD2037)="",INDEX(Parametros!$I$20:$I$24,MATCH($H2037,Parametros!$H$20:$H$24,0)),TRIM($AD2037))</f>
        <v>Cordoba</v>
      </c>
      <c r="J2037" s="61" t="str">
        <f aca="false">INDEX(Parametros!$C$95:$C$106,MATCH(TRIM(INDEX(Datos_Origen!$E$2:$E$2459,$Z2037)),Parametros!$B$95:$B$106,0))</f>
        <v>E-commerce</v>
      </c>
      <c r="K2037" s="61" t="str">
        <f aca="false">INDEX(Parametros!$C$48:$C$67,MATCH(TRIM(INDEX(Datos_Origen!$F$2:$F$2459,$Z2037)),Parametros!$B$48:$B$67,0))</f>
        <v>Audio</v>
      </c>
      <c r="L2037" s="61" t="str">
        <f aca="false">$K2037&amp;" "&amp;$C2037</f>
        <v>Audio 2025</v>
      </c>
      <c r="M2037" s="61" t="str">
        <f aca="false">TRIM(INDEX(Datos_Origen!$G$2:$G$2459,$Z2037))</f>
        <v>Parlante Bluetooth</v>
      </c>
      <c r="N2037" s="61" t="str">
        <f aca="false">$M2037&amp;" "&amp;$C2037</f>
        <v>Parlante Bluetooth 2025</v>
      </c>
      <c r="O2037" s="63" t="n">
        <f aca="false">IF(ISTEXT($AC2037),VALUE($AC2037),$AC2037)</f>
        <v>17</v>
      </c>
      <c r="P2037" s="64" t="n">
        <f aca="false">INDEX(Datos_Origen!$I$2:$I$2459,$Z2037)</f>
        <v>85.34</v>
      </c>
      <c r="Q2037" s="64" t="n">
        <f aca="false">INDEX(Datos_Origen!$J$2:$J$2459,$Z2037)</f>
        <v>49.47</v>
      </c>
      <c r="R2037" s="65" t="n">
        <f aca="false">ROUND($O2037*$P2037,2)</f>
        <v>1450.78</v>
      </c>
      <c r="S2037" s="65" t="n">
        <f aca="false">ROUND($O2037*$Q2037,2)</f>
        <v>840.99</v>
      </c>
      <c r="T2037" s="65" t="n">
        <f aca="false">ROUND($R2037*SUMIFS(Parametros!$E$28:$E$43,Parametros!$B$28:$B$43,$J2037,Parametros!$C$28:$C$43,$C2037,Parametros!$D$28:$D$43,$D2037),2)</f>
        <v>81.24</v>
      </c>
      <c r="U2037" s="65" t="n">
        <f aca="false">$R2037-$S2037-$T2037</f>
        <v>528.55</v>
      </c>
      <c r="V2037" s="66" t="n">
        <f aca="false">IFERROR($U2037/$R2037,0)</f>
        <v>0.364321261666138</v>
      </c>
      <c r="W2037" s="67" t="str">
        <f aca="false">IF(AND($V2037&gt;=Parametros!$C$8,$R2037&gt;=Parametros!$C$12),"Alta rentabilidad",IF(OR($V2037&lt;Parametros!$C$11,$R2037&lt;Parametros!$C$13),"Revisar","Estandar"))</f>
        <v>Estandar</v>
      </c>
      <c r="X2037" s="67" t="str">
        <f aca="false">IF(AND($J2037="E-commerce",IFERROR($T2037/$R2037,0)&gt;Parametros!$C$14),"Alerta","OK")</f>
        <v>Alerta</v>
      </c>
      <c r="Y2037" s="61" t="str">
        <f aca="false">IF($R2037&gt;=Parametros!$C$12,"Alto",IF($R2037&lt;Parametros!$C$13,"Bajo","Medio"))</f>
        <v>Medio</v>
      </c>
      <c r="Z2037" s="61" t="n">
        <v>2050</v>
      </c>
      <c r="AA2037" s="61" t="str">
        <f aca="false">IF(MATCH($A2037,Datos_Origen!$A$2:$A$2459,0)=$Z2037,"OK","REVISAR")</f>
        <v>OK</v>
      </c>
      <c r="AB2037" s="62" t="n">
        <f aca="false">INDEX(Datos_Origen!$B$2:$B$2459,$Z2037)</f>
        <v>45924</v>
      </c>
      <c r="AC2037" s="61" t="n">
        <f aca="false">INDEX(Datos_Origen!$H$2:$H$2459,$Z2037)</f>
        <v>17</v>
      </c>
      <c r="AD2037" s="61" t="str">
        <f aca="false">INDEX(Datos_Origen!$D$2:$D$2459,$Z2037)&amp;""</f>
        <v>Cordoba</v>
      </c>
    </row>
    <row r="2038" customFormat="false" ht="15" hidden="false" customHeight="false" outlineLevel="0" collapsed="false">
      <c r="A2038" s="61" t="n">
        <f aca="false">INDEX(Datos_Origen!$A$2:$A$2459,$Z2038)</f>
        <v>2037</v>
      </c>
      <c r="B2038" s="62" t="n">
        <f aca="false">IF(ISNUMBER($AB2038),$AB2038,IF(MID($AB2038,5,1)="-",DATE(VALUE(LEFT($AB2038,4)),VALUE(MID($AB2038,6,2)),VALUE(RIGHT($AB2038,2))),DATE(VALUE(RIGHT($AB2038,4)),VALUE(MID($AB2038,4,2)),VALUE(LEFT($AB2038,2)))))</f>
        <v>45904</v>
      </c>
      <c r="C2038" s="61" t="n">
        <f aca="false">YEAR($B2038)</f>
        <v>2025</v>
      </c>
      <c r="D2038" s="61" t="str">
        <f aca="false">"Q"&amp;ROUNDUP(MONTH($B2038)/3,0)</f>
        <v>Q3</v>
      </c>
      <c r="E2038" s="61" t="n">
        <f aca="false">MONTH($B2038)</f>
        <v>9</v>
      </c>
      <c r="F2038" s="61" t="str">
        <f aca="false">INDEX(Parametros!$I$5:$I$16,$E2038)</f>
        <v>Sep</v>
      </c>
      <c r="G2038" s="61" t="str">
        <f aca="false">TEXT($C2038,"0000")&amp;"-"&amp;TEXT($E2038,"00")</f>
        <v>2025-09</v>
      </c>
      <c r="H2038" s="61" t="str">
        <f aca="false">INDEX(Parametros!$C$71:$C$91,MATCH(TRIM(INDEX(Datos_Origen!$C$2:$C$2459,$Z2038)),Parametros!$B$71:$B$91,0))</f>
        <v>Centro</v>
      </c>
      <c r="I2038" s="61" t="str">
        <f aca="false">IF(TRIM($AD2038)="",INDEX(Parametros!$I$20:$I$24,MATCH($H2038,Parametros!$H$20:$H$24,0)),TRIM($AD2038))</f>
        <v>Cordoba</v>
      </c>
      <c r="J2038" s="61" t="str">
        <f aca="false">INDEX(Parametros!$C$95:$C$106,MATCH(TRIM(INDEX(Datos_Origen!$E$2:$E$2459,$Z2038)),Parametros!$B$95:$B$106,0))</f>
        <v>Tienda fisica</v>
      </c>
      <c r="K2038" s="61" t="str">
        <f aca="false">INDEX(Parametros!$C$48:$C$67,MATCH(TRIM(INDEX(Datos_Origen!$F$2:$F$2459,$Z2038)),Parametros!$B$48:$B$67,0))</f>
        <v>Almacenamiento</v>
      </c>
      <c r="L2038" s="61" t="str">
        <f aca="false">$K2038&amp;" "&amp;$C2038</f>
        <v>Almacenamiento 2025</v>
      </c>
      <c r="M2038" s="61" t="str">
        <f aca="false">TRIM(INDEX(Datos_Origen!$G$2:$G$2459,$Z2038))</f>
        <v>SSD Externo 1TB</v>
      </c>
      <c r="N2038" s="61" t="str">
        <f aca="false">$M2038&amp;" "&amp;$C2038</f>
        <v>SSD Externo 1TB 2025</v>
      </c>
      <c r="O2038" s="63" t="n">
        <f aca="false">IF(ISTEXT($AC2038),VALUE($AC2038),$AC2038)</f>
        <v>30</v>
      </c>
      <c r="P2038" s="64" t="n">
        <f aca="false">INDEX(Datos_Origen!$I$2:$I$2459,$Z2038)</f>
        <v>130.51</v>
      </c>
      <c r="Q2038" s="64" t="n">
        <f aca="false">INDEX(Datos_Origen!$J$2:$J$2459,$Z2038)</f>
        <v>78.33</v>
      </c>
      <c r="R2038" s="65" t="n">
        <f aca="false">ROUND($O2038*$P2038,2)</f>
        <v>3915.3</v>
      </c>
      <c r="S2038" s="65" t="n">
        <f aca="false">ROUND($O2038*$Q2038,2)</f>
        <v>2349.9</v>
      </c>
      <c r="T2038" s="65" t="n">
        <f aca="false">ROUND($R2038*SUMIFS(Parametros!$E$28:$E$43,Parametros!$B$28:$B$43,$J2038,Parametros!$C$28:$C$43,$C2038,Parametros!$D$28:$D$43,$D2038),2)</f>
        <v>50.9</v>
      </c>
      <c r="U2038" s="65" t="n">
        <f aca="false">$R2038-$S2038-$T2038</f>
        <v>1514.5</v>
      </c>
      <c r="V2038" s="66" t="n">
        <f aca="false">IFERROR($U2038/$R2038,0)</f>
        <v>0.386815825096417</v>
      </c>
      <c r="W2038" s="67" t="str">
        <f aca="false">IF(AND($V2038&gt;=Parametros!$C$8,$R2038&gt;=Parametros!$C$12),"Alta rentabilidad",IF(OR($V2038&lt;Parametros!$C$11,$R2038&lt;Parametros!$C$13),"Revisar","Estandar"))</f>
        <v>Alta rentabilidad</v>
      </c>
      <c r="X2038" s="67" t="str">
        <f aca="false">IF(AND($J2038="E-commerce",IFERROR($T2038/$R2038,0)&gt;Parametros!$C$14),"Alerta","OK")</f>
        <v>OK</v>
      </c>
      <c r="Y2038" s="61" t="str">
        <f aca="false">IF($R2038&gt;=Parametros!$C$12,"Alto",IF($R2038&lt;Parametros!$C$13,"Bajo","Medio"))</f>
        <v>Alto</v>
      </c>
      <c r="Z2038" s="61" t="n">
        <v>1915</v>
      </c>
      <c r="AA2038" s="61" t="str">
        <f aca="false">IF(MATCH($A2038,Datos_Origen!$A$2:$A$2459,0)=$Z2038,"OK","REVISAR")</f>
        <v>OK</v>
      </c>
      <c r="AB2038" s="62" t="n">
        <f aca="false">INDEX(Datos_Origen!$B$2:$B$2459,$Z2038)</f>
        <v>45904</v>
      </c>
      <c r="AC2038" s="61" t="n">
        <f aca="false">INDEX(Datos_Origen!$H$2:$H$2459,$Z2038)</f>
        <v>30</v>
      </c>
      <c r="AD2038" s="61" t="str">
        <f aca="false">INDEX(Datos_Origen!$D$2:$D$2459,$Z2038)&amp;""</f>
        <v>Cordoba</v>
      </c>
    </row>
    <row r="2039" customFormat="false" ht="15" hidden="false" customHeight="false" outlineLevel="0" collapsed="false">
      <c r="A2039" s="61" t="n">
        <f aca="false">INDEX(Datos_Origen!$A$2:$A$2459,$Z2039)</f>
        <v>2038</v>
      </c>
      <c r="B2039" s="62" t="n">
        <f aca="false">IF(ISNUMBER($AB2039),$AB2039,IF(MID($AB2039,5,1)="-",DATE(VALUE(LEFT($AB2039,4)),VALUE(MID($AB2039,6,2)),VALUE(RIGHT($AB2039,2))),DATE(VALUE(RIGHT($AB2039,4)),VALUE(MID($AB2039,4,2)),VALUE(LEFT($AB2039,2)))))</f>
        <v>45911</v>
      </c>
      <c r="C2039" s="61" t="n">
        <f aca="false">YEAR($B2039)</f>
        <v>2025</v>
      </c>
      <c r="D2039" s="61" t="str">
        <f aca="false">"Q"&amp;ROUNDUP(MONTH($B2039)/3,0)</f>
        <v>Q3</v>
      </c>
      <c r="E2039" s="61" t="n">
        <f aca="false">MONTH($B2039)</f>
        <v>9</v>
      </c>
      <c r="F2039" s="61" t="str">
        <f aca="false">INDEX(Parametros!$I$5:$I$16,$E2039)</f>
        <v>Sep</v>
      </c>
      <c r="G2039" s="61" t="str">
        <f aca="false">TEXT($C2039,"0000")&amp;"-"&amp;TEXT($E2039,"00")</f>
        <v>2025-09</v>
      </c>
      <c r="H2039" s="61" t="str">
        <f aca="false">INDEX(Parametros!$C$71:$C$91,MATCH(TRIM(INDEX(Datos_Origen!$C$2:$C$2459,$Z2039)),Parametros!$B$71:$B$91,0))</f>
        <v>Centro</v>
      </c>
      <c r="I2039" s="61" t="str">
        <f aca="false">IF(TRIM($AD2039)="",INDEX(Parametros!$I$20:$I$24,MATCH($H2039,Parametros!$H$20:$H$24,0)),TRIM($AD2039))</f>
        <v>Cordoba</v>
      </c>
      <c r="J2039" s="61" t="str">
        <f aca="false">INDEX(Parametros!$C$95:$C$106,MATCH(TRIM(INDEX(Datos_Origen!$E$2:$E$2459,$Z2039)),Parametros!$B$95:$B$106,0))</f>
        <v>E-commerce</v>
      </c>
      <c r="K2039" s="61" t="str">
        <f aca="false">INDEX(Parametros!$C$48:$C$67,MATCH(TRIM(INDEX(Datos_Origen!$F$2:$F$2459,$Z2039)),Parametros!$B$48:$B$67,0))</f>
        <v>Almacenamiento</v>
      </c>
      <c r="L2039" s="61" t="str">
        <f aca="false">$K2039&amp;" "&amp;$C2039</f>
        <v>Almacenamiento 2025</v>
      </c>
      <c r="M2039" s="61" t="str">
        <f aca="false">TRIM(INDEX(Datos_Origen!$G$2:$G$2459,$Z2039))</f>
        <v>SSD Externo 1TB</v>
      </c>
      <c r="N2039" s="61" t="str">
        <f aca="false">$M2039&amp;" "&amp;$C2039</f>
        <v>SSD Externo 1TB 2025</v>
      </c>
      <c r="O2039" s="63" t="n">
        <f aca="false">IF(ISTEXT($AC2039),VALUE($AC2039),$AC2039)</f>
        <v>22</v>
      </c>
      <c r="P2039" s="64" t="n">
        <f aca="false">INDEX(Datos_Origen!$I$2:$I$2459,$Z2039)</f>
        <v>130.51</v>
      </c>
      <c r="Q2039" s="64" t="n">
        <f aca="false">INDEX(Datos_Origen!$J$2:$J$2459,$Z2039)</f>
        <v>78.33</v>
      </c>
      <c r="R2039" s="65" t="n">
        <f aca="false">ROUND($O2039*$P2039,2)</f>
        <v>2871.22</v>
      </c>
      <c r="S2039" s="65" t="n">
        <f aca="false">ROUND($O2039*$Q2039,2)</f>
        <v>1723.26</v>
      </c>
      <c r="T2039" s="65" t="n">
        <f aca="false">ROUND($R2039*SUMIFS(Parametros!$E$28:$E$43,Parametros!$B$28:$B$43,$J2039,Parametros!$C$28:$C$43,$C2039,Parametros!$D$28:$D$43,$D2039),2)</f>
        <v>160.79</v>
      </c>
      <c r="U2039" s="65" t="n">
        <f aca="false">$R2039-$S2039-$T2039</f>
        <v>987.17</v>
      </c>
      <c r="V2039" s="66" t="n">
        <f aca="false">IFERROR($U2039/$R2039,0)</f>
        <v>0.343815520928386</v>
      </c>
      <c r="W2039" s="67" t="str">
        <f aca="false">IF(AND($V2039&gt;=Parametros!$C$8,$R2039&gt;=Parametros!$C$12),"Alta rentabilidad",IF(OR($V2039&lt;Parametros!$C$11,$R2039&lt;Parametros!$C$13),"Revisar","Estandar"))</f>
        <v>Estandar</v>
      </c>
      <c r="X2039" s="67" t="str">
        <f aca="false">IF(AND($J2039="E-commerce",IFERROR($T2039/$R2039,0)&gt;Parametros!$C$14),"Alerta","OK")</f>
        <v>Alerta</v>
      </c>
      <c r="Y2039" s="61" t="str">
        <f aca="false">IF($R2039&gt;=Parametros!$C$12,"Alto",IF($R2039&lt;Parametros!$C$13,"Bajo","Medio"))</f>
        <v>Medio</v>
      </c>
      <c r="Z2039" s="61" t="n">
        <v>635</v>
      </c>
      <c r="AA2039" s="61" t="str">
        <f aca="false">IF(MATCH($A2039,Datos_Origen!$A$2:$A$2459,0)=$Z2039,"OK","REVISAR")</f>
        <v>OK</v>
      </c>
      <c r="AB2039" s="61" t="str">
        <f aca="false">INDEX(Datos_Origen!$B$2:$B$2459,$Z2039)</f>
        <v>11/09/2025</v>
      </c>
      <c r="AC2039" s="61" t="n">
        <f aca="false">INDEX(Datos_Origen!$H$2:$H$2459,$Z2039)</f>
        <v>22</v>
      </c>
      <c r="AD2039" s="61" t="str">
        <f aca="false">INDEX(Datos_Origen!$D$2:$D$2459,$Z2039)&amp;""</f>
        <v>Cordoba</v>
      </c>
    </row>
    <row r="2040" customFormat="false" ht="15" hidden="false" customHeight="false" outlineLevel="0" collapsed="false">
      <c r="A2040" s="61" t="n">
        <f aca="false">INDEX(Datos_Origen!$A$2:$A$2459,$Z2040)</f>
        <v>2039</v>
      </c>
      <c r="B2040" s="62" t="n">
        <f aca="false">IF(ISNUMBER($AB2040),$AB2040,IF(MID($AB2040,5,1)="-",DATE(VALUE(LEFT($AB2040,4)),VALUE(MID($AB2040,6,2)),VALUE(RIGHT($AB2040,2))),DATE(VALUE(RIGHT($AB2040,4)),VALUE(MID($AB2040,4,2)),VALUE(LEFT($AB2040,2)))))</f>
        <v>45918</v>
      </c>
      <c r="C2040" s="61" t="n">
        <f aca="false">YEAR($B2040)</f>
        <v>2025</v>
      </c>
      <c r="D2040" s="61" t="str">
        <f aca="false">"Q"&amp;ROUNDUP(MONTH($B2040)/3,0)</f>
        <v>Q3</v>
      </c>
      <c r="E2040" s="61" t="n">
        <f aca="false">MONTH($B2040)</f>
        <v>9</v>
      </c>
      <c r="F2040" s="61" t="str">
        <f aca="false">INDEX(Parametros!$I$5:$I$16,$E2040)</f>
        <v>Sep</v>
      </c>
      <c r="G2040" s="61" t="str">
        <f aca="false">TEXT($C2040,"0000")&amp;"-"&amp;TEXT($E2040,"00")</f>
        <v>2025-09</v>
      </c>
      <c r="H2040" s="61" t="str">
        <f aca="false">INDEX(Parametros!$C$71:$C$91,MATCH(TRIM(INDEX(Datos_Origen!$C$2:$C$2459,$Z2040)),Parametros!$B$71:$B$91,0))</f>
        <v>Centro</v>
      </c>
      <c r="I2040" s="61" t="str">
        <f aca="false">IF(TRIM($AD2040)="",INDEX(Parametros!$I$20:$I$24,MATCH($H2040,Parametros!$H$20:$H$24,0)),TRIM($AD2040))</f>
        <v>Cordoba</v>
      </c>
      <c r="J2040" s="61" t="str">
        <f aca="false">INDEX(Parametros!$C$95:$C$106,MATCH(TRIM(INDEX(Datos_Origen!$E$2:$E$2459,$Z2040)),Parametros!$B$95:$B$106,0))</f>
        <v>Tienda fisica</v>
      </c>
      <c r="K2040" s="61" t="str">
        <f aca="false">INDEX(Parametros!$C$48:$C$67,MATCH(TRIM(INDEX(Datos_Origen!$F$2:$F$2459,$Z2040)),Parametros!$B$48:$B$67,0))</f>
        <v>Almacenamiento</v>
      </c>
      <c r="L2040" s="61" t="str">
        <f aca="false">$K2040&amp;" "&amp;$C2040</f>
        <v>Almacenamiento 2025</v>
      </c>
      <c r="M2040" s="61" t="str">
        <f aca="false">TRIM(INDEX(Datos_Origen!$G$2:$G$2459,$Z2040))</f>
        <v>Pendrive 256GB</v>
      </c>
      <c r="N2040" s="61" t="str">
        <f aca="false">$M2040&amp;" "&amp;$C2040</f>
        <v>Pendrive 256GB 2025</v>
      </c>
      <c r="O2040" s="63" t="n">
        <f aca="false">IF(ISTEXT($AC2040),VALUE($AC2040),$AC2040)</f>
        <v>37</v>
      </c>
      <c r="P2040" s="64" t="n">
        <f aca="false">INDEX(Datos_Origen!$I$2:$I$2459,$Z2040)</f>
        <v>35.14</v>
      </c>
      <c r="Q2040" s="64" t="n">
        <f aca="false">INDEX(Datos_Origen!$J$2:$J$2459,$Z2040)</f>
        <v>18.39</v>
      </c>
      <c r="R2040" s="65" t="n">
        <f aca="false">ROUND($O2040*$P2040,2)</f>
        <v>1300.18</v>
      </c>
      <c r="S2040" s="65" t="n">
        <f aca="false">ROUND($O2040*$Q2040,2)</f>
        <v>680.43</v>
      </c>
      <c r="T2040" s="65" t="n">
        <f aca="false">ROUND($R2040*SUMIFS(Parametros!$E$28:$E$43,Parametros!$B$28:$B$43,$J2040,Parametros!$C$28:$C$43,$C2040,Parametros!$D$28:$D$43,$D2040),2)</f>
        <v>16.9</v>
      </c>
      <c r="U2040" s="65" t="n">
        <f aca="false">$R2040-$S2040-$T2040</f>
        <v>602.85</v>
      </c>
      <c r="V2040" s="66" t="n">
        <f aca="false">IFERROR($U2040/$R2040,0)</f>
        <v>0.463666569244259</v>
      </c>
      <c r="W2040" s="67" t="str">
        <f aca="false">IF(AND($V2040&gt;=Parametros!$C$8,$R2040&gt;=Parametros!$C$12),"Alta rentabilidad",IF(OR($V2040&lt;Parametros!$C$11,$R2040&lt;Parametros!$C$13),"Revisar","Estandar"))</f>
        <v>Estandar</v>
      </c>
      <c r="X2040" s="67" t="str">
        <f aca="false">IF(AND($J2040="E-commerce",IFERROR($T2040/$R2040,0)&gt;Parametros!$C$14),"Alerta","OK")</f>
        <v>OK</v>
      </c>
      <c r="Y2040" s="61" t="str">
        <f aca="false">IF($R2040&gt;=Parametros!$C$12,"Alto",IF($R2040&lt;Parametros!$C$13,"Bajo","Medio"))</f>
        <v>Medio</v>
      </c>
      <c r="Z2040" s="61" t="n">
        <v>1165</v>
      </c>
      <c r="AA2040" s="61" t="str">
        <f aca="false">IF(MATCH($A2040,Datos_Origen!$A$2:$A$2459,0)=$Z2040,"OK","REVISAR")</f>
        <v>OK</v>
      </c>
      <c r="AB2040" s="61" t="str">
        <f aca="false">INDEX(Datos_Origen!$B$2:$B$2459,$Z2040)</f>
        <v>18/09/2025</v>
      </c>
      <c r="AC2040" s="61" t="n">
        <f aca="false">INDEX(Datos_Origen!$H$2:$H$2459,$Z2040)</f>
        <v>37</v>
      </c>
      <c r="AD2040" s="61" t="str">
        <f aca="false">INDEX(Datos_Origen!$D$2:$D$2459,$Z2040)&amp;""</f>
        <v>Cordoba</v>
      </c>
    </row>
    <row r="2041" customFormat="false" ht="15" hidden="false" customHeight="false" outlineLevel="0" collapsed="false">
      <c r="A2041" s="61" t="n">
        <f aca="false">INDEX(Datos_Origen!$A$2:$A$2459,$Z2041)</f>
        <v>2040</v>
      </c>
      <c r="B2041" s="62" t="n">
        <f aca="false">IF(ISNUMBER($AB2041),$AB2041,IF(MID($AB2041,5,1)="-",DATE(VALUE(LEFT($AB2041,4)),VALUE(MID($AB2041,6,2)),VALUE(RIGHT($AB2041,2))),DATE(VALUE(RIGHT($AB2041,4)),VALUE(MID($AB2041,4,2)),VALUE(LEFT($AB2041,2)))))</f>
        <v>45925</v>
      </c>
      <c r="C2041" s="61" t="n">
        <f aca="false">YEAR($B2041)</f>
        <v>2025</v>
      </c>
      <c r="D2041" s="61" t="str">
        <f aca="false">"Q"&amp;ROUNDUP(MONTH($B2041)/3,0)</f>
        <v>Q3</v>
      </c>
      <c r="E2041" s="61" t="n">
        <f aca="false">MONTH($B2041)</f>
        <v>9</v>
      </c>
      <c r="F2041" s="61" t="str">
        <f aca="false">INDEX(Parametros!$I$5:$I$16,$E2041)</f>
        <v>Sep</v>
      </c>
      <c r="G2041" s="61" t="str">
        <f aca="false">TEXT($C2041,"0000")&amp;"-"&amp;TEXT($E2041,"00")</f>
        <v>2025-09</v>
      </c>
      <c r="H2041" s="61" t="str">
        <f aca="false">INDEX(Parametros!$C$71:$C$91,MATCH(TRIM(INDEX(Datos_Origen!$C$2:$C$2459,$Z2041)),Parametros!$B$71:$B$91,0))</f>
        <v>Centro</v>
      </c>
      <c r="I2041" s="61" t="str">
        <f aca="false">IF(TRIM($AD2041)="",INDEX(Parametros!$I$20:$I$24,MATCH($H2041,Parametros!$H$20:$H$24,0)),TRIM($AD2041))</f>
        <v>Cordoba</v>
      </c>
      <c r="J2041" s="61" t="str">
        <f aca="false">INDEX(Parametros!$C$95:$C$106,MATCH(TRIM(INDEX(Datos_Origen!$E$2:$E$2459,$Z2041)),Parametros!$B$95:$B$106,0))</f>
        <v>E-commerce</v>
      </c>
      <c r="K2041" s="61" t="str">
        <f aca="false">INDEX(Parametros!$C$48:$C$67,MATCH(TRIM(INDEX(Datos_Origen!$F$2:$F$2459,$Z2041)),Parametros!$B$48:$B$67,0))</f>
        <v>Almacenamiento</v>
      </c>
      <c r="L2041" s="61" t="str">
        <f aca="false">$K2041&amp;" "&amp;$C2041</f>
        <v>Almacenamiento 2025</v>
      </c>
      <c r="M2041" s="61" t="str">
        <f aca="false">TRIM(INDEX(Datos_Origen!$G$2:$G$2459,$Z2041))</f>
        <v>Pendrive 256GB</v>
      </c>
      <c r="N2041" s="61" t="str">
        <f aca="false">$M2041&amp;" "&amp;$C2041</f>
        <v>Pendrive 256GB 2025</v>
      </c>
      <c r="O2041" s="63" t="n">
        <f aca="false">IF(ISTEXT($AC2041),VALUE($AC2041),$AC2041)</f>
        <v>19</v>
      </c>
      <c r="P2041" s="64" t="n">
        <f aca="false">INDEX(Datos_Origen!$I$2:$I$2459,$Z2041)</f>
        <v>35.14</v>
      </c>
      <c r="Q2041" s="64" t="n">
        <f aca="false">INDEX(Datos_Origen!$J$2:$J$2459,$Z2041)</f>
        <v>18.39</v>
      </c>
      <c r="R2041" s="65" t="n">
        <f aca="false">ROUND($O2041*$P2041,2)</f>
        <v>667.66</v>
      </c>
      <c r="S2041" s="65" t="n">
        <f aca="false">ROUND($O2041*$Q2041,2)</f>
        <v>349.41</v>
      </c>
      <c r="T2041" s="65" t="n">
        <f aca="false">ROUND($R2041*SUMIFS(Parametros!$E$28:$E$43,Parametros!$B$28:$B$43,$J2041,Parametros!$C$28:$C$43,$C2041,Parametros!$D$28:$D$43,$D2041),2)</f>
        <v>37.39</v>
      </c>
      <c r="U2041" s="65" t="n">
        <f aca="false">$R2041-$S2041-$T2041</f>
        <v>280.86</v>
      </c>
      <c r="V2041" s="66" t="n">
        <f aca="false">IFERROR($U2041/$R2041,0)</f>
        <v>0.420663211814397</v>
      </c>
      <c r="W2041" s="67" t="str">
        <f aca="false">IF(AND($V2041&gt;=Parametros!$C$8,$R2041&gt;=Parametros!$C$12),"Alta rentabilidad",IF(OR($V2041&lt;Parametros!$C$11,$R2041&lt;Parametros!$C$13),"Revisar","Estandar"))</f>
        <v>Estandar</v>
      </c>
      <c r="X2041" s="67" t="str">
        <f aca="false">IF(AND($J2041="E-commerce",IFERROR($T2041/$R2041,0)&gt;Parametros!$C$14),"Alerta","OK")</f>
        <v>Alerta</v>
      </c>
      <c r="Y2041" s="61" t="str">
        <f aca="false">IF($R2041&gt;=Parametros!$C$12,"Alto",IF($R2041&lt;Parametros!$C$13,"Bajo","Medio"))</f>
        <v>Medio</v>
      </c>
      <c r="Z2041" s="61" t="n">
        <v>860</v>
      </c>
      <c r="AA2041" s="61" t="str">
        <f aca="false">IF(MATCH($A2041,Datos_Origen!$A$2:$A$2459,0)=$Z2041,"OK","REVISAR")</f>
        <v>OK</v>
      </c>
      <c r="AB2041" s="62" t="n">
        <f aca="false">INDEX(Datos_Origen!$B$2:$B$2459,$Z2041)</f>
        <v>45925</v>
      </c>
      <c r="AC2041" s="61" t="n">
        <f aca="false">INDEX(Datos_Origen!$H$2:$H$2459,$Z2041)</f>
        <v>19</v>
      </c>
      <c r="AD2041" s="61" t="str">
        <f aca="false">INDEX(Datos_Origen!$D$2:$D$2459,$Z2041)&amp;""</f>
        <v>Cordoba</v>
      </c>
    </row>
    <row r="2042" customFormat="false" ht="15" hidden="false" customHeight="false" outlineLevel="0" collapsed="false">
      <c r="A2042" s="61" t="n">
        <f aca="false">INDEX(Datos_Origen!$A$2:$A$2459,$Z2042)</f>
        <v>2041</v>
      </c>
      <c r="B2042" s="62" t="n">
        <f aca="false">IF(ISNUMBER($AB2042),$AB2042,IF(MID($AB2042,5,1)="-",DATE(VALUE(LEFT($AB2042,4)),VALUE(MID($AB2042,6,2)),VALUE(RIGHT($AB2042,2))),DATE(VALUE(RIGHT($AB2042,4)),VALUE(MID($AB2042,4,2)),VALUE(LEFT($AB2042,2)))))</f>
        <v>45905</v>
      </c>
      <c r="C2042" s="61" t="n">
        <f aca="false">YEAR($B2042)</f>
        <v>2025</v>
      </c>
      <c r="D2042" s="61" t="str">
        <f aca="false">"Q"&amp;ROUNDUP(MONTH($B2042)/3,0)</f>
        <v>Q3</v>
      </c>
      <c r="E2042" s="61" t="n">
        <f aca="false">MONTH($B2042)</f>
        <v>9</v>
      </c>
      <c r="F2042" s="61" t="str">
        <f aca="false">INDEX(Parametros!$I$5:$I$16,$E2042)</f>
        <v>Sep</v>
      </c>
      <c r="G2042" s="61" t="str">
        <f aca="false">TEXT($C2042,"0000")&amp;"-"&amp;TEXT($E2042,"00")</f>
        <v>2025-09</v>
      </c>
      <c r="H2042" s="61" t="str">
        <f aca="false">INDEX(Parametros!$C$71:$C$91,MATCH(TRIM(INDEX(Datos_Origen!$C$2:$C$2459,$Z2042)),Parametros!$B$71:$B$91,0))</f>
        <v>Litoral</v>
      </c>
      <c r="I2042" s="61" t="str">
        <f aca="false">IF(TRIM($AD2042)="",INDEX(Parametros!$I$20:$I$24,MATCH($H2042,Parametros!$H$20:$H$24,0)),TRIM($AD2042))</f>
        <v>Rosario</v>
      </c>
      <c r="J2042" s="61" t="str">
        <f aca="false">INDEX(Parametros!$C$95:$C$106,MATCH(TRIM(INDEX(Datos_Origen!$E$2:$E$2459,$Z2042)),Parametros!$B$95:$B$106,0))</f>
        <v>Tienda fisica</v>
      </c>
      <c r="K2042" s="61" t="str">
        <f aca="false">INDEX(Parametros!$C$48:$C$67,MATCH(TRIM(INDEX(Datos_Origen!$F$2:$F$2459,$Z2042)),Parametros!$B$48:$B$67,0))</f>
        <v>Computacion</v>
      </c>
      <c r="L2042" s="61" t="str">
        <f aca="false">$K2042&amp;" "&amp;$C2042</f>
        <v>Computacion 2025</v>
      </c>
      <c r="M2042" s="61" t="str">
        <f aca="false">TRIM(INDEX(Datos_Origen!$G$2:$G$2459,$Z2042))</f>
        <v>Laptop Pro 15</v>
      </c>
      <c r="N2042" s="61" t="str">
        <f aca="false">$M2042&amp;" "&amp;$C2042</f>
        <v>Laptop Pro 15 2025</v>
      </c>
      <c r="O2042" s="63" t="n">
        <f aca="false">IF(ISTEXT($AC2042),VALUE($AC2042),$AC2042)</f>
        <v>7</v>
      </c>
      <c r="P2042" s="64" t="n">
        <f aca="false">INDEX(Datos_Origen!$I$2:$I$2459,$Z2042)</f>
        <v>1204.74</v>
      </c>
      <c r="Q2042" s="64" t="n">
        <f aca="false">INDEX(Datos_Origen!$J$2:$J$2459,$Z2042)</f>
        <v>766.32</v>
      </c>
      <c r="R2042" s="65" t="n">
        <f aca="false">ROUND($O2042*$P2042,2)</f>
        <v>8433.18</v>
      </c>
      <c r="S2042" s="65" t="n">
        <f aca="false">ROUND($O2042*$Q2042,2)</f>
        <v>5364.24</v>
      </c>
      <c r="T2042" s="65" t="n">
        <f aca="false">ROUND($R2042*SUMIFS(Parametros!$E$28:$E$43,Parametros!$B$28:$B$43,$J2042,Parametros!$C$28:$C$43,$C2042,Parametros!$D$28:$D$43,$D2042),2)</f>
        <v>109.63</v>
      </c>
      <c r="U2042" s="65" t="n">
        <f aca="false">$R2042-$S2042-$T2042</f>
        <v>2959.31</v>
      </c>
      <c r="V2042" s="66" t="n">
        <f aca="false">IFERROR($U2042/$R2042,0)</f>
        <v>0.35091270434166</v>
      </c>
      <c r="W2042" s="67" t="str">
        <f aca="false">IF(AND($V2042&gt;=Parametros!$C$8,$R2042&gt;=Parametros!$C$12),"Alta rentabilidad",IF(OR($V2042&lt;Parametros!$C$11,$R2042&lt;Parametros!$C$13),"Revisar","Estandar"))</f>
        <v>Alta rentabilidad</v>
      </c>
      <c r="X2042" s="67" t="str">
        <f aca="false">IF(AND($J2042="E-commerce",IFERROR($T2042/$R2042,0)&gt;Parametros!$C$14),"Alerta","OK")</f>
        <v>OK</v>
      </c>
      <c r="Y2042" s="61" t="str">
        <f aca="false">IF($R2042&gt;=Parametros!$C$12,"Alto",IF($R2042&lt;Parametros!$C$13,"Bajo","Medio"))</f>
        <v>Alto</v>
      </c>
      <c r="Z2042" s="61" t="n">
        <v>1985</v>
      </c>
      <c r="AA2042" s="61" t="str">
        <f aca="false">IF(MATCH($A2042,Datos_Origen!$A$2:$A$2459,0)=$Z2042,"OK","REVISAR")</f>
        <v>OK</v>
      </c>
      <c r="AB2042" s="61" t="str">
        <f aca="false">INDEX(Datos_Origen!$B$2:$B$2459,$Z2042)</f>
        <v>05/09/2025</v>
      </c>
      <c r="AC2042" s="61" t="n">
        <f aca="false">INDEX(Datos_Origen!$H$2:$H$2459,$Z2042)</f>
        <v>7</v>
      </c>
      <c r="AD2042" s="61" t="str">
        <f aca="false">INDEX(Datos_Origen!$D$2:$D$2459,$Z2042)&amp;""</f>
        <v>Rosario</v>
      </c>
    </row>
    <row r="2043" customFormat="false" ht="15" hidden="false" customHeight="false" outlineLevel="0" collapsed="false">
      <c r="A2043" s="61" t="n">
        <f aca="false">INDEX(Datos_Origen!$A$2:$A$2459,$Z2043)</f>
        <v>2042</v>
      </c>
      <c r="B2043" s="62" t="n">
        <f aca="false">IF(ISNUMBER($AB2043),$AB2043,IF(MID($AB2043,5,1)="-",DATE(VALUE(LEFT($AB2043,4)),VALUE(MID($AB2043,6,2)),VALUE(RIGHT($AB2043,2))),DATE(VALUE(RIGHT($AB2043,4)),VALUE(MID($AB2043,4,2)),VALUE(LEFT($AB2043,2)))))</f>
        <v>45912</v>
      </c>
      <c r="C2043" s="61" t="n">
        <f aca="false">YEAR($B2043)</f>
        <v>2025</v>
      </c>
      <c r="D2043" s="61" t="str">
        <f aca="false">"Q"&amp;ROUNDUP(MONTH($B2043)/3,0)</f>
        <v>Q3</v>
      </c>
      <c r="E2043" s="61" t="n">
        <f aca="false">MONTH($B2043)</f>
        <v>9</v>
      </c>
      <c r="F2043" s="61" t="str">
        <f aca="false">INDEX(Parametros!$I$5:$I$16,$E2043)</f>
        <v>Sep</v>
      </c>
      <c r="G2043" s="61" t="str">
        <f aca="false">TEXT($C2043,"0000")&amp;"-"&amp;TEXT($E2043,"00")</f>
        <v>2025-09</v>
      </c>
      <c r="H2043" s="61" t="str">
        <f aca="false">INDEX(Parametros!$C$71:$C$91,MATCH(TRIM(INDEX(Datos_Origen!$C$2:$C$2459,$Z2043)),Parametros!$B$71:$B$91,0))</f>
        <v>Litoral</v>
      </c>
      <c r="I2043" s="61" t="str">
        <f aca="false">IF(TRIM($AD2043)="",INDEX(Parametros!$I$20:$I$24,MATCH($H2043,Parametros!$H$20:$H$24,0)),TRIM($AD2043))</f>
        <v>Rosario</v>
      </c>
      <c r="J2043" s="61" t="str">
        <f aca="false">INDEX(Parametros!$C$95:$C$106,MATCH(TRIM(INDEX(Datos_Origen!$E$2:$E$2459,$Z2043)),Parametros!$B$95:$B$106,0))</f>
        <v>E-commerce</v>
      </c>
      <c r="K2043" s="61" t="str">
        <f aca="false">INDEX(Parametros!$C$48:$C$67,MATCH(TRIM(INDEX(Datos_Origen!$F$2:$F$2459,$Z2043)),Parametros!$B$48:$B$67,0))</f>
        <v>Computacion</v>
      </c>
      <c r="L2043" s="61" t="str">
        <f aca="false">$K2043&amp;" "&amp;$C2043</f>
        <v>Computacion 2025</v>
      </c>
      <c r="M2043" s="61" t="str">
        <f aca="false">TRIM(INDEX(Datos_Origen!$G$2:$G$2459,$Z2043))</f>
        <v>Laptop Pro 15</v>
      </c>
      <c r="N2043" s="61" t="str">
        <f aca="false">$M2043&amp;" "&amp;$C2043</f>
        <v>Laptop Pro 15 2025</v>
      </c>
      <c r="O2043" s="63" t="n">
        <f aca="false">IF(ISTEXT($AC2043),VALUE($AC2043),$AC2043)</f>
        <v>6</v>
      </c>
      <c r="P2043" s="64" t="n">
        <f aca="false">INDEX(Datos_Origen!$I$2:$I$2459,$Z2043)</f>
        <v>1204.74</v>
      </c>
      <c r="Q2043" s="64" t="n">
        <f aca="false">INDEX(Datos_Origen!$J$2:$J$2459,$Z2043)</f>
        <v>766.32</v>
      </c>
      <c r="R2043" s="65" t="n">
        <f aca="false">ROUND($O2043*$P2043,2)</f>
        <v>7228.44</v>
      </c>
      <c r="S2043" s="65" t="n">
        <f aca="false">ROUND($O2043*$Q2043,2)</f>
        <v>4597.92</v>
      </c>
      <c r="T2043" s="65" t="n">
        <f aca="false">ROUND($R2043*SUMIFS(Parametros!$E$28:$E$43,Parametros!$B$28:$B$43,$J2043,Parametros!$C$28:$C$43,$C2043,Parametros!$D$28:$D$43,$D2043),2)</f>
        <v>404.79</v>
      </c>
      <c r="U2043" s="65" t="n">
        <f aca="false">$R2043-$S2043-$T2043</f>
        <v>2225.73</v>
      </c>
      <c r="V2043" s="66" t="n">
        <f aca="false">IFERROR($U2043/$R2043,0)</f>
        <v>0.307912910669522</v>
      </c>
      <c r="W2043" s="67" t="str">
        <f aca="false">IF(AND($V2043&gt;=Parametros!$C$8,$R2043&gt;=Parametros!$C$12),"Alta rentabilidad",IF(OR($V2043&lt;Parametros!$C$11,$R2043&lt;Parametros!$C$13),"Revisar","Estandar"))</f>
        <v>Estandar</v>
      </c>
      <c r="X2043" s="67" t="str">
        <f aca="false">IF(AND($J2043="E-commerce",IFERROR($T2043/$R2043,0)&gt;Parametros!$C$14),"Alerta","OK")</f>
        <v>Alerta</v>
      </c>
      <c r="Y2043" s="61" t="str">
        <f aca="false">IF($R2043&gt;=Parametros!$C$12,"Alto",IF($R2043&lt;Parametros!$C$13,"Bajo","Medio"))</f>
        <v>Alto</v>
      </c>
      <c r="Z2043" s="61" t="n">
        <v>1212</v>
      </c>
      <c r="AA2043" s="61" t="str">
        <f aca="false">IF(MATCH($A2043,Datos_Origen!$A$2:$A$2459,0)=$Z2043,"OK","REVISAR")</f>
        <v>OK</v>
      </c>
      <c r="AB2043" s="61" t="str">
        <f aca="false">INDEX(Datos_Origen!$B$2:$B$2459,$Z2043)</f>
        <v>12/09/2025</v>
      </c>
      <c r="AC2043" s="61" t="n">
        <f aca="false">INDEX(Datos_Origen!$H$2:$H$2459,$Z2043)</f>
        <v>6</v>
      </c>
      <c r="AD2043" s="61" t="str">
        <f aca="false">INDEX(Datos_Origen!$D$2:$D$2459,$Z2043)&amp;""</f>
        <v>Rosario</v>
      </c>
    </row>
    <row r="2044" customFormat="false" ht="15" hidden="false" customHeight="false" outlineLevel="0" collapsed="false">
      <c r="A2044" s="61" t="n">
        <f aca="false">INDEX(Datos_Origen!$A$2:$A$2459,$Z2044)</f>
        <v>2043</v>
      </c>
      <c r="B2044" s="62" t="n">
        <f aca="false">IF(ISNUMBER($AB2044),$AB2044,IF(MID($AB2044,5,1)="-",DATE(VALUE(LEFT($AB2044,4)),VALUE(MID($AB2044,6,2)),VALUE(RIGHT($AB2044,2))),DATE(VALUE(RIGHT($AB2044,4)),VALUE(MID($AB2044,4,2)),VALUE(LEFT($AB2044,2)))))</f>
        <v>45919</v>
      </c>
      <c r="C2044" s="61" t="n">
        <f aca="false">YEAR($B2044)</f>
        <v>2025</v>
      </c>
      <c r="D2044" s="61" t="str">
        <f aca="false">"Q"&amp;ROUNDUP(MONTH($B2044)/3,0)</f>
        <v>Q3</v>
      </c>
      <c r="E2044" s="61" t="n">
        <f aca="false">MONTH($B2044)</f>
        <v>9</v>
      </c>
      <c r="F2044" s="61" t="str">
        <f aca="false">INDEX(Parametros!$I$5:$I$16,$E2044)</f>
        <v>Sep</v>
      </c>
      <c r="G2044" s="61" t="str">
        <f aca="false">TEXT($C2044,"0000")&amp;"-"&amp;TEXT($E2044,"00")</f>
        <v>2025-09</v>
      </c>
      <c r="H2044" s="61" t="str">
        <f aca="false">INDEX(Parametros!$C$71:$C$91,MATCH(TRIM(INDEX(Datos_Origen!$C$2:$C$2459,$Z2044)),Parametros!$B$71:$B$91,0))</f>
        <v>Litoral</v>
      </c>
      <c r="I2044" s="61" t="str">
        <f aca="false">IF(TRIM($AD2044)="",INDEX(Parametros!$I$20:$I$24,MATCH($H2044,Parametros!$H$20:$H$24,0)),TRIM($AD2044))</f>
        <v>Rosario</v>
      </c>
      <c r="J2044" s="61" t="str">
        <f aca="false">INDEX(Parametros!$C$95:$C$106,MATCH(TRIM(INDEX(Datos_Origen!$E$2:$E$2459,$Z2044)),Parametros!$B$95:$B$106,0))</f>
        <v>Tienda fisica</v>
      </c>
      <c r="K2044" s="61" t="str">
        <f aca="false">INDEX(Parametros!$C$48:$C$67,MATCH(TRIM(INDEX(Datos_Origen!$F$2:$F$2459,$Z2044)),Parametros!$B$48:$B$67,0))</f>
        <v>Computacion</v>
      </c>
      <c r="L2044" s="61" t="str">
        <f aca="false">$K2044&amp;" "&amp;$C2044</f>
        <v>Computacion 2025</v>
      </c>
      <c r="M2044" s="61" t="str">
        <f aca="false">TRIM(INDEX(Datos_Origen!$G$2:$G$2459,$Z2044))</f>
        <v>Monitor 4K 27</v>
      </c>
      <c r="N2044" s="61" t="str">
        <f aca="false">$M2044&amp;" "&amp;$C2044</f>
        <v>Monitor 4K 27 2025</v>
      </c>
      <c r="O2044" s="63" t="n">
        <f aca="false">IF(ISTEXT($AC2044),VALUE($AC2044),$AC2044)</f>
        <v>9</v>
      </c>
      <c r="P2044" s="64" t="n">
        <f aca="false">INDEX(Datos_Origen!$I$2:$I$2459,$Z2044)</f>
        <v>451.78</v>
      </c>
      <c r="Q2044" s="64" t="n">
        <f aca="false">INDEX(Datos_Origen!$J$2:$J$2459,$Z2044)</f>
        <v>280.42</v>
      </c>
      <c r="R2044" s="65" t="n">
        <f aca="false">ROUND($O2044*$P2044,2)</f>
        <v>4066.02</v>
      </c>
      <c r="S2044" s="65" t="n">
        <f aca="false">ROUND($O2044*$Q2044,2)</f>
        <v>2523.78</v>
      </c>
      <c r="T2044" s="65" t="n">
        <f aca="false">ROUND($R2044*SUMIFS(Parametros!$E$28:$E$43,Parametros!$B$28:$B$43,$J2044,Parametros!$C$28:$C$43,$C2044,Parametros!$D$28:$D$43,$D2044),2)</f>
        <v>52.86</v>
      </c>
      <c r="U2044" s="65" t="n">
        <f aca="false">$R2044-$S2044-$T2044</f>
        <v>1489.38</v>
      </c>
      <c r="V2044" s="66" t="n">
        <f aca="false">IFERROR($U2044/$R2044,0)</f>
        <v>0.366299231189222</v>
      </c>
      <c r="W2044" s="67" t="str">
        <f aca="false">IF(AND($V2044&gt;=Parametros!$C$8,$R2044&gt;=Parametros!$C$12),"Alta rentabilidad",IF(OR($V2044&lt;Parametros!$C$11,$R2044&lt;Parametros!$C$13),"Revisar","Estandar"))</f>
        <v>Alta rentabilidad</v>
      </c>
      <c r="X2044" s="67" t="str">
        <f aca="false">IF(AND($J2044="E-commerce",IFERROR($T2044/$R2044,0)&gt;Parametros!$C$14),"Alerta","OK")</f>
        <v>OK</v>
      </c>
      <c r="Y2044" s="61" t="str">
        <f aca="false">IF($R2044&gt;=Parametros!$C$12,"Alto",IF($R2044&lt;Parametros!$C$13,"Bajo","Medio"))</f>
        <v>Alto</v>
      </c>
      <c r="Z2044" s="61" t="n">
        <v>1163</v>
      </c>
      <c r="AA2044" s="61" t="str">
        <f aca="false">IF(MATCH($A2044,Datos_Origen!$A$2:$A$2459,0)=$Z2044,"OK","REVISAR")</f>
        <v>OK</v>
      </c>
      <c r="AB2044" s="62" t="n">
        <f aca="false">INDEX(Datos_Origen!$B$2:$B$2459,$Z2044)</f>
        <v>45919</v>
      </c>
      <c r="AC2044" s="61" t="n">
        <f aca="false">INDEX(Datos_Origen!$H$2:$H$2459,$Z2044)</f>
        <v>9</v>
      </c>
      <c r="AD2044" s="61" t="str">
        <f aca="false">INDEX(Datos_Origen!$D$2:$D$2459,$Z2044)&amp;""</f>
        <v>Rosario</v>
      </c>
    </row>
    <row r="2045" customFormat="false" ht="15" hidden="false" customHeight="false" outlineLevel="0" collapsed="false">
      <c r="A2045" s="61" t="n">
        <f aca="false">INDEX(Datos_Origen!$A$2:$A$2459,$Z2045)</f>
        <v>2044</v>
      </c>
      <c r="B2045" s="62" t="n">
        <f aca="false">IF(ISNUMBER($AB2045),$AB2045,IF(MID($AB2045,5,1)="-",DATE(VALUE(LEFT($AB2045,4)),VALUE(MID($AB2045,6,2)),VALUE(RIGHT($AB2045,2))),DATE(VALUE(RIGHT($AB2045,4)),VALUE(MID($AB2045,4,2)),VALUE(LEFT($AB2045,2)))))</f>
        <v>45926</v>
      </c>
      <c r="C2045" s="61" t="n">
        <f aca="false">YEAR($B2045)</f>
        <v>2025</v>
      </c>
      <c r="D2045" s="61" t="str">
        <f aca="false">"Q"&amp;ROUNDUP(MONTH($B2045)/3,0)</f>
        <v>Q3</v>
      </c>
      <c r="E2045" s="61" t="n">
        <f aca="false">MONTH($B2045)</f>
        <v>9</v>
      </c>
      <c r="F2045" s="61" t="str">
        <f aca="false">INDEX(Parametros!$I$5:$I$16,$E2045)</f>
        <v>Sep</v>
      </c>
      <c r="G2045" s="61" t="str">
        <f aca="false">TEXT($C2045,"0000")&amp;"-"&amp;TEXT($E2045,"00")</f>
        <v>2025-09</v>
      </c>
      <c r="H2045" s="61" t="str">
        <f aca="false">INDEX(Parametros!$C$71:$C$91,MATCH(TRIM(INDEX(Datos_Origen!$C$2:$C$2459,$Z2045)),Parametros!$B$71:$B$91,0))</f>
        <v>Litoral</v>
      </c>
      <c r="I2045" s="61" t="str">
        <f aca="false">IF(TRIM($AD2045)="",INDEX(Parametros!$I$20:$I$24,MATCH($H2045,Parametros!$H$20:$H$24,0)),TRIM($AD2045))</f>
        <v>Rosario</v>
      </c>
      <c r="J2045" s="61" t="str">
        <f aca="false">INDEX(Parametros!$C$95:$C$106,MATCH(TRIM(INDEX(Datos_Origen!$E$2:$E$2459,$Z2045)),Parametros!$B$95:$B$106,0))</f>
        <v>E-commerce</v>
      </c>
      <c r="K2045" s="61" t="str">
        <f aca="false">INDEX(Parametros!$C$48:$C$67,MATCH(TRIM(INDEX(Datos_Origen!$F$2:$F$2459,$Z2045)),Parametros!$B$48:$B$67,0))</f>
        <v>Computacion</v>
      </c>
      <c r="L2045" s="61" t="str">
        <f aca="false">$K2045&amp;" "&amp;$C2045</f>
        <v>Computacion 2025</v>
      </c>
      <c r="M2045" s="61" t="str">
        <f aca="false">TRIM(INDEX(Datos_Origen!$G$2:$G$2459,$Z2045))</f>
        <v>Monitor 4K 27</v>
      </c>
      <c r="N2045" s="61" t="str">
        <f aca="false">$M2045&amp;" "&amp;$C2045</f>
        <v>Monitor 4K 27 2025</v>
      </c>
      <c r="O2045" s="63" t="n">
        <f aca="false">IF(ISTEXT($AC2045),VALUE($AC2045),$AC2045)</f>
        <v>5</v>
      </c>
      <c r="P2045" s="64" t="n">
        <f aca="false">INDEX(Datos_Origen!$I$2:$I$2459,$Z2045)</f>
        <v>451.78</v>
      </c>
      <c r="Q2045" s="64" t="n">
        <f aca="false">INDEX(Datos_Origen!$J$2:$J$2459,$Z2045)</f>
        <v>280.42</v>
      </c>
      <c r="R2045" s="65" t="n">
        <f aca="false">ROUND($O2045*$P2045,2)</f>
        <v>2258.9</v>
      </c>
      <c r="S2045" s="65" t="n">
        <f aca="false">ROUND($O2045*$Q2045,2)</f>
        <v>1402.1</v>
      </c>
      <c r="T2045" s="65" t="n">
        <f aca="false">ROUND($R2045*SUMIFS(Parametros!$E$28:$E$43,Parametros!$B$28:$B$43,$J2045,Parametros!$C$28:$C$43,$C2045,Parametros!$D$28:$D$43,$D2045),2)</f>
        <v>126.5</v>
      </c>
      <c r="U2045" s="65" t="n">
        <f aca="false">$R2045-$S2045-$T2045</f>
        <v>730.3</v>
      </c>
      <c r="V2045" s="66" t="n">
        <f aca="false">IFERROR($U2045/$R2045,0)</f>
        <v>0.323298950816769</v>
      </c>
      <c r="W2045" s="67" t="str">
        <f aca="false">IF(AND($V2045&gt;=Parametros!$C$8,$R2045&gt;=Parametros!$C$12),"Alta rentabilidad",IF(OR($V2045&lt;Parametros!$C$11,$R2045&lt;Parametros!$C$13),"Revisar","Estandar"))</f>
        <v>Estandar</v>
      </c>
      <c r="X2045" s="67" t="str">
        <f aca="false">IF(AND($J2045="E-commerce",IFERROR($T2045/$R2045,0)&gt;Parametros!$C$14),"Alerta","OK")</f>
        <v>Alerta</v>
      </c>
      <c r="Y2045" s="61" t="str">
        <f aca="false">IF($R2045&gt;=Parametros!$C$12,"Alto",IF($R2045&lt;Parametros!$C$13,"Bajo","Medio"))</f>
        <v>Medio</v>
      </c>
      <c r="Z2045" s="61" t="n">
        <v>1978</v>
      </c>
      <c r="AA2045" s="61" t="str">
        <f aca="false">IF(MATCH($A2045,Datos_Origen!$A$2:$A$2459,0)=$Z2045,"OK","REVISAR")</f>
        <v>OK</v>
      </c>
      <c r="AB2045" s="61" t="str">
        <f aca="false">INDEX(Datos_Origen!$B$2:$B$2459,$Z2045)</f>
        <v>26/09/2025</v>
      </c>
      <c r="AC2045" s="61" t="n">
        <f aca="false">INDEX(Datos_Origen!$H$2:$H$2459,$Z2045)</f>
        <v>5</v>
      </c>
      <c r="AD2045" s="61" t="str">
        <f aca="false">INDEX(Datos_Origen!$D$2:$D$2459,$Z2045)&amp;""</f>
        <v>Rosario</v>
      </c>
    </row>
    <row r="2046" customFormat="false" ht="15" hidden="false" customHeight="false" outlineLevel="0" collapsed="false">
      <c r="A2046" s="61" t="n">
        <f aca="false">INDEX(Datos_Origen!$A$2:$A$2459,$Z2046)</f>
        <v>2045</v>
      </c>
      <c r="B2046" s="62" t="n">
        <f aca="false">IF(ISNUMBER($AB2046),$AB2046,IF(MID($AB2046,5,1)="-",DATE(VALUE(LEFT($AB2046,4)),VALUE(MID($AB2046,6,2)),VALUE(RIGHT($AB2046,2))),DATE(VALUE(RIGHT($AB2046,4)),VALUE(MID($AB2046,4,2)),VALUE(LEFT($AB2046,2)))))</f>
        <v>45906</v>
      </c>
      <c r="C2046" s="61" t="n">
        <f aca="false">YEAR($B2046)</f>
        <v>2025</v>
      </c>
      <c r="D2046" s="61" t="str">
        <f aca="false">"Q"&amp;ROUNDUP(MONTH($B2046)/3,0)</f>
        <v>Q3</v>
      </c>
      <c r="E2046" s="61" t="n">
        <f aca="false">MONTH($B2046)</f>
        <v>9</v>
      </c>
      <c r="F2046" s="61" t="str">
        <f aca="false">INDEX(Parametros!$I$5:$I$16,$E2046)</f>
        <v>Sep</v>
      </c>
      <c r="G2046" s="61" t="str">
        <f aca="false">TEXT($C2046,"0000")&amp;"-"&amp;TEXT($E2046,"00")</f>
        <v>2025-09</v>
      </c>
      <c r="H2046" s="61" t="str">
        <f aca="false">INDEX(Parametros!$C$71:$C$91,MATCH(TRIM(INDEX(Datos_Origen!$C$2:$C$2459,$Z2046)),Parametros!$B$71:$B$91,0))</f>
        <v>Litoral</v>
      </c>
      <c r="I2046" s="61" t="str">
        <f aca="false">IF(TRIM($AD2046)="",INDEX(Parametros!$I$20:$I$24,MATCH($H2046,Parametros!$H$20:$H$24,0)),TRIM($AD2046))</f>
        <v>Rosario</v>
      </c>
      <c r="J2046" s="61" t="str">
        <f aca="false">INDEX(Parametros!$C$95:$C$106,MATCH(TRIM(INDEX(Datos_Origen!$E$2:$E$2459,$Z2046)),Parametros!$B$95:$B$106,0))</f>
        <v>Tienda fisica</v>
      </c>
      <c r="K2046" s="61" t="str">
        <f aca="false">INDEX(Parametros!$C$48:$C$67,MATCH(TRIM(INDEX(Datos_Origen!$F$2:$F$2459,$Z2046)),Parametros!$B$48:$B$67,0))</f>
        <v>Computacion</v>
      </c>
      <c r="L2046" s="61" t="str">
        <f aca="false">$K2046&amp;" "&amp;$C2046</f>
        <v>Computacion 2025</v>
      </c>
      <c r="M2046" s="61" t="str">
        <f aca="false">TRIM(INDEX(Datos_Origen!$G$2:$G$2459,$Z2046))</f>
        <v>PC Gamer Ryzen</v>
      </c>
      <c r="N2046" s="61" t="str">
        <f aca="false">$M2046&amp;" "&amp;$C2046</f>
        <v>PC Gamer Ryzen 2025</v>
      </c>
      <c r="O2046" s="63" t="n">
        <f aca="false">IF(ISTEXT($AC2046),VALUE($AC2046),$AC2046)</f>
        <v>10</v>
      </c>
      <c r="P2046" s="64" t="n">
        <f aca="false">INDEX(Datos_Origen!$I$2:$I$2459,$Z2046)</f>
        <v>1656.52</v>
      </c>
      <c r="Q2046" s="64" t="n">
        <f aca="false">INDEX(Datos_Origen!$J$2:$J$2459,$Z2046)</f>
        <v>1155.66</v>
      </c>
      <c r="R2046" s="65" t="n">
        <f aca="false">ROUND($O2046*$P2046,2)</f>
        <v>16565.2</v>
      </c>
      <c r="S2046" s="65" t="n">
        <f aca="false">ROUND($O2046*$Q2046,2)</f>
        <v>11556.6</v>
      </c>
      <c r="T2046" s="65" t="n">
        <f aca="false">ROUND($R2046*SUMIFS(Parametros!$E$28:$E$43,Parametros!$B$28:$B$43,$J2046,Parametros!$C$28:$C$43,$C2046,Parametros!$D$28:$D$43,$D2046),2)</f>
        <v>215.35</v>
      </c>
      <c r="U2046" s="65" t="n">
        <f aca="false">$R2046-$S2046-$T2046</f>
        <v>4793.25</v>
      </c>
      <c r="V2046" s="66" t="n">
        <f aca="false">IFERROR($U2046/$R2046,0)</f>
        <v>0.289356602999058</v>
      </c>
      <c r="W2046" s="67" t="str">
        <f aca="false">IF(AND($V2046&gt;=Parametros!$C$8,$R2046&gt;=Parametros!$C$12),"Alta rentabilidad",IF(OR($V2046&lt;Parametros!$C$11,$R2046&lt;Parametros!$C$13),"Revisar","Estandar"))</f>
        <v>Estandar</v>
      </c>
      <c r="X2046" s="67" t="str">
        <f aca="false">IF(AND($J2046="E-commerce",IFERROR($T2046/$R2046,0)&gt;Parametros!$C$14),"Alerta","OK")</f>
        <v>OK</v>
      </c>
      <c r="Y2046" s="61" t="str">
        <f aca="false">IF($R2046&gt;=Parametros!$C$12,"Alto",IF($R2046&lt;Parametros!$C$13,"Bajo","Medio"))</f>
        <v>Alto</v>
      </c>
      <c r="Z2046" s="61" t="n">
        <v>448</v>
      </c>
      <c r="AA2046" s="61" t="str">
        <f aca="false">IF(MATCH($A2046,Datos_Origen!$A$2:$A$2459,0)=$Z2046,"OK","REVISAR")</f>
        <v>OK</v>
      </c>
      <c r="AB2046" s="62" t="n">
        <f aca="false">INDEX(Datos_Origen!$B$2:$B$2459,$Z2046)</f>
        <v>45906</v>
      </c>
      <c r="AC2046" s="61" t="n">
        <f aca="false">INDEX(Datos_Origen!$H$2:$H$2459,$Z2046)</f>
        <v>10</v>
      </c>
      <c r="AD2046" s="61" t="str">
        <f aca="false">INDEX(Datos_Origen!$D$2:$D$2459,$Z2046)&amp;""</f>
        <v>Rosario</v>
      </c>
    </row>
    <row r="2047" customFormat="false" ht="15" hidden="false" customHeight="false" outlineLevel="0" collapsed="false">
      <c r="A2047" s="61" t="n">
        <f aca="false">INDEX(Datos_Origen!$A$2:$A$2459,$Z2047)</f>
        <v>2046</v>
      </c>
      <c r="B2047" s="62" t="n">
        <f aca="false">IF(ISNUMBER($AB2047),$AB2047,IF(MID($AB2047,5,1)="-",DATE(VALUE(LEFT($AB2047,4)),VALUE(MID($AB2047,6,2)),VALUE(RIGHT($AB2047,2))),DATE(VALUE(RIGHT($AB2047,4)),VALUE(MID($AB2047,4,2)),VALUE(LEFT($AB2047,2)))))</f>
        <v>45913</v>
      </c>
      <c r="C2047" s="61" t="n">
        <f aca="false">YEAR($B2047)</f>
        <v>2025</v>
      </c>
      <c r="D2047" s="61" t="str">
        <f aca="false">"Q"&amp;ROUNDUP(MONTH($B2047)/3,0)</f>
        <v>Q3</v>
      </c>
      <c r="E2047" s="61" t="n">
        <f aca="false">MONTH($B2047)</f>
        <v>9</v>
      </c>
      <c r="F2047" s="61" t="str">
        <f aca="false">INDEX(Parametros!$I$5:$I$16,$E2047)</f>
        <v>Sep</v>
      </c>
      <c r="G2047" s="61" t="str">
        <f aca="false">TEXT($C2047,"0000")&amp;"-"&amp;TEXT($E2047,"00")</f>
        <v>2025-09</v>
      </c>
      <c r="H2047" s="61" t="str">
        <f aca="false">INDEX(Parametros!$C$71:$C$91,MATCH(TRIM(INDEX(Datos_Origen!$C$2:$C$2459,$Z2047)),Parametros!$B$71:$B$91,0))</f>
        <v>Litoral</v>
      </c>
      <c r="I2047" s="61" t="str">
        <f aca="false">IF(TRIM($AD2047)="",INDEX(Parametros!$I$20:$I$24,MATCH($H2047,Parametros!$H$20:$H$24,0)),TRIM($AD2047))</f>
        <v>Rosario</v>
      </c>
      <c r="J2047" s="61" t="str">
        <f aca="false">INDEX(Parametros!$C$95:$C$106,MATCH(TRIM(INDEX(Datos_Origen!$E$2:$E$2459,$Z2047)),Parametros!$B$95:$B$106,0))</f>
        <v>E-commerce</v>
      </c>
      <c r="K2047" s="61" t="str">
        <f aca="false">INDEX(Parametros!$C$48:$C$67,MATCH(TRIM(INDEX(Datos_Origen!$F$2:$F$2459,$Z2047)),Parametros!$B$48:$B$67,0))</f>
        <v>Computacion</v>
      </c>
      <c r="L2047" s="61" t="str">
        <f aca="false">$K2047&amp;" "&amp;$C2047</f>
        <v>Computacion 2025</v>
      </c>
      <c r="M2047" s="61" t="str">
        <f aca="false">TRIM(INDEX(Datos_Origen!$G$2:$G$2459,$Z2047))</f>
        <v>PC Gamer Ryzen</v>
      </c>
      <c r="N2047" s="61" t="str">
        <f aca="false">$M2047&amp;" "&amp;$C2047</f>
        <v>PC Gamer Ryzen 2025</v>
      </c>
      <c r="O2047" s="63" t="n">
        <f aca="false">IF(ISTEXT($AC2047),VALUE($AC2047),$AC2047)</f>
        <v>5</v>
      </c>
      <c r="P2047" s="64" t="n">
        <f aca="false">INDEX(Datos_Origen!$I$2:$I$2459,$Z2047)</f>
        <v>1656.52</v>
      </c>
      <c r="Q2047" s="64" t="n">
        <f aca="false">INDEX(Datos_Origen!$J$2:$J$2459,$Z2047)</f>
        <v>1155.66</v>
      </c>
      <c r="R2047" s="65" t="n">
        <f aca="false">ROUND($O2047*$P2047,2)</f>
        <v>8282.6</v>
      </c>
      <c r="S2047" s="65" t="n">
        <f aca="false">ROUND($O2047*$Q2047,2)</f>
        <v>5778.3</v>
      </c>
      <c r="T2047" s="65" t="n">
        <f aca="false">ROUND($R2047*SUMIFS(Parametros!$E$28:$E$43,Parametros!$B$28:$B$43,$J2047,Parametros!$C$28:$C$43,$C2047,Parametros!$D$28:$D$43,$D2047),2)</f>
        <v>463.83</v>
      </c>
      <c r="U2047" s="65" t="n">
        <f aca="false">$R2047-$S2047-$T2047</f>
        <v>2040.47</v>
      </c>
      <c r="V2047" s="66" t="n">
        <f aca="false">IFERROR($U2047/$R2047,0)</f>
        <v>0.246356216646947</v>
      </c>
      <c r="W2047" s="67" t="str">
        <f aca="false">IF(AND($V2047&gt;=Parametros!$C$8,$R2047&gt;=Parametros!$C$12),"Alta rentabilidad",IF(OR($V2047&lt;Parametros!$C$11,$R2047&lt;Parametros!$C$13),"Revisar","Estandar"))</f>
        <v>Revisar</v>
      </c>
      <c r="X2047" s="67" t="str">
        <f aca="false">IF(AND($J2047="E-commerce",IFERROR($T2047/$R2047,0)&gt;Parametros!$C$14),"Alerta","OK")</f>
        <v>Alerta</v>
      </c>
      <c r="Y2047" s="61" t="str">
        <f aca="false">IF($R2047&gt;=Parametros!$C$12,"Alto",IF($R2047&lt;Parametros!$C$13,"Bajo","Medio"))</f>
        <v>Alto</v>
      </c>
      <c r="Z2047" s="61" t="n">
        <v>1392</v>
      </c>
      <c r="AA2047" s="61" t="str">
        <f aca="false">IF(MATCH($A2047,Datos_Origen!$A$2:$A$2459,0)=$Z2047,"OK","REVISAR")</f>
        <v>OK</v>
      </c>
      <c r="AB2047" s="62" t="n">
        <f aca="false">INDEX(Datos_Origen!$B$2:$B$2459,$Z2047)</f>
        <v>45913</v>
      </c>
      <c r="AC2047" s="61" t="str">
        <f aca="false">INDEX(Datos_Origen!$H$2:$H$2459,$Z2047)</f>
        <v>5</v>
      </c>
      <c r="AD2047" s="61" t="str">
        <f aca="false">INDEX(Datos_Origen!$D$2:$D$2459,$Z2047)&amp;""</f>
        <v>Rosario</v>
      </c>
    </row>
    <row r="2048" customFormat="false" ht="15" hidden="false" customHeight="false" outlineLevel="0" collapsed="false">
      <c r="A2048" s="61" t="n">
        <f aca="false">INDEX(Datos_Origen!$A$2:$A$2459,$Z2048)</f>
        <v>2047</v>
      </c>
      <c r="B2048" s="62" t="n">
        <f aca="false">IF(ISNUMBER($AB2048),$AB2048,IF(MID($AB2048,5,1)="-",DATE(VALUE(LEFT($AB2048,4)),VALUE(MID($AB2048,6,2)),VALUE(RIGHT($AB2048,2))),DATE(VALUE(RIGHT($AB2048,4)),VALUE(MID($AB2048,4,2)),VALUE(LEFT($AB2048,2)))))</f>
        <v>45920</v>
      </c>
      <c r="C2048" s="61" t="n">
        <f aca="false">YEAR($B2048)</f>
        <v>2025</v>
      </c>
      <c r="D2048" s="61" t="str">
        <f aca="false">"Q"&amp;ROUNDUP(MONTH($B2048)/3,0)</f>
        <v>Q3</v>
      </c>
      <c r="E2048" s="61" t="n">
        <f aca="false">MONTH($B2048)</f>
        <v>9</v>
      </c>
      <c r="F2048" s="61" t="str">
        <f aca="false">INDEX(Parametros!$I$5:$I$16,$E2048)</f>
        <v>Sep</v>
      </c>
      <c r="G2048" s="61" t="str">
        <f aca="false">TEXT($C2048,"0000")&amp;"-"&amp;TEXT($E2048,"00")</f>
        <v>2025-09</v>
      </c>
      <c r="H2048" s="61" t="str">
        <f aca="false">INDEX(Parametros!$C$71:$C$91,MATCH(TRIM(INDEX(Datos_Origen!$C$2:$C$2459,$Z2048)),Parametros!$B$71:$B$91,0))</f>
        <v>Litoral</v>
      </c>
      <c r="I2048" s="61" t="str">
        <f aca="false">IF(TRIM($AD2048)="",INDEX(Parametros!$I$20:$I$24,MATCH($H2048,Parametros!$H$20:$H$24,0)),TRIM($AD2048))</f>
        <v>Rosario</v>
      </c>
      <c r="J2048" s="61" t="str">
        <f aca="false">INDEX(Parametros!$C$95:$C$106,MATCH(TRIM(INDEX(Datos_Origen!$E$2:$E$2459,$Z2048)),Parametros!$B$95:$B$106,0))</f>
        <v>Tienda fisica</v>
      </c>
      <c r="K2048" s="61" t="str">
        <f aca="false">INDEX(Parametros!$C$48:$C$67,MATCH(TRIM(INDEX(Datos_Origen!$F$2:$F$2459,$Z2048)),Parametros!$B$48:$B$67,0))</f>
        <v>Accesorios</v>
      </c>
      <c r="L2048" s="61" t="str">
        <f aca="false">$K2048&amp;" "&amp;$C2048</f>
        <v>Accesorios 2025</v>
      </c>
      <c r="M2048" s="61" t="str">
        <f aca="false">TRIM(INDEX(Datos_Origen!$G$2:$G$2459,$Z2048))</f>
        <v>Mouse Inalambrico</v>
      </c>
      <c r="N2048" s="61" t="str">
        <f aca="false">$M2048&amp;" "&amp;$C2048</f>
        <v>Mouse Inalambrico 2025</v>
      </c>
      <c r="O2048" s="63" t="n">
        <f aca="false">IF(ISTEXT($AC2048),VALUE($AC2048),$AC2048)</f>
        <v>34</v>
      </c>
      <c r="P2048" s="64" t="n">
        <f aca="false">INDEX(Datos_Origen!$I$2:$I$2459,$Z2048)</f>
        <v>28.11</v>
      </c>
      <c r="Q2048" s="64" t="n">
        <f aca="false">INDEX(Datos_Origen!$J$2:$J$2459,$Z2048)</f>
        <v>13.84</v>
      </c>
      <c r="R2048" s="65" t="n">
        <f aca="false">ROUND($O2048*$P2048,2)</f>
        <v>955.74</v>
      </c>
      <c r="S2048" s="65" t="n">
        <f aca="false">ROUND($O2048*$Q2048,2)</f>
        <v>470.56</v>
      </c>
      <c r="T2048" s="65" t="n">
        <f aca="false">ROUND($R2048*SUMIFS(Parametros!$E$28:$E$43,Parametros!$B$28:$B$43,$J2048,Parametros!$C$28:$C$43,$C2048,Parametros!$D$28:$D$43,$D2048),2)</f>
        <v>12.42</v>
      </c>
      <c r="U2048" s="65" t="n">
        <f aca="false">$R2048-$S2048-$T2048</f>
        <v>472.76</v>
      </c>
      <c r="V2048" s="66" t="n">
        <f aca="false">IFERROR($U2048/$R2048,0)</f>
        <v>0.494653357607718</v>
      </c>
      <c r="W2048" s="67" t="str">
        <f aca="false">IF(AND($V2048&gt;=Parametros!$C$8,$R2048&gt;=Parametros!$C$12),"Alta rentabilidad",IF(OR($V2048&lt;Parametros!$C$11,$R2048&lt;Parametros!$C$13),"Revisar","Estandar"))</f>
        <v>Estandar</v>
      </c>
      <c r="X2048" s="67" t="str">
        <f aca="false">IF(AND($J2048="E-commerce",IFERROR($T2048/$R2048,0)&gt;Parametros!$C$14),"Alerta","OK")</f>
        <v>OK</v>
      </c>
      <c r="Y2048" s="61" t="str">
        <f aca="false">IF($R2048&gt;=Parametros!$C$12,"Alto",IF($R2048&lt;Parametros!$C$13,"Bajo","Medio"))</f>
        <v>Medio</v>
      </c>
      <c r="Z2048" s="61" t="n">
        <v>2305</v>
      </c>
      <c r="AA2048" s="61" t="str">
        <f aca="false">IF(MATCH($A2048,Datos_Origen!$A$2:$A$2459,0)=$Z2048,"OK","REVISAR")</f>
        <v>OK</v>
      </c>
      <c r="AB2048" s="61" t="str">
        <f aca="false">INDEX(Datos_Origen!$B$2:$B$2459,$Z2048)</f>
        <v>20/09/2025</v>
      </c>
      <c r="AC2048" s="61" t="n">
        <f aca="false">INDEX(Datos_Origen!$H$2:$H$2459,$Z2048)</f>
        <v>34</v>
      </c>
      <c r="AD2048" s="61" t="str">
        <f aca="false">INDEX(Datos_Origen!$D$2:$D$2459,$Z2048)&amp;""</f>
        <v>Rosario</v>
      </c>
    </row>
    <row r="2049" customFormat="false" ht="15" hidden="false" customHeight="false" outlineLevel="0" collapsed="false">
      <c r="A2049" s="61" t="n">
        <f aca="false">INDEX(Datos_Origen!$A$2:$A$2459,$Z2049)</f>
        <v>2048</v>
      </c>
      <c r="B2049" s="62" t="n">
        <f aca="false">IF(ISNUMBER($AB2049),$AB2049,IF(MID($AB2049,5,1)="-",DATE(VALUE(LEFT($AB2049,4)),VALUE(MID($AB2049,6,2)),VALUE(RIGHT($AB2049,2))),DATE(VALUE(RIGHT($AB2049,4)),VALUE(MID($AB2049,4,2)),VALUE(LEFT($AB2049,2)))))</f>
        <v>45927</v>
      </c>
      <c r="C2049" s="61" t="n">
        <f aca="false">YEAR($B2049)</f>
        <v>2025</v>
      </c>
      <c r="D2049" s="61" t="str">
        <f aca="false">"Q"&amp;ROUNDUP(MONTH($B2049)/3,0)</f>
        <v>Q3</v>
      </c>
      <c r="E2049" s="61" t="n">
        <f aca="false">MONTH($B2049)</f>
        <v>9</v>
      </c>
      <c r="F2049" s="61" t="str">
        <f aca="false">INDEX(Parametros!$I$5:$I$16,$E2049)</f>
        <v>Sep</v>
      </c>
      <c r="G2049" s="61" t="str">
        <f aca="false">TEXT($C2049,"0000")&amp;"-"&amp;TEXT($E2049,"00")</f>
        <v>2025-09</v>
      </c>
      <c r="H2049" s="61" t="str">
        <f aca="false">INDEX(Parametros!$C$71:$C$91,MATCH(TRIM(INDEX(Datos_Origen!$C$2:$C$2459,$Z2049)),Parametros!$B$71:$B$91,0))</f>
        <v>Litoral</v>
      </c>
      <c r="I2049" s="61" t="str">
        <f aca="false">IF(TRIM($AD2049)="",INDEX(Parametros!$I$20:$I$24,MATCH($H2049,Parametros!$H$20:$H$24,0)),TRIM($AD2049))</f>
        <v>Rosario</v>
      </c>
      <c r="J2049" s="61" t="str">
        <f aca="false">INDEX(Parametros!$C$95:$C$106,MATCH(TRIM(INDEX(Datos_Origen!$E$2:$E$2459,$Z2049)),Parametros!$B$95:$B$106,0))</f>
        <v>E-commerce</v>
      </c>
      <c r="K2049" s="61" t="str">
        <f aca="false">INDEX(Parametros!$C$48:$C$67,MATCH(TRIM(INDEX(Datos_Origen!$F$2:$F$2459,$Z2049)),Parametros!$B$48:$B$67,0))</f>
        <v>Accesorios</v>
      </c>
      <c r="L2049" s="61" t="str">
        <f aca="false">$K2049&amp;" "&amp;$C2049</f>
        <v>Accesorios 2025</v>
      </c>
      <c r="M2049" s="61" t="str">
        <f aca="false">TRIM(INDEX(Datos_Origen!$G$2:$G$2459,$Z2049))</f>
        <v>Mouse Inalambrico</v>
      </c>
      <c r="N2049" s="61" t="str">
        <f aca="false">$M2049&amp;" "&amp;$C2049</f>
        <v>Mouse Inalambrico 2025</v>
      </c>
      <c r="O2049" s="63" t="n">
        <f aca="false">IF(ISTEXT($AC2049),VALUE($AC2049),$AC2049)</f>
        <v>26</v>
      </c>
      <c r="P2049" s="64" t="n">
        <f aca="false">INDEX(Datos_Origen!$I$2:$I$2459,$Z2049)</f>
        <v>28.11</v>
      </c>
      <c r="Q2049" s="64" t="n">
        <f aca="false">INDEX(Datos_Origen!$J$2:$J$2459,$Z2049)</f>
        <v>13.84</v>
      </c>
      <c r="R2049" s="65" t="n">
        <f aca="false">ROUND($O2049*$P2049,2)</f>
        <v>730.86</v>
      </c>
      <c r="S2049" s="65" t="n">
        <f aca="false">ROUND($O2049*$Q2049,2)</f>
        <v>359.84</v>
      </c>
      <c r="T2049" s="65" t="n">
        <f aca="false">ROUND($R2049*SUMIFS(Parametros!$E$28:$E$43,Parametros!$B$28:$B$43,$J2049,Parametros!$C$28:$C$43,$C2049,Parametros!$D$28:$D$43,$D2049),2)</f>
        <v>40.93</v>
      </c>
      <c r="U2049" s="65" t="n">
        <f aca="false">$R2049-$S2049-$T2049</f>
        <v>330.09</v>
      </c>
      <c r="V2049" s="66" t="n">
        <f aca="false">IFERROR($U2049/$R2049,0)</f>
        <v>0.451646006075035</v>
      </c>
      <c r="W2049" s="67" t="str">
        <f aca="false">IF(AND($V2049&gt;=Parametros!$C$8,$R2049&gt;=Parametros!$C$12),"Alta rentabilidad",IF(OR($V2049&lt;Parametros!$C$11,$R2049&lt;Parametros!$C$13),"Revisar","Estandar"))</f>
        <v>Estandar</v>
      </c>
      <c r="X2049" s="67" t="str">
        <f aca="false">IF(AND($J2049="E-commerce",IFERROR($T2049/$R2049,0)&gt;Parametros!$C$14),"Alerta","OK")</f>
        <v>Alerta</v>
      </c>
      <c r="Y2049" s="61" t="str">
        <f aca="false">IF($R2049&gt;=Parametros!$C$12,"Alto",IF($R2049&lt;Parametros!$C$13,"Bajo","Medio"))</f>
        <v>Medio</v>
      </c>
      <c r="Z2049" s="61" t="n">
        <v>1489</v>
      </c>
      <c r="AA2049" s="61" t="str">
        <f aca="false">IF(MATCH($A2049,Datos_Origen!$A$2:$A$2459,0)=$Z2049,"OK","REVISAR")</f>
        <v>OK</v>
      </c>
      <c r="AB2049" s="62" t="n">
        <f aca="false">INDEX(Datos_Origen!$B$2:$B$2459,$Z2049)</f>
        <v>45927</v>
      </c>
      <c r="AC2049" s="61" t="str">
        <f aca="false">INDEX(Datos_Origen!$H$2:$H$2459,$Z2049)</f>
        <v>26</v>
      </c>
      <c r="AD2049" s="61" t="str">
        <f aca="false">INDEX(Datos_Origen!$D$2:$D$2459,$Z2049)&amp;""</f>
        <v>Rosario</v>
      </c>
    </row>
    <row r="2050" customFormat="false" ht="15" hidden="false" customHeight="false" outlineLevel="0" collapsed="false">
      <c r="A2050" s="61" t="n">
        <f aca="false">INDEX(Datos_Origen!$A$2:$A$2459,$Z2050)</f>
        <v>2049</v>
      </c>
      <c r="B2050" s="62" t="n">
        <f aca="false">IF(ISNUMBER($AB2050),$AB2050,IF(MID($AB2050,5,1)="-",DATE(VALUE(LEFT($AB2050,4)),VALUE(MID($AB2050,6,2)),VALUE(RIGHT($AB2050,2))),DATE(VALUE(RIGHT($AB2050,4)),VALUE(MID($AB2050,4,2)),VALUE(LEFT($AB2050,2)))))</f>
        <v>45907</v>
      </c>
      <c r="C2050" s="61" t="n">
        <f aca="false">YEAR($B2050)</f>
        <v>2025</v>
      </c>
      <c r="D2050" s="61" t="str">
        <f aca="false">"Q"&amp;ROUNDUP(MONTH($B2050)/3,0)</f>
        <v>Q3</v>
      </c>
      <c r="E2050" s="61" t="n">
        <f aca="false">MONTH($B2050)</f>
        <v>9</v>
      </c>
      <c r="F2050" s="61" t="str">
        <f aca="false">INDEX(Parametros!$I$5:$I$16,$E2050)</f>
        <v>Sep</v>
      </c>
      <c r="G2050" s="61" t="str">
        <f aca="false">TEXT($C2050,"0000")&amp;"-"&amp;TEXT($E2050,"00")</f>
        <v>2025-09</v>
      </c>
      <c r="H2050" s="61" t="str">
        <f aca="false">INDEX(Parametros!$C$71:$C$91,MATCH(TRIM(INDEX(Datos_Origen!$C$2:$C$2459,$Z2050)),Parametros!$B$71:$B$91,0))</f>
        <v>Litoral</v>
      </c>
      <c r="I2050" s="61" t="str">
        <f aca="false">IF(TRIM($AD2050)="",INDEX(Parametros!$I$20:$I$24,MATCH($H2050,Parametros!$H$20:$H$24,0)),TRIM($AD2050))</f>
        <v>Rosario</v>
      </c>
      <c r="J2050" s="61" t="str">
        <f aca="false">INDEX(Parametros!$C$95:$C$106,MATCH(TRIM(INDEX(Datos_Origen!$E$2:$E$2459,$Z2050)),Parametros!$B$95:$B$106,0))</f>
        <v>Tienda fisica</v>
      </c>
      <c r="K2050" s="61" t="str">
        <f aca="false">INDEX(Parametros!$C$48:$C$67,MATCH(TRIM(INDEX(Datos_Origen!$F$2:$F$2459,$Z2050)),Parametros!$B$48:$B$67,0))</f>
        <v>Accesorios</v>
      </c>
      <c r="L2050" s="61" t="str">
        <f aca="false">$K2050&amp;" "&amp;$C2050</f>
        <v>Accesorios 2025</v>
      </c>
      <c r="M2050" s="61" t="str">
        <f aca="false">TRIM(INDEX(Datos_Origen!$G$2:$G$2459,$Z2050))</f>
        <v>Teclado Mecanico</v>
      </c>
      <c r="N2050" s="61" t="str">
        <f aca="false">$M2050&amp;" "&amp;$C2050</f>
        <v>Teclado Mecanico 2025</v>
      </c>
      <c r="O2050" s="63" t="n">
        <f aca="false">IF(ISTEXT($AC2050),VALUE($AC2050),$AC2050)</f>
        <v>43</v>
      </c>
      <c r="P2050" s="64" t="n">
        <f aca="false">INDEX(Datos_Origen!$I$2:$I$2459,$Z2050)</f>
        <v>95.38</v>
      </c>
      <c r="Q2050" s="64" t="n">
        <f aca="false">INDEX(Datos_Origen!$J$2:$J$2459,$Z2050)</f>
        <v>49.41</v>
      </c>
      <c r="R2050" s="65" t="n">
        <f aca="false">ROUND($O2050*$P2050,2)</f>
        <v>4101.34</v>
      </c>
      <c r="S2050" s="65" t="n">
        <f aca="false">ROUND($O2050*$Q2050,2)</f>
        <v>2124.63</v>
      </c>
      <c r="T2050" s="65" t="n">
        <f aca="false">ROUND($R2050*SUMIFS(Parametros!$E$28:$E$43,Parametros!$B$28:$B$43,$J2050,Parametros!$C$28:$C$43,$C2050,Parametros!$D$28:$D$43,$D2050),2)</f>
        <v>53.32</v>
      </c>
      <c r="U2050" s="65" t="n">
        <f aca="false">$R2050-$S2050-$T2050</f>
        <v>1923.39</v>
      </c>
      <c r="V2050" s="66" t="n">
        <f aca="false">IFERROR($U2050/$R2050,0)</f>
        <v>0.46896624030195</v>
      </c>
      <c r="W2050" s="67" t="str">
        <f aca="false">IF(AND($V2050&gt;=Parametros!$C$8,$R2050&gt;=Parametros!$C$12),"Alta rentabilidad",IF(OR($V2050&lt;Parametros!$C$11,$R2050&lt;Parametros!$C$13),"Revisar","Estandar"))</f>
        <v>Alta rentabilidad</v>
      </c>
      <c r="X2050" s="67" t="str">
        <f aca="false">IF(AND($J2050="E-commerce",IFERROR($T2050/$R2050,0)&gt;Parametros!$C$14),"Alerta","OK")</f>
        <v>OK</v>
      </c>
      <c r="Y2050" s="61" t="str">
        <f aca="false">IF($R2050&gt;=Parametros!$C$12,"Alto",IF($R2050&lt;Parametros!$C$13,"Bajo","Medio"))</f>
        <v>Alto</v>
      </c>
      <c r="Z2050" s="61" t="n">
        <v>819</v>
      </c>
      <c r="AA2050" s="61" t="str">
        <f aca="false">IF(MATCH($A2050,Datos_Origen!$A$2:$A$2459,0)=$Z2050,"OK","REVISAR")</f>
        <v>OK</v>
      </c>
      <c r="AB2050" s="61" t="str">
        <f aca="false">INDEX(Datos_Origen!$B$2:$B$2459,$Z2050)</f>
        <v>2025-09-07</v>
      </c>
      <c r="AC2050" s="61" t="n">
        <f aca="false">INDEX(Datos_Origen!$H$2:$H$2459,$Z2050)</f>
        <v>43</v>
      </c>
      <c r="AD2050" s="61" t="str">
        <f aca="false">INDEX(Datos_Origen!$D$2:$D$2459,$Z2050)&amp;""</f>
        <v>Rosario</v>
      </c>
    </row>
    <row r="2051" customFormat="false" ht="15" hidden="false" customHeight="false" outlineLevel="0" collapsed="false">
      <c r="A2051" s="61" t="n">
        <f aca="false">INDEX(Datos_Origen!$A$2:$A$2459,$Z2051)</f>
        <v>2050</v>
      </c>
      <c r="B2051" s="62" t="n">
        <f aca="false">IF(ISNUMBER($AB2051),$AB2051,IF(MID($AB2051,5,1)="-",DATE(VALUE(LEFT($AB2051,4)),VALUE(MID($AB2051,6,2)),VALUE(RIGHT($AB2051,2))),DATE(VALUE(RIGHT($AB2051,4)),VALUE(MID($AB2051,4,2)),VALUE(LEFT($AB2051,2)))))</f>
        <v>45914</v>
      </c>
      <c r="C2051" s="61" t="n">
        <f aca="false">YEAR($B2051)</f>
        <v>2025</v>
      </c>
      <c r="D2051" s="61" t="str">
        <f aca="false">"Q"&amp;ROUNDUP(MONTH($B2051)/3,0)</f>
        <v>Q3</v>
      </c>
      <c r="E2051" s="61" t="n">
        <f aca="false">MONTH($B2051)</f>
        <v>9</v>
      </c>
      <c r="F2051" s="61" t="str">
        <f aca="false">INDEX(Parametros!$I$5:$I$16,$E2051)</f>
        <v>Sep</v>
      </c>
      <c r="G2051" s="61" t="str">
        <f aca="false">TEXT($C2051,"0000")&amp;"-"&amp;TEXT($E2051,"00")</f>
        <v>2025-09</v>
      </c>
      <c r="H2051" s="61" t="str">
        <f aca="false">INDEX(Parametros!$C$71:$C$91,MATCH(TRIM(INDEX(Datos_Origen!$C$2:$C$2459,$Z2051)),Parametros!$B$71:$B$91,0))</f>
        <v>Litoral</v>
      </c>
      <c r="I2051" s="61" t="str">
        <f aca="false">IF(TRIM($AD2051)="",INDEX(Parametros!$I$20:$I$24,MATCH($H2051,Parametros!$H$20:$H$24,0)),TRIM($AD2051))</f>
        <v>Rosario</v>
      </c>
      <c r="J2051" s="61" t="str">
        <f aca="false">INDEX(Parametros!$C$95:$C$106,MATCH(TRIM(INDEX(Datos_Origen!$E$2:$E$2459,$Z2051)),Parametros!$B$95:$B$106,0))</f>
        <v>E-commerce</v>
      </c>
      <c r="K2051" s="61" t="str">
        <f aca="false">INDEX(Parametros!$C$48:$C$67,MATCH(TRIM(INDEX(Datos_Origen!$F$2:$F$2459,$Z2051)),Parametros!$B$48:$B$67,0))</f>
        <v>Accesorios</v>
      </c>
      <c r="L2051" s="61" t="str">
        <f aca="false">$K2051&amp;" "&amp;$C2051</f>
        <v>Accesorios 2025</v>
      </c>
      <c r="M2051" s="61" t="str">
        <f aca="false">TRIM(INDEX(Datos_Origen!$G$2:$G$2459,$Z2051))</f>
        <v>Teclado Mecanico</v>
      </c>
      <c r="N2051" s="61" t="str">
        <f aca="false">$M2051&amp;" "&amp;$C2051</f>
        <v>Teclado Mecanico 2025</v>
      </c>
      <c r="O2051" s="63" t="n">
        <f aca="false">IF(ISTEXT($AC2051),VALUE($AC2051),$AC2051)</f>
        <v>29</v>
      </c>
      <c r="P2051" s="64" t="n">
        <f aca="false">INDEX(Datos_Origen!$I$2:$I$2459,$Z2051)</f>
        <v>95.38</v>
      </c>
      <c r="Q2051" s="64" t="n">
        <f aca="false">INDEX(Datos_Origen!$J$2:$J$2459,$Z2051)</f>
        <v>49.41</v>
      </c>
      <c r="R2051" s="65" t="n">
        <f aca="false">ROUND($O2051*$P2051,2)</f>
        <v>2766.02</v>
      </c>
      <c r="S2051" s="65" t="n">
        <f aca="false">ROUND($O2051*$Q2051,2)</f>
        <v>1432.89</v>
      </c>
      <c r="T2051" s="65" t="n">
        <f aca="false">ROUND($R2051*SUMIFS(Parametros!$E$28:$E$43,Parametros!$B$28:$B$43,$J2051,Parametros!$C$28:$C$43,$C2051,Parametros!$D$28:$D$43,$D2051),2)</f>
        <v>154.9</v>
      </c>
      <c r="U2051" s="65" t="n">
        <f aca="false">$R2051-$S2051-$T2051</f>
        <v>1178.23</v>
      </c>
      <c r="V2051" s="66" t="n">
        <f aca="false">IFERROR($U2051/$R2051,0)</f>
        <v>0.425965828157425</v>
      </c>
      <c r="W2051" s="67" t="str">
        <f aca="false">IF(AND($V2051&gt;=Parametros!$C$8,$R2051&gt;=Parametros!$C$12),"Alta rentabilidad",IF(OR($V2051&lt;Parametros!$C$11,$R2051&lt;Parametros!$C$13),"Revisar","Estandar"))</f>
        <v>Estandar</v>
      </c>
      <c r="X2051" s="67" t="str">
        <f aca="false">IF(AND($J2051="E-commerce",IFERROR($T2051/$R2051,0)&gt;Parametros!$C$14),"Alerta","OK")</f>
        <v>Alerta</v>
      </c>
      <c r="Y2051" s="61" t="str">
        <f aca="false">IF($R2051&gt;=Parametros!$C$12,"Alto",IF($R2051&lt;Parametros!$C$13,"Bajo","Medio"))</f>
        <v>Medio</v>
      </c>
      <c r="Z2051" s="61" t="n">
        <v>1882</v>
      </c>
      <c r="AA2051" s="61" t="str">
        <f aca="false">IF(MATCH($A2051,Datos_Origen!$A$2:$A$2459,0)=$Z2051,"OK","REVISAR")</f>
        <v>OK</v>
      </c>
      <c r="AB2051" s="62" t="n">
        <f aca="false">INDEX(Datos_Origen!$B$2:$B$2459,$Z2051)</f>
        <v>45914</v>
      </c>
      <c r="AC2051" s="61" t="n">
        <f aca="false">INDEX(Datos_Origen!$H$2:$H$2459,$Z2051)</f>
        <v>29</v>
      </c>
      <c r="AD2051" s="61" t="str">
        <f aca="false">INDEX(Datos_Origen!$D$2:$D$2459,$Z2051)&amp;""</f>
        <v>Rosario</v>
      </c>
    </row>
    <row r="2052" customFormat="false" ht="15" hidden="false" customHeight="false" outlineLevel="0" collapsed="false">
      <c r="A2052" s="61" t="n">
        <f aca="false">INDEX(Datos_Origen!$A$2:$A$2459,$Z2052)</f>
        <v>2051</v>
      </c>
      <c r="B2052" s="62" t="n">
        <f aca="false">IF(ISNUMBER($AB2052),$AB2052,IF(MID($AB2052,5,1)="-",DATE(VALUE(LEFT($AB2052,4)),VALUE(MID($AB2052,6,2)),VALUE(RIGHT($AB2052,2))),DATE(VALUE(RIGHT($AB2052,4)),VALUE(MID($AB2052,4,2)),VALUE(LEFT($AB2052,2)))))</f>
        <v>45921</v>
      </c>
      <c r="C2052" s="61" t="n">
        <f aca="false">YEAR($B2052)</f>
        <v>2025</v>
      </c>
      <c r="D2052" s="61" t="str">
        <f aca="false">"Q"&amp;ROUNDUP(MONTH($B2052)/3,0)</f>
        <v>Q3</v>
      </c>
      <c r="E2052" s="61" t="n">
        <f aca="false">MONTH($B2052)</f>
        <v>9</v>
      </c>
      <c r="F2052" s="61" t="str">
        <f aca="false">INDEX(Parametros!$I$5:$I$16,$E2052)</f>
        <v>Sep</v>
      </c>
      <c r="G2052" s="61" t="str">
        <f aca="false">TEXT($C2052,"0000")&amp;"-"&amp;TEXT($E2052,"00")</f>
        <v>2025-09</v>
      </c>
      <c r="H2052" s="61" t="str">
        <f aca="false">INDEX(Parametros!$C$71:$C$91,MATCH(TRIM(INDEX(Datos_Origen!$C$2:$C$2459,$Z2052)),Parametros!$B$71:$B$91,0))</f>
        <v>Litoral</v>
      </c>
      <c r="I2052" s="61" t="str">
        <f aca="false">IF(TRIM($AD2052)="",INDEX(Parametros!$I$20:$I$24,MATCH($H2052,Parametros!$H$20:$H$24,0)),TRIM($AD2052))</f>
        <v>Rosario</v>
      </c>
      <c r="J2052" s="61" t="str">
        <f aca="false">INDEX(Parametros!$C$95:$C$106,MATCH(TRIM(INDEX(Datos_Origen!$E$2:$E$2459,$Z2052)),Parametros!$B$95:$B$106,0))</f>
        <v>Tienda fisica</v>
      </c>
      <c r="K2052" s="61" t="str">
        <f aca="false">INDEX(Parametros!$C$48:$C$67,MATCH(TRIM(INDEX(Datos_Origen!$F$2:$F$2459,$Z2052)),Parametros!$B$48:$B$67,0))</f>
        <v>Accesorios</v>
      </c>
      <c r="L2052" s="61" t="str">
        <f aca="false">$K2052&amp;" "&amp;$C2052</f>
        <v>Accesorios 2025</v>
      </c>
      <c r="M2052" s="61" t="str">
        <f aca="false">TRIM(INDEX(Datos_Origen!$G$2:$G$2459,$Z2052))</f>
        <v>Webcam Full HD</v>
      </c>
      <c r="N2052" s="61" t="str">
        <f aca="false">$M2052&amp;" "&amp;$C2052</f>
        <v>Webcam Full HD 2025</v>
      </c>
      <c r="O2052" s="63" t="n">
        <f aca="false">IF(ISTEXT($AC2052),VALUE($AC2052),$AC2052)</f>
        <v>36</v>
      </c>
      <c r="P2052" s="64" t="n">
        <f aca="false">INDEX(Datos_Origen!$I$2:$I$2459,$Z2052)</f>
        <v>65.26</v>
      </c>
      <c r="Q2052" s="64" t="n">
        <f aca="false">INDEX(Datos_Origen!$J$2:$J$2459,$Z2052)</f>
        <v>36.49</v>
      </c>
      <c r="R2052" s="65" t="n">
        <f aca="false">ROUND($O2052*$P2052,2)</f>
        <v>2349.36</v>
      </c>
      <c r="S2052" s="65" t="n">
        <f aca="false">ROUND($O2052*$Q2052,2)</f>
        <v>1313.64</v>
      </c>
      <c r="T2052" s="65" t="n">
        <f aca="false">ROUND($R2052*SUMIFS(Parametros!$E$28:$E$43,Parametros!$B$28:$B$43,$J2052,Parametros!$C$28:$C$43,$C2052,Parametros!$D$28:$D$43,$D2052),2)</f>
        <v>30.54</v>
      </c>
      <c r="U2052" s="65" t="n">
        <f aca="false">$R2052-$S2052-$T2052</f>
        <v>1005.18</v>
      </c>
      <c r="V2052" s="66" t="n">
        <f aca="false">IFERROR($U2052/$R2052,0)</f>
        <v>0.427852691796915</v>
      </c>
      <c r="W2052" s="67" t="str">
        <f aca="false">IF(AND($V2052&gt;=Parametros!$C$8,$R2052&gt;=Parametros!$C$12),"Alta rentabilidad",IF(OR($V2052&lt;Parametros!$C$11,$R2052&lt;Parametros!$C$13),"Revisar","Estandar"))</f>
        <v>Estandar</v>
      </c>
      <c r="X2052" s="67" t="str">
        <f aca="false">IF(AND($J2052="E-commerce",IFERROR($T2052/$R2052,0)&gt;Parametros!$C$14),"Alerta","OK")</f>
        <v>OK</v>
      </c>
      <c r="Y2052" s="61" t="str">
        <f aca="false">IF($R2052&gt;=Parametros!$C$12,"Alto",IF($R2052&lt;Parametros!$C$13,"Bajo","Medio"))</f>
        <v>Medio</v>
      </c>
      <c r="Z2052" s="61" t="n">
        <v>2180</v>
      </c>
      <c r="AA2052" s="61" t="str">
        <f aca="false">IF(MATCH($A2052,Datos_Origen!$A$2:$A$2459,0)=$Z2052,"OK","REVISAR")</f>
        <v>OK</v>
      </c>
      <c r="AB2052" s="61" t="str">
        <f aca="false">INDEX(Datos_Origen!$B$2:$B$2459,$Z2052)</f>
        <v>21/09/2025</v>
      </c>
      <c r="AC2052" s="61" t="n">
        <f aca="false">INDEX(Datos_Origen!$H$2:$H$2459,$Z2052)</f>
        <v>36</v>
      </c>
      <c r="AD2052" s="61" t="str">
        <f aca="false">INDEX(Datos_Origen!$D$2:$D$2459,$Z2052)&amp;""</f>
        <v>Rosario</v>
      </c>
    </row>
    <row r="2053" customFormat="false" ht="15" hidden="false" customHeight="false" outlineLevel="0" collapsed="false">
      <c r="A2053" s="61" t="n">
        <f aca="false">INDEX(Datos_Origen!$A$2:$A$2459,$Z2053)</f>
        <v>2052</v>
      </c>
      <c r="B2053" s="62" t="n">
        <f aca="false">IF(ISNUMBER($AB2053),$AB2053,IF(MID($AB2053,5,1)="-",DATE(VALUE(LEFT($AB2053,4)),VALUE(MID($AB2053,6,2)),VALUE(RIGHT($AB2053,2))),DATE(VALUE(RIGHT($AB2053,4)),VALUE(MID($AB2053,4,2)),VALUE(LEFT($AB2053,2)))))</f>
        <v>45901</v>
      </c>
      <c r="C2053" s="61" t="n">
        <f aca="false">YEAR($B2053)</f>
        <v>2025</v>
      </c>
      <c r="D2053" s="61" t="str">
        <f aca="false">"Q"&amp;ROUNDUP(MONTH($B2053)/3,0)</f>
        <v>Q3</v>
      </c>
      <c r="E2053" s="61" t="n">
        <f aca="false">MONTH($B2053)</f>
        <v>9</v>
      </c>
      <c r="F2053" s="61" t="str">
        <f aca="false">INDEX(Parametros!$I$5:$I$16,$E2053)</f>
        <v>Sep</v>
      </c>
      <c r="G2053" s="61" t="str">
        <f aca="false">TEXT($C2053,"0000")&amp;"-"&amp;TEXT($E2053,"00")</f>
        <v>2025-09</v>
      </c>
      <c r="H2053" s="61" t="str">
        <f aca="false">INDEX(Parametros!$C$71:$C$91,MATCH(TRIM(INDEX(Datos_Origen!$C$2:$C$2459,$Z2053)),Parametros!$B$71:$B$91,0))</f>
        <v>Litoral</v>
      </c>
      <c r="I2053" s="61" t="str">
        <f aca="false">IF(TRIM($AD2053)="",INDEX(Parametros!$I$20:$I$24,MATCH($H2053,Parametros!$H$20:$H$24,0)),TRIM($AD2053))</f>
        <v>Rosario</v>
      </c>
      <c r="J2053" s="61" t="str">
        <f aca="false">INDEX(Parametros!$C$95:$C$106,MATCH(TRIM(INDEX(Datos_Origen!$E$2:$E$2459,$Z2053)),Parametros!$B$95:$B$106,0))</f>
        <v>E-commerce</v>
      </c>
      <c r="K2053" s="61" t="str">
        <f aca="false">INDEX(Parametros!$C$48:$C$67,MATCH(TRIM(INDEX(Datos_Origen!$F$2:$F$2459,$Z2053)),Parametros!$B$48:$B$67,0))</f>
        <v>Accesorios</v>
      </c>
      <c r="L2053" s="61" t="str">
        <f aca="false">$K2053&amp;" "&amp;$C2053</f>
        <v>Accesorios 2025</v>
      </c>
      <c r="M2053" s="61" t="str">
        <f aca="false">TRIM(INDEX(Datos_Origen!$G$2:$G$2459,$Z2053))</f>
        <v>Webcam Full HD</v>
      </c>
      <c r="N2053" s="61" t="str">
        <f aca="false">$M2053&amp;" "&amp;$C2053</f>
        <v>Webcam Full HD 2025</v>
      </c>
      <c r="O2053" s="63" t="n">
        <f aca="false">IF(ISTEXT($AC2053),VALUE($AC2053),$AC2053)</f>
        <v>23</v>
      </c>
      <c r="P2053" s="64" t="n">
        <f aca="false">INDEX(Datos_Origen!$I$2:$I$2459,$Z2053)</f>
        <v>65.26</v>
      </c>
      <c r="Q2053" s="64" t="n">
        <f aca="false">INDEX(Datos_Origen!$J$2:$J$2459,$Z2053)</f>
        <v>36.49</v>
      </c>
      <c r="R2053" s="65" t="n">
        <f aca="false">ROUND($O2053*$P2053,2)</f>
        <v>1500.98</v>
      </c>
      <c r="S2053" s="65" t="n">
        <f aca="false">ROUND($O2053*$Q2053,2)</f>
        <v>839.27</v>
      </c>
      <c r="T2053" s="65" t="n">
        <f aca="false">ROUND($R2053*SUMIFS(Parametros!$E$28:$E$43,Parametros!$B$28:$B$43,$J2053,Parametros!$C$28:$C$43,$C2053,Parametros!$D$28:$D$43,$D2053),2)</f>
        <v>84.05</v>
      </c>
      <c r="U2053" s="65" t="n">
        <f aca="false">$R2053-$S2053-$T2053</f>
        <v>577.66</v>
      </c>
      <c r="V2053" s="66" t="n">
        <f aca="false">IFERROR($U2053/$R2053,0)</f>
        <v>0.38485522791776</v>
      </c>
      <c r="W2053" s="67" t="str">
        <f aca="false">IF(AND($V2053&gt;=Parametros!$C$8,$R2053&gt;=Parametros!$C$12),"Alta rentabilidad",IF(OR($V2053&lt;Parametros!$C$11,$R2053&lt;Parametros!$C$13),"Revisar","Estandar"))</f>
        <v>Estandar</v>
      </c>
      <c r="X2053" s="67" t="str">
        <f aca="false">IF(AND($J2053="E-commerce",IFERROR($T2053/$R2053,0)&gt;Parametros!$C$14),"Alerta","OK")</f>
        <v>Alerta</v>
      </c>
      <c r="Y2053" s="61" t="str">
        <f aca="false">IF($R2053&gt;=Parametros!$C$12,"Alto",IF($R2053&lt;Parametros!$C$13,"Bajo","Medio"))</f>
        <v>Medio</v>
      </c>
      <c r="Z2053" s="61" t="n">
        <v>2111</v>
      </c>
      <c r="AA2053" s="61" t="str">
        <f aca="false">IF(MATCH($A2053,Datos_Origen!$A$2:$A$2459,0)=$Z2053,"OK","REVISAR")</f>
        <v>OK</v>
      </c>
      <c r="AB2053" s="62" t="n">
        <f aca="false">INDEX(Datos_Origen!$B$2:$B$2459,$Z2053)</f>
        <v>45901</v>
      </c>
      <c r="AC2053" s="61" t="n">
        <f aca="false">INDEX(Datos_Origen!$H$2:$H$2459,$Z2053)</f>
        <v>23</v>
      </c>
      <c r="AD2053" s="61" t="str">
        <f aca="false">INDEX(Datos_Origen!$D$2:$D$2459,$Z2053)&amp;""</f>
        <v/>
      </c>
    </row>
    <row r="2054" customFormat="false" ht="15" hidden="false" customHeight="false" outlineLevel="0" collapsed="false">
      <c r="A2054" s="61" t="n">
        <f aca="false">INDEX(Datos_Origen!$A$2:$A$2459,$Z2054)</f>
        <v>2053</v>
      </c>
      <c r="B2054" s="62" t="n">
        <f aca="false">IF(ISNUMBER($AB2054),$AB2054,IF(MID($AB2054,5,1)="-",DATE(VALUE(LEFT($AB2054,4)),VALUE(MID($AB2054,6,2)),VALUE(RIGHT($AB2054,2))),DATE(VALUE(RIGHT($AB2054,4)),VALUE(MID($AB2054,4,2)),VALUE(LEFT($AB2054,2)))))</f>
        <v>45908</v>
      </c>
      <c r="C2054" s="61" t="n">
        <f aca="false">YEAR($B2054)</f>
        <v>2025</v>
      </c>
      <c r="D2054" s="61" t="str">
        <f aca="false">"Q"&amp;ROUNDUP(MONTH($B2054)/3,0)</f>
        <v>Q3</v>
      </c>
      <c r="E2054" s="61" t="n">
        <f aca="false">MONTH($B2054)</f>
        <v>9</v>
      </c>
      <c r="F2054" s="61" t="str">
        <f aca="false">INDEX(Parametros!$I$5:$I$16,$E2054)</f>
        <v>Sep</v>
      </c>
      <c r="G2054" s="61" t="str">
        <f aca="false">TEXT($C2054,"0000")&amp;"-"&amp;TEXT($E2054,"00")</f>
        <v>2025-09</v>
      </c>
      <c r="H2054" s="61" t="str">
        <f aca="false">INDEX(Parametros!$C$71:$C$91,MATCH(TRIM(INDEX(Datos_Origen!$C$2:$C$2459,$Z2054)),Parametros!$B$71:$B$91,0))</f>
        <v>Litoral</v>
      </c>
      <c r="I2054" s="61" t="str">
        <f aca="false">IF(TRIM($AD2054)="",INDEX(Parametros!$I$20:$I$24,MATCH($H2054,Parametros!$H$20:$H$24,0)),TRIM($AD2054))</f>
        <v>Rosario</v>
      </c>
      <c r="J2054" s="61" t="str">
        <f aca="false">INDEX(Parametros!$C$95:$C$106,MATCH(TRIM(INDEX(Datos_Origen!$E$2:$E$2459,$Z2054)),Parametros!$B$95:$B$106,0))</f>
        <v>Tienda fisica</v>
      </c>
      <c r="K2054" s="61" t="str">
        <f aca="false">INDEX(Parametros!$C$48:$C$67,MATCH(TRIM(INDEX(Datos_Origen!$F$2:$F$2459,$Z2054)),Parametros!$B$48:$B$67,0))</f>
        <v>Audio</v>
      </c>
      <c r="L2054" s="61" t="str">
        <f aca="false">$K2054&amp;" "&amp;$C2054</f>
        <v>Audio 2025</v>
      </c>
      <c r="M2054" s="61" t="str">
        <f aca="false">TRIM(INDEX(Datos_Origen!$G$2:$G$2459,$Z2054))</f>
        <v>Auriculares BT Pro</v>
      </c>
      <c r="N2054" s="61" t="str">
        <f aca="false">$M2054&amp;" "&amp;$C2054</f>
        <v>Auriculares BT Pro 2025</v>
      </c>
      <c r="O2054" s="63" t="n">
        <f aca="false">IF(ISTEXT($AC2054),VALUE($AC2054),$AC2054)</f>
        <v>21</v>
      </c>
      <c r="P2054" s="64" t="n">
        <f aca="false">INDEX(Datos_Origen!$I$2:$I$2459,$Z2054)</f>
        <v>120.47</v>
      </c>
      <c r="Q2054" s="64" t="n">
        <f aca="false">INDEX(Datos_Origen!$J$2:$J$2459,$Z2054)</f>
        <v>65.51</v>
      </c>
      <c r="R2054" s="65" t="n">
        <f aca="false">ROUND($O2054*$P2054,2)</f>
        <v>2529.87</v>
      </c>
      <c r="S2054" s="65" t="n">
        <f aca="false">ROUND($O2054*$Q2054,2)</f>
        <v>1375.71</v>
      </c>
      <c r="T2054" s="65" t="n">
        <f aca="false">ROUND($R2054*SUMIFS(Parametros!$E$28:$E$43,Parametros!$B$28:$B$43,$J2054,Parametros!$C$28:$C$43,$C2054,Parametros!$D$28:$D$43,$D2054),2)</f>
        <v>32.89</v>
      </c>
      <c r="U2054" s="65" t="n">
        <f aca="false">$R2054-$S2054-$T2054</f>
        <v>1121.27</v>
      </c>
      <c r="V2054" s="66" t="n">
        <f aca="false">IFERROR($U2054/$R2054,0)</f>
        <v>0.44321249708483</v>
      </c>
      <c r="W2054" s="67" t="str">
        <f aca="false">IF(AND($V2054&gt;=Parametros!$C$8,$R2054&gt;=Parametros!$C$12),"Alta rentabilidad",IF(OR($V2054&lt;Parametros!$C$11,$R2054&lt;Parametros!$C$13),"Revisar","Estandar"))</f>
        <v>Estandar</v>
      </c>
      <c r="X2054" s="67" t="str">
        <f aca="false">IF(AND($J2054="E-commerce",IFERROR($T2054/$R2054,0)&gt;Parametros!$C$14),"Alerta","OK")</f>
        <v>OK</v>
      </c>
      <c r="Y2054" s="61" t="str">
        <f aca="false">IF($R2054&gt;=Parametros!$C$12,"Alto",IF($R2054&lt;Parametros!$C$13,"Bajo","Medio"))</f>
        <v>Medio</v>
      </c>
      <c r="Z2054" s="61" t="n">
        <v>737</v>
      </c>
      <c r="AA2054" s="61" t="str">
        <f aca="false">IF(MATCH($A2054,Datos_Origen!$A$2:$A$2459,0)=$Z2054,"OK","REVISAR")</f>
        <v>OK</v>
      </c>
      <c r="AB2054" s="62" t="n">
        <f aca="false">INDEX(Datos_Origen!$B$2:$B$2459,$Z2054)</f>
        <v>45908</v>
      </c>
      <c r="AC2054" s="61" t="n">
        <f aca="false">INDEX(Datos_Origen!$H$2:$H$2459,$Z2054)</f>
        <v>21</v>
      </c>
      <c r="AD2054" s="61" t="str">
        <f aca="false">INDEX(Datos_Origen!$D$2:$D$2459,$Z2054)&amp;""</f>
        <v>Rosario</v>
      </c>
    </row>
    <row r="2055" customFormat="false" ht="15" hidden="false" customHeight="false" outlineLevel="0" collapsed="false">
      <c r="A2055" s="61" t="n">
        <f aca="false">INDEX(Datos_Origen!$A$2:$A$2459,$Z2055)</f>
        <v>2054</v>
      </c>
      <c r="B2055" s="62" t="n">
        <f aca="false">IF(ISNUMBER($AB2055),$AB2055,IF(MID($AB2055,5,1)="-",DATE(VALUE(LEFT($AB2055,4)),VALUE(MID($AB2055,6,2)),VALUE(RIGHT($AB2055,2))),DATE(VALUE(RIGHT($AB2055,4)),VALUE(MID($AB2055,4,2)),VALUE(LEFT($AB2055,2)))))</f>
        <v>45915</v>
      </c>
      <c r="C2055" s="61" t="n">
        <f aca="false">YEAR($B2055)</f>
        <v>2025</v>
      </c>
      <c r="D2055" s="61" t="str">
        <f aca="false">"Q"&amp;ROUNDUP(MONTH($B2055)/3,0)</f>
        <v>Q3</v>
      </c>
      <c r="E2055" s="61" t="n">
        <f aca="false">MONTH($B2055)</f>
        <v>9</v>
      </c>
      <c r="F2055" s="61" t="str">
        <f aca="false">INDEX(Parametros!$I$5:$I$16,$E2055)</f>
        <v>Sep</v>
      </c>
      <c r="G2055" s="61" t="str">
        <f aca="false">TEXT($C2055,"0000")&amp;"-"&amp;TEXT($E2055,"00")</f>
        <v>2025-09</v>
      </c>
      <c r="H2055" s="61" t="str">
        <f aca="false">INDEX(Parametros!$C$71:$C$91,MATCH(TRIM(INDEX(Datos_Origen!$C$2:$C$2459,$Z2055)),Parametros!$B$71:$B$91,0))</f>
        <v>Litoral</v>
      </c>
      <c r="I2055" s="61" t="str">
        <f aca="false">IF(TRIM($AD2055)="",INDEX(Parametros!$I$20:$I$24,MATCH($H2055,Parametros!$H$20:$H$24,0)),TRIM($AD2055))</f>
        <v>Rosario</v>
      </c>
      <c r="J2055" s="61" t="str">
        <f aca="false">INDEX(Parametros!$C$95:$C$106,MATCH(TRIM(INDEX(Datos_Origen!$E$2:$E$2459,$Z2055)),Parametros!$B$95:$B$106,0))</f>
        <v>E-commerce</v>
      </c>
      <c r="K2055" s="61" t="str">
        <f aca="false">INDEX(Parametros!$C$48:$C$67,MATCH(TRIM(INDEX(Datos_Origen!$F$2:$F$2459,$Z2055)),Parametros!$B$48:$B$67,0))</f>
        <v>Audio</v>
      </c>
      <c r="L2055" s="61" t="str">
        <f aca="false">$K2055&amp;" "&amp;$C2055</f>
        <v>Audio 2025</v>
      </c>
      <c r="M2055" s="61" t="str">
        <f aca="false">TRIM(INDEX(Datos_Origen!$G$2:$G$2459,$Z2055))</f>
        <v>Auriculares BT Pro</v>
      </c>
      <c r="N2055" s="61" t="str">
        <f aca="false">$M2055&amp;" "&amp;$C2055</f>
        <v>Auriculares BT Pro 2025</v>
      </c>
      <c r="O2055" s="63" t="n">
        <f aca="false">IF(ISTEXT($AC2055),VALUE($AC2055),$AC2055)</f>
        <v>15</v>
      </c>
      <c r="P2055" s="64" t="n">
        <f aca="false">INDEX(Datos_Origen!$I$2:$I$2459,$Z2055)</f>
        <v>120.47</v>
      </c>
      <c r="Q2055" s="64" t="n">
        <f aca="false">INDEX(Datos_Origen!$J$2:$J$2459,$Z2055)</f>
        <v>65.51</v>
      </c>
      <c r="R2055" s="65" t="n">
        <f aca="false">ROUND($O2055*$P2055,2)</f>
        <v>1807.05</v>
      </c>
      <c r="S2055" s="65" t="n">
        <f aca="false">ROUND($O2055*$Q2055,2)</f>
        <v>982.65</v>
      </c>
      <c r="T2055" s="65" t="n">
        <f aca="false">ROUND($R2055*SUMIFS(Parametros!$E$28:$E$43,Parametros!$B$28:$B$43,$J2055,Parametros!$C$28:$C$43,$C2055,Parametros!$D$28:$D$43,$D2055),2)</f>
        <v>101.19</v>
      </c>
      <c r="U2055" s="65" t="n">
        <f aca="false">$R2055-$S2055-$T2055</f>
        <v>723.21</v>
      </c>
      <c r="V2055" s="66" t="n">
        <f aca="false">IFERROR($U2055/$R2055,0)</f>
        <v>0.400215821366315</v>
      </c>
      <c r="W2055" s="67" t="str">
        <f aca="false">IF(AND($V2055&gt;=Parametros!$C$8,$R2055&gt;=Parametros!$C$12),"Alta rentabilidad",IF(OR($V2055&lt;Parametros!$C$11,$R2055&lt;Parametros!$C$13),"Revisar","Estandar"))</f>
        <v>Estandar</v>
      </c>
      <c r="X2055" s="67" t="str">
        <f aca="false">IF(AND($J2055="E-commerce",IFERROR($T2055/$R2055,0)&gt;Parametros!$C$14),"Alerta","OK")</f>
        <v>Alerta</v>
      </c>
      <c r="Y2055" s="61" t="str">
        <f aca="false">IF($R2055&gt;=Parametros!$C$12,"Alto",IF($R2055&lt;Parametros!$C$13,"Bajo","Medio"))</f>
        <v>Medio</v>
      </c>
      <c r="Z2055" s="61" t="n">
        <v>2265</v>
      </c>
      <c r="AA2055" s="61" t="str">
        <f aca="false">IF(MATCH($A2055,Datos_Origen!$A$2:$A$2459,0)=$Z2055,"OK","REVISAR")</f>
        <v>OK</v>
      </c>
      <c r="AB2055" s="62" t="n">
        <f aca="false">INDEX(Datos_Origen!$B$2:$B$2459,$Z2055)</f>
        <v>45915</v>
      </c>
      <c r="AC2055" s="61" t="n">
        <f aca="false">INDEX(Datos_Origen!$H$2:$H$2459,$Z2055)</f>
        <v>15</v>
      </c>
      <c r="AD2055" s="61" t="str">
        <f aca="false">INDEX(Datos_Origen!$D$2:$D$2459,$Z2055)&amp;""</f>
        <v>Rosario</v>
      </c>
    </row>
    <row r="2056" customFormat="false" ht="15" hidden="false" customHeight="false" outlineLevel="0" collapsed="false">
      <c r="A2056" s="61" t="n">
        <f aca="false">INDEX(Datos_Origen!$A$2:$A$2459,$Z2056)</f>
        <v>2055</v>
      </c>
      <c r="B2056" s="62" t="n">
        <f aca="false">IF(ISNUMBER($AB2056),$AB2056,IF(MID($AB2056,5,1)="-",DATE(VALUE(LEFT($AB2056,4)),VALUE(MID($AB2056,6,2)),VALUE(RIGHT($AB2056,2))),DATE(VALUE(RIGHT($AB2056,4)),VALUE(MID($AB2056,4,2)),VALUE(LEFT($AB2056,2)))))</f>
        <v>45922</v>
      </c>
      <c r="C2056" s="61" t="n">
        <f aca="false">YEAR($B2056)</f>
        <v>2025</v>
      </c>
      <c r="D2056" s="61" t="str">
        <f aca="false">"Q"&amp;ROUNDUP(MONTH($B2056)/3,0)</f>
        <v>Q3</v>
      </c>
      <c r="E2056" s="61" t="n">
        <f aca="false">MONTH($B2056)</f>
        <v>9</v>
      </c>
      <c r="F2056" s="61" t="str">
        <f aca="false">INDEX(Parametros!$I$5:$I$16,$E2056)</f>
        <v>Sep</v>
      </c>
      <c r="G2056" s="61" t="str">
        <f aca="false">TEXT($C2056,"0000")&amp;"-"&amp;TEXT($E2056,"00")</f>
        <v>2025-09</v>
      </c>
      <c r="H2056" s="61" t="str">
        <f aca="false">INDEX(Parametros!$C$71:$C$91,MATCH(TRIM(INDEX(Datos_Origen!$C$2:$C$2459,$Z2056)),Parametros!$B$71:$B$91,0))</f>
        <v>Litoral</v>
      </c>
      <c r="I2056" s="61" t="str">
        <f aca="false">IF(TRIM($AD2056)="",INDEX(Parametros!$I$20:$I$24,MATCH($H2056,Parametros!$H$20:$H$24,0)),TRIM($AD2056))</f>
        <v>Rosario</v>
      </c>
      <c r="J2056" s="61" t="str">
        <f aca="false">INDEX(Parametros!$C$95:$C$106,MATCH(TRIM(INDEX(Datos_Origen!$E$2:$E$2459,$Z2056)),Parametros!$B$95:$B$106,0))</f>
        <v>Tienda fisica</v>
      </c>
      <c r="K2056" s="61" t="str">
        <f aca="false">INDEX(Parametros!$C$48:$C$67,MATCH(TRIM(INDEX(Datos_Origen!$F$2:$F$2459,$Z2056)),Parametros!$B$48:$B$67,0))</f>
        <v>Audio</v>
      </c>
      <c r="L2056" s="61" t="str">
        <f aca="false">$K2056&amp;" "&amp;$C2056</f>
        <v>Audio 2025</v>
      </c>
      <c r="M2056" s="61" t="str">
        <f aca="false">TRIM(INDEX(Datos_Origen!$G$2:$G$2459,$Z2056))</f>
        <v>Parlante Bluetooth</v>
      </c>
      <c r="N2056" s="61" t="str">
        <f aca="false">$M2056&amp;" "&amp;$C2056</f>
        <v>Parlante Bluetooth 2025</v>
      </c>
      <c r="O2056" s="63" t="n">
        <f aca="false">IF(ISTEXT($AC2056),VALUE($AC2056),$AC2056)</f>
        <v>16</v>
      </c>
      <c r="P2056" s="64" t="n">
        <f aca="false">INDEX(Datos_Origen!$I$2:$I$2459,$Z2056)</f>
        <v>85.34</v>
      </c>
      <c r="Q2056" s="64" t="n">
        <f aca="false">INDEX(Datos_Origen!$J$2:$J$2459,$Z2056)</f>
        <v>49.47</v>
      </c>
      <c r="R2056" s="65" t="n">
        <f aca="false">ROUND($O2056*$P2056,2)</f>
        <v>1365.44</v>
      </c>
      <c r="S2056" s="65" t="n">
        <f aca="false">ROUND($O2056*$Q2056,2)</f>
        <v>791.52</v>
      </c>
      <c r="T2056" s="65" t="n">
        <f aca="false">ROUND($R2056*SUMIFS(Parametros!$E$28:$E$43,Parametros!$B$28:$B$43,$J2056,Parametros!$C$28:$C$43,$C2056,Parametros!$D$28:$D$43,$D2056),2)</f>
        <v>17.75</v>
      </c>
      <c r="U2056" s="65" t="n">
        <f aca="false">$R2056-$S2056-$T2056</f>
        <v>556.17</v>
      </c>
      <c r="V2056" s="66" t="n">
        <f aca="false">IFERROR($U2056/$R2056,0)</f>
        <v>0.407319252402156</v>
      </c>
      <c r="W2056" s="67" t="str">
        <f aca="false">IF(AND($V2056&gt;=Parametros!$C$8,$R2056&gt;=Parametros!$C$12),"Alta rentabilidad",IF(OR($V2056&lt;Parametros!$C$11,$R2056&lt;Parametros!$C$13),"Revisar","Estandar"))</f>
        <v>Estandar</v>
      </c>
      <c r="X2056" s="67" t="str">
        <f aca="false">IF(AND($J2056="E-commerce",IFERROR($T2056/$R2056,0)&gt;Parametros!$C$14),"Alerta","OK")</f>
        <v>OK</v>
      </c>
      <c r="Y2056" s="61" t="str">
        <f aca="false">IF($R2056&gt;=Parametros!$C$12,"Alto",IF($R2056&lt;Parametros!$C$13,"Bajo","Medio"))</f>
        <v>Medio</v>
      </c>
      <c r="Z2056" s="61" t="n">
        <v>1746</v>
      </c>
      <c r="AA2056" s="61" t="str">
        <f aca="false">IF(MATCH($A2056,Datos_Origen!$A$2:$A$2459,0)=$Z2056,"OK","REVISAR")</f>
        <v>OK</v>
      </c>
      <c r="AB2056" s="62" t="n">
        <f aca="false">INDEX(Datos_Origen!$B$2:$B$2459,$Z2056)</f>
        <v>45922</v>
      </c>
      <c r="AC2056" s="61" t="n">
        <f aca="false">INDEX(Datos_Origen!$H$2:$H$2459,$Z2056)</f>
        <v>16</v>
      </c>
      <c r="AD2056" s="61" t="str">
        <f aca="false">INDEX(Datos_Origen!$D$2:$D$2459,$Z2056)&amp;""</f>
        <v>Rosario</v>
      </c>
    </row>
    <row r="2057" customFormat="false" ht="15" hidden="false" customHeight="false" outlineLevel="0" collapsed="false">
      <c r="A2057" s="61" t="n">
        <f aca="false">INDEX(Datos_Origen!$A$2:$A$2459,$Z2057)</f>
        <v>2056</v>
      </c>
      <c r="B2057" s="62" t="n">
        <f aca="false">IF(ISNUMBER($AB2057),$AB2057,IF(MID($AB2057,5,1)="-",DATE(VALUE(LEFT($AB2057,4)),VALUE(MID($AB2057,6,2)),VALUE(RIGHT($AB2057,2))),DATE(VALUE(RIGHT($AB2057,4)),VALUE(MID($AB2057,4,2)),VALUE(LEFT($AB2057,2)))))</f>
        <v>45902</v>
      </c>
      <c r="C2057" s="61" t="n">
        <f aca="false">YEAR($B2057)</f>
        <v>2025</v>
      </c>
      <c r="D2057" s="61" t="str">
        <f aca="false">"Q"&amp;ROUNDUP(MONTH($B2057)/3,0)</f>
        <v>Q3</v>
      </c>
      <c r="E2057" s="61" t="n">
        <f aca="false">MONTH($B2057)</f>
        <v>9</v>
      </c>
      <c r="F2057" s="61" t="str">
        <f aca="false">INDEX(Parametros!$I$5:$I$16,$E2057)</f>
        <v>Sep</v>
      </c>
      <c r="G2057" s="61" t="str">
        <f aca="false">TEXT($C2057,"0000")&amp;"-"&amp;TEXT($E2057,"00")</f>
        <v>2025-09</v>
      </c>
      <c r="H2057" s="61" t="str">
        <f aca="false">INDEX(Parametros!$C$71:$C$91,MATCH(TRIM(INDEX(Datos_Origen!$C$2:$C$2459,$Z2057)),Parametros!$B$71:$B$91,0))</f>
        <v>Litoral</v>
      </c>
      <c r="I2057" s="61" t="str">
        <f aca="false">IF(TRIM($AD2057)="",INDEX(Parametros!$I$20:$I$24,MATCH($H2057,Parametros!$H$20:$H$24,0)),TRIM($AD2057))</f>
        <v>Rosario</v>
      </c>
      <c r="J2057" s="61" t="str">
        <f aca="false">INDEX(Parametros!$C$95:$C$106,MATCH(TRIM(INDEX(Datos_Origen!$E$2:$E$2459,$Z2057)),Parametros!$B$95:$B$106,0))</f>
        <v>E-commerce</v>
      </c>
      <c r="K2057" s="61" t="str">
        <f aca="false">INDEX(Parametros!$C$48:$C$67,MATCH(TRIM(INDEX(Datos_Origen!$F$2:$F$2459,$Z2057)),Parametros!$B$48:$B$67,0))</f>
        <v>Audio</v>
      </c>
      <c r="L2057" s="61" t="str">
        <f aca="false">$K2057&amp;" "&amp;$C2057</f>
        <v>Audio 2025</v>
      </c>
      <c r="M2057" s="61" t="str">
        <f aca="false">TRIM(INDEX(Datos_Origen!$G$2:$G$2459,$Z2057))</f>
        <v>Parlante Bluetooth</v>
      </c>
      <c r="N2057" s="61" t="str">
        <f aca="false">$M2057&amp;" "&amp;$C2057</f>
        <v>Parlante Bluetooth 2025</v>
      </c>
      <c r="O2057" s="63" t="n">
        <f aca="false">IF(ISTEXT($AC2057),VALUE($AC2057),$AC2057)</f>
        <v>15</v>
      </c>
      <c r="P2057" s="64" t="n">
        <f aca="false">INDEX(Datos_Origen!$I$2:$I$2459,$Z2057)</f>
        <v>85.34</v>
      </c>
      <c r="Q2057" s="64" t="n">
        <f aca="false">INDEX(Datos_Origen!$J$2:$J$2459,$Z2057)</f>
        <v>49.47</v>
      </c>
      <c r="R2057" s="65" t="n">
        <f aca="false">ROUND($O2057*$P2057,2)</f>
        <v>1280.1</v>
      </c>
      <c r="S2057" s="65" t="n">
        <f aca="false">ROUND($O2057*$Q2057,2)</f>
        <v>742.05</v>
      </c>
      <c r="T2057" s="65" t="n">
        <f aca="false">ROUND($R2057*SUMIFS(Parametros!$E$28:$E$43,Parametros!$B$28:$B$43,$J2057,Parametros!$C$28:$C$43,$C2057,Parametros!$D$28:$D$43,$D2057),2)</f>
        <v>71.69</v>
      </c>
      <c r="U2057" s="65" t="n">
        <f aca="false">$R2057-$S2057-$T2057</f>
        <v>466.36</v>
      </c>
      <c r="V2057" s="66" t="n">
        <f aca="false">IFERROR($U2057/$R2057,0)</f>
        <v>0.364315287868135</v>
      </c>
      <c r="W2057" s="67" t="str">
        <f aca="false">IF(AND($V2057&gt;=Parametros!$C$8,$R2057&gt;=Parametros!$C$12),"Alta rentabilidad",IF(OR($V2057&lt;Parametros!$C$11,$R2057&lt;Parametros!$C$13),"Revisar","Estandar"))</f>
        <v>Estandar</v>
      </c>
      <c r="X2057" s="67" t="str">
        <f aca="false">IF(AND($J2057="E-commerce",IFERROR($T2057/$R2057,0)&gt;Parametros!$C$14),"Alerta","OK")</f>
        <v>Alerta</v>
      </c>
      <c r="Y2057" s="61" t="str">
        <f aca="false">IF($R2057&gt;=Parametros!$C$12,"Alto",IF($R2057&lt;Parametros!$C$13,"Bajo","Medio"))</f>
        <v>Medio</v>
      </c>
      <c r="Z2057" s="61" t="n">
        <v>135</v>
      </c>
      <c r="AA2057" s="61" t="str">
        <f aca="false">IF(MATCH($A2057,Datos_Origen!$A$2:$A$2459,0)=$Z2057,"OK","REVISAR")</f>
        <v>OK</v>
      </c>
      <c r="AB2057" s="62" t="n">
        <f aca="false">INDEX(Datos_Origen!$B$2:$B$2459,$Z2057)</f>
        <v>45902</v>
      </c>
      <c r="AC2057" s="61" t="n">
        <f aca="false">INDEX(Datos_Origen!$H$2:$H$2459,$Z2057)</f>
        <v>15</v>
      </c>
      <c r="AD2057" s="61" t="str">
        <f aca="false">INDEX(Datos_Origen!$D$2:$D$2459,$Z2057)&amp;""</f>
        <v>Rosario</v>
      </c>
    </row>
    <row r="2058" customFormat="false" ht="15" hidden="false" customHeight="false" outlineLevel="0" collapsed="false">
      <c r="A2058" s="61" t="n">
        <f aca="false">INDEX(Datos_Origen!$A$2:$A$2459,$Z2058)</f>
        <v>2057</v>
      </c>
      <c r="B2058" s="62" t="n">
        <f aca="false">IF(ISNUMBER($AB2058),$AB2058,IF(MID($AB2058,5,1)="-",DATE(VALUE(LEFT($AB2058,4)),VALUE(MID($AB2058,6,2)),VALUE(RIGHT($AB2058,2))),DATE(VALUE(RIGHT($AB2058,4)),VALUE(MID($AB2058,4,2)),VALUE(LEFT($AB2058,2)))))</f>
        <v>45909</v>
      </c>
      <c r="C2058" s="61" t="n">
        <f aca="false">YEAR($B2058)</f>
        <v>2025</v>
      </c>
      <c r="D2058" s="61" t="str">
        <f aca="false">"Q"&amp;ROUNDUP(MONTH($B2058)/3,0)</f>
        <v>Q3</v>
      </c>
      <c r="E2058" s="61" t="n">
        <f aca="false">MONTH($B2058)</f>
        <v>9</v>
      </c>
      <c r="F2058" s="61" t="str">
        <f aca="false">INDEX(Parametros!$I$5:$I$16,$E2058)</f>
        <v>Sep</v>
      </c>
      <c r="G2058" s="61" t="str">
        <f aca="false">TEXT($C2058,"0000")&amp;"-"&amp;TEXT($E2058,"00")</f>
        <v>2025-09</v>
      </c>
      <c r="H2058" s="61" t="str">
        <f aca="false">INDEX(Parametros!$C$71:$C$91,MATCH(TRIM(INDEX(Datos_Origen!$C$2:$C$2459,$Z2058)),Parametros!$B$71:$B$91,0))</f>
        <v>Litoral</v>
      </c>
      <c r="I2058" s="61" t="str">
        <f aca="false">IF(TRIM($AD2058)="",INDEX(Parametros!$I$20:$I$24,MATCH($H2058,Parametros!$H$20:$H$24,0)),TRIM($AD2058))</f>
        <v>Rosario</v>
      </c>
      <c r="J2058" s="61" t="str">
        <f aca="false">INDEX(Parametros!$C$95:$C$106,MATCH(TRIM(INDEX(Datos_Origen!$E$2:$E$2459,$Z2058)),Parametros!$B$95:$B$106,0))</f>
        <v>Tienda fisica</v>
      </c>
      <c r="K2058" s="61" t="str">
        <f aca="false">INDEX(Parametros!$C$48:$C$67,MATCH(TRIM(INDEX(Datos_Origen!$F$2:$F$2459,$Z2058)),Parametros!$B$48:$B$67,0))</f>
        <v>Almacenamiento</v>
      </c>
      <c r="L2058" s="61" t="str">
        <f aca="false">$K2058&amp;" "&amp;$C2058</f>
        <v>Almacenamiento 2025</v>
      </c>
      <c r="M2058" s="61" t="str">
        <f aca="false">TRIM(INDEX(Datos_Origen!$G$2:$G$2459,$Z2058))</f>
        <v>SSD Externo 1TB</v>
      </c>
      <c r="N2058" s="61" t="str">
        <f aca="false">$M2058&amp;" "&amp;$C2058</f>
        <v>SSD Externo 1TB 2025</v>
      </c>
      <c r="O2058" s="63" t="n">
        <f aca="false">IF(ISTEXT($AC2058),VALUE($AC2058),$AC2058)</f>
        <v>25</v>
      </c>
      <c r="P2058" s="64" t="n">
        <f aca="false">INDEX(Datos_Origen!$I$2:$I$2459,$Z2058)</f>
        <v>130.51</v>
      </c>
      <c r="Q2058" s="64" t="n">
        <f aca="false">INDEX(Datos_Origen!$J$2:$J$2459,$Z2058)</f>
        <v>78.33</v>
      </c>
      <c r="R2058" s="65" t="n">
        <f aca="false">ROUND($O2058*$P2058,2)</f>
        <v>3262.75</v>
      </c>
      <c r="S2058" s="65" t="n">
        <f aca="false">ROUND($O2058*$Q2058,2)</f>
        <v>1958.25</v>
      </c>
      <c r="T2058" s="65" t="n">
        <f aca="false">ROUND($R2058*SUMIFS(Parametros!$E$28:$E$43,Parametros!$B$28:$B$43,$J2058,Parametros!$C$28:$C$43,$C2058,Parametros!$D$28:$D$43,$D2058),2)</f>
        <v>42.42</v>
      </c>
      <c r="U2058" s="65" t="n">
        <f aca="false">$R2058-$S2058-$T2058</f>
        <v>1262.08</v>
      </c>
      <c r="V2058" s="66" t="n">
        <f aca="false">IFERROR($U2058/$R2058,0)</f>
        <v>0.386814803463336</v>
      </c>
      <c r="W2058" s="67" t="str">
        <f aca="false">IF(AND($V2058&gt;=Parametros!$C$8,$R2058&gt;=Parametros!$C$12),"Alta rentabilidad",IF(OR($V2058&lt;Parametros!$C$11,$R2058&lt;Parametros!$C$13),"Revisar","Estandar"))</f>
        <v>Alta rentabilidad</v>
      </c>
      <c r="X2058" s="67" t="str">
        <f aca="false">IF(AND($J2058="E-commerce",IFERROR($T2058/$R2058,0)&gt;Parametros!$C$14),"Alerta","OK")</f>
        <v>OK</v>
      </c>
      <c r="Y2058" s="61" t="str">
        <f aca="false">IF($R2058&gt;=Parametros!$C$12,"Alto",IF($R2058&lt;Parametros!$C$13,"Bajo","Medio"))</f>
        <v>Alto</v>
      </c>
      <c r="Z2058" s="61" t="n">
        <v>1994</v>
      </c>
      <c r="AA2058" s="61" t="str">
        <f aca="false">IF(MATCH($A2058,Datos_Origen!$A$2:$A$2459,0)=$Z2058,"OK","REVISAR")</f>
        <v>OK</v>
      </c>
      <c r="AB2058" s="62" t="n">
        <f aca="false">INDEX(Datos_Origen!$B$2:$B$2459,$Z2058)</f>
        <v>45909</v>
      </c>
      <c r="AC2058" s="61" t="n">
        <f aca="false">INDEX(Datos_Origen!$H$2:$H$2459,$Z2058)</f>
        <v>25</v>
      </c>
      <c r="AD2058" s="61" t="str">
        <f aca="false">INDEX(Datos_Origen!$D$2:$D$2459,$Z2058)&amp;""</f>
        <v>Rosario</v>
      </c>
    </row>
    <row r="2059" customFormat="false" ht="15" hidden="false" customHeight="false" outlineLevel="0" collapsed="false">
      <c r="A2059" s="61" t="n">
        <f aca="false">INDEX(Datos_Origen!$A$2:$A$2459,$Z2059)</f>
        <v>2058</v>
      </c>
      <c r="B2059" s="62" t="n">
        <f aca="false">IF(ISNUMBER($AB2059),$AB2059,IF(MID($AB2059,5,1)="-",DATE(VALUE(LEFT($AB2059,4)),VALUE(MID($AB2059,6,2)),VALUE(RIGHT($AB2059,2))),DATE(VALUE(RIGHT($AB2059,4)),VALUE(MID($AB2059,4,2)),VALUE(LEFT($AB2059,2)))))</f>
        <v>45916</v>
      </c>
      <c r="C2059" s="61" t="n">
        <f aca="false">YEAR($B2059)</f>
        <v>2025</v>
      </c>
      <c r="D2059" s="61" t="str">
        <f aca="false">"Q"&amp;ROUNDUP(MONTH($B2059)/3,0)</f>
        <v>Q3</v>
      </c>
      <c r="E2059" s="61" t="n">
        <f aca="false">MONTH($B2059)</f>
        <v>9</v>
      </c>
      <c r="F2059" s="61" t="str">
        <f aca="false">INDEX(Parametros!$I$5:$I$16,$E2059)</f>
        <v>Sep</v>
      </c>
      <c r="G2059" s="61" t="str">
        <f aca="false">TEXT($C2059,"0000")&amp;"-"&amp;TEXT($E2059,"00")</f>
        <v>2025-09</v>
      </c>
      <c r="H2059" s="61" t="str">
        <f aca="false">INDEX(Parametros!$C$71:$C$91,MATCH(TRIM(INDEX(Datos_Origen!$C$2:$C$2459,$Z2059)),Parametros!$B$71:$B$91,0))</f>
        <v>Litoral</v>
      </c>
      <c r="I2059" s="61" t="str">
        <f aca="false">IF(TRIM($AD2059)="",INDEX(Parametros!$I$20:$I$24,MATCH($H2059,Parametros!$H$20:$H$24,0)),TRIM($AD2059))</f>
        <v>Rosario</v>
      </c>
      <c r="J2059" s="61" t="str">
        <f aca="false">INDEX(Parametros!$C$95:$C$106,MATCH(TRIM(INDEX(Datos_Origen!$E$2:$E$2459,$Z2059)),Parametros!$B$95:$B$106,0))</f>
        <v>E-commerce</v>
      </c>
      <c r="K2059" s="61" t="str">
        <f aca="false">INDEX(Parametros!$C$48:$C$67,MATCH(TRIM(INDEX(Datos_Origen!$F$2:$F$2459,$Z2059)),Parametros!$B$48:$B$67,0))</f>
        <v>Almacenamiento</v>
      </c>
      <c r="L2059" s="61" t="str">
        <f aca="false">$K2059&amp;" "&amp;$C2059</f>
        <v>Almacenamiento 2025</v>
      </c>
      <c r="M2059" s="61" t="str">
        <f aca="false">TRIM(INDEX(Datos_Origen!$G$2:$G$2459,$Z2059))</f>
        <v>SSD Externo 1TB</v>
      </c>
      <c r="N2059" s="61" t="str">
        <f aca="false">$M2059&amp;" "&amp;$C2059</f>
        <v>SSD Externo 1TB 2025</v>
      </c>
      <c r="O2059" s="63" t="n">
        <f aca="false">IF(ISTEXT($AC2059),VALUE($AC2059),$AC2059)</f>
        <v>18</v>
      </c>
      <c r="P2059" s="64" t="n">
        <f aca="false">INDEX(Datos_Origen!$I$2:$I$2459,$Z2059)</f>
        <v>130.51</v>
      </c>
      <c r="Q2059" s="64" t="n">
        <f aca="false">INDEX(Datos_Origen!$J$2:$J$2459,$Z2059)</f>
        <v>78.33</v>
      </c>
      <c r="R2059" s="65" t="n">
        <f aca="false">ROUND($O2059*$P2059,2)</f>
        <v>2349.18</v>
      </c>
      <c r="S2059" s="65" t="n">
        <f aca="false">ROUND($O2059*$Q2059,2)</f>
        <v>1409.94</v>
      </c>
      <c r="T2059" s="65" t="n">
        <f aca="false">ROUND($R2059*SUMIFS(Parametros!$E$28:$E$43,Parametros!$B$28:$B$43,$J2059,Parametros!$C$28:$C$43,$C2059,Parametros!$D$28:$D$43,$D2059),2)</f>
        <v>131.55</v>
      </c>
      <c r="U2059" s="65" t="n">
        <f aca="false">$R2059-$S2059-$T2059</f>
        <v>807.69</v>
      </c>
      <c r="V2059" s="66" t="n">
        <f aca="false">IFERROR($U2059/$R2059,0)</f>
        <v>0.343817842821751</v>
      </c>
      <c r="W2059" s="67" t="str">
        <f aca="false">IF(AND($V2059&gt;=Parametros!$C$8,$R2059&gt;=Parametros!$C$12),"Alta rentabilidad",IF(OR($V2059&lt;Parametros!$C$11,$R2059&lt;Parametros!$C$13),"Revisar","Estandar"))</f>
        <v>Estandar</v>
      </c>
      <c r="X2059" s="67" t="str">
        <f aca="false">IF(AND($J2059="E-commerce",IFERROR($T2059/$R2059,0)&gt;Parametros!$C$14),"Alerta","OK")</f>
        <v>Alerta</v>
      </c>
      <c r="Y2059" s="61" t="str">
        <f aca="false">IF($R2059&gt;=Parametros!$C$12,"Alto",IF($R2059&lt;Parametros!$C$13,"Bajo","Medio"))</f>
        <v>Medio</v>
      </c>
      <c r="Z2059" s="61" t="n">
        <v>1587</v>
      </c>
      <c r="AA2059" s="61" t="str">
        <f aca="false">IF(MATCH($A2059,Datos_Origen!$A$2:$A$2459,0)=$Z2059,"OK","REVISAR")</f>
        <v>OK</v>
      </c>
      <c r="AB2059" s="62" t="n">
        <f aca="false">INDEX(Datos_Origen!$B$2:$B$2459,$Z2059)</f>
        <v>45916</v>
      </c>
      <c r="AC2059" s="61" t="n">
        <f aca="false">INDEX(Datos_Origen!$H$2:$H$2459,$Z2059)</f>
        <v>18</v>
      </c>
      <c r="AD2059" s="61" t="str">
        <f aca="false">INDEX(Datos_Origen!$D$2:$D$2459,$Z2059)&amp;""</f>
        <v>Rosario</v>
      </c>
    </row>
    <row r="2060" customFormat="false" ht="15" hidden="false" customHeight="false" outlineLevel="0" collapsed="false">
      <c r="A2060" s="61" t="n">
        <f aca="false">INDEX(Datos_Origen!$A$2:$A$2459,$Z2060)</f>
        <v>2059</v>
      </c>
      <c r="B2060" s="62" t="n">
        <f aca="false">IF(ISNUMBER($AB2060),$AB2060,IF(MID($AB2060,5,1)="-",DATE(VALUE(LEFT($AB2060,4)),VALUE(MID($AB2060,6,2)),VALUE(RIGHT($AB2060,2))),DATE(VALUE(RIGHT($AB2060,4)),VALUE(MID($AB2060,4,2)),VALUE(LEFT($AB2060,2)))))</f>
        <v>45923</v>
      </c>
      <c r="C2060" s="61" t="n">
        <f aca="false">YEAR($B2060)</f>
        <v>2025</v>
      </c>
      <c r="D2060" s="61" t="str">
        <f aca="false">"Q"&amp;ROUNDUP(MONTH($B2060)/3,0)</f>
        <v>Q3</v>
      </c>
      <c r="E2060" s="61" t="n">
        <f aca="false">MONTH($B2060)</f>
        <v>9</v>
      </c>
      <c r="F2060" s="61" t="str">
        <f aca="false">INDEX(Parametros!$I$5:$I$16,$E2060)</f>
        <v>Sep</v>
      </c>
      <c r="G2060" s="61" t="str">
        <f aca="false">TEXT($C2060,"0000")&amp;"-"&amp;TEXT($E2060,"00")</f>
        <v>2025-09</v>
      </c>
      <c r="H2060" s="61" t="str">
        <f aca="false">INDEX(Parametros!$C$71:$C$91,MATCH(TRIM(INDEX(Datos_Origen!$C$2:$C$2459,$Z2060)),Parametros!$B$71:$B$91,0))</f>
        <v>Litoral</v>
      </c>
      <c r="I2060" s="61" t="str">
        <f aca="false">IF(TRIM($AD2060)="",INDEX(Parametros!$I$20:$I$24,MATCH($H2060,Parametros!$H$20:$H$24,0)),TRIM($AD2060))</f>
        <v>Rosario</v>
      </c>
      <c r="J2060" s="61" t="str">
        <f aca="false">INDEX(Parametros!$C$95:$C$106,MATCH(TRIM(INDEX(Datos_Origen!$E$2:$E$2459,$Z2060)),Parametros!$B$95:$B$106,0))</f>
        <v>Tienda fisica</v>
      </c>
      <c r="K2060" s="61" t="str">
        <f aca="false">INDEX(Parametros!$C$48:$C$67,MATCH(TRIM(INDEX(Datos_Origen!$F$2:$F$2459,$Z2060)),Parametros!$B$48:$B$67,0))</f>
        <v>Almacenamiento</v>
      </c>
      <c r="L2060" s="61" t="str">
        <f aca="false">$K2060&amp;" "&amp;$C2060</f>
        <v>Almacenamiento 2025</v>
      </c>
      <c r="M2060" s="61" t="str">
        <f aca="false">TRIM(INDEX(Datos_Origen!$G$2:$G$2459,$Z2060))</f>
        <v>Pendrive 256GB</v>
      </c>
      <c r="N2060" s="61" t="str">
        <f aca="false">$M2060&amp;" "&amp;$C2060</f>
        <v>Pendrive 256GB 2025</v>
      </c>
      <c r="O2060" s="63" t="n">
        <f aca="false">IF(ISTEXT($AC2060),VALUE($AC2060),$AC2060)</f>
        <v>24</v>
      </c>
      <c r="P2060" s="64" t="n">
        <f aca="false">INDEX(Datos_Origen!$I$2:$I$2459,$Z2060)</f>
        <v>35.14</v>
      </c>
      <c r="Q2060" s="64" t="n">
        <f aca="false">INDEX(Datos_Origen!$J$2:$J$2459,$Z2060)</f>
        <v>18.39</v>
      </c>
      <c r="R2060" s="65" t="n">
        <f aca="false">ROUND($O2060*$P2060,2)</f>
        <v>843.36</v>
      </c>
      <c r="S2060" s="65" t="n">
        <f aca="false">ROUND($O2060*$Q2060,2)</f>
        <v>441.36</v>
      </c>
      <c r="T2060" s="65" t="n">
        <f aca="false">ROUND($R2060*SUMIFS(Parametros!$E$28:$E$43,Parametros!$B$28:$B$43,$J2060,Parametros!$C$28:$C$43,$C2060,Parametros!$D$28:$D$43,$D2060),2)</f>
        <v>10.96</v>
      </c>
      <c r="U2060" s="65" t="n">
        <f aca="false">$R2060-$S2060-$T2060</f>
        <v>391.04</v>
      </c>
      <c r="V2060" s="66" t="n">
        <f aca="false">IFERROR($U2060/$R2060,0)</f>
        <v>0.463669132991842</v>
      </c>
      <c r="W2060" s="67" t="str">
        <f aca="false">IF(AND($V2060&gt;=Parametros!$C$8,$R2060&gt;=Parametros!$C$12),"Alta rentabilidad",IF(OR($V2060&lt;Parametros!$C$11,$R2060&lt;Parametros!$C$13),"Revisar","Estandar"))</f>
        <v>Estandar</v>
      </c>
      <c r="X2060" s="67" t="str">
        <f aca="false">IF(AND($J2060="E-commerce",IFERROR($T2060/$R2060,0)&gt;Parametros!$C$14),"Alerta","OK")</f>
        <v>OK</v>
      </c>
      <c r="Y2060" s="61" t="str">
        <f aca="false">IF($R2060&gt;=Parametros!$C$12,"Alto",IF($R2060&lt;Parametros!$C$13,"Bajo","Medio"))</f>
        <v>Medio</v>
      </c>
      <c r="Z2060" s="61" t="n">
        <v>609</v>
      </c>
      <c r="AA2060" s="61" t="str">
        <f aca="false">IF(MATCH($A2060,Datos_Origen!$A$2:$A$2459,0)=$Z2060,"OK","REVISAR")</f>
        <v>OK</v>
      </c>
      <c r="AB2060" s="62" t="n">
        <f aca="false">INDEX(Datos_Origen!$B$2:$B$2459,$Z2060)</f>
        <v>45923</v>
      </c>
      <c r="AC2060" s="61" t="n">
        <f aca="false">INDEX(Datos_Origen!$H$2:$H$2459,$Z2060)</f>
        <v>24</v>
      </c>
      <c r="AD2060" s="61" t="str">
        <f aca="false">INDEX(Datos_Origen!$D$2:$D$2459,$Z2060)&amp;""</f>
        <v>Rosario</v>
      </c>
    </row>
    <row r="2061" customFormat="false" ht="15" hidden="false" customHeight="false" outlineLevel="0" collapsed="false">
      <c r="A2061" s="61" t="n">
        <f aca="false">INDEX(Datos_Origen!$A$2:$A$2459,$Z2061)</f>
        <v>2060</v>
      </c>
      <c r="B2061" s="62" t="n">
        <f aca="false">IF(ISNUMBER($AB2061),$AB2061,IF(MID($AB2061,5,1)="-",DATE(VALUE(LEFT($AB2061,4)),VALUE(MID($AB2061,6,2)),VALUE(RIGHT($AB2061,2))),DATE(VALUE(RIGHT($AB2061,4)),VALUE(MID($AB2061,4,2)),VALUE(LEFT($AB2061,2)))))</f>
        <v>45903</v>
      </c>
      <c r="C2061" s="61" t="n">
        <f aca="false">YEAR($B2061)</f>
        <v>2025</v>
      </c>
      <c r="D2061" s="61" t="str">
        <f aca="false">"Q"&amp;ROUNDUP(MONTH($B2061)/3,0)</f>
        <v>Q3</v>
      </c>
      <c r="E2061" s="61" t="n">
        <f aca="false">MONTH($B2061)</f>
        <v>9</v>
      </c>
      <c r="F2061" s="61" t="str">
        <f aca="false">INDEX(Parametros!$I$5:$I$16,$E2061)</f>
        <v>Sep</v>
      </c>
      <c r="G2061" s="61" t="str">
        <f aca="false">TEXT($C2061,"0000")&amp;"-"&amp;TEXT($E2061,"00")</f>
        <v>2025-09</v>
      </c>
      <c r="H2061" s="61" t="str">
        <f aca="false">INDEX(Parametros!$C$71:$C$91,MATCH(TRIM(INDEX(Datos_Origen!$C$2:$C$2459,$Z2061)),Parametros!$B$71:$B$91,0))</f>
        <v>Litoral</v>
      </c>
      <c r="I2061" s="61" t="str">
        <f aca="false">IF(TRIM($AD2061)="",INDEX(Parametros!$I$20:$I$24,MATCH($H2061,Parametros!$H$20:$H$24,0)),TRIM($AD2061))</f>
        <v>Rosario</v>
      </c>
      <c r="J2061" s="61" t="str">
        <f aca="false">INDEX(Parametros!$C$95:$C$106,MATCH(TRIM(INDEX(Datos_Origen!$E$2:$E$2459,$Z2061)),Parametros!$B$95:$B$106,0))</f>
        <v>E-commerce</v>
      </c>
      <c r="K2061" s="61" t="str">
        <f aca="false">INDEX(Parametros!$C$48:$C$67,MATCH(TRIM(INDEX(Datos_Origen!$F$2:$F$2459,$Z2061)),Parametros!$B$48:$B$67,0))</f>
        <v>Almacenamiento</v>
      </c>
      <c r="L2061" s="61" t="str">
        <f aca="false">$K2061&amp;" "&amp;$C2061</f>
        <v>Almacenamiento 2025</v>
      </c>
      <c r="M2061" s="61" t="str">
        <f aca="false">TRIM(INDEX(Datos_Origen!$G$2:$G$2459,$Z2061))</f>
        <v>Pendrive 256GB</v>
      </c>
      <c r="N2061" s="61" t="str">
        <f aca="false">$M2061&amp;" "&amp;$C2061</f>
        <v>Pendrive 256GB 2025</v>
      </c>
      <c r="O2061" s="63" t="n">
        <f aca="false">IF(ISTEXT($AC2061),VALUE($AC2061),$AC2061)</f>
        <v>13</v>
      </c>
      <c r="P2061" s="64" t="n">
        <f aca="false">INDEX(Datos_Origen!$I$2:$I$2459,$Z2061)</f>
        <v>35.14</v>
      </c>
      <c r="Q2061" s="64" t="n">
        <f aca="false">INDEX(Datos_Origen!$J$2:$J$2459,$Z2061)</f>
        <v>18.39</v>
      </c>
      <c r="R2061" s="65" t="n">
        <f aca="false">ROUND($O2061*$P2061,2)</f>
        <v>456.82</v>
      </c>
      <c r="S2061" s="65" t="n">
        <f aca="false">ROUND($O2061*$Q2061,2)</f>
        <v>239.07</v>
      </c>
      <c r="T2061" s="65" t="n">
        <f aca="false">ROUND($R2061*SUMIFS(Parametros!$E$28:$E$43,Parametros!$B$28:$B$43,$J2061,Parametros!$C$28:$C$43,$C2061,Parametros!$D$28:$D$43,$D2061),2)</f>
        <v>25.58</v>
      </c>
      <c r="U2061" s="65" t="n">
        <f aca="false">$R2061-$S2061-$T2061</f>
        <v>192.17</v>
      </c>
      <c r="V2061" s="66" t="n">
        <f aca="false">IFERROR($U2061/$R2061,0)</f>
        <v>0.420668972461801</v>
      </c>
      <c r="W2061" s="67" t="str">
        <f aca="false">IF(AND($V2061&gt;=Parametros!$C$8,$R2061&gt;=Parametros!$C$12),"Alta rentabilidad",IF(OR($V2061&lt;Parametros!$C$11,$R2061&lt;Parametros!$C$13),"Revisar","Estandar"))</f>
        <v>Estandar</v>
      </c>
      <c r="X2061" s="67" t="str">
        <f aca="false">IF(AND($J2061="E-commerce",IFERROR($T2061/$R2061,0)&gt;Parametros!$C$14),"Alerta","OK")</f>
        <v>Alerta</v>
      </c>
      <c r="Y2061" s="61" t="str">
        <f aca="false">IF($R2061&gt;=Parametros!$C$12,"Alto",IF($R2061&lt;Parametros!$C$13,"Bajo","Medio"))</f>
        <v>Medio</v>
      </c>
      <c r="Z2061" s="61" t="n">
        <v>1576</v>
      </c>
      <c r="AA2061" s="61" t="str">
        <f aca="false">IF(MATCH($A2061,Datos_Origen!$A$2:$A$2459,0)=$Z2061,"OK","REVISAR")</f>
        <v>OK</v>
      </c>
      <c r="AB2061" s="62" t="n">
        <f aca="false">INDEX(Datos_Origen!$B$2:$B$2459,$Z2061)</f>
        <v>45903</v>
      </c>
      <c r="AC2061" s="61" t="n">
        <f aca="false">INDEX(Datos_Origen!$H$2:$H$2459,$Z2061)</f>
        <v>13</v>
      </c>
      <c r="AD2061" s="61" t="str">
        <f aca="false">INDEX(Datos_Origen!$D$2:$D$2459,$Z2061)&amp;""</f>
        <v>Rosario</v>
      </c>
    </row>
    <row r="2062" customFormat="false" ht="15" hidden="false" customHeight="false" outlineLevel="0" collapsed="false">
      <c r="A2062" s="61" t="n">
        <f aca="false">INDEX(Datos_Origen!$A$2:$A$2459,$Z2062)</f>
        <v>2061</v>
      </c>
      <c r="B2062" s="62" t="n">
        <f aca="false">IF(ISNUMBER($AB2062),$AB2062,IF(MID($AB2062,5,1)="-",DATE(VALUE(LEFT($AB2062,4)),VALUE(MID($AB2062,6,2)),VALUE(RIGHT($AB2062,2))),DATE(VALUE(RIGHT($AB2062,4)),VALUE(MID($AB2062,4,2)),VALUE(LEFT($AB2062,2)))))</f>
        <v>45910</v>
      </c>
      <c r="C2062" s="61" t="n">
        <f aca="false">YEAR($B2062)</f>
        <v>2025</v>
      </c>
      <c r="D2062" s="61" t="str">
        <f aca="false">"Q"&amp;ROUNDUP(MONTH($B2062)/3,0)</f>
        <v>Q3</v>
      </c>
      <c r="E2062" s="61" t="n">
        <f aca="false">MONTH($B2062)</f>
        <v>9</v>
      </c>
      <c r="F2062" s="61" t="str">
        <f aca="false">INDEX(Parametros!$I$5:$I$16,$E2062)</f>
        <v>Sep</v>
      </c>
      <c r="G2062" s="61" t="str">
        <f aca="false">TEXT($C2062,"0000")&amp;"-"&amp;TEXT($E2062,"00")</f>
        <v>2025-09</v>
      </c>
      <c r="H2062" s="61" t="str">
        <f aca="false">INDEX(Parametros!$C$71:$C$91,MATCH(TRIM(INDEX(Datos_Origen!$C$2:$C$2459,$Z2062)),Parametros!$B$71:$B$91,0))</f>
        <v>Cuyo</v>
      </c>
      <c r="I2062" s="61" t="str">
        <f aca="false">IF(TRIM($AD2062)="",INDEX(Parametros!$I$20:$I$24,MATCH($H2062,Parametros!$H$20:$H$24,0)),TRIM($AD2062))</f>
        <v>Mendoza</v>
      </c>
      <c r="J2062" s="61" t="str">
        <f aca="false">INDEX(Parametros!$C$95:$C$106,MATCH(TRIM(INDEX(Datos_Origen!$E$2:$E$2459,$Z2062)),Parametros!$B$95:$B$106,0))</f>
        <v>Tienda fisica</v>
      </c>
      <c r="K2062" s="61" t="str">
        <f aca="false">INDEX(Parametros!$C$48:$C$67,MATCH(TRIM(INDEX(Datos_Origen!$F$2:$F$2459,$Z2062)),Parametros!$B$48:$B$67,0))</f>
        <v>Computacion</v>
      </c>
      <c r="L2062" s="61" t="str">
        <f aca="false">$K2062&amp;" "&amp;$C2062</f>
        <v>Computacion 2025</v>
      </c>
      <c r="M2062" s="61" t="str">
        <f aca="false">TRIM(INDEX(Datos_Origen!$G$2:$G$2459,$Z2062))</f>
        <v>Laptop Pro 15</v>
      </c>
      <c r="N2062" s="61" t="str">
        <f aca="false">$M2062&amp;" "&amp;$C2062</f>
        <v>Laptop Pro 15 2025</v>
      </c>
      <c r="O2062" s="63" t="n">
        <f aca="false">IF(ISTEXT($AC2062),VALUE($AC2062),$AC2062)</f>
        <v>6</v>
      </c>
      <c r="P2062" s="64" t="n">
        <f aca="false">INDEX(Datos_Origen!$I$2:$I$2459,$Z2062)</f>
        <v>1204.74</v>
      </c>
      <c r="Q2062" s="64" t="n">
        <f aca="false">INDEX(Datos_Origen!$J$2:$J$2459,$Z2062)</f>
        <v>766.32</v>
      </c>
      <c r="R2062" s="65" t="n">
        <f aca="false">ROUND($O2062*$P2062,2)</f>
        <v>7228.44</v>
      </c>
      <c r="S2062" s="65" t="n">
        <f aca="false">ROUND($O2062*$Q2062,2)</f>
        <v>4597.92</v>
      </c>
      <c r="T2062" s="65" t="n">
        <f aca="false">ROUND($R2062*SUMIFS(Parametros!$E$28:$E$43,Parametros!$B$28:$B$43,$J2062,Parametros!$C$28:$C$43,$C2062,Parametros!$D$28:$D$43,$D2062),2)</f>
        <v>93.97</v>
      </c>
      <c r="U2062" s="65" t="n">
        <f aca="false">$R2062-$S2062-$T2062</f>
        <v>2536.55</v>
      </c>
      <c r="V2062" s="66" t="n">
        <f aca="false">IFERROR($U2062/$R2062,0)</f>
        <v>0.350912506709608</v>
      </c>
      <c r="W2062" s="67" t="str">
        <f aca="false">IF(AND($V2062&gt;=Parametros!$C$8,$R2062&gt;=Parametros!$C$12),"Alta rentabilidad",IF(OR($V2062&lt;Parametros!$C$11,$R2062&lt;Parametros!$C$13),"Revisar","Estandar"))</f>
        <v>Alta rentabilidad</v>
      </c>
      <c r="X2062" s="67" t="str">
        <f aca="false">IF(AND($J2062="E-commerce",IFERROR($T2062/$R2062,0)&gt;Parametros!$C$14),"Alerta","OK")</f>
        <v>OK</v>
      </c>
      <c r="Y2062" s="61" t="str">
        <f aca="false">IF($R2062&gt;=Parametros!$C$12,"Alto",IF($R2062&lt;Parametros!$C$13,"Bajo","Medio"))</f>
        <v>Alto</v>
      </c>
      <c r="Z2062" s="61" t="n">
        <v>1374</v>
      </c>
      <c r="AA2062" s="61" t="str">
        <f aca="false">IF(MATCH($A2062,Datos_Origen!$A$2:$A$2459,0)=$Z2062,"OK","REVISAR")</f>
        <v>OK</v>
      </c>
      <c r="AB2062" s="61" t="str">
        <f aca="false">INDEX(Datos_Origen!$B$2:$B$2459,$Z2062)</f>
        <v>10/09/2025</v>
      </c>
      <c r="AC2062" s="61" t="n">
        <f aca="false">INDEX(Datos_Origen!$H$2:$H$2459,$Z2062)</f>
        <v>6</v>
      </c>
      <c r="AD2062" s="61" t="str">
        <f aca="false">INDEX(Datos_Origen!$D$2:$D$2459,$Z2062)&amp;""</f>
        <v>Mendoza</v>
      </c>
    </row>
    <row r="2063" customFormat="false" ht="15" hidden="false" customHeight="false" outlineLevel="0" collapsed="false">
      <c r="A2063" s="61" t="n">
        <f aca="false">INDEX(Datos_Origen!$A$2:$A$2459,$Z2063)</f>
        <v>2062</v>
      </c>
      <c r="B2063" s="62" t="n">
        <f aca="false">IF(ISNUMBER($AB2063),$AB2063,IF(MID($AB2063,5,1)="-",DATE(VALUE(LEFT($AB2063,4)),VALUE(MID($AB2063,6,2)),VALUE(RIGHT($AB2063,2))),DATE(VALUE(RIGHT($AB2063,4)),VALUE(MID($AB2063,4,2)),VALUE(LEFT($AB2063,2)))))</f>
        <v>45917</v>
      </c>
      <c r="C2063" s="61" t="n">
        <f aca="false">YEAR($B2063)</f>
        <v>2025</v>
      </c>
      <c r="D2063" s="61" t="str">
        <f aca="false">"Q"&amp;ROUNDUP(MONTH($B2063)/3,0)</f>
        <v>Q3</v>
      </c>
      <c r="E2063" s="61" t="n">
        <f aca="false">MONTH($B2063)</f>
        <v>9</v>
      </c>
      <c r="F2063" s="61" t="str">
        <f aca="false">INDEX(Parametros!$I$5:$I$16,$E2063)</f>
        <v>Sep</v>
      </c>
      <c r="G2063" s="61" t="str">
        <f aca="false">TEXT($C2063,"0000")&amp;"-"&amp;TEXT($E2063,"00")</f>
        <v>2025-09</v>
      </c>
      <c r="H2063" s="61" t="str">
        <f aca="false">INDEX(Parametros!$C$71:$C$91,MATCH(TRIM(INDEX(Datos_Origen!$C$2:$C$2459,$Z2063)),Parametros!$B$71:$B$91,0))</f>
        <v>Cuyo</v>
      </c>
      <c r="I2063" s="61" t="str">
        <f aca="false">IF(TRIM($AD2063)="",INDEX(Parametros!$I$20:$I$24,MATCH($H2063,Parametros!$H$20:$H$24,0)),TRIM($AD2063))</f>
        <v>Mendoza</v>
      </c>
      <c r="J2063" s="61" t="str">
        <f aca="false">INDEX(Parametros!$C$95:$C$106,MATCH(TRIM(INDEX(Datos_Origen!$E$2:$E$2459,$Z2063)),Parametros!$B$95:$B$106,0))</f>
        <v>E-commerce</v>
      </c>
      <c r="K2063" s="61" t="str">
        <f aca="false">INDEX(Parametros!$C$48:$C$67,MATCH(TRIM(INDEX(Datos_Origen!$F$2:$F$2459,$Z2063)),Parametros!$B$48:$B$67,0))</f>
        <v>Computacion</v>
      </c>
      <c r="L2063" s="61" t="str">
        <f aca="false">$K2063&amp;" "&amp;$C2063</f>
        <v>Computacion 2025</v>
      </c>
      <c r="M2063" s="61" t="str">
        <f aca="false">TRIM(INDEX(Datos_Origen!$G$2:$G$2459,$Z2063))</f>
        <v>Laptop Pro 15</v>
      </c>
      <c r="N2063" s="61" t="str">
        <f aca="false">$M2063&amp;" "&amp;$C2063</f>
        <v>Laptop Pro 15 2025</v>
      </c>
      <c r="O2063" s="63" t="n">
        <f aca="false">IF(ISTEXT($AC2063),VALUE($AC2063),$AC2063)</f>
        <v>4</v>
      </c>
      <c r="P2063" s="64" t="n">
        <f aca="false">INDEX(Datos_Origen!$I$2:$I$2459,$Z2063)</f>
        <v>1204.74</v>
      </c>
      <c r="Q2063" s="64" t="n">
        <f aca="false">INDEX(Datos_Origen!$J$2:$J$2459,$Z2063)</f>
        <v>766.32</v>
      </c>
      <c r="R2063" s="65" t="n">
        <f aca="false">ROUND($O2063*$P2063,2)</f>
        <v>4818.96</v>
      </c>
      <c r="S2063" s="65" t="n">
        <f aca="false">ROUND($O2063*$Q2063,2)</f>
        <v>3065.28</v>
      </c>
      <c r="T2063" s="65" t="n">
        <f aca="false">ROUND($R2063*SUMIFS(Parametros!$E$28:$E$43,Parametros!$B$28:$B$43,$J2063,Parametros!$C$28:$C$43,$C2063,Parametros!$D$28:$D$43,$D2063),2)</f>
        <v>269.86</v>
      </c>
      <c r="U2063" s="65" t="n">
        <f aca="false">$R2063-$S2063-$T2063</f>
        <v>1483.82</v>
      </c>
      <c r="V2063" s="66" t="n">
        <f aca="false">IFERROR($U2063/$R2063,0)</f>
        <v>0.307912910669522</v>
      </c>
      <c r="W2063" s="67" t="str">
        <f aca="false">IF(AND($V2063&gt;=Parametros!$C$8,$R2063&gt;=Parametros!$C$12),"Alta rentabilidad",IF(OR($V2063&lt;Parametros!$C$11,$R2063&lt;Parametros!$C$13),"Revisar","Estandar"))</f>
        <v>Estandar</v>
      </c>
      <c r="X2063" s="67" t="str">
        <f aca="false">IF(AND($J2063="E-commerce",IFERROR($T2063/$R2063,0)&gt;Parametros!$C$14),"Alerta","OK")</f>
        <v>Alerta</v>
      </c>
      <c r="Y2063" s="61" t="str">
        <f aca="false">IF($R2063&gt;=Parametros!$C$12,"Alto",IF($R2063&lt;Parametros!$C$13,"Bajo","Medio"))</f>
        <v>Alto</v>
      </c>
      <c r="Z2063" s="61" t="n">
        <v>2307</v>
      </c>
      <c r="AA2063" s="61" t="str">
        <f aca="false">IF(MATCH($A2063,Datos_Origen!$A$2:$A$2459,0)=$Z2063,"OK","REVISAR")</f>
        <v>OK</v>
      </c>
      <c r="AB2063" s="62" t="n">
        <f aca="false">INDEX(Datos_Origen!$B$2:$B$2459,$Z2063)</f>
        <v>45917</v>
      </c>
      <c r="AC2063" s="61" t="str">
        <f aca="false">INDEX(Datos_Origen!$H$2:$H$2459,$Z2063)</f>
        <v>4</v>
      </c>
      <c r="AD2063" s="61" t="str">
        <f aca="false">INDEX(Datos_Origen!$D$2:$D$2459,$Z2063)&amp;""</f>
        <v>Mendoza</v>
      </c>
    </row>
    <row r="2064" customFormat="false" ht="15" hidden="false" customHeight="false" outlineLevel="0" collapsed="false">
      <c r="A2064" s="61" t="n">
        <f aca="false">INDEX(Datos_Origen!$A$2:$A$2459,$Z2064)</f>
        <v>2063</v>
      </c>
      <c r="B2064" s="62" t="n">
        <f aca="false">IF(ISNUMBER($AB2064),$AB2064,IF(MID($AB2064,5,1)="-",DATE(VALUE(LEFT($AB2064,4)),VALUE(MID($AB2064,6,2)),VALUE(RIGHT($AB2064,2))),DATE(VALUE(RIGHT($AB2064,4)),VALUE(MID($AB2064,4,2)),VALUE(LEFT($AB2064,2)))))</f>
        <v>45924</v>
      </c>
      <c r="C2064" s="61" t="n">
        <f aca="false">YEAR($B2064)</f>
        <v>2025</v>
      </c>
      <c r="D2064" s="61" t="str">
        <f aca="false">"Q"&amp;ROUNDUP(MONTH($B2064)/3,0)</f>
        <v>Q3</v>
      </c>
      <c r="E2064" s="61" t="n">
        <f aca="false">MONTH($B2064)</f>
        <v>9</v>
      </c>
      <c r="F2064" s="61" t="str">
        <f aca="false">INDEX(Parametros!$I$5:$I$16,$E2064)</f>
        <v>Sep</v>
      </c>
      <c r="G2064" s="61" t="str">
        <f aca="false">TEXT($C2064,"0000")&amp;"-"&amp;TEXT($E2064,"00")</f>
        <v>2025-09</v>
      </c>
      <c r="H2064" s="61" t="str">
        <f aca="false">INDEX(Parametros!$C$71:$C$91,MATCH(TRIM(INDEX(Datos_Origen!$C$2:$C$2459,$Z2064)),Parametros!$B$71:$B$91,0))</f>
        <v>Cuyo</v>
      </c>
      <c r="I2064" s="61" t="str">
        <f aca="false">IF(TRIM($AD2064)="",INDEX(Parametros!$I$20:$I$24,MATCH($H2064,Parametros!$H$20:$H$24,0)),TRIM($AD2064))</f>
        <v>Mendoza</v>
      </c>
      <c r="J2064" s="61" t="str">
        <f aca="false">INDEX(Parametros!$C$95:$C$106,MATCH(TRIM(INDEX(Datos_Origen!$E$2:$E$2459,$Z2064)),Parametros!$B$95:$B$106,0))</f>
        <v>Tienda fisica</v>
      </c>
      <c r="K2064" s="61" t="str">
        <f aca="false">INDEX(Parametros!$C$48:$C$67,MATCH(TRIM(INDEX(Datos_Origen!$F$2:$F$2459,$Z2064)),Parametros!$B$48:$B$67,0))</f>
        <v>Computacion</v>
      </c>
      <c r="L2064" s="61" t="str">
        <f aca="false">$K2064&amp;" "&amp;$C2064</f>
        <v>Computacion 2025</v>
      </c>
      <c r="M2064" s="61" t="str">
        <f aca="false">TRIM(INDEX(Datos_Origen!$G$2:$G$2459,$Z2064))</f>
        <v>Monitor 4K 27</v>
      </c>
      <c r="N2064" s="61" t="str">
        <f aca="false">$M2064&amp;" "&amp;$C2064</f>
        <v>Monitor 4K 27 2025</v>
      </c>
      <c r="O2064" s="63" t="n">
        <f aca="false">IF(ISTEXT($AC2064),VALUE($AC2064),$AC2064)</f>
        <v>6</v>
      </c>
      <c r="P2064" s="64" t="n">
        <f aca="false">INDEX(Datos_Origen!$I$2:$I$2459,$Z2064)</f>
        <v>451.78</v>
      </c>
      <c r="Q2064" s="64" t="n">
        <f aca="false">INDEX(Datos_Origen!$J$2:$J$2459,$Z2064)</f>
        <v>280.42</v>
      </c>
      <c r="R2064" s="65" t="n">
        <f aca="false">ROUND($O2064*$P2064,2)</f>
        <v>2710.68</v>
      </c>
      <c r="S2064" s="65" t="n">
        <f aca="false">ROUND($O2064*$Q2064,2)</f>
        <v>1682.52</v>
      </c>
      <c r="T2064" s="65" t="n">
        <f aca="false">ROUND($R2064*SUMIFS(Parametros!$E$28:$E$43,Parametros!$B$28:$B$43,$J2064,Parametros!$C$28:$C$43,$C2064,Parametros!$D$28:$D$43,$D2064),2)</f>
        <v>35.24</v>
      </c>
      <c r="U2064" s="65" t="n">
        <f aca="false">$R2064-$S2064-$T2064</f>
        <v>992.92</v>
      </c>
      <c r="V2064" s="66" t="n">
        <f aca="false">IFERROR($U2064/$R2064,0)</f>
        <v>0.366299231189222</v>
      </c>
      <c r="W2064" s="67" t="str">
        <f aca="false">IF(AND($V2064&gt;=Parametros!$C$8,$R2064&gt;=Parametros!$C$12),"Alta rentabilidad",IF(OR($V2064&lt;Parametros!$C$11,$R2064&lt;Parametros!$C$13),"Revisar","Estandar"))</f>
        <v>Estandar</v>
      </c>
      <c r="X2064" s="67" t="str">
        <f aca="false">IF(AND($J2064="E-commerce",IFERROR($T2064/$R2064,0)&gt;Parametros!$C$14),"Alerta","OK")</f>
        <v>OK</v>
      </c>
      <c r="Y2064" s="61" t="str">
        <f aca="false">IF($R2064&gt;=Parametros!$C$12,"Alto",IF($R2064&lt;Parametros!$C$13,"Bajo","Medio"))</f>
        <v>Medio</v>
      </c>
      <c r="Z2064" s="61" t="n">
        <v>1365</v>
      </c>
      <c r="AA2064" s="61" t="str">
        <f aca="false">IF(MATCH($A2064,Datos_Origen!$A$2:$A$2459,0)=$Z2064,"OK","REVISAR")</f>
        <v>OK</v>
      </c>
      <c r="AB2064" s="62" t="n">
        <f aca="false">INDEX(Datos_Origen!$B$2:$B$2459,$Z2064)</f>
        <v>45924</v>
      </c>
      <c r="AC2064" s="61" t="n">
        <f aca="false">INDEX(Datos_Origen!$H$2:$H$2459,$Z2064)</f>
        <v>6</v>
      </c>
      <c r="AD2064" s="61" t="str">
        <f aca="false">INDEX(Datos_Origen!$D$2:$D$2459,$Z2064)&amp;""</f>
        <v>Mendoza</v>
      </c>
    </row>
    <row r="2065" customFormat="false" ht="15" hidden="false" customHeight="false" outlineLevel="0" collapsed="false">
      <c r="A2065" s="61" t="n">
        <f aca="false">INDEX(Datos_Origen!$A$2:$A$2459,$Z2065)</f>
        <v>2064</v>
      </c>
      <c r="B2065" s="62" t="n">
        <f aca="false">IF(ISNUMBER($AB2065),$AB2065,IF(MID($AB2065,5,1)="-",DATE(VALUE(LEFT($AB2065,4)),VALUE(MID($AB2065,6,2)),VALUE(RIGHT($AB2065,2))),DATE(VALUE(RIGHT($AB2065,4)),VALUE(MID($AB2065,4,2)),VALUE(LEFT($AB2065,2)))))</f>
        <v>45904</v>
      </c>
      <c r="C2065" s="61" t="n">
        <f aca="false">YEAR($B2065)</f>
        <v>2025</v>
      </c>
      <c r="D2065" s="61" t="str">
        <f aca="false">"Q"&amp;ROUNDUP(MONTH($B2065)/3,0)</f>
        <v>Q3</v>
      </c>
      <c r="E2065" s="61" t="n">
        <f aca="false">MONTH($B2065)</f>
        <v>9</v>
      </c>
      <c r="F2065" s="61" t="str">
        <f aca="false">INDEX(Parametros!$I$5:$I$16,$E2065)</f>
        <v>Sep</v>
      </c>
      <c r="G2065" s="61" t="str">
        <f aca="false">TEXT($C2065,"0000")&amp;"-"&amp;TEXT($E2065,"00")</f>
        <v>2025-09</v>
      </c>
      <c r="H2065" s="61" t="str">
        <f aca="false">INDEX(Parametros!$C$71:$C$91,MATCH(TRIM(INDEX(Datos_Origen!$C$2:$C$2459,$Z2065)),Parametros!$B$71:$B$91,0))</f>
        <v>Cuyo</v>
      </c>
      <c r="I2065" s="61" t="str">
        <f aca="false">IF(TRIM($AD2065)="",INDEX(Parametros!$I$20:$I$24,MATCH($H2065,Parametros!$H$20:$H$24,0)),TRIM($AD2065))</f>
        <v>Mendoza</v>
      </c>
      <c r="J2065" s="61" t="str">
        <f aca="false">INDEX(Parametros!$C$95:$C$106,MATCH(TRIM(INDEX(Datos_Origen!$E$2:$E$2459,$Z2065)),Parametros!$B$95:$B$106,0))</f>
        <v>E-commerce</v>
      </c>
      <c r="K2065" s="61" t="str">
        <f aca="false">INDEX(Parametros!$C$48:$C$67,MATCH(TRIM(INDEX(Datos_Origen!$F$2:$F$2459,$Z2065)),Parametros!$B$48:$B$67,0))</f>
        <v>Computacion</v>
      </c>
      <c r="L2065" s="61" t="str">
        <f aca="false">$K2065&amp;" "&amp;$C2065</f>
        <v>Computacion 2025</v>
      </c>
      <c r="M2065" s="61" t="str">
        <f aca="false">TRIM(INDEX(Datos_Origen!$G$2:$G$2459,$Z2065))</f>
        <v>Monitor 4K 27</v>
      </c>
      <c r="N2065" s="61" t="str">
        <f aca="false">$M2065&amp;" "&amp;$C2065</f>
        <v>Monitor 4K 27 2025</v>
      </c>
      <c r="O2065" s="63" t="n">
        <f aca="false">IF(ISTEXT($AC2065),VALUE($AC2065),$AC2065)</f>
        <v>4</v>
      </c>
      <c r="P2065" s="64" t="n">
        <f aca="false">INDEX(Datos_Origen!$I$2:$I$2459,$Z2065)</f>
        <v>451.78</v>
      </c>
      <c r="Q2065" s="64" t="n">
        <f aca="false">INDEX(Datos_Origen!$J$2:$J$2459,$Z2065)</f>
        <v>280.42</v>
      </c>
      <c r="R2065" s="65" t="n">
        <f aca="false">ROUND($O2065*$P2065,2)</f>
        <v>1807.12</v>
      </c>
      <c r="S2065" s="65" t="n">
        <f aca="false">ROUND($O2065*$Q2065,2)</f>
        <v>1121.68</v>
      </c>
      <c r="T2065" s="65" t="n">
        <f aca="false">ROUND($R2065*SUMIFS(Parametros!$E$28:$E$43,Parametros!$B$28:$B$43,$J2065,Parametros!$C$28:$C$43,$C2065,Parametros!$D$28:$D$43,$D2065),2)</f>
        <v>101.2</v>
      </c>
      <c r="U2065" s="65" t="n">
        <f aca="false">$R2065-$S2065-$T2065</f>
        <v>584.24</v>
      </c>
      <c r="V2065" s="66" t="n">
        <f aca="false">IFERROR($U2065/$R2065,0)</f>
        <v>0.323298950816769</v>
      </c>
      <c r="W2065" s="67" t="str">
        <f aca="false">IF(AND($V2065&gt;=Parametros!$C$8,$R2065&gt;=Parametros!$C$12),"Alta rentabilidad",IF(OR($V2065&lt;Parametros!$C$11,$R2065&lt;Parametros!$C$13),"Revisar","Estandar"))</f>
        <v>Estandar</v>
      </c>
      <c r="X2065" s="67" t="str">
        <f aca="false">IF(AND($J2065="E-commerce",IFERROR($T2065/$R2065,0)&gt;Parametros!$C$14),"Alerta","OK")</f>
        <v>Alerta</v>
      </c>
      <c r="Y2065" s="61" t="str">
        <f aca="false">IF($R2065&gt;=Parametros!$C$12,"Alto",IF($R2065&lt;Parametros!$C$13,"Bajo","Medio"))</f>
        <v>Medio</v>
      </c>
      <c r="Z2065" s="61" t="n">
        <v>666</v>
      </c>
      <c r="AA2065" s="61" t="str">
        <f aca="false">IF(MATCH($A2065,Datos_Origen!$A$2:$A$2459,0)=$Z2065,"OK","REVISAR")</f>
        <v>OK</v>
      </c>
      <c r="AB2065" s="62" t="n">
        <f aca="false">INDEX(Datos_Origen!$B$2:$B$2459,$Z2065)</f>
        <v>45904</v>
      </c>
      <c r="AC2065" s="61" t="n">
        <f aca="false">INDEX(Datos_Origen!$H$2:$H$2459,$Z2065)</f>
        <v>4</v>
      </c>
      <c r="AD2065" s="61" t="str">
        <f aca="false">INDEX(Datos_Origen!$D$2:$D$2459,$Z2065)&amp;""</f>
        <v>Mendoza</v>
      </c>
    </row>
    <row r="2066" customFormat="false" ht="15" hidden="false" customHeight="false" outlineLevel="0" collapsed="false">
      <c r="A2066" s="61" t="n">
        <f aca="false">INDEX(Datos_Origen!$A$2:$A$2459,$Z2066)</f>
        <v>2065</v>
      </c>
      <c r="B2066" s="62" t="n">
        <f aca="false">IF(ISNUMBER($AB2066),$AB2066,IF(MID($AB2066,5,1)="-",DATE(VALUE(LEFT($AB2066,4)),VALUE(MID($AB2066,6,2)),VALUE(RIGHT($AB2066,2))),DATE(VALUE(RIGHT($AB2066,4)),VALUE(MID($AB2066,4,2)),VALUE(LEFT($AB2066,2)))))</f>
        <v>45911</v>
      </c>
      <c r="C2066" s="61" t="n">
        <f aca="false">YEAR($B2066)</f>
        <v>2025</v>
      </c>
      <c r="D2066" s="61" t="str">
        <f aca="false">"Q"&amp;ROUNDUP(MONTH($B2066)/3,0)</f>
        <v>Q3</v>
      </c>
      <c r="E2066" s="61" t="n">
        <f aca="false">MONTH($B2066)</f>
        <v>9</v>
      </c>
      <c r="F2066" s="61" t="str">
        <f aca="false">INDEX(Parametros!$I$5:$I$16,$E2066)</f>
        <v>Sep</v>
      </c>
      <c r="G2066" s="61" t="str">
        <f aca="false">TEXT($C2066,"0000")&amp;"-"&amp;TEXT($E2066,"00")</f>
        <v>2025-09</v>
      </c>
      <c r="H2066" s="61" t="str">
        <f aca="false">INDEX(Parametros!$C$71:$C$91,MATCH(TRIM(INDEX(Datos_Origen!$C$2:$C$2459,$Z2066)),Parametros!$B$71:$B$91,0))</f>
        <v>Cuyo</v>
      </c>
      <c r="I2066" s="61" t="str">
        <f aca="false">IF(TRIM($AD2066)="",INDEX(Parametros!$I$20:$I$24,MATCH($H2066,Parametros!$H$20:$H$24,0)),TRIM($AD2066))</f>
        <v>Mendoza</v>
      </c>
      <c r="J2066" s="61" t="str">
        <f aca="false">INDEX(Parametros!$C$95:$C$106,MATCH(TRIM(INDEX(Datos_Origen!$E$2:$E$2459,$Z2066)),Parametros!$B$95:$B$106,0))</f>
        <v>Tienda fisica</v>
      </c>
      <c r="K2066" s="61" t="str">
        <f aca="false">INDEX(Parametros!$C$48:$C$67,MATCH(TRIM(INDEX(Datos_Origen!$F$2:$F$2459,$Z2066)),Parametros!$B$48:$B$67,0))</f>
        <v>Computacion</v>
      </c>
      <c r="L2066" s="61" t="str">
        <f aca="false">$K2066&amp;" "&amp;$C2066</f>
        <v>Computacion 2025</v>
      </c>
      <c r="M2066" s="61" t="str">
        <f aca="false">TRIM(INDEX(Datos_Origen!$G$2:$G$2459,$Z2066))</f>
        <v>PC Gamer Ryzen</v>
      </c>
      <c r="N2066" s="61" t="str">
        <f aca="false">$M2066&amp;" "&amp;$C2066</f>
        <v>PC Gamer Ryzen 2025</v>
      </c>
      <c r="O2066" s="63" t="n">
        <f aca="false">IF(ISTEXT($AC2066),VALUE($AC2066),$AC2066)</f>
        <v>6</v>
      </c>
      <c r="P2066" s="64" t="n">
        <f aca="false">INDEX(Datos_Origen!$I$2:$I$2459,$Z2066)</f>
        <v>1656.52</v>
      </c>
      <c r="Q2066" s="64" t="n">
        <f aca="false">INDEX(Datos_Origen!$J$2:$J$2459,$Z2066)</f>
        <v>1155.66</v>
      </c>
      <c r="R2066" s="65" t="n">
        <f aca="false">ROUND($O2066*$P2066,2)</f>
        <v>9939.12</v>
      </c>
      <c r="S2066" s="65" t="n">
        <f aca="false">ROUND($O2066*$Q2066,2)</f>
        <v>6933.96</v>
      </c>
      <c r="T2066" s="65" t="n">
        <f aca="false">ROUND($R2066*SUMIFS(Parametros!$E$28:$E$43,Parametros!$B$28:$B$43,$J2066,Parametros!$C$28:$C$43,$C2066,Parametros!$D$28:$D$43,$D2066),2)</f>
        <v>129.21</v>
      </c>
      <c r="U2066" s="65" t="n">
        <f aca="false">$R2066-$S2066-$T2066</f>
        <v>2875.95</v>
      </c>
      <c r="V2066" s="66" t="n">
        <f aca="false">IFERROR($U2066/$R2066,0)</f>
        <v>0.289356602999058</v>
      </c>
      <c r="W2066" s="67" t="str">
        <f aca="false">IF(AND($V2066&gt;=Parametros!$C$8,$R2066&gt;=Parametros!$C$12),"Alta rentabilidad",IF(OR($V2066&lt;Parametros!$C$11,$R2066&lt;Parametros!$C$13),"Revisar","Estandar"))</f>
        <v>Estandar</v>
      </c>
      <c r="X2066" s="67" t="str">
        <f aca="false">IF(AND($J2066="E-commerce",IFERROR($T2066/$R2066,0)&gt;Parametros!$C$14),"Alerta","OK")</f>
        <v>OK</v>
      </c>
      <c r="Y2066" s="61" t="str">
        <f aca="false">IF($R2066&gt;=Parametros!$C$12,"Alto",IF($R2066&lt;Parametros!$C$13,"Bajo","Medio"))</f>
        <v>Alto</v>
      </c>
      <c r="Z2066" s="61" t="n">
        <v>420</v>
      </c>
      <c r="AA2066" s="61" t="str">
        <f aca="false">IF(MATCH($A2066,Datos_Origen!$A$2:$A$2459,0)=$Z2066,"OK","REVISAR")</f>
        <v>OK</v>
      </c>
      <c r="AB2066" s="62" t="n">
        <f aca="false">INDEX(Datos_Origen!$B$2:$B$2459,$Z2066)</f>
        <v>45911</v>
      </c>
      <c r="AC2066" s="61" t="n">
        <f aca="false">INDEX(Datos_Origen!$H$2:$H$2459,$Z2066)</f>
        <v>6</v>
      </c>
      <c r="AD2066" s="61" t="str">
        <f aca="false">INDEX(Datos_Origen!$D$2:$D$2459,$Z2066)&amp;""</f>
        <v>Mendoza</v>
      </c>
    </row>
    <row r="2067" customFormat="false" ht="15" hidden="false" customHeight="false" outlineLevel="0" collapsed="false">
      <c r="A2067" s="61" t="n">
        <f aca="false">INDEX(Datos_Origen!$A$2:$A$2459,$Z2067)</f>
        <v>2066</v>
      </c>
      <c r="B2067" s="62" t="n">
        <f aca="false">IF(ISNUMBER($AB2067),$AB2067,IF(MID($AB2067,5,1)="-",DATE(VALUE(LEFT($AB2067,4)),VALUE(MID($AB2067,6,2)),VALUE(RIGHT($AB2067,2))),DATE(VALUE(RIGHT($AB2067,4)),VALUE(MID($AB2067,4,2)),VALUE(LEFT($AB2067,2)))))</f>
        <v>45918</v>
      </c>
      <c r="C2067" s="61" t="n">
        <f aca="false">YEAR($B2067)</f>
        <v>2025</v>
      </c>
      <c r="D2067" s="61" t="str">
        <f aca="false">"Q"&amp;ROUNDUP(MONTH($B2067)/3,0)</f>
        <v>Q3</v>
      </c>
      <c r="E2067" s="61" t="n">
        <f aca="false">MONTH($B2067)</f>
        <v>9</v>
      </c>
      <c r="F2067" s="61" t="str">
        <f aca="false">INDEX(Parametros!$I$5:$I$16,$E2067)</f>
        <v>Sep</v>
      </c>
      <c r="G2067" s="61" t="str">
        <f aca="false">TEXT($C2067,"0000")&amp;"-"&amp;TEXT($E2067,"00")</f>
        <v>2025-09</v>
      </c>
      <c r="H2067" s="61" t="str">
        <f aca="false">INDEX(Parametros!$C$71:$C$91,MATCH(TRIM(INDEX(Datos_Origen!$C$2:$C$2459,$Z2067)),Parametros!$B$71:$B$91,0))</f>
        <v>Cuyo</v>
      </c>
      <c r="I2067" s="61" t="str">
        <f aca="false">IF(TRIM($AD2067)="",INDEX(Parametros!$I$20:$I$24,MATCH($H2067,Parametros!$H$20:$H$24,0)),TRIM($AD2067))</f>
        <v>Mendoza</v>
      </c>
      <c r="J2067" s="61" t="str">
        <f aca="false">INDEX(Parametros!$C$95:$C$106,MATCH(TRIM(INDEX(Datos_Origen!$E$2:$E$2459,$Z2067)),Parametros!$B$95:$B$106,0))</f>
        <v>E-commerce</v>
      </c>
      <c r="K2067" s="61" t="str">
        <f aca="false">INDEX(Parametros!$C$48:$C$67,MATCH(TRIM(INDEX(Datos_Origen!$F$2:$F$2459,$Z2067)),Parametros!$B$48:$B$67,0))</f>
        <v>Computacion</v>
      </c>
      <c r="L2067" s="61" t="str">
        <f aca="false">$K2067&amp;" "&amp;$C2067</f>
        <v>Computacion 2025</v>
      </c>
      <c r="M2067" s="61" t="str">
        <f aca="false">TRIM(INDEX(Datos_Origen!$G$2:$G$2459,$Z2067))</f>
        <v>PC Gamer Ryzen</v>
      </c>
      <c r="N2067" s="61" t="str">
        <f aca="false">$M2067&amp;" "&amp;$C2067</f>
        <v>PC Gamer Ryzen 2025</v>
      </c>
      <c r="O2067" s="63" t="n">
        <f aca="false">IF(ISTEXT($AC2067),VALUE($AC2067),$AC2067)</f>
        <v>5</v>
      </c>
      <c r="P2067" s="64" t="n">
        <f aca="false">INDEX(Datos_Origen!$I$2:$I$2459,$Z2067)</f>
        <v>1656.52</v>
      </c>
      <c r="Q2067" s="64" t="n">
        <f aca="false">INDEX(Datos_Origen!$J$2:$J$2459,$Z2067)</f>
        <v>1155.66</v>
      </c>
      <c r="R2067" s="65" t="n">
        <f aca="false">ROUND($O2067*$P2067,2)</f>
        <v>8282.6</v>
      </c>
      <c r="S2067" s="65" t="n">
        <f aca="false">ROUND($O2067*$Q2067,2)</f>
        <v>5778.3</v>
      </c>
      <c r="T2067" s="65" t="n">
        <f aca="false">ROUND($R2067*SUMIFS(Parametros!$E$28:$E$43,Parametros!$B$28:$B$43,$J2067,Parametros!$C$28:$C$43,$C2067,Parametros!$D$28:$D$43,$D2067),2)</f>
        <v>463.83</v>
      </c>
      <c r="U2067" s="65" t="n">
        <f aca="false">$R2067-$S2067-$T2067</f>
        <v>2040.47</v>
      </c>
      <c r="V2067" s="66" t="n">
        <f aca="false">IFERROR($U2067/$R2067,0)</f>
        <v>0.246356216646947</v>
      </c>
      <c r="W2067" s="67" t="str">
        <f aca="false">IF(AND($V2067&gt;=Parametros!$C$8,$R2067&gt;=Parametros!$C$12),"Alta rentabilidad",IF(OR($V2067&lt;Parametros!$C$11,$R2067&lt;Parametros!$C$13),"Revisar","Estandar"))</f>
        <v>Revisar</v>
      </c>
      <c r="X2067" s="67" t="str">
        <f aca="false">IF(AND($J2067="E-commerce",IFERROR($T2067/$R2067,0)&gt;Parametros!$C$14),"Alerta","OK")</f>
        <v>Alerta</v>
      </c>
      <c r="Y2067" s="61" t="str">
        <f aca="false">IF($R2067&gt;=Parametros!$C$12,"Alto",IF($R2067&lt;Parametros!$C$13,"Bajo","Medio"))</f>
        <v>Alto</v>
      </c>
      <c r="Z2067" s="61" t="n">
        <v>621</v>
      </c>
      <c r="AA2067" s="61" t="str">
        <f aca="false">IF(MATCH($A2067,Datos_Origen!$A$2:$A$2459,0)=$Z2067,"OK","REVISAR")</f>
        <v>OK</v>
      </c>
      <c r="AB2067" s="62" t="n">
        <f aca="false">INDEX(Datos_Origen!$B$2:$B$2459,$Z2067)</f>
        <v>45918</v>
      </c>
      <c r="AC2067" s="61" t="n">
        <f aca="false">INDEX(Datos_Origen!$H$2:$H$2459,$Z2067)</f>
        <v>5</v>
      </c>
      <c r="AD2067" s="61" t="str">
        <f aca="false">INDEX(Datos_Origen!$D$2:$D$2459,$Z2067)&amp;""</f>
        <v/>
      </c>
    </row>
    <row r="2068" customFormat="false" ht="15" hidden="false" customHeight="false" outlineLevel="0" collapsed="false">
      <c r="A2068" s="61" t="n">
        <f aca="false">INDEX(Datos_Origen!$A$2:$A$2459,$Z2068)</f>
        <v>2067</v>
      </c>
      <c r="B2068" s="62" t="n">
        <f aca="false">IF(ISNUMBER($AB2068),$AB2068,IF(MID($AB2068,5,1)="-",DATE(VALUE(LEFT($AB2068,4)),VALUE(MID($AB2068,6,2)),VALUE(RIGHT($AB2068,2))),DATE(VALUE(RIGHT($AB2068,4)),VALUE(MID($AB2068,4,2)),VALUE(LEFT($AB2068,2)))))</f>
        <v>45925</v>
      </c>
      <c r="C2068" s="61" t="n">
        <f aca="false">YEAR($B2068)</f>
        <v>2025</v>
      </c>
      <c r="D2068" s="61" t="str">
        <f aca="false">"Q"&amp;ROUNDUP(MONTH($B2068)/3,0)</f>
        <v>Q3</v>
      </c>
      <c r="E2068" s="61" t="n">
        <f aca="false">MONTH($B2068)</f>
        <v>9</v>
      </c>
      <c r="F2068" s="61" t="str">
        <f aca="false">INDEX(Parametros!$I$5:$I$16,$E2068)</f>
        <v>Sep</v>
      </c>
      <c r="G2068" s="61" t="str">
        <f aca="false">TEXT($C2068,"0000")&amp;"-"&amp;TEXT($E2068,"00")</f>
        <v>2025-09</v>
      </c>
      <c r="H2068" s="61" t="str">
        <f aca="false">INDEX(Parametros!$C$71:$C$91,MATCH(TRIM(INDEX(Datos_Origen!$C$2:$C$2459,$Z2068)),Parametros!$B$71:$B$91,0))</f>
        <v>Cuyo</v>
      </c>
      <c r="I2068" s="61" t="str">
        <f aca="false">IF(TRIM($AD2068)="",INDEX(Parametros!$I$20:$I$24,MATCH($H2068,Parametros!$H$20:$H$24,0)),TRIM($AD2068))</f>
        <v>Mendoza</v>
      </c>
      <c r="J2068" s="61" t="str">
        <f aca="false">INDEX(Parametros!$C$95:$C$106,MATCH(TRIM(INDEX(Datos_Origen!$E$2:$E$2459,$Z2068)),Parametros!$B$95:$B$106,0))</f>
        <v>Tienda fisica</v>
      </c>
      <c r="K2068" s="61" t="str">
        <f aca="false">INDEX(Parametros!$C$48:$C$67,MATCH(TRIM(INDEX(Datos_Origen!$F$2:$F$2459,$Z2068)),Parametros!$B$48:$B$67,0))</f>
        <v>Accesorios</v>
      </c>
      <c r="L2068" s="61" t="str">
        <f aca="false">$K2068&amp;" "&amp;$C2068</f>
        <v>Accesorios 2025</v>
      </c>
      <c r="M2068" s="61" t="str">
        <f aca="false">TRIM(INDEX(Datos_Origen!$G$2:$G$2459,$Z2068))</f>
        <v>Mouse Inalambrico</v>
      </c>
      <c r="N2068" s="61" t="str">
        <f aca="false">$M2068&amp;" "&amp;$C2068</f>
        <v>Mouse Inalambrico 2025</v>
      </c>
      <c r="O2068" s="63" t="n">
        <f aca="false">IF(ISTEXT($AC2068),VALUE($AC2068),$AC2068)</f>
        <v>27</v>
      </c>
      <c r="P2068" s="64" t="n">
        <f aca="false">INDEX(Datos_Origen!$I$2:$I$2459,$Z2068)</f>
        <v>28.11</v>
      </c>
      <c r="Q2068" s="64" t="n">
        <f aca="false">INDEX(Datos_Origen!$J$2:$J$2459,$Z2068)</f>
        <v>13.84</v>
      </c>
      <c r="R2068" s="65" t="n">
        <f aca="false">ROUND($O2068*$P2068,2)</f>
        <v>758.97</v>
      </c>
      <c r="S2068" s="65" t="n">
        <f aca="false">ROUND($O2068*$Q2068,2)</f>
        <v>373.68</v>
      </c>
      <c r="T2068" s="65" t="n">
        <f aca="false">ROUND($R2068*SUMIFS(Parametros!$E$28:$E$43,Parametros!$B$28:$B$43,$J2068,Parametros!$C$28:$C$43,$C2068,Parametros!$D$28:$D$43,$D2068),2)</f>
        <v>9.87</v>
      </c>
      <c r="U2068" s="65" t="n">
        <f aca="false">$R2068-$S2068-$T2068</f>
        <v>375.42</v>
      </c>
      <c r="V2068" s="66" t="n">
        <f aca="false">IFERROR($U2068/$R2068,0)</f>
        <v>0.494644057077355</v>
      </c>
      <c r="W2068" s="67" t="str">
        <f aca="false">IF(AND($V2068&gt;=Parametros!$C$8,$R2068&gt;=Parametros!$C$12),"Alta rentabilidad",IF(OR($V2068&lt;Parametros!$C$11,$R2068&lt;Parametros!$C$13),"Revisar","Estandar"))</f>
        <v>Estandar</v>
      </c>
      <c r="X2068" s="67" t="str">
        <f aca="false">IF(AND($J2068="E-commerce",IFERROR($T2068/$R2068,0)&gt;Parametros!$C$14),"Alerta","OK")</f>
        <v>OK</v>
      </c>
      <c r="Y2068" s="61" t="str">
        <f aca="false">IF($R2068&gt;=Parametros!$C$12,"Alto",IF($R2068&lt;Parametros!$C$13,"Bajo","Medio"))</f>
        <v>Medio</v>
      </c>
      <c r="Z2068" s="61" t="n">
        <v>1727</v>
      </c>
      <c r="AA2068" s="61" t="str">
        <f aca="false">IF(MATCH($A2068,Datos_Origen!$A$2:$A$2459,0)=$Z2068,"OK","REVISAR")</f>
        <v>OK</v>
      </c>
      <c r="AB2068" s="62" t="n">
        <f aca="false">INDEX(Datos_Origen!$B$2:$B$2459,$Z2068)</f>
        <v>45925</v>
      </c>
      <c r="AC2068" s="61" t="n">
        <f aca="false">INDEX(Datos_Origen!$H$2:$H$2459,$Z2068)</f>
        <v>27</v>
      </c>
      <c r="AD2068" s="61" t="str">
        <f aca="false">INDEX(Datos_Origen!$D$2:$D$2459,$Z2068)&amp;""</f>
        <v>Mendoza</v>
      </c>
    </row>
    <row r="2069" customFormat="false" ht="15" hidden="false" customHeight="false" outlineLevel="0" collapsed="false">
      <c r="A2069" s="61" t="n">
        <f aca="false">INDEX(Datos_Origen!$A$2:$A$2459,$Z2069)</f>
        <v>2068</v>
      </c>
      <c r="B2069" s="62" t="n">
        <f aca="false">IF(ISNUMBER($AB2069),$AB2069,IF(MID($AB2069,5,1)="-",DATE(VALUE(LEFT($AB2069,4)),VALUE(MID($AB2069,6,2)),VALUE(RIGHT($AB2069,2))),DATE(VALUE(RIGHT($AB2069,4)),VALUE(MID($AB2069,4,2)),VALUE(LEFT($AB2069,2)))))</f>
        <v>45905</v>
      </c>
      <c r="C2069" s="61" t="n">
        <f aca="false">YEAR($B2069)</f>
        <v>2025</v>
      </c>
      <c r="D2069" s="61" t="str">
        <f aca="false">"Q"&amp;ROUNDUP(MONTH($B2069)/3,0)</f>
        <v>Q3</v>
      </c>
      <c r="E2069" s="61" t="n">
        <f aca="false">MONTH($B2069)</f>
        <v>9</v>
      </c>
      <c r="F2069" s="61" t="str">
        <f aca="false">INDEX(Parametros!$I$5:$I$16,$E2069)</f>
        <v>Sep</v>
      </c>
      <c r="G2069" s="61" t="str">
        <f aca="false">TEXT($C2069,"0000")&amp;"-"&amp;TEXT($E2069,"00")</f>
        <v>2025-09</v>
      </c>
      <c r="H2069" s="61" t="str">
        <f aca="false">INDEX(Parametros!$C$71:$C$91,MATCH(TRIM(INDEX(Datos_Origen!$C$2:$C$2459,$Z2069)),Parametros!$B$71:$B$91,0))</f>
        <v>Cuyo</v>
      </c>
      <c r="I2069" s="61" t="str">
        <f aca="false">IF(TRIM($AD2069)="",INDEX(Parametros!$I$20:$I$24,MATCH($H2069,Parametros!$H$20:$H$24,0)),TRIM($AD2069))</f>
        <v>Mendoza</v>
      </c>
      <c r="J2069" s="61" t="str">
        <f aca="false">INDEX(Parametros!$C$95:$C$106,MATCH(TRIM(INDEX(Datos_Origen!$E$2:$E$2459,$Z2069)),Parametros!$B$95:$B$106,0))</f>
        <v>E-commerce</v>
      </c>
      <c r="K2069" s="61" t="str">
        <f aca="false">INDEX(Parametros!$C$48:$C$67,MATCH(TRIM(INDEX(Datos_Origen!$F$2:$F$2459,$Z2069)),Parametros!$B$48:$B$67,0))</f>
        <v>Accesorios</v>
      </c>
      <c r="L2069" s="61" t="str">
        <f aca="false">$K2069&amp;" "&amp;$C2069</f>
        <v>Accesorios 2025</v>
      </c>
      <c r="M2069" s="61" t="str">
        <f aca="false">TRIM(INDEX(Datos_Origen!$G$2:$G$2459,$Z2069))</f>
        <v>Mouse Inalambrico</v>
      </c>
      <c r="N2069" s="61" t="str">
        <f aca="false">$M2069&amp;" "&amp;$C2069</f>
        <v>Mouse Inalambrico 2025</v>
      </c>
      <c r="O2069" s="63" t="n">
        <f aca="false">IF(ISTEXT($AC2069),VALUE($AC2069),$AC2069)</f>
        <v>23</v>
      </c>
      <c r="P2069" s="64" t="n">
        <f aca="false">INDEX(Datos_Origen!$I$2:$I$2459,$Z2069)</f>
        <v>28.11</v>
      </c>
      <c r="Q2069" s="64" t="n">
        <f aca="false">INDEX(Datos_Origen!$J$2:$J$2459,$Z2069)</f>
        <v>13.84</v>
      </c>
      <c r="R2069" s="65" t="n">
        <f aca="false">ROUND($O2069*$P2069,2)</f>
        <v>646.53</v>
      </c>
      <c r="S2069" s="65" t="n">
        <f aca="false">ROUND($O2069*$Q2069,2)</f>
        <v>318.32</v>
      </c>
      <c r="T2069" s="65" t="n">
        <f aca="false">ROUND($R2069*SUMIFS(Parametros!$E$28:$E$43,Parametros!$B$28:$B$43,$J2069,Parametros!$C$28:$C$43,$C2069,Parametros!$D$28:$D$43,$D2069),2)</f>
        <v>36.21</v>
      </c>
      <c r="U2069" s="65" t="n">
        <f aca="false">$R2069-$S2069-$T2069</f>
        <v>292</v>
      </c>
      <c r="V2069" s="66" t="n">
        <f aca="false">IFERROR($U2069/$R2069,0)</f>
        <v>0.451641841832552</v>
      </c>
      <c r="W2069" s="67" t="str">
        <f aca="false">IF(AND($V2069&gt;=Parametros!$C$8,$R2069&gt;=Parametros!$C$12),"Alta rentabilidad",IF(OR($V2069&lt;Parametros!$C$11,$R2069&lt;Parametros!$C$13),"Revisar","Estandar"))</f>
        <v>Estandar</v>
      </c>
      <c r="X2069" s="67" t="str">
        <f aca="false">IF(AND($J2069="E-commerce",IFERROR($T2069/$R2069,0)&gt;Parametros!$C$14),"Alerta","OK")</f>
        <v>Alerta</v>
      </c>
      <c r="Y2069" s="61" t="str">
        <f aca="false">IF($R2069&gt;=Parametros!$C$12,"Alto",IF($R2069&lt;Parametros!$C$13,"Bajo","Medio"))</f>
        <v>Medio</v>
      </c>
      <c r="Z2069" s="61" t="n">
        <v>964</v>
      </c>
      <c r="AA2069" s="61" t="str">
        <f aca="false">IF(MATCH($A2069,Datos_Origen!$A$2:$A$2459,0)=$Z2069,"OK","REVISAR")</f>
        <v>OK</v>
      </c>
      <c r="AB2069" s="62" t="n">
        <f aca="false">INDEX(Datos_Origen!$B$2:$B$2459,$Z2069)</f>
        <v>45905</v>
      </c>
      <c r="AC2069" s="61" t="n">
        <f aca="false">INDEX(Datos_Origen!$H$2:$H$2459,$Z2069)</f>
        <v>23</v>
      </c>
      <c r="AD2069" s="61" t="str">
        <f aca="false">INDEX(Datos_Origen!$D$2:$D$2459,$Z2069)&amp;""</f>
        <v>Mendoza</v>
      </c>
    </row>
    <row r="2070" customFormat="false" ht="15" hidden="false" customHeight="false" outlineLevel="0" collapsed="false">
      <c r="A2070" s="61" t="n">
        <f aca="false">INDEX(Datos_Origen!$A$2:$A$2459,$Z2070)</f>
        <v>2069</v>
      </c>
      <c r="B2070" s="62" t="n">
        <f aca="false">IF(ISNUMBER($AB2070),$AB2070,IF(MID($AB2070,5,1)="-",DATE(VALUE(LEFT($AB2070,4)),VALUE(MID($AB2070,6,2)),VALUE(RIGHT($AB2070,2))),DATE(VALUE(RIGHT($AB2070,4)),VALUE(MID($AB2070,4,2)),VALUE(LEFT($AB2070,2)))))</f>
        <v>45912</v>
      </c>
      <c r="C2070" s="61" t="n">
        <f aca="false">YEAR($B2070)</f>
        <v>2025</v>
      </c>
      <c r="D2070" s="61" t="str">
        <f aca="false">"Q"&amp;ROUNDUP(MONTH($B2070)/3,0)</f>
        <v>Q3</v>
      </c>
      <c r="E2070" s="61" t="n">
        <f aca="false">MONTH($B2070)</f>
        <v>9</v>
      </c>
      <c r="F2070" s="61" t="str">
        <f aca="false">INDEX(Parametros!$I$5:$I$16,$E2070)</f>
        <v>Sep</v>
      </c>
      <c r="G2070" s="61" t="str">
        <f aca="false">TEXT($C2070,"0000")&amp;"-"&amp;TEXT($E2070,"00")</f>
        <v>2025-09</v>
      </c>
      <c r="H2070" s="61" t="str">
        <f aca="false">INDEX(Parametros!$C$71:$C$91,MATCH(TRIM(INDEX(Datos_Origen!$C$2:$C$2459,$Z2070)),Parametros!$B$71:$B$91,0))</f>
        <v>Cuyo</v>
      </c>
      <c r="I2070" s="61" t="str">
        <f aca="false">IF(TRIM($AD2070)="",INDEX(Parametros!$I$20:$I$24,MATCH($H2070,Parametros!$H$20:$H$24,0)),TRIM($AD2070))</f>
        <v>Mendoza</v>
      </c>
      <c r="J2070" s="61" t="str">
        <f aca="false">INDEX(Parametros!$C$95:$C$106,MATCH(TRIM(INDEX(Datos_Origen!$E$2:$E$2459,$Z2070)),Parametros!$B$95:$B$106,0))</f>
        <v>Tienda fisica</v>
      </c>
      <c r="K2070" s="61" t="str">
        <f aca="false">INDEX(Parametros!$C$48:$C$67,MATCH(TRIM(INDEX(Datos_Origen!$F$2:$F$2459,$Z2070)),Parametros!$B$48:$B$67,0))</f>
        <v>Accesorios</v>
      </c>
      <c r="L2070" s="61" t="str">
        <f aca="false">$K2070&amp;" "&amp;$C2070</f>
        <v>Accesorios 2025</v>
      </c>
      <c r="M2070" s="61" t="str">
        <f aca="false">TRIM(INDEX(Datos_Origen!$G$2:$G$2459,$Z2070))</f>
        <v>Teclado Mecanico</v>
      </c>
      <c r="N2070" s="61" t="str">
        <f aca="false">$M2070&amp;" "&amp;$C2070</f>
        <v>Teclado Mecanico 2025</v>
      </c>
      <c r="O2070" s="63" t="n">
        <f aca="false">IF(ISTEXT($AC2070),VALUE($AC2070),$AC2070)</f>
        <v>26</v>
      </c>
      <c r="P2070" s="64" t="n">
        <f aca="false">INDEX(Datos_Origen!$I$2:$I$2459,$Z2070)</f>
        <v>95.38</v>
      </c>
      <c r="Q2070" s="64" t="n">
        <f aca="false">INDEX(Datos_Origen!$J$2:$J$2459,$Z2070)</f>
        <v>49.41</v>
      </c>
      <c r="R2070" s="65" t="n">
        <f aca="false">ROUND($O2070*$P2070,2)</f>
        <v>2479.88</v>
      </c>
      <c r="S2070" s="65" t="n">
        <f aca="false">ROUND($O2070*$Q2070,2)</f>
        <v>1284.66</v>
      </c>
      <c r="T2070" s="65" t="n">
        <f aca="false">ROUND($R2070*SUMIFS(Parametros!$E$28:$E$43,Parametros!$B$28:$B$43,$J2070,Parametros!$C$28:$C$43,$C2070,Parametros!$D$28:$D$43,$D2070),2)</f>
        <v>32.24</v>
      </c>
      <c r="U2070" s="65" t="n">
        <f aca="false">$R2070-$S2070-$T2070</f>
        <v>1162.98</v>
      </c>
      <c r="V2070" s="66" t="n">
        <f aca="false">IFERROR($U2070/$R2070,0)</f>
        <v>0.46896624030195</v>
      </c>
      <c r="W2070" s="67" t="str">
        <f aca="false">IF(AND($V2070&gt;=Parametros!$C$8,$R2070&gt;=Parametros!$C$12),"Alta rentabilidad",IF(OR($V2070&lt;Parametros!$C$11,$R2070&lt;Parametros!$C$13),"Revisar","Estandar"))</f>
        <v>Estandar</v>
      </c>
      <c r="X2070" s="67" t="str">
        <f aca="false">IF(AND($J2070="E-commerce",IFERROR($T2070/$R2070,0)&gt;Parametros!$C$14),"Alerta","OK")</f>
        <v>OK</v>
      </c>
      <c r="Y2070" s="61" t="str">
        <f aca="false">IF($R2070&gt;=Parametros!$C$12,"Alto",IF($R2070&lt;Parametros!$C$13,"Bajo","Medio"))</f>
        <v>Medio</v>
      </c>
      <c r="Z2070" s="61" t="n">
        <v>1311</v>
      </c>
      <c r="AA2070" s="61" t="str">
        <f aca="false">IF(MATCH($A2070,Datos_Origen!$A$2:$A$2459,0)=$Z2070,"OK","REVISAR")</f>
        <v>OK</v>
      </c>
      <c r="AB2070" s="61" t="str">
        <f aca="false">INDEX(Datos_Origen!$B$2:$B$2459,$Z2070)</f>
        <v>2025-09-12</v>
      </c>
      <c r="AC2070" s="61" t="n">
        <f aca="false">INDEX(Datos_Origen!$H$2:$H$2459,$Z2070)</f>
        <v>26</v>
      </c>
      <c r="AD2070" s="61" t="str">
        <f aca="false">INDEX(Datos_Origen!$D$2:$D$2459,$Z2070)&amp;""</f>
        <v>Mendoza</v>
      </c>
    </row>
    <row r="2071" customFormat="false" ht="15" hidden="false" customHeight="false" outlineLevel="0" collapsed="false">
      <c r="A2071" s="61" t="n">
        <f aca="false">INDEX(Datos_Origen!$A$2:$A$2459,$Z2071)</f>
        <v>2070</v>
      </c>
      <c r="B2071" s="62" t="n">
        <f aca="false">IF(ISNUMBER($AB2071),$AB2071,IF(MID($AB2071,5,1)="-",DATE(VALUE(LEFT($AB2071,4)),VALUE(MID($AB2071,6,2)),VALUE(RIGHT($AB2071,2))),DATE(VALUE(RIGHT($AB2071,4)),VALUE(MID($AB2071,4,2)),VALUE(LEFT($AB2071,2)))))</f>
        <v>45919</v>
      </c>
      <c r="C2071" s="61" t="n">
        <f aca="false">YEAR($B2071)</f>
        <v>2025</v>
      </c>
      <c r="D2071" s="61" t="str">
        <f aca="false">"Q"&amp;ROUNDUP(MONTH($B2071)/3,0)</f>
        <v>Q3</v>
      </c>
      <c r="E2071" s="61" t="n">
        <f aca="false">MONTH($B2071)</f>
        <v>9</v>
      </c>
      <c r="F2071" s="61" t="str">
        <f aca="false">INDEX(Parametros!$I$5:$I$16,$E2071)</f>
        <v>Sep</v>
      </c>
      <c r="G2071" s="61" t="str">
        <f aca="false">TEXT($C2071,"0000")&amp;"-"&amp;TEXT($E2071,"00")</f>
        <v>2025-09</v>
      </c>
      <c r="H2071" s="61" t="str">
        <f aca="false">INDEX(Parametros!$C$71:$C$91,MATCH(TRIM(INDEX(Datos_Origen!$C$2:$C$2459,$Z2071)),Parametros!$B$71:$B$91,0))</f>
        <v>Cuyo</v>
      </c>
      <c r="I2071" s="61" t="str">
        <f aca="false">IF(TRIM($AD2071)="",INDEX(Parametros!$I$20:$I$24,MATCH($H2071,Parametros!$H$20:$H$24,0)),TRIM($AD2071))</f>
        <v>Mendoza</v>
      </c>
      <c r="J2071" s="61" t="str">
        <f aca="false">INDEX(Parametros!$C$95:$C$106,MATCH(TRIM(INDEX(Datos_Origen!$E$2:$E$2459,$Z2071)),Parametros!$B$95:$B$106,0))</f>
        <v>E-commerce</v>
      </c>
      <c r="K2071" s="61" t="str">
        <f aca="false">INDEX(Parametros!$C$48:$C$67,MATCH(TRIM(INDEX(Datos_Origen!$F$2:$F$2459,$Z2071)),Parametros!$B$48:$B$67,0))</f>
        <v>Accesorios</v>
      </c>
      <c r="L2071" s="61" t="str">
        <f aca="false">$K2071&amp;" "&amp;$C2071</f>
        <v>Accesorios 2025</v>
      </c>
      <c r="M2071" s="61" t="str">
        <f aca="false">TRIM(INDEX(Datos_Origen!$G$2:$G$2459,$Z2071))</f>
        <v>Teclado Mecanico</v>
      </c>
      <c r="N2071" s="61" t="str">
        <f aca="false">$M2071&amp;" "&amp;$C2071</f>
        <v>Teclado Mecanico 2025</v>
      </c>
      <c r="O2071" s="63" t="n">
        <f aca="false">IF(ISTEXT($AC2071),VALUE($AC2071),$AC2071)</f>
        <v>21</v>
      </c>
      <c r="P2071" s="64" t="n">
        <f aca="false">INDEX(Datos_Origen!$I$2:$I$2459,$Z2071)</f>
        <v>95.38</v>
      </c>
      <c r="Q2071" s="64" t="n">
        <f aca="false">INDEX(Datos_Origen!$J$2:$J$2459,$Z2071)</f>
        <v>49.41</v>
      </c>
      <c r="R2071" s="65" t="n">
        <f aca="false">ROUND($O2071*$P2071,2)</f>
        <v>2002.98</v>
      </c>
      <c r="S2071" s="65" t="n">
        <f aca="false">ROUND($O2071*$Q2071,2)</f>
        <v>1037.61</v>
      </c>
      <c r="T2071" s="65" t="n">
        <f aca="false">ROUND($R2071*SUMIFS(Parametros!$E$28:$E$43,Parametros!$B$28:$B$43,$J2071,Parametros!$C$28:$C$43,$C2071,Parametros!$D$28:$D$43,$D2071),2)</f>
        <v>112.17</v>
      </c>
      <c r="U2071" s="65" t="n">
        <f aca="false">$R2071-$S2071-$T2071</f>
        <v>853.2</v>
      </c>
      <c r="V2071" s="66" t="n">
        <f aca="false">IFERROR($U2071/$R2071,0)</f>
        <v>0.425965311685589</v>
      </c>
      <c r="W2071" s="67" t="str">
        <f aca="false">IF(AND($V2071&gt;=Parametros!$C$8,$R2071&gt;=Parametros!$C$12),"Alta rentabilidad",IF(OR($V2071&lt;Parametros!$C$11,$R2071&lt;Parametros!$C$13),"Revisar","Estandar"))</f>
        <v>Estandar</v>
      </c>
      <c r="X2071" s="67" t="str">
        <f aca="false">IF(AND($J2071="E-commerce",IFERROR($T2071/$R2071,0)&gt;Parametros!$C$14),"Alerta","OK")</f>
        <v>Alerta</v>
      </c>
      <c r="Y2071" s="61" t="str">
        <f aca="false">IF($R2071&gt;=Parametros!$C$12,"Alto",IF($R2071&lt;Parametros!$C$13,"Bajo","Medio"))</f>
        <v>Medio</v>
      </c>
      <c r="Z2071" s="61" t="n">
        <v>1633</v>
      </c>
      <c r="AA2071" s="61" t="str">
        <f aca="false">IF(MATCH($A2071,Datos_Origen!$A$2:$A$2459,0)=$Z2071,"OK","REVISAR")</f>
        <v>OK</v>
      </c>
      <c r="AB2071" s="62" t="n">
        <f aca="false">INDEX(Datos_Origen!$B$2:$B$2459,$Z2071)</f>
        <v>45919</v>
      </c>
      <c r="AC2071" s="61" t="n">
        <f aca="false">INDEX(Datos_Origen!$H$2:$H$2459,$Z2071)</f>
        <v>21</v>
      </c>
      <c r="AD2071" s="61" t="str">
        <f aca="false">INDEX(Datos_Origen!$D$2:$D$2459,$Z2071)&amp;""</f>
        <v>Mendoza</v>
      </c>
    </row>
    <row r="2072" customFormat="false" ht="15" hidden="false" customHeight="false" outlineLevel="0" collapsed="false">
      <c r="A2072" s="61" t="n">
        <f aca="false">INDEX(Datos_Origen!$A$2:$A$2459,$Z2072)</f>
        <v>2071</v>
      </c>
      <c r="B2072" s="62" t="n">
        <f aca="false">IF(ISNUMBER($AB2072),$AB2072,IF(MID($AB2072,5,1)="-",DATE(VALUE(LEFT($AB2072,4)),VALUE(MID($AB2072,6,2)),VALUE(RIGHT($AB2072,2))),DATE(VALUE(RIGHT($AB2072,4)),VALUE(MID($AB2072,4,2)),VALUE(LEFT($AB2072,2)))))</f>
        <v>45926</v>
      </c>
      <c r="C2072" s="61" t="n">
        <f aca="false">YEAR($B2072)</f>
        <v>2025</v>
      </c>
      <c r="D2072" s="61" t="str">
        <f aca="false">"Q"&amp;ROUNDUP(MONTH($B2072)/3,0)</f>
        <v>Q3</v>
      </c>
      <c r="E2072" s="61" t="n">
        <f aca="false">MONTH($B2072)</f>
        <v>9</v>
      </c>
      <c r="F2072" s="61" t="str">
        <f aca="false">INDEX(Parametros!$I$5:$I$16,$E2072)</f>
        <v>Sep</v>
      </c>
      <c r="G2072" s="61" t="str">
        <f aca="false">TEXT($C2072,"0000")&amp;"-"&amp;TEXT($E2072,"00")</f>
        <v>2025-09</v>
      </c>
      <c r="H2072" s="61" t="str">
        <f aca="false">INDEX(Parametros!$C$71:$C$91,MATCH(TRIM(INDEX(Datos_Origen!$C$2:$C$2459,$Z2072)),Parametros!$B$71:$B$91,0))</f>
        <v>Cuyo</v>
      </c>
      <c r="I2072" s="61" t="str">
        <f aca="false">IF(TRIM($AD2072)="",INDEX(Parametros!$I$20:$I$24,MATCH($H2072,Parametros!$H$20:$H$24,0)),TRIM($AD2072))</f>
        <v>Mendoza</v>
      </c>
      <c r="J2072" s="61" t="str">
        <f aca="false">INDEX(Parametros!$C$95:$C$106,MATCH(TRIM(INDEX(Datos_Origen!$E$2:$E$2459,$Z2072)),Parametros!$B$95:$B$106,0))</f>
        <v>Tienda fisica</v>
      </c>
      <c r="K2072" s="61" t="str">
        <f aca="false">INDEX(Parametros!$C$48:$C$67,MATCH(TRIM(INDEX(Datos_Origen!$F$2:$F$2459,$Z2072)),Parametros!$B$48:$B$67,0))</f>
        <v>Accesorios</v>
      </c>
      <c r="L2072" s="61" t="str">
        <f aca="false">$K2072&amp;" "&amp;$C2072</f>
        <v>Accesorios 2025</v>
      </c>
      <c r="M2072" s="61" t="str">
        <f aca="false">TRIM(INDEX(Datos_Origen!$G$2:$G$2459,$Z2072))</f>
        <v>Webcam Full HD</v>
      </c>
      <c r="N2072" s="61" t="str">
        <f aca="false">$M2072&amp;" "&amp;$C2072</f>
        <v>Webcam Full HD 2025</v>
      </c>
      <c r="O2072" s="63" t="n">
        <f aca="false">IF(ISTEXT($AC2072),VALUE($AC2072),$AC2072)</f>
        <v>30</v>
      </c>
      <c r="P2072" s="64" t="n">
        <f aca="false">INDEX(Datos_Origen!$I$2:$I$2459,$Z2072)</f>
        <v>65.26</v>
      </c>
      <c r="Q2072" s="64" t="n">
        <f aca="false">INDEX(Datos_Origen!$J$2:$J$2459,$Z2072)</f>
        <v>36.49</v>
      </c>
      <c r="R2072" s="65" t="n">
        <f aca="false">ROUND($O2072*$P2072,2)</f>
        <v>1957.8</v>
      </c>
      <c r="S2072" s="65" t="n">
        <f aca="false">ROUND($O2072*$Q2072,2)</f>
        <v>1094.7</v>
      </c>
      <c r="T2072" s="65" t="n">
        <f aca="false">ROUND($R2072*SUMIFS(Parametros!$E$28:$E$43,Parametros!$B$28:$B$43,$J2072,Parametros!$C$28:$C$43,$C2072,Parametros!$D$28:$D$43,$D2072),2)</f>
        <v>25.45</v>
      </c>
      <c r="U2072" s="65" t="n">
        <f aca="false">$R2072-$S2072-$T2072</f>
        <v>837.65</v>
      </c>
      <c r="V2072" s="66" t="n">
        <f aca="false">IFERROR($U2072/$R2072,0)</f>
        <v>0.427852691796915</v>
      </c>
      <c r="W2072" s="67" t="str">
        <f aca="false">IF(AND($V2072&gt;=Parametros!$C$8,$R2072&gt;=Parametros!$C$12),"Alta rentabilidad",IF(OR($V2072&lt;Parametros!$C$11,$R2072&lt;Parametros!$C$13),"Revisar","Estandar"))</f>
        <v>Estandar</v>
      </c>
      <c r="X2072" s="67" t="str">
        <f aca="false">IF(AND($J2072="E-commerce",IFERROR($T2072/$R2072,0)&gt;Parametros!$C$14),"Alerta","OK")</f>
        <v>OK</v>
      </c>
      <c r="Y2072" s="61" t="str">
        <f aca="false">IF($R2072&gt;=Parametros!$C$12,"Alto",IF($R2072&lt;Parametros!$C$13,"Bajo","Medio"))</f>
        <v>Medio</v>
      </c>
      <c r="Z2072" s="61" t="n">
        <v>692</v>
      </c>
      <c r="AA2072" s="61" t="str">
        <f aca="false">IF(MATCH($A2072,Datos_Origen!$A$2:$A$2459,0)=$Z2072,"OK","REVISAR")</f>
        <v>OK</v>
      </c>
      <c r="AB2072" s="61" t="str">
        <f aca="false">INDEX(Datos_Origen!$B$2:$B$2459,$Z2072)</f>
        <v>26/09/2025</v>
      </c>
      <c r="AC2072" s="61" t="n">
        <f aca="false">INDEX(Datos_Origen!$H$2:$H$2459,$Z2072)</f>
        <v>30</v>
      </c>
      <c r="AD2072" s="61" t="str">
        <f aca="false">INDEX(Datos_Origen!$D$2:$D$2459,$Z2072)&amp;""</f>
        <v>Mendoza</v>
      </c>
    </row>
    <row r="2073" customFormat="false" ht="15" hidden="false" customHeight="false" outlineLevel="0" collapsed="false">
      <c r="A2073" s="61" t="n">
        <f aca="false">INDEX(Datos_Origen!$A$2:$A$2459,$Z2073)</f>
        <v>2072</v>
      </c>
      <c r="B2073" s="62" t="n">
        <f aca="false">IF(ISNUMBER($AB2073),$AB2073,IF(MID($AB2073,5,1)="-",DATE(VALUE(LEFT($AB2073,4)),VALUE(MID($AB2073,6,2)),VALUE(RIGHT($AB2073,2))),DATE(VALUE(RIGHT($AB2073,4)),VALUE(MID($AB2073,4,2)),VALUE(LEFT($AB2073,2)))))</f>
        <v>45906</v>
      </c>
      <c r="C2073" s="61" t="n">
        <f aca="false">YEAR($B2073)</f>
        <v>2025</v>
      </c>
      <c r="D2073" s="61" t="str">
        <f aca="false">"Q"&amp;ROUNDUP(MONTH($B2073)/3,0)</f>
        <v>Q3</v>
      </c>
      <c r="E2073" s="61" t="n">
        <f aca="false">MONTH($B2073)</f>
        <v>9</v>
      </c>
      <c r="F2073" s="61" t="str">
        <f aca="false">INDEX(Parametros!$I$5:$I$16,$E2073)</f>
        <v>Sep</v>
      </c>
      <c r="G2073" s="61" t="str">
        <f aca="false">TEXT($C2073,"0000")&amp;"-"&amp;TEXT($E2073,"00")</f>
        <v>2025-09</v>
      </c>
      <c r="H2073" s="61" t="str">
        <f aca="false">INDEX(Parametros!$C$71:$C$91,MATCH(TRIM(INDEX(Datos_Origen!$C$2:$C$2459,$Z2073)),Parametros!$B$71:$B$91,0))</f>
        <v>Cuyo</v>
      </c>
      <c r="I2073" s="61" t="str">
        <f aca="false">IF(TRIM($AD2073)="",INDEX(Parametros!$I$20:$I$24,MATCH($H2073,Parametros!$H$20:$H$24,0)),TRIM($AD2073))</f>
        <v>Mendoza</v>
      </c>
      <c r="J2073" s="61" t="str">
        <f aca="false">INDEX(Parametros!$C$95:$C$106,MATCH(TRIM(INDEX(Datos_Origen!$E$2:$E$2459,$Z2073)),Parametros!$B$95:$B$106,0))</f>
        <v>E-commerce</v>
      </c>
      <c r="K2073" s="61" t="str">
        <f aca="false">INDEX(Parametros!$C$48:$C$67,MATCH(TRIM(INDEX(Datos_Origen!$F$2:$F$2459,$Z2073)),Parametros!$B$48:$B$67,0))</f>
        <v>Accesorios</v>
      </c>
      <c r="L2073" s="61" t="str">
        <f aca="false">$K2073&amp;" "&amp;$C2073</f>
        <v>Accesorios 2025</v>
      </c>
      <c r="M2073" s="61" t="str">
        <f aca="false">TRIM(INDEX(Datos_Origen!$G$2:$G$2459,$Z2073))</f>
        <v>Webcam Full HD</v>
      </c>
      <c r="N2073" s="61" t="str">
        <f aca="false">$M2073&amp;" "&amp;$C2073</f>
        <v>Webcam Full HD 2025</v>
      </c>
      <c r="O2073" s="63" t="n">
        <f aca="false">IF(ISTEXT($AC2073),VALUE($AC2073),$AC2073)</f>
        <v>18</v>
      </c>
      <c r="P2073" s="64" t="n">
        <f aca="false">INDEX(Datos_Origen!$I$2:$I$2459,$Z2073)</f>
        <v>65.26</v>
      </c>
      <c r="Q2073" s="64" t="n">
        <f aca="false">INDEX(Datos_Origen!$J$2:$J$2459,$Z2073)</f>
        <v>36.49</v>
      </c>
      <c r="R2073" s="65" t="n">
        <f aca="false">ROUND($O2073*$P2073,2)</f>
        <v>1174.68</v>
      </c>
      <c r="S2073" s="65" t="n">
        <f aca="false">ROUND($O2073*$Q2073,2)</f>
        <v>656.82</v>
      </c>
      <c r="T2073" s="65" t="n">
        <f aca="false">ROUND($R2073*SUMIFS(Parametros!$E$28:$E$43,Parametros!$B$28:$B$43,$J2073,Parametros!$C$28:$C$43,$C2073,Parametros!$D$28:$D$43,$D2073),2)</f>
        <v>65.78</v>
      </c>
      <c r="U2073" s="65" t="n">
        <f aca="false">$R2073-$S2073-$T2073</f>
        <v>452.08</v>
      </c>
      <c r="V2073" s="66" t="n">
        <f aca="false">IFERROR($U2073/$R2073,0)</f>
        <v>0.384853747403548</v>
      </c>
      <c r="W2073" s="67" t="str">
        <f aca="false">IF(AND($V2073&gt;=Parametros!$C$8,$R2073&gt;=Parametros!$C$12),"Alta rentabilidad",IF(OR($V2073&lt;Parametros!$C$11,$R2073&lt;Parametros!$C$13),"Revisar","Estandar"))</f>
        <v>Estandar</v>
      </c>
      <c r="X2073" s="67" t="str">
        <f aca="false">IF(AND($J2073="E-commerce",IFERROR($T2073/$R2073,0)&gt;Parametros!$C$14),"Alerta","OK")</f>
        <v>Alerta</v>
      </c>
      <c r="Y2073" s="61" t="str">
        <f aca="false">IF($R2073&gt;=Parametros!$C$12,"Alto",IF($R2073&lt;Parametros!$C$13,"Bajo","Medio"))</f>
        <v>Medio</v>
      </c>
      <c r="Z2073" s="61" t="n">
        <v>1802</v>
      </c>
      <c r="AA2073" s="61" t="str">
        <f aca="false">IF(MATCH($A2073,Datos_Origen!$A$2:$A$2459,0)=$Z2073,"OK","REVISAR")</f>
        <v>OK</v>
      </c>
      <c r="AB2073" s="62" t="n">
        <f aca="false">INDEX(Datos_Origen!$B$2:$B$2459,$Z2073)</f>
        <v>45906</v>
      </c>
      <c r="AC2073" s="61" t="n">
        <f aca="false">INDEX(Datos_Origen!$H$2:$H$2459,$Z2073)</f>
        <v>18</v>
      </c>
      <c r="AD2073" s="61" t="str">
        <f aca="false">INDEX(Datos_Origen!$D$2:$D$2459,$Z2073)&amp;""</f>
        <v>Mendoza</v>
      </c>
    </row>
    <row r="2074" customFormat="false" ht="15" hidden="false" customHeight="false" outlineLevel="0" collapsed="false">
      <c r="A2074" s="61" t="n">
        <f aca="false">INDEX(Datos_Origen!$A$2:$A$2459,$Z2074)</f>
        <v>2073</v>
      </c>
      <c r="B2074" s="62" t="n">
        <f aca="false">IF(ISNUMBER($AB2074),$AB2074,IF(MID($AB2074,5,1)="-",DATE(VALUE(LEFT($AB2074,4)),VALUE(MID($AB2074,6,2)),VALUE(RIGHT($AB2074,2))),DATE(VALUE(RIGHT($AB2074,4)),VALUE(MID($AB2074,4,2)),VALUE(LEFT($AB2074,2)))))</f>
        <v>45913</v>
      </c>
      <c r="C2074" s="61" t="n">
        <f aca="false">YEAR($B2074)</f>
        <v>2025</v>
      </c>
      <c r="D2074" s="61" t="str">
        <f aca="false">"Q"&amp;ROUNDUP(MONTH($B2074)/3,0)</f>
        <v>Q3</v>
      </c>
      <c r="E2074" s="61" t="n">
        <f aca="false">MONTH($B2074)</f>
        <v>9</v>
      </c>
      <c r="F2074" s="61" t="str">
        <f aca="false">INDEX(Parametros!$I$5:$I$16,$E2074)</f>
        <v>Sep</v>
      </c>
      <c r="G2074" s="61" t="str">
        <f aca="false">TEXT($C2074,"0000")&amp;"-"&amp;TEXT($E2074,"00")</f>
        <v>2025-09</v>
      </c>
      <c r="H2074" s="61" t="str">
        <f aca="false">INDEX(Parametros!$C$71:$C$91,MATCH(TRIM(INDEX(Datos_Origen!$C$2:$C$2459,$Z2074)),Parametros!$B$71:$B$91,0))</f>
        <v>Cuyo</v>
      </c>
      <c r="I2074" s="61" t="str">
        <f aca="false">IF(TRIM($AD2074)="",INDEX(Parametros!$I$20:$I$24,MATCH($H2074,Parametros!$H$20:$H$24,0)),TRIM($AD2074))</f>
        <v>Mendoza</v>
      </c>
      <c r="J2074" s="61" t="str">
        <f aca="false">INDEX(Parametros!$C$95:$C$106,MATCH(TRIM(INDEX(Datos_Origen!$E$2:$E$2459,$Z2074)),Parametros!$B$95:$B$106,0))</f>
        <v>Tienda fisica</v>
      </c>
      <c r="K2074" s="61" t="str">
        <f aca="false">INDEX(Parametros!$C$48:$C$67,MATCH(TRIM(INDEX(Datos_Origen!$F$2:$F$2459,$Z2074)),Parametros!$B$48:$B$67,0))</f>
        <v>Audio</v>
      </c>
      <c r="L2074" s="61" t="str">
        <f aca="false">$K2074&amp;" "&amp;$C2074</f>
        <v>Audio 2025</v>
      </c>
      <c r="M2074" s="61" t="str">
        <f aca="false">TRIM(INDEX(Datos_Origen!$G$2:$G$2459,$Z2074))</f>
        <v>Auriculares BT Pro</v>
      </c>
      <c r="N2074" s="61" t="str">
        <f aca="false">$M2074&amp;" "&amp;$C2074</f>
        <v>Auriculares BT Pro 2025</v>
      </c>
      <c r="O2074" s="63" t="n">
        <f aca="false">IF(ISTEXT($AC2074),VALUE($AC2074),$AC2074)</f>
        <v>15</v>
      </c>
      <c r="P2074" s="64" t="n">
        <f aca="false">INDEX(Datos_Origen!$I$2:$I$2459,$Z2074)</f>
        <v>120.47</v>
      </c>
      <c r="Q2074" s="64" t="n">
        <f aca="false">INDEX(Datos_Origen!$J$2:$J$2459,$Z2074)</f>
        <v>65.51</v>
      </c>
      <c r="R2074" s="65" t="n">
        <f aca="false">ROUND($O2074*$P2074,2)</f>
        <v>1807.05</v>
      </c>
      <c r="S2074" s="65" t="n">
        <f aca="false">ROUND($O2074*$Q2074,2)</f>
        <v>982.65</v>
      </c>
      <c r="T2074" s="65" t="n">
        <f aca="false">ROUND($R2074*SUMIFS(Parametros!$E$28:$E$43,Parametros!$B$28:$B$43,$J2074,Parametros!$C$28:$C$43,$C2074,Parametros!$D$28:$D$43,$D2074),2)</f>
        <v>23.49</v>
      </c>
      <c r="U2074" s="65" t="n">
        <f aca="false">$R2074-$S2074-$T2074</f>
        <v>800.91</v>
      </c>
      <c r="V2074" s="66" t="n">
        <f aca="false">IFERROR($U2074/$R2074,0)</f>
        <v>0.443214078193741</v>
      </c>
      <c r="W2074" s="67" t="str">
        <f aca="false">IF(AND($V2074&gt;=Parametros!$C$8,$R2074&gt;=Parametros!$C$12),"Alta rentabilidad",IF(OR($V2074&lt;Parametros!$C$11,$R2074&lt;Parametros!$C$13),"Revisar","Estandar"))</f>
        <v>Estandar</v>
      </c>
      <c r="X2074" s="67" t="str">
        <f aca="false">IF(AND($J2074="E-commerce",IFERROR($T2074/$R2074,0)&gt;Parametros!$C$14),"Alerta","OK")</f>
        <v>OK</v>
      </c>
      <c r="Y2074" s="61" t="str">
        <f aca="false">IF($R2074&gt;=Parametros!$C$12,"Alto",IF($R2074&lt;Parametros!$C$13,"Bajo","Medio"))</f>
        <v>Medio</v>
      </c>
      <c r="Z2074" s="61" t="n">
        <v>662</v>
      </c>
      <c r="AA2074" s="61" t="str">
        <f aca="false">IF(MATCH($A2074,Datos_Origen!$A$2:$A$2459,0)=$Z2074,"OK","REVISAR")</f>
        <v>OK</v>
      </c>
      <c r="AB2074" s="62" t="n">
        <f aca="false">INDEX(Datos_Origen!$B$2:$B$2459,$Z2074)</f>
        <v>45913</v>
      </c>
      <c r="AC2074" s="61" t="n">
        <f aca="false">INDEX(Datos_Origen!$H$2:$H$2459,$Z2074)</f>
        <v>15</v>
      </c>
      <c r="AD2074" s="61" t="str">
        <f aca="false">INDEX(Datos_Origen!$D$2:$D$2459,$Z2074)&amp;""</f>
        <v/>
      </c>
    </row>
    <row r="2075" customFormat="false" ht="15" hidden="false" customHeight="false" outlineLevel="0" collapsed="false">
      <c r="A2075" s="61" t="n">
        <f aca="false">INDEX(Datos_Origen!$A$2:$A$2459,$Z2075)</f>
        <v>2074</v>
      </c>
      <c r="B2075" s="62" t="n">
        <f aca="false">IF(ISNUMBER($AB2075),$AB2075,IF(MID($AB2075,5,1)="-",DATE(VALUE(LEFT($AB2075,4)),VALUE(MID($AB2075,6,2)),VALUE(RIGHT($AB2075,2))),DATE(VALUE(RIGHT($AB2075,4)),VALUE(MID($AB2075,4,2)),VALUE(LEFT($AB2075,2)))))</f>
        <v>45920</v>
      </c>
      <c r="C2075" s="61" t="n">
        <f aca="false">YEAR($B2075)</f>
        <v>2025</v>
      </c>
      <c r="D2075" s="61" t="str">
        <f aca="false">"Q"&amp;ROUNDUP(MONTH($B2075)/3,0)</f>
        <v>Q3</v>
      </c>
      <c r="E2075" s="61" t="n">
        <f aca="false">MONTH($B2075)</f>
        <v>9</v>
      </c>
      <c r="F2075" s="61" t="str">
        <f aca="false">INDEX(Parametros!$I$5:$I$16,$E2075)</f>
        <v>Sep</v>
      </c>
      <c r="G2075" s="61" t="str">
        <f aca="false">TEXT($C2075,"0000")&amp;"-"&amp;TEXT($E2075,"00")</f>
        <v>2025-09</v>
      </c>
      <c r="H2075" s="61" t="str">
        <f aca="false">INDEX(Parametros!$C$71:$C$91,MATCH(TRIM(INDEX(Datos_Origen!$C$2:$C$2459,$Z2075)),Parametros!$B$71:$B$91,0))</f>
        <v>Cuyo</v>
      </c>
      <c r="I2075" s="61" t="str">
        <f aca="false">IF(TRIM($AD2075)="",INDEX(Parametros!$I$20:$I$24,MATCH($H2075,Parametros!$H$20:$H$24,0)),TRIM($AD2075))</f>
        <v>Mendoza</v>
      </c>
      <c r="J2075" s="61" t="str">
        <f aca="false">INDEX(Parametros!$C$95:$C$106,MATCH(TRIM(INDEX(Datos_Origen!$E$2:$E$2459,$Z2075)),Parametros!$B$95:$B$106,0))</f>
        <v>E-commerce</v>
      </c>
      <c r="K2075" s="61" t="str">
        <f aca="false">INDEX(Parametros!$C$48:$C$67,MATCH(TRIM(INDEX(Datos_Origen!$F$2:$F$2459,$Z2075)),Parametros!$B$48:$B$67,0))</f>
        <v>Audio</v>
      </c>
      <c r="L2075" s="61" t="str">
        <f aca="false">$K2075&amp;" "&amp;$C2075</f>
        <v>Audio 2025</v>
      </c>
      <c r="M2075" s="61" t="str">
        <f aca="false">TRIM(INDEX(Datos_Origen!$G$2:$G$2459,$Z2075))</f>
        <v>Auriculares BT Pro</v>
      </c>
      <c r="N2075" s="61" t="str">
        <f aca="false">$M2075&amp;" "&amp;$C2075</f>
        <v>Auriculares BT Pro 2025</v>
      </c>
      <c r="O2075" s="63" t="n">
        <f aca="false">IF(ISTEXT($AC2075),VALUE($AC2075),$AC2075)</f>
        <v>10</v>
      </c>
      <c r="P2075" s="64" t="n">
        <f aca="false">INDEX(Datos_Origen!$I$2:$I$2459,$Z2075)</f>
        <v>120.47</v>
      </c>
      <c r="Q2075" s="64" t="n">
        <f aca="false">INDEX(Datos_Origen!$J$2:$J$2459,$Z2075)</f>
        <v>65.51</v>
      </c>
      <c r="R2075" s="65" t="n">
        <f aca="false">ROUND($O2075*$P2075,2)</f>
        <v>1204.7</v>
      </c>
      <c r="S2075" s="65" t="n">
        <f aca="false">ROUND($O2075*$Q2075,2)</f>
        <v>655.1</v>
      </c>
      <c r="T2075" s="65" t="n">
        <f aca="false">ROUND($R2075*SUMIFS(Parametros!$E$28:$E$43,Parametros!$B$28:$B$43,$J2075,Parametros!$C$28:$C$43,$C2075,Parametros!$D$28:$D$43,$D2075),2)</f>
        <v>67.46</v>
      </c>
      <c r="U2075" s="65" t="n">
        <f aca="false">$R2075-$S2075-$T2075</f>
        <v>482.14</v>
      </c>
      <c r="V2075" s="66" t="n">
        <f aca="false">IFERROR($U2075/$R2075,0)</f>
        <v>0.400215821366315</v>
      </c>
      <c r="W2075" s="67" t="str">
        <f aca="false">IF(AND($V2075&gt;=Parametros!$C$8,$R2075&gt;=Parametros!$C$12),"Alta rentabilidad",IF(OR($V2075&lt;Parametros!$C$11,$R2075&lt;Parametros!$C$13),"Revisar","Estandar"))</f>
        <v>Estandar</v>
      </c>
      <c r="X2075" s="67" t="str">
        <f aca="false">IF(AND($J2075="E-commerce",IFERROR($T2075/$R2075,0)&gt;Parametros!$C$14),"Alerta","OK")</f>
        <v>Alerta</v>
      </c>
      <c r="Y2075" s="61" t="str">
        <f aca="false">IF($R2075&gt;=Parametros!$C$12,"Alto",IF($R2075&lt;Parametros!$C$13,"Bajo","Medio"))</f>
        <v>Medio</v>
      </c>
      <c r="Z2075" s="61" t="n">
        <v>1019</v>
      </c>
      <c r="AA2075" s="61" t="str">
        <f aca="false">IF(MATCH($A2075,Datos_Origen!$A$2:$A$2459,0)=$Z2075,"OK","REVISAR")</f>
        <v>OK</v>
      </c>
      <c r="AB2075" s="61" t="str">
        <f aca="false">INDEX(Datos_Origen!$B$2:$B$2459,$Z2075)</f>
        <v>2025-09-20</v>
      </c>
      <c r="AC2075" s="61" t="n">
        <f aca="false">INDEX(Datos_Origen!$H$2:$H$2459,$Z2075)</f>
        <v>10</v>
      </c>
      <c r="AD2075" s="61" t="str">
        <f aca="false">INDEX(Datos_Origen!$D$2:$D$2459,$Z2075)&amp;""</f>
        <v>Mendoza</v>
      </c>
    </row>
    <row r="2076" customFormat="false" ht="15" hidden="false" customHeight="false" outlineLevel="0" collapsed="false">
      <c r="A2076" s="61" t="n">
        <f aca="false">INDEX(Datos_Origen!$A$2:$A$2459,$Z2076)</f>
        <v>2075</v>
      </c>
      <c r="B2076" s="62" t="n">
        <f aca="false">IF(ISNUMBER($AB2076),$AB2076,IF(MID($AB2076,5,1)="-",DATE(VALUE(LEFT($AB2076,4)),VALUE(MID($AB2076,6,2)),VALUE(RIGHT($AB2076,2))),DATE(VALUE(RIGHT($AB2076,4)),VALUE(MID($AB2076,4,2)),VALUE(LEFT($AB2076,2)))))</f>
        <v>45927</v>
      </c>
      <c r="C2076" s="61" t="n">
        <f aca="false">YEAR($B2076)</f>
        <v>2025</v>
      </c>
      <c r="D2076" s="61" t="str">
        <f aca="false">"Q"&amp;ROUNDUP(MONTH($B2076)/3,0)</f>
        <v>Q3</v>
      </c>
      <c r="E2076" s="61" t="n">
        <f aca="false">MONTH($B2076)</f>
        <v>9</v>
      </c>
      <c r="F2076" s="61" t="str">
        <f aca="false">INDEX(Parametros!$I$5:$I$16,$E2076)</f>
        <v>Sep</v>
      </c>
      <c r="G2076" s="61" t="str">
        <f aca="false">TEXT($C2076,"0000")&amp;"-"&amp;TEXT($E2076,"00")</f>
        <v>2025-09</v>
      </c>
      <c r="H2076" s="61" t="str">
        <f aca="false">INDEX(Parametros!$C$71:$C$91,MATCH(TRIM(INDEX(Datos_Origen!$C$2:$C$2459,$Z2076)),Parametros!$B$71:$B$91,0))</f>
        <v>Cuyo</v>
      </c>
      <c r="I2076" s="61" t="str">
        <f aca="false">IF(TRIM($AD2076)="",INDEX(Parametros!$I$20:$I$24,MATCH($H2076,Parametros!$H$20:$H$24,0)),TRIM($AD2076))</f>
        <v>Mendoza</v>
      </c>
      <c r="J2076" s="61" t="str">
        <f aca="false">INDEX(Parametros!$C$95:$C$106,MATCH(TRIM(INDEX(Datos_Origen!$E$2:$E$2459,$Z2076)),Parametros!$B$95:$B$106,0))</f>
        <v>Tienda fisica</v>
      </c>
      <c r="K2076" s="61" t="str">
        <f aca="false">INDEX(Parametros!$C$48:$C$67,MATCH(TRIM(INDEX(Datos_Origen!$F$2:$F$2459,$Z2076)),Parametros!$B$48:$B$67,0))</f>
        <v>Audio</v>
      </c>
      <c r="L2076" s="61" t="str">
        <f aca="false">$K2076&amp;" "&amp;$C2076</f>
        <v>Audio 2025</v>
      </c>
      <c r="M2076" s="61" t="str">
        <f aca="false">TRIM(INDEX(Datos_Origen!$G$2:$G$2459,$Z2076))</f>
        <v>Parlante Bluetooth</v>
      </c>
      <c r="N2076" s="61" t="str">
        <f aca="false">$M2076&amp;" "&amp;$C2076</f>
        <v>Parlante Bluetooth 2025</v>
      </c>
      <c r="O2076" s="63" t="n">
        <f aca="false">IF(ISTEXT($AC2076),VALUE($AC2076),$AC2076)</f>
        <v>13</v>
      </c>
      <c r="P2076" s="64" t="n">
        <f aca="false">INDEX(Datos_Origen!$I$2:$I$2459,$Z2076)</f>
        <v>85.34</v>
      </c>
      <c r="Q2076" s="64" t="n">
        <f aca="false">INDEX(Datos_Origen!$J$2:$J$2459,$Z2076)</f>
        <v>49.47</v>
      </c>
      <c r="R2076" s="65" t="n">
        <f aca="false">ROUND($O2076*$P2076,2)</f>
        <v>1109.42</v>
      </c>
      <c r="S2076" s="65" t="n">
        <f aca="false">ROUND($O2076*$Q2076,2)</f>
        <v>643.11</v>
      </c>
      <c r="T2076" s="65" t="n">
        <f aca="false">ROUND($R2076*SUMIFS(Parametros!$E$28:$E$43,Parametros!$B$28:$B$43,$J2076,Parametros!$C$28:$C$43,$C2076,Parametros!$D$28:$D$43,$D2076),2)</f>
        <v>14.42</v>
      </c>
      <c r="U2076" s="65" t="n">
        <f aca="false">$R2076-$S2076-$T2076</f>
        <v>451.89</v>
      </c>
      <c r="V2076" s="66" t="n">
        <f aca="false">IFERROR($U2076/$R2076,0)</f>
        <v>0.407320942474446</v>
      </c>
      <c r="W2076" s="67" t="str">
        <f aca="false">IF(AND($V2076&gt;=Parametros!$C$8,$R2076&gt;=Parametros!$C$12),"Alta rentabilidad",IF(OR($V2076&lt;Parametros!$C$11,$R2076&lt;Parametros!$C$13),"Revisar","Estandar"))</f>
        <v>Estandar</v>
      </c>
      <c r="X2076" s="67" t="str">
        <f aca="false">IF(AND($J2076="E-commerce",IFERROR($T2076/$R2076,0)&gt;Parametros!$C$14),"Alerta","OK")</f>
        <v>OK</v>
      </c>
      <c r="Y2076" s="61" t="str">
        <f aca="false">IF($R2076&gt;=Parametros!$C$12,"Alto",IF($R2076&lt;Parametros!$C$13,"Bajo","Medio"))</f>
        <v>Medio</v>
      </c>
      <c r="Z2076" s="61" t="n">
        <v>1873</v>
      </c>
      <c r="AA2076" s="61" t="str">
        <f aca="false">IF(MATCH($A2076,Datos_Origen!$A$2:$A$2459,0)=$Z2076,"OK","REVISAR")</f>
        <v>OK</v>
      </c>
      <c r="AB2076" s="61" t="str">
        <f aca="false">INDEX(Datos_Origen!$B$2:$B$2459,$Z2076)</f>
        <v>2025-09-27</v>
      </c>
      <c r="AC2076" s="61" t="n">
        <f aca="false">INDEX(Datos_Origen!$H$2:$H$2459,$Z2076)</f>
        <v>13</v>
      </c>
      <c r="AD2076" s="61" t="str">
        <f aca="false">INDEX(Datos_Origen!$D$2:$D$2459,$Z2076)&amp;""</f>
        <v>Mendoza</v>
      </c>
    </row>
    <row r="2077" customFormat="false" ht="15" hidden="false" customHeight="false" outlineLevel="0" collapsed="false">
      <c r="A2077" s="61" t="n">
        <f aca="false">INDEX(Datos_Origen!$A$2:$A$2459,$Z2077)</f>
        <v>2076</v>
      </c>
      <c r="B2077" s="62" t="n">
        <f aca="false">IF(ISNUMBER($AB2077),$AB2077,IF(MID($AB2077,5,1)="-",DATE(VALUE(LEFT($AB2077,4)),VALUE(MID($AB2077,6,2)),VALUE(RIGHT($AB2077,2))),DATE(VALUE(RIGHT($AB2077,4)),VALUE(MID($AB2077,4,2)),VALUE(LEFT($AB2077,2)))))</f>
        <v>45907</v>
      </c>
      <c r="C2077" s="61" t="n">
        <f aca="false">YEAR($B2077)</f>
        <v>2025</v>
      </c>
      <c r="D2077" s="61" t="str">
        <f aca="false">"Q"&amp;ROUNDUP(MONTH($B2077)/3,0)</f>
        <v>Q3</v>
      </c>
      <c r="E2077" s="61" t="n">
        <f aca="false">MONTH($B2077)</f>
        <v>9</v>
      </c>
      <c r="F2077" s="61" t="str">
        <f aca="false">INDEX(Parametros!$I$5:$I$16,$E2077)</f>
        <v>Sep</v>
      </c>
      <c r="G2077" s="61" t="str">
        <f aca="false">TEXT($C2077,"0000")&amp;"-"&amp;TEXT($E2077,"00")</f>
        <v>2025-09</v>
      </c>
      <c r="H2077" s="61" t="str">
        <f aca="false">INDEX(Parametros!$C$71:$C$91,MATCH(TRIM(INDEX(Datos_Origen!$C$2:$C$2459,$Z2077)),Parametros!$B$71:$B$91,0))</f>
        <v>Cuyo</v>
      </c>
      <c r="I2077" s="61" t="str">
        <f aca="false">IF(TRIM($AD2077)="",INDEX(Parametros!$I$20:$I$24,MATCH($H2077,Parametros!$H$20:$H$24,0)),TRIM($AD2077))</f>
        <v>Mendoza</v>
      </c>
      <c r="J2077" s="61" t="str">
        <f aca="false">INDEX(Parametros!$C$95:$C$106,MATCH(TRIM(INDEX(Datos_Origen!$E$2:$E$2459,$Z2077)),Parametros!$B$95:$B$106,0))</f>
        <v>E-commerce</v>
      </c>
      <c r="K2077" s="61" t="str">
        <f aca="false">INDEX(Parametros!$C$48:$C$67,MATCH(TRIM(INDEX(Datos_Origen!$F$2:$F$2459,$Z2077)),Parametros!$B$48:$B$67,0))</f>
        <v>Audio</v>
      </c>
      <c r="L2077" s="61" t="str">
        <f aca="false">$K2077&amp;" "&amp;$C2077</f>
        <v>Audio 2025</v>
      </c>
      <c r="M2077" s="61" t="str">
        <f aca="false">TRIM(INDEX(Datos_Origen!$G$2:$G$2459,$Z2077))</f>
        <v>Parlante Bluetooth</v>
      </c>
      <c r="N2077" s="61" t="str">
        <f aca="false">$M2077&amp;" "&amp;$C2077</f>
        <v>Parlante Bluetooth 2025</v>
      </c>
      <c r="O2077" s="63" t="n">
        <f aca="false">IF(ISTEXT($AC2077),VALUE($AC2077),$AC2077)</f>
        <v>10</v>
      </c>
      <c r="P2077" s="64" t="n">
        <f aca="false">INDEX(Datos_Origen!$I$2:$I$2459,$Z2077)</f>
        <v>85.34</v>
      </c>
      <c r="Q2077" s="64" t="n">
        <f aca="false">INDEX(Datos_Origen!$J$2:$J$2459,$Z2077)</f>
        <v>49.47</v>
      </c>
      <c r="R2077" s="65" t="n">
        <f aca="false">ROUND($O2077*$P2077,2)</f>
        <v>853.4</v>
      </c>
      <c r="S2077" s="65" t="n">
        <f aca="false">ROUND($O2077*$Q2077,2)</f>
        <v>494.7</v>
      </c>
      <c r="T2077" s="65" t="n">
        <f aca="false">ROUND($R2077*SUMIFS(Parametros!$E$28:$E$43,Parametros!$B$28:$B$43,$J2077,Parametros!$C$28:$C$43,$C2077,Parametros!$D$28:$D$43,$D2077),2)</f>
        <v>47.79</v>
      </c>
      <c r="U2077" s="65" t="n">
        <f aca="false">$R2077-$S2077-$T2077</f>
        <v>310.91</v>
      </c>
      <c r="V2077" s="66" t="n">
        <f aca="false">IFERROR($U2077/$R2077,0)</f>
        <v>0.364319193812983</v>
      </c>
      <c r="W2077" s="67" t="str">
        <f aca="false">IF(AND($V2077&gt;=Parametros!$C$8,$R2077&gt;=Parametros!$C$12),"Alta rentabilidad",IF(OR($V2077&lt;Parametros!$C$11,$R2077&lt;Parametros!$C$13),"Revisar","Estandar"))</f>
        <v>Estandar</v>
      </c>
      <c r="X2077" s="67" t="str">
        <f aca="false">IF(AND($J2077="E-commerce",IFERROR($T2077/$R2077,0)&gt;Parametros!$C$14),"Alerta","OK")</f>
        <v>Alerta</v>
      </c>
      <c r="Y2077" s="61" t="str">
        <f aca="false">IF($R2077&gt;=Parametros!$C$12,"Alto",IF($R2077&lt;Parametros!$C$13,"Bajo","Medio"))</f>
        <v>Medio</v>
      </c>
      <c r="Z2077" s="61" t="n">
        <v>1684</v>
      </c>
      <c r="AA2077" s="61" t="str">
        <f aca="false">IF(MATCH($A2077,Datos_Origen!$A$2:$A$2459,0)=$Z2077,"OK","REVISAR")</f>
        <v>OK</v>
      </c>
      <c r="AB2077" s="62" t="n">
        <f aca="false">INDEX(Datos_Origen!$B$2:$B$2459,$Z2077)</f>
        <v>45907</v>
      </c>
      <c r="AC2077" s="61" t="n">
        <f aca="false">INDEX(Datos_Origen!$H$2:$H$2459,$Z2077)</f>
        <v>10</v>
      </c>
      <c r="AD2077" s="61" t="str">
        <f aca="false">INDEX(Datos_Origen!$D$2:$D$2459,$Z2077)&amp;""</f>
        <v>Mendoza</v>
      </c>
    </row>
    <row r="2078" customFormat="false" ht="15" hidden="false" customHeight="false" outlineLevel="0" collapsed="false">
      <c r="A2078" s="61" t="n">
        <f aca="false">INDEX(Datos_Origen!$A$2:$A$2459,$Z2078)</f>
        <v>2077</v>
      </c>
      <c r="B2078" s="62" t="n">
        <f aca="false">IF(ISNUMBER($AB2078),$AB2078,IF(MID($AB2078,5,1)="-",DATE(VALUE(LEFT($AB2078,4)),VALUE(MID($AB2078,6,2)),VALUE(RIGHT($AB2078,2))),DATE(VALUE(RIGHT($AB2078,4)),VALUE(MID($AB2078,4,2)),VALUE(LEFT($AB2078,2)))))</f>
        <v>45914</v>
      </c>
      <c r="C2078" s="61" t="n">
        <f aca="false">YEAR($B2078)</f>
        <v>2025</v>
      </c>
      <c r="D2078" s="61" t="str">
        <f aca="false">"Q"&amp;ROUNDUP(MONTH($B2078)/3,0)</f>
        <v>Q3</v>
      </c>
      <c r="E2078" s="61" t="n">
        <f aca="false">MONTH($B2078)</f>
        <v>9</v>
      </c>
      <c r="F2078" s="61" t="str">
        <f aca="false">INDEX(Parametros!$I$5:$I$16,$E2078)</f>
        <v>Sep</v>
      </c>
      <c r="G2078" s="61" t="str">
        <f aca="false">TEXT($C2078,"0000")&amp;"-"&amp;TEXT($E2078,"00")</f>
        <v>2025-09</v>
      </c>
      <c r="H2078" s="61" t="str">
        <f aca="false">INDEX(Parametros!$C$71:$C$91,MATCH(TRIM(INDEX(Datos_Origen!$C$2:$C$2459,$Z2078)),Parametros!$B$71:$B$91,0))</f>
        <v>Cuyo</v>
      </c>
      <c r="I2078" s="61" t="str">
        <f aca="false">IF(TRIM($AD2078)="",INDEX(Parametros!$I$20:$I$24,MATCH($H2078,Parametros!$H$20:$H$24,0)),TRIM($AD2078))</f>
        <v>Mendoza</v>
      </c>
      <c r="J2078" s="61" t="str">
        <f aca="false">INDEX(Parametros!$C$95:$C$106,MATCH(TRIM(INDEX(Datos_Origen!$E$2:$E$2459,$Z2078)),Parametros!$B$95:$B$106,0))</f>
        <v>Tienda fisica</v>
      </c>
      <c r="K2078" s="61" t="str">
        <f aca="false">INDEX(Parametros!$C$48:$C$67,MATCH(TRIM(INDEX(Datos_Origen!$F$2:$F$2459,$Z2078)),Parametros!$B$48:$B$67,0))</f>
        <v>Almacenamiento</v>
      </c>
      <c r="L2078" s="61" t="str">
        <f aca="false">$K2078&amp;" "&amp;$C2078</f>
        <v>Almacenamiento 2025</v>
      </c>
      <c r="M2078" s="61" t="str">
        <f aca="false">TRIM(INDEX(Datos_Origen!$G$2:$G$2459,$Z2078))</f>
        <v>SSD Externo 1TB</v>
      </c>
      <c r="N2078" s="61" t="str">
        <f aca="false">$M2078&amp;" "&amp;$C2078</f>
        <v>SSD Externo 1TB 2025</v>
      </c>
      <c r="O2078" s="63" t="n">
        <f aca="false">IF(ISTEXT($AC2078),VALUE($AC2078),$AC2078)</f>
        <v>16</v>
      </c>
      <c r="P2078" s="64" t="n">
        <f aca="false">INDEX(Datos_Origen!$I$2:$I$2459,$Z2078)</f>
        <v>130.51</v>
      </c>
      <c r="Q2078" s="64" t="n">
        <f aca="false">INDEX(Datos_Origen!$J$2:$J$2459,$Z2078)</f>
        <v>78.33</v>
      </c>
      <c r="R2078" s="65" t="n">
        <f aca="false">ROUND($O2078*$P2078,2)</f>
        <v>2088.16</v>
      </c>
      <c r="S2078" s="65" t="n">
        <f aca="false">ROUND($O2078*$Q2078,2)</f>
        <v>1253.28</v>
      </c>
      <c r="T2078" s="65" t="n">
        <f aca="false">ROUND($R2078*SUMIFS(Parametros!$E$28:$E$43,Parametros!$B$28:$B$43,$J2078,Parametros!$C$28:$C$43,$C2078,Parametros!$D$28:$D$43,$D2078),2)</f>
        <v>27.15</v>
      </c>
      <c r="U2078" s="65" t="n">
        <f aca="false">$R2078-$S2078-$T2078</f>
        <v>807.73</v>
      </c>
      <c r="V2078" s="66" t="n">
        <f aca="false">IFERROR($U2078/$R2078,0)</f>
        <v>0.386814228794728</v>
      </c>
      <c r="W2078" s="67" t="str">
        <f aca="false">IF(AND($V2078&gt;=Parametros!$C$8,$R2078&gt;=Parametros!$C$12),"Alta rentabilidad",IF(OR($V2078&lt;Parametros!$C$11,$R2078&lt;Parametros!$C$13),"Revisar","Estandar"))</f>
        <v>Estandar</v>
      </c>
      <c r="X2078" s="67" t="str">
        <f aca="false">IF(AND($J2078="E-commerce",IFERROR($T2078/$R2078,0)&gt;Parametros!$C$14),"Alerta","OK")</f>
        <v>OK</v>
      </c>
      <c r="Y2078" s="61" t="str">
        <f aca="false">IF($R2078&gt;=Parametros!$C$12,"Alto",IF($R2078&lt;Parametros!$C$13,"Bajo","Medio"))</f>
        <v>Medio</v>
      </c>
      <c r="Z2078" s="61" t="n">
        <v>1910</v>
      </c>
      <c r="AA2078" s="61" t="str">
        <f aca="false">IF(MATCH($A2078,Datos_Origen!$A$2:$A$2459,0)=$Z2078,"OK","REVISAR")</f>
        <v>OK</v>
      </c>
      <c r="AB2078" s="61" t="str">
        <f aca="false">INDEX(Datos_Origen!$B$2:$B$2459,$Z2078)</f>
        <v>14/09/2025</v>
      </c>
      <c r="AC2078" s="61" t="n">
        <f aca="false">INDEX(Datos_Origen!$H$2:$H$2459,$Z2078)</f>
        <v>16</v>
      </c>
      <c r="AD2078" s="61" t="str">
        <f aca="false">INDEX(Datos_Origen!$D$2:$D$2459,$Z2078)&amp;""</f>
        <v>Mendoza</v>
      </c>
    </row>
    <row r="2079" customFormat="false" ht="15" hidden="false" customHeight="false" outlineLevel="0" collapsed="false">
      <c r="A2079" s="61" t="n">
        <f aca="false">INDEX(Datos_Origen!$A$2:$A$2459,$Z2079)</f>
        <v>2078</v>
      </c>
      <c r="B2079" s="62" t="n">
        <f aca="false">IF(ISNUMBER($AB2079),$AB2079,IF(MID($AB2079,5,1)="-",DATE(VALUE(LEFT($AB2079,4)),VALUE(MID($AB2079,6,2)),VALUE(RIGHT($AB2079,2))),DATE(VALUE(RIGHT($AB2079,4)),VALUE(MID($AB2079,4,2)),VALUE(LEFT($AB2079,2)))))</f>
        <v>45921</v>
      </c>
      <c r="C2079" s="61" t="n">
        <f aca="false">YEAR($B2079)</f>
        <v>2025</v>
      </c>
      <c r="D2079" s="61" t="str">
        <f aca="false">"Q"&amp;ROUNDUP(MONTH($B2079)/3,0)</f>
        <v>Q3</v>
      </c>
      <c r="E2079" s="61" t="n">
        <f aca="false">MONTH($B2079)</f>
        <v>9</v>
      </c>
      <c r="F2079" s="61" t="str">
        <f aca="false">INDEX(Parametros!$I$5:$I$16,$E2079)</f>
        <v>Sep</v>
      </c>
      <c r="G2079" s="61" t="str">
        <f aca="false">TEXT($C2079,"0000")&amp;"-"&amp;TEXT($E2079,"00")</f>
        <v>2025-09</v>
      </c>
      <c r="H2079" s="61" t="str">
        <f aca="false">INDEX(Parametros!$C$71:$C$91,MATCH(TRIM(INDEX(Datos_Origen!$C$2:$C$2459,$Z2079)),Parametros!$B$71:$B$91,0))</f>
        <v>Cuyo</v>
      </c>
      <c r="I2079" s="61" t="str">
        <f aca="false">IF(TRIM($AD2079)="",INDEX(Parametros!$I$20:$I$24,MATCH($H2079,Parametros!$H$20:$H$24,0)),TRIM($AD2079))</f>
        <v>Mendoza</v>
      </c>
      <c r="J2079" s="61" t="str">
        <f aca="false">INDEX(Parametros!$C$95:$C$106,MATCH(TRIM(INDEX(Datos_Origen!$E$2:$E$2459,$Z2079)),Parametros!$B$95:$B$106,0))</f>
        <v>E-commerce</v>
      </c>
      <c r="K2079" s="61" t="str">
        <f aca="false">INDEX(Parametros!$C$48:$C$67,MATCH(TRIM(INDEX(Datos_Origen!$F$2:$F$2459,$Z2079)),Parametros!$B$48:$B$67,0))</f>
        <v>Almacenamiento</v>
      </c>
      <c r="L2079" s="61" t="str">
        <f aca="false">$K2079&amp;" "&amp;$C2079</f>
        <v>Almacenamiento 2025</v>
      </c>
      <c r="M2079" s="61" t="str">
        <f aca="false">TRIM(INDEX(Datos_Origen!$G$2:$G$2459,$Z2079))</f>
        <v>SSD Externo 1TB</v>
      </c>
      <c r="N2079" s="61" t="str">
        <f aca="false">$M2079&amp;" "&amp;$C2079</f>
        <v>SSD Externo 1TB 2025</v>
      </c>
      <c r="O2079" s="63" t="n">
        <f aca="false">IF(ISTEXT($AC2079),VALUE($AC2079),$AC2079)</f>
        <v>12</v>
      </c>
      <c r="P2079" s="64" t="n">
        <f aca="false">INDEX(Datos_Origen!$I$2:$I$2459,$Z2079)</f>
        <v>130.51</v>
      </c>
      <c r="Q2079" s="64" t="n">
        <f aca="false">INDEX(Datos_Origen!$J$2:$J$2459,$Z2079)</f>
        <v>78.33</v>
      </c>
      <c r="R2079" s="65" t="n">
        <f aca="false">ROUND($O2079*$P2079,2)</f>
        <v>1566.12</v>
      </c>
      <c r="S2079" s="65" t="n">
        <f aca="false">ROUND($O2079*$Q2079,2)</f>
        <v>939.96</v>
      </c>
      <c r="T2079" s="65" t="n">
        <f aca="false">ROUND($R2079*SUMIFS(Parametros!$E$28:$E$43,Parametros!$B$28:$B$43,$J2079,Parametros!$C$28:$C$43,$C2079,Parametros!$D$28:$D$43,$D2079),2)</f>
        <v>87.7</v>
      </c>
      <c r="U2079" s="65" t="n">
        <f aca="false">$R2079-$S2079-$T2079</f>
        <v>538.46</v>
      </c>
      <c r="V2079" s="66" t="n">
        <f aca="false">IFERROR($U2079/$R2079,0)</f>
        <v>0.343817842821751</v>
      </c>
      <c r="W2079" s="67" t="str">
        <f aca="false">IF(AND($V2079&gt;=Parametros!$C$8,$R2079&gt;=Parametros!$C$12),"Alta rentabilidad",IF(OR($V2079&lt;Parametros!$C$11,$R2079&lt;Parametros!$C$13),"Revisar","Estandar"))</f>
        <v>Estandar</v>
      </c>
      <c r="X2079" s="67" t="str">
        <f aca="false">IF(AND($J2079="E-commerce",IFERROR($T2079/$R2079,0)&gt;Parametros!$C$14),"Alerta","OK")</f>
        <v>Alerta</v>
      </c>
      <c r="Y2079" s="61" t="str">
        <f aca="false">IF($R2079&gt;=Parametros!$C$12,"Alto",IF($R2079&lt;Parametros!$C$13,"Bajo","Medio"))</f>
        <v>Medio</v>
      </c>
      <c r="Z2079" s="61" t="n">
        <v>349</v>
      </c>
      <c r="AA2079" s="61" t="str">
        <f aca="false">IF(MATCH($A2079,Datos_Origen!$A$2:$A$2459,0)=$Z2079,"OK","REVISAR")</f>
        <v>OK</v>
      </c>
      <c r="AB2079" s="62" t="n">
        <f aca="false">INDEX(Datos_Origen!$B$2:$B$2459,$Z2079)</f>
        <v>45921</v>
      </c>
      <c r="AC2079" s="61" t="n">
        <f aca="false">INDEX(Datos_Origen!$H$2:$H$2459,$Z2079)</f>
        <v>12</v>
      </c>
      <c r="AD2079" s="61" t="str">
        <f aca="false">INDEX(Datos_Origen!$D$2:$D$2459,$Z2079)&amp;""</f>
        <v>Mendoza</v>
      </c>
    </row>
    <row r="2080" customFormat="false" ht="15" hidden="false" customHeight="false" outlineLevel="0" collapsed="false">
      <c r="A2080" s="61" t="n">
        <f aca="false">INDEX(Datos_Origen!$A$2:$A$2459,$Z2080)</f>
        <v>2079</v>
      </c>
      <c r="B2080" s="62" t="n">
        <f aca="false">IF(ISNUMBER($AB2080),$AB2080,IF(MID($AB2080,5,1)="-",DATE(VALUE(LEFT($AB2080,4)),VALUE(MID($AB2080,6,2)),VALUE(RIGHT($AB2080,2))),DATE(VALUE(RIGHT($AB2080,4)),VALUE(MID($AB2080,4,2)),VALUE(LEFT($AB2080,2)))))</f>
        <v>45901</v>
      </c>
      <c r="C2080" s="61" t="n">
        <f aca="false">YEAR($B2080)</f>
        <v>2025</v>
      </c>
      <c r="D2080" s="61" t="str">
        <f aca="false">"Q"&amp;ROUNDUP(MONTH($B2080)/3,0)</f>
        <v>Q3</v>
      </c>
      <c r="E2080" s="61" t="n">
        <f aca="false">MONTH($B2080)</f>
        <v>9</v>
      </c>
      <c r="F2080" s="61" t="str">
        <f aca="false">INDEX(Parametros!$I$5:$I$16,$E2080)</f>
        <v>Sep</v>
      </c>
      <c r="G2080" s="61" t="str">
        <f aca="false">TEXT($C2080,"0000")&amp;"-"&amp;TEXT($E2080,"00")</f>
        <v>2025-09</v>
      </c>
      <c r="H2080" s="61" t="str">
        <f aca="false">INDEX(Parametros!$C$71:$C$91,MATCH(TRIM(INDEX(Datos_Origen!$C$2:$C$2459,$Z2080)),Parametros!$B$71:$B$91,0))</f>
        <v>Cuyo</v>
      </c>
      <c r="I2080" s="61" t="str">
        <f aca="false">IF(TRIM($AD2080)="",INDEX(Parametros!$I$20:$I$24,MATCH($H2080,Parametros!$H$20:$H$24,0)),TRIM($AD2080))</f>
        <v>Mendoza</v>
      </c>
      <c r="J2080" s="61" t="str">
        <f aca="false">INDEX(Parametros!$C$95:$C$106,MATCH(TRIM(INDEX(Datos_Origen!$E$2:$E$2459,$Z2080)),Parametros!$B$95:$B$106,0))</f>
        <v>Tienda fisica</v>
      </c>
      <c r="K2080" s="61" t="str">
        <f aca="false">INDEX(Parametros!$C$48:$C$67,MATCH(TRIM(INDEX(Datos_Origen!$F$2:$F$2459,$Z2080)),Parametros!$B$48:$B$67,0))</f>
        <v>Almacenamiento</v>
      </c>
      <c r="L2080" s="61" t="str">
        <f aca="false">$K2080&amp;" "&amp;$C2080</f>
        <v>Almacenamiento 2025</v>
      </c>
      <c r="M2080" s="61" t="str">
        <f aca="false">TRIM(INDEX(Datos_Origen!$G$2:$G$2459,$Z2080))</f>
        <v>Pendrive 256GB</v>
      </c>
      <c r="N2080" s="61" t="str">
        <f aca="false">$M2080&amp;" "&amp;$C2080</f>
        <v>Pendrive 256GB 2025</v>
      </c>
      <c r="O2080" s="63" t="n">
        <f aca="false">IF(ISTEXT($AC2080),VALUE($AC2080),$AC2080)</f>
        <v>17</v>
      </c>
      <c r="P2080" s="64" t="n">
        <f aca="false">INDEX(Datos_Origen!$I$2:$I$2459,$Z2080)</f>
        <v>35.14</v>
      </c>
      <c r="Q2080" s="64" t="n">
        <f aca="false">INDEX(Datos_Origen!$J$2:$J$2459,$Z2080)</f>
        <v>18.39</v>
      </c>
      <c r="R2080" s="65" t="n">
        <f aca="false">ROUND($O2080*$P2080,2)</f>
        <v>597.38</v>
      </c>
      <c r="S2080" s="65" t="n">
        <f aca="false">ROUND($O2080*$Q2080,2)</f>
        <v>312.63</v>
      </c>
      <c r="T2080" s="65" t="n">
        <f aca="false">ROUND($R2080*SUMIFS(Parametros!$E$28:$E$43,Parametros!$B$28:$B$43,$J2080,Parametros!$C$28:$C$43,$C2080,Parametros!$D$28:$D$43,$D2080),2)</f>
        <v>7.77</v>
      </c>
      <c r="U2080" s="65" t="n">
        <f aca="false">$R2080-$S2080-$T2080</f>
        <v>276.98</v>
      </c>
      <c r="V2080" s="66" t="n">
        <f aca="false">IFERROR($U2080/$R2080,0)</f>
        <v>0.463657973149419</v>
      </c>
      <c r="W2080" s="67" t="str">
        <f aca="false">IF(AND($V2080&gt;=Parametros!$C$8,$R2080&gt;=Parametros!$C$12),"Alta rentabilidad",IF(OR($V2080&lt;Parametros!$C$11,$R2080&lt;Parametros!$C$13),"Revisar","Estandar"))</f>
        <v>Estandar</v>
      </c>
      <c r="X2080" s="67" t="str">
        <f aca="false">IF(AND($J2080="E-commerce",IFERROR($T2080/$R2080,0)&gt;Parametros!$C$14),"Alerta","OK")</f>
        <v>OK</v>
      </c>
      <c r="Y2080" s="61" t="str">
        <f aca="false">IF($R2080&gt;=Parametros!$C$12,"Alto",IF($R2080&lt;Parametros!$C$13,"Bajo","Medio"))</f>
        <v>Medio</v>
      </c>
      <c r="Z2080" s="61" t="n">
        <v>2418</v>
      </c>
      <c r="AA2080" s="61" t="str">
        <f aca="false">IF(MATCH($A2080,Datos_Origen!$A$2:$A$2459,0)=$Z2080,"OK","REVISAR")</f>
        <v>OK</v>
      </c>
      <c r="AB2080" s="62" t="n">
        <f aca="false">INDEX(Datos_Origen!$B$2:$B$2459,$Z2080)</f>
        <v>45901</v>
      </c>
      <c r="AC2080" s="61" t="n">
        <f aca="false">INDEX(Datos_Origen!$H$2:$H$2459,$Z2080)</f>
        <v>17</v>
      </c>
      <c r="AD2080" s="61" t="str">
        <f aca="false">INDEX(Datos_Origen!$D$2:$D$2459,$Z2080)&amp;""</f>
        <v>Mendoza</v>
      </c>
    </row>
    <row r="2081" customFormat="false" ht="15" hidden="false" customHeight="false" outlineLevel="0" collapsed="false">
      <c r="A2081" s="61" t="n">
        <f aca="false">INDEX(Datos_Origen!$A$2:$A$2459,$Z2081)</f>
        <v>2080</v>
      </c>
      <c r="B2081" s="62" t="n">
        <f aca="false">IF(ISNUMBER($AB2081),$AB2081,IF(MID($AB2081,5,1)="-",DATE(VALUE(LEFT($AB2081,4)),VALUE(MID($AB2081,6,2)),VALUE(RIGHT($AB2081,2))),DATE(VALUE(RIGHT($AB2081,4)),VALUE(MID($AB2081,4,2)),VALUE(LEFT($AB2081,2)))))</f>
        <v>45908</v>
      </c>
      <c r="C2081" s="61" t="n">
        <f aca="false">YEAR($B2081)</f>
        <v>2025</v>
      </c>
      <c r="D2081" s="61" t="str">
        <f aca="false">"Q"&amp;ROUNDUP(MONTH($B2081)/3,0)</f>
        <v>Q3</v>
      </c>
      <c r="E2081" s="61" t="n">
        <f aca="false">MONTH($B2081)</f>
        <v>9</v>
      </c>
      <c r="F2081" s="61" t="str">
        <f aca="false">INDEX(Parametros!$I$5:$I$16,$E2081)</f>
        <v>Sep</v>
      </c>
      <c r="G2081" s="61" t="str">
        <f aca="false">TEXT($C2081,"0000")&amp;"-"&amp;TEXT($E2081,"00")</f>
        <v>2025-09</v>
      </c>
      <c r="H2081" s="61" t="str">
        <f aca="false">INDEX(Parametros!$C$71:$C$91,MATCH(TRIM(INDEX(Datos_Origen!$C$2:$C$2459,$Z2081)),Parametros!$B$71:$B$91,0))</f>
        <v>Cuyo</v>
      </c>
      <c r="I2081" s="61" t="str">
        <f aca="false">IF(TRIM($AD2081)="",INDEX(Parametros!$I$20:$I$24,MATCH($H2081,Parametros!$H$20:$H$24,0)),TRIM($AD2081))</f>
        <v>Mendoza</v>
      </c>
      <c r="J2081" s="61" t="str">
        <f aca="false">INDEX(Parametros!$C$95:$C$106,MATCH(TRIM(INDEX(Datos_Origen!$E$2:$E$2459,$Z2081)),Parametros!$B$95:$B$106,0))</f>
        <v>E-commerce</v>
      </c>
      <c r="K2081" s="61" t="str">
        <f aca="false">INDEX(Parametros!$C$48:$C$67,MATCH(TRIM(INDEX(Datos_Origen!$F$2:$F$2459,$Z2081)),Parametros!$B$48:$B$67,0))</f>
        <v>Almacenamiento</v>
      </c>
      <c r="L2081" s="61" t="str">
        <f aca="false">$K2081&amp;" "&amp;$C2081</f>
        <v>Almacenamiento 2025</v>
      </c>
      <c r="M2081" s="61" t="str">
        <f aca="false">TRIM(INDEX(Datos_Origen!$G$2:$G$2459,$Z2081))</f>
        <v>Pendrive 256GB</v>
      </c>
      <c r="N2081" s="61" t="str">
        <f aca="false">$M2081&amp;" "&amp;$C2081</f>
        <v>Pendrive 256GB 2025</v>
      </c>
      <c r="O2081" s="63" t="n">
        <f aca="false">IF(ISTEXT($AC2081),VALUE($AC2081),$AC2081)</f>
        <v>14</v>
      </c>
      <c r="P2081" s="64" t="n">
        <f aca="false">INDEX(Datos_Origen!$I$2:$I$2459,$Z2081)</f>
        <v>35.14</v>
      </c>
      <c r="Q2081" s="64" t="n">
        <f aca="false">INDEX(Datos_Origen!$J$2:$J$2459,$Z2081)</f>
        <v>18.39</v>
      </c>
      <c r="R2081" s="65" t="n">
        <f aca="false">ROUND($O2081*$P2081,2)</f>
        <v>491.96</v>
      </c>
      <c r="S2081" s="65" t="n">
        <f aca="false">ROUND($O2081*$Q2081,2)</f>
        <v>257.46</v>
      </c>
      <c r="T2081" s="65" t="n">
        <f aca="false">ROUND($R2081*SUMIFS(Parametros!$E$28:$E$43,Parametros!$B$28:$B$43,$J2081,Parametros!$C$28:$C$43,$C2081,Parametros!$D$28:$D$43,$D2081),2)</f>
        <v>27.55</v>
      </c>
      <c r="U2081" s="65" t="n">
        <f aca="false">$R2081-$S2081-$T2081</f>
        <v>206.95</v>
      </c>
      <c r="V2081" s="66" t="n">
        <f aca="false">IFERROR($U2081/$R2081,0)</f>
        <v>0.420664281648915</v>
      </c>
      <c r="W2081" s="67" t="str">
        <f aca="false">IF(AND($V2081&gt;=Parametros!$C$8,$R2081&gt;=Parametros!$C$12),"Alta rentabilidad",IF(OR($V2081&lt;Parametros!$C$11,$R2081&lt;Parametros!$C$13),"Revisar","Estandar"))</f>
        <v>Estandar</v>
      </c>
      <c r="X2081" s="67" t="str">
        <f aca="false">IF(AND($J2081="E-commerce",IFERROR($T2081/$R2081,0)&gt;Parametros!$C$14),"Alerta","OK")</f>
        <v>Alerta</v>
      </c>
      <c r="Y2081" s="61" t="str">
        <f aca="false">IF($R2081&gt;=Parametros!$C$12,"Alto",IF($R2081&lt;Parametros!$C$13,"Bajo","Medio"))</f>
        <v>Medio</v>
      </c>
      <c r="Z2081" s="61" t="n">
        <v>797</v>
      </c>
      <c r="AA2081" s="61" t="str">
        <f aca="false">IF(MATCH($A2081,Datos_Origen!$A$2:$A$2459,0)=$Z2081,"OK","REVISAR")</f>
        <v>OK</v>
      </c>
      <c r="AB2081" s="62" t="n">
        <f aca="false">INDEX(Datos_Origen!$B$2:$B$2459,$Z2081)</f>
        <v>45908</v>
      </c>
      <c r="AC2081" s="61" t="n">
        <f aca="false">INDEX(Datos_Origen!$H$2:$H$2459,$Z2081)</f>
        <v>14</v>
      </c>
      <c r="AD2081" s="61" t="str">
        <f aca="false">INDEX(Datos_Origen!$D$2:$D$2459,$Z2081)&amp;""</f>
        <v>Mendoza</v>
      </c>
    </row>
    <row r="2082" customFormat="false" ht="15" hidden="false" customHeight="false" outlineLevel="0" collapsed="false">
      <c r="A2082" s="61" t="n">
        <f aca="false">INDEX(Datos_Origen!$A$2:$A$2459,$Z2082)</f>
        <v>2081</v>
      </c>
      <c r="B2082" s="62" t="n">
        <f aca="false">IF(ISNUMBER($AB2082),$AB2082,IF(MID($AB2082,5,1)="-",DATE(VALUE(LEFT($AB2082,4)),VALUE(MID($AB2082,6,2)),VALUE(RIGHT($AB2082,2))),DATE(VALUE(RIGHT($AB2082,4)),VALUE(MID($AB2082,4,2)),VALUE(LEFT($AB2082,2)))))</f>
        <v>45915</v>
      </c>
      <c r="C2082" s="61" t="n">
        <f aca="false">YEAR($B2082)</f>
        <v>2025</v>
      </c>
      <c r="D2082" s="61" t="str">
        <f aca="false">"Q"&amp;ROUNDUP(MONTH($B2082)/3,0)</f>
        <v>Q3</v>
      </c>
      <c r="E2082" s="61" t="n">
        <f aca="false">MONTH($B2082)</f>
        <v>9</v>
      </c>
      <c r="F2082" s="61" t="str">
        <f aca="false">INDEX(Parametros!$I$5:$I$16,$E2082)</f>
        <v>Sep</v>
      </c>
      <c r="G2082" s="61" t="str">
        <f aca="false">TEXT($C2082,"0000")&amp;"-"&amp;TEXT($E2082,"00")</f>
        <v>2025-09</v>
      </c>
      <c r="H2082" s="61" t="str">
        <f aca="false">INDEX(Parametros!$C$71:$C$91,MATCH(TRIM(INDEX(Datos_Origen!$C$2:$C$2459,$Z2082)),Parametros!$B$71:$B$91,0))</f>
        <v>NOA</v>
      </c>
      <c r="I2082" s="61" t="str">
        <f aca="false">IF(TRIM($AD2082)="",INDEX(Parametros!$I$20:$I$24,MATCH($H2082,Parametros!$H$20:$H$24,0)),TRIM($AD2082))</f>
        <v>Tucuman</v>
      </c>
      <c r="J2082" s="61" t="str">
        <f aca="false">INDEX(Parametros!$C$95:$C$106,MATCH(TRIM(INDEX(Datos_Origen!$E$2:$E$2459,$Z2082)),Parametros!$B$95:$B$106,0))</f>
        <v>Tienda fisica</v>
      </c>
      <c r="K2082" s="61" t="str">
        <f aca="false">INDEX(Parametros!$C$48:$C$67,MATCH(TRIM(INDEX(Datos_Origen!$F$2:$F$2459,$Z2082)),Parametros!$B$48:$B$67,0))</f>
        <v>Computacion</v>
      </c>
      <c r="L2082" s="61" t="str">
        <f aca="false">$K2082&amp;" "&amp;$C2082</f>
        <v>Computacion 2025</v>
      </c>
      <c r="M2082" s="61" t="str">
        <f aca="false">TRIM(INDEX(Datos_Origen!$G$2:$G$2459,$Z2082))</f>
        <v>Laptop Pro 15</v>
      </c>
      <c r="N2082" s="61" t="str">
        <f aca="false">$M2082&amp;" "&amp;$C2082</f>
        <v>Laptop Pro 15 2025</v>
      </c>
      <c r="O2082" s="63" t="n">
        <f aca="false">IF(ISTEXT($AC2082),VALUE($AC2082),$AC2082)</f>
        <v>5</v>
      </c>
      <c r="P2082" s="64" t="n">
        <f aca="false">INDEX(Datos_Origen!$I$2:$I$2459,$Z2082)</f>
        <v>1204.74</v>
      </c>
      <c r="Q2082" s="64" t="n">
        <f aca="false">INDEX(Datos_Origen!$J$2:$J$2459,$Z2082)</f>
        <v>766.32</v>
      </c>
      <c r="R2082" s="65" t="n">
        <f aca="false">ROUND($O2082*$P2082,2)</f>
        <v>6023.7</v>
      </c>
      <c r="S2082" s="65" t="n">
        <f aca="false">ROUND($O2082*$Q2082,2)</f>
        <v>3831.6</v>
      </c>
      <c r="T2082" s="65" t="n">
        <f aca="false">ROUND($R2082*SUMIFS(Parametros!$E$28:$E$43,Parametros!$B$28:$B$43,$J2082,Parametros!$C$28:$C$43,$C2082,Parametros!$D$28:$D$43,$D2082),2)</f>
        <v>78.31</v>
      </c>
      <c r="U2082" s="65" t="n">
        <f aca="false">$R2082-$S2082-$T2082</f>
        <v>2113.79</v>
      </c>
      <c r="V2082" s="66" t="n">
        <f aca="false">IFERROR($U2082/$R2082,0)</f>
        <v>0.350912230024736</v>
      </c>
      <c r="W2082" s="67" t="str">
        <f aca="false">IF(AND($V2082&gt;=Parametros!$C$8,$R2082&gt;=Parametros!$C$12),"Alta rentabilidad",IF(OR($V2082&lt;Parametros!$C$11,$R2082&lt;Parametros!$C$13),"Revisar","Estandar"))</f>
        <v>Alta rentabilidad</v>
      </c>
      <c r="X2082" s="67" t="str">
        <f aca="false">IF(AND($J2082="E-commerce",IFERROR($T2082/$R2082,0)&gt;Parametros!$C$14),"Alerta","OK")</f>
        <v>OK</v>
      </c>
      <c r="Y2082" s="61" t="str">
        <f aca="false">IF($R2082&gt;=Parametros!$C$12,"Alto",IF($R2082&lt;Parametros!$C$13,"Bajo","Medio"))</f>
        <v>Alto</v>
      </c>
      <c r="Z2082" s="61" t="n">
        <v>1201</v>
      </c>
      <c r="AA2082" s="61" t="str">
        <f aca="false">IF(MATCH($A2082,Datos_Origen!$A$2:$A$2459,0)=$Z2082,"OK","REVISAR")</f>
        <v>OK</v>
      </c>
      <c r="AB2082" s="62" t="n">
        <f aca="false">INDEX(Datos_Origen!$B$2:$B$2459,$Z2082)</f>
        <v>45915</v>
      </c>
      <c r="AC2082" s="61" t="n">
        <f aca="false">INDEX(Datos_Origen!$H$2:$H$2459,$Z2082)</f>
        <v>5</v>
      </c>
      <c r="AD2082" s="61" t="str">
        <f aca="false">INDEX(Datos_Origen!$D$2:$D$2459,$Z2082)&amp;""</f>
        <v>Tucuman</v>
      </c>
    </row>
    <row r="2083" customFormat="false" ht="15" hidden="false" customHeight="false" outlineLevel="0" collapsed="false">
      <c r="A2083" s="61" t="n">
        <f aca="false">INDEX(Datos_Origen!$A$2:$A$2459,$Z2083)</f>
        <v>2082</v>
      </c>
      <c r="B2083" s="62" t="n">
        <f aca="false">IF(ISNUMBER($AB2083),$AB2083,IF(MID($AB2083,5,1)="-",DATE(VALUE(LEFT($AB2083,4)),VALUE(MID($AB2083,6,2)),VALUE(RIGHT($AB2083,2))),DATE(VALUE(RIGHT($AB2083,4)),VALUE(MID($AB2083,4,2)),VALUE(LEFT($AB2083,2)))))</f>
        <v>45922</v>
      </c>
      <c r="C2083" s="61" t="n">
        <f aca="false">YEAR($B2083)</f>
        <v>2025</v>
      </c>
      <c r="D2083" s="61" t="str">
        <f aca="false">"Q"&amp;ROUNDUP(MONTH($B2083)/3,0)</f>
        <v>Q3</v>
      </c>
      <c r="E2083" s="61" t="n">
        <f aca="false">MONTH($B2083)</f>
        <v>9</v>
      </c>
      <c r="F2083" s="61" t="str">
        <f aca="false">INDEX(Parametros!$I$5:$I$16,$E2083)</f>
        <v>Sep</v>
      </c>
      <c r="G2083" s="61" t="str">
        <f aca="false">TEXT($C2083,"0000")&amp;"-"&amp;TEXT($E2083,"00")</f>
        <v>2025-09</v>
      </c>
      <c r="H2083" s="61" t="str">
        <f aca="false">INDEX(Parametros!$C$71:$C$91,MATCH(TRIM(INDEX(Datos_Origen!$C$2:$C$2459,$Z2083)),Parametros!$B$71:$B$91,0))</f>
        <v>NOA</v>
      </c>
      <c r="I2083" s="61" t="str">
        <f aca="false">IF(TRIM($AD2083)="",INDEX(Parametros!$I$20:$I$24,MATCH($H2083,Parametros!$H$20:$H$24,0)),TRIM($AD2083))</f>
        <v>Tucuman</v>
      </c>
      <c r="J2083" s="61" t="str">
        <f aca="false">INDEX(Parametros!$C$95:$C$106,MATCH(TRIM(INDEX(Datos_Origen!$E$2:$E$2459,$Z2083)),Parametros!$B$95:$B$106,0))</f>
        <v>E-commerce</v>
      </c>
      <c r="K2083" s="61" t="str">
        <f aca="false">INDEX(Parametros!$C$48:$C$67,MATCH(TRIM(INDEX(Datos_Origen!$F$2:$F$2459,$Z2083)),Parametros!$B$48:$B$67,0))</f>
        <v>Computacion</v>
      </c>
      <c r="L2083" s="61" t="str">
        <f aca="false">$K2083&amp;" "&amp;$C2083</f>
        <v>Computacion 2025</v>
      </c>
      <c r="M2083" s="61" t="str">
        <f aca="false">TRIM(INDEX(Datos_Origen!$G$2:$G$2459,$Z2083))</f>
        <v>Laptop Pro 15</v>
      </c>
      <c r="N2083" s="61" t="str">
        <f aca="false">$M2083&amp;" "&amp;$C2083</f>
        <v>Laptop Pro 15 2025</v>
      </c>
      <c r="O2083" s="63" t="n">
        <f aca="false">IF(ISTEXT($AC2083),VALUE($AC2083),$AC2083)</f>
        <v>4</v>
      </c>
      <c r="P2083" s="64" t="n">
        <f aca="false">INDEX(Datos_Origen!$I$2:$I$2459,$Z2083)</f>
        <v>1204.74</v>
      </c>
      <c r="Q2083" s="64" t="n">
        <f aca="false">INDEX(Datos_Origen!$J$2:$J$2459,$Z2083)</f>
        <v>766.32</v>
      </c>
      <c r="R2083" s="65" t="n">
        <f aca="false">ROUND($O2083*$P2083,2)</f>
        <v>4818.96</v>
      </c>
      <c r="S2083" s="65" t="n">
        <f aca="false">ROUND($O2083*$Q2083,2)</f>
        <v>3065.28</v>
      </c>
      <c r="T2083" s="65" t="n">
        <f aca="false">ROUND($R2083*SUMIFS(Parametros!$E$28:$E$43,Parametros!$B$28:$B$43,$J2083,Parametros!$C$28:$C$43,$C2083,Parametros!$D$28:$D$43,$D2083),2)</f>
        <v>269.86</v>
      </c>
      <c r="U2083" s="65" t="n">
        <f aca="false">$R2083-$S2083-$T2083</f>
        <v>1483.82</v>
      </c>
      <c r="V2083" s="66" t="n">
        <f aca="false">IFERROR($U2083/$R2083,0)</f>
        <v>0.307912910669522</v>
      </c>
      <c r="W2083" s="67" t="str">
        <f aca="false">IF(AND($V2083&gt;=Parametros!$C$8,$R2083&gt;=Parametros!$C$12),"Alta rentabilidad",IF(OR($V2083&lt;Parametros!$C$11,$R2083&lt;Parametros!$C$13),"Revisar","Estandar"))</f>
        <v>Estandar</v>
      </c>
      <c r="X2083" s="67" t="str">
        <f aca="false">IF(AND($J2083="E-commerce",IFERROR($T2083/$R2083,0)&gt;Parametros!$C$14),"Alerta","OK")</f>
        <v>Alerta</v>
      </c>
      <c r="Y2083" s="61" t="str">
        <f aca="false">IF($R2083&gt;=Parametros!$C$12,"Alto",IF($R2083&lt;Parametros!$C$13,"Bajo","Medio"))</f>
        <v>Alto</v>
      </c>
      <c r="Z2083" s="61" t="n">
        <v>2276</v>
      </c>
      <c r="AA2083" s="61" t="str">
        <f aca="false">IF(MATCH($A2083,Datos_Origen!$A$2:$A$2459,0)=$Z2083,"OK","REVISAR")</f>
        <v>OK</v>
      </c>
      <c r="AB2083" s="62" t="n">
        <f aca="false">INDEX(Datos_Origen!$B$2:$B$2459,$Z2083)</f>
        <v>45922</v>
      </c>
      <c r="AC2083" s="61" t="n">
        <f aca="false">INDEX(Datos_Origen!$H$2:$H$2459,$Z2083)</f>
        <v>4</v>
      </c>
      <c r="AD2083" s="61" t="str">
        <f aca="false">INDEX(Datos_Origen!$D$2:$D$2459,$Z2083)&amp;""</f>
        <v>Tucuman</v>
      </c>
    </row>
    <row r="2084" customFormat="false" ht="15" hidden="false" customHeight="false" outlineLevel="0" collapsed="false">
      <c r="A2084" s="61" t="n">
        <f aca="false">INDEX(Datos_Origen!$A$2:$A$2459,$Z2084)</f>
        <v>2083</v>
      </c>
      <c r="B2084" s="62" t="n">
        <f aca="false">IF(ISNUMBER($AB2084),$AB2084,IF(MID($AB2084,5,1)="-",DATE(VALUE(LEFT($AB2084,4)),VALUE(MID($AB2084,6,2)),VALUE(RIGHT($AB2084,2))),DATE(VALUE(RIGHT($AB2084,4)),VALUE(MID($AB2084,4,2)),VALUE(LEFT($AB2084,2)))))</f>
        <v>45902</v>
      </c>
      <c r="C2084" s="61" t="n">
        <f aca="false">YEAR($B2084)</f>
        <v>2025</v>
      </c>
      <c r="D2084" s="61" t="str">
        <f aca="false">"Q"&amp;ROUNDUP(MONTH($B2084)/3,0)</f>
        <v>Q3</v>
      </c>
      <c r="E2084" s="61" t="n">
        <f aca="false">MONTH($B2084)</f>
        <v>9</v>
      </c>
      <c r="F2084" s="61" t="str">
        <f aca="false">INDEX(Parametros!$I$5:$I$16,$E2084)</f>
        <v>Sep</v>
      </c>
      <c r="G2084" s="61" t="str">
        <f aca="false">TEXT($C2084,"0000")&amp;"-"&amp;TEXT($E2084,"00")</f>
        <v>2025-09</v>
      </c>
      <c r="H2084" s="61" t="str">
        <f aca="false">INDEX(Parametros!$C$71:$C$91,MATCH(TRIM(INDEX(Datos_Origen!$C$2:$C$2459,$Z2084)),Parametros!$B$71:$B$91,0))</f>
        <v>NOA</v>
      </c>
      <c r="I2084" s="61" t="str">
        <f aca="false">IF(TRIM($AD2084)="",INDEX(Parametros!$I$20:$I$24,MATCH($H2084,Parametros!$H$20:$H$24,0)),TRIM($AD2084))</f>
        <v>Tucuman</v>
      </c>
      <c r="J2084" s="61" t="str">
        <f aca="false">INDEX(Parametros!$C$95:$C$106,MATCH(TRIM(INDEX(Datos_Origen!$E$2:$E$2459,$Z2084)),Parametros!$B$95:$B$106,0))</f>
        <v>Tienda fisica</v>
      </c>
      <c r="K2084" s="61" t="str">
        <f aca="false">INDEX(Parametros!$C$48:$C$67,MATCH(TRIM(INDEX(Datos_Origen!$F$2:$F$2459,$Z2084)),Parametros!$B$48:$B$67,0))</f>
        <v>Computacion</v>
      </c>
      <c r="L2084" s="61" t="str">
        <f aca="false">$K2084&amp;" "&amp;$C2084</f>
        <v>Computacion 2025</v>
      </c>
      <c r="M2084" s="61" t="str">
        <f aca="false">TRIM(INDEX(Datos_Origen!$G$2:$G$2459,$Z2084))</f>
        <v>Monitor 4K 27</v>
      </c>
      <c r="N2084" s="61" t="str">
        <f aca="false">$M2084&amp;" "&amp;$C2084</f>
        <v>Monitor 4K 27 2025</v>
      </c>
      <c r="O2084" s="63" t="n">
        <f aca="false">IF(ISTEXT($AC2084),VALUE($AC2084),$AC2084)</f>
        <v>6</v>
      </c>
      <c r="P2084" s="64" t="n">
        <f aca="false">INDEX(Datos_Origen!$I$2:$I$2459,$Z2084)</f>
        <v>451.78</v>
      </c>
      <c r="Q2084" s="64" t="n">
        <f aca="false">INDEX(Datos_Origen!$J$2:$J$2459,$Z2084)</f>
        <v>280.42</v>
      </c>
      <c r="R2084" s="65" t="n">
        <f aca="false">ROUND($O2084*$P2084,2)</f>
        <v>2710.68</v>
      </c>
      <c r="S2084" s="65" t="n">
        <f aca="false">ROUND($O2084*$Q2084,2)</f>
        <v>1682.52</v>
      </c>
      <c r="T2084" s="65" t="n">
        <f aca="false">ROUND($R2084*SUMIFS(Parametros!$E$28:$E$43,Parametros!$B$28:$B$43,$J2084,Parametros!$C$28:$C$43,$C2084,Parametros!$D$28:$D$43,$D2084),2)</f>
        <v>35.24</v>
      </c>
      <c r="U2084" s="65" t="n">
        <f aca="false">$R2084-$S2084-$T2084</f>
        <v>992.92</v>
      </c>
      <c r="V2084" s="66" t="n">
        <f aca="false">IFERROR($U2084/$R2084,0)</f>
        <v>0.366299231189222</v>
      </c>
      <c r="W2084" s="67" t="str">
        <f aca="false">IF(AND($V2084&gt;=Parametros!$C$8,$R2084&gt;=Parametros!$C$12),"Alta rentabilidad",IF(OR($V2084&lt;Parametros!$C$11,$R2084&lt;Parametros!$C$13),"Revisar","Estandar"))</f>
        <v>Estandar</v>
      </c>
      <c r="X2084" s="67" t="str">
        <f aca="false">IF(AND($J2084="E-commerce",IFERROR($T2084/$R2084,0)&gt;Parametros!$C$14),"Alerta","OK")</f>
        <v>OK</v>
      </c>
      <c r="Y2084" s="61" t="str">
        <f aca="false">IF($R2084&gt;=Parametros!$C$12,"Alto",IF($R2084&lt;Parametros!$C$13,"Bajo","Medio"))</f>
        <v>Medio</v>
      </c>
      <c r="Z2084" s="61" t="n">
        <v>78</v>
      </c>
      <c r="AA2084" s="61" t="str">
        <f aca="false">IF(MATCH($A2084,Datos_Origen!$A$2:$A$2459,0)=$Z2084,"OK","REVISAR")</f>
        <v>OK</v>
      </c>
      <c r="AB2084" s="62" t="n">
        <f aca="false">INDEX(Datos_Origen!$B$2:$B$2459,$Z2084)</f>
        <v>45902</v>
      </c>
      <c r="AC2084" s="61" t="n">
        <f aca="false">INDEX(Datos_Origen!$H$2:$H$2459,$Z2084)</f>
        <v>6</v>
      </c>
      <c r="AD2084" s="61" t="str">
        <f aca="false">INDEX(Datos_Origen!$D$2:$D$2459,$Z2084)&amp;""</f>
        <v>Tucuman</v>
      </c>
    </row>
    <row r="2085" customFormat="false" ht="15" hidden="false" customHeight="false" outlineLevel="0" collapsed="false">
      <c r="A2085" s="61" t="n">
        <f aca="false">INDEX(Datos_Origen!$A$2:$A$2459,$Z2085)</f>
        <v>2084</v>
      </c>
      <c r="B2085" s="62" t="n">
        <f aca="false">IF(ISNUMBER($AB2085),$AB2085,IF(MID($AB2085,5,1)="-",DATE(VALUE(LEFT($AB2085,4)),VALUE(MID($AB2085,6,2)),VALUE(RIGHT($AB2085,2))),DATE(VALUE(RIGHT($AB2085,4)),VALUE(MID($AB2085,4,2)),VALUE(LEFT($AB2085,2)))))</f>
        <v>45909</v>
      </c>
      <c r="C2085" s="61" t="n">
        <f aca="false">YEAR($B2085)</f>
        <v>2025</v>
      </c>
      <c r="D2085" s="61" t="str">
        <f aca="false">"Q"&amp;ROUNDUP(MONTH($B2085)/3,0)</f>
        <v>Q3</v>
      </c>
      <c r="E2085" s="61" t="n">
        <f aca="false">MONTH($B2085)</f>
        <v>9</v>
      </c>
      <c r="F2085" s="61" t="str">
        <f aca="false">INDEX(Parametros!$I$5:$I$16,$E2085)</f>
        <v>Sep</v>
      </c>
      <c r="G2085" s="61" t="str">
        <f aca="false">TEXT($C2085,"0000")&amp;"-"&amp;TEXT($E2085,"00")</f>
        <v>2025-09</v>
      </c>
      <c r="H2085" s="61" t="str">
        <f aca="false">INDEX(Parametros!$C$71:$C$91,MATCH(TRIM(INDEX(Datos_Origen!$C$2:$C$2459,$Z2085)),Parametros!$B$71:$B$91,0))</f>
        <v>NOA</v>
      </c>
      <c r="I2085" s="61" t="str">
        <f aca="false">IF(TRIM($AD2085)="",INDEX(Parametros!$I$20:$I$24,MATCH($H2085,Parametros!$H$20:$H$24,0)),TRIM($AD2085))</f>
        <v>Tucuman</v>
      </c>
      <c r="J2085" s="61" t="str">
        <f aca="false">INDEX(Parametros!$C$95:$C$106,MATCH(TRIM(INDEX(Datos_Origen!$E$2:$E$2459,$Z2085)),Parametros!$B$95:$B$106,0))</f>
        <v>E-commerce</v>
      </c>
      <c r="K2085" s="61" t="str">
        <f aca="false">INDEX(Parametros!$C$48:$C$67,MATCH(TRIM(INDEX(Datos_Origen!$F$2:$F$2459,$Z2085)),Parametros!$B$48:$B$67,0))</f>
        <v>Computacion</v>
      </c>
      <c r="L2085" s="61" t="str">
        <f aca="false">$K2085&amp;" "&amp;$C2085</f>
        <v>Computacion 2025</v>
      </c>
      <c r="M2085" s="61" t="str">
        <f aca="false">TRIM(INDEX(Datos_Origen!$G$2:$G$2459,$Z2085))</f>
        <v>Monitor 4K 27</v>
      </c>
      <c r="N2085" s="61" t="str">
        <f aca="false">$M2085&amp;" "&amp;$C2085</f>
        <v>Monitor 4K 27 2025</v>
      </c>
      <c r="O2085" s="63" t="n">
        <f aca="false">IF(ISTEXT($AC2085),VALUE($AC2085),$AC2085)</f>
        <v>4</v>
      </c>
      <c r="P2085" s="64" t="n">
        <f aca="false">INDEX(Datos_Origen!$I$2:$I$2459,$Z2085)</f>
        <v>451.78</v>
      </c>
      <c r="Q2085" s="64" t="n">
        <f aca="false">INDEX(Datos_Origen!$J$2:$J$2459,$Z2085)</f>
        <v>280.42</v>
      </c>
      <c r="R2085" s="65" t="n">
        <f aca="false">ROUND($O2085*$P2085,2)</f>
        <v>1807.12</v>
      </c>
      <c r="S2085" s="65" t="n">
        <f aca="false">ROUND($O2085*$Q2085,2)</f>
        <v>1121.68</v>
      </c>
      <c r="T2085" s="65" t="n">
        <f aca="false">ROUND($R2085*SUMIFS(Parametros!$E$28:$E$43,Parametros!$B$28:$B$43,$J2085,Parametros!$C$28:$C$43,$C2085,Parametros!$D$28:$D$43,$D2085),2)</f>
        <v>101.2</v>
      </c>
      <c r="U2085" s="65" t="n">
        <f aca="false">$R2085-$S2085-$T2085</f>
        <v>584.24</v>
      </c>
      <c r="V2085" s="66" t="n">
        <f aca="false">IFERROR($U2085/$R2085,0)</f>
        <v>0.323298950816769</v>
      </c>
      <c r="W2085" s="67" t="str">
        <f aca="false">IF(AND($V2085&gt;=Parametros!$C$8,$R2085&gt;=Parametros!$C$12),"Alta rentabilidad",IF(OR($V2085&lt;Parametros!$C$11,$R2085&lt;Parametros!$C$13),"Revisar","Estandar"))</f>
        <v>Estandar</v>
      </c>
      <c r="X2085" s="67" t="str">
        <f aca="false">IF(AND($J2085="E-commerce",IFERROR($T2085/$R2085,0)&gt;Parametros!$C$14),"Alerta","OK")</f>
        <v>Alerta</v>
      </c>
      <c r="Y2085" s="61" t="str">
        <f aca="false">IF($R2085&gt;=Parametros!$C$12,"Alto",IF($R2085&lt;Parametros!$C$13,"Bajo","Medio"))</f>
        <v>Medio</v>
      </c>
      <c r="Z2085" s="61" t="n">
        <v>1553</v>
      </c>
      <c r="AA2085" s="61" t="str">
        <f aca="false">IF(MATCH($A2085,Datos_Origen!$A$2:$A$2459,0)=$Z2085,"OK","REVISAR")</f>
        <v>OK</v>
      </c>
      <c r="AB2085" s="62" t="n">
        <f aca="false">INDEX(Datos_Origen!$B$2:$B$2459,$Z2085)</f>
        <v>45909</v>
      </c>
      <c r="AC2085" s="61" t="n">
        <f aca="false">INDEX(Datos_Origen!$H$2:$H$2459,$Z2085)</f>
        <v>4</v>
      </c>
      <c r="AD2085" s="61" t="str">
        <f aca="false">INDEX(Datos_Origen!$D$2:$D$2459,$Z2085)&amp;""</f>
        <v>Tucuman</v>
      </c>
    </row>
    <row r="2086" customFormat="false" ht="15" hidden="false" customHeight="false" outlineLevel="0" collapsed="false">
      <c r="A2086" s="61" t="n">
        <f aca="false">INDEX(Datos_Origen!$A$2:$A$2459,$Z2086)</f>
        <v>2085</v>
      </c>
      <c r="B2086" s="62" t="n">
        <f aca="false">IF(ISNUMBER($AB2086),$AB2086,IF(MID($AB2086,5,1)="-",DATE(VALUE(LEFT($AB2086,4)),VALUE(MID($AB2086,6,2)),VALUE(RIGHT($AB2086,2))),DATE(VALUE(RIGHT($AB2086,4)),VALUE(MID($AB2086,4,2)),VALUE(LEFT($AB2086,2)))))</f>
        <v>45916</v>
      </c>
      <c r="C2086" s="61" t="n">
        <f aca="false">YEAR($B2086)</f>
        <v>2025</v>
      </c>
      <c r="D2086" s="61" t="str">
        <f aca="false">"Q"&amp;ROUNDUP(MONTH($B2086)/3,0)</f>
        <v>Q3</v>
      </c>
      <c r="E2086" s="61" t="n">
        <f aca="false">MONTH($B2086)</f>
        <v>9</v>
      </c>
      <c r="F2086" s="61" t="str">
        <f aca="false">INDEX(Parametros!$I$5:$I$16,$E2086)</f>
        <v>Sep</v>
      </c>
      <c r="G2086" s="61" t="str">
        <f aca="false">TEXT($C2086,"0000")&amp;"-"&amp;TEXT($E2086,"00")</f>
        <v>2025-09</v>
      </c>
      <c r="H2086" s="61" t="str">
        <f aca="false">INDEX(Parametros!$C$71:$C$91,MATCH(TRIM(INDEX(Datos_Origen!$C$2:$C$2459,$Z2086)),Parametros!$B$71:$B$91,0))</f>
        <v>NOA</v>
      </c>
      <c r="I2086" s="61" t="str">
        <f aca="false">IF(TRIM($AD2086)="",INDEX(Parametros!$I$20:$I$24,MATCH($H2086,Parametros!$H$20:$H$24,0)),TRIM($AD2086))</f>
        <v>Tucuman</v>
      </c>
      <c r="J2086" s="61" t="str">
        <f aca="false">INDEX(Parametros!$C$95:$C$106,MATCH(TRIM(INDEX(Datos_Origen!$E$2:$E$2459,$Z2086)),Parametros!$B$95:$B$106,0))</f>
        <v>Tienda fisica</v>
      </c>
      <c r="K2086" s="61" t="str">
        <f aca="false">INDEX(Parametros!$C$48:$C$67,MATCH(TRIM(INDEX(Datos_Origen!$F$2:$F$2459,$Z2086)),Parametros!$B$48:$B$67,0))</f>
        <v>Computacion</v>
      </c>
      <c r="L2086" s="61" t="str">
        <f aca="false">$K2086&amp;" "&amp;$C2086</f>
        <v>Computacion 2025</v>
      </c>
      <c r="M2086" s="61" t="str">
        <f aca="false">TRIM(INDEX(Datos_Origen!$G$2:$G$2459,$Z2086))</f>
        <v>PC Gamer Ryzen</v>
      </c>
      <c r="N2086" s="61" t="str">
        <f aca="false">$M2086&amp;" "&amp;$C2086</f>
        <v>PC Gamer Ryzen 2025</v>
      </c>
      <c r="O2086" s="63" t="n">
        <f aca="false">IF(ISTEXT($AC2086),VALUE($AC2086),$AC2086)</f>
        <v>7</v>
      </c>
      <c r="P2086" s="64" t="n">
        <f aca="false">INDEX(Datos_Origen!$I$2:$I$2459,$Z2086)</f>
        <v>1656.52</v>
      </c>
      <c r="Q2086" s="64" t="n">
        <f aca="false">INDEX(Datos_Origen!$J$2:$J$2459,$Z2086)</f>
        <v>1155.66</v>
      </c>
      <c r="R2086" s="65" t="n">
        <f aca="false">ROUND($O2086*$P2086,2)</f>
        <v>11595.64</v>
      </c>
      <c r="S2086" s="65" t="n">
        <f aca="false">ROUND($O2086*$Q2086,2)</f>
        <v>8089.62</v>
      </c>
      <c r="T2086" s="65" t="n">
        <f aca="false">ROUND($R2086*SUMIFS(Parametros!$E$28:$E$43,Parametros!$B$28:$B$43,$J2086,Parametros!$C$28:$C$43,$C2086,Parametros!$D$28:$D$43,$D2086),2)</f>
        <v>150.74</v>
      </c>
      <c r="U2086" s="65" t="n">
        <f aca="false">$R2086-$S2086-$T2086</f>
        <v>3355.28</v>
      </c>
      <c r="V2086" s="66" t="n">
        <f aca="false">IFERROR($U2086/$R2086,0)</f>
        <v>0.289357034195611</v>
      </c>
      <c r="W2086" s="67" t="str">
        <f aca="false">IF(AND($V2086&gt;=Parametros!$C$8,$R2086&gt;=Parametros!$C$12),"Alta rentabilidad",IF(OR($V2086&lt;Parametros!$C$11,$R2086&lt;Parametros!$C$13),"Revisar","Estandar"))</f>
        <v>Estandar</v>
      </c>
      <c r="X2086" s="67" t="str">
        <f aca="false">IF(AND($J2086="E-commerce",IFERROR($T2086/$R2086,0)&gt;Parametros!$C$14),"Alerta","OK")</f>
        <v>OK</v>
      </c>
      <c r="Y2086" s="61" t="str">
        <f aca="false">IF($R2086&gt;=Parametros!$C$12,"Alto",IF($R2086&lt;Parametros!$C$13,"Bajo","Medio"))</f>
        <v>Alto</v>
      </c>
      <c r="Z2086" s="61" t="n">
        <v>2243</v>
      </c>
      <c r="AA2086" s="61" t="str">
        <f aca="false">IF(MATCH($A2086,Datos_Origen!$A$2:$A$2459,0)=$Z2086,"OK","REVISAR")</f>
        <v>OK</v>
      </c>
      <c r="AB2086" s="62" t="n">
        <f aca="false">INDEX(Datos_Origen!$B$2:$B$2459,$Z2086)</f>
        <v>45916</v>
      </c>
      <c r="AC2086" s="61" t="n">
        <f aca="false">INDEX(Datos_Origen!$H$2:$H$2459,$Z2086)</f>
        <v>7</v>
      </c>
      <c r="AD2086" s="61" t="str">
        <f aca="false">INDEX(Datos_Origen!$D$2:$D$2459,$Z2086)&amp;""</f>
        <v>Tucuman</v>
      </c>
    </row>
    <row r="2087" customFormat="false" ht="15" hidden="false" customHeight="false" outlineLevel="0" collapsed="false">
      <c r="A2087" s="61" t="n">
        <f aca="false">INDEX(Datos_Origen!$A$2:$A$2459,$Z2087)</f>
        <v>2086</v>
      </c>
      <c r="B2087" s="62" t="n">
        <f aca="false">IF(ISNUMBER($AB2087),$AB2087,IF(MID($AB2087,5,1)="-",DATE(VALUE(LEFT($AB2087,4)),VALUE(MID($AB2087,6,2)),VALUE(RIGHT($AB2087,2))),DATE(VALUE(RIGHT($AB2087,4)),VALUE(MID($AB2087,4,2)),VALUE(LEFT($AB2087,2)))))</f>
        <v>45923</v>
      </c>
      <c r="C2087" s="61" t="n">
        <f aca="false">YEAR($B2087)</f>
        <v>2025</v>
      </c>
      <c r="D2087" s="61" t="str">
        <f aca="false">"Q"&amp;ROUNDUP(MONTH($B2087)/3,0)</f>
        <v>Q3</v>
      </c>
      <c r="E2087" s="61" t="n">
        <f aca="false">MONTH($B2087)</f>
        <v>9</v>
      </c>
      <c r="F2087" s="61" t="str">
        <f aca="false">INDEX(Parametros!$I$5:$I$16,$E2087)</f>
        <v>Sep</v>
      </c>
      <c r="G2087" s="61" t="str">
        <f aca="false">TEXT($C2087,"0000")&amp;"-"&amp;TEXT($E2087,"00")</f>
        <v>2025-09</v>
      </c>
      <c r="H2087" s="61" t="str">
        <f aca="false">INDEX(Parametros!$C$71:$C$91,MATCH(TRIM(INDEX(Datos_Origen!$C$2:$C$2459,$Z2087)),Parametros!$B$71:$B$91,0))</f>
        <v>NOA</v>
      </c>
      <c r="I2087" s="61" t="str">
        <f aca="false">IF(TRIM($AD2087)="",INDEX(Parametros!$I$20:$I$24,MATCH($H2087,Parametros!$H$20:$H$24,0)),TRIM($AD2087))</f>
        <v>Tucuman</v>
      </c>
      <c r="J2087" s="61" t="str">
        <f aca="false">INDEX(Parametros!$C$95:$C$106,MATCH(TRIM(INDEX(Datos_Origen!$E$2:$E$2459,$Z2087)),Parametros!$B$95:$B$106,0))</f>
        <v>E-commerce</v>
      </c>
      <c r="K2087" s="61" t="str">
        <f aca="false">INDEX(Parametros!$C$48:$C$67,MATCH(TRIM(INDEX(Datos_Origen!$F$2:$F$2459,$Z2087)),Parametros!$B$48:$B$67,0))</f>
        <v>Computacion</v>
      </c>
      <c r="L2087" s="61" t="str">
        <f aca="false">$K2087&amp;" "&amp;$C2087</f>
        <v>Computacion 2025</v>
      </c>
      <c r="M2087" s="61" t="str">
        <f aca="false">TRIM(INDEX(Datos_Origen!$G$2:$G$2459,$Z2087))</f>
        <v>PC Gamer Ryzen</v>
      </c>
      <c r="N2087" s="61" t="str">
        <f aca="false">$M2087&amp;" "&amp;$C2087</f>
        <v>PC Gamer Ryzen 2025</v>
      </c>
      <c r="O2087" s="63" t="n">
        <f aca="false">IF(ISTEXT($AC2087),VALUE($AC2087),$AC2087)</f>
        <v>4</v>
      </c>
      <c r="P2087" s="64" t="n">
        <f aca="false">INDEX(Datos_Origen!$I$2:$I$2459,$Z2087)</f>
        <v>1656.52</v>
      </c>
      <c r="Q2087" s="64" t="n">
        <f aca="false">INDEX(Datos_Origen!$J$2:$J$2459,$Z2087)</f>
        <v>1155.66</v>
      </c>
      <c r="R2087" s="65" t="n">
        <f aca="false">ROUND($O2087*$P2087,2)</f>
        <v>6626.08</v>
      </c>
      <c r="S2087" s="65" t="n">
        <f aca="false">ROUND($O2087*$Q2087,2)</f>
        <v>4622.64</v>
      </c>
      <c r="T2087" s="65" t="n">
        <f aca="false">ROUND($R2087*SUMIFS(Parametros!$E$28:$E$43,Parametros!$B$28:$B$43,$J2087,Parametros!$C$28:$C$43,$C2087,Parametros!$D$28:$D$43,$D2087),2)</f>
        <v>371.06</v>
      </c>
      <c r="U2087" s="65" t="n">
        <f aca="false">$R2087-$S2087-$T2087</f>
        <v>1632.38</v>
      </c>
      <c r="V2087" s="66" t="n">
        <f aca="false">IFERROR($U2087/$R2087,0)</f>
        <v>0.246356820322121</v>
      </c>
      <c r="W2087" s="67" t="str">
        <f aca="false">IF(AND($V2087&gt;=Parametros!$C$8,$R2087&gt;=Parametros!$C$12),"Alta rentabilidad",IF(OR($V2087&lt;Parametros!$C$11,$R2087&lt;Parametros!$C$13),"Revisar","Estandar"))</f>
        <v>Revisar</v>
      </c>
      <c r="X2087" s="67" t="str">
        <f aca="false">IF(AND($J2087="E-commerce",IFERROR($T2087/$R2087,0)&gt;Parametros!$C$14),"Alerta","OK")</f>
        <v>Alerta</v>
      </c>
      <c r="Y2087" s="61" t="str">
        <f aca="false">IF($R2087&gt;=Parametros!$C$12,"Alto",IF($R2087&lt;Parametros!$C$13,"Bajo","Medio"))</f>
        <v>Alto</v>
      </c>
      <c r="Z2087" s="61" t="n">
        <v>1146</v>
      </c>
      <c r="AA2087" s="61" t="str">
        <f aca="false">IF(MATCH($A2087,Datos_Origen!$A$2:$A$2459,0)=$Z2087,"OK","REVISAR")</f>
        <v>OK</v>
      </c>
      <c r="AB2087" s="62" t="n">
        <f aca="false">INDEX(Datos_Origen!$B$2:$B$2459,$Z2087)</f>
        <v>45923</v>
      </c>
      <c r="AC2087" s="61" t="n">
        <f aca="false">INDEX(Datos_Origen!$H$2:$H$2459,$Z2087)</f>
        <v>4</v>
      </c>
      <c r="AD2087" s="61" t="str">
        <f aca="false">INDEX(Datos_Origen!$D$2:$D$2459,$Z2087)&amp;""</f>
        <v/>
      </c>
    </row>
    <row r="2088" customFormat="false" ht="15" hidden="false" customHeight="false" outlineLevel="0" collapsed="false">
      <c r="A2088" s="61" t="n">
        <f aca="false">INDEX(Datos_Origen!$A$2:$A$2459,$Z2088)</f>
        <v>2087</v>
      </c>
      <c r="B2088" s="62" t="n">
        <f aca="false">IF(ISNUMBER($AB2088),$AB2088,IF(MID($AB2088,5,1)="-",DATE(VALUE(LEFT($AB2088,4)),VALUE(MID($AB2088,6,2)),VALUE(RIGHT($AB2088,2))),DATE(VALUE(RIGHT($AB2088,4)),VALUE(MID($AB2088,4,2)),VALUE(LEFT($AB2088,2)))))</f>
        <v>45903</v>
      </c>
      <c r="C2088" s="61" t="n">
        <f aca="false">YEAR($B2088)</f>
        <v>2025</v>
      </c>
      <c r="D2088" s="61" t="str">
        <f aca="false">"Q"&amp;ROUNDUP(MONTH($B2088)/3,0)</f>
        <v>Q3</v>
      </c>
      <c r="E2088" s="61" t="n">
        <f aca="false">MONTH($B2088)</f>
        <v>9</v>
      </c>
      <c r="F2088" s="61" t="str">
        <f aca="false">INDEX(Parametros!$I$5:$I$16,$E2088)</f>
        <v>Sep</v>
      </c>
      <c r="G2088" s="61" t="str">
        <f aca="false">TEXT($C2088,"0000")&amp;"-"&amp;TEXT($E2088,"00")</f>
        <v>2025-09</v>
      </c>
      <c r="H2088" s="61" t="str">
        <f aca="false">INDEX(Parametros!$C$71:$C$91,MATCH(TRIM(INDEX(Datos_Origen!$C$2:$C$2459,$Z2088)),Parametros!$B$71:$B$91,0))</f>
        <v>NOA</v>
      </c>
      <c r="I2088" s="61" t="str">
        <f aca="false">IF(TRIM($AD2088)="",INDEX(Parametros!$I$20:$I$24,MATCH($H2088,Parametros!$H$20:$H$24,0)),TRIM($AD2088))</f>
        <v>Tucuman</v>
      </c>
      <c r="J2088" s="61" t="str">
        <f aca="false">INDEX(Parametros!$C$95:$C$106,MATCH(TRIM(INDEX(Datos_Origen!$E$2:$E$2459,$Z2088)),Parametros!$B$95:$B$106,0))</f>
        <v>Tienda fisica</v>
      </c>
      <c r="K2088" s="61" t="str">
        <f aca="false">INDEX(Parametros!$C$48:$C$67,MATCH(TRIM(INDEX(Datos_Origen!$F$2:$F$2459,$Z2088)),Parametros!$B$48:$B$67,0))</f>
        <v>Accesorios</v>
      </c>
      <c r="L2088" s="61" t="str">
        <f aca="false">$K2088&amp;" "&amp;$C2088</f>
        <v>Accesorios 2025</v>
      </c>
      <c r="M2088" s="61" t="str">
        <f aca="false">TRIM(INDEX(Datos_Origen!$G$2:$G$2459,$Z2088))</f>
        <v>Mouse Inalambrico</v>
      </c>
      <c r="N2088" s="61" t="str">
        <f aca="false">$M2088&amp;" "&amp;$C2088</f>
        <v>Mouse Inalambrico 2025</v>
      </c>
      <c r="O2088" s="63" t="n">
        <f aca="false">IF(ISTEXT($AC2088),VALUE($AC2088),$AC2088)</f>
        <v>33</v>
      </c>
      <c r="P2088" s="64" t="n">
        <f aca="false">INDEX(Datos_Origen!$I$2:$I$2459,$Z2088)</f>
        <v>28.11</v>
      </c>
      <c r="Q2088" s="64" t="n">
        <f aca="false">INDEX(Datos_Origen!$J$2:$J$2459,$Z2088)</f>
        <v>13.84</v>
      </c>
      <c r="R2088" s="65" t="n">
        <f aca="false">ROUND($O2088*$P2088,2)</f>
        <v>927.63</v>
      </c>
      <c r="S2088" s="65" t="n">
        <f aca="false">ROUND($O2088*$Q2088,2)</f>
        <v>456.72</v>
      </c>
      <c r="T2088" s="65" t="n">
        <f aca="false">ROUND($R2088*SUMIFS(Parametros!$E$28:$E$43,Parametros!$B$28:$B$43,$J2088,Parametros!$C$28:$C$43,$C2088,Parametros!$D$28:$D$43,$D2088),2)</f>
        <v>12.06</v>
      </c>
      <c r="U2088" s="65" t="n">
        <f aca="false">$R2088-$S2088-$T2088</f>
        <v>458.85</v>
      </c>
      <c r="V2088" s="66" t="n">
        <f aca="false">IFERROR($U2088/$R2088,0)</f>
        <v>0.494647650464086</v>
      </c>
      <c r="W2088" s="67" t="str">
        <f aca="false">IF(AND($V2088&gt;=Parametros!$C$8,$R2088&gt;=Parametros!$C$12),"Alta rentabilidad",IF(OR($V2088&lt;Parametros!$C$11,$R2088&lt;Parametros!$C$13),"Revisar","Estandar"))</f>
        <v>Estandar</v>
      </c>
      <c r="X2088" s="67" t="str">
        <f aca="false">IF(AND($J2088="E-commerce",IFERROR($T2088/$R2088,0)&gt;Parametros!$C$14),"Alerta","OK")</f>
        <v>OK</v>
      </c>
      <c r="Y2088" s="61" t="str">
        <f aca="false">IF($R2088&gt;=Parametros!$C$12,"Alto",IF($R2088&lt;Parametros!$C$13,"Bajo","Medio"))</f>
        <v>Medio</v>
      </c>
      <c r="Z2088" s="61" t="n">
        <v>2235</v>
      </c>
      <c r="AA2088" s="61" t="str">
        <f aca="false">IF(MATCH($A2088,Datos_Origen!$A$2:$A$2459,0)=$Z2088,"OK","REVISAR")</f>
        <v>OK</v>
      </c>
      <c r="AB2088" s="62" t="n">
        <f aca="false">INDEX(Datos_Origen!$B$2:$B$2459,$Z2088)</f>
        <v>45903</v>
      </c>
      <c r="AC2088" s="61" t="n">
        <f aca="false">INDEX(Datos_Origen!$H$2:$H$2459,$Z2088)</f>
        <v>33</v>
      </c>
      <c r="AD2088" s="61" t="str">
        <f aca="false">INDEX(Datos_Origen!$D$2:$D$2459,$Z2088)&amp;""</f>
        <v>Tucuman</v>
      </c>
    </row>
    <row r="2089" customFormat="false" ht="15" hidden="false" customHeight="false" outlineLevel="0" collapsed="false">
      <c r="A2089" s="61" t="n">
        <f aca="false">INDEX(Datos_Origen!$A$2:$A$2459,$Z2089)</f>
        <v>2088</v>
      </c>
      <c r="B2089" s="62" t="n">
        <f aca="false">IF(ISNUMBER($AB2089),$AB2089,IF(MID($AB2089,5,1)="-",DATE(VALUE(LEFT($AB2089,4)),VALUE(MID($AB2089,6,2)),VALUE(RIGHT($AB2089,2))),DATE(VALUE(RIGHT($AB2089,4)),VALUE(MID($AB2089,4,2)),VALUE(LEFT($AB2089,2)))))</f>
        <v>45910</v>
      </c>
      <c r="C2089" s="61" t="n">
        <f aca="false">YEAR($B2089)</f>
        <v>2025</v>
      </c>
      <c r="D2089" s="61" t="str">
        <f aca="false">"Q"&amp;ROUNDUP(MONTH($B2089)/3,0)</f>
        <v>Q3</v>
      </c>
      <c r="E2089" s="61" t="n">
        <f aca="false">MONTH($B2089)</f>
        <v>9</v>
      </c>
      <c r="F2089" s="61" t="str">
        <f aca="false">INDEX(Parametros!$I$5:$I$16,$E2089)</f>
        <v>Sep</v>
      </c>
      <c r="G2089" s="61" t="str">
        <f aca="false">TEXT($C2089,"0000")&amp;"-"&amp;TEXT($E2089,"00")</f>
        <v>2025-09</v>
      </c>
      <c r="H2089" s="61" t="str">
        <f aca="false">INDEX(Parametros!$C$71:$C$91,MATCH(TRIM(INDEX(Datos_Origen!$C$2:$C$2459,$Z2089)),Parametros!$B$71:$B$91,0))</f>
        <v>NOA</v>
      </c>
      <c r="I2089" s="61" t="str">
        <f aca="false">IF(TRIM($AD2089)="",INDEX(Parametros!$I$20:$I$24,MATCH($H2089,Parametros!$H$20:$H$24,0)),TRIM($AD2089))</f>
        <v>Tucuman</v>
      </c>
      <c r="J2089" s="61" t="str">
        <f aca="false">INDEX(Parametros!$C$95:$C$106,MATCH(TRIM(INDEX(Datos_Origen!$E$2:$E$2459,$Z2089)),Parametros!$B$95:$B$106,0))</f>
        <v>E-commerce</v>
      </c>
      <c r="K2089" s="61" t="str">
        <f aca="false">INDEX(Parametros!$C$48:$C$67,MATCH(TRIM(INDEX(Datos_Origen!$F$2:$F$2459,$Z2089)),Parametros!$B$48:$B$67,0))</f>
        <v>Accesorios</v>
      </c>
      <c r="L2089" s="61" t="str">
        <f aca="false">$K2089&amp;" "&amp;$C2089</f>
        <v>Accesorios 2025</v>
      </c>
      <c r="M2089" s="61" t="str">
        <f aca="false">TRIM(INDEX(Datos_Origen!$G$2:$G$2459,$Z2089))</f>
        <v>Mouse Inalambrico</v>
      </c>
      <c r="N2089" s="61" t="str">
        <f aca="false">$M2089&amp;" "&amp;$C2089</f>
        <v>Mouse Inalambrico 2025</v>
      </c>
      <c r="O2089" s="63" t="n">
        <f aca="false">IF(ISTEXT($AC2089),VALUE($AC2089),$AC2089)</f>
        <v>18</v>
      </c>
      <c r="P2089" s="64" t="n">
        <f aca="false">INDEX(Datos_Origen!$I$2:$I$2459,$Z2089)</f>
        <v>28.11</v>
      </c>
      <c r="Q2089" s="64" t="n">
        <f aca="false">INDEX(Datos_Origen!$J$2:$J$2459,$Z2089)</f>
        <v>13.84</v>
      </c>
      <c r="R2089" s="65" t="n">
        <f aca="false">ROUND($O2089*$P2089,2)</f>
        <v>505.98</v>
      </c>
      <c r="S2089" s="65" t="n">
        <f aca="false">ROUND($O2089*$Q2089,2)</f>
        <v>249.12</v>
      </c>
      <c r="T2089" s="65" t="n">
        <f aca="false">ROUND($R2089*SUMIFS(Parametros!$E$28:$E$43,Parametros!$B$28:$B$43,$J2089,Parametros!$C$28:$C$43,$C2089,Parametros!$D$28:$D$43,$D2089),2)</f>
        <v>28.33</v>
      </c>
      <c r="U2089" s="65" t="n">
        <f aca="false">$R2089-$S2089-$T2089</f>
        <v>228.53</v>
      </c>
      <c r="V2089" s="66" t="n">
        <f aca="false">IFERROR($U2089/$R2089,0)</f>
        <v>0.451658168307048</v>
      </c>
      <c r="W2089" s="67" t="str">
        <f aca="false">IF(AND($V2089&gt;=Parametros!$C$8,$R2089&gt;=Parametros!$C$12),"Alta rentabilidad",IF(OR($V2089&lt;Parametros!$C$11,$R2089&lt;Parametros!$C$13),"Revisar","Estandar"))</f>
        <v>Estandar</v>
      </c>
      <c r="X2089" s="67" t="str">
        <f aca="false">IF(AND($J2089="E-commerce",IFERROR($T2089/$R2089,0)&gt;Parametros!$C$14),"Alerta","OK")</f>
        <v>Alerta</v>
      </c>
      <c r="Y2089" s="61" t="str">
        <f aca="false">IF($R2089&gt;=Parametros!$C$12,"Alto",IF($R2089&lt;Parametros!$C$13,"Bajo","Medio"))</f>
        <v>Medio</v>
      </c>
      <c r="Z2089" s="61" t="n">
        <v>1914</v>
      </c>
      <c r="AA2089" s="61" t="str">
        <f aca="false">IF(MATCH($A2089,Datos_Origen!$A$2:$A$2459,0)=$Z2089,"OK","REVISAR")</f>
        <v>OK</v>
      </c>
      <c r="AB2089" s="62" t="n">
        <f aca="false">INDEX(Datos_Origen!$B$2:$B$2459,$Z2089)</f>
        <v>45910</v>
      </c>
      <c r="AC2089" s="61" t="n">
        <f aca="false">INDEX(Datos_Origen!$H$2:$H$2459,$Z2089)</f>
        <v>18</v>
      </c>
      <c r="AD2089" s="61" t="str">
        <f aca="false">INDEX(Datos_Origen!$D$2:$D$2459,$Z2089)&amp;""</f>
        <v>Tucuman</v>
      </c>
    </row>
    <row r="2090" customFormat="false" ht="15" hidden="false" customHeight="false" outlineLevel="0" collapsed="false">
      <c r="A2090" s="61" t="n">
        <f aca="false">INDEX(Datos_Origen!$A$2:$A$2459,$Z2090)</f>
        <v>2089</v>
      </c>
      <c r="B2090" s="62" t="n">
        <f aca="false">IF(ISNUMBER($AB2090),$AB2090,IF(MID($AB2090,5,1)="-",DATE(VALUE(LEFT($AB2090,4)),VALUE(MID($AB2090,6,2)),VALUE(RIGHT($AB2090,2))),DATE(VALUE(RIGHT($AB2090,4)),VALUE(MID($AB2090,4,2)),VALUE(LEFT($AB2090,2)))))</f>
        <v>45917</v>
      </c>
      <c r="C2090" s="61" t="n">
        <f aca="false">YEAR($B2090)</f>
        <v>2025</v>
      </c>
      <c r="D2090" s="61" t="str">
        <f aca="false">"Q"&amp;ROUNDUP(MONTH($B2090)/3,0)</f>
        <v>Q3</v>
      </c>
      <c r="E2090" s="61" t="n">
        <f aca="false">MONTH($B2090)</f>
        <v>9</v>
      </c>
      <c r="F2090" s="61" t="str">
        <f aca="false">INDEX(Parametros!$I$5:$I$16,$E2090)</f>
        <v>Sep</v>
      </c>
      <c r="G2090" s="61" t="str">
        <f aca="false">TEXT($C2090,"0000")&amp;"-"&amp;TEXT($E2090,"00")</f>
        <v>2025-09</v>
      </c>
      <c r="H2090" s="61" t="str">
        <f aca="false">INDEX(Parametros!$C$71:$C$91,MATCH(TRIM(INDEX(Datos_Origen!$C$2:$C$2459,$Z2090)),Parametros!$B$71:$B$91,0))</f>
        <v>NOA</v>
      </c>
      <c r="I2090" s="61" t="str">
        <f aca="false">IF(TRIM($AD2090)="",INDEX(Parametros!$I$20:$I$24,MATCH($H2090,Parametros!$H$20:$H$24,0)),TRIM($AD2090))</f>
        <v>Tucuman</v>
      </c>
      <c r="J2090" s="61" t="str">
        <f aca="false">INDEX(Parametros!$C$95:$C$106,MATCH(TRIM(INDEX(Datos_Origen!$E$2:$E$2459,$Z2090)),Parametros!$B$95:$B$106,0))</f>
        <v>Tienda fisica</v>
      </c>
      <c r="K2090" s="61" t="str">
        <f aca="false">INDEX(Parametros!$C$48:$C$67,MATCH(TRIM(INDEX(Datos_Origen!$F$2:$F$2459,$Z2090)),Parametros!$B$48:$B$67,0))</f>
        <v>Accesorios</v>
      </c>
      <c r="L2090" s="61" t="str">
        <f aca="false">$K2090&amp;" "&amp;$C2090</f>
        <v>Accesorios 2025</v>
      </c>
      <c r="M2090" s="61" t="str">
        <f aca="false">TRIM(INDEX(Datos_Origen!$G$2:$G$2459,$Z2090))</f>
        <v>Teclado Mecanico</v>
      </c>
      <c r="N2090" s="61" t="str">
        <f aca="false">$M2090&amp;" "&amp;$C2090</f>
        <v>Teclado Mecanico 2025</v>
      </c>
      <c r="O2090" s="63" t="n">
        <f aca="false">IF(ISTEXT($AC2090),VALUE($AC2090),$AC2090)</f>
        <v>26</v>
      </c>
      <c r="P2090" s="64" t="n">
        <f aca="false">INDEX(Datos_Origen!$I$2:$I$2459,$Z2090)</f>
        <v>95.38</v>
      </c>
      <c r="Q2090" s="64" t="n">
        <f aca="false">INDEX(Datos_Origen!$J$2:$J$2459,$Z2090)</f>
        <v>49.41</v>
      </c>
      <c r="R2090" s="65" t="n">
        <f aca="false">ROUND($O2090*$P2090,2)</f>
        <v>2479.88</v>
      </c>
      <c r="S2090" s="65" t="n">
        <f aca="false">ROUND($O2090*$Q2090,2)</f>
        <v>1284.66</v>
      </c>
      <c r="T2090" s="65" t="n">
        <f aca="false">ROUND($R2090*SUMIFS(Parametros!$E$28:$E$43,Parametros!$B$28:$B$43,$J2090,Parametros!$C$28:$C$43,$C2090,Parametros!$D$28:$D$43,$D2090),2)</f>
        <v>32.24</v>
      </c>
      <c r="U2090" s="65" t="n">
        <f aca="false">$R2090-$S2090-$T2090</f>
        <v>1162.98</v>
      </c>
      <c r="V2090" s="66" t="n">
        <f aca="false">IFERROR($U2090/$R2090,0)</f>
        <v>0.46896624030195</v>
      </c>
      <c r="W2090" s="67" t="str">
        <f aca="false">IF(AND($V2090&gt;=Parametros!$C$8,$R2090&gt;=Parametros!$C$12),"Alta rentabilidad",IF(OR($V2090&lt;Parametros!$C$11,$R2090&lt;Parametros!$C$13),"Revisar","Estandar"))</f>
        <v>Estandar</v>
      </c>
      <c r="X2090" s="67" t="str">
        <f aca="false">IF(AND($J2090="E-commerce",IFERROR($T2090/$R2090,0)&gt;Parametros!$C$14),"Alerta","OK")</f>
        <v>OK</v>
      </c>
      <c r="Y2090" s="61" t="str">
        <f aca="false">IF($R2090&gt;=Parametros!$C$12,"Alto",IF($R2090&lt;Parametros!$C$13,"Bajo","Medio"))</f>
        <v>Medio</v>
      </c>
      <c r="Z2090" s="61" t="n">
        <v>2284</v>
      </c>
      <c r="AA2090" s="61" t="str">
        <f aca="false">IF(MATCH($A2090,Datos_Origen!$A$2:$A$2459,0)=$Z2090,"OK","REVISAR")</f>
        <v>OK</v>
      </c>
      <c r="AB2090" s="61" t="str">
        <f aca="false">INDEX(Datos_Origen!$B$2:$B$2459,$Z2090)</f>
        <v>2025-09-17</v>
      </c>
      <c r="AC2090" s="61" t="n">
        <f aca="false">INDEX(Datos_Origen!$H$2:$H$2459,$Z2090)</f>
        <v>26</v>
      </c>
      <c r="AD2090" s="61" t="str">
        <f aca="false">INDEX(Datos_Origen!$D$2:$D$2459,$Z2090)&amp;""</f>
        <v>Tucuman</v>
      </c>
    </row>
    <row r="2091" customFormat="false" ht="15" hidden="false" customHeight="false" outlineLevel="0" collapsed="false">
      <c r="A2091" s="61" t="n">
        <f aca="false">INDEX(Datos_Origen!$A$2:$A$2459,$Z2091)</f>
        <v>2090</v>
      </c>
      <c r="B2091" s="62" t="n">
        <f aca="false">IF(ISNUMBER($AB2091),$AB2091,IF(MID($AB2091,5,1)="-",DATE(VALUE(LEFT($AB2091,4)),VALUE(MID($AB2091,6,2)),VALUE(RIGHT($AB2091,2))),DATE(VALUE(RIGHT($AB2091,4)),VALUE(MID($AB2091,4,2)),VALUE(LEFT($AB2091,2)))))</f>
        <v>45924</v>
      </c>
      <c r="C2091" s="61" t="n">
        <f aca="false">YEAR($B2091)</f>
        <v>2025</v>
      </c>
      <c r="D2091" s="61" t="str">
        <f aca="false">"Q"&amp;ROUNDUP(MONTH($B2091)/3,0)</f>
        <v>Q3</v>
      </c>
      <c r="E2091" s="61" t="n">
        <f aca="false">MONTH($B2091)</f>
        <v>9</v>
      </c>
      <c r="F2091" s="61" t="str">
        <f aca="false">INDEX(Parametros!$I$5:$I$16,$E2091)</f>
        <v>Sep</v>
      </c>
      <c r="G2091" s="61" t="str">
        <f aca="false">TEXT($C2091,"0000")&amp;"-"&amp;TEXT($E2091,"00")</f>
        <v>2025-09</v>
      </c>
      <c r="H2091" s="61" t="str">
        <f aca="false">INDEX(Parametros!$C$71:$C$91,MATCH(TRIM(INDEX(Datos_Origen!$C$2:$C$2459,$Z2091)),Parametros!$B$71:$B$91,0))</f>
        <v>NOA</v>
      </c>
      <c r="I2091" s="61" t="str">
        <f aca="false">IF(TRIM($AD2091)="",INDEX(Parametros!$I$20:$I$24,MATCH($H2091,Parametros!$H$20:$H$24,0)),TRIM($AD2091))</f>
        <v>Tucuman</v>
      </c>
      <c r="J2091" s="61" t="str">
        <f aca="false">INDEX(Parametros!$C$95:$C$106,MATCH(TRIM(INDEX(Datos_Origen!$E$2:$E$2459,$Z2091)),Parametros!$B$95:$B$106,0))</f>
        <v>E-commerce</v>
      </c>
      <c r="K2091" s="61" t="str">
        <f aca="false">INDEX(Parametros!$C$48:$C$67,MATCH(TRIM(INDEX(Datos_Origen!$F$2:$F$2459,$Z2091)),Parametros!$B$48:$B$67,0))</f>
        <v>Accesorios</v>
      </c>
      <c r="L2091" s="61" t="str">
        <f aca="false">$K2091&amp;" "&amp;$C2091</f>
        <v>Accesorios 2025</v>
      </c>
      <c r="M2091" s="61" t="str">
        <f aca="false">TRIM(INDEX(Datos_Origen!$G$2:$G$2459,$Z2091))</f>
        <v>Teclado Mecanico</v>
      </c>
      <c r="N2091" s="61" t="str">
        <f aca="false">$M2091&amp;" "&amp;$C2091</f>
        <v>Teclado Mecanico 2025</v>
      </c>
      <c r="O2091" s="63" t="n">
        <f aca="false">IF(ISTEXT($AC2091),VALUE($AC2091),$AC2091)</f>
        <v>21</v>
      </c>
      <c r="P2091" s="64" t="n">
        <f aca="false">INDEX(Datos_Origen!$I$2:$I$2459,$Z2091)</f>
        <v>95.38</v>
      </c>
      <c r="Q2091" s="64" t="n">
        <f aca="false">INDEX(Datos_Origen!$J$2:$J$2459,$Z2091)</f>
        <v>49.41</v>
      </c>
      <c r="R2091" s="65" t="n">
        <f aca="false">ROUND($O2091*$P2091,2)</f>
        <v>2002.98</v>
      </c>
      <c r="S2091" s="65" t="n">
        <f aca="false">ROUND($O2091*$Q2091,2)</f>
        <v>1037.61</v>
      </c>
      <c r="T2091" s="65" t="n">
        <f aca="false">ROUND($R2091*SUMIFS(Parametros!$E$28:$E$43,Parametros!$B$28:$B$43,$J2091,Parametros!$C$28:$C$43,$C2091,Parametros!$D$28:$D$43,$D2091),2)</f>
        <v>112.17</v>
      </c>
      <c r="U2091" s="65" t="n">
        <f aca="false">$R2091-$S2091-$T2091</f>
        <v>853.2</v>
      </c>
      <c r="V2091" s="66" t="n">
        <f aca="false">IFERROR($U2091/$R2091,0)</f>
        <v>0.425965311685589</v>
      </c>
      <c r="W2091" s="67" t="str">
        <f aca="false">IF(AND($V2091&gt;=Parametros!$C$8,$R2091&gt;=Parametros!$C$12),"Alta rentabilidad",IF(OR($V2091&lt;Parametros!$C$11,$R2091&lt;Parametros!$C$13),"Revisar","Estandar"))</f>
        <v>Estandar</v>
      </c>
      <c r="X2091" s="67" t="str">
        <f aca="false">IF(AND($J2091="E-commerce",IFERROR($T2091/$R2091,0)&gt;Parametros!$C$14),"Alerta","OK")</f>
        <v>Alerta</v>
      </c>
      <c r="Y2091" s="61" t="str">
        <f aca="false">IF($R2091&gt;=Parametros!$C$12,"Alto",IF($R2091&lt;Parametros!$C$13,"Bajo","Medio"))</f>
        <v>Medio</v>
      </c>
      <c r="Z2091" s="61" t="n">
        <v>661</v>
      </c>
      <c r="AA2091" s="61" t="str">
        <f aca="false">IF(MATCH($A2091,Datos_Origen!$A$2:$A$2459,0)=$Z2091,"OK","REVISAR")</f>
        <v>OK</v>
      </c>
      <c r="AB2091" s="61" t="str">
        <f aca="false">INDEX(Datos_Origen!$B$2:$B$2459,$Z2091)</f>
        <v>24/09/2025</v>
      </c>
      <c r="AC2091" s="61" t="n">
        <f aca="false">INDEX(Datos_Origen!$H$2:$H$2459,$Z2091)</f>
        <v>21</v>
      </c>
      <c r="AD2091" s="61" t="str">
        <f aca="false">INDEX(Datos_Origen!$D$2:$D$2459,$Z2091)&amp;""</f>
        <v>Tucuman</v>
      </c>
    </row>
    <row r="2092" customFormat="false" ht="15" hidden="false" customHeight="false" outlineLevel="0" collapsed="false">
      <c r="A2092" s="61" t="n">
        <f aca="false">INDEX(Datos_Origen!$A$2:$A$2459,$Z2092)</f>
        <v>2091</v>
      </c>
      <c r="B2092" s="62" t="n">
        <f aca="false">IF(ISNUMBER($AB2092),$AB2092,IF(MID($AB2092,5,1)="-",DATE(VALUE(LEFT($AB2092,4)),VALUE(MID($AB2092,6,2)),VALUE(RIGHT($AB2092,2))),DATE(VALUE(RIGHT($AB2092,4)),VALUE(MID($AB2092,4,2)),VALUE(LEFT($AB2092,2)))))</f>
        <v>45904</v>
      </c>
      <c r="C2092" s="61" t="n">
        <f aca="false">YEAR($B2092)</f>
        <v>2025</v>
      </c>
      <c r="D2092" s="61" t="str">
        <f aca="false">"Q"&amp;ROUNDUP(MONTH($B2092)/3,0)</f>
        <v>Q3</v>
      </c>
      <c r="E2092" s="61" t="n">
        <f aca="false">MONTH($B2092)</f>
        <v>9</v>
      </c>
      <c r="F2092" s="61" t="str">
        <f aca="false">INDEX(Parametros!$I$5:$I$16,$E2092)</f>
        <v>Sep</v>
      </c>
      <c r="G2092" s="61" t="str">
        <f aca="false">TEXT($C2092,"0000")&amp;"-"&amp;TEXT($E2092,"00")</f>
        <v>2025-09</v>
      </c>
      <c r="H2092" s="61" t="str">
        <f aca="false">INDEX(Parametros!$C$71:$C$91,MATCH(TRIM(INDEX(Datos_Origen!$C$2:$C$2459,$Z2092)),Parametros!$B$71:$B$91,0))</f>
        <v>NOA</v>
      </c>
      <c r="I2092" s="61" t="str">
        <f aca="false">IF(TRIM($AD2092)="",INDEX(Parametros!$I$20:$I$24,MATCH($H2092,Parametros!$H$20:$H$24,0)),TRIM($AD2092))</f>
        <v>Tucuman</v>
      </c>
      <c r="J2092" s="61" t="str">
        <f aca="false">INDEX(Parametros!$C$95:$C$106,MATCH(TRIM(INDEX(Datos_Origen!$E$2:$E$2459,$Z2092)),Parametros!$B$95:$B$106,0))</f>
        <v>Tienda fisica</v>
      </c>
      <c r="K2092" s="61" t="str">
        <f aca="false">INDEX(Parametros!$C$48:$C$67,MATCH(TRIM(INDEX(Datos_Origen!$F$2:$F$2459,$Z2092)),Parametros!$B$48:$B$67,0))</f>
        <v>Accesorios</v>
      </c>
      <c r="L2092" s="61" t="str">
        <f aca="false">$K2092&amp;" "&amp;$C2092</f>
        <v>Accesorios 2025</v>
      </c>
      <c r="M2092" s="61" t="str">
        <f aca="false">TRIM(INDEX(Datos_Origen!$G$2:$G$2459,$Z2092))</f>
        <v>Webcam Full HD</v>
      </c>
      <c r="N2092" s="61" t="str">
        <f aca="false">$M2092&amp;" "&amp;$C2092</f>
        <v>Webcam Full HD 2025</v>
      </c>
      <c r="O2092" s="63" t="n">
        <f aca="false">IF(ISTEXT($AC2092),VALUE($AC2092),$AC2092)</f>
        <v>32</v>
      </c>
      <c r="P2092" s="64" t="n">
        <f aca="false">INDEX(Datos_Origen!$I$2:$I$2459,$Z2092)</f>
        <v>65.26</v>
      </c>
      <c r="Q2092" s="64" t="n">
        <f aca="false">INDEX(Datos_Origen!$J$2:$J$2459,$Z2092)</f>
        <v>36.49</v>
      </c>
      <c r="R2092" s="65" t="n">
        <f aca="false">ROUND($O2092*$P2092,2)</f>
        <v>2088.32</v>
      </c>
      <c r="S2092" s="65" t="n">
        <f aca="false">ROUND($O2092*$Q2092,2)</f>
        <v>1167.68</v>
      </c>
      <c r="T2092" s="65" t="n">
        <f aca="false">ROUND($R2092*SUMIFS(Parametros!$E$28:$E$43,Parametros!$B$28:$B$43,$J2092,Parametros!$C$28:$C$43,$C2092,Parametros!$D$28:$D$43,$D2092),2)</f>
        <v>27.15</v>
      </c>
      <c r="U2092" s="65" t="n">
        <f aca="false">$R2092-$S2092-$T2092</f>
        <v>893.49</v>
      </c>
      <c r="V2092" s="66" t="n">
        <f aca="false">IFERROR($U2092/$R2092,0)</f>
        <v>0.42785109561753</v>
      </c>
      <c r="W2092" s="67" t="str">
        <f aca="false">IF(AND($V2092&gt;=Parametros!$C$8,$R2092&gt;=Parametros!$C$12),"Alta rentabilidad",IF(OR($V2092&lt;Parametros!$C$11,$R2092&lt;Parametros!$C$13),"Revisar","Estandar"))</f>
        <v>Estandar</v>
      </c>
      <c r="X2092" s="67" t="str">
        <f aca="false">IF(AND($J2092="E-commerce",IFERROR($T2092/$R2092,0)&gt;Parametros!$C$14),"Alerta","OK")</f>
        <v>OK</v>
      </c>
      <c r="Y2092" s="61" t="str">
        <f aca="false">IF($R2092&gt;=Parametros!$C$12,"Alto",IF($R2092&lt;Parametros!$C$13,"Bajo","Medio"))</f>
        <v>Medio</v>
      </c>
      <c r="Z2092" s="61" t="n">
        <v>526</v>
      </c>
      <c r="AA2092" s="61" t="str">
        <f aca="false">IF(MATCH($A2092,Datos_Origen!$A$2:$A$2459,0)=$Z2092,"OK","REVISAR")</f>
        <v>OK</v>
      </c>
      <c r="AB2092" s="62" t="n">
        <f aca="false">INDEX(Datos_Origen!$B$2:$B$2459,$Z2092)</f>
        <v>45904</v>
      </c>
      <c r="AC2092" s="61" t="n">
        <f aca="false">INDEX(Datos_Origen!$H$2:$H$2459,$Z2092)</f>
        <v>32</v>
      </c>
      <c r="AD2092" s="61" t="str">
        <f aca="false">INDEX(Datos_Origen!$D$2:$D$2459,$Z2092)&amp;""</f>
        <v>Tucuman</v>
      </c>
    </row>
    <row r="2093" customFormat="false" ht="15" hidden="false" customHeight="false" outlineLevel="0" collapsed="false">
      <c r="A2093" s="61" t="n">
        <f aca="false">INDEX(Datos_Origen!$A$2:$A$2459,$Z2093)</f>
        <v>2092</v>
      </c>
      <c r="B2093" s="62" t="n">
        <f aca="false">IF(ISNUMBER($AB2093),$AB2093,IF(MID($AB2093,5,1)="-",DATE(VALUE(LEFT($AB2093,4)),VALUE(MID($AB2093,6,2)),VALUE(RIGHT($AB2093,2))),DATE(VALUE(RIGHT($AB2093,4)),VALUE(MID($AB2093,4,2)),VALUE(LEFT($AB2093,2)))))</f>
        <v>45911</v>
      </c>
      <c r="C2093" s="61" t="n">
        <f aca="false">YEAR($B2093)</f>
        <v>2025</v>
      </c>
      <c r="D2093" s="61" t="str">
        <f aca="false">"Q"&amp;ROUNDUP(MONTH($B2093)/3,0)</f>
        <v>Q3</v>
      </c>
      <c r="E2093" s="61" t="n">
        <f aca="false">MONTH($B2093)</f>
        <v>9</v>
      </c>
      <c r="F2093" s="61" t="str">
        <f aca="false">INDEX(Parametros!$I$5:$I$16,$E2093)</f>
        <v>Sep</v>
      </c>
      <c r="G2093" s="61" t="str">
        <f aca="false">TEXT($C2093,"0000")&amp;"-"&amp;TEXT($E2093,"00")</f>
        <v>2025-09</v>
      </c>
      <c r="H2093" s="61" t="str">
        <f aca="false">INDEX(Parametros!$C$71:$C$91,MATCH(TRIM(INDEX(Datos_Origen!$C$2:$C$2459,$Z2093)),Parametros!$B$71:$B$91,0))</f>
        <v>NOA</v>
      </c>
      <c r="I2093" s="61" t="str">
        <f aca="false">IF(TRIM($AD2093)="",INDEX(Parametros!$I$20:$I$24,MATCH($H2093,Parametros!$H$20:$H$24,0)),TRIM($AD2093))</f>
        <v>Tucuman</v>
      </c>
      <c r="J2093" s="61" t="str">
        <f aca="false">INDEX(Parametros!$C$95:$C$106,MATCH(TRIM(INDEX(Datos_Origen!$E$2:$E$2459,$Z2093)),Parametros!$B$95:$B$106,0))</f>
        <v>E-commerce</v>
      </c>
      <c r="K2093" s="61" t="str">
        <f aca="false">INDEX(Parametros!$C$48:$C$67,MATCH(TRIM(INDEX(Datos_Origen!$F$2:$F$2459,$Z2093)),Parametros!$B$48:$B$67,0))</f>
        <v>Accesorios</v>
      </c>
      <c r="L2093" s="61" t="str">
        <f aca="false">$K2093&amp;" "&amp;$C2093</f>
        <v>Accesorios 2025</v>
      </c>
      <c r="M2093" s="61" t="str">
        <f aca="false">TRIM(INDEX(Datos_Origen!$G$2:$G$2459,$Z2093))</f>
        <v>Webcam Full HD</v>
      </c>
      <c r="N2093" s="61" t="str">
        <f aca="false">$M2093&amp;" "&amp;$C2093</f>
        <v>Webcam Full HD 2025</v>
      </c>
      <c r="O2093" s="63" t="n">
        <f aca="false">IF(ISTEXT($AC2093),VALUE($AC2093),$AC2093)</f>
        <v>19</v>
      </c>
      <c r="P2093" s="64" t="n">
        <f aca="false">INDEX(Datos_Origen!$I$2:$I$2459,$Z2093)</f>
        <v>65.26</v>
      </c>
      <c r="Q2093" s="64" t="n">
        <f aca="false">INDEX(Datos_Origen!$J$2:$J$2459,$Z2093)</f>
        <v>36.49</v>
      </c>
      <c r="R2093" s="65" t="n">
        <f aca="false">ROUND($O2093*$P2093,2)</f>
        <v>1239.94</v>
      </c>
      <c r="S2093" s="65" t="n">
        <f aca="false">ROUND($O2093*$Q2093,2)</f>
        <v>693.31</v>
      </c>
      <c r="T2093" s="65" t="n">
        <f aca="false">ROUND($R2093*SUMIFS(Parametros!$E$28:$E$43,Parametros!$B$28:$B$43,$J2093,Parametros!$C$28:$C$43,$C2093,Parametros!$D$28:$D$43,$D2093),2)</f>
        <v>69.44</v>
      </c>
      <c r="U2093" s="65" t="n">
        <f aca="false">$R2093-$S2093-$T2093</f>
        <v>477.19</v>
      </c>
      <c r="V2093" s="66" t="n">
        <f aca="false">IFERROR($U2093/$R2093,0)</f>
        <v>0.384849266900011</v>
      </c>
      <c r="W2093" s="67" t="str">
        <f aca="false">IF(AND($V2093&gt;=Parametros!$C$8,$R2093&gt;=Parametros!$C$12),"Alta rentabilidad",IF(OR($V2093&lt;Parametros!$C$11,$R2093&lt;Parametros!$C$13),"Revisar","Estandar"))</f>
        <v>Estandar</v>
      </c>
      <c r="X2093" s="67" t="str">
        <f aca="false">IF(AND($J2093="E-commerce",IFERROR($T2093/$R2093,0)&gt;Parametros!$C$14),"Alerta","OK")</f>
        <v>Alerta</v>
      </c>
      <c r="Y2093" s="61" t="str">
        <f aca="false">IF($R2093&gt;=Parametros!$C$12,"Alto",IF($R2093&lt;Parametros!$C$13,"Bajo","Medio"))</f>
        <v>Medio</v>
      </c>
      <c r="Z2093" s="61" t="n">
        <v>614</v>
      </c>
      <c r="AA2093" s="61" t="str">
        <f aca="false">IF(MATCH($A2093,Datos_Origen!$A$2:$A$2459,0)=$Z2093,"OK","REVISAR")</f>
        <v>OK</v>
      </c>
      <c r="AB2093" s="62" t="n">
        <f aca="false">INDEX(Datos_Origen!$B$2:$B$2459,$Z2093)</f>
        <v>45911</v>
      </c>
      <c r="AC2093" s="61" t="n">
        <f aca="false">INDEX(Datos_Origen!$H$2:$H$2459,$Z2093)</f>
        <v>19</v>
      </c>
      <c r="AD2093" s="61" t="str">
        <f aca="false">INDEX(Datos_Origen!$D$2:$D$2459,$Z2093)&amp;""</f>
        <v>Tucuman</v>
      </c>
    </row>
    <row r="2094" customFormat="false" ht="15" hidden="false" customHeight="false" outlineLevel="0" collapsed="false">
      <c r="A2094" s="61" t="n">
        <f aca="false">INDEX(Datos_Origen!$A$2:$A$2459,$Z2094)</f>
        <v>2093</v>
      </c>
      <c r="B2094" s="62" t="n">
        <f aca="false">IF(ISNUMBER($AB2094),$AB2094,IF(MID($AB2094,5,1)="-",DATE(VALUE(LEFT($AB2094,4)),VALUE(MID($AB2094,6,2)),VALUE(RIGHT($AB2094,2))),DATE(VALUE(RIGHT($AB2094,4)),VALUE(MID($AB2094,4,2)),VALUE(LEFT($AB2094,2)))))</f>
        <v>45918</v>
      </c>
      <c r="C2094" s="61" t="n">
        <f aca="false">YEAR($B2094)</f>
        <v>2025</v>
      </c>
      <c r="D2094" s="61" t="str">
        <f aca="false">"Q"&amp;ROUNDUP(MONTH($B2094)/3,0)</f>
        <v>Q3</v>
      </c>
      <c r="E2094" s="61" t="n">
        <f aca="false">MONTH($B2094)</f>
        <v>9</v>
      </c>
      <c r="F2094" s="61" t="str">
        <f aca="false">INDEX(Parametros!$I$5:$I$16,$E2094)</f>
        <v>Sep</v>
      </c>
      <c r="G2094" s="61" t="str">
        <f aca="false">TEXT($C2094,"0000")&amp;"-"&amp;TEXT($E2094,"00")</f>
        <v>2025-09</v>
      </c>
      <c r="H2094" s="61" t="str">
        <f aca="false">INDEX(Parametros!$C$71:$C$91,MATCH(TRIM(INDEX(Datos_Origen!$C$2:$C$2459,$Z2094)),Parametros!$B$71:$B$91,0))</f>
        <v>NOA</v>
      </c>
      <c r="I2094" s="61" t="str">
        <f aca="false">IF(TRIM($AD2094)="",INDEX(Parametros!$I$20:$I$24,MATCH($H2094,Parametros!$H$20:$H$24,0)),TRIM($AD2094))</f>
        <v>Tucuman</v>
      </c>
      <c r="J2094" s="61" t="str">
        <f aca="false">INDEX(Parametros!$C$95:$C$106,MATCH(TRIM(INDEX(Datos_Origen!$E$2:$E$2459,$Z2094)),Parametros!$B$95:$B$106,0))</f>
        <v>Tienda fisica</v>
      </c>
      <c r="K2094" s="61" t="str">
        <f aca="false">INDEX(Parametros!$C$48:$C$67,MATCH(TRIM(INDEX(Datos_Origen!$F$2:$F$2459,$Z2094)),Parametros!$B$48:$B$67,0))</f>
        <v>Audio</v>
      </c>
      <c r="L2094" s="61" t="str">
        <f aca="false">$K2094&amp;" "&amp;$C2094</f>
        <v>Audio 2025</v>
      </c>
      <c r="M2094" s="61" t="str">
        <f aca="false">TRIM(INDEX(Datos_Origen!$G$2:$G$2459,$Z2094))</f>
        <v>Auriculares BT Pro</v>
      </c>
      <c r="N2094" s="61" t="str">
        <f aca="false">$M2094&amp;" "&amp;$C2094</f>
        <v>Auriculares BT Pro 2025</v>
      </c>
      <c r="O2094" s="63" t="n">
        <f aca="false">IF(ISTEXT($AC2094),VALUE($AC2094),$AC2094)</f>
        <v>15</v>
      </c>
      <c r="P2094" s="64" t="n">
        <f aca="false">INDEX(Datos_Origen!$I$2:$I$2459,$Z2094)</f>
        <v>120.47</v>
      </c>
      <c r="Q2094" s="64" t="n">
        <f aca="false">INDEX(Datos_Origen!$J$2:$J$2459,$Z2094)</f>
        <v>65.51</v>
      </c>
      <c r="R2094" s="65" t="n">
        <f aca="false">ROUND($O2094*$P2094,2)</f>
        <v>1807.05</v>
      </c>
      <c r="S2094" s="65" t="n">
        <f aca="false">ROUND($O2094*$Q2094,2)</f>
        <v>982.65</v>
      </c>
      <c r="T2094" s="65" t="n">
        <f aca="false">ROUND($R2094*SUMIFS(Parametros!$E$28:$E$43,Parametros!$B$28:$B$43,$J2094,Parametros!$C$28:$C$43,$C2094,Parametros!$D$28:$D$43,$D2094),2)</f>
        <v>23.49</v>
      </c>
      <c r="U2094" s="65" t="n">
        <f aca="false">$R2094-$S2094-$T2094</f>
        <v>800.91</v>
      </c>
      <c r="V2094" s="66" t="n">
        <f aca="false">IFERROR($U2094/$R2094,0)</f>
        <v>0.443214078193741</v>
      </c>
      <c r="W2094" s="67" t="str">
        <f aca="false">IF(AND($V2094&gt;=Parametros!$C$8,$R2094&gt;=Parametros!$C$12),"Alta rentabilidad",IF(OR($V2094&lt;Parametros!$C$11,$R2094&lt;Parametros!$C$13),"Revisar","Estandar"))</f>
        <v>Estandar</v>
      </c>
      <c r="X2094" s="67" t="str">
        <f aca="false">IF(AND($J2094="E-commerce",IFERROR($T2094/$R2094,0)&gt;Parametros!$C$14),"Alerta","OK")</f>
        <v>OK</v>
      </c>
      <c r="Y2094" s="61" t="str">
        <f aca="false">IF($R2094&gt;=Parametros!$C$12,"Alto",IF($R2094&lt;Parametros!$C$13,"Bajo","Medio"))</f>
        <v>Medio</v>
      </c>
      <c r="Z2094" s="61" t="n">
        <v>2300</v>
      </c>
      <c r="AA2094" s="61" t="str">
        <f aca="false">IF(MATCH($A2094,Datos_Origen!$A$2:$A$2459,0)=$Z2094,"OK","REVISAR")</f>
        <v>OK</v>
      </c>
      <c r="AB2094" s="61" t="str">
        <f aca="false">INDEX(Datos_Origen!$B$2:$B$2459,$Z2094)</f>
        <v>2025-09-18</v>
      </c>
      <c r="AC2094" s="61" t="n">
        <f aca="false">INDEX(Datos_Origen!$H$2:$H$2459,$Z2094)</f>
        <v>15</v>
      </c>
      <c r="AD2094" s="61" t="str">
        <f aca="false">INDEX(Datos_Origen!$D$2:$D$2459,$Z2094)&amp;""</f>
        <v>Tucuman</v>
      </c>
    </row>
    <row r="2095" customFormat="false" ht="15" hidden="false" customHeight="false" outlineLevel="0" collapsed="false">
      <c r="A2095" s="61" t="n">
        <f aca="false">INDEX(Datos_Origen!$A$2:$A$2459,$Z2095)</f>
        <v>2094</v>
      </c>
      <c r="B2095" s="62" t="n">
        <f aca="false">IF(ISNUMBER($AB2095),$AB2095,IF(MID($AB2095,5,1)="-",DATE(VALUE(LEFT($AB2095,4)),VALUE(MID($AB2095,6,2)),VALUE(RIGHT($AB2095,2))),DATE(VALUE(RIGHT($AB2095,4)),VALUE(MID($AB2095,4,2)),VALUE(LEFT($AB2095,2)))))</f>
        <v>45925</v>
      </c>
      <c r="C2095" s="61" t="n">
        <f aca="false">YEAR($B2095)</f>
        <v>2025</v>
      </c>
      <c r="D2095" s="61" t="str">
        <f aca="false">"Q"&amp;ROUNDUP(MONTH($B2095)/3,0)</f>
        <v>Q3</v>
      </c>
      <c r="E2095" s="61" t="n">
        <f aca="false">MONTH($B2095)</f>
        <v>9</v>
      </c>
      <c r="F2095" s="61" t="str">
        <f aca="false">INDEX(Parametros!$I$5:$I$16,$E2095)</f>
        <v>Sep</v>
      </c>
      <c r="G2095" s="61" t="str">
        <f aca="false">TEXT($C2095,"0000")&amp;"-"&amp;TEXT($E2095,"00")</f>
        <v>2025-09</v>
      </c>
      <c r="H2095" s="61" t="str">
        <f aca="false">INDEX(Parametros!$C$71:$C$91,MATCH(TRIM(INDEX(Datos_Origen!$C$2:$C$2459,$Z2095)),Parametros!$B$71:$B$91,0))</f>
        <v>NOA</v>
      </c>
      <c r="I2095" s="61" t="str">
        <f aca="false">IF(TRIM($AD2095)="",INDEX(Parametros!$I$20:$I$24,MATCH($H2095,Parametros!$H$20:$H$24,0)),TRIM($AD2095))</f>
        <v>Tucuman</v>
      </c>
      <c r="J2095" s="61" t="str">
        <f aca="false">INDEX(Parametros!$C$95:$C$106,MATCH(TRIM(INDEX(Datos_Origen!$E$2:$E$2459,$Z2095)),Parametros!$B$95:$B$106,0))</f>
        <v>E-commerce</v>
      </c>
      <c r="K2095" s="61" t="str">
        <f aca="false">INDEX(Parametros!$C$48:$C$67,MATCH(TRIM(INDEX(Datos_Origen!$F$2:$F$2459,$Z2095)),Parametros!$B$48:$B$67,0))</f>
        <v>Audio</v>
      </c>
      <c r="L2095" s="61" t="str">
        <f aca="false">$K2095&amp;" "&amp;$C2095</f>
        <v>Audio 2025</v>
      </c>
      <c r="M2095" s="61" t="str">
        <f aca="false">TRIM(INDEX(Datos_Origen!$G$2:$G$2459,$Z2095))</f>
        <v>Auriculares BT Pro</v>
      </c>
      <c r="N2095" s="61" t="str">
        <f aca="false">$M2095&amp;" "&amp;$C2095</f>
        <v>Auriculares BT Pro 2025</v>
      </c>
      <c r="O2095" s="63" t="n">
        <f aca="false">IF(ISTEXT($AC2095),VALUE($AC2095),$AC2095)</f>
        <v>8</v>
      </c>
      <c r="P2095" s="64" t="n">
        <f aca="false">INDEX(Datos_Origen!$I$2:$I$2459,$Z2095)</f>
        <v>120.47</v>
      </c>
      <c r="Q2095" s="64" t="n">
        <f aca="false">INDEX(Datos_Origen!$J$2:$J$2459,$Z2095)</f>
        <v>65.51</v>
      </c>
      <c r="R2095" s="65" t="n">
        <f aca="false">ROUND($O2095*$P2095,2)</f>
        <v>963.76</v>
      </c>
      <c r="S2095" s="65" t="n">
        <f aca="false">ROUND($O2095*$Q2095,2)</f>
        <v>524.08</v>
      </c>
      <c r="T2095" s="65" t="n">
        <f aca="false">ROUND($R2095*SUMIFS(Parametros!$E$28:$E$43,Parametros!$B$28:$B$43,$J2095,Parametros!$C$28:$C$43,$C2095,Parametros!$D$28:$D$43,$D2095),2)</f>
        <v>53.97</v>
      </c>
      <c r="U2095" s="65" t="n">
        <f aca="false">$R2095-$S2095-$T2095</f>
        <v>385.71</v>
      </c>
      <c r="V2095" s="66" t="n">
        <f aca="false">IFERROR($U2095/$R2095,0)</f>
        <v>0.40021374616087</v>
      </c>
      <c r="W2095" s="67" t="str">
        <f aca="false">IF(AND($V2095&gt;=Parametros!$C$8,$R2095&gt;=Parametros!$C$12),"Alta rentabilidad",IF(OR($V2095&lt;Parametros!$C$11,$R2095&lt;Parametros!$C$13),"Revisar","Estandar"))</f>
        <v>Estandar</v>
      </c>
      <c r="X2095" s="67" t="str">
        <f aca="false">IF(AND($J2095="E-commerce",IFERROR($T2095/$R2095,0)&gt;Parametros!$C$14),"Alerta","OK")</f>
        <v>Alerta</v>
      </c>
      <c r="Y2095" s="61" t="str">
        <f aca="false">IF($R2095&gt;=Parametros!$C$12,"Alto",IF($R2095&lt;Parametros!$C$13,"Bajo","Medio"))</f>
        <v>Medio</v>
      </c>
      <c r="Z2095" s="61" t="n">
        <v>437</v>
      </c>
      <c r="AA2095" s="61" t="str">
        <f aca="false">IF(MATCH($A2095,Datos_Origen!$A$2:$A$2459,0)=$Z2095,"OK","REVISAR")</f>
        <v>OK</v>
      </c>
      <c r="AB2095" s="61" t="str">
        <f aca="false">INDEX(Datos_Origen!$B$2:$B$2459,$Z2095)</f>
        <v>25/09/2025</v>
      </c>
      <c r="AC2095" s="61" t="n">
        <f aca="false">INDEX(Datos_Origen!$H$2:$H$2459,$Z2095)</f>
        <v>8</v>
      </c>
      <c r="AD2095" s="61" t="str">
        <f aca="false">INDEX(Datos_Origen!$D$2:$D$2459,$Z2095)&amp;""</f>
        <v>Tucuman</v>
      </c>
    </row>
    <row r="2096" customFormat="false" ht="15" hidden="false" customHeight="false" outlineLevel="0" collapsed="false">
      <c r="A2096" s="61" t="n">
        <f aca="false">INDEX(Datos_Origen!$A$2:$A$2459,$Z2096)</f>
        <v>2095</v>
      </c>
      <c r="B2096" s="62" t="n">
        <f aca="false">IF(ISNUMBER($AB2096),$AB2096,IF(MID($AB2096,5,1)="-",DATE(VALUE(LEFT($AB2096,4)),VALUE(MID($AB2096,6,2)),VALUE(RIGHT($AB2096,2))),DATE(VALUE(RIGHT($AB2096,4)),VALUE(MID($AB2096,4,2)),VALUE(LEFT($AB2096,2)))))</f>
        <v>45905</v>
      </c>
      <c r="C2096" s="61" t="n">
        <f aca="false">YEAR($B2096)</f>
        <v>2025</v>
      </c>
      <c r="D2096" s="61" t="str">
        <f aca="false">"Q"&amp;ROUNDUP(MONTH($B2096)/3,0)</f>
        <v>Q3</v>
      </c>
      <c r="E2096" s="61" t="n">
        <f aca="false">MONTH($B2096)</f>
        <v>9</v>
      </c>
      <c r="F2096" s="61" t="str">
        <f aca="false">INDEX(Parametros!$I$5:$I$16,$E2096)</f>
        <v>Sep</v>
      </c>
      <c r="G2096" s="61" t="str">
        <f aca="false">TEXT($C2096,"0000")&amp;"-"&amp;TEXT($E2096,"00")</f>
        <v>2025-09</v>
      </c>
      <c r="H2096" s="61" t="str">
        <f aca="false">INDEX(Parametros!$C$71:$C$91,MATCH(TRIM(INDEX(Datos_Origen!$C$2:$C$2459,$Z2096)),Parametros!$B$71:$B$91,0))</f>
        <v>NOA</v>
      </c>
      <c r="I2096" s="61" t="str">
        <f aca="false">IF(TRIM($AD2096)="",INDEX(Parametros!$I$20:$I$24,MATCH($H2096,Parametros!$H$20:$H$24,0)),TRIM($AD2096))</f>
        <v>Tucuman</v>
      </c>
      <c r="J2096" s="61" t="str">
        <f aca="false">INDEX(Parametros!$C$95:$C$106,MATCH(TRIM(INDEX(Datos_Origen!$E$2:$E$2459,$Z2096)),Parametros!$B$95:$B$106,0))</f>
        <v>Tienda fisica</v>
      </c>
      <c r="K2096" s="61" t="str">
        <f aca="false">INDEX(Parametros!$C$48:$C$67,MATCH(TRIM(INDEX(Datos_Origen!$F$2:$F$2459,$Z2096)),Parametros!$B$48:$B$67,0))</f>
        <v>Audio</v>
      </c>
      <c r="L2096" s="61" t="str">
        <f aca="false">$K2096&amp;" "&amp;$C2096</f>
        <v>Audio 2025</v>
      </c>
      <c r="M2096" s="61" t="str">
        <f aca="false">TRIM(INDEX(Datos_Origen!$G$2:$G$2459,$Z2096))</f>
        <v>Parlante Bluetooth</v>
      </c>
      <c r="N2096" s="61" t="str">
        <f aca="false">$M2096&amp;" "&amp;$C2096</f>
        <v>Parlante Bluetooth 2025</v>
      </c>
      <c r="O2096" s="63" t="n">
        <f aca="false">IF(ISTEXT($AC2096),VALUE($AC2096),$AC2096)</f>
        <v>12</v>
      </c>
      <c r="P2096" s="64" t="n">
        <f aca="false">INDEX(Datos_Origen!$I$2:$I$2459,$Z2096)</f>
        <v>85.34</v>
      </c>
      <c r="Q2096" s="64" t="n">
        <f aca="false">INDEX(Datos_Origen!$J$2:$J$2459,$Z2096)</f>
        <v>49.47</v>
      </c>
      <c r="R2096" s="65" t="n">
        <f aca="false">ROUND($O2096*$P2096,2)</f>
        <v>1024.08</v>
      </c>
      <c r="S2096" s="65" t="n">
        <f aca="false">ROUND($O2096*$Q2096,2)</f>
        <v>593.64</v>
      </c>
      <c r="T2096" s="65" t="n">
        <f aca="false">ROUND($R2096*SUMIFS(Parametros!$E$28:$E$43,Parametros!$B$28:$B$43,$J2096,Parametros!$C$28:$C$43,$C2096,Parametros!$D$28:$D$43,$D2096),2)</f>
        <v>13.31</v>
      </c>
      <c r="U2096" s="65" t="n">
        <f aca="false">$R2096-$S2096-$T2096</f>
        <v>417.13</v>
      </c>
      <c r="V2096" s="66" t="n">
        <f aca="false">IFERROR($U2096/$R2096,0)</f>
        <v>0.407321693617686</v>
      </c>
      <c r="W2096" s="67" t="str">
        <f aca="false">IF(AND($V2096&gt;=Parametros!$C$8,$R2096&gt;=Parametros!$C$12),"Alta rentabilidad",IF(OR($V2096&lt;Parametros!$C$11,$R2096&lt;Parametros!$C$13),"Revisar","Estandar"))</f>
        <v>Estandar</v>
      </c>
      <c r="X2096" s="67" t="str">
        <f aca="false">IF(AND($J2096="E-commerce",IFERROR($T2096/$R2096,0)&gt;Parametros!$C$14),"Alerta","OK")</f>
        <v>OK</v>
      </c>
      <c r="Y2096" s="61" t="str">
        <f aca="false">IF($R2096&gt;=Parametros!$C$12,"Alto",IF($R2096&lt;Parametros!$C$13,"Bajo","Medio"))</f>
        <v>Medio</v>
      </c>
      <c r="Z2096" s="61" t="n">
        <v>308</v>
      </c>
      <c r="AA2096" s="61" t="str">
        <f aca="false">IF(MATCH($A2096,Datos_Origen!$A$2:$A$2459,0)=$Z2096,"OK","REVISAR")</f>
        <v>OK</v>
      </c>
      <c r="AB2096" s="61" t="str">
        <f aca="false">INDEX(Datos_Origen!$B$2:$B$2459,$Z2096)</f>
        <v>2025-09-05</v>
      </c>
      <c r="AC2096" s="61" t="n">
        <f aca="false">INDEX(Datos_Origen!$H$2:$H$2459,$Z2096)</f>
        <v>12</v>
      </c>
      <c r="AD2096" s="61" t="str">
        <f aca="false">INDEX(Datos_Origen!$D$2:$D$2459,$Z2096)&amp;""</f>
        <v>Tucuman</v>
      </c>
    </row>
    <row r="2097" customFormat="false" ht="15" hidden="false" customHeight="false" outlineLevel="0" collapsed="false">
      <c r="A2097" s="61" t="n">
        <f aca="false">INDEX(Datos_Origen!$A$2:$A$2459,$Z2097)</f>
        <v>2096</v>
      </c>
      <c r="B2097" s="62" t="n">
        <f aca="false">IF(ISNUMBER($AB2097),$AB2097,IF(MID($AB2097,5,1)="-",DATE(VALUE(LEFT($AB2097,4)),VALUE(MID($AB2097,6,2)),VALUE(RIGHT($AB2097,2))),DATE(VALUE(RIGHT($AB2097,4)),VALUE(MID($AB2097,4,2)),VALUE(LEFT($AB2097,2)))))</f>
        <v>45912</v>
      </c>
      <c r="C2097" s="61" t="n">
        <f aca="false">YEAR($B2097)</f>
        <v>2025</v>
      </c>
      <c r="D2097" s="61" t="str">
        <f aca="false">"Q"&amp;ROUNDUP(MONTH($B2097)/3,0)</f>
        <v>Q3</v>
      </c>
      <c r="E2097" s="61" t="n">
        <f aca="false">MONTH($B2097)</f>
        <v>9</v>
      </c>
      <c r="F2097" s="61" t="str">
        <f aca="false">INDEX(Parametros!$I$5:$I$16,$E2097)</f>
        <v>Sep</v>
      </c>
      <c r="G2097" s="61" t="str">
        <f aca="false">TEXT($C2097,"0000")&amp;"-"&amp;TEXT($E2097,"00")</f>
        <v>2025-09</v>
      </c>
      <c r="H2097" s="61" t="str">
        <f aca="false">INDEX(Parametros!$C$71:$C$91,MATCH(TRIM(INDEX(Datos_Origen!$C$2:$C$2459,$Z2097)),Parametros!$B$71:$B$91,0))</f>
        <v>NOA</v>
      </c>
      <c r="I2097" s="61" t="str">
        <f aca="false">IF(TRIM($AD2097)="",INDEX(Parametros!$I$20:$I$24,MATCH($H2097,Parametros!$H$20:$H$24,0)),TRIM($AD2097))</f>
        <v>Tucuman</v>
      </c>
      <c r="J2097" s="61" t="str">
        <f aca="false">INDEX(Parametros!$C$95:$C$106,MATCH(TRIM(INDEX(Datos_Origen!$E$2:$E$2459,$Z2097)),Parametros!$B$95:$B$106,0))</f>
        <v>E-commerce</v>
      </c>
      <c r="K2097" s="61" t="str">
        <f aca="false">INDEX(Parametros!$C$48:$C$67,MATCH(TRIM(INDEX(Datos_Origen!$F$2:$F$2459,$Z2097)),Parametros!$B$48:$B$67,0))</f>
        <v>Audio</v>
      </c>
      <c r="L2097" s="61" t="str">
        <f aca="false">$K2097&amp;" "&amp;$C2097</f>
        <v>Audio 2025</v>
      </c>
      <c r="M2097" s="61" t="str">
        <f aca="false">TRIM(INDEX(Datos_Origen!$G$2:$G$2459,$Z2097))</f>
        <v>Parlante Bluetooth</v>
      </c>
      <c r="N2097" s="61" t="str">
        <f aca="false">$M2097&amp;" "&amp;$C2097</f>
        <v>Parlante Bluetooth 2025</v>
      </c>
      <c r="O2097" s="63" t="n">
        <f aca="false">IF(ISTEXT($AC2097),VALUE($AC2097),$AC2097)</f>
        <v>10</v>
      </c>
      <c r="P2097" s="64" t="n">
        <f aca="false">INDEX(Datos_Origen!$I$2:$I$2459,$Z2097)</f>
        <v>85.34</v>
      </c>
      <c r="Q2097" s="64" t="n">
        <f aca="false">INDEX(Datos_Origen!$J$2:$J$2459,$Z2097)</f>
        <v>49.47</v>
      </c>
      <c r="R2097" s="65" t="n">
        <f aca="false">ROUND($O2097*$P2097,2)</f>
        <v>853.4</v>
      </c>
      <c r="S2097" s="65" t="n">
        <f aca="false">ROUND($O2097*$Q2097,2)</f>
        <v>494.7</v>
      </c>
      <c r="T2097" s="65" t="n">
        <f aca="false">ROUND($R2097*SUMIFS(Parametros!$E$28:$E$43,Parametros!$B$28:$B$43,$J2097,Parametros!$C$28:$C$43,$C2097,Parametros!$D$28:$D$43,$D2097),2)</f>
        <v>47.79</v>
      </c>
      <c r="U2097" s="65" t="n">
        <f aca="false">$R2097-$S2097-$T2097</f>
        <v>310.91</v>
      </c>
      <c r="V2097" s="66" t="n">
        <f aca="false">IFERROR($U2097/$R2097,0)</f>
        <v>0.364319193812983</v>
      </c>
      <c r="W2097" s="67" t="str">
        <f aca="false">IF(AND($V2097&gt;=Parametros!$C$8,$R2097&gt;=Parametros!$C$12),"Alta rentabilidad",IF(OR($V2097&lt;Parametros!$C$11,$R2097&lt;Parametros!$C$13),"Revisar","Estandar"))</f>
        <v>Estandar</v>
      </c>
      <c r="X2097" s="67" t="str">
        <f aca="false">IF(AND($J2097="E-commerce",IFERROR($T2097/$R2097,0)&gt;Parametros!$C$14),"Alerta","OK")</f>
        <v>Alerta</v>
      </c>
      <c r="Y2097" s="61" t="str">
        <f aca="false">IF($R2097&gt;=Parametros!$C$12,"Alto",IF($R2097&lt;Parametros!$C$13,"Bajo","Medio"))</f>
        <v>Medio</v>
      </c>
      <c r="Z2097" s="61" t="n">
        <v>753</v>
      </c>
      <c r="AA2097" s="61" t="str">
        <f aca="false">IF(MATCH($A2097,Datos_Origen!$A$2:$A$2459,0)=$Z2097,"OK","REVISAR")</f>
        <v>OK</v>
      </c>
      <c r="AB2097" s="62" t="n">
        <f aca="false">INDEX(Datos_Origen!$B$2:$B$2459,$Z2097)</f>
        <v>45912</v>
      </c>
      <c r="AC2097" s="61" t="str">
        <f aca="false">INDEX(Datos_Origen!$H$2:$H$2459,$Z2097)</f>
        <v>10</v>
      </c>
      <c r="AD2097" s="61" t="str">
        <f aca="false">INDEX(Datos_Origen!$D$2:$D$2459,$Z2097)&amp;""</f>
        <v>Tucuman</v>
      </c>
    </row>
    <row r="2098" customFormat="false" ht="15" hidden="false" customHeight="false" outlineLevel="0" collapsed="false">
      <c r="A2098" s="61" t="n">
        <f aca="false">INDEX(Datos_Origen!$A$2:$A$2459,$Z2098)</f>
        <v>2097</v>
      </c>
      <c r="B2098" s="62" t="n">
        <f aca="false">IF(ISNUMBER($AB2098),$AB2098,IF(MID($AB2098,5,1)="-",DATE(VALUE(LEFT($AB2098,4)),VALUE(MID($AB2098,6,2)),VALUE(RIGHT($AB2098,2))),DATE(VALUE(RIGHT($AB2098,4)),VALUE(MID($AB2098,4,2)),VALUE(LEFT($AB2098,2)))))</f>
        <v>45919</v>
      </c>
      <c r="C2098" s="61" t="n">
        <f aca="false">YEAR($B2098)</f>
        <v>2025</v>
      </c>
      <c r="D2098" s="61" t="str">
        <f aca="false">"Q"&amp;ROUNDUP(MONTH($B2098)/3,0)</f>
        <v>Q3</v>
      </c>
      <c r="E2098" s="61" t="n">
        <f aca="false">MONTH($B2098)</f>
        <v>9</v>
      </c>
      <c r="F2098" s="61" t="str">
        <f aca="false">INDEX(Parametros!$I$5:$I$16,$E2098)</f>
        <v>Sep</v>
      </c>
      <c r="G2098" s="61" t="str">
        <f aca="false">TEXT($C2098,"0000")&amp;"-"&amp;TEXT($E2098,"00")</f>
        <v>2025-09</v>
      </c>
      <c r="H2098" s="61" t="str">
        <f aca="false">INDEX(Parametros!$C$71:$C$91,MATCH(TRIM(INDEX(Datos_Origen!$C$2:$C$2459,$Z2098)),Parametros!$B$71:$B$91,0))</f>
        <v>NOA</v>
      </c>
      <c r="I2098" s="61" t="str">
        <f aca="false">IF(TRIM($AD2098)="",INDEX(Parametros!$I$20:$I$24,MATCH($H2098,Parametros!$H$20:$H$24,0)),TRIM($AD2098))</f>
        <v>Tucuman</v>
      </c>
      <c r="J2098" s="61" t="str">
        <f aca="false">INDEX(Parametros!$C$95:$C$106,MATCH(TRIM(INDEX(Datos_Origen!$E$2:$E$2459,$Z2098)),Parametros!$B$95:$B$106,0))</f>
        <v>Tienda fisica</v>
      </c>
      <c r="K2098" s="61" t="str">
        <f aca="false">INDEX(Parametros!$C$48:$C$67,MATCH(TRIM(INDEX(Datos_Origen!$F$2:$F$2459,$Z2098)),Parametros!$B$48:$B$67,0))</f>
        <v>Almacenamiento</v>
      </c>
      <c r="L2098" s="61" t="str">
        <f aca="false">$K2098&amp;" "&amp;$C2098</f>
        <v>Almacenamiento 2025</v>
      </c>
      <c r="M2098" s="61" t="str">
        <f aca="false">TRIM(INDEX(Datos_Origen!$G$2:$G$2459,$Z2098))</f>
        <v>SSD Externo 1TB</v>
      </c>
      <c r="N2098" s="61" t="str">
        <f aca="false">$M2098&amp;" "&amp;$C2098</f>
        <v>SSD Externo 1TB 2025</v>
      </c>
      <c r="O2098" s="63" t="n">
        <f aca="false">IF(ISTEXT($AC2098),VALUE($AC2098),$AC2098)</f>
        <v>18</v>
      </c>
      <c r="P2098" s="64" t="n">
        <f aca="false">INDEX(Datos_Origen!$I$2:$I$2459,$Z2098)</f>
        <v>130.51</v>
      </c>
      <c r="Q2098" s="64" t="n">
        <f aca="false">INDEX(Datos_Origen!$J$2:$J$2459,$Z2098)</f>
        <v>78.33</v>
      </c>
      <c r="R2098" s="65" t="n">
        <f aca="false">ROUND($O2098*$P2098,2)</f>
        <v>2349.18</v>
      </c>
      <c r="S2098" s="65" t="n">
        <f aca="false">ROUND($O2098*$Q2098,2)</f>
        <v>1409.94</v>
      </c>
      <c r="T2098" s="65" t="n">
        <f aca="false">ROUND($R2098*SUMIFS(Parametros!$E$28:$E$43,Parametros!$B$28:$B$43,$J2098,Parametros!$C$28:$C$43,$C2098,Parametros!$D$28:$D$43,$D2098),2)</f>
        <v>30.54</v>
      </c>
      <c r="U2098" s="65" t="n">
        <f aca="false">$R2098-$S2098-$T2098</f>
        <v>908.7</v>
      </c>
      <c r="V2098" s="66" t="n">
        <f aca="false">IFERROR($U2098/$R2098,0)</f>
        <v>0.386815825096417</v>
      </c>
      <c r="W2098" s="67" t="str">
        <f aca="false">IF(AND($V2098&gt;=Parametros!$C$8,$R2098&gt;=Parametros!$C$12),"Alta rentabilidad",IF(OR($V2098&lt;Parametros!$C$11,$R2098&lt;Parametros!$C$13),"Revisar","Estandar"))</f>
        <v>Estandar</v>
      </c>
      <c r="X2098" s="67" t="str">
        <f aca="false">IF(AND($J2098="E-commerce",IFERROR($T2098/$R2098,0)&gt;Parametros!$C$14),"Alerta","OK")</f>
        <v>OK</v>
      </c>
      <c r="Y2098" s="61" t="str">
        <f aca="false">IF($R2098&gt;=Parametros!$C$12,"Alto",IF($R2098&lt;Parametros!$C$13,"Bajo","Medio"))</f>
        <v>Medio</v>
      </c>
      <c r="Z2098" s="61" t="n">
        <v>341</v>
      </c>
      <c r="AA2098" s="61" t="str">
        <f aca="false">IF(MATCH($A2098,Datos_Origen!$A$2:$A$2459,0)=$Z2098,"OK","REVISAR")</f>
        <v>OK</v>
      </c>
      <c r="AB2098" s="62" t="n">
        <f aca="false">INDEX(Datos_Origen!$B$2:$B$2459,$Z2098)</f>
        <v>45919</v>
      </c>
      <c r="AC2098" s="61" t="n">
        <f aca="false">INDEX(Datos_Origen!$H$2:$H$2459,$Z2098)</f>
        <v>18</v>
      </c>
      <c r="AD2098" s="61" t="str">
        <f aca="false">INDEX(Datos_Origen!$D$2:$D$2459,$Z2098)&amp;""</f>
        <v>Tucuman</v>
      </c>
    </row>
    <row r="2099" customFormat="false" ht="15" hidden="false" customHeight="false" outlineLevel="0" collapsed="false">
      <c r="A2099" s="61" t="n">
        <f aca="false">INDEX(Datos_Origen!$A$2:$A$2459,$Z2099)</f>
        <v>2098</v>
      </c>
      <c r="B2099" s="62" t="n">
        <f aca="false">IF(ISNUMBER($AB2099),$AB2099,IF(MID($AB2099,5,1)="-",DATE(VALUE(LEFT($AB2099,4)),VALUE(MID($AB2099,6,2)),VALUE(RIGHT($AB2099,2))),DATE(VALUE(RIGHT($AB2099,4)),VALUE(MID($AB2099,4,2)),VALUE(LEFT($AB2099,2)))))</f>
        <v>45926</v>
      </c>
      <c r="C2099" s="61" t="n">
        <f aca="false">YEAR($B2099)</f>
        <v>2025</v>
      </c>
      <c r="D2099" s="61" t="str">
        <f aca="false">"Q"&amp;ROUNDUP(MONTH($B2099)/3,0)</f>
        <v>Q3</v>
      </c>
      <c r="E2099" s="61" t="n">
        <f aca="false">MONTH($B2099)</f>
        <v>9</v>
      </c>
      <c r="F2099" s="61" t="str">
        <f aca="false">INDEX(Parametros!$I$5:$I$16,$E2099)</f>
        <v>Sep</v>
      </c>
      <c r="G2099" s="61" t="str">
        <f aca="false">TEXT($C2099,"0000")&amp;"-"&amp;TEXT($E2099,"00")</f>
        <v>2025-09</v>
      </c>
      <c r="H2099" s="61" t="str">
        <f aca="false">INDEX(Parametros!$C$71:$C$91,MATCH(TRIM(INDEX(Datos_Origen!$C$2:$C$2459,$Z2099)),Parametros!$B$71:$B$91,0))</f>
        <v>NOA</v>
      </c>
      <c r="I2099" s="61" t="str">
        <f aca="false">IF(TRIM($AD2099)="",INDEX(Parametros!$I$20:$I$24,MATCH($H2099,Parametros!$H$20:$H$24,0)),TRIM($AD2099))</f>
        <v>Tucuman</v>
      </c>
      <c r="J2099" s="61" t="str">
        <f aca="false">INDEX(Parametros!$C$95:$C$106,MATCH(TRIM(INDEX(Datos_Origen!$E$2:$E$2459,$Z2099)),Parametros!$B$95:$B$106,0))</f>
        <v>E-commerce</v>
      </c>
      <c r="K2099" s="61" t="str">
        <f aca="false">INDEX(Parametros!$C$48:$C$67,MATCH(TRIM(INDEX(Datos_Origen!$F$2:$F$2459,$Z2099)),Parametros!$B$48:$B$67,0))</f>
        <v>Almacenamiento</v>
      </c>
      <c r="L2099" s="61" t="str">
        <f aca="false">$K2099&amp;" "&amp;$C2099</f>
        <v>Almacenamiento 2025</v>
      </c>
      <c r="M2099" s="61" t="str">
        <f aca="false">TRIM(INDEX(Datos_Origen!$G$2:$G$2459,$Z2099))</f>
        <v>SSD Externo 1TB</v>
      </c>
      <c r="N2099" s="61" t="str">
        <f aca="false">$M2099&amp;" "&amp;$C2099</f>
        <v>SSD Externo 1TB 2025</v>
      </c>
      <c r="O2099" s="63" t="n">
        <f aca="false">IF(ISTEXT($AC2099),VALUE($AC2099),$AC2099)</f>
        <v>11</v>
      </c>
      <c r="P2099" s="64" t="n">
        <f aca="false">INDEX(Datos_Origen!$I$2:$I$2459,$Z2099)</f>
        <v>130.51</v>
      </c>
      <c r="Q2099" s="64" t="n">
        <f aca="false">INDEX(Datos_Origen!$J$2:$J$2459,$Z2099)</f>
        <v>78.33</v>
      </c>
      <c r="R2099" s="65" t="n">
        <f aca="false">ROUND($O2099*$P2099,2)</f>
        <v>1435.61</v>
      </c>
      <c r="S2099" s="65" t="n">
        <f aca="false">ROUND($O2099*$Q2099,2)</f>
        <v>861.63</v>
      </c>
      <c r="T2099" s="65" t="n">
        <f aca="false">ROUND($R2099*SUMIFS(Parametros!$E$28:$E$43,Parametros!$B$28:$B$43,$J2099,Parametros!$C$28:$C$43,$C2099,Parametros!$D$28:$D$43,$D2099),2)</f>
        <v>80.39</v>
      </c>
      <c r="U2099" s="65" t="n">
        <f aca="false">$R2099-$S2099-$T2099</f>
        <v>493.59</v>
      </c>
      <c r="V2099" s="66" t="n">
        <f aca="false">IFERROR($U2099/$R2099,0)</f>
        <v>0.343819003768433</v>
      </c>
      <c r="W2099" s="67" t="str">
        <f aca="false">IF(AND($V2099&gt;=Parametros!$C$8,$R2099&gt;=Parametros!$C$12),"Alta rentabilidad",IF(OR($V2099&lt;Parametros!$C$11,$R2099&lt;Parametros!$C$13),"Revisar","Estandar"))</f>
        <v>Estandar</v>
      </c>
      <c r="X2099" s="67" t="str">
        <f aca="false">IF(AND($J2099="E-commerce",IFERROR($T2099/$R2099,0)&gt;Parametros!$C$14),"Alerta","OK")</f>
        <v>Alerta</v>
      </c>
      <c r="Y2099" s="61" t="str">
        <f aca="false">IF($R2099&gt;=Parametros!$C$12,"Alto",IF($R2099&lt;Parametros!$C$13,"Bajo","Medio"))</f>
        <v>Medio</v>
      </c>
      <c r="Z2099" s="61" t="n">
        <v>221</v>
      </c>
      <c r="AA2099" s="61" t="str">
        <f aca="false">IF(MATCH($A2099,Datos_Origen!$A$2:$A$2459,0)=$Z2099,"OK","REVISAR")</f>
        <v>OK</v>
      </c>
      <c r="AB2099" s="61" t="str">
        <f aca="false">INDEX(Datos_Origen!$B$2:$B$2459,$Z2099)</f>
        <v>26/09/2025</v>
      </c>
      <c r="AC2099" s="61" t="n">
        <f aca="false">INDEX(Datos_Origen!$H$2:$H$2459,$Z2099)</f>
        <v>11</v>
      </c>
      <c r="AD2099" s="61" t="str">
        <f aca="false">INDEX(Datos_Origen!$D$2:$D$2459,$Z2099)&amp;""</f>
        <v>Tucuman</v>
      </c>
    </row>
    <row r="2100" customFormat="false" ht="15" hidden="false" customHeight="false" outlineLevel="0" collapsed="false">
      <c r="A2100" s="61" t="n">
        <f aca="false">INDEX(Datos_Origen!$A$2:$A$2459,$Z2100)</f>
        <v>2099</v>
      </c>
      <c r="B2100" s="62" t="n">
        <f aca="false">IF(ISNUMBER($AB2100),$AB2100,IF(MID($AB2100,5,1)="-",DATE(VALUE(LEFT($AB2100,4)),VALUE(MID($AB2100,6,2)),VALUE(RIGHT($AB2100,2))),DATE(VALUE(RIGHT($AB2100,4)),VALUE(MID($AB2100,4,2)),VALUE(LEFT($AB2100,2)))))</f>
        <v>45906</v>
      </c>
      <c r="C2100" s="61" t="n">
        <f aca="false">YEAR($B2100)</f>
        <v>2025</v>
      </c>
      <c r="D2100" s="61" t="str">
        <f aca="false">"Q"&amp;ROUNDUP(MONTH($B2100)/3,0)</f>
        <v>Q3</v>
      </c>
      <c r="E2100" s="61" t="n">
        <f aca="false">MONTH($B2100)</f>
        <v>9</v>
      </c>
      <c r="F2100" s="61" t="str">
        <f aca="false">INDEX(Parametros!$I$5:$I$16,$E2100)</f>
        <v>Sep</v>
      </c>
      <c r="G2100" s="61" t="str">
        <f aca="false">TEXT($C2100,"0000")&amp;"-"&amp;TEXT($E2100,"00")</f>
        <v>2025-09</v>
      </c>
      <c r="H2100" s="61" t="str">
        <f aca="false">INDEX(Parametros!$C$71:$C$91,MATCH(TRIM(INDEX(Datos_Origen!$C$2:$C$2459,$Z2100)),Parametros!$B$71:$B$91,0))</f>
        <v>NOA</v>
      </c>
      <c r="I2100" s="61" t="str">
        <f aca="false">IF(TRIM($AD2100)="",INDEX(Parametros!$I$20:$I$24,MATCH($H2100,Parametros!$H$20:$H$24,0)),TRIM($AD2100))</f>
        <v>Tucuman</v>
      </c>
      <c r="J2100" s="61" t="str">
        <f aca="false">INDEX(Parametros!$C$95:$C$106,MATCH(TRIM(INDEX(Datos_Origen!$E$2:$E$2459,$Z2100)),Parametros!$B$95:$B$106,0))</f>
        <v>Tienda fisica</v>
      </c>
      <c r="K2100" s="61" t="str">
        <f aca="false">INDEX(Parametros!$C$48:$C$67,MATCH(TRIM(INDEX(Datos_Origen!$F$2:$F$2459,$Z2100)),Parametros!$B$48:$B$67,0))</f>
        <v>Almacenamiento</v>
      </c>
      <c r="L2100" s="61" t="str">
        <f aca="false">$K2100&amp;" "&amp;$C2100</f>
        <v>Almacenamiento 2025</v>
      </c>
      <c r="M2100" s="61" t="str">
        <f aca="false">TRIM(INDEX(Datos_Origen!$G$2:$G$2459,$Z2100))</f>
        <v>Pendrive 256GB</v>
      </c>
      <c r="N2100" s="61" t="str">
        <f aca="false">$M2100&amp;" "&amp;$C2100</f>
        <v>Pendrive 256GB 2025</v>
      </c>
      <c r="O2100" s="63" t="n">
        <f aca="false">IF(ISTEXT($AC2100),VALUE($AC2100),$AC2100)</f>
        <v>15</v>
      </c>
      <c r="P2100" s="64" t="n">
        <f aca="false">INDEX(Datos_Origen!$I$2:$I$2459,$Z2100)</f>
        <v>35.14</v>
      </c>
      <c r="Q2100" s="64" t="n">
        <f aca="false">INDEX(Datos_Origen!$J$2:$J$2459,$Z2100)</f>
        <v>18.39</v>
      </c>
      <c r="R2100" s="65" t="n">
        <f aca="false">ROUND($O2100*$P2100,2)</f>
        <v>527.1</v>
      </c>
      <c r="S2100" s="65" t="n">
        <f aca="false">ROUND($O2100*$Q2100,2)</f>
        <v>275.85</v>
      </c>
      <c r="T2100" s="65" t="n">
        <f aca="false">ROUND($R2100*SUMIFS(Parametros!$E$28:$E$43,Parametros!$B$28:$B$43,$J2100,Parametros!$C$28:$C$43,$C2100,Parametros!$D$28:$D$43,$D2100),2)</f>
        <v>6.85</v>
      </c>
      <c r="U2100" s="65" t="n">
        <f aca="false">$R2100-$S2100-$T2100</f>
        <v>244.4</v>
      </c>
      <c r="V2100" s="66" t="n">
        <f aca="false">IFERROR($U2100/$R2100,0)</f>
        <v>0.463669132991842</v>
      </c>
      <c r="W2100" s="67" t="str">
        <f aca="false">IF(AND($V2100&gt;=Parametros!$C$8,$R2100&gt;=Parametros!$C$12),"Alta rentabilidad",IF(OR($V2100&lt;Parametros!$C$11,$R2100&lt;Parametros!$C$13),"Revisar","Estandar"))</f>
        <v>Estandar</v>
      </c>
      <c r="X2100" s="67" t="str">
        <f aca="false">IF(AND($J2100="E-commerce",IFERROR($T2100/$R2100,0)&gt;Parametros!$C$14),"Alerta","OK")</f>
        <v>OK</v>
      </c>
      <c r="Y2100" s="61" t="str">
        <f aca="false">IF($R2100&gt;=Parametros!$C$12,"Alto",IF($R2100&lt;Parametros!$C$13,"Bajo","Medio"))</f>
        <v>Medio</v>
      </c>
      <c r="Z2100" s="61" t="n">
        <v>1919</v>
      </c>
      <c r="AA2100" s="61" t="str">
        <f aca="false">IF(MATCH($A2100,Datos_Origen!$A$2:$A$2459,0)=$Z2100,"OK","REVISAR")</f>
        <v>OK</v>
      </c>
      <c r="AB2100" s="61" t="str">
        <f aca="false">INDEX(Datos_Origen!$B$2:$B$2459,$Z2100)</f>
        <v>06/09/2025</v>
      </c>
      <c r="AC2100" s="61" t="n">
        <f aca="false">INDEX(Datos_Origen!$H$2:$H$2459,$Z2100)</f>
        <v>15</v>
      </c>
      <c r="AD2100" s="61" t="str">
        <f aca="false">INDEX(Datos_Origen!$D$2:$D$2459,$Z2100)&amp;""</f>
        <v>Tucuman</v>
      </c>
    </row>
    <row r="2101" customFormat="false" ht="15" hidden="false" customHeight="false" outlineLevel="0" collapsed="false">
      <c r="A2101" s="61" t="n">
        <f aca="false">INDEX(Datos_Origen!$A$2:$A$2459,$Z2101)</f>
        <v>2100</v>
      </c>
      <c r="B2101" s="62" t="n">
        <f aca="false">IF(ISNUMBER($AB2101),$AB2101,IF(MID($AB2101,5,1)="-",DATE(VALUE(LEFT($AB2101,4)),VALUE(MID($AB2101,6,2)),VALUE(RIGHT($AB2101,2))),DATE(VALUE(RIGHT($AB2101,4)),VALUE(MID($AB2101,4,2)),VALUE(LEFT($AB2101,2)))))</f>
        <v>45913</v>
      </c>
      <c r="C2101" s="61" t="n">
        <f aca="false">YEAR($B2101)</f>
        <v>2025</v>
      </c>
      <c r="D2101" s="61" t="str">
        <f aca="false">"Q"&amp;ROUNDUP(MONTH($B2101)/3,0)</f>
        <v>Q3</v>
      </c>
      <c r="E2101" s="61" t="n">
        <f aca="false">MONTH($B2101)</f>
        <v>9</v>
      </c>
      <c r="F2101" s="61" t="str">
        <f aca="false">INDEX(Parametros!$I$5:$I$16,$E2101)</f>
        <v>Sep</v>
      </c>
      <c r="G2101" s="61" t="str">
        <f aca="false">TEXT($C2101,"0000")&amp;"-"&amp;TEXT($E2101,"00")</f>
        <v>2025-09</v>
      </c>
      <c r="H2101" s="61" t="str">
        <f aca="false">INDEX(Parametros!$C$71:$C$91,MATCH(TRIM(INDEX(Datos_Origen!$C$2:$C$2459,$Z2101)),Parametros!$B$71:$B$91,0))</f>
        <v>NOA</v>
      </c>
      <c r="I2101" s="61" t="str">
        <f aca="false">IF(TRIM($AD2101)="",INDEX(Parametros!$I$20:$I$24,MATCH($H2101,Parametros!$H$20:$H$24,0)),TRIM($AD2101))</f>
        <v>Tucuman</v>
      </c>
      <c r="J2101" s="61" t="str">
        <f aca="false">INDEX(Parametros!$C$95:$C$106,MATCH(TRIM(INDEX(Datos_Origen!$E$2:$E$2459,$Z2101)),Parametros!$B$95:$B$106,0))</f>
        <v>E-commerce</v>
      </c>
      <c r="K2101" s="61" t="str">
        <f aca="false">INDEX(Parametros!$C$48:$C$67,MATCH(TRIM(INDEX(Datos_Origen!$F$2:$F$2459,$Z2101)),Parametros!$B$48:$B$67,0))</f>
        <v>Almacenamiento</v>
      </c>
      <c r="L2101" s="61" t="str">
        <f aca="false">$K2101&amp;" "&amp;$C2101</f>
        <v>Almacenamiento 2025</v>
      </c>
      <c r="M2101" s="61" t="str">
        <f aca="false">TRIM(INDEX(Datos_Origen!$G$2:$G$2459,$Z2101))</f>
        <v>Pendrive 256GB</v>
      </c>
      <c r="N2101" s="61" t="str">
        <f aca="false">$M2101&amp;" "&amp;$C2101</f>
        <v>Pendrive 256GB 2025</v>
      </c>
      <c r="O2101" s="63" t="n">
        <f aca="false">IF(ISTEXT($AC2101),VALUE($AC2101),$AC2101)</f>
        <v>14</v>
      </c>
      <c r="P2101" s="64" t="n">
        <f aca="false">INDEX(Datos_Origen!$I$2:$I$2459,$Z2101)</f>
        <v>35.14</v>
      </c>
      <c r="Q2101" s="64" t="n">
        <f aca="false">INDEX(Datos_Origen!$J$2:$J$2459,$Z2101)</f>
        <v>18.39</v>
      </c>
      <c r="R2101" s="65" t="n">
        <f aca="false">ROUND($O2101*$P2101,2)</f>
        <v>491.96</v>
      </c>
      <c r="S2101" s="65" t="n">
        <f aca="false">ROUND($O2101*$Q2101,2)</f>
        <v>257.46</v>
      </c>
      <c r="T2101" s="65" t="n">
        <f aca="false">ROUND($R2101*SUMIFS(Parametros!$E$28:$E$43,Parametros!$B$28:$B$43,$J2101,Parametros!$C$28:$C$43,$C2101,Parametros!$D$28:$D$43,$D2101),2)</f>
        <v>27.55</v>
      </c>
      <c r="U2101" s="65" t="n">
        <f aca="false">$R2101-$S2101-$T2101</f>
        <v>206.95</v>
      </c>
      <c r="V2101" s="66" t="n">
        <f aca="false">IFERROR($U2101/$R2101,0)</f>
        <v>0.420664281648915</v>
      </c>
      <c r="W2101" s="67" t="str">
        <f aca="false">IF(AND($V2101&gt;=Parametros!$C$8,$R2101&gt;=Parametros!$C$12),"Alta rentabilidad",IF(OR($V2101&lt;Parametros!$C$11,$R2101&lt;Parametros!$C$13),"Revisar","Estandar"))</f>
        <v>Estandar</v>
      </c>
      <c r="X2101" s="67" t="str">
        <f aca="false">IF(AND($J2101="E-commerce",IFERROR($T2101/$R2101,0)&gt;Parametros!$C$14),"Alerta","OK")</f>
        <v>Alerta</v>
      </c>
      <c r="Y2101" s="61" t="str">
        <f aca="false">IF($R2101&gt;=Parametros!$C$12,"Alto",IF($R2101&lt;Parametros!$C$13,"Bajo","Medio"))</f>
        <v>Medio</v>
      </c>
      <c r="Z2101" s="61" t="n">
        <v>501</v>
      </c>
      <c r="AA2101" s="61" t="str">
        <f aca="false">IF(MATCH($A2101,Datos_Origen!$A$2:$A$2459,0)=$Z2101,"OK","REVISAR")</f>
        <v>OK</v>
      </c>
      <c r="AB2101" s="62" t="n">
        <f aca="false">INDEX(Datos_Origen!$B$2:$B$2459,$Z2101)</f>
        <v>45913</v>
      </c>
      <c r="AC2101" s="61" t="n">
        <f aca="false">INDEX(Datos_Origen!$H$2:$H$2459,$Z2101)</f>
        <v>14</v>
      </c>
      <c r="AD2101" s="61" t="str">
        <f aca="false">INDEX(Datos_Origen!$D$2:$D$2459,$Z2101)&amp;""</f>
        <v>Tucuman</v>
      </c>
    </row>
    <row r="2102" customFormat="false" ht="15" hidden="false" customHeight="false" outlineLevel="0" collapsed="false">
      <c r="A2102" s="61" t="n">
        <f aca="false">INDEX(Datos_Origen!$A$2:$A$2459,$Z2102)</f>
        <v>2101</v>
      </c>
      <c r="B2102" s="62" t="n">
        <f aca="false">IF(ISNUMBER($AB2102),$AB2102,IF(MID($AB2102,5,1)="-",DATE(VALUE(LEFT($AB2102,4)),VALUE(MID($AB2102,6,2)),VALUE(RIGHT($AB2102,2))),DATE(VALUE(RIGHT($AB2102,4)),VALUE(MID($AB2102,4,2)),VALUE(LEFT($AB2102,2)))))</f>
        <v>45950</v>
      </c>
      <c r="C2102" s="61" t="n">
        <f aca="false">YEAR($B2102)</f>
        <v>2025</v>
      </c>
      <c r="D2102" s="61" t="str">
        <f aca="false">"Q"&amp;ROUNDUP(MONTH($B2102)/3,0)</f>
        <v>Q4</v>
      </c>
      <c r="E2102" s="61" t="n">
        <f aca="false">MONTH($B2102)</f>
        <v>10</v>
      </c>
      <c r="F2102" s="61" t="str">
        <f aca="false">INDEX(Parametros!$I$5:$I$16,$E2102)</f>
        <v>Oct</v>
      </c>
      <c r="G2102" s="61" t="str">
        <f aca="false">TEXT($C2102,"0000")&amp;"-"&amp;TEXT($E2102,"00")</f>
        <v>2025-10</v>
      </c>
      <c r="H2102" s="61" t="str">
        <f aca="false">INDEX(Parametros!$C$71:$C$91,MATCH(TRIM(INDEX(Datos_Origen!$C$2:$C$2459,$Z2102)),Parametros!$B$71:$B$91,0))</f>
        <v>AMBA</v>
      </c>
      <c r="I2102" s="61" t="str">
        <f aca="false">IF(TRIM($AD2102)="",INDEX(Parametros!$I$20:$I$24,MATCH($H2102,Parametros!$H$20:$H$24,0)),TRIM($AD2102))</f>
        <v>Buenos Aires</v>
      </c>
      <c r="J2102" s="61" t="str">
        <f aca="false">INDEX(Parametros!$C$95:$C$106,MATCH(TRIM(INDEX(Datos_Origen!$E$2:$E$2459,$Z2102)),Parametros!$B$95:$B$106,0))</f>
        <v>Tienda fisica</v>
      </c>
      <c r="K2102" s="61" t="str">
        <f aca="false">INDEX(Parametros!$C$48:$C$67,MATCH(TRIM(INDEX(Datos_Origen!$F$2:$F$2459,$Z2102)),Parametros!$B$48:$B$67,0))</f>
        <v>Computacion</v>
      </c>
      <c r="L2102" s="61" t="str">
        <f aca="false">$K2102&amp;" "&amp;$C2102</f>
        <v>Computacion 2025</v>
      </c>
      <c r="M2102" s="61" t="str">
        <f aca="false">TRIM(INDEX(Datos_Origen!$G$2:$G$2459,$Z2102))</f>
        <v>Laptop Pro 15</v>
      </c>
      <c r="N2102" s="61" t="str">
        <f aca="false">$M2102&amp;" "&amp;$C2102</f>
        <v>Laptop Pro 15 2025</v>
      </c>
      <c r="O2102" s="63" t="n">
        <f aca="false">IF(ISTEXT($AC2102),VALUE($AC2102),$AC2102)</f>
        <v>18</v>
      </c>
      <c r="P2102" s="64" t="n">
        <f aca="false">INDEX(Datos_Origen!$I$2:$I$2459,$Z2102)</f>
        <v>1204.74</v>
      </c>
      <c r="Q2102" s="64" t="n">
        <f aca="false">INDEX(Datos_Origen!$J$2:$J$2459,$Z2102)</f>
        <v>766.32</v>
      </c>
      <c r="R2102" s="65" t="n">
        <f aca="false">ROUND($O2102*$P2102,2)</f>
        <v>21685.32</v>
      </c>
      <c r="S2102" s="65" t="n">
        <f aca="false">ROUND($O2102*$Q2102,2)</f>
        <v>13793.76</v>
      </c>
      <c r="T2102" s="65" t="n">
        <f aca="false">ROUND($R2102*SUMIFS(Parametros!$E$28:$E$43,Parametros!$B$28:$B$43,$J2102,Parametros!$C$28:$C$43,$C2102,Parametros!$D$28:$D$43,$D2102),2)</f>
        <v>281.91</v>
      </c>
      <c r="U2102" s="65" t="n">
        <f aca="false">$R2102-$S2102-$T2102</f>
        <v>7609.65</v>
      </c>
      <c r="V2102" s="66" t="n">
        <f aca="false">IFERROR($U2102/$R2102,0)</f>
        <v>0.350912506709608</v>
      </c>
      <c r="W2102" s="67" t="str">
        <f aca="false">IF(AND($V2102&gt;=Parametros!$C$8,$R2102&gt;=Parametros!$C$12),"Alta rentabilidad",IF(OR($V2102&lt;Parametros!$C$11,$R2102&lt;Parametros!$C$13),"Revisar","Estandar"))</f>
        <v>Alta rentabilidad</v>
      </c>
      <c r="X2102" s="67" t="str">
        <f aca="false">IF(AND($J2102="E-commerce",IFERROR($T2102/$R2102,0)&gt;Parametros!$C$14),"Alerta","OK")</f>
        <v>OK</v>
      </c>
      <c r="Y2102" s="61" t="str">
        <f aca="false">IF($R2102&gt;=Parametros!$C$12,"Alto",IF($R2102&lt;Parametros!$C$13,"Bajo","Medio"))</f>
        <v>Alto</v>
      </c>
      <c r="Z2102" s="61" t="n">
        <v>1875</v>
      </c>
      <c r="AA2102" s="61" t="str">
        <f aca="false">IF(MATCH($A2102,Datos_Origen!$A$2:$A$2459,0)=$Z2102,"OK","REVISAR")</f>
        <v>OK</v>
      </c>
      <c r="AB2102" s="61" t="str">
        <f aca="false">INDEX(Datos_Origen!$B$2:$B$2459,$Z2102)</f>
        <v>2025-10-20</v>
      </c>
      <c r="AC2102" s="61" t="n">
        <f aca="false">INDEX(Datos_Origen!$H$2:$H$2459,$Z2102)</f>
        <v>18</v>
      </c>
      <c r="AD2102" s="61" t="str">
        <f aca="false">INDEX(Datos_Origen!$D$2:$D$2459,$Z2102)&amp;""</f>
        <v>Buenos Aires</v>
      </c>
    </row>
    <row r="2103" customFormat="false" ht="15" hidden="false" customHeight="false" outlineLevel="0" collapsed="false">
      <c r="A2103" s="61" t="n">
        <f aca="false">INDEX(Datos_Origen!$A$2:$A$2459,$Z2103)</f>
        <v>2102</v>
      </c>
      <c r="B2103" s="62" t="n">
        <f aca="false">IF(ISNUMBER($AB2103),$AB2103,IF(MID($AB2103,5,1)="-",DATE(VALUE(LEFT($AB2103,4)),VALUE(MID($AB2103,6,2)),VALUE(RIGHT($AB2103,2))),DATE(VALUE(RIGHT($AB2103,4)),VALUE(MID($AB2103,4,2)),VALUE(LEFT($AB2103,2)))))</f>
        <v>45957</v>
      </c>
      <c r="C2103" s="61" t="n">
        <f aca="false">YEAR($B2103)</f>
        <v>2025</v>
      </c>
      <c r="D2103" s="61" t="str">
        <f aca="false">"Q"&amp;ROUNDUP(MONTH($B2103)/3,0)</f>
        <v>Q4</v>
      </c>
      <c r="E2103" s="61" t="n">
        <f aca="false">MONTH($B2103)</f>
        <v>10</v>
      </c>
      <c r="F2103" s="61" t="str">
        <f aca="false">INDEX(Parametros!$I$5:$I$16,$E2103)</f>
        <v>Oct</v>
      </c>
      <c r="G2103" s="61" t="str">
        <f aca="false">TEXT($C2103,"0000")&amp;"-"&amp;TEXT($E2103,"00")</f>
        <v>2025-10</v>
      </c>
      <c r="H2103" s="61" t="str">
        <f aca="false">INDEX(Parametros!$C$71:$C$91,MATCH(TRIM(INDEX(Datos_Origen!$C$2:$C$2459,$Z2103)),Parametros!$B$71:$B$91,0))</f>
        <v>AMBA</v>
      </c>
      <c r="I2103" s="61" t="str">
        <f aca="false">IF(TRIM($AD2103)="",INDEX(Parametros!$I$20:$I$24,MATCH($H2103,Parametros!$H$20:$H$24,0)),TRIM($AD2103))</f>
        <v>Buenos Aires</v>
      </c>
      <c r="J2103" s="61" t="str">
        <f aca="false">INDEX(Parametros!$C$95:$C$106,MATCH(TRIM(INDEX(Datos_Origen!$E$2:$E$2459,$Z2103)),Parametros!$B$95:$B$106,0))</f>
        <v>E-commerce</v>
      </c>
      <c r="K2103" s="61" t="str">
        <f aca="false">INDEX(Parametros!$C$48:$C$67,MATCH(TRIM(INDEX(Datos_Origen!$F$2:$F$2459,$Z2103)),Parametros!$B$48:$B$67,0))</f>
        <v>Computacion</v>
      </c>
      <c r="L2103" s="61" t="str">
        <f aca="false">$K2103&amp;" "&amp;$C2103</f>
        <v>Computacion 2025</v>
      </c>
      <c r="M2103" s="61" t="str">
        <f aca="false">TRIM(INDEX(Datos_Origen!$G$2:$G$2459,$Z2103))</f>
        <v>Laptop Pro 15</v>
      </c>
      <c r="N2103" s="61" t="str">
        <f aca="false">$M2103&amp;" "&amp;$C2103</f>
        <v>Laptop Pro 15 2025</v>
      </c>
      <c r="O2103" s="63" t="n">
        <f aca="false">IF(ISTEXT($AC2103),VALUE($AC2103),$AC2103)</f>
        <v>12</v>
      </c>
      <c r="P2103" s="64" t="n">
        <f aca="false">INDEX(Datos_Origen!$I$2:$I$2459,$Z2103)</f>
        <v>1204.74</v>
      </c>
      <c r="Q2103" s="64" t="n">
        <f aca="false">INDEX(Datos_Origen!$J$2:$J$2459,$Z2103)</f>
        <v>766.32</v>
      </c>
      <c r="R2103" s="65" t="n">
        <f aca="false">ROUND($O2103*$P2103,2)</f>
        <v>14456.88</v>
      </c>
      <c r="S2103" s="65" t="n">
        <f aca="false">ROUND($O2103*$Q2103,2)</f>
        <v>9195.84</v>
      </c>
      <c r="T2103" s="65" t="n">
        <f aca="false">ROUND($R2103*SUMIFS(Parametros!$E$28:$E$43,Parametros!$B$28:$B$43,$J2103,Parametros!$C$28:$C$43,$C2103,Parametros!$D$28:$D$43,$D2103),2)</f>
        <v>751.76</v>
      </c>
      <c r="U2103" s="65" t="n">
        <f aca="false">$R2103-$S2103-$T2103</f>
        <v>4509.28</v>
      </c>
      <c r="V2103" s="66" t="n">
        <f aca="false">IFERROR($U2103/$R2103,0)</f>
        <v>0.311912390501962</v>
      </c>
      <c r="W2103" s="67" t="str">
        <f aca="false">IF(AND($V2103&gt;=Parametros!$C$8,$R2103&gt;=Parametros!$C$12),"Alta rentabilidad",IF(OR($V2103&lt;Parametros!$C$11,$R2103&lt;Parametros!$C$13),"Revisar","Estandar"))</f>
        <v>Estandar</v>
      </c>
      <c r="X2103" s="67" t="str">
        <f aca="false">IF(AND($J2103="E-commerce",IFERROR($T2103/$R2103,0)&gt;Parametros!$C$14),"Alerta","OK")</f>
        <v>Alerta</v>
      </c>
      <c r="Y2103" s="61" t="str">
        <f aca="false">IF($R2103&gt;=Parametros!$C$12,"Alto",IF($R2103&lt;Parametros!$C$13,"Bajo","Medio"))</f>
        <v>Alto</v>
      </c>
      <c r="Z2103" s="61" t="n">
        <v>788</v>
      </c>
      <c r="AA2103" s="61" t="str">
        <f aca="false">IF(MATCH($A2103,Datos_Origen!$A$2:$A$2459,0)=$Z2103,"OK","REVISAR")</f>
        <v>OK</v>
      </c>
      <c r="AB2103" s="62" t="n">
        <f aca="false">INDEX(Datos_Origen!$B$2:$B$2459,$Z2103)</f>
        <v>45957</v>
      </c>
      <c r="AC2103" s="61" t="n">
        <f aca="false">INDEX(Datos_Origen!$H$2:$H$2459,$Z2103)</f>
        <v>12</v>
      </c>
      <c r="AD2103" s="61" t="str">
        <f aca="false">INDEX(Datos_Origen!$D$2:$D$2459,$Z2103)&amp;""</f>
        <v>Buenos Aires</v>
      </c>
    </row>
    <row r="2104" customFormat="false" ht="15" hidden="false" customHeight="false" outlineLevel="0" collapsed="false">
      <c r="A2104" s="61" t="n">
        <f aca="false">INDEX(Datos_Origen!$A$2:$A$2459,$Z2104)</f>
        <v>2103</v>
      </c>
      <c r="B2104" s="62" t="n">
        <f aca="false">IF(ISNUMBER($AB2104),$AB2104,IF(MID($AB2104,5,1)="-",DATE(VALUE(LEFT($AB2104,4)),VALUE(MID($AB2104,6,2)),VALUE(RIGHT($AB2104,2))),DATE(VALUE(RIGHT($AB2104,4)),VALUE(MID($AB2104,4,2)),VALUE(LEFT($AB2104,2)))))</f>
        <v>45937</v>
      </c>
      <c r="C2104" s="61" t="n">
        <f aca="false">YEAR($B2104)</f>
        <v>2025</v>
      </c>
      <c r="D2104" s="61" t="str">
        <f aca="false">"Q"&amp;ROUNDUP(MONTH($B2104)/3,0)</f>
        <v>Q4</v>
      </c>
      <c r="E2104" s="61" t="n">
        <f aca="false">MONTH($B2104)</f>
        <v>10</v>
      </c>
      <c r="F2104" s="61" t="str">
        <f aca="false">INDEX(Parametros!$I$5:$I$16,$E2104)</f>
        <v>Oct</v>
      </c>
      <c r="G2104" s="61" t="str">
        <f aca="false">TEXT($C2104,"0000")&amp;"-"&amp;TEXT($E2104,"00")</f>
        <v>2025-10</v>
      </c>
      <c r="H2104" s="61" t="str">
        <f aca="false">INDEX(Parametros!$C$71:$C$91,MATCH(TRIM(INDEX(Datos_Origen!$C$2:$C$2459,$Z2104)),Parametros!$B$71:$B$91,0))</f>
        <v>AMBA</v>
      </c>
      <c r="I2104" s="61" t="str">
        <f aca="false">IF(TRIM($AD2104)="",INDEX(Parametros!$I$20:$I$24,MATCH($H2104,Parametros!$H$20:$H$24,0)),TRIM($AD2104))</f>
        <v>Buenos Aires</v>
      </c>
      <c r="J2104" s="61" t="str">
        <f aca="false">INDEX(Parametros!$C$95:$C$106,MATCH(TRIM(INDEX(Datos_Origen!$E$2:$E$2459,$Z2104)),Parametros!$B$95:$B$106,0))</f>
        <v>Tienda fisica</v>
      </c>
      <c r="K2104" s="61" t="str">
        <f aca="false">INDEX(Parametros!$C$48:$C$67,MATCH(TRIM(INDEX(Datos_Origen!$F$2:$F$2459,$Z2104)),Parametros!$B$48:$B$67,0))</f>
        <v>Computacion</v>
      </c>
      <c r="L2104" s="61" t="str">
        <f aca="false">$K2104&amp;" "&amp;$C2104</f>
        <v>Computacion 2025</v>
      </c>
      <c r="M2104" s="61" t="str">
        <f aca="false">TRIM(INDEX(Datos_Origen!$G$2:$G$2459,$Z2104))</f>
        <v>Monitor 4K 27</v>
      </c>
      <c r="N2104" s="61" t="str">
        <f aca="false">$M2104&amp;" "&amp;$C2104</f>
        <v>Monitor 4K 27 2025</v>
      </c>
      <c r="O2104" s="63" t="n">
        <f aca="false">IF(ISTEXT($AC2104),VALUE($AC2104),$AC2104)</f>
        <v>21</v>
      </c>
      <c r="P2104" s="64" t="n">
        <f aca="false">INDEX(Datos_Origen!$I$2:$I$2459,$Z2104)</f>
        <v>451.78</v>
      </c>
      <c r="Q2104" s="64" t="n">
        <f aca="false">INDEX(Datos_Origen!$J$2:$J$2459,$Z2104)</f>
        <v>280.42</v>
      </c>
      <c r="R2104" s="65" t="n">
        <f aca="false">ROUND($O2104*$P2104,2)</f>
        <v>9487.38</v>
      </c>
      <c r="S2104" s="65" t="n">
        <f aca="false">ROUND($O2104*$Q2104,2)</f>
        <v>5888.82</v>
      </c>
      <c r="T2104" s="65" t="n">
        <f aca="false">ROUND($R2104*SUMIFS(Parametros!$E$28:$E$43,Parametros!$B$28:$B$43,$J2104,Parametros!$C$28:$C$43,$C2104,Parametros!$D$28:$D$43,$D2104),2)</f>
        <v>123.34</v>
      </c>
      <c r="U2104" s="65" t="n">
        <f aca="false">$R2104-$S2104-$T2104</f>
        <v>3475.22</v>
      </c>
      <c r="V2104" s="66" t="n">
        <f aca="false">IFERROR($U2104/$R2104,0)</f>
        <v>0.366299231189222</v>
      </c>
      <c r="W2104" s="67" t="str">
        <f aca="false">IF(AND($V2104&gt;=Parametros!$C$8,$R2104&gt;=Parametros!$C$12),"Alta rentabilidad",IF(OR($V2104&lt;Parametros!$C$11,$R2104&lt;Parametros!$C$13),"Revisar","Estandar"))</f>
        <v>Alta rentabilidad</v>
      </c>
      <c r="X2104" s="67" t="str">
        <f aca="false">IF(AND($J2104="E-commerce",IFERROR($T2104/$R2104,0)&gt;Parametros!$C$14),"Alerta","OK")</f>
        <v>OK</v>
      </c>
      <c r="Y2104" s="61" t="str">
        <f aca="false">IF($R2104&gt;=Parametros!$C$12,"Alto",IF($R2104&lt;Parametros!$C$13,"Bajo","Medio"))</f>
        <v>Alto</v>
      </c>
      <c r="Z2104" s="61" t="n">
        <v>1499</v>
      </c>
      <c r="AA2104" s="61" t="str">
        <f aca="false">IF(MATCH($A2104,Datos_Origen!$A$2:$A$2459,0)=$Z2104,"OK","REVISAR")</f>
        <v>OK</v>
      </c>
      <c r="AB2104" s="61" t="str">
        <f aca="false">INDEX(Datos_Origen!$B$2:$B$2459,$Z2104)</f>
        <v>07/10/2025</v>
      </c>
      <c r="AC2104" s="61" t="n">
        <f aca="false">INDEX(Datos_Origen!$H$2:$H$2459,$Z2104)</f>
        <v>21</v>
      </c>
      <c r="AD2104" s="61" t="str">
        <f aca="false">INDEX(Datos_Origen!$D$2:$D$2459,$Z2104)&amp;""</f>
        <v>Buenos Aires</v>
      </c>
    </row>
    <row r="2105" customFormat="false" ht="15" hidden="false" customHeight="false" outlineLevel="0" collapsed="false">
      <c r="A2105" s="61" t="n">
        <f aca="false">INDEX(Datos_Origen!$A$2:$A$2459,$Z2105)</f>
        <v>2104</v>
      </c>
      <c r="B2105" s="62" t="n">
        <f aca="false">IF(ISNUMBER($AB2105),$AB2105,IF(MID($AB2105,5,1)="-",DATE(VALUE(LEFT($AB2105,4)),VALUE(MID($AB2105,6,2)),VALUE(RIGHT($AB2105,2))),DATE(VALUE(RIGHT($AB2105,4)),VALUE(MID($AB2105,4,2)),VALUE(LEFT($AB2105,2)))))</f>
        <v>45944</v>
      </c>
      <c r="C2105" s="61" t="n">
        <f aca="false">YEAR($B2105)</f>
        <v>2025</v>
      </c>
      <c r="D2105" s="61" t="str">
        <f aca="false">"Q"&amp;ROUNDUP(MONTH($B2105)/3,0)</f>
        <v>Q4</v>
      </c>
      <c r="E2105" s="61" t="n">
        <f aca="false">MONTH($B2105)</f>
        <v>10</v>
      </c>
      <c r="F2105" s="61" t="str">
        <f aca="false">INDEX(Parametros!$I$5:$I$16,$E2105)</f>
        <v>Oct</v>
      </c>
      <c r="G2105" s="61" t="str">
        <f aca="false">TEXT($C2105,"0000")&amp;"-"&amp;TEXT($E2105,"00")</f>
        <v>2025-10</v>
      </c>
      <c r="H2105" s="61" t="str">
        <f aca="false">INDEX(Parametros!$C$71:$C$91,MATCH(TRIM(INDEX(Datos_Origen!$C$2:$C$2459,$Z2105)),Parametros!$B$71:$B$91,0))</f>
        <v>AMBA</v>
      </c>
      <c r="I2105" s="61" t="str">
        <f aca="false">IF(TRIM($AD2105)="",INDEX(Parametros!$I$20:$I$24,MATCH($H2105,Parametros!$H$20:$H$24,0)),TRIM($AD2105))</f>
        <v>Buenos Aires</v>
      </c>
      <c r="J2105" s="61" t="str">
        <f aca="false">INDEX(Parametros!$C$95:$C$106,MATCH(TRIM(INDEX(Datos_Origen!$E$2:$E$2459,$Z2105)),Parametros!$B$95:$B$106,0))</f>
        <v>E-commerce</v>
      </c>
      <c r="K2105" s="61" t="str">
        <f aca="false">INDEX(Parametros!$C$48:$C$67,MATCH(TRIM(INDEX(Datos_Origen!$F$2:$F$2459,$Z2105)),Parametros!$B$48:$B$67,0))</f>
        <v>Computacion</v>
      </c>
      <c r="L2105" s="61" t="str">
        <f aca="false">$K2105&amp;" "&amp;$C2105</f>
        <v>Computacion 2025</v>
      </c>
      <c r="M2105" s="61" t="str">
        <f aca="false">TRIM(INDEX(Datos_Origen!$G$2:$G$2459,$Z2105))</f>
        <v>Monitor 4K 27</v>
      </c>
      <c r="N2105" s="61" t="str">
        <f aca="false">$M2105&amp;" "&amp;$C2105</f>
        <v>Monitor 4K 27 2025</v>
      </c>
      <c r="O2105" s="63" t="n">
        <f aca="false">IF(ISTEXT($AC2105),VALUE($AC2105),$AC2105)</f>
        <v>14</v>
      </c>
      <c r="P2105" s="64" t="n">
        <f aca="false">INDEX(Datos_Origen!$I$2:$I$2459,$Z2105)</f>
        <v>451.78</v>
      </c>
      <c r="Q2105" s="64" t="n">
        <f aca="false">INDEX(Datos_Origen!$J$2:$J$2459,$Z2105)</f>
        <v>280.42</v>
      </c>
      <c r="R2105" s="65" t="n">
        <f aca="false">ROUND($O2105*$P2105,2)</f>
        <v>6324.92</v>
      </c>
      <c r="S2105" s="65" t="n">
        <f aca="false">ROUND($O2105*$Q2105,2)</f>
        <v>3925.88</v>
      </c>
      <c r="T2105" s="65" t="n">
        <f aca="false">ROUND($R2105*SUMIFS(Parametros!$E$28:$E$43,Parametros!$B$28:$B$43,$J2105,Parametros!$C$28:$C$43,$C2105,Parametros!$D$28:$D$43,$D2105),2)</f>
        <v>328.9</v>
      </c>
      <c r="U2105" s="65" t="n">
        <f aca="false">$R2105-$S2105-$T2105</f>
        <v>2070.14</v>
      </c>
      <c r="V2105" s="66" t="n">
        <f aca="false">IFERROR($U2105/$R2105,0)</f>
        <v>0.327299001410295</v>
      </c>
      <c r="W2105" s="67" t="str">
        <f aca="false">IF(AND($V2105&gt;=Parametros!$C$8,$R2105&gt;=Parametros!$C$12),"Alta rentabilidad",IF(OR($V2105&lt;Parametros!$C$11,$R2105&lt;Parametros!$C$13),"Revisar","Estandar"))</f>
        <v>Estandar</v>
      </c>
      <c r="X2105" s="67" t="str">
        <f aca="false">IF(AND($J2105="E-commerce",IFERROR($T2105/$R2105,0)&gt;Parametros!$C$14),"Alerta","OK")</f>
        <v>Alerta</v>
      </c>
      <c r="Y2105" s="61" t="str">
        <f aca="false">IF($R2105&gt;=Parametros!$C$12,"Alto",IF($R2105&lt;Parametros!$C$13,"Bajo","Medio"))</f>
        <v>Alto</v>
      </c>
      <c r="Z2105" s="61" t="n">
        <v>1321</v>
      </c>
      <c r="AA2105" s="61" t="str">
        <f aca="false">IF(MATCH($A2105,Datos_Origen!$A$2:$A$2459,0)=$Z2105,"OK","REVISAR")</f>
        <v>OK</v>
      </c>
      <c r="AB2105" s="61" t="str">
        <f aca="false">INDEX(Datos_Origen!$B$2:$B$2459,$Z2105)</f>
        <v>2025-10-14</v>
      </c>
      <c r="AC2105" s="61" t="n">
        <f aca="false">INDEX(Datos_Origen!$H$2:$H$2459,$Z2105)</f>
        <v>14</v>
      </c>
      <c r="AD2105" s="61" t="str">
        <f aca="false">INDEX(Datos_Origen!$D$2:$D$2459,$Z2105)&amp;""</f>
        <v>Buenos Aires</v>
      </c>
    </row>
    <row r="2106" customFormat="false" ht="15" hidden="false" customHeight="false" outlineLevel="0" collapsed="false">
      <c r="A2106" s="61" t="n">
        <f aca="false">INDEX(Datos_Origen!$A$2:$A$2459,$Z2106)</f>
        <v>2105</v>
      </c>
      <c r="B2106" s="62" t="n">
        <f aca="false">IF(ISNUMBER($AB2106),$AB2106,IF(MID($AB2106,5,1)="-",DATE(VALUE(LEFT($AB2106,4)),VALUE(MID($AB2106,6,2)),VALUE(RIGHT($AB2106,2))),DATE(VALUE(RIGHT($AB2106,4)),VALUE(MID($AB2106,4,2)),VALUE(LEFT($AB2106,2)))))</f>
        <v>45951</v>
      </c>
      <c r="C2106" s="61" t="n">
        <f aca="false">YEAR($B2106)</f>
        <v>2025</v>
      </c>
      <c r="D2106" s="61" t="str">
        <f aca="false">"Q"&amp;ROUNDUP(MONTH($B2106)/3,0)</f>
        <v>Q4</v>
      </c>
      <c r="E2106" s="61" t="n">
        <f aca="false">MONTH($B2106)</f>
        <v>10</v>
      </c>
      <c r="F2106" s="61" t="str">
        <f aca="false">INDEX(Parametros!$I$5:$I$16,$E2106)</f>
        <v>Oct</v>
      </c>
      <c r="G2106" s="61" t="str">
        <f aca="false">TEXT($C2106,"0000")&amp;"-"&amp;TEXT($E2106,"00")</f>
        <v>2025-10</v>
      </c>
      <c r="H2106" s="61" t="str">
        <f aca="false">INDEX(Parametros!$C$71:$C$91,MATCH(TRIM(INDEX(Datos_Origen!$C$2:$C$2459,$Z2106)),Parametros!$B$71:$B$91,0))</f>
        <v>AMBA</v>
      </c>
      <c r="I2106" s="61" t="str">
        <f aca="false">IF(TRIM($AD2106)="",INDEX(Parametros!$I$20:$I$24,MATCH($H2106,Parametros!$H$20:$H$24,0)),TRIM($AD2106))</f>
        <v>Buenos Aires</v>
      </c>
      <c r="J2106" s="61" t="str">
        <f aca="false">INDEX(Parametros!$C$95:$C$106,MATCH(TRIM(INDEX(Datos_Origen!$E$2:$E$2459,$Z2106)),Parametros!$B$95:$B$106,0))</f>
        <v>Tienda fisica</v>
      </c>
      <c r="K2106" s="61" t="str">
        <f aca="false">INDEX(Parametros!$C$48:$C$67,MATCH(TRIM(INDEX(Datos_Origen!$F$2:$F$2459,$Z2106)),Parametros!$B$48:$B$67,0))</f>
        <v>Computacion</v>
      </c>
      <c r="L2106" s="61" t="str">
        <f aca="false">$K2106&amp;" "&amp;$C2106</f>
        <v>Computacion 2025</v>
      </c>
      <c r="M2106" s="61" t="str">
        <f aca="false">TRIM(INDEX(Datos_Origen!$G$2:$G$2459,$Z2106))</f>
        <v>PC Gamer Ryzen</v>
      </c>
      <c r="N2106" s="61" t="str">
        <f aca="false">$M2106&amp;" "&amp;$C2106</f>
        <v>PC Gamer Ryzen 2025</v>
      </c>
      <c r="O2106" s="63" t="n">
        <f aca="false">IF(ISTEXT($AC2106),VALUE($AC2106),$AC2106)</f>
        <v>25</v>
      </c>
      <c r="P2106" s="64" t="n">
        <f aca="false">INDEX(Datos_Origen!$I$2:$I$2459,$Z2106)</f>
        <v>1656.52</v>
      </c>
      <c r="Q2106" s="64" t="n">
        <f aca="false">INDEX(Datos_Origen!$J$2:$J$2459,$Z2106)</f>
        <v>1155.66</v>
      </c>
      <c r="R2106" s="65" t="n">
        <f aca="false">ROUND($O2106*$P2106,2)</f>
        <v>41413</v>
      </c>
      <c r="S2106" s="65" t="n">
        <f aca="false">ROUND($O2106*$Q2106,2)</f>
        <v>28891.5</v>
      </c>
      <c r="T2106" s="65" t="n">
        <f aca="false">ROUND($R2106*SUMIFS(Parametros!$E$28:$E$43,Parametros!$B$28:$B$43,$J2106,Parametros!$C$28:$C$43,$C2106,Parametros!$D$28:$D$43,$D2106),2)</f>
        <v>538.37</v>
      </c>
      <c r="U2106" s="65" t="n">
        <f aca="false">$R2106-$S2106-$T2106</f>
        <v>11983.13</v>
      </c>
      <c r="V2106" s="66" t="n">
        <f aca="false">IFERROR($U2106/$R2106,0)</f>
        <v>0.289356723734093</v>
      </c>
      <c r="W2106" s="67" t="str">
        <f aca="false">IF(AND($V2106&gt;=Parametros!$C$8,$R2106&gt;=Parametros!$C$12),"Alta rentabilidad",IF(OR($V2106&lt;Parametros!$C$11,$R2106&lt;Parametros!$C$13),"Revisar","Estandar"))</f>
        <v>Estandar</v>
      </c>
      <c r="X2106" s="67" t="str">
        <f aca="false">IF(AND($J2106="E-commerce",IFERROR($T2106/$R2106,0)&gt;Parametros!$C$14),"Alerta","OK")</f>
        <v>OK</v>
      </c>
      <c r="Y2106" s="61" t="str">
        <f aca="false">IF($R2106&gt;=Parametros!$C$12,"Alto",IF($R2106&lt;Parametros!$C$13,"Bajo","Medio"))</f>
        <v>Alto</v>
      </c>
      <c r="Z2106" s="61" t="n">
        <v>2287</v>
      </c>
      <c r="AA2106" s="61" t="str">
        <f aca="false">IF(MATCH($A2106,Datos_Origen!$A$2:$A$2459,0)=$Z2106,"OK","REVISAR")</f>
        <v>OK</v>
      </c>
      <c r="AB2106" s="62" t="n">
        <f aca="false">INDEX(Datos_Origen!$B$2:$B$2459,$Z2106)</f>
        <v>45951</v>
      </c>
      <c r="AC2106" s="61" t="n">
        <f aca="false">INDEX(Datos_Origen!$H$2:$H$2459,$Z2106)</f>
        <v>25</v>
      </c>
      <c r="AD2106" s="61" t="str">
        <f aca="false">INDEX(Datos_Origen!$D$2:$D$2459,$Z2106)&amp;""</f>
        <v>Buenos Aires</v>
      </c>
    </row>
    <row r="2107" customFormat="false" ht="15" hidden="false" customHeight="false" outlineLevel="0" collapsed="false">
      <c r="A2107" s="61" t="n">
        <f aca="false">INDEX(Datos_Origen!$A$2:$A$2459,$Z2107)</f>
        <v>2106</v>
      </c>
      <c r="B2107" s="62" t="n">
        <f aca="false">IF(ISNUMBER($AB2107),$AB2107,IF(MID($AB2107,5,1)="-",DATE(VALUE(LEFT($AB2107,4)),VALUE(MID($AB2107,6,2)),VALUE(RIGHT($AB2107,2))),DATE(VALUE(RIGHT($AB2107,4)),VALUE(MID($AB2107,4,2)),VALUE(LEFT($AB2107,2)))))</f>
        <v>45931</v>
      </c>
      <c r="C2107" s="61" t="n">
        <f aca="false">YEAR($B2107)</f>
        <v>2025</v>
      </c>
      <c r="D2107" s="61" t="str">
        <f aca="false">"Q"&amp;ROUNDUP(MONTH($B2107)/3,0)</f>
        <v>Q4</v>
      </c>
      <c r="E2107" s="61" t="n">
        <f aca="false">MONTH($B2107)</f>
        <v>10</v>
      </c>
      <c r="F2107" s="61" t="str">
        <f aca="false">INDEX(Parametros!$I$5:$I$16,$E2107)</f>
        <v>Oct</v>
      </c>
      <c r="G2107" s="61" t="str">
        <f aca="false">TEXT($C2107,"0000")&amp;"-"&amp;TEXT($E2107,"00")</f>
        <v>2025-10</v>
      </c>
      <c r="H2107" s="61" t="str">
        <f aca="false">INDEX(Parametros!$C$71:$C$91,MATCH(TRIM(INDEX(Datos_Origen!$C$2:$C$2459,$Z2107)),Parametros!$B$71:$B$91,0))</f>
        <v>AMBA</v>
      </c>
      <c r="I2107" s="61" t="str">
        <f aca="false">IF(TRIM($AD2107)="",INDEX(Parametros!$I$20:$I$24,MATCH($H2107,Parametros!$H$20:$H$24,0)),TRIM($AD2107))</f>
        <v>Buenos Aires</v>
      </c>
      <c r="J2107" s="61" t="str">
        <f aca="false">INDEX(Parametros!$C$95:$C$106,MATCH(TRIM(INDEX(Datos_Origen!$E$2:$E$2459,$Z2107)),Parametros!$B$95:$B$106,0))</f>
        <v>E-commerce</v>
      </c>
      <c r="K2107" s="61" t="str">
        <f aca="false">INDEX(Parametros!$C$48:$C$67,MATCH(TRIM(INDEX(Datos_Origen!$F$2:$F$2459,$Z2107)),Parametros!$B$48:$B$67,0))</f>
        <v>Computacion</v>
      </c>
      <c r="L2107" s="61" t="str">
        <f aca="false">$K2107&amp;" "&amp;$C2107</f>
        <v>Computacion 2025</v>
      </c>
      <c r="M2107" s="61" t="str">
        <f aca="false">TRIM(INDEX(Datos_Origen!$G$2:$G$2459,$Z2107))</f>
        <v>PC Gamer Ryzen</v>
      </c>
      <c r="N2107" s="61" t="str">
        <f aca="false">$M2107&amp;" "&amp;$C2107</f>
        <v>PC Gamer Ryzen 2025</v>
      </c>
      <c r="O2107" s="63" t="n">
        <f aca="false">IF(ISTEXT($AC2107),VALUE($AC2107),$AC2107)</f>
        <v>15</v>
      </c>
      <c r="P2107" s="64" t="n">
        <f aca="false">INDEX(Datos_Origen!$I$2:$I$2459,$Z2107)</f>
        <v>1656.52</v>
      </c>
      <c r="Q2107" s="64" t="n">
        <f aca="false">INDEX(Datos_Origen!$J$2:$J$2459,$Z2107)</f>
        <v>1155.66</v>
      </c>
      <c r="R2107" s="65" t="n">
        <f aca="false">ROUND($O2107*$P2107,2)</f>
        <v>24847.8</v>
      </c>
      <c r="S2107" s="65" t="n">
        <f aca="false">ROUND($O2107*$Q2107,2)</f>
        <v>17334.9</v>
      </c>
      <c r="T2107" s="65" t="n">
        <f aca="false">ROUND($R2107*SUMIFS(Parametros!$E$28:$E$43,Parametros!$B$28:$B$43,$J2107,Parametros!$C$28:$C$43,$C2107,Parametros!$D$28:$D$43,$D2107),2)</f>
        <v>1292.09</v>
      </c>
      <c r="U2107" s="65" t="n">
        <f aca="false">$R2107-$S2107-$T2107</f>
        <v>6220.81</v>
      </c>
      <c r="V2107" s="66" t="n">
        <f aca="false">IFERROR($U2107/$R2107,0)</f>
        <v>0.250356570803049</v>
      </c>
      <c r="W2107" s="67" t="str">
        <f aca="false">IF(AND($V2107&gt;=Parametros!$C$8,$R2107&gt;=Parametros!$C$12),"Alta rentabilidad",IF(OR($V2107&lt;Parametros!$C$11,$R2107&lt;Parametros!$C$13),"Revisar","Estandar"))</f>
        <v>Revisar</v>
      </c>
      <c r="X2107" s="67" t="str">
        <f aca="false">IF(AND($J2107="E-commerce",IFERROR($T2107/$R2107,0)&gt;Parametros!$C$14),"Alerta","OK")</f>
        <v>Alerta</v>
      </c>
      <c r="Y2107" s="61" t="str">
        <f aca="false">IF($R2107&gt;=Parametros!$C$12,"Alto",IF($R2107&lt;Parametros!$C$13,"Bajo","Medio"))</f>
        <v>Alto</v>
      </c>
      <c r="Z2107" s="61" t="n">
        <v>1637</v>
      </c>
      <c r="AA2107" s="61" t="str">
        <f aca="false">IF(MATCH($A2107,Datos_Origen!$A$2:$A$2459,0)=$Z2107,"OK","REVISAR")</f>
        <v>OK</v>
      </c>
      <c r="AB2107" s="62" t="n">
        <f aca="false">INDEX(Datos_Origen!$B$2:$B$2459,$Z2107)</f>
        <v>45931</v>
      </c>
      <c r="AC2107" s="61" t="n">
        <f aca="false">INDEX(Datos_Origen!$H$2:$H$2459,$Z2107)</f>
        <v>15</v>
      </c>
      <c r="AD2107" s="61" t="str">
        <f aca="false">INDEX(Datos_Origen!$D$2:$D$2459,$Z2107)&amp;""</f>
        <v>Buenos Aires</v>
      </c>
    </row>
    <row r="2108" customFormat="false" ht="15" hidden="false" customHeight="false" outlineLevel="0" collapsed="false">
      <c r="A2108" s="61" t="n">
        <f aca="false">INDEX(Datos_Origen!$A$2:$A$2459,$Z2108)</f>
        <v>2107</v>
      </c>
      <c r="B2108" s="62" t="n">
        <f aca="false">IF(ISNUMBER($AB2108),$AB2108,IF(MID($AB2108,5,1)="-",DATE(VALUE(LEFT($AB2108,4)),VALUE(MID($AB2108,6,2)),VALUE(RIGHT($AB2108,2))),DATE(VALUE(RIGHT($AB2108,4)),VALUE(MID($AB2108,4,2)),VALUE(LEFT($AB2108,2)))))</f>
        <v>45938</v>
      </c>
      <c r="C2108" s="61" t="n">
        <f aca="false">YEAR($B2108)</f>
        <v>2025</v>
      </c>
      <c r="D2108" s="61" t="str">
        <f aca="false">"Q"&amp;ROUNDUP(MONTH($B2108)/3,0)</f>
        <v>Q4</v>
      </c>
      <c r="E2108" s="61" t="n">
        <f aca="false">MONTH($B2108)</f>
        <v>10</v>
      </c>
      <c r="F2108" s="61" t="str">
        <f aca="false">INDEX(Parametros!$I$5:$I$16,$E2108)</f>
        <v>Oct</v>
      </c>
      <c r="G2108" s="61" t="str">
        <f aca="false">TEXT($C2108,"0000")&amp;"-"&amp;TEXT($E2108,"00")</f>
        <v>2025-10</v>
      </c>
      <c r="H2108" s="61" t="str">
        <f aca="false">INDEX(Parametros!$C$71:$C$91,MATCH(TRIM(INDEX(Datos_Origen!$C$2:$C$2459,$Z2108)),Parametros!$B$71:$B$91,0))</f>
        <v>AMBA</v>
      </c>
      <c r="I2108" s="61" t="str">
        <f aca="false">IF(TRIM($AD2108)="",INDEX(Parametros!$I$20:$I$24,MATCH($H2108,Parametros!$H$20:$H$24,0)),TRIM($AD2108))</f>
        <v>Buenos Aires</v>
      </c>
      <c r="J2108" s="61" t="str">
        <f aca="false">INDEX(Parametros!$C$95:$C$106,MATCH(TRIM(INDEX(Datos_Origen!$E$2:$E$2459,$Z2108)),Parametros!$B$95:$B$106,0))</f>
        <v>Tienda fisica</v>
      </c>
      <c r="K2108" s="61" t="str">
        <f aca="false">INDEX(Parametros!$C$48:$C$67,MATCH(TRIM(INDEX(Datos_Origen!$F$2:$F$2459,$Z2108)),Parametros!$B$48:$B$67,0))</f>
        <v>Accesorios</v>
      </c>
      <c r="L2108" s="61" t="str">
        <f aca="false">$K2108&amp;" "&amp;$C2108</f>
        <v>Accesorios 2025</v>
      </c>
      <c r="M2108" s="61" t="str">
        <f aca="false">TRIM(INDEX(Datos_Origen!$G$2:$G$2459,$Z2108))</f>
        <v>Mouse Inalambrico</v>
      </c>
      <c r="N2108" s="61" t="str">
        <f aca="false">$M2108&amp;" "&amp;$C2108</f>
        <v>Mouse Inalambrico 2025</v>
      </c>
      <c r="O2108" s="63" t="n">
        <f aca="false">IF(ISTEXT($AC2108),VALUE($AC2108),$AC2108)</f>
        <v>94</v>
      </c>
      <c r="P2108" s="64" t="n">
        <f aca="false">INDEX(Datos_Origen!$I$2:$I$2459,$Z2108)</f>
        <v>28.11</v>
      </c>
      <c r="Q2108" s="64" t="n">
        <f aca="false">INDEX(Datos_Origen!$J$2:$J$2459,$Z2108)</f>
        <v>13.84</v>
      </c>
      <c r="R2108" s="65" t="n">
        <f aca="false">ROUND($O2108*$P2108,2)</f>
        <v>2642.34</v>
      </c>
      <c r="S2108" s="65" t="n">
        <f aca="false">ROUND($O2108*$Q2108,2)</f>
        <v>1300.96</v>
      </c>
      <c r="T2108" s="65" t="n">
        <f aca="false">ROUND($R2108*SUMIFS(Parametros!$E$28:$E$43,Parametros!$B$28:$B$43,$J2108,Parametros!$C$28:$C$43,$C2108,Parametros!$D$28:$D$43,$D2108),2)</f>
        <v>34.35</v>
      </c>
      <c r="U2108" s="65" t="n">
        <f aca="false">$R2108-$S2108-$T2108</f>
        <v>1307.03</v>
      </c>
      <c r="V2108" s="66" t="n">
        <f aca="false">IFERROR($U2108/$R2108,0)</f>
        <v>0.494648682607083</v>
      </c>
      <c r="W2108" s="67" t="str">
        <f aca="false">IF(AND($V2108&gt;=Parametros!$C$8,$R2108&gt;=Parametros!$C$12),"Alta rentabilidad",IF(OR($V2108&lt;Parametros!$C$11,$R2108&lt;Parametros!$C$13),"Revisar","Estandar"))</f>
        <v>Estandar</v>
      </c>
      <c r="X2108" s="67" t="str">
        <f aca="false">IF(AND($J2108="E-commerce",IFERROR($T2108/$R2108,0)&gt;Parametros!$C$14),"Alerta","OK")</f>
        <v>OK</v>
      </c>
      <c r="Y2108" s="61" t="str">
        <f aca="false">IF($R2108&gt;=Parametros!$C$12,"Alto",IF($R2108&lt;Parametros!$C$13,"Bajo","Medio"))</f>
        <v>Medio</v>
      </c>
      <c r="Z2108" s="61" t="n">
        <v>1503</v>
      </c>
      <c r="AA2108" s="61" t="str">
        <f aca="false">IF(MATCH($A2108,Datos_Origen!$A$2:$A$2459,0)=$Z2108,"OK","REVISAR")</f>
        <v>OK</v>
      </c>
      <c r="AB2108" s="62" t="n">
        <f aca="false">INDEX(Datos_Origen!$B$2:$B$2459,$Z2108)</f>
        <v>45938</v>
      </c>
      <c r="AC2108" s="61" t="n">
        <f aca="false">INDEX(Datos_Origen!$H$2:$H$2459,$Z2108)</f>
        <v>94</v>
      </c>
      <c r="AD2108" s="61" t="str">
        <f aca="false">INDEX(Datos_Origen!$D$2:$D$2459,$Z2108)&amp;""</f>
        <v>Buenos Aires</v>
      </c>
    </row>
    <row r="2109" customFormat="false" ht="15" hidden="false" customHeight="false" outlineLevel="0" collapsed="false">
      <c r="A2109" s="61" t="n">
        <f aca="false">INDEX(Datos_Origen!$A$2:$A$2459,$Z2109)</f>
        <v>2108</v>
      </c>
      <c r="B2109" s="62" t="n">
        <f aca="false">IF(ISNUMBER($AB2109),$AB2109,IF(MID($AB2109,5,1)="-",DATE(VALUE(LEFT($AB2109,4)),VALUE(MID($AB2109,6,2)),VALUE(RIGHT($AB2109,2))),DATE(VALUE(RIGHT($AB2109,4)),VALUE(MID($AB2109,4,2)),VALUE(LEFT($AB2109,2)))))</f>
        <v>45945</v>
      </c>
      <c r="C2109" s="61" t="n">
        <f aca="false">YEAR($B2109)</f>
        <v>2025</v>
      </c>
      <c r="D2109" s="61" t="str">
        <f aca="false">"Q"&amp;ROUNDUP(MONTH($B2109)/3,0)</f>
        <v>Q4</v>
      </c>
      <c r="E2109" s="61" t="n">
        <f aca="false">MONTH($B2109)</f>
        <v>10</v>
      </c>
      <c r="F2109" s="61" t="str">
        <f aca="false">INDEX(Parametros!$I$5:$I$16,$E2109)</f>
        <v>Oct</v>
      </c>
      <c r="G2109" s="61" t="str">
        <f aca="false">TEXT($C2109,"0000")&amp;"-"&amp;TEXT($E2109,"00")</f>
        <v>2025-10</v>
      </c>
      <c r="H2109" s="61" t="str">
        <f aca="false">INDEX(Parametros!$C$71:$C$91,MATCH(TRIM(INDEX(Datos_Origen!$C$2:$C$2459,$Z2109)),Parametros!$B$71:$B$91,0))</f>
        <v>AMBA</v>
      </c>
      <c r="I2109" s="61" t="str">
        <f aca="false">IF(TRIM($AD2109)="",INDEX(Parametros!$I$20:$I$24,MATCH($H2109,Parametros!$H$20:$H$24,0)),TRIM($AD2109))</f>
        <v>Buenos Aires</v>
      </c>
      <c r="J2109" s="61" t="str">
        <f aca="false">INDEX(Parametros!$C$95:$C$106,MATCH(TRIM(INDEX(Datos_Origen!$E$2:$E$2459,$Z2109)),Parametros!$B$95:$B$106,0))</f>
        <v>E-commerce</v>
      </c>
      <c r="K2109" s="61" t="str">
        <f aca="false">INDEX(Parametros!$C$48:$C$67,MATCH(TRIM(INDEX(Datos_Origen!$F$2:$F$2459,$Z2109)),Parametros!$B$48:$B$67,0))</f>
        <v>Accesorios</v>
      </c>
      <c r="L2109" s="61" t="str">
        <f aca="false">$K2109&amp;" "&amp;$C2109</f>
        <v>Accesorios 2025</v>
      </c>
      <c r="M2109" s="61" t="str">
        <f aca="false">TRIM(INDEX(Datos_Origen!$G$2:$G$2459,$Z2109))</f>
        <v>Mouse Inalambrico</v>
      </c>
      <c r="N2109" s="61" t="str">
        <f aca="false">$M2109&amp;" "&amp;$C2109</f>
        <v>Mouse Inalambrico 2025</v>
      </c>
      <c r="O2109" s="63" t="n">
        <f aca="false">IF(ISTEXT($AC2109),VALUE($AC2109),$AC2109)</f>
        <v>64</v>
      </c>
      <c r="P2109" s="64" t="n">
        <f aca="false">INDEX(Datos_Origen!$I$2:$I$2459,$Z2109)</f>
        <v>28.11</v>
      </c>
      <c r="Q2109" s="64" t="n">
        <f aca="false">INDEX(Datos_Origen!$J$2:$J$2459,$Z2109)</f>
        <v>13.84</v>
      </c>
      <c r="R2109" s="65" t="n">
        <f aca="false">ROUND($O2109*$P2109,2)</f>
        <v>1799.04</v>
      </c>
      <c r="S2109" s="65" t="n">
        <f aca="false">ROUND($O2109*$Q2109,2)</f>
        <v>885.76</v>
      </c>
      <c r="T2109" s="65" t="n">
        <f aca="false">ROUND($R2109*SUMIFS(Parametros!$E$28:$E$43,Parametros!$B$28:$B$43,$J2109,Parametros!$C$28:$C$43,$C2109,Parametros!$D$28:$D$43,$D2109),2)</f>
        <v>93.55</v>
      </c>
      <c r="U2109" s="65" t="n">
        <f aca="false">$R2109-$S2109-$T2109</f>
        <v>819.73</v>
      </c>
      <c r="V2109" s="66" t="n">
        <f aca="false">IFERROR($U2109/$R2109,0)</f>
        <v>0.455648568125222</v>
      </c>
      <c r="W2109" s="67" t="str">
        <f aca="false">IF(AND($V2109&gt;=Parametros!$C$8,$R2109&gt;=Parametros!$C$12),"Alta rentabilidad",IF(OR($V2109&lt;Parametros!$C$11,$R2109&lt;Parametros!$C$13),"Revisar","Estandar"))</f>
        <v>Estandar</v>
      </c>
      <c r="X2109" s="67" t="str">
        <f aca="false">IF(AND($J2109="E-commerce",IFERROR($T2109/$R2109,0)&gt;Parametros!$C$14),"Alerta","OK")</f>
        <v>Alerta</v>
      </c>
      <c r="Y2109" s="61" t="str">
        <f aca="false">IF($R2109&gt;=Parametros!$C$12,"Alto",IF($R2109&lt;Parametros!$C$13,"Bajo","Medio"))</f>
        <v>Medio</v>
      </c>
      <c r="Z2109" s="61" t="n">
        <v>1446</v>
      </c>
      <c r="AA2109" s="61" t="str">
        <f aca="false">IF(MATCH($A2109,Datos_Origen!$A$2:$A$2459,0)=$Z2109,"OK","REVISAR")</f>
        <v>OK</v>
      </c>
      <c r="AB2109" s="61" t="str">
        <f aca="false">INDEX(Datos_Origen!$B$2:$B$2459,$Z2109)</f>
        <v>15/10/2025</v>
      </c>
      <c r="AC2109" s="61" t="str">
        <f aca="false">INDEX(Datos_Origen!$H$2:$H$2459,$Z2109)</f>
        <v>64</v>
      </c>
      <c r="AD2109" s="61" t="str">
        <f aca="false">INDEX(Datos_Origen!$D$2:$D$2459,$Z2109)&amp;""</f>
        <v>Buenos Aires</v>
      </c>
    </row>
    <row r="2110" customFormat="false" ht="15" hidden="false" customHeight="false" outlineLevel="0" collapsed="false">
      <c r="A2110" s="61" t="n">
        <f aca="false">INDEX(Datos_Origen!$A$2:$A$2459,$Z2110)</f>
        <v>2109</v>
      </c>
      <c r="B2110" s="62" t="n">
        <f aca="false">IF(ISNUMBER($AB2110),$AB2110,IF(MID($AB2110,5,1)="-",DATE(VALUE(LEFT($AB2110,4)),VALUE(MID($AB2110,6,2)),VALUE(RIGHT($AB2110,2))),DATE(VALUE(RIGHT($AB2110,4)),VALUE(MID($AB2110,4,2)),VALUE(LEFT($AB2110,2)))))</f>
        <v>45952</v>
      </c>
      <c r="C2110" s="61" t="n">
        <f aca="false">YEAR($B2110)</f>
        <v>2025</v>
      </c>
      <c r="D2110" s="61" t="str">
        <f aca="false">"Q"&amp;ROUNDUP(MONTH($B2110)/3,0)</f>
        <v>Q4</v>
      </c>
      <c r="E2110" s="61" t="n">
        <f aca="false">MONTH($B2110)</f>
        <v>10</v>
      </c>
      <c r="F2110" s="61" t="str">
        <f aca="false">INDEX(Parametros!$I$5:$I$16,$E2110)</f>
        <v>Oct</v>
      </c>
      <c r="G2110" s="61" t="str">
        <f aca="false">TEXT($C2110,"0000")&amp;"-"&amp;TEXT($E2110,"00")</f>
        <v>2025-10</v>
      </c>
      <c r="H2110" s="61" t="str">
        <f aca="false">INDEX(Parametros!$C$71:$C$91,MATCH(TRIM(INDEX(Datos_Origen!$C$2:$C$2459,$Z2110)),Parametros!$B$71:$B$91,0))</f>
        <v>AMBA</v>
      </c>
      <c r="I2110" s="61" t="str">
        <f aca="false">IF(TRIM($AD2110)="",INDEX(Parametros!$I$20:$I$24,MATCH($H2110,Parametros!$H$20:$H$24,0)),TRIM($AD2110))</f>
        <v>Buenos Aires</v>
      </c>
      <c r="J2110" s="61" t="str">
        <f aca="false">INDEX(Parametros!$C$95:$C$106,MATCH(TRIM(INDEX(Datos_Origen!$E$2:$E$2459,$Z2110)),Parametros!$B$95:$B$106,0))</f>
        <v>Tienda fisica</v>
      </c>
      <c r="K2110" s="61" t="str">
        <f aca="false">INDEX(Parametros!$C$48:$C$67,MATCH(TRIM(INDEX(Datos_Origen!$F$2:$F$2459,$Z2110)),Parametros!$B$48:$B$67,0))</f>
        <v>Accesorios</v>
      </c>
      <c r="L2110" s="61" t="str">
        <f aca="false">$K2110&amp;" "&amp;$C2110</f>
        <v>Accesorios 2025</v>
      </c>
      <c r="M2110" s="61" t="str">
        <f aca="false">TRIM(INDEX(Datos_Origen!$G$2:$G$2459,$Z2110))</f>
        <v>Teclado Mecanico</v>
      </c>
      <c r="N2110" s="61" t="str">
        <f aca="false">$M2110&amp;" "&amp;$C2110</f>
        <v>Teclado Mecanico 2025</v>
      </c>
      <c r="O2110" s="63" t="n">
        <f aca="false">IF(ISTEXT($AC2110),VALUE($AC2110),$AC2110)</f>
        <v>90</v>
      </c>
      <c r="P2110" s="64" t="n">
        <f aca="false">INDEX(Datos_Origen!$I$2:$I$2459,$Z2110)</f>
        <v>95.38</v>
      </c>
      <c r="Q2110" s="64" t="n">
        <f aca="false">INDEX(Datos_Origen!$J$2:$J$2459,$Z2110)</f>
        <v>49.41</v>
      </c>
      <c r="R2110" s="65" t="n">
        <f aca="false">ROUND($O2110*$P2110,2)</f>
        <v>8584.2</v>
      </c>
      <c r="S2110" s="65" t="n">
        <f aca="false">ROUND($O2110*$Q2110,2)</f>
        <v>4446.9</v>
      </c>
      <c r="T2110" s="65" t="n">
        <f aca="false">ROUND($R2110*SUMIFS(Parametros!$E$28:$E$43,Parametros!$B$28:$B$43,$J2110,Parametros!$C$28:$C$43,$C2110,Parametros!$D$28:$D$43,$D2110),2)</f>
        <v>111.59</v>
      </c>
      <c r="U2110" s="65" t="n">
        <f aca="false">$R2110-$S2110-$T2110</f>
        <v>4025.71</v>
      </c>
      <c r="V2110" s="66" t="n">
        <f aca="false">IFERROR($U2110/$R2110,0)</f>
        <v>0.46896740523287</v>
      </c>
      <c r="W2110" s="67" t="str">
        <f aca="false">IF(AND($V2110&gt;=Parametros!$C$8,$R2110&gt;=Parametros!$C$12),"Alta rentabilidad",IF(OR($V2110&lt;Parametros!$C$11,$R2110&lt;Parametros!$C$13),"Revisar","Estandar"))</f>
        <v>Alta rentabilidad</v>
      </c>
      <c r="X2110" s="67" t="str">
        <f aca="false">IF(AND($J2110="E-commerce",IFERROR($T2110/$R2110,0)&gt;Parametros!$C$14),"Alerta","OK")</f>
        <v>OK</v>
      </c>
      <c r="Y2110" s="61" t="str">
        <f aca="false">IF($R2110&gt;=Parametros!$C$12,"Alto",IF($R2110&lt;Parametros!$C$13,"Bajo","Medio"))</f>
        <v>Alto</v>
      </c>
      <c r="Z2110" s="61" t="n">
        <v>580</v>
      </c>
      <c r="AA2110" s="61" t="str">
        <f aca="false">IF(MATCH($A2110,Datos_Origen!$A$2:$A$2459,0)=$Z2110,"OK","REVISAR")</f>
        <v>OK</v>
      </c>
      <c r="AB2110" s="61" t="str">
        <f aca="false">INDEX(Datos_Origen!$B$2:$B$2459,$Z2110)</f>
        <v>22/10/2025</v>
      </c>
      <c r="AC2110" s="61" t="n">
        <f aca="false">INDEX(Datos_Origen!$H$2:$H$2459,$Z2110)</f>
        <v>90</v>
      </c>
      <c r="AD2110" s="61" t="str">
        <f aca="false">INDEX(Datos_Origen!$D$2:$D$2459,$Z2110)&amp;""</f>
        <v>Buenos Aires</v>
      </c>
    </row>
    <row r="2111" customFormat="false" ht="15" hidden="false" customHeight="false" outlineLevel="0" collapsed="false">
      <c r="A2111" s="61" t="n">
        <f aca="false">INDEX(Datos_Origen!$A$2:$A$2459,$Z2111)</f>
        <v>2110</v>
      </c>
      <c r="B2111" s="62" t="n">
        <f aca="false">IF(ISNUMBER($AB2111),$AB2111,IF(MID($AB2111,5,1)="-",DATE(VALUE(LEFT($AB2111,4)),VALUE(MID($AB2111,6,2)),VALUE(RIGHT($AB2111,2))),DATE(VALUE(RIGHT($AB2111,4)),VALUE(MID($AB2111,4,2)),VALUE(LEFT($AB2111,2)))))</f>
        <v>45932</v>
      </c>
      <c r="C2111" s="61" t="n">
        <f aca="false">YEAR($B2111)</f>
        <v>2025</v>
      </c>
      <c r="D2111" s="61" t="str">
        <f aca="false">"Q"&amp;ROUNDUP(MONTH($B2111)/3,0)</f>
        <v>Q4</v>
      </c>
      <c r="E2111" s="61" t="n">
        <f aca="false">MONTH($B2111)</f>
        <v>10</v>
      </c>
      <c r="F2111" s="61" t="str">
        <f aca="false">INDEX(Parametros!$I$5:$I$16,$E2111)</f>
        <v>Oct</v>
      </c>
      <c r="G2111" s="61" t="str">
        <f aca="false">TEXT($C2111,"0000")&amp;"-"&amp;TEXT($E2111,"00")</f>
        <v>2025-10</v>
      </c>
      <c r="H2111" s="61" t="str">
        <f aca="false">INDEX(Parametros!$C$71:$C$91,MATCH(TRIM(INDEX(Datos_Origen!$C$2:$C$2459,$Z2111)),Parametros!$B$71:$B$91,0))</f>
        <v>AMBA</v>
      </c>
      <c r="I2111" s="61" t="str">
        <f aca="false">IF(TRIM($AD2111)="",INDEX(Parametros!$I$20:$I$24,MATCH($H2111,Parametros!$H$20:$H$24,0)),TRIM($AD2111))</f>
        <v>Buenos Aires</v>
      </c>
      <c r="J2111" s="61" t="str">
        <f aca="false">INDEX(Parametros!$C$95:$C$106,MATCH(TRIM(INDEX(Datos_Origen!$E$2:$E$2459,$Z2111)),Parametros!$B$95:$B$106,0))</f>
        <v>E-commerce</v>
      </c>
      <c r="K2111" s="61" t="str">
        <f aca="false">INDEX(Parametros!$C$48:$C$67,MATCH(TRIM(INDEX(Datos_Origen!$F$2:$F$2459,$Z2111)),Parametros!$B$48:$B$67,0))</f>
        <v>Accesorios</v>
      </c>
      <c r="L2111" s="61" t="str">
        <f aca="false">$K2111&amp;" "&amp;$C2111</f>
        <v>Accesorios 2025</v>
      </c>
      <c r="M2111" s="61" t="str">
        <f aca="false">TRIM(INDEX(Datos_Origen!$G$2:$G$2459,$Z2111))</f>
        <v>Teclado Mecanico</v>
      </c>
      <c r="N2111" s="61" t="str">
        <f aca="false">$M2111&amp;" "&amp;$C2111</f>
        <v>Teclado Mecanico 2025</v>
      </c>
      <c r="O2111" s="63" t="n">
        <f aca="false">IF(ISTEXT($AC2111),VALUE($AC2111),$AC2111)</f>
        <v>77</v>
      </c>
      <c r="P2111" s="64" t="n">
        <f aca="false">INDEX(Datos_Origen!$I$2:$I$2459,$Z2111)</f>
        <v>95.38</v>
      </c>
      <c r="Q2111" s="64" t="n">
        <f aca="false">INDEX(Datos_Origen!$J$2:$J$2459,$Z2111)</f>
        <v>49.41</v>
      </c>
      <c r="R2111" s="65" t="n">
        <f aca="false">ROUND($O2111*$P2111,2)</f>
        <v>7344.26</v>
      </c>
      <c r="S2111" s="65" t="n">
        <f aca="false">ROUND($O2111*$Q2111,2)</f>
        <v>3804.57</v>
      </c>
      <c r="T2111" s="65" t="n">
        <f aca="false">ROUND($R2111*SUMIFS(Parametros!$E$28:$E$43,Parametros!$B$28:$B$43,$J2111,Parametros!$C$28:$C$43,$C2111,Parametros!$D$28:$D$43,$D2111),2)</f>
        <v>381.9</v>
      </c>
      <c r="U2111" s="65" t="n">
        <f aca="false">$R2111-$S2111-$T2111</f>
        <v>3157.79</v>
      </c>
      <c r="V2111" s="66" t="n">
        <f aca="false">IFERROR($U2111/$R2111,0)</f>
        <v>0.429967076328997</v>
      </c>
      <c r="W2111" s="67" t="str">
        <f aca="false">IF(AND($V2111&gt;=Parametros!$C$8,$R2111&gt;=Parametros!$C$12),"Alta rentabilidad",IF(OR($V2111&lt;Parametros!$C$11,$R2111&lt;Parametros!$C$13),"Revisar","Estandar"))</f>
        <v>Alta rentabilidad</v>
      </c>
      <c r="X2111" s="67" t="str">
        <f aca="false">IF(AND($J2111="E-commerce",IFERROR($T2111/$R2111,0)&gt;Parametros!$C$14),"Alerta","OK")</f>
        <v>Alerta</v>
      </c>
      <c r="Y2111" s="61" t="str">
        <f aca="false">IF($R2111&gt;=Parametros!$C$12,"Alto",IF($R2111&lt;Parametros!$C$13,"Bajo","Medio"))</f>
        <v>Alto</v>
      </c>
      <c r="Z2111" s="61" t="n">
        <v>1670</v>
      </c>
      <c r="AA2111" s="61" t="str">
        <f aca="false">IF(MATCH($A2111,Datos_Origen!$A$2:$A$2459,0)=$Z2111,"OK","REVISAR")</f>
        <v>OK</v>
      </c>
      <c r="AB2111" s="61" t="str">
        <f aca="false">INDEX(Datos_Origen!$B$2:$B$2459,$Z2111)</f>
        <v>2025-10-02</v>
      </c>
      <c r="AC2111" s="61" t="n">
        <f aca="false">INDEX(Datos_Origen!$H$2:$H$2459,$Z2111)</f>
        <v>77</v>
      </c>
      <c r="AD2111" s="61" t="str">
        <f aca="false">INDEX(Datos_Origen!$D$2:$D$2459,$Z2111)&amp;""</f>
        <v>Buenos Aires</v>
      </c>
    </row>
    <row r="2112" customFormat="false" ht="15" hidden="false" customHeight="false" outlineLevel="0" collapsed="false">
      <c r="A2112" s="61" t="n">
        <f aca="false">INDEX(Datos_Origen!$A$2:$A$2459,$Z2112)</f>
        <v>2111</v>
      </c>
      <c r="B2112" s="62" t="n">
        <f aca="false">IF(ISNUMBER($AB2112),$AB2112,IF(MID($AB2112,5,1)="-",DATE(VALUE(LEFT($AB2112,4)),VALUE(MID($AB2112,6,2)),VALUE(RIGHT($AB2112,2))),DATE(VALUE(RIGHT($AB2112,4)),VALUE(MID($AB2112,4,2)),VALUE(LEFT($AB2112,2)))))</f>
        <v>45939</v>
      </c>
      <c r="C2112" s="61" t="n">
        <f aca="false">YEAR($B2112)</f>
        <v>2025</v>
      </c>
      <c r="D2112" s="61" t="str">
        <f aca="false">"Q"&amp;ROUNDUP(MONTH($B2112)/3,0)</f>
        <v>Q4</v>
      </c>
      <c r="E2112" s="61" t="n">
        <f aca="false">MONTH($B2112)</f>
        <v>10</v>
      </c>
      <c r="F2112" s="61" t="str">
        <f aca="false">INDEX(Parametros!$I$5:$I$16,$E2112)</f>
        <v>Oct</v>
      </c>
      <c r="G2112" s="61" t="str">
        <f aca="false">TEXT($C2112,"0000")&amp;"-"&amp;TEXT($E2112,"00")</f>
        <v>2025-10</v>
      </c>
      <c r="H2112" s="61" t="str">
        <f aca="false">INDEX(Parametros!$C$71:$C$91,MATCH(TRIM(INDEX(Datos_Origen!$C$2:$C$2459,$Z2112)),Parametros!$B$71:$B$91,0))</f>
        <v>AMBA</v>
      </c>
      <c r="I2112" s="61" t="str">
        <f aca="false">IF(TRIM($AD2112)="",INDEX(Parametros!$I$20:$I$24,MATCH($H2112,Parametros!$H$20:$H$24,0)),TRIM($AD2112))</f>
        <v>Buenos Aires</v>
      </c>
      <c r="J2112" s="61" t="str">
        <f aca="false">INDEX(Parametros!$C$95:$C$106,MATCH(TRIM(INDEX(Datos_Origen!$E$2:$E$2459,$Z2112)),Parametros!$B$95:$B$106,0))</f>
        <v>Tienda fisica</v>
      </c>
      <c r="K2112" s="61" t="str">
        <f aca="false">INDEX(Parametros!$C$48:$C$67,MATCH(TRIM(INDEX(Datos_Origen!$F$2:$F$2459,$Z2112)),Parametros!$B$48:$B$67,0))</f>
        <v>Accesorios</v>
      </c>
      <c r="L2112" s="61" t="str">
        <f aca="false">$K2112&amp;" "&amp;$C2112</f>
        <v>Accesorios 2025</v>
      </c>
      <c r="M2112" s="61" t="str">
        <f aca="false">TRIM(INDEX(Datos_Origen!$G$2:$G$2459,$Z2112))</f>
        <v>Webcam Full HD</v>
      </c>
      <c r="N2112" s="61" t="str">
        <f aca="false">$M2112&amp;" "&amp;$C2112</f>
        <v>Webcam Full HD 2025</v>
      </c>
      <c r="O2112" s="63" t="n">
        <f aca="false">IF(ISTEXT($AC2112),VALUE($AC2112),$AC2112)</f>
        <v>95</v>
      </c>
      <c r="P2112" s="64" t="n">
        <f aca="false">INDEX(Datos_Origen!$I$2:$I$2459,$Z2112)</f>
        <v>65.26</v>
      </c>
      <c r="Q2112" s="64" t="n">
        <f aca="false">INDEX(Datos_Origen!$J$2:$J$2459,$Z2112)</f>
        <v>36.49</v>
      </c>
      <c r="R2112" s="65" t="n">
        <f aca="false">ROUND($O2112*$P2112,2)</f>
        <v>6199.7</v>
      </c>
      <c r="S2112" s="65" t="n">
        <f aca="false">ROUND($O2112*$Q2112,2)</f>
        <v>3466.55</v>
      </c>
      <c r="T2112" s="65" t="n">
        <f aca="false">ROUND($R2112*SUMIFS(Parametros!$E$28:$E$43,Parametros!$B$28:$B$43,$J2112,Parametros!$C$28:$C$43,$C2112,Parametros!$D$28:$D$43,$D2112),2)</f>
        <v>80.6</v>
      </c>
      <c r="U2112" s="65" t="n">
        <f aca="false">$R2112-$S2112-$T2112</f>
        <v>2652.55</v>
      </c>
      <c r="V2112" s="66" t="n">
        <f aca="false">IFERROR($U2112/$R2112,0)</f>
        <v>0.427851347645854</v>
      </c>
      <c r="W2112" s="67" t="str">
        <f aca="false">IF(AND($V2112&gt;=Parametros!$C$8,$R2112&gt;=Parametros!$C$12),"Alta rentabilidad",IF(OR($V2112&lt;Parametros!$C$11,$R2112&lt;Parametros!$C$13),"Revisar","Estandar"))</f>
        <v>Alta rentabilidad</v>
      </c>
      <c r="X2112" s="67" t="str">
        <f aca="false">IF(AND($J2112="E-commerce",IFERROR($T2112/$R2112,0)&gt;Parametros!$C$14),"Alerta","OK")</f>
        <v>OK</v>
      </c>
      <c r="Y2112" s="61" t="str">
        <f aca="false">IF($R2112&gt;=Parametros!$C$12,"Alto",IF($R2112&lt;Parametros!$C$13,"Bajo","Medio"))</f>
        <v>Alto</v>
      </c>
      <c r="Z2112" s="61" t="n">
        <v>1360</v>
      </c>
      <c r="AA2112" s="61" t="str">
        <f aca="false">IF(MATCH($A2112,Datos_Origen!$A$2:$A$2459,0)=$Z2112,"OK","REVISAR")</f>
        <v>OK</v>
      </c>
      <c r="AB2112" s="61" t="str">
        <f aca="false">INDEX(Datos_Origen!$B$2:$B$2459,$Z2112)</f>
        <v>09/10/2025</v>
      </c>
      <c r="AC2112" s="61" t="n">
        <f aca="false">INDEX(Datos_Origen!$H$2:$H$2459,$Z2112)</f>
        <v>95</v>
      </c>
      <c r="AD2112" s="61" t="str">
        <f aca="false">INDEX(Datos_Origen!$D$2:$D$2459,$Z2112)&amp;""</f>
        <v>Buenos Aires</v>
      </c>
    </row>
    <row r="2113" customFormat="false" ht="15" hidden="false" customHeight="false" outlineLevel="0" collapsed="false">
      <c r="A2113" s="61" t="n">
        <f aca="false">INDEX(Datos_Origen!$A$2:$A$2459,$Z2113)</f>
        <v>2112</v>
      </c>
      <c r="B2113" s="62" t="n">
        <f aca="false">IF(ISNUMBER($AB2113),$AB2113,IF(MID($AB2113,5,1)="-",DATE(VALUE(LEFT($AB2113,4)),VALUE(MID($AB2113,6,2)),VALUE(RIGHT($AB2113,2))),DATE(VALUE(RIGHT($AB2113,4)),VALUE(MID($AB2113,4,2)),VALUE(LEFT($AB2113,2)))))</f>
        <v>45946</v>
      </c>
      <c r="C2113" s="61" t="n">
        <f aca="false">YEAR($B2113)</f>
        <v>2025</v>
      </c>
      <c r="D2113" s="61" t="str">
        <f aca="false">"Q"&amp;ROUNDUP(MONTH($B2113)/3,0)</f>
        <v>Q4</v>
      </c>
      <c r="E2113" s="61" t="n">
        <f aca="false">MONTH($B2113)</f>
        <v>10</v>
      </c>
      <c r="F2113" s="61" t="str">
        <f aca="false">INDEX(Parametros!$I$5:$I$16,$E2113)</f>
        <v>Oct</v>
      </c>
      <c r="G2113" s="61" t="str">
        <f aca="false">TEXT($C2113,"0000")&amp;"-"&amp;TEXT($E2113,"00")</f>
        <v>2025-10</v>
      </c>
      <c r="H2113" s="61" t="str">
        <f aca="false">INDEX(Parametros!$C$71:$C$91,MATCH(TRIM(INDEX(Datos_Origen!$C$2:$C$2459,$Z2113)),Parametros!$B$71:$B$91,0))</f>
        <v>AMBA</v>
      </c>
      <c r="I2113" s="61" t="str">
        <f aca="false">IF(TRIM($AD2113)="",INDEX(Parametros!$I$20:$I$24,MATCH($H2113,Parametros!$H$20:$H$24,0)),TRIM($AD2113))</f>
        <v>Buenos Aires</v>
      </c>
      <c r="J2113" s="61" t="str">
        <f aca="false">INDEX(Parametros!$C$95:$C$106,MATCH(TRIM(INDEX(Datos_Origen!$E$2:$E$2459,$Z2113)),Parametros!$B$95:$B$106,0))</f>
        <v>E-commerce</v>
      </c>
      <c r="K2113" s="61" t="str">
        <f aca="false">INDEX(Parametros!$C$48:$C$67,MATCH(TRIM(INDEX(Datos_Origen!$F$2:$F$2459,$Z2113)),Parametros!$B$48:$B$67,0))</f>
        <v>Accesorios</v>
      </c>
      <c r="L2113" s="61" t="str">
        <f aca="false">$K2113&amp;" "&amp;$C2113</f>
        <v>Accesorios 2025</v>
      </c>
      <c r="M2113" s="61" t="str">
        <f aca="false">TRIM(INDEX(Datos_Origen!$G$2:$G$2459,$Z2113))</f>
        <v>Webcam Full HD</v>
      </c>
      <c r="N2113" s="61" t="str">
        <f aca="false">$M2113&amp;" "&amp;$C2113</f>
        <v>Webcam Full HD 2025</v>
      </c>
      <c r="O2113" s="63" t="n">
        <f aca="false">IF(ISTEXT($AC2113),VALUE($AC2113),$AC2113)</f>
        <v>77</v>
      </c>
      <c r="P2113" s="64" t="n">
        <f aca="false">INDEX(Datos_Origen!$I$2:$I$2459,$Z2113)</f>
        <v>65.26</v>
      </c>
      <c r="Q2113" s="64" t="n">
        <f aca="false">INDEX(Datos_Origen!$J$2:$J$2459,$Z2113)</f>
        <v>36.49</v>
      </c>
      <c r="R2113" s="65" t="n">
        <f aca="false">ROUND($O2113*$P2113,2)</f>
        <v>5025.02</v>
      </c>
      <c r="S2113" s="65" t="n">
        <f aca="false">ROUND($O2113*$Q2113,2)</f>
        <v>2809.73</v>
      </c>
      <c r="T2113" s="65" t="n">
        <f aca="false">ROUND($R2113*SUMIFS(Parametros!$E$28:$E$43,Parametros!$B$28:$B$43,$J2113,Parametros!$C$28:$C$43,$C2113,Parametros!$D$28:$D$43,$D2113),2)</f>
        <v>261.3</v>
      </c>
      <c r="U2113" s="65" t="n">
        <f aca="false">$R2113-$S2113-$T2113</f>
        <v>1953.99</v>
      </c>
      <c r="V2113" s="66" t="n">
        <f aca="false">IFERROR($U2113/$R2113,0)</f>
        <v>0.388852183672901</v>
      </c>
      <c r="W2113" s="67" t="str">
        <f aca="false">IF(AND($V2113&gt;=Parametros!$C$8,$R2113&gt;=Parametros!$C$12),"Alta rentabilidad",IF(OR($V2113&lt;Parametros!$C$11,$R2113&lt;Parametros!$C$13),"Revisar","Estandar"))</f>
        <v>Alta rentabilidad</v>
      </c>
      <c r="X2113" s="67" t="str">
        <f aca="false">IF(AND($J2113="E-commerce",IFERROR($T2113/$R2113,0)&gt;Parametros!$C$14),"Alerta","OK")</f>
        <v>Alerta</v>
      </c>
      <c r="Y2113" s="61" t="str">
        <f aca="false">IF($R2113&gt;=Parametros!$C$12,"Alto",IF($R2113&lt;Parametros!$C$13,"Bajo","Medio"))</f>
        <v>Alto</v>
      </c>
      <c r="Z2113" s="61" t="n">
        <v>760</v>
      </c>
      <c r="AA2113" s="61" t="str">
        <f aca="false">IF(MATCH($A2113,Datos_Origen!$A$2:$A$2459,0)=$Z2113,"OK","REVISAR")</f>
        <v>OK</v>
      </c>
      <c r="AB2113" s="61" t="str">
        <f aca="false">INDEX(Datos_Origen!$B$2:$B$2459,$Z2113)</f>
        <v>16/10/2025</v>
      </c>
      <c r="AC2113" s="61" t="n">
        <f aca="false">INDEX(Datos_Origen!$H$2:$H$2459,$Z2113)</f>
        <v>77</v>
      </c>
      <c r="AD2113" s="61" t="str">
        <f aca="false">INDEX(Datos_Origen!$D$2:$D$2459,$Z2113)&amp;""</f>
        <v>Buenos Aires</v>
      </c>
    </row>
    <row r="2114" customFormat="false" ht="15" hidden="false" customHeight="false" outlineLevel="0" collapsed="false">
      <c r="A2114" s="61" t="n">
        <f aca="false">INDEX(Datos_Origen!$A$2:$A$2459,$Z2114)</f>
        <v>2113</v>
      </c>
      <c r="B2114" s="62" t="n">
        <f aca="false">IF(ISNUMBER($AB2114),$AB2114,IF(MID($AB2114,5,1)="-",DATE(VALUE(LEFT($AB2114,4)),VALUE(MID($AB2114,6,2)),VALUE(RIGHT($AB2114,2))),DATE(VALUE(RIGHT($AB2114,4)),VALUE(MID($AB2114,4,2)),VALUE(LEFT($AB2114,2)))))</f>
        <v>45953</v>
      </c>
      <c r="C2114" s="61" t="n">
        <f aca="false">YEAR($B2114)</f>
        <v>2025</v>
      </c>
      <c r="D2114" s="61" t="str">
        <f aca="false">"Q"&amp;ROUNDUP(MONTH($B2114)/3,0)</f>
        <v>Q4</v>
      </c>
      <c r="E2114" s="61" t="n">
        <f aca="false">MONTH($B2114)</f>
        <v>10</v>
      </c>
      <c r="F2114" s="61" t="str">
        <f aca="false">INDEX(Parametros!$I$5:$I$16,$E2114)</f>
        <v>Oct</v>
      </c>
      <c r="G2114" s="61" t="str">
        <f aca="false">TEXT($C2114,"0000")&amp;"-"&amp;TEXT($E2114,"00")</f>
        <v>2025-10</v>
      </c>
      <c r="H2114" s="61" t="str">
        <f aca="false">INDEX(Parametros!$C$71:$C$91,MATCH(TRIM(INDEX(Datos_Origen!$C$2:$C$2459,$Z2114)),Parametros!$B$71:$B$91,0))</f>
        <v>AMBA</v>
      </c>
      <c r="I2114" s="61" t="str">
        <f aca="false">IF(TRIM($AD2114)="",INDEX(Parametros!$I$20:$I$24,MATCH($H2114,Parametros!$H$20:$H$24,0)),TRIM($AD2114))</f>
        <v>Buenos Aires</v>
      </c>
      <c r="J2114" s="61" t="str">
        <f aca="false">INDEX(Parametros!$C$95:$C$106,MATCH(TRIM(INDEX(Datos_Origen!$E$2:$E$2459,$Z2114)),Parametros!$B$95:$B$106,0))</f>
        <v>Tienda fisica</v>
      </c>
      <c r="K2114" s="61" t="str">
        <f aca="false">INDEX(Parametros!$C$48:$C$67,MATCH(TRIM(INDEX(Datos_Origen!$F$2:$F$2459,$Z2114)),Parametros!$B$48:$B$67,0))</f>
        <v>Audio</v>
      </c>
      <c r="L2114" s="61" t="str">
        <f aca="false">$K2114&amp;" "&amp;$C2114</f>
        <v>Audio 2025</v>
      </c>
      <c r="M2114" s="61" t="str">
        <f aca="false">TRIM(INDEX(Datos_Origen!$G$2:$G$2459,$Z2114))</f>
        <v>Auriculares BT Pro</v>
      </c>
      <c r="N2114" s="61" t="str">
        <f aca="false">$M2114&amp;" "&amp;$C2114</f>
        <v>Auriculares BT Pro 2025</v>
      </c>
      <c r="O2114" s="63" t="n">
        <f aca="false">IF(ISTEXT($AC2114),VALUE($AC2114),$AC2114)</f>
        <v>39</v>
      </c>
      <c r="P2114" s="64" t="n">
        <f aca="false">INDEX(Datos_Origen!$I$2:$I$2459,$Z2114)</f>
        <v>120.47</v>
      </c>
      <c r="Q2114" s="64" t="n">
        <f aca="false">INDEX(Datos_Origen!$J$2:$J$2459,$Z2114)</f>
        <v>65.51</v>
      </c>
      <c r="R2114" s="65" t="n">
        <f aca="false">ROUND($O2114*$P2114,2)</f>
        <v>4698.33</v>
      </c>
      <c r="S2114" s="65" t="n">
        <f aca="false">ROUND($O2114*$Q2114,2)</f>
        <v>2554.89</v>
      </c>
      <c r="T2114" s="65" t="n">
        <f aca="false">ROUND($R2114*SUMIFS(Parametros!$E$28:$E$43,Parametros!$B$28:$B$43,$J2114,Parametros!$C$28:$C$43,$C2114,Parametros!$D$28:$D$43,$D2114),2)</f>
        <v>61.08</v>
      </c>
      <c r="U2114" s="65" t="n">
        <f aca="false">$R2114-$S2114-$T2114</f>
        <v>2082.36</v>
      </c>
      <c r="V2114" s="66" t="n">
        <f aca="false">IFERROR($U2114/$R2114,0)</f>
        <v>0.443212801144236</v>
      </c>
      <c r="W2114" s="67" t="str">
        <f aca="false">IF(AND($V2114&gt;=Parametros!$C$8,$R2114&gt;=Parametros!$C$12),"Alta rentabilidad",IF(OR($V2114&lt;Parametros!$C$11,$R2114&lt;Parametros!$C$13),"Revisar","Estandar"))</f>
        <v>Alta rentabilidad</v>
      </c>
      <c r="X2114" s="67" t="str">
        <f aca="false">IF(AND($J2114="E-commerce",IFERROR($T2114/$R2114,0)&gt;Parametros!$C$14),"Alerta","OK")</f>
        <v>OK</v>
      </c>
      <c r="Y2114" s="61" t="str">
        <f aca="false">IF($R2114&gt;=Parametros!$C$12,"Alto",IF($R2114&lt;Parametros!$C$13,"Bajo","Medio"))</f>
        <v>Alto</v>
      </c>
      <c r="Z2114" s="61" t="n">
        <v>1296</v>
      </c>
      <c r="AA2114" s="61" t="str">
        <f aca="false">IF(MATCH($A2114,Datos_Origen!$A$2:$A$2459,0)=$Z2114,"OK","REVISAR")</f>
        <v>OK</v>
      </c>
      <c r="AB2114" s="61" t="str">
        <f aca="false">INDEX(Datos_Origen!$B$2:$B$2459,$Z2114)</f>
        <v>23/10/2025</v>
      </c>
      <c r="AC2114" s="61" t="n">
        <f aca="false">INDEX(Datos_Origen!$H$2:$H$2459,$Z2114)</f>
        <v>39</v>
      </c>
      <c r="AD2114" s="61" t="str">
        <f aca="false">INDEX(Datos_Origen!$D$2:$D$2459,$Z2114)&amp;""</f>
        <v>Buenos Aires</v>
      </c>
    </row>
    <row r="2115" customFormat="false" ht="15" hidden="false" customHeight="false" outlineLevel="0" collapsed="false">
      <c r="A2115" s="61" t="n">
        <f aca="false">INDEX(Datos_Origen!$A$2:$A$2459,$Z2115)</f>
        <v>2114</v>
      </c>
      <c r="B2115" s="62" t="n">
        <f aca="false">IF(ISNUMBER($AB2115),$AB2115,IF(MID($AB2115,5,1)="-",DATE(VALUE(LEFT($AB2115,4)),VALUE(MID($AB2115,6,2)),VALUE(RIGHT($AB2115,2))),DATE(VALUE(RIGHT($AB2115,4)),VALUE(MID($AB2115,4,2)),VALUE(LEFT($AB2115,2)))))</f>
        <v>45933</v>
      </c>
      <c r="C2115" s="61" t="n">
        <f aca="false">YEAR($B2115)</f>
        <v>2025</v>
      </c>
      <c r="D2115" s="61" t="str">
        <f aca="false">"Q"&amp;ROUNDUP(MONTH($B2115)/3,0)</f>
        <v>Q4</v>
      </c>
      <c r="E2115" s="61" t="n">
        <f aca="false">MONTH($B2115)</f>
        <v>10</v>
      </c>
      <c r="F2115" s="61" t="str">
        <f aca="false">INDEX(Parametros!$I$5:$I$16,$E2115)</f>
        <v>Oct</v>
      </c>
      <c r="G2115" s="61" t="str">
        <f aca="false">TEXT($C2115,"0000")&amp;"-"&amp;TEXT($E2115,"00")</f>
        <v>2025-10</v>
      </c>
      <c r="H2115" s="61" t="str">
        <f aca="false">INDEX(Parametros!$C$71:$C$91,MATCH(TRIM(INDEX(Datos_Origen!$C$2:$C$2459,$Z2115)),Parametros!$B$71:$B$91,0))</f>
        <v>AMBA</v>
      </c>
      <c r="I2115" s="61" t="str">
        <f aca="false">IF(TRIM($AD2115)="",INDEX(Parametros!$I$20:$I$24,MATCH($H2115,Parametros!$H$20:$H$24,0)),TRIM($AD2115))</f>
        <v>Buenos Aires</v>
      </c>
      <c r="J2115" s="61" t="str">
        <f aca="false">INDEX(Parametros!$C$95:$C$106,MATCH(TRIM(INDEX(Datos_Origen!$E$2:$E$2459,$Z2115)),Parametros!$B$95:$B$106,0))</f>
        <v>E-commerce</v>
      </c>
      <c r="K2115" s="61" t="str">
        <f aca="false">INDEX(Parametros!$C$48:$C$67,MATCH(TRIM(INDEX(Datos_Origen!$F$2:$F$2459,$Z2115)),Parametros!$B$48:$B$67,0))</f>
        <v>Audio</v>
      </c>
      <c r="L2115" s="61" t="str">
        <f aca="false">$K2115&amp;" "&amp;$C2115</f>
        <v>Audio 2025</v>
      </c>
      <c r="M2115" s="61" t="str">
        <f aca="false">TRIM(INDEX(Datos_Origen!$G$2:$G$2459,$Z2115))</f>
        <v>Auriculares BT Pro</v>
      </c>
      <c r="N2115" s="61" t="str">
        <f aca="false">$M2115&amp;" "&amp;$C2115</f>
        <v>Auriculares BT Pro 2025</v>
      </c>
      <c r="O2115" s="63" t="n">
        <f aca="false">IF(ISTEXT($AC2115),VALUE($AC2115),$AC2115)</f>
        <v>27</v>
      </c>
      <c r="P2115" s="64" t="n">
        <f aca="false">INDEX(Datos_Origen!$I$2:$I$2459,$Z2115)</f>
        <v>120.47</v>
      </c>
      <c r="Q2115" s="64" t="n">
        <f aca="false">INDEX(Datos_Origen!$J$2:$J$2459,$Z2115)</f>
        <v>65.51</v>
      </c>
      <c r="R2115" s="65" t="n">
        <f aca="false">ROUND($O2115*$P2115,2)</f>
        <v>3252.69</v>
      </c>
      <c r="S2115" s="65" t="n">
        <f aca="false">ROUND($O2115*$Q2115,2)</f>
        <v>1768.77</v>
      </c>
      <c r="T2115" s="65" t="n">
        <f aca="false">ROUND($R2115*SUMIFS(Parametros!$E$28:$E$43,Parametros!$B$28:$B$43,$J2115,Parametros!$C$28:$C$43,$C2115,Parametros!$D$28:$D$43,$D2115),2)</f>
        <v>169.14</v>
      </c>
      <c r="U2115" s="65" t="n">
        <f aca="false">$R2115-$S2115-$T2115</f>
        <v>1314.78</v>
      </c>
      <c r="V2115" s="66" t="n">
        <f aca="false">IFERROR($U2115/$R2115,0)</f>
        <v>0.404213128210804</v>
      </c>
      <c r="W2115" s="67" t="str">
        <f aca="false">IF(AND($V2115&gt;=Parametros!$C$8,$R2115&gt;=Parametros!$C$12),"Alta rentabilidad",IF(OR($V2115&lt;Parametros!$C$11,$R2115&lt;Parametros!$C$13),"Revisar","Estandar"))</f>
        <v>Alta rentabilidad</v>
      </c>
      <c r="X2115" s="67" t="str">
        <f aca="false">IF(AND($J2115="E-commerce",IFERROR($T2115/$R2115,0)&gt;Parametros!$C$14),"Alerta","OK")</f>
        <v>Alerta</v>
      </c>
      <c r="Y2115" s="61" t="str">
        <f aca="false">IF($R2115&gt;=Parametros!$C$12,"Alto",IF($R2115&lt;Parametros!$C$13,"Bajo","Medio"))</f>
        <v>Alto</v>
      </c>
      <c r="Z2115" s="61" t="n">
        <v>2420</v>
      </c>
      <c r="AA2115" s="61" t="str">
        <f aca="false">IF(MATCH($A2115,Datos_Origen!$A$2:$A$2459,0)=$Z2115,"OK","REVISAR")</f>
        <v>OK</v>
      </c>
      <c r="AB2115" s="61" t="str">
        <f aca="false">INDEX(Datos_Origen!$B$2:$B$2459,$Z2115)</f>
        <v>2025-10-03</v>
      </c>
      <c r="AC2115" s="61" t="n">
        <f aca="false">INDEX(Datos_Origen!$H$2:$H$2459,$Z2115)</f>
        <v>27</v>
      </c>
      <c r="AD2115" s="61" t="str">
        <f aca="false">INDEX(Datos_Origen!$D$2:$D$2459,$Z2115)&amp;""</f>
        <v>Buenos Aires</v>
      </c>
    </row>
    <row r="2116" customFormat="false" ht="15" hidden="false" customHeight="false" outlineLevel="0" collapsed="false">
      <c r="A2116" s="61" t="n">
        <f aca="false">INDEX(Datos_Origen!$A$2:$A$2459,$Z2116)</f>
        <v>2115</v>
      </c>
      <c r="B2116" s="62" t="n">
        <f aca="false">IF(ISNUMBER($AB2116),$AB2116,IF(MID($AB2116,5,1)="-",DATE(VALUE(LEFT($AB2116,4)),VALUE(MID($AB2116,6,2)),VALUE(RIGHT($AB2116,2))),DATE(VALUE(RIGHT($AB2116,4)),VALUE(MID($AB2116,4,2)),VALUE(LEFT($AB2116,2)))))</f>
        <v>45940</v>
      </c>
      <c r="C2116" s="61" t="n">
        <f aca="false">YEAR($B2116)</f>
        <v>2025</v>
      </c>
      <c r="D2116" s="61" t="str">
        <f aca="false">"Q"&amp;ROUNDUP(MONTH($B2116)/3,0)</f>
        <v>Q4</v>
      </c>
      <c r="E2116" s="61" t="n">
        <f aca="false">MONTH($B2116)</f>
        <v>10</v>
      </c>
      <c r="F2116" s="61" t="str">
        <f aca="false">INDEX(Parametros!$I$5:$I$16,$E2116)</f>
        <v>Oct</v>
      </c>
      <c r="G2116" s="61" t="str">
        <f aca="false">TEXT($C2116,"0000")&amp;"-"&amp;TEXT($E2116,"00")</f>
        <v>2025-10</v>
      </c>
      <c r="H2116" s="61" t="str">
        <f aca="false">INDEX(Parametros!$C$71:$C$91,MATCH(TRIM(INDEX(Datos_Origen!$C$2:$C$2459,$Z2116)),Parametros!$B$71:$B$91,0))</f>
        <v>AMBA</v>
      </c>
      <c r="I2116" s="61" t="str">
        <f aca="false">IF(TRIM($AD2116)="",INDEX(Parametros!$I$20:$I$24,MATCH($H2116,Parametros!$H$20:$H$24,0)),TRIM($AD2116))</f>
        <v>Buenos Aires</v>
      </c>
      <c r="J2116" s="61" t="str">
        <f aca="false">INDEX(Parametros!$C$95:$C$106,MATCH(TRIM(INDEX(Datos_Origen!$E$2:$E$2459,$Z2116)),Parametros!$B$95:$B$106,0))</f>
        <v>Tienda fisica</v>
      </c>
      <c r="K2116" s="61" t="str">
        <f aca="false">INDEX(Parametros!$C$48:$C$67,MATCH(TRIM(INDEX(Datos_Origen!$F$2:$F$2459,$Z2116)),Parametros!$B$48:$B$67,0))</f>
        <v>Audio</v>
      </c>
      <c r="L2116" s="61" t="str">
        <f aca="false">$K2116&amp;" "&amp;$C2116</f>
        <v>Audio 2025</v>
      </c>
      <c r="M2116" s="61" t="str">
        <f aca="false">TRIM(INDEX(Datos_Origen!$G$2:$G$2459,$Z2116))</f>
        <v>Parlante Bluetooth</v>
      </c>
      <c r="N2116" s="61" t="str">
        <f aca="false">$M2116&amp;" "&amp;$C2116</f>
        <v>Parlante Bluetooth 2025</v>
      </c>
      <c r="O2116" s="63" t="n">
        <f aca="false">IF(ISTEXT($AC2116),VALUE($AC2116),$AC2116)</f>
        <v>38</v>
      </c>
      <c r="P2116" s="64" t="n">
        <f aca="false">INDEX(Datos_Origen!$I$2:$I$2459,$Z2116)</f>
        <v>85.34</v>
      </c>
      <c r="Q2116" s="64" t="n">
        <f aca="false">INDEX(Datos_Origen!$J$2:$J$2459,$Z2116)</f>
        <v>49.47</v>
      </c>
      <c r="R2116" s="65" t="n">
        <f aca="false">ROUND($O2116*$P2116,2)</f>
        <v>3242.92</v>
      </c>
      <c r="S2116" s="65" t="n">
        <f aca="false">ROUND($O2116*$Q2116,2)</f>
        <v>1879.86</v>
      </c>
      <c r="T2116" s="65" t="n">
        <f aca="false">ROUND($R2116*SUMIFS(Parametros!$E$28:$E$43,Parametros!$B$28:$B$43,$J2116,Parametros!$C$28:$C$43,$C2116,Parametros!$D$28:$D$43,$D2116),2)</f>
        <v>42.16</v>
      </c>
      <c r="U2116" s="65" t="n">
        <f aca="false">$R2116-$S2116-$T2116</f>
        <v>1320.9</v>
      </c>
      <c r="V2116" s="66" t="n">
        <f aca="false">IFERROR($U2116/$R2116,0)</f>
        <v>0.407318096036905</v>
      </c>
      <c r="W2116" s="67" t="str">
        <f aca="false">IF(AND($V2116&gt;=Parametros!$C$8,$R2116&gt;=Parametros!$C$12),"Alta rentabilidad",IF(OR($V2116&lt;Parametros!$C$11,$R2116&lt;Parametros!$C$13),"Revisar","Estandar"))</f>
        <v>Alta rentabilidad</v>
      </c>
      <c r="X2116" s="67" t="str">
        <f aca="false">IF(AND($J2116="E-commerce",IFERROR($T2116/$R2116,0)&gt;Parametros!$C$14),"Alerta","OK")</f>
        <v>OK</v>
      </c>
      <c r="Y2116" s="61" t="str">
        <f aca="false">IF($R2116&gt;=Parametros!$C$12,"Alto",IF($R2116&lt;Parametros!$C$13,"Bajo","Medio"))</f>
        <v>Alto</v>
      </c>
      <c r="Z2116" s="61" t="n">
        <v>1207</v>
      </c>
      <c r="AA2116" s="61" t="str">
        <f aca="false">IF(MATCH($A2116,Datos_Origen!$A$2:$A$2459,0)=$Z2116,"OK","REVISAR")</f>
        <v>OK</v>
      </c>
      <c r="AB2116" s="62" t="n">
        <f aca="false">INDEX(Datos_Origen!$B$2:$B$2459,$Z2116)</f>
        <v>45940</v>
      </c>
      <c r="AC2116" s="61" t="n">
        <f aca="false">INDEX(Datos_Origen!$H$2:$H$2459,$Z2116)</f>
        <v>38</v>
      </c>
      <c r="AD2116" s="61" t="str">
        <f aca="false">INDEX(Datos_Origen!$D$2:$D$2459,$Z2116)&amp;""</f>
        <v/>
      </c>
    </row>
    <row r="2117" customFormat="false" ht="15" hidden="false" customHeight="false" outlineLevel="0" collapsed="false">
      <c r="A2117" s="61" t="n">
        <f aca="false">INDEX(Datos_Origen!$A$2:$A$2459,$Z2117)</f>
        <v>2116</v>
      </c>
      <c r="B2117" s="62" t="n">
        <f aca="false">IF(ISNUMBER($AB2117),$AB2117,IF(MID($AB2117,5,1)="-",DATE(VALUE(LEFT($AB2117,4)),VALUE(MID($AB2117,6,2)),VALUE(RIGHT($AB2117,2))),DATE(VALUE(RIGHT($AB2117,4)),VALUE(MID($AB2117,4,2)),VALUE(LEFT($AB2117,2)))))</f>
        <v>45947</v>
      </c>
      <c r="C2117" s="61" t="n">
        <f aca="false">YEAR($B2117)</f>
        <v>2025</v>
      </c>
      <c r="D2117" s="61" t="str">
        <f aca="false">"Q"&amp;ROUNDUP(MONTH($B2117)/3,0)</f>
        <v>Q4</v>
      </c>
      <c r="E2117" s="61" t="n">
        <f aca="false">MONTH($B2117)</f>
        <v>10</v>
      </c>
      <c r="F2117" s="61" t="str">
        <f aca="false">INDEX(Parametros!$I$5:$I$16,$E2117)</f>
        <v>Oct</v>
      </c>
      <c r="G2117" s="61" t="str">
        <f aca="false">TEXT($C2117,"0000")&amp;"-"&amp;TEXT($E2117,"00")</f>
        <v>2025-10</v>
      </c>
      <c r="H2117" s="61" t="str">
        <f aca="false">INDEX(Parametros!$C$71:$C$91,MATCH(TRIM(INDEX(Datos_Origen!$C$2:$C$2459,$Z2117)),Parametros!$B$71:$B$91,0))</f>
        <v>AMBA</v>
      </c>
      <c r="I2117" s="61" t="str">
        <f aca="false">IF(TRIM($AD2117)="",INDEX(Parametros!$I$20:$I$24,MATCH($H2117,Parametros!$H$20:$H$24,0)),TRIM($AD2117))</f>
        <v>Buenos Aires</v>
      </c>
      <c r="J2117" s="61" t="str">
        <f aca="false">INDEX(Parametros!$C$95:$C$106,MATCH(TRIM(INDEX(Datos_Origen!$E$2:$E$2459,$Z2117)),Parametros!$B$95:$B$106,0))</f>
        <v>E-commerce</v>
      </c>
      <c r="K2117" s="61" t="str">
        <f aca="false">INDEX(Parametros!$C$48:$C$67,MATCH(TRIM(INDEX(Datos_Origen!$F$2:$F$2459,$Z2117)),Parametros!$B$48:$B$67,0))</f>
        <v>Audio</v>
      </c>
      <c r="L2117" s="61" t="str">
        <f aca="false">$K2117&amp;" "&amp;$C2117</f>
        <v>Audio 2025</v>
      </c>
      <c r="M2117" s="61" t="str">
        <f aca="false">TRIM(INDEX(Datos_Origen!$G$2:$G$2459,$Z2117))</f>
        <v>Parlante Bluetooth</v>
      </c>
      <c r="N2117" s="61" t="str">
        <f aca="false">$M2117&amp;" "&amp;$C2117</f>
        <v>Parlante Bluetooth 2025</v>
      </c>
      <c r="O2117" s="63" t="n">
        <f aca="false">IF(ISTEXT($AC2117),VALUE($AC2117),$AC2117)</f>
        <v>31</v>
      </c>
      <c r="P2117" s="64" t="n">
        <f aca="false">INDEX(Datos_Origen!$I$2:$I$2459,$Z2117)</f>
        <v>85.34</v>
      </c>
      <c r="Q2117" s="64" t="n">
        <f aca="false">INDEX(Datos_Origen!$J$2:$J$2459,$Z2117)</f>
        <v>49.47</v>
      </c>
      <c r="R2117" s="65" t="n">
        <f aca="false">ROUND($O2117*$P2117,2)</f>
        <v>2645.54</v>
      </c>
      <c r="S2117" s="65" t="n">
        <f aca="false">ROUND($O2117*$Q2117,2)</f>
        <v>1533.57</v>
      </c>
      <c r="T2117" s="65" t="n">
        <f aca="false">ROUND($R2117*SUMIFS(Parametros!$E$28:$E$43,Parametros!$B$28:$B$43,$J2117,Parametros!$C$28:$C$43,$C2117,Parametros!$D$28:$D$43,$D2117),2)</f>
        <v>137.57</v>
      </c>
      <c r="U2117" s="65" t="n">
        <f aca="false">$R2117-$S2117-$T2117</f>
        <v>974.4</v>
      </c>
      <c r="V2117" s="66" t="n">
        <f aca="false">IFERROR($U2117/$R2117,0)</f>
        <v>0.368317999349849</v>
      </c>
      <c r="W2117" s="67" t="str">
        <f aca="false">IF(AND($V2117&gt;=Parametros!$C$8,$R2117&gt;=Parametros!$C$12),"Alta rentabilidad",IF(OR($V2117&lt;Parametros!$C$11,$R2117&lt;Parametros!$C$13),"Revisar","Estandar"))</f>
        <v>Estandar</v>
      </c>
      <c r="X2117" s="67" t="str">
        <f aca="false">IF(AND($J2117="E-commerce",IFERROR($T2117/$R2117,0)&gt;Parametros!$C$14),"Alerta","OK")</f>
        <v>Alerta</v>
      </c>
      <c r="Y2117" s="61" t="str">
        <f aca="false">IF($R2117&gt;=Parametros!$C$12,"Alto",IF($R2117&lt;Parametros!$C$13,"Bajo","Medio"))</f>
        <v>Medio</v>
      </c>
      <c r="Z2117" s="61" t="n">
        <v>1257</v>
      </c>
      <c r="AA2117" s="61" t="str">
        <f aca="false">IF(MATCH($A2117,Datos_Origen!$A$2:$A$2459,0)=$Z2117,"OK","REVISAR")</f>
        <v>OK</v>
      </c>
      <c r="AB2117" s="62" t="n">
        <f aca="false">INDEX(Datos_Origen!$B$2:$B$2459,$Z2117)</f>
        <v>45947</v>
      </c>
      <c r="AC2117" s="61" t="n">
        <f aca="false">INDEX(Datos_Origen!$H$2:$H$2459,$Z2117)</f>
        <v>31</v>
      </c>
      <c r="AD2117" s="61" t="str">
        <f aca="false">INDEX(Datos_Origen!$D$2:$D$2459,$Z2117)&amp;""</f>
        <v>Buenos Aires</v>
      </c>
    </row>
    <row r="2118" customFormat="false" ht="15" hidden="false" customHeight="false" outlineLevel="0" collapsed="false">
      <c r="A2118" s="61" t="n">
        <f aca="false">INDEX(Datos_Origen!$A$2:$A$2459,$Z2118)</f>
        <v>2117</v>
      </c>
      <c r="B2118" s="62" t="n">
        <f aca="false">IF(ISNUMBER($AB2118),$AB2118,IF(MID($AB2118,5,1)="-",DATE(VALUE(LEFT($AB2118,4)),VALUE(MID($AB2118,6,2)),VALUE(RIGHT($AB2118,2))),DATE(VALUE(RIGHT($AB2118,4)),VALUE(MID($AB2118,4,2)),VALUE(LEFT($AB2118,2)))))</f>
        <v>45954</v>
      </c>
      <c r="C2118" s="61" t="n">
        <f aca="false">YEAR($B2118)</f>
        <v>2025</v>
      </c>
      <c r="D2118" s="61" t="str">
        <f aca="false">"Q"&amp;ROUNDUP(MONTH($B2118)/3,0)</f>
        <v>Q4</v>
      </c>
      <c r="E2118" s="61" t="n">
        <f aca="false">MONTH($B2118)</f>
        <v>10</v>
      </c>
      <c r="F2118" s="61" t="str">
        <f aca="false">INDEX(Parametros!$I$5:$I$16,$E2118)</f>
        <v>Oct</v>
      </c>
      <c r="G2118" s="61" t="str">
        <f aca="false">TEXT($C2118,"0000")&amp;"-"&amp;TEXT($E2118,"00")</f>
        <v>2025-10</v>
      </c>
      <c r="H2118" s="61" t="str">
        <f aca="false">INDEX(Parametros!$C$71:$C$91,MATCH(TRIM(INDEX(Datos_Origen!$C$2:$C$2459,$Z2118)),Parametros!$B$71:$B$91,0))</f>
        <v>AMBA</v>
      </c>
      <c r="I2118" s="61" t="str">
        <f aca="false">IF(TRIM($AD2118)="",INDEX(Parametros!$I$20:$I$24,MATCH($H2118,Parametros!$H$20:$H$24,0)),TRIM($AD2118))</f>
        <v>Buenos Aires</v>
      </c>
      <c r="J2118" s="61" t="str">
        <f aca="false">INDEX(Parametros!$C$95:$C$106,MATCH(TRIM(INDEX(Datos_Origen!$E$2:$E$2459,$Z2118)),Parametros!$B$95:$B$106,0))</f>
        <v>Tienda fisica</v>
      </c>
      <c r="K2118" s="61" t="str">
        <f aca="false">INDEX(Parametros!$C$48:$C$67,MATCH(TRIM(INDEX(Datos_Origen!$F$2:$F$2459,$Z2118)),Parametros!$B$48:$B$67,0))</f>
        <v>Almacenamiento</v>
      </c>
      <c r="L2118" s="61" t="str">
        <f aca="false">$K2118&amp;" "&amp;$C2118</f>
        <v>Almacenamiento 2025</v>
      </c>
      <c r="M2118" s="61" t="str">
        <f aca="false">TRIM(INDEX(Datos_Origen!$G$2:$G$2459,$Z2118))</f>
        <v>SSD Externo 1TB</v>
      </c>
      <c r="N2118" s="61" t="str">
        <f aca="false">$M2118&amp;" "&amp;$C2118</f>
        <v>SSD Externo 1TB 2025</v>
      </c>
      <c r="O2118" s="63" t="n">
        <f aca="false">IF(ISTEXT($AC2118),VALUE($AC2118),$AC2118)</f>
        <v>47</v>
      </c>
      <c r="P2118" s="64" t="n">
        <f aca="false">INDEX(Datos_Origen!$I$2:$I$2459,$Z2118)</f>
        <v>130.51</v>
      </c>
      <c r="Q2118" s="64" t="n">
        <f aca="false">INDEX(Datos_Origen!$J$2:$J$2459,$Z2118)</f>
        <v>78.33</v>
      </c>
      <c r="R2118" s="65" t="n">
        <f aca="false">ROUND($O2118*$P2118,2)</f>
        <v>6133.97</v>
      </c>
      <c r="S2118" s="65" t="n">
        <f aca="false">ROUND($O2118*$Q2118,2)</f>
        <v>3681.51</v>
      </c>
      <c r="T2118" s="65" t="n">
        <f aca="false">ROUND($R2118*SUMIFS(Parametros!$E$28:$E$43,Parametros!$B$28:$B$43,$J2118,Parametros!$C$28:$C$43,$C2118,Parametros!$D$28:$D$43,$D2118),2)</f>
        <v>79.74</v>
      </c>
      <c r="U2118" s="65" t="n">
        <f aca="false">$R2118-$S2118-$T2118</f>
        <v>2372.72</v>
      </c>
      <c r="V2118" s="66" t="n">
        <f aca="false">IFERROR($U2118/$R2118,0)</f>
        <v>0.386816368518268</v>
      </c>
      <c r="W2118" s="67" t="str">
        <f aca="false">IF(AND($V2118&gt;=Parametros!$C$8,$R2118&gt;=Parametros!$C$12),"Alta rentabilidad",IF(OR($V2118&lt;Parametros!$C$11,$R2118&lt;Parametros!$C$13),"Revisar","Estandar"))</f>
        <v>Alta rentabilidad</v>
      </c>
      <c r="X2118" s="67" t="str">
        <f aca="false">IF(AND($J2118="E-commerce",IFERROR($T2118/$R2118,0)&gt;Parametros!$C$14),"Alerta","OK")</f>
        <v>OK</v>
      </c>
      <c r="Y2118" s="61" t="str">
        <f aca="false">IF($R2118&gt;=Parametros!$C$12,"Alto",IF($R2118&lt;Parametros!$C$13,"Bajo","Medio"))</f>
        <v>Alto</v>
      </c>
      <c r="Z2118" s="61" t="n">
        <v>1288</v>
      </c>
      <c r="AA2118" s="61" t="str">
        <f aca="false">IF(MATCH($A2118,Datos_Origen!$A$2:$A$2459,0)=$Z2118,"OK","REVISAR")</f>
        <v>OK</v>
      </c>
      <c r="AB2118" s="62" t="n">
        <f aca="false">INDEX(Datos_Origen!$B$2:$B$2459,$Z2118)</f>
        <v>45954</v>
      </c>
      <c r="AC2118" s="61" t="n">
        <f aca="false">INDEX(Datos_Origen!$H$2:$H$2459,$Z2118)</f>
        <v>47</v>
      </c>
      <c r="AD2118" s="61" t="str">
        <f aca="false">INDEX(Datos_Origen!$D$2:$D$2459,$Z2118)&amp;""</f>
        <v>Buenos Aires</v>
      </c>
    </row>
    <row r="2119" customFormat="false" ht="15" hidden="false" customHeight="false" outlineLevel="0" collapsed="false">
      <c r="A2119" s="61" t="n">
        <f aca="false">INDEX(Datos_Origen!$A$2:$A$2459,$Z2119)</f>
        <v>2118</v>
      </c>
      <c r="B2119" s="62" t="n">
        <f aca="false">IF(ISNUMBER($AB2119),$AB2119,IF(MID($AB2119,5,1)="-",DATE(VALUE(LEFT($AB2119,4)),VALUE(MID($AB2119,6,2)),VALUE(RIGHT($AB2119,2))),DATE(VALUE(RIGHT($AB2119,4)),VALUE(MID($AB2119,4,2)),VALUE(LEFT($AB2119,2)))))</f>
        <v>45934</v>
      </c>
      <c r="C2119" s="61" t="n">
        <f aca="false">YEAR($B2119)</f>
        <v>2025</v>
      </c>
      <c r="D2119" s="61" t="str">
        <f aca="false">"Q"&amp;ROUNDUP(MONTH($B2119)/3,0)</f>
        <v>Q4</v>
      </c>
      <c r="E2119" s="61" t="n">
        <f aca="false">MONTH($B2119)</f>
        <v>10</v>
      </c>
      <c r="F2119" s="61" t="str">
        <f aca="false">INDEX(Parametros!$I$5:$I$16,$E2119)</f>
        <v>Oct</v>
      </c>
      <c r="G2119" s="61" t="str">
        <f aca="false">TEXT($C2119,"0000")&amp;"-"&amp;TEXT($E2119,"00")</f>
        <v>2025-10</v>
      </c>
      <c r="H2119" s="61" t="str">
        <f aca="false">INDEX(Parametros!$C$71:$C$91,MATCH(TRIM(INDEX(Datos_Origen!$C$2:$C$2459,$Z2119)),Parametros!$B$71:$B$91,0))</f>
        <v>AMBA</v>
      </c>
      <c r="I2119" s="61" t="str">
        <f aca="false">IF(TRIM($AD2119)="",INDEX(Parametros!$I$20:$I$24,MATCH($H2119,Parametros!$H$20:$H$24,0)),TRIM($AD2119))</f>
        <v>Buenos Aires</v>
      </c>
      <c r="J2119" s="61" t="str">
        <f aca="false">INDEX(Parametros!$C$95:$C$106,MATCH(TRIM(INDEX(Datos_Origen!$E$2:$E$2459,$Z2119)),Parametros!$B$95:$B$106,0))</f>
        <v>E-commerce</v>
      </c>
      <c r="K2119" s="61" t="str">
        <f aca="false">INDEX(Parametros!$C$48:$C$67,MATCH(TRIM(INDEX(Datos_Origen!$F$2:$F$2459,$Z2119)),Parametros!$B$48:$B$67,0))</f>
        <v>Almacenamiento</v>
      </c>
      <c r="L2119" s="61" t="str">
        <f aca="false">$K2119&amp;" "&amp;$C2119</f>
        <v>Almacenamiento 2025</v>
      </c>
      <c r="M2119" s="61" t="str">
        <f aca="false">TRIM(INDEX(Datos_Origen!$G$2:$G$2459,$Z2119))</f>
        <v>SSD Externo 1TB</v>
      </c>
      <c r="N2119" s="61" t="str">
        <f aca="false">$M2119&amp;" "&amp;$C2119</f>
        <v>SSD Externo 1TB 2025</v>
      </c>
      <c r="O2119" s="63" t="n">
        <f aca="false">IF(ISTEXT($AC2119),VALUE($AC2119),$AC2119)</f>
        <v>39</v>
      </c>
      <c r="P2119" s="64" t="n">
        <f aca="false">INDEX(Datos_Origen!$I$2:$I$2459,$Z2119)</f>
        <v>130.51</v>
      </c>
      <c r="Q2119" s="64" t="n">
        <f aca="false">INDEX(Datos_Origen!$J$2:$J$2459,$Z2119)</f>
        <v>78.33</v>
      </c>
      <c r="R2119" s="65" t="n">
        <f aca="false">ROUND($O2119*$P2119,2)</f>
        <v>5089.89</v>
      </c>
      <c r="S2119" s="65" t="n">
        <f aca="false">ROUND($O2119*$Q2119,2)</f>
        <v>3054.87</v>
      </c>
      <c r="T2119" s="65" t="n">
        <f aca="false">ROUND($R2119*SUMIFS(Parametros!$E$28:$E$43,Parametros!$B$28:$B$43,$J2119,Parametros!$C$28:$C$43,$C2119,Parametros!$D$28:$D$43,$D2119),2)</f>
        <v>264.67</v>
      </c>
      <c r="U2119" s="65" t="n">
        <f aca="false">$R2119-$S2119-$T2119</f>
        <v>1770.35</v>
      </c>
      <c r="V2119" s="66" t="n">
        <f aca="false">IFERROR($U2119/$R2119,0)</f>
        <v>0.347816946928126</v>
      </c>
      <c r="W2119" s="67" t="str">
        <f aca="false">IF(AND($V2119&gt;=Parametros!$C$8,$R2119&gt;=Parametros!$C$12),"Alta rentabilidad",IF(OR($V2119&lt;Parametros!$C$11,$R2119&lt;Parametros!$C$13),"Revisar","Estandar"))</f>
        <v>Alta rentabilidad</v>
      </c>
      <c r="X2119" s="67" t="str">
        <f aca="false">IF(AND($J2119="E-commerce",IFERROR($T2119/$R2119,0)&gt;Parametros!$C$14),"Alerta","OK")</f>
        <v>Alerta</v>
      </c>
      <c r="Y2119" s="61" t="str">
        <f aca="false">IF($R2119&gt;=Parametros!$C$12,"Alto",IF($R2119&lt;Parametros!$C$13,"Bajo","Medio"))</f>
        <v>Alto</v>
      </c>
      <c r="Z2119" s="61" t="n">
        <v>1700</v>
      </c>
      <c r="AA2119" s="61" t="str">
        <f aca="false">IF(MATCH($A2119,Datos_Origen!$A$2:$A$2459,0)=$Z2119,"OK","REVISAR")</f>
        <v>OK</v>
      </c>
      <c r="AB2119" s="62" t="n">
        <f aca="false">INDEX(Datos_Origen!$B$2:$B$2459,$Z2119)</f>
        <v>45934</v>
      </c>
      <c r="AC2119" s="61" t="n">
        <f aca="false">INDEX(Datos_Origen!$H$2:$H$2459,$Z2119)</f>
        <v>39</v>
      </c>
      <c r="AD2119" s="61" t="str">
        <f aca="false">INDEX(Datos_Origen!$D$2:$D$2459,$Z2119)&amp;""</f>
        <v>Buenos Aires</v>
      </c>
    </row>
    <row r="2120" customFormat="false" ht="15" hidden="false" customHeight="false" outlineLevel="0" collapsed="false">
      <c r="A2120" s="61" t="n">
        <f aca="false">INDEX(Datos_Origen!$A$2:$A$2459,$Z2120)</f>
        <v>2119</v>
      </c>
      <c r="B2120" s="62" t="n">
        <f aca="false">IF(ISNUMBER($AB2120),$AB2120,IF(MID($AB2120,5,1)="-",DATE(VALUE(LEFT($AB2120,4)),VALUE(MID($AB2120,6,2)),VALUE(RIGHT($AB2120,2))),DATE(VALUE(RIGHT($AB2120,4)),VALUE(MID($AB2120,4,2)),VALUE(LEFT($AB2120,2)))))</f>
        <v>45941</v>
      </c>
      <c r="C2120" s="61" t="n">
        <f aca="false">YEAR($B2120)</f>
        <v>2025</v>
      </c>
      <c r="D2120" s="61" t="str">
        <f aca="false">"Q"&amp;ROUNDUP(MONTH($B2120)/3,0)</f>
        <v>Q4</v>
      </c>
      <c r="E2120" s="61" t="n">
        <f aca="false">MONTH($B2120)</f>
        <v>10</v>
      </c>
      <c r="F2120" s="61" t="str">
        <f aca="false">INDEX(Parametros!$I$5:$I$16,$E2120)</f>
        <v>Oct</v>
      </c>
      <c r="G2120" s="61" t="str">
        <f aca="false">TEXT($C2120,"0000")&amp;"-"&amp;TEXT($E2120,"00")</f>
        <v>2025-10</v>
      </c>
      <c r="H2120" s="61" t="str">
        <f aca="false">INDEX(Parametros!$C$71:$C$91,MATCH(TRIM(INDEX(Datos_Origen!$C$2:$C$2459,$Z2120)),Parametros!$B$71:$B$91,0))</f>
        <v>AMBA</v>
      </c>
      <c r="I2120" s="61" t="str">
        <f aca="false">IF(TRIM($AD2120)="",INDEX(Parametros!$I$20:$I$24,MATCH($H2120,Parametros!$H$20:$H$24,0)),TRIM($AD2120))</f>
        <v>Buenos Aires</v>
      </c>
      <c r="J2120" s="61" t="str">
        <f aca="false">INDEX(Parametros!$C$95:$C$106,MATCH(TRIM(INDEX(Datos_Origen!$E$2:$E$2459,$Z2120)),Parametros!$B$95:$B$106,0))</f>
        <v>Tienda fisica</v>
      </c>
      <c r="K2120" s="61" t="str">
        <f aca="false">INDEX(Parametros!$C$48:$C$67,MATCH(TRIM(INDEX(Datos_Origen!$F$2:$F$2459,$Z2120)),Parametros!$B$48:$B$67,0))</f>
        <v>Almacenamiento</v>
      </c>
      <c r="L2120" s="61" t="str">
        <f aca="false">$K2120&amp;" "&amp;$C2120</f>
        <v>Almacenamiento 2025</v>
      </c>
      <c r="M2120" s="61" t="str">
        <f aca="false">TRIM(INDEX(Datos_Origen!$G$2:$G$2459,$Z2120))</f>
        <v>Pendrive 256GB</v>
      </c>
      <c r="N2120" s="61" t="str">
        <f aca="false">$M2120&amp;" "&amp;$C2120</f>
        <v>Pendrive 256GB 2025</v>
      </c>
      <c r="O2120" s="63" t="n">
        <f aca="false">IF(ISTEXT($AC2120),VALUE($AC2120),$AC2120)</f>
        <v>51</v>
      </c>
      <c r="P2120" s="64" t="n">
        <f aca="false">INDEX(Datos_Origen!$I$2:$I$2459,$Z2120)</f>
        <v>35.14</v>
      </c>
      <c r="Q2120" s="64" t="n">
        <f aca="false">INDEX(Datos_Origen!$J$2:$J$2459,$Z2120)</f>
        <v>18.39</v>
      </c>
      <c r="R2120" s="65" t="n">
        <f aca="false">ROUND($O2120*$P2120,2)</f>
        <v>1792.14</v>
      </c>
      <c r="S2120" s="65" t="n">
        <f aca="false">ROUND($O2120*$Q2120,2)</f>
        <v>937.89</v>
      </c>
      <c r="T2120" s="65" t="n">
        <f aca="false">ROUND($R2120*SUMIFS(Parametros!$E$28:$E$43,Parametros!$B$28:$B$43,$J2120,Parametros!$C$28:$C$43,$C2120,Parametros!$D$28:$D$43,$D2120),2)</f>
        <v>23.3</v>
      </c>
      <c r="U2120" s="65" t="n">
        <f aca="false">$R2120-$S2120-$T2120</f>
        <v>830.95</v>
      </c>
      <c r="V2120" s="66" t="n">
        <f aca="false">IFERROR($U2120/$R2120,0)</f>
        <v>0.463663553070631</v>
      </c>
      <c r="W2120" s="67" t="str">
        <f aca="false">IF(AND($V2120&gt;=Parametros!$C$8,$R2120&gt;=Parametros!$C$12),"Alta rentabilidad",IF(OR($V2120&lt;Parametros!$C$11,$R2120&lt;Parametros!$C$13),"Revisar","Estandar"))</f>
        <v>Estandar</v>
      </c>
      <c r="X2120" s="67" t="str">
        <f aca="false">IF(AND($J2120="E-commerce",IFERROR($T2120/$R2120,0)&gt;Parametros!$C$14),"Alerta","OK")</f>
        <v>OK</v>
      </c>
      <c r="Y2120" s="61" t="str">
        <f aca="false">IF($R2120&gt;=Parametros!$C$12,"Alto",IF($R2120&lt;Parametros!$C$13,"Bajo","Medio"))</f>
        <v>Medio</v>
      </c>
      <c r="Z2120" s="61" t="n">
        <v>1903</v>
      </c>
      <c r="AA2120" s="61" t="str">
        <f aca="false">IF(MATCH($A2120,Datos_Origen!$A$2:$A$2459,0)=$Z2120,"OK","REVISAR")</f>
        <v>OK</v>
      </c>
      <c r="AB2120" s="62" t="n">
        <f aca="false">INDEX(Datos_Origen!$B$2:$B$2459,$Z2120)</f>
        <v>45941</v>
      </c>
      <c r="AC2120" s="61" t="n">
        <f aca="false">INDEX(Datos_Origen!$H$2:$H$2459,$Z2120)</f>
        <v>51</v>
      </c>
      <c r="AD2120" s="61" t="str">
        <f aca="false">INDEX(Datos_Origen!$D$2:$D$2459,$Z2120)&amp;""</f>
        <v/>
      </c>
    </row>
    <row r="2121" customFormat="false" ht="15" hidden="false" customHeight="false" outlineLevel="0" collapsed="false">
      <c r="A2121" s="61" t="n">
        <f aca="false">INDEX(Datos_Origen!$A$2:$A$2459,$Z2121)</f>
        <v>2120</v>
      </c>
      <c r="B2121" s="62" t="n">
        <f aca="false">IF(ISNUMBER($AB2121),$AB2121,IF(MID($AB2121,5,1)="-",DATE(VALUE(LEFT($AB2121,4)),VALUE(MID($AB2121,6,2)),VALUE(RIGHT($AB2121,2))),DATE(VALUE(RIGHT($AB2121,4)),VALUE(MID($AB2121,4,2)),VALUE(LEFT($AB2121,2)))))</f>
        <v>45948</v>
      </c>
      <c r="C2121" s="61" t="n">
        <f aca="false">YEAR($B2121)</f>
        <v>2025</v>
      </c>
      <c r="D2121" s="61" t="str">
        <f aca="false">"Q"&amp;ROUNDUP(MONTH($B2121)/3,0)</f>
        <v>Q4</v>
      </c>
      <c r="E2121" s="61" t="n">
        <f aca="false">MONTH($B2121)</f>
        <v>10</v>
      </c>
      <c r="F2121" s="61" t="str">
        <f aca="false">INDEX(Parametros!$I$5:$I$16,$E2121)</f>
        <v>Oct</v>
      </c>
      <c r="G2121" s="61" t="str">
        <f aca="false">TEXT($C2121,"0000")&amp;"-"&amp;TEXT($E2121,"00")</f>
        <v>2025-10</v>
      </c>
      <c r="H2121" s="61" t="str">
        <f aca="false">INDEX(Parametros!$C$71:$C$91,MATCH(TRIM(INDEX(Datos_Origen!$C$2:$C$2459,$Z2121)),Parametros!$B$71:$B$91,0))</f>
        <v>AMBA</v>
      </c>
      <c r="I2121" s="61" t="str">
        <f aca="false">IF(TRIM($AD2121)="",INDEX(Parametros!$I$20:$I$24,MATCH($H2121,Parametros!$H$20:$H$24,0)),TRIM($AD2121))</f>
        <v>Buenos Aires</v>
      </c>
      <c r="J2121" s="61" t="str">
        <f aca="false">INDEX(Parametros!$C$95:$C$106,MATCH(TRIM(INDEX(Datos_Origen!$E$2:$E$2459,$Z2121)),Parametros!$B$95:$B$106,0))</f>
        <v>E-commerce</v>
      </c>
      <c r="K2121" s="61" t="str">
        <f aca="false">INDEX(Parametros!$C$48:$C$67,MATCH(TRIM(INDEX(Datos_Origen!$F$2:$F$2459,$Z2121)),Parametros!$B$48:$B$67,0))</f>
        <v>Almacenamiento</v>
      </c>
      <c r="L2121" s="61" t="str">
        <f aca="false">$K2121&amp;" "&amp;$C2121</f>
        <v>Almacenamiento 2025</v>
      </c>
      <c r="M2121" s="61" t="str">
        <f aca="false">TRIM(INDEX(Datos_Origen!$G$2:$G$2459,$Z2121))</f>
        <v>Pendrive 256GB</v>
      </c>
      <c r="N2121" s="61" t="str">
        <f aca="false">$M2121&amp;" "&amp;$C2121</f>
        <v>Pendrive 256GB 2025</v>
      </c>
      <c r="O2121" s="63" t="n">
        <f aca="false">IF(ISTEXT($AC2121),VALUE($AC2121),$AC2121)</f>
        <v>41</v>
      </c>
      <c r="P2121" s="64" t="n">
        <f aca="false">INDEX(Datos_Origen!$I$2:$I$2459,$Z2121)</f>
        <v>35.14</v>
      </c>
      <c r="Q2121" s="64" t="n">
        <f aca="false">INDEX(Datos_Origen!$J$2:$J$2459,$Z2121)</f>
        <v>18.39</v>
      </c>
      <c r="R2121" s="65" t="n">
        <f aca="false">ROUND($O2121*$P2121,2)</f>
        <v>1440.74</v>
      </c>
      <c r="S2121" s="65" t="n">
        <f aca="false">ROUND($O2121*$Q2121,2)</f>
        <v>753.99</v>
      </c>
      <c r="T2121" s="65" t="n">
        <f aca="false">ROUND($R2121*SUMIFS(Parametros!$E$28:$E$43,Parametros!$B$28:$B$43,$J2121,Parametros!$C$28:$C$43,$C2121,Parametros!$D$28:$D$43,$D2121),2)</f>
        <v>74.92</v>
      </c>
      <c r="U2121" s="65" t="n">
        <f aca="false">$R2121-$S2121-$T2121</f>
        <v>611.83</v>
      </c>
      <c r="V2121" s="66" t="n">
        <f aca="false">IFERROR($U2121/$R2121,0)</f>
        <v>0.424663714480059</v>
      </c>
      <c r="W2121" s="67" t="str">
        <f aca="false">IF(AND($V2121&gt;=Parametros!$C$8,$R2121&gt;=Parametros!$C$12),"Alta rentabilidad",IF(OR($V2121&lt;Parametros!$C$11,$R2121&lt;Parametros!$C$13),"Revisar","Estandar"))</f>
        <v>Estandar</v>
      </c>
      <c r="X2121" s="67" t="str">
        <f aca="false">IF(AND($J2121="E-commerce",IFERROR($T2121/$R2121,0)&gt;Parametros!$C$14),"Alerta","OK")</f>
        <v>Alerta</v>
      </c>
      <c r="Y2121" s="61" t="str">
        <f aca="false">IF($R2121&gt;=Parametros!$C$12,"Alto",IF($R2121&lt;Parametros!$C$13,"Bajo","Medio"))</f>
        <v>Medio</v>
      </c>
      <c r="Z2121" s="61" t="n">
        <v>523</v>
      </c>
      <c r="AA2121" s="61" t="str">
        <f aca="false">IF(MATCH($A2121,Datos_Origen!$A$2:$A$2459,0)=$Z2121,"OK","REVISAR")</f>
        <v>OK</v>
      </c>
      <c r="AB2121" s="61" t="str">
        <f aca="false">INDEX(Datos_Origen!$B$2:$B$2459,$Z2121)</f>
        <v>18/10/2025</v>
      </c>
      <c r="AC2121" s="61" t="str">
        <f aca="false">INDEX(Datos_Origen!$H$2:$H$2459,$Z2121)</f>
        <v>41</v>
      </c>
      <c r="AD2121" s="61" t="str">
        <f aca="false">INDEX(Datos_Origen!$D$2:$D$2459,$Z2121)&amp;""</f>
        <v>Buenos Aires</v>
      </c>
    </row>
    <row r="2122" customFormat="false" ht="15" hidden="false" customHeight="false" outlineLevel="0" collapsed="false">
      <c r="A2122" s="61" t="n">
        <f aca="false">INDEX(Datos_Origen!$A$2:$A$2459,$Z2122)</f>
        <v>2121</v>
      </c>
      <c r="B2122" s="62" t="n">
        <f aca="false">IF(ISNUMBER($AB2122),$AB2122,IF(MID($AB2122,5,1)="-",DATE(VALUE(LEFT($AB2122,4)),VALUE(MID($AB2122,6,2)),VALUE(RIGHT($AB2122,2))),DATE(VALUE(RIGHT($AB2122,4)),VALUE(MID($AB2122,4,2)),VALUE(LEFT($AB2122,2)))))</f>
        <v>45955</v>
      </c>
      <c r="C2122" s="61" t="n">
        <f aca="false">YEAR($B2122)</f>
        <v>2025</v>
      </c>
      <c r="D2122" s="61" t="str">
        <f aca="false">"Q"&amp;ROUNDUP(MONTH($B2122)/3,0)</f>
        <v>Q4</v>
      </c>
      <c r="E2122" s="61" t="n">
        <f aca="false">MONTH($B2122)</f>
        <v>10</v>
      </c>
      <c r="F2122" s="61" t="str">
        <f aca="false">INDEX(Parametros!$I$5:$I$16,$E2122)</f>
        <v>Oct</v>
      </c>
      <c r="G2122" s="61" t="str">
        <f aca="false">TEXT($C2122,"0000")&amp;"-"&amp;TEXT($E2122,"00")</f>
        <v>2025-10</v>
      </c>
      <c r="H2122" s="61" t="str">
        <f aca="false">INDEX(Parametros!$C$71:$C$91,MATCH(TRIM(INDEX(Datos_Origen!$C$2:$C$2459,$Z2122)),Parametros!$B$71:$B$91,0))</f>
        <v>Centro</v>
      </c>
      <c r="I2122" s="61" t="str">
        <f aca="false">IF(TRIM($AD2122)="",INDEX(Parametros!$I$20:$I$24,MATCH($H2122,Parametros!$H$20:$H$24,0)),TRIM($AD2122))</f>
        <v>Cordoba</v>
      </c>
      <c r="J2122" s="61" t="str">
        <f aca="false">INDEX(Parametros!$C$95:$C$106,MATCH(TRIM(INDEX(Datos_Origen!$E$2:$E$2459,$Z2122)),Parametros!$B$95:$B$106,0))</f>
        <v>Tienda fisica</v>
      </c>
      <c r="K2122" s="61" t="str">
        <f aca="false">INDEX(Parametros!$C$48:$C$67,MATCH(TRIM(INDEX(Datos_Origen!$F$2:$F$2459,$Z2122)),Parametros!$B$48:$B$67,0))</f>
        <v>Computacion</v>
      </c>
      <c r="L2122" s="61" t="str">
        <f aca="false">$K2122&amp;" "&amp;$C2122</f>
        <v>Computacion 2025</v>
      </c>
      <c r="M2122" s="61" t="str">
        <f aca="false">TRIM(INDEX(Datos_Origen!$G$2:$G$2459,$Z2122))</f>
        <v>Laptop Pro 15</v>
      </c>
      <c r="N2122" s="61" t="str">
        <f aca="false">$M2122&amp;" "&amp;$C2122</f>
        <v>Laptop Pro 15 2025</v>
      </c>
      <c r="O2122" s="63" t="n">
        <f aca="false">IF(ISTEXT($AC2122),VALUE($AC2122),$AC2122)</f>
        <v>12</v>
      </c>
      <c r="P2122" s="64" t="n">
        <f aca="false">INDEX(Datos_Origen!$I$2:$I$2459,$Z2122)</f>
        <v>1204.74</v>
      </c>
      <c r="Q2122" s="64" t="n">
        <f aca="false">INDEX(Datos_Origen!$J$2:$J$2459,$Z2122)</f>
        <v>766.32</v>
      </c>
      <c r="R2122" s="65" t="n">
        <f aca="false">ROUND($O2122*$P2122,2)</f>
        <v>14456.88</v>
      </c>
      <c r="S2122" s="65" t="n">
        <f aca="false">ROUND($O2122*$Q2122,2)</f>
        <v>9195.84</v>
      </c>
      <c r="T2122" s="65" t="n">
        <f aca="false">ROUND($R2122*SUMIFS(Parametros!$E$28:$E$43,Parametros!$B$28:$B$43,$J2122,Parametros!$C$28:$C$43,$C2122,Parametros!$D$28:$D$43,$D2122),2)</f>
        <v>187.94</v>
      </c>
      <c r="U2122" s="65" t="n">
        <f aca="false">$R2122-$S2122-$T2122</f>
        <v>5073.1</v>
      </c>
      <c r="V2122" s="66" t="n">
        <f aca="false">IFERROR($U2122/$R2122,0)</f>
        <v>0.350912506709608</v>
      </c>
      <c r="W2122" s="67" t="str">
        <f aca="false">IF(AND($V2122&gt;=Parametros!$C$8,$R2122&gt;=Parametros!$C$12),"Alta rentabilidad",IF(OR($V2122&lt;Parametros!$C$11,$R2122&lt;Parametros!$C$13),"Revisar","Estandar"))</f>
        <v>Alta rentabilidad</v>
      </c>
      <c r="X2122" s="67" t="str">
        <f aca="false">IF(AND($J2122="E-commerce",IFERROR($T2122/$R2122,0)&gt;Parametros!$C$14),"Alerta","OK")</f>
        <v>OK</v>
      </c>
      <c r="Y2122" s="61" t="str">
        <f aca="false">IF($R2122&gt;=Parametros!$C$12,"Alto",IF($R2122&lt;Parametros!$C$13,"Bajo","Medio"))</f>
        <v>Alto</v>
      </c>
      <c r="Z2122" s="61" t="n">
        <v>2350</v>
      </c>
      <c r="AA2122" s="61" t="str">
        <f aca="false">IF(MATCH($A2122,Datos_Origen!$A$2:$A$2459,0)=$Z2122,"OK","REVISAR")</f>
        <v>OK</v>
      </c>
      <c r="AB2122" s="62" t="n">
        <f aca="false">INDEX(Datos_Origen!$B$2:$B$2459,$Z2122)</f>
        <v>45955</v>
      </c>
      <c r="AC2122" s="61" t="n">
        <f aca="false">INDEX(Datos_Origen!$H$2:$H$2459,$Z2122)</f>
        <v>12</v>
      </c>
      <c r="AD2122" s="61" t="str">
        <f aca="false">INDEX(Datos_Origen!$D$2:$D$2459,$Z2122)&amp;""</f>
        <v>Cordoba</v>
      </c>
    </row>
    <row r="2123" customFormat="false" ht="15" hidden="false" customHeight="false" outlineLevel="0" collapsed="false">
      <c r="A2123" s="61" t="n">
        <f aca="false">INDEX(Datos_Origen!$A$2:$A$2459,$Z2123)</f>
        <v>2122</v>
      </c>
      <c r="B2123" s="62" t="n">
        <f aca="false">IF(ISNUMBER($AB2123),$AB2123,IF(MID($AB2123,5,1)="-",DATE(VALUE(LEFT($AB2123,4)),VALUE(MID($AB2123,6,2)),VALUE(RIGHT($AB2123,2))),DATE(VALUE(RIGHT($AB2123,4)),VALUE(MID($AB2123,4,2)),VALUE(LEFT($AB2123,2)))))</f>
        <v>45935</v>
      </c>
      <c r="C2123" s="61" t="n">
        <f aca="false">YEAR($B2123)</f>
        <v>2025</v>
      </c>
      <c r="D2123" s="61" t="str">
        <f aca="false">"Q"&amp;ROUNDUP(MONTH($B2123)/3,0)</f>
        <v>Q4</v>
      </c>
      <c r="E2123" s="61" t="n">
        <f aca="false">MONTH($B2123)</f>
        <v>10</v>
      </c>
      <c r="F2123" s="61" t="str">
        <f aca="false">INDEX(Parametros!$I$5:$I$16,$E2123)</f>
        <v>Oct</v>
      </c>
      <c r="G2123" s="61" t="str">
        <f aca="false">TEXT($C2123,"0000")&amp;"-"&amp;TEXT($E2123,"00")</f>
        <v>2025-10</v>
      </c>
      <c r="H2123" s="61" t="str">
        <f aca="false">INDEX(Parametros!$C$71:$C$91,MATCH(TRIM(INDEX(Datos_Origen!$C$2:$C$2459,$Z2123)),Parametros!$B$71:$B$91,0))</f>
        <v>Centro</v>
      </c>
      <c r="I2123" s="61" t="str">
        <f aca="false">IF(TRIM($AD2123)="",INDEX(Parametros!$I$20:$I$24,MATCH($H2123,Parametros!$H$20:$H$24,0)),TRIM($AD2123))</f>
        <v>Cordoba</v>
      </c>
      <c r="J2123" s="61" t="str">
        <f aca="false">INDEX(Parametros!$C$95:$C$106,MATCH(TRIM(INDEX(Datos_Origen!$E$2:$E$2459,$Z2123)),Parametros!$B$95:$B$106,0))</f>
        <v>E-commerce</v>
      </c>
      <c r="K2123" s="61" t="str">
        <f aca="false">INDEX(Parametros!$C$48:$C$67,MATCH(TRIM(INDEX(Datos_Origen!$F$2:$F$2459,$Z2123)),Parametros!$B$48:$B$67,0))</f>
        <v>Computacion</v>
      </c>
      <c r="L2123" s="61" t="str">
        <f aca="false">$K2123&amp;" "&amp;$C2123</f>
        <v>Computacion 2025</v>
      </c>
      <c r="M2123" s="61" t="str">
        <f aca="false">TRIM(INDEX(Datos_Origen!$G$2:$G$2459,$Z2123))</f>
        <v>Laptop Pro 15</v>
      </c>
      <c r="N2123" s="61" t="str">
        <f aca="false">$M2123&amp;" "&amp;$C2123</f>
        <v>Laptop Pro 15 2025</v>
      </c>
      <c r="O2123" s="63" t="n">
        <f aca="false">IF(ISTEXT($AC2123),VALUE($AC2123),$AC2123)</f>
        <v>8</v>
      </c>
      <c r="P2123" s="64" t="n">
        <f aca="false">INDEX(Datos_Origen!$I$2:$I$2459,$Z2123)</f>
        <v>1204.74</v>
      </c>
      <c r="Q2123" s="64" t="n">
        <f aca="false">INDEX(Datos_Origen!$J$2:$J$2459,$Z2123)</f>
        <v>766.32</v>
      </c>
      <c r="R2123" s="65" t="n">
        <f aca="false">ROUND($O2123*$P2123,2)</f>
        <v>9637.92</v>
      </c>
      <c r="S2123" s="65" t="n">
        <f aca="false">ROUND($O2123*$Q2123,2)</f>
        <v>6130.56</v>
      </c>
      <c r="T2123" s="65" t="n">
        <f aca="false">ROUND($R2123*SUMIFS(Parametros!$E$28:$E$43,Parametros!$B$28:$B$43,$J2123,Parametros!$C$28:$C$43,$C2123,Parametros!$D$28:$D$43,$D2123),2)</f>
        <v>501.17</v>
      </c>
      <c r="U2123" s="65" t="n">
        <f aca="false">$R2123-$S2123-$T2123</f>
        <v>3006.19</v>
      </c>
      <c r="V2123" s="66" t="n">
        <f aca="false">IFERROR($U2123/$R2123,0)</f>
        <v>0.311912736358052</v>
      </c>
      <c r="W2123" s="67" t="str">
        <f aca="false">IF(AND($V2123&gt;=Parametros!$C$8,$R2123&gt;=Parametros!$C$12),"Alta rentabilidad",IF(OR($V2123&lt;Parametros!$C$11,$R2123&lt;Parametros!$C$13),"Revisar","Estandar"))</f>
        <v>Estandar</v>
      </c>
      <c r="X2123" s="67" t="str">
        <f aca="false">IF(AND($J2123="E-commerce",IFERROR($T2123/$R2123,0)&gt;Parametros!$C$14),"Alerta","OK")</f>
        <v>Alerta</v>
      </c>
      <c r="Y2123" s="61" t="str">
        <f aca="false">IF($R2123&gt;=Parametros!$C$12,"Alto",IF($R2123&lt;Parametros!$C$13,"Bajo","Medio"))</f>
        <v>Alto</v>
      </c>
      <c r="Z2123" s="61" t="n">
        <v>1950</v>
      </c>
      <c r="AA2123" s="61" t="str">
        <f aca="false">IF(MATCH($A2123,Datos_Origen!$A$2:$A$2459,0)=$Z2123,"OK","REVISAR")</f>
        <v>OK</v>
      </c>
      <c r="AB2123" s="62" t="n">
        <f aca="false">INDEX(Datos_Origen!$B$2:$B$2459,$Z2123)</f>
        <v>45935</v>
      </c>
      <c r="AC2123" s="61" t="n">
        <f aca="false">INDEX(Datos_Origen!$H$2:$H$2459,$Z2123)</f>
        <v>8</v>
      </c>
      <c r="AD2123" s="61" t="str">
        <f aca="false">INDEX(Datos_Origen!$D$2:$D$2459,$Z2123)&amp;""</f>
        <v>Cordoba</v>
      </c>
    </row>
    <row r="2124" customFormat="false" ht="15" hidden="false" customHeight="false" outlineLevel="0" collapsed="false">
      <c r="A2124" s="61" t="n">
        <f aca="false">INDEX(Datos_Origen!$A$2:$A$2459,$Z2124)</f>
        <v>2123</v>
      </c>
      <c r="B2124" s="62" t="n">
        <f aca="false">IF(ISNUMBER($AB2124),$AB2124,IF(MID($AB2124,5,1)="-",DATE(VALUE(LEFT($AB2124,4)),VALUE(MID($AB2124,6,2)),VALUE(RIGHT($AB2124,2))),DATE(VALUE(RIGHT($AB2124,4)),VALUE(MID($AB2124,4,2)),VALUE(LEFT($AB2124,2)))))</f>
        <v>45942</v>
      </c>
      <c r="C2124" s="61" t="n">
        <f aca="false">YEAR($B2124)</f>
        <v>2025</v>
      </c>
      <c r="D2124" s="61" t="str">
        <f aca="false">"Q"&amp;ROUNDUP(MONTH($B2124)/3,0)</f>
        <v>Q4</v>
      </c>
      <c r="E2124" s="61" t="n">
        <f aca="false">MONTH($B2124)</f>
        <v>10</v>
      </c>
      <c r="F2124" s="61" t="str">
        <f aca="false">INDEX(Parametros!$I$5:$I$16,$E2124)</f>
        <v>Oct</v>
      </c>
      <c r="G2124" s="61" t="str">
        <f aca="false">TEXT($C2124,"0000")&amp;"-"&amp;TEXT($E2124,"00")</f>
        <v>2025-10</v>
      </c>
      <c r="H2124" s="61" t="str">
        <f aca="false">INDEX(Parametros!$C$71:$C$91,MATCH(TRIM(INDEX(Datos_Origen!$C$2:$C$2459,$Z2124)),Parametros!$B$71:$B$91,0))</f>
        <v>Centro</v>
      </c>
      <c r="I2124" s="61" t="str">
        <f aca="false">IF(TRIM($AD2124)="",INDEX(Parametros!$I$20:$I$24,MATCH($H2124,Parametros!$H$20:$H$24,0)),TRIM($AD2124))</f>
        <v>Cordoba</v>
      </c>
      <c r="J2124" s="61" t="str">
        <f aca="false">INDEX(Parametros!$C$95:$C$106,MATCH(TRIM(INDEX(Datos_Origen!$E$2:$E$2459,$Z2124)),Parametros!$B$95:$B$106,0))</f>
        <v>Tienda fisica</v>
      </c>
      <c r="K2124" s="61" t="str">
        <f aca="false">INDEX(Parametros!$C$48:$C$67,MATCH(TRIM(INDEX(Datos_Origen!$F$2:$F$2459,$Z2124)),Parametros!$B$48:$B$67,0))</f>
        <v>Computacion</v>
      </c>
      <c r="L2124" s="61" t="str">
        <f aca="false">$K2124&amp;" "&amp;$C2124</f>
        <v>Computacion 2025</v>
      </c>
      <c r="M2124" s="61" t="str">
        <f aca="false">TRIM(INDEX(Datos_Origen!$G$2:$G$2459,$Z2124))</f>
        <v>Monitor 4K 27</v>
      </c>
      <c r="N2124" s="61" t="str">
        <f aca="false">$M2124&amp;" "&amp;$C2124</f>
        <v>Monitor 4K 27 2025</v>
      </c>
      <c r="O2124" s="63" t="n">
        <f aca="false">IF(ISTEXT($AC2124),VALUE($AC2124),$AC2124)</f>
        <v>11</v>
      </c>
      <c r="P2124" s="64" t="n">
        <f aca="false">INDEX(Datos_Origen!$I$2:$I$2459,$Z2124)</f>
        <v>451.78</v>
      </c>
      <c r="Q2124" s="64" t="n">
        <f aca="false">INDEX(Datos_Origen!$J$2:$J$2459,$Z2124)</f>
        <v>280.42</v>
      </c>
      <c r="R2124" s="65" t="n">
        <f aca="false">ROUND($O2124*$P2124,2)</f>
        <v>4969.58</v>
      </c>
      <c r="S2124" s="65" t="n">
        <f aca="false">ROUND($O2124*$Q2124,2)</f>
        <v>3084.62</v>
      </c>
      <c r="T2124" s="65" t="n">
        <f aca="false">ROUND($R2124*SUMIFS(Parametros!$E$28:$E$43,Parametros!$B$28:$B$43,$J2124,Parametros!$C$28:$C$43,$C2124,Parametros!$D$28:$D$43,$D2124),2)</f>
        <v>64.6</v>
      </c>
      <c r="U2124" s="65" t="n">
        <f aca="false">$R2124-$S2124-$T2124</f>
        <v>1820.36</v>
      </c>
      <c r="V2124" s="66" t="n">
        <f aca="false">IFERROR($U2124/$R2124,0)</f>
        <v>0.366300572684211</v>
      </c>
      <c r="W2124" s="67" t="str">
        <f aca="false">IF(AND($V2124&gt;=Parametros!$C$8,$R2124&gt;=Parametros!$C$12),"Alta rentabilidad",IF(OR($V2124&lt;Parametros!$C$11,$R2124&lt;Parametros!$C$13),"Revisar","Estandar"))</f>
        <v>Alta rentabilidad</v>
      </c>
      <c r="X2124" s="67" t="str">
        <f aca="false">IF(AND($J2124="E-commerce",IFERROR($T2124/$R2124,0)&gt;Parametros!$C$14),"Alerta","OK")</f>
        <v>OK</v>
      </c>
      <c r="Y2124" s="61" t="str">
        <f aca="false">IF($R2124&gt;=Parametros!$C$12,"Alto",IF($R2124&lt;Parametros!$C$13,"Bajo","Medio"))</f>
        <v>Alto</v>
      </c>
      <c r="Z2124" s="61" t="n">
        <v>1153</v>
      </c>
      <c r="AA2124" s="61" t="str">
        <f aca="false">IF(MATCH($A2124,Datos_Origen!$A$2:$A$2459,0)=$Z2124,"OK","REVISAR")</f>
        <v>OK</v>
      </c>
      <c r="AB2124" s="62" t="n">
        <f aca="false">INDEX(Datos_Origen!$B$2:$B$2459,$Z2124)</f>
        <v>45942</v>
      </c>
      <c r="AC2124" s="61" t="n">
        <f aca="false">INDEX(Datos_Origen!$H$2:$H$2459,$Z2124)</f>
        <v>11</v>
      </c>
      <c r="AD2124" s="61" t="str">
        <f aca="false">INDEX(Datos_Origen!$D$2:$D$2459,$Z2124)&amp;""</f>
        <v>Cordoba</v>
      </c>
    </row>
    <row r="2125" customFormat="false" ht="15" hidden="false" customHeight="false" outlineLevel="0" collapsed="false">
      <c r="A2125" s="61" t="n">
        <f aca="false">INDEX(Datos_Origen!$A$2:$A$2459,$Z2125)</f>
        <v>2124</v>
      </c>
      <c r="B2125" s="62" t="n">
        <f aca="false">IF(ISNUMBER($AB2125),$AB2125,IF(MID($AB2125,5,1)="-",DATE(VALUE(LEFT($AB2125,4)),VALUE(MID($AB2125,6,2)),VALUE(RIGHT($AB2125,2))),DATE(VALUE(RIGHT($AB2125,4)),VALUE(MID($AB2125,4,2)),VALUE(LEFT($AB2125,2)))))</f>
        <v>45949</v>
      </c>
      <c r="C2125" s="61" t="n">
        <f aca="false">YEAR($B2125)</f>
        <v>2025</v>
      </c>
      <c r="D2125" s="61" t="str">
        <f aca="false">"Q"&amp;ROUNDUP(MONTH($B2125)/3,0)</f>
        <v>Q4</v>
      </c>
      <c r="E2125" s="61" t="n">
        <f aca="false">MONTH($B2125)</f>
        <v>10</v>
      </c>
      <c r="F2125" s="61" t="str">
        <f aca="false">INDEX(Parametros!$I$5:$I$16,$E2125)</f>
        <v>Oct</v>
      </c>
      <c r="G2125" s="61" t="str">
        <f aca="false">TEXT($C2125,"0000")&amp;"-"&amp;TEXT($E2125,"00")</f>
        <v>2025-10</v>
      </c>
      <c r="H2125" s="61" t="str">
        <f aca="false">INDEX(Parametros!$C$71:$C$91,MATCH(TRIM(INDEX(Datos_Origen!$C$2:$C$2459,$Z2125)),Parametros!$B$71:$B$91,0))</f>
        <v>Centro</v>
      </c>
      <c r="I2125" s="61" t="str">
        <f aca="false">IF(TRIM($AD2125)="",INDEX(Parametros!$I$20:$I$24,MATCH($H2125,Parametros!$H$20:$H$24,0)),TRIM($AD2125))</f>
        <v>Cordoba</v>
      </c>
      <c r="J2125" s="61" t="str">
        <f aca="false">INDEX(Parametros!$C$95:$C$106,MATCH(TRIM(INDEX(Datos_Origen!$E$2:$E$2459,$Z2125)),Parametros!$B$95:$B$106,0))</f>
        <v>E-commerce</v>
      </c>
      <c r="K2125" s="61" t="str">
        <f aca="false">INDEX(Parametros!$C$48:$C$67,MATCH(TRIM(INDEX(Datos_Origen!$F$2:$F$2459,$Z2125)),Parametros!$B$48:$B$67,0))</f>
        <v>Computacion</v>
      </c>
      <c r="L2125" s="61" t="str">
        <f aca="false">$K2125&amp;" "&amp;$C2125</f>
        <v>Computacion 2025</v>
      </c>
      <c r="M2125" s="61" t="str">
        <f aca="false">TRIM(INDEX(Datos_Origen!$G$2:$G$2459,$Z2125))</f>
        <v>Monitor 4K 27</v>
      </c>
      <c r="N2125" s="61" t="str">
        <f aca="false">$M2125&amp;" "&amp;$C2125</f>
        <v>Monitor 4K 27 2025</v>
      </c>
      <c r="O2125" s="63" t="n">
        <f aca="false">IF(ISTEXT($AC2125),VALUE($AC2125),$AC2125)</f>
        <v>9</v>
      </c>
      <c r="P2125" s="64" t="n">
        <f aca="false">INDEX(Datos_Origen!$I$2:$I$2459,$Z2125)</f>
        <v>451.78</v>
      </c>
      <c r="Q2125" s="64" t="n">
        <f aca="false">INDEX(Datos_Origen!$J$2:$J$2459,$Z2125)</f>
        <v>280.42</v>
      </c>
      <c r="R2125" s="65" t="n">
        <f aca="false">ROUND($O2125*$P2125,2)</f>
        <v>4066.02</v>
      </c>
      <c r="S2125" s="65" t="n">
        <f aca="false">ROUND($O2125*$Q2125,2)</f>
        <v>2523.78</v>
      </c>
      <c r="T2125" s="65" t="n">
        <f aca="false">ROUND($R2125*SUMIFS(Parametros!$E$28:$E$43,Parametros!$B$28:$B$43,$J2125,Parametros!$C$28:$C$43,$C2125,Parametros!$D$28:$D$43,$D2125),2)</f>
        <v>211.43</v>
      </c>
      <c r="U2125" s="65" t="n">
        <f aca="false">$R2125-$S2125-$T2125</f>
        <v>1330.81</v>
      </c>
      <c r="V2125" s="66" t="n">
        <f aca="false">IFERROR($U2125/$R2125,0)</f>
        <v>0.327300406785997</v>
      </c>
      <c r="W2125" s="67" t="str">
        <f aca="false">IF(AND($V2125&gt;=Parametros!$C$8,$R2125&gt;=Parametros!$C$12),"Alta rentabilidad",IF(OR($V2125&lt;Parametros!$C$11,$R2125&lt;Parametros!$C$13),"Revisar","Estandar"))</f>
        <v>Estandar</v>
      </c>
      <c r="X2125" s="67" t="str">
        <f aca="false">IF(AND($J2125="E-commerce",IFERROR($T2125/$R2125,0)&gt;Parametros!$C$14),"Alerta","OK")</f>
        <v>Alerta</v>
      </c>
      <c r="Y2125" s="61" t="str">
        <f aca="false">IF($R2125&gt;=Parametros!$C$12,"Alto",IF($R2125&lt;Parametros!$C$13,"Bajo","Medio"))</f>
        <v>Alto</v>
      </c>
      <c r="Z2125" s="61" t="n">
        <v>628</v>
      </c>
      <c r="AA2125" s="61" t="str">
        <f aca="false">IF(MATCH($A2125,Datos_Origen!$A$2:$A$2459,0)=$Z2125,"OK","REVISAR")</f>
        <v>OK</v>
      </c>
      <c r="AB2125" s="62" t="n">
        <f aca="false">INDEX(Datos_Origen!$B$2:$B$2459,$Z2125)</f>
        <v>45949</v>
      </c>
      <c r="AC2125" s="61" t="n">
        <f aca="false">INDEX(Datos_Origen!$H$2:$H$2459,$Z2125)</f>
        <v>9</v>
      </c>
      <c r="AD2125" s="61" t="str">
        <f aca="false">INDEX(Datos_Origen!$D$2:$D$2459,$Z2125)&amp;""</f>
        <v>Cordoba</v>
      </c>
    </row>
    <row r="2126" customFormat="false" ht="15" hidden="false" customHeight="false" outlineLevel="0" collapsed="false">
      <c r="A2126" s="61" t="n">
        <f aca="false">INDEX(Datos_Origen!$A$2:$A$2459,$Z2126)</f>
        <v>2125</v>
      </c>
      <c r="B2126" s="62" t="n">
        <f aca="false">IF(ISNUMBER($AB2126),$AB2126,IF(MID($AB2126,5,1)="-",DATE(VALUE(LEFT($AB2126,4)),VALUE(MID($AB2126,6,2)),VALUE(RIGHT($AB2126,2))),DATE(VALUE(RIGHT($AB2126,4)),VALUE(MID($AB2126,4,2)),VALUE(LEFT($AB2126,2)))))</f>
        <v>45956</v>
      </c>
      <c r="C2126" s="61" t="n">
        <f aca="false">YEAR($B2126)</f>
        <v>2025</v>
      </c>
      <c r="D2126" s="61" t="str">
        <f aca="false">"Q"&amp;ROUNDUP(MONTH($B2126)/3,0)</f>
        <v>Q4</v>
      </c>
      <c r="E2126" s="61" t="n">
        <f aca="false">MONTH($B2126)</f>
        <v>10</v>
      </c>
      <c r="F2126" s="61" t="str">
        <f aca="false">INDEX(Parametros!$I$5:$I$16,$E2126)</f>
        <v>Oct</v>
      </c>
      <c r="G2126" s="61" t="str">
        <f aca="false">TEXT($C2126,"0000")&amp;"-"&amp;TEXT($E2126,"00")</f>
        <v>2025-10</v>
      </c>
      <c r="H2126" s="61" t="str">
        <f aca="false">INDEX(Parametros!$C$71:$C$91,MATCH(TRIM(INDEX(Datos_Origen!$C$2:$C$2459,$Z2126)),Parametros!$B$71:$B$91,0))</f>
        <v>Centro</v>
      </c>
      <c r="I2126" s="61" t="str">
        <f aca="false">IF(TRIM($AD2126)="",INDEX(Parametros!$I$20:$I$24,MATCH($H2126,Parametros!$H$20:$H$24,0)),TRIM($AD2126))</f>
        <v>Cordoba</v>
      </c>
      <c r="J2126" s="61" t="str">
        <f aca="false">INDEX(Parametros!$C$95:$C$106,MATCH(TRIM(INDEX(Datos_Origen!$E$2:$E$2459,$Z2126)),Parametros!$B$95:$B$106,0))</f>
        <v>Tienda fisica</v>
      </c>
      <c r="K2126" s="61" t="str">
        <f aca="false">INDEX(Parametros!$C$48:$C$67,MATCH(TRIM(INDEX(Datos_Origen!$F$2:$F$2459,$Z2126)),Parametros!$B$48:$B$67,0))</f>
        <v>Computacion</v>
      </c>
      <c r="L2126" s="61" t="str">
        <f aca="false">$K2126&amp;" "&amp;$C2126</f>
        <v>Computacion 2025</v>
      </c>
      <c r="M2126" s="61" t="str">
        <f aca="false">TRIM(INDEX(Datos_Origen!$G$2:$G$2459,$Z2126))</f>
        <v>PC Gamer Ryzen</v>
      </c>
      <c r="N2126" s="61" t="str">
        <f aca="false">$M2126&amp;" "&amp;$C2126</f>
        <v>PC Gamer Ryzen 2025</v>
      </c>
      <c r="O2126" s="63" t="n">
        <f aca="false">IF(ISTEXT($AC2126),VALUE($AC2126),$AC2126)</f>
        <v>11</v>
      </c>
      <c r="P2126" s="64" t="n">
        <f aca="false">INDEX(Datos_Origen!$I$2:$I$2459,$Z2126)</f>
        <v>1656.52</v>
      </c>
      <c r="Q2126" s="64" t="n">
        <f aca="false">INDEX(Datos_Origen!$J$2:$J$2459,$Z2126)</f>
        <v>1155.66</v>
      </c>
      <c r="R2126" s="65" t="n">
        <f aca="false">ROUND($O2126*$P2126,2)</f>
        <v>18221.72</v>
      </c>
      <c r="S2126" s="65" t="n">
        <f aca="false">ROUND($O2126*$Q2126,2)</f>
        <v>12712.26</v>
      </c>
      <c r="T2126" s="65" t="n">
        <f aca="false">ROUND($R2126*SUMIFS(Parametros!$E$28:$E$43,Parametros!$B$28:$B$43,$J2126,Parametros!$C$28:$C$43,$C2126,Parametros!$D$28:$D$43,$D2126),2)</f>
        <v>236.88</v>
      </c>
      <c r="U2126" s="65" t="n">
        <f aca="false">$R2126-$S2126-$T2126</f>
        <v>5272.58</v>
      </c>
      <c r="V2126" s="66" t="n">
        <f aca="false">IFERROR($U2126/$R2126,0)</f>
        <v>0.289356877396865</v>
      </c>
      <c r="W2126" s="67" t="str">
        <f aca="false">IF(AND($V2126&gt;=Parametros!$C$8,$R2126&gt;=Parametros!$C$12),"Alta rentabilidad",IF(OR($V2126&lt;Parametros!$C$11,$R2126&lt;Parametros!$C$13),"Revisar","Estandar"))</f>
        <v>Estandar</v>
      </c>
      <c r="X2126" s="67" t="str">
        <f aca="false">IF(AND($J2126="E-commerce",IFERROR($T2126/$R2126,0)&gt;Parametros!$C$14),"Alerta","OK")</f>
        <v>OK</v>
      </c>
      <c r="Y2126" s="61" t="str">
        <f aca="false">IF($R2126&gt;=Parametros!$C$12,"Alto",IF($R2126&lt;Parametros!$C$13,"Bajo","Medio"))</f>
        <v>Alto</v>
      </c>
      <c r="Z2126" s="61" t="n">
        <v>2340</v>
      </c>
      <c r="AA2126" s="61" t="str">
        <f aca="false">IF(MATCH($A2126,Datos_Origen!$A$2:$A$2459,0)=$Z2126,"OK","REVISAR")</f>
        <v>OK</v>
      </c>
      <c r="AB2126" s="62" t="n">
        <f aca="false">INDEX(Datos_Origen!$B$2:$B$2459,$Z2126)</f>
        <v>45956</v>
      </c>
      <c r="AC2126" s="61" t="n">
        <f aca="false">INDEX(Datos_Origen!$H$2:$H$2459,$Z2126)</f>
        <v>11</v>
      </c>
      <c r="AD2126" s="61" t="str">
        <f aca="false">INDEX(Datos_Origen!$D$2:$D$2459,$Z2126)&amp;""</f>
        <v>Cordoba</v>
      </c>
    </row>
    <row r="2127" customFormat="false" ht="15" hidden="false" customHeight="false" outlineLevel="0" collapsed="false">
      <c r="A2127" s="61" t="n">
        <f aca="false">INDEX(Datos_Origen!$A$2:$A$2459,$Z2127)</f>
        <v>2126</v>
      </c>
      <c r="B2127" s="62" t="n">
        <f aca="false">IF(ISNUMBER($AB2127),$AB2127,IF(MID($AB2127,5,1)="-",DATE(VALUE(LEFT($AB2127,4)),VALUE(MID($AB2127,6,2)),VALUE(RIGHT($AB2127,2))),DATE(VALUE(RIGHT($AB2127,4)),VALUE(MID($AB2127,4,2)),VALUE(LEFT($AB2127,2)))))</f>
        <v>45936</v>
      </c>
      <c r="C2127" s="61" t="n">
        <f aca="false">YEAR($B2127)</f>
        <v>2025</v>
      </c>
      <c r="D2127" s="61" t="str">
        <f aca="false">"Q"&amp;ROUNDUP(MONTH($B2127)/3,0)</f>
        <v>Q4</v>
      </c>
      <c r="E2127" s="61" t="n">
        <f aca="false">MONTH($B2127)</f>
        <v>10</v>
      </c>
      <c r="F2127" s="61" t="str">
        <f aca="false">INDEX(Parametros!$I$5:$I$16,$E2127)</f>
        <v>Oct</v>
      </c>
      <c r="G2127" s="61" t="str">
        <f aca="false">TEXT($C2127,"0000")&amp;"-"&amp;TEXT($E2127,"00")</f>
        <v>2025-10</v>
      </c>
      <c r="H2127" s="61" t="str">
        <f aca="false">INDEX(Parametros!$C$71:$C$91,MATCH(TRIM(INDEX(Datos_Origen!$C$2:$C$2459,$Z2127)),Parametros!$B$71:$B$91,0))</f>
        <v>Centro</v>
      </c>
      <c r="I2127" s="61" t="str">
        <f aca="false">IF(TRIM($AD2127)="",INDEX(Parametros!$I$20:$I$24,MATCH($H2127,Parametros!$H$20:$H$24,0)),TRIM($AD2127))</f>
        <v>Cordoba</v>
      </c>
      <c r="J2127" s="61" t="str">
        <f aca="false">INDEX(Parametros!$C$95:$C$106,MATCH(TRIM(INDEX(Datos_Origen!$E$2:$E$2459,$Z2127)),Parametros!$B$95:$B$106,0))</f>
        <v>E-commerce</v>
      </c>
      <c r="K2127" s="61" t="str">
        <f aca="false">INDEX(Parametros!$C$48:$C$67,MATCH(TRIM(INDEX(Datos_Origen!$F$2:$F$2459,$Z2127)),Parametros!$B$48:$B$67,0))</f>
        <v>Computacion</v>
      </c>
      <c r="L2127" s="61" t="str">
        <f aca="false">$K2127&amp;" "&amp;$C2127</f>
        <v>Computacion 2025</v>
      </c>
      <c r="M2127" s="61" t="str">
        <f aca="false">TRIM(INDEX(Datos_Origen!$G$2:$G$2459,$Z2127))</f>
        <v>PC Gamer Ryzen</v>
      </c>
      <c r="N2127" s="61" t="str">
        <f aca="false">$M2127&amp;" "&amp;$C2127</f>
        <v>PC Gamer Ryzen 2025</v>
      </c>
      <c r="O2127" s="63" t="n">
        <f aca="false">IF(ISTEXT($AC2127),VALUE($AC2127),$AC2127)</f>
        <v>7</v>
      </c>
      <c r="P2127" s="64" t="n">
        <f aca="false">INDEX(Datos_Origen!$I$2:$I$2459,$Z2127)</f>
        <v>1656.52</v>
      </c>
      <c r="Q2127" s="64" t="n">
        <f aca="false">INDEX(Datos_Origen!$J$2:$J$2459,$Z2127)</f>
        <v>1155.66</v>
      </c>
      <c r="R2127" s="65" t="n">
        <f aca="false">ROUND($O2127*$P2127,2)</f>
        <v>11595.64</v>
      </c>
      <c r="S2127" s="65" t="n">
        <f aca="false">ROUND($O2127*$Q2127,2)</f>
        <v>8089.62</v>
      </c>
      <c r="T2127" s="65" t="n">
        <f aca="false">ROUND($R2127*SUMIFS(Parametros!$E$28:$E$43,Parametros!$B$28:$B$43,$J2127,Parametros!$C$28:$C$43,$C2127,Parametros!$D$28:$D$43,$D2127),2)</f>
        <v>602.97</v>
      </c>
      <c r="U2127" s="65" t="n">
        <f aca="false">$R2127-$S2127-$T2127</f>
        <v>2903.05</v>
      </c>
      <c r="V2127" s="66" t="n">
        <f aca="false">IFERROR($U2127/$R2127,0)</f>
        <v>0.250357030746039</v>
      </c>
      <c r="W2127" s="67" t="str">
        <f aca="false">IF(AND($V2127&gt;=Parametros!$C$8,$R2127&gt;=Parametros!$C$12),"Alta rentabilidad",IF(OR($V2127&lt;Parametros!$C$11,$R2127&lt;Parametros!$C$13),"Revisar","Estandar"))</f>
        <v>Revisar</v>
      </c>
      <c r="X2127" s="67" t="str">
        <f aca="false">IF(AND($J2127="E-commerce",IFERROR($T2127/$R2127,0)&gt;Parametros!$C$14),"Alerta","OK")</f>
        <v>Alerta</v>
      </c>
      <c r="Y2127" s="61" t="str">
        <f aca="false">IF($R2127&gt;=Parametros!$C$12,"Alto",IF($R2127&lt;Parametros!$C$13,"Bajo","Medio"))</f>
        <v>Alto</v>
      </c>
      <c r="Z2127" s="61" t="n">
        <v>1506</v>
      </c>
      <c r="AA2127" s="61" t="str">
        <f aca="false">IF(MATCH($A2127,Datos_Origen!$A$2:$A$2459,0)=$Z2127,"OK","REVISAR")</f>
        <v>OK</v>
      </c>
      <c r="AB2127" s="62" t="n">
        <f aca="false">INDEX(Datos_Origen!$B$2:$B$2459,$Z2127)</f>
        <v>45936</v>
      </c>
      <c r="AC2127" s="61" t="n">
        <f aca="false">INDEX(Datos_Origen!$H$2:$H$2459,$Z2127)</f>
        <v>7</v>
      </c>
      <c r="AD2127" s="61" t="str">
        <f aca="false">INDEX(Datos_Origen!$D$2:$D$2459,$Z2127)&amp;""</f>
        <v>Cordoba</v>
      </c>
    </row>
    <row r="2128" customFormat="false" ht="15" hidden="false" customHeight="false" outlineLevel="0" collapsed="false">
      <c r="A2128" s="61" t="n">
        <f aca="false">INDEX(Datos_Origen!$A$2:$A$2459,$Z2128)</f>
        <v>2127</v>
      </c>
      <c r="B2128" s="62" t="n">
        <f aca="false">IF(ISNUMBER($AB2128),$AB2128,IF(MID($AB2128,5,1)="-",DATE(VALUE(LEFT($AB2128,4)),VALUE(MID($AB2128,6,2)),VALUE(RIGHT($AB2128,2))),DATE(VALUE(RIGHT($AB2128,4)),VALUE(MID($AB2128,4,2)),VALUE(LEFT($AB2128,2)))))</f>
        <v>45943</v>
      </c>
      <c r="C2128" s="61" t="n">
        <f aca="false">YEAR($B2128)</f>
        <v>2025</v>
      </c>
      <c r="D2128" s="61" t="str">
        <f aca="false">"Q"&amp;ROUNDUP(MONTH($B2128)/3,0)</f>
        <v>Q4</v>
      </c>
      <c r="E2128" s="61" t="n">
        <f aca="false">MONTH($B2128)</f>
        <v>10</v>
      </c>
      <c r="F2128" s="61" t="str">
        <f aca="false">INDEX(Parametros!$I$5:$I$16,$E2128)</f>
        <v>Oct</v>
      </c>
      <c r="G2128" s="61" t="str">
        <f aca="false">TEXT($C2128,"0000")&amp;"-"&amp;TEXT($E2128,"00")</f>
        <v>2025-10</v>
      </c>
      <c r="H2128" s="61" t="str">
        <f aca="false">INDEX(Parametros!$C$71:$C$91,MATCH(TRIM(INDEX(Datos_Origen!$C$2:$C$2459,$Z2128)),Parametros!$B$71:$B$91,0))</f>
        <v>Centro</v>
      </c>
      <c r="I2128" s="61" t="str">
        <f aca="false">IF(TRIM($AD2128)="",INDEX(Parametros!$I$20:$I$24,MATCH($H2128,Parametros!$H$20:$H$24,0)),TRIM($AD2128))</f>
        <v>Cordoba</v>
      </c>
      <c r="J2128" s="61" t="str">
        <f aca="false">INDEX(Parametros!$C$95:$C$106,MATCH(TRIM(INDEX(Datos_Origen!$E$2:$E$2459,$Z2128)),Parametros!$B$95:$B$106,0))</f>
        <v>Tienda fisica</v>
      </c>
      <c r="K2128" s="61" t="str">
        <f aca="false">INDEX(Parametros!$C$48:$C$67,MATCH(TRIM(INDEX(Datos_Origen!$F$2:$F$2459,$Z2128)),Parametros!$B$48:$B$67,0))</f>
        <v>Accesorios</v>
      </c>
      <c r="L2128" s="61" t="str">
        <f aca="false">$K2128&amp;" "&amp;$C2128</f>
        <v>Accesorios 2025</v>
      </c>
      <c r="M2128" s="61" t="str">
        <f aca="false">TRIM(INDEX(Datos_Origen!$G$2:$G$2459,$Z2128))</f>
        <v>Mouse Inalambrico</v>
      </c>
      <c r="N2128" s="61" t="str">
        <f aca="false">$M2128&amp;" "&amp;$C2128</f>
        <v>Mouse Inalambrico 2025</v>
      </c>
      <c r="O2128" s="63" t="n">
        <f aca="false">IF(ISTEXT($AC2128),VALUE($AC2128),$AC2128)</f>
        <v>55</v>
      </c>
      <c r="P2128" s="64" t="n">
        <f aca="false">INDEX(Datos_Origen!$I$2:$I$2459,$Z2128)</f>
        <v>28.11</v>
      </c>
      <c r="Q2128" s="64" t="n">
        <f aca="false">INDEX(Datos_Origen!$J$2:$J$2459,$Z2128)</f>
        <v>13.84</v>
      </c>
      <c r="R2128" s="65" t="n">
        <f aca="false">ROUND($O2128*$P2128,2)</f>
        <v>1546.05</v>
      </c>
      <c r="S2128" s="65" t="n">
        <f aca="false">ROUND($O2128*$Q2128,2)</f>
        <v>761.2</v>
      </c>
      <c r="T2128" s="65" t="n">
        <f aca="false">ROUND($R2128*SUMIFS(Parametros!$E$28:$E$43,Parametros!$B$28:$B$43,$J2128,Parametros!$C$28:$C$43,$C2128,Parametros!$D$28:$D$43,$D2128),2)</f>
        <v>20.1</v>
      </c>
      <c r="U2128" s="65" t="n">
        <f aca="false">$R2128-$S2128-$T2128</f>
        <v>764.75</v>
      </c>
      <c r="V2128" s="66" t="n">
        <f aca="false">IFERROR($U2128/$R2128,0)</f>
        <v>0.494647650464086</v>
      </c>
      <c r="W2128" s="67" t="str">
        <f aca="false">IF(AND($V2128&gt;=Parametros!$C$8,$R2128&gt;=Parametros!$C$12),"Alta rentabilidad",IF(OR($V2128&lt;Parametros!$C$11,$R2128&lt;Parametros!$C$13),"Revisar","Estandar"))</f>
        <v>Estandar</v>
      </c>
      <c r="X2128" s="67" t="str">
        <f aca="false">IF(AND($J2128="E-commerce",IFERROR($T2128/$R2128,0)&gt;Parametros!$C$14),"Alerta","OK")</f>
        <v>OK</v>
      </c>
      <c r="Y2128" s="61" t="str">
        <f aca="false">IF($R2128&gt;=Parametros!$C$12,"Alto",IF($R2128&lt;Parametros!$C$13,"Bajo","Medio"))</f>
        <v>Medio</v>
      </c>
      <c r="Z2128" s="61" t="n">
        <v>72</v>
      </c>
      <c r="AA2128" s="61" t="str">
        <f aca="false">IF(MATCH($A2128,Datos_Origen!$A$2:$A$2459,0)=$Z2128,"OK","REVISAR")</f>
        <v>OK</v>
      </c>
      <c r="AB2128" s="61" t="str">
        <f aca="false">INDEX(Datos_Origen!$B$2:$B$2459,$Z2128)</f>
        <v>2025-10-13</v>
      </c>
      <c r="AC2128" s="61" t="n">
        <f aca="false">INDEX(Datos_Origen!$H$2:$H$2459,$Z2128)</f>
        <v>55</v>
      </c>
      <c r="AD2128" s="61" t="str">
        <f aca="false">INDEX(Datos_Origen!$D$2:$D$2459,$Z2128)&amp;""</f>
        <v>Cordoba</v>
      </c>
    </row>
    <row r="2129" customFormat="false" ht="15" hidden="false" customHeight="false" outlineLevel="0" collapsed="false">
      <c r="A2129" s="61" t="n">
        <f aca="false">INDEX(Datos_Origen!$A$2:$A$2459,$Z2129)</f>
        <v>2128</v>
      </c>
      <c r="B2129" s="62" t="n">
        <f aca="false">IF(ISNUMBER($AB2129),$AB2129,IF(MID($AB2129,5,1)="-",DATE(VALUE(LEFT($AB2129,4)),VALUE(MID($AB2129,6,2)),VALUE(RIGHT($AB2129,2))),DATE(VALUE(RIGHT($AB2129,4)),VALUE(MID($AB2129,4,2)),VALUE(LEFT($AB2129,2)))))</f>
        <v>45950</v>
      </c>
      <c r="C2129" s="61" t="n">
        <f aca="false">YEAR($B2129)</f>
        <v>2025</v>
      </c>
      <c r="D2129" s="61" t="str">
        <f aca="false">"Q"&amp;ROUNDUP(MONTH($B2129)/3,0)</f>
        <v>Q4</v>
      </c>
      <c r="E2129" s="61" t="n">
        <f aca="false">MONTH($B2129)</f>
        <v>10</v>
      </c>
      <c r="F2129" s="61" t="str">
        <f aca="false">INDEX(Parametros!$I$5:$I$16,$E2129)</f>
        <v>Oct</v>
      </c>
      <c r="G2129" s="61" t="str">
        <f aca="false">TEXT($C2129,"0000")&amp;"-"&amp;TEXT($E2129,"00")</f>
        <v>2025-10</v>
      </c>
      <c r="H2129" s="61" t="str">
        <f aca="false">INDEX(Parametros!$C$71:$C$91,MATCH(TRIM(INDEX(Datos_Origen!$C$2:$C$2459,$Z2129)),Parametros!$B$71:$B$91,0))</f>
        <v>Centro</v>
      </c>
      <c r="I2129" s="61" t="str">
        <f aca="false">IF(TRIM($AD2129)="",INDEX(Parametros!$I$20:$I$24,MATCH($H2129,Parametros!$H$20:$H$24,0)),TRIM($AD2129))</f>
        <v>Cordoba</v>
      </c>
      <c r="J2129" s="61" t="str">
        <f aca="false">INDEX(Parametros!$C$95:$C$106,MATCH(TRIM(INDEX(Datos_Origen!$E$2:$E$2459,$Z2129)),Parametros!$B$95:$B$106,0))</f>
        <v>E-commerce</v>
      </c>
      <c r="K2129" s="61" t="str">
        <f aca="false">INDEX(Parametros!$C$48:$C$67,MATCH(TRIM(INDEX(Datos_Origen!$F$2:$F$2459,$Z2129)),Parametros!$B$48:$B$67,0))</f>
        <v>Accesorios</v>
      </c>
      <c r="L2129" s="61" t="str">
        <f aca="false">$K2129&amp;" "&amp;$C2129</f>
        <v>Accesorios 2025</v>
      </c>
      <c r="M2129" s="61" t="str">
        <f aca="false">TRIM(INDEX(Datos_Origen!$G$2:$G$2459,$Z2129))</f>
        <v>Mouse Inalambrico</v>
      </c>
      <c r="N2129" s="61" t="str">
        <f aca="false">$M2129&amp;" "&amp;$C2129</f>
        <v>Mouse Inalambrico 2025</v>
      </c>
      <c r="O2129" s="63" t="n">
        <f aca="false">IF(ISTEXT($AC2129),VALUE($AC2129),$AC2129)</f>
        <v>33</v>
      </c>
      <c r="P2129" s="64" t="n">
        <f aca="false">INDEX(Datos_Origen!$I$2:$I$2459,$Z2129)</f>
        <v>28.11</v>
      </c>
      <c r="Q2129" s="64" t="n">
        <f aca="false">INDEX(Datos_Origen!$J$2:$J$2459,$Z2129)</f>
        <v>13.84</v>
      </c>
      <c r="R2129" s="65" t="n">
        <f aca="false">ROUND($O2129*$P2129,2)</f>
        <v>927.63</v>
      </c>
      <c r="S2129" s="65" t="n">
        <f aca="false">ROUND($O2129*$Q2129,2)</f>
        <v>456.72</v>
      </c>
      <c r="T2129" s="65" t="n">
        <f aca="false">ROUND($R2129*SUMIFS(Parametros!$E$28:$E$43,Parametros!$B$28:$B$43,$J2129,Parametros!$C$28:$C$43,$C2129,Parametros!$D$28:$D$43,$D2129),2)</f>
        <v>48.24</v>
      </c>
      <c r="U2129" s="65" t="n">
        <f aca="false">$R2129-$S2129-$T2129</f>
        <v>422.67</v>
      </c>
      <c r="V2129" s="66" t="n">
        <f aca="false">IFERROR($U2129/$R2129,0)</f>
        <v>0.455645030885159</v>
      </c>
      <c r="W2129" s="67" t="str">
        <f aca="false">IF(AND($V2129&gt;=Parametros!$C$8,$R2129&gt;=Parametros!$C$12),"Alta rentabilidad",IF(OR($V2129&lt;Parametros!$C$11,$R2129&lt;Parametros!$C$13),"Revisar","Estandar"))</f>
        <v>Estandar</v>
      </c>
      <c r="X2129" s="67" t="str">
        <f aca="false">IF(AND($J2129="E-commerce",IFERROR($T2129/$R2129,0)&gt;Parametros!$C$14),"Alerta","OK")</f>
        <v>Alerta</v>
      </c>
      <c r="Y2129" s="61" t="str">
        <f aca="false">IF($R2129&gt;=Parametros!$C$12,"Alto",IF($R2129&lt;Parametros!$C$13,"Bajo","Medio"))</f>
        <v>Medio</v>
      </c>
      <c r="Z2129" s="61" t="n">
        <v>2011</v>
      </c>
      <c r="AA2129" s="61" t="str">
        <f aca="false">IF(MATCH($A2129,Datos_Origen!$A$2:$A$2459,0)=$Z2129,"OK","REVISAR")</f>
        <v>OK</v>
      </c>
      <c r="AB2129" s="61" t="str">
        <f aca="false">INDEX(Datos_Origen!$B$2:$B$2459,$Z2129)</f>
        <v>2025-10-20</v>
      </c>
      <c r="AC2129" s="61" t="n">
        <f aca="false">INDEX(Datos_Origen!$H$2:$H$2459,$Z2129)</f>
        <v>33</v>
      </c>
      <c r="AD2129" s="61" t="str">
        <f aca="false">INDEX(Datos_Origen!$D$2:$D$2459,$Z2129)&amp;""</f>
        <v>Cordoba</v>
      </c>
    </row>
    <row r="2130" customFormat="false" ht="15" hidden="false" customHeight="false" outlineLevel="0" collapsed="false">
      <c r="A2130" s="61" t="n">
        <f aca="false">INDEX(Datos_Origen!$A$2:$A$2459,$Z2130)</f>
        <v>2129</v>
      </c>
      <c r="B2130" s="62" t="n">
        <f aca="false">IF(ISNUMBER($AB2130),$AB2130,IF(MID($AB2130,5,1)="-",DATE(VALUE(LEFT($AB2130,4)),VALUE(MID($AB2130,6,2)),VALUE(RIGHT($AB2130,2))),DATE(VALUE(RIGHT($AB2130,4)),VALUE(MID($AB2130,4,2)),VALUE(LEFT($AB2130,2)))))</f>
        <v>45957</v>
      </c>
      <c r="C2130" s="61" t="n">
        <f aca="false">YEAR($B2130)</f>
        <v>2025</v>
      </c>
      <c r="D2130" s="61" t="str">
        <f aca="false">"Q"&amp;ROUNDUP(MONTH($B2130)/3,0)</f>
        <v>Q4</v>
      </c>
      <c r="E2130" s="61" t="n">
        <f aca="false">MONTH($B2130)</f>
        <v>10</v>
      </c>
      <c r="F2130" s="61" t="str">
        <f aca="false">INDEX(Parametros!$I$5:$I$16,$E2130)</f>
        <v>Oct</v>
      </c>
      <c r="G2130" s="61" t="str">
        <f aca="false">TEXT($C2130,"0000")&amp;"-"&amp;TEXT($E2130,"00")</f>
        <v>2025-10</v>
      </c>
      <c r="H2130" s="61" t="str">
        <f aca="false">INDEX(Parametros!$C$71:$C$91,MATCH(TRIM(INDEX(Datos_Origen!$C$2:$C$2459,$Z2130)),Parametros!$B$71:$B$91,0))</f>
        <v>Centro</v>
      </c>
      <c r="I2130" s="61" t="str">
        <f aca="false">IF(TRIM($AD2130)="",INDEX(Parametros!$I$20:$I$24,MATCH($H2130,Parametros!$H$20:$H$24,0)),TRIM($AD2130))</f>
        <v>Cordoba</v>
      </c>
      <c r="J2130" s="61" t="str">
        <f aca="false">INDEX(Parametros!$C$95:$C$106,MATCH(TRIM(INDEX(Datos_Origen!$E$2:$E$2459,$Z2130)),Parametros!$B$95:$B$106,0))</f>
        <v>Tienda fisica</v>
      </c>
      <c r="K2130" s="61" t="str">
        <f aca="false">INDEX(Parametros!$C$48:$C$67,MATCH(TRIM(INDEX(Datos_Origen!$F$2:$F$2459,$Z2130)),Parametros!$B$48:$B$67,0))</f>
        <v>Accesorios</v>
      </c>
      <c r="L2130" s="61" t="str">
        <f aca="false">$K2130&amp;" "&amp;$C2130</f>
        <v>Accesorios 2025</v>
      </c>
      <c r="M2130" s="61" t="str">
        <f aca="false">TRIM(INDEX(Datos_Origen!$G$2:$G$2459,$Z2130))</f>
        <v>Teclado Mecanico</v>
      </c>
      <c r="N2130" s="61" t="str">
        <f aca="false">$M2130&amp;" "&amp;$C2130</f>
        <v>Teclado Mecanico 2025</v>
      </c>
      <c r="O2130" s="63" t="n">
        <f aca="false">IF(ISTEXT($AC2130),VALUE($AC2130),$AC2130)</f>
        <v>61</v>
      </c>
      <c r="P2130" s="64" t="n">
        <f aca="false">INDEX(Datos_Origen!$I$2:$I$2459,$Z2130)</f>
        <v>95.38</v>
      </c>
      <c r="Q2130" s="64" t="n">
        <f aca="false">INDEX(Datos_Origen!$J$2:$J$2459,$Z2130)</f>
        <v>49.41</v>
      </c>
      <c r="R2130" s="65" t="n">
        <f aca="false">ROUND($O2130*$P2130,2)</f>
        <v>5818.18</v>
      </c>
      <c r="S2130" s="65" t="n">
        <f aca="false">ROUND($O2130*$Q2130,2)</f>
        <v>3014.01</v>
      </c>
      <c r="T2130" s="65" t="n">
        <f aca="false">ROUND($R2130*SUMIFS(Parametros!$E$28:$E$43,Parametros!$B$28:$B$43,$J2130,Parametros!$C$28:$C$43,$C2130,Parametros!$D$28:$D$43,$D2130),2)</f>
        <v>75.64</v>
      </c>
      <c r="U2130" s="65" t="n">
        <f aca="false">$R2130-$S2130-$T2130</f>
        <v>2728.53</v>
      </c>
      <c r="V2130" s="66" t="n">
        <f aca="false">IFERROR($U2130/$R2130,0)</f>
        <v>0.46896624030195</v>
      </c>
      <c r="W2130" s="67" t="str">
        <f aca="false">IF(AND($V2130&gt;=Parametros!$C$8,$R2130&gt;=Parametros!$C$12),"Alta rentabilidad",IF(OR($V2130&lt;Parametros!$C$11,$R2130&lt;Parametros!$C$13),"Revisar","Estandar"))</f>
        <v>Alta rentabilidad</v>
      </c>
      <c r="X2130" s="67" t="str">
        <f aca="false">IF(AND($J2130="E-commerce",IFERROR($T2130/$R2130,0)&gt;Parametros!$C$14),"Alerta","OK")</f>
        <v>OK</v>
      </c>
      <c r="Y2130" s="61" t="str">
        <f aca="false">IF($R2130&gt;=Parametros!$C$12,"Alto",IF($R2130&lt;Parametros!$C$13,"Bajo","Medio"))</f>
        <v>Alto</v>
      </c>
      <c r="Z2130" s="61" t="n">
        <v>1364</v>
      </c>
      <c r="AA2130" s="61" t="str">
        <f aca="false">IF(MATCH($A2130,Datos_Origen!$A$2:$A$2459,0)=$Z2130,"OK","REVISAR")</f>
        <v>OK</v>
      </c>
      <c r="AB2130" s="62" t="n">
        <f aca="false">INDEX(Datos_Origen!$B$2:$B$2459,$Z2130)</f>
        <v>45957</v>
      </c>
      <c r="AC2130" s="61" t="n">
        <f aca="false">INDEX(Datos_Origen!$H$2:$H$2459,$Z2130)</f>
        <v>61</v>
      </c>
      <c r="AD2130" s="61" t="str">
        <f aca="false">INDEX(Datos_Origen!$D$2:$D$2459,$Z2130)&amp;""</f>
        <v>Cordoba</v>
      </c>
    </row>
    <row r="2131" customFormat="false" ht="15" hidden="false" customHeight="false" outlineLevel="0" collapsed="false">
      <c r="A2131" s="61" t="n">
        <f aca="false">INDEX(Datos_Origen!$A$2:$A$2459,$Z2131)</f>
        <v>2130</v>
      </c>
      <c r="B2131" s="62" t="n">
        <f aca="false">IF(ISNUMBER($AB2131),$AB2131,IF(MID($AB2131,5,1)="-",DATE(VALUE(LEFT($AB2131,4)),VALUE(MID($AB2131,6,2)),VALUE(RIGHT($AB2131,2))),DATE(VALUE(RIGHT($AB2131,4)),VALUE(MID($AB2131,4,2)),VALUE(LEFT($AB2131,2)))))</f>
        <v>45937</v>
      </c>
      <c r="C2131" s="61" t="n">
        <f aca="false">YEAR($B2131)</f>
        <v>2025</v>
      </c>
      <c r="D2131" s="61" t="str">
        <f aca="false">"Q"&amp;ROUNDUP(MONTH($B2131)/3,0)</f>
        <v>Q4</v>
      </c>
      <c r="E2131" s="61" t="n">
        <f aca="false">MONTH($B2131)</f>
        <v>10</v>
      </c>
      <c r="F2131" s="61" t="str">
        <f aca="false">INDEX(Parametros!$I$5:$I$16,$E2131)</f>
        <v>Oct</v>
      </c>
      <c r="G2131" s="61" t="str">
        <f aca="false">TEXT($C2131,"0000")&amp;"-"&amp;TEXT($E2131,"00")</f>
        <v>2025-10</v>
      </c>
      <c r="H2131" s="61" t="str">
        <f aca="false">INDEX(Parametros!$C$71:$C$91,MATCH(TRIM(INDEX(Datos_Origen!$C$2:$C$2459,$Z2131)),Parametros!$B$71:$B$91,0))</f>
        <v>Centro</v>
      </c>
      <c r="I2131" s="61" t="str">
        <f aca="false">IF(TRIM($AD2131)="",INDEX(Parametros!$I$20:$I$24,MATCH($H2131,Parametros!$H$20:$H$24,0)),TRIM($AD2131))</f>
        <v>Cordoba</v>
      </c>
      <c r="J2131" s="61" t="str">
        <f aca="false">INDEX(Parametros!$C$95:$C$106,MATCH(TRIM(INDEX(Datos_Origen!$E$2:$E$2459,$Z2131)),Parametros!$B$95:$B$106,0))</f>
        <v>E-commerce</v>
      </c>
      <c r="K2131" s="61" t="str">
        <f aca="false">INDEX(Parametros!$C$48:$C$67,MATCH(TRIM(INDEX(Datos_Origen!$F$2:$F$2459,$Z2131)),Parametros!$B$48:$B$67,0))</f>
        <v>Accesorios</v>
      </c>
      <c r="L2131" s="61" t="str">
        <f aca="false">$K2131&amp;" "&amp;$C2131</f>
        <v>Accesorios 2025</v>
      </c>
      <c r="M2131" s="61" t="str">
        <f aca="false">TRIM(INDEX(Datos_Origen!$G$2:$G$2459,$Z2131))</f>
        <v>Teclado Mecanico</v>
      </c>
      <c r="N2131" s="61" t="str">
        <f aca="false">$M2131&amp;" "&amp;$C2131</f>
        <v>Teclado Mecanico 2025</v>
      </c>
      <c r="O2131" s="63" t="n">
        <f aca="false">IF(ISTEXT($AC2131),VALUE($AC2131),$AC2131)</f>
        <v>40</v>
      </c>
      <c r="P2131" s="64" t="n">
        <f aca="false">INDEX(Datos_Origen!$I$2:$I$2459,$Z2131)</f>
        <v>95.38</v>
      </c>
      <c r="Q2131" s="64" t="n">
        <f aca="false">INDEX(Datos_Origen!$J$2:$J$2459,$Z2131)</f>
        <v>49.41</v>
      </c>
      <c r="R2131" s="65" t="n">
        <f aca="false">ROUND($O2131*$P2131,2)</f>
        <v>3815.2</v>
      </c>
      <c r="S2131" s="65" t="n">
        <f aca="false">ROUND($O2131*$Q2131,2)</f>
        <v>1976.4</v>
      </c>
      <c r="T2131" s="65" t="n">
        <f aca="false">ROUND($R2131*SUMIFS(Parametros!$E$28:$E$43,Parametros!$B$28:$B$43,$J2131,Parametros!$C$28:$C$43,$C2131,Parametros!$D$28:$D$43,$D2131),2)</f>
        <v>198.39</v>
      </c>
      <c r="U2131" s="65" t="n">
        <f aca="false">$R2131-$S2131-$T2131</f>
        <v>1640.41</v>
      </c>
      <c r="V2131" s="66" t="n">
        <f aca="false">IFERROR($U2131/$R2131,0)</f>
        <v>0.429966974208429</v>
      </c>
      <c r="W2131" s="67" t="str">
        <f aca="false">IF(AND($V2131&gt;=Parametros!$C$8,$R2131&gt;=Parametros!$C$12),"Alta rentabilidad",IF(OR($V2131&lt;Parametros!$C$11,$R2131&lt;Parametros!$C$13),"Revisar","Estandar"))</f>
        <v>Alta rentabilidad</v>
      </c>
      <c r="X2131" s="67" t="str">
        <f aca="false">IF(AND($J2131="E-commerce",IFERROR($T2131/$R2131,0)&gt;Parametros!$C$14),"Alerta","OK")</f>
        <v>Alerta</v>
      </c>
      <c r="Y2131" s="61" t="str">
        <f aca="false">IF($R2131&gt;=Parametros!$C$12,"Alto",IF($R2131&lt;Parametros!$C$13,"Bajo","Medio"))</f>
        <v>Alto</v>
      </c>
      <c r="Z2131" s="61" t="n">
        <v>920</v>
      </c>
      <c r="AA2131" s="61" t="str">
        <f aca="false">IF(MATCH($A2131,Datos_Origen!$A$2:$A$2459,0)=$Z2131,"OK","REVISAR")</f>
        <v>OK</v>
      </c>
      <c r="AB2131" s="62" t="n">
        <f aca="false">INDEX(Datos_Origen!$B$2:$B$2459,$Z2131)</f>
        <v>45937</v>
      </c>
      <c r="AC2131" s="61" t="n">
        <f aca="false">INDEX(Datos_Origen!$H$2:$H$2459,$Z2131)</f>
        <v>40</v>
      </c>
      <c r="AD2131" s="61" t="str">
        <f aca="false">INDEX(Datos_Origen!$D$2:$D$2459,$Z2131)&amp;""</f>
        <v>Cordoba</v>
      </c>
    </row>
    <row r="2132" customFormat="false" ht="15" hidden="false" customHeight="false" outlineLevel="0" collapsed="false">
      <c r="A2132" s="61" t="n">
        <f aca="false">INDEX(Datos_Origen!$A$2:$A$2459,$Z2132)</f>
        <v>2131</v>
      </c>
      <c r="B2132" s="62" t="n">
        <f aca="false">IF(ISNUMBER($AB2132),$AB2132,IF(MID($AB2132,5,1)="-",DATE(VALUE(LEFT($AB2132,4)),VALUE(MID($AB2132,6,2)),VALUE(RIGHT($AB2132,2))),DATE(VALUE(RIGHT($AB2132,4)),VALUE(MID($AB2132,4,2)),VALUE(LEFT($AB2132,2)))))</f>
        <v>45944</v>
      </c>
      <c r="C2132" s="61" t="n">
        <f aca="false">YEAR($B2132)</f>
        <v>2025</v>
      </c>
      <c r="D2132" s="61" t="str">
        <f aca="false">"Q"&amp;ROUNDUP(MONTH($B2132)/3,0)</f>
        <v>Q4</v>
      </c>
      <c r="E2132" s="61" t="n">
        <f aca="false">MONTH($B2132)</f>
        <v>10</v>
      </c>
      <c r="F2132" s="61" t="str">
        <f aca="false">INDEX(Parametros!$I$5:$I$16,$E2132)</f>
        <v>Oct</v>
      </c>
      <c r="G2132" s="61" t="str">
        <f aca="false">TEXT($C2132,"0000")&amp;"-"&amp;TEXT($E2132,"00")</f>
        <v>2025-10</v>
      </c>
      <c r="H2132" s="61" t="str">
        <f aca="false">INDEX(Parametros!$C$71:$C$91,MATCH(TRIM(INDEX(Datos_Origen!$C$2:$C$2459,$Z2132)),Parametros!$B$71:$B$91,0))</f>
        <v>Centro</v>
      </c>
      <c r="I2132" s="61" t="str">
        <f aca="false">IF(TRIM($AD2132)="",INDEX(Parametros!$I$20:$I$24,MATCH($H2132,Parametros!$H$20:$H$24,0)),TRIM($AD2132))</f>
        <v>Cordoba</v>
      </c>
      <c r="J2132" s="61" t="str">
        <f aca="false">INDEX(Parametros!$C$95:$C$106,MATCH(TRIM(INDEX(Datos_Origen!$E$2:$E$2459,$Z2132)),Parametros!$B$95:$B$106,0))</f>
        <v>Tienda fisica</v>
      </c>
      <c r="K2132" s="61" t="str">
        <f aca="false">INDEX(Parametros!$C$48:$C$67,MATCH(TRIM(INDEX(Datos_Origen!$F$2:$F$2459,$Z2132)),Parametros!$B$48:$B$67,0))</f>
        <v>Accesorios</v>
      </c>
      <c r="L2132" s="61" t="str">
        <f aca="false">$K2132&amp;" "&amp;$C2132</f>
        <v>Accesorios 2025</v>
      </c>
      <c r="M2132" s="61" t="str">
        <f aca="false">TRIM(INDEX(Datos_Origen!$G$2:$G$2459,$Z2132))</f>
        <v>Webcam Full HD</v>
      </c>
      <c r="N2132" s="61" t="str">
        <f aca="false">$M2132&amp;" "&amp;$C2132</f>
        <v>Webcam Full HD 2025</v>
      </c>
      <c r="O2132" s="63" t="n">
        <f aca="false">IF(ISTEXT($AC2132),VALUE($AC2132),$AC2132)</f>
        <v>57</v>
      </c>
      <c r="P2132" s="64" t="n">
        <f aca="false">INDEX(Datos_Origen!$I$2:$I$2459,$Z2132)</f>
        <v>65.26</v>
      </c>
      <c r="Q2132" s="64" t="n">
        <f aca="false">INDEX(Datos_Origen!$J$2:$J$2459,$Z2132)</f>
        <v>36.49</v>
      </c>
      <c r="R2132" s="65" t="n">
        <f aca="false">ROUND($O2132*$P2132,2)</f>
        <v>3719.82</v>
      </c>
      <c r="S2132" s="65" t="n">
        <f aca="false">ROUND($O2132*$Q2132,2)</f>
        <v>2079.93</v>
      </c>
      <c r="T2132" s="65" t="n">
        <f aca="false">ROUND($R2132*SUMIFS(Parametros!$E$28:$E$43,Parametros!$B$28:$B$43,$J2132,Parametros!$C$28:$C$43,$C2132,Parametros!$D$28:$D$43,$D2132),2)</f>
        <v>48.36</v>
      </c>
      <c r="U2132" s="65" t="n">
        <f aca="false">$R2132-$S2132-$T2132</f>
        <v>1591.53</v>
      </c>
      <c r="V2132" s="66" t="n">
        <f aca="false">IFERROR($U2132/$R2132,0)</f>
        <v>0.427851347645854</v>
      </c>
      <c r="W2132" s="67" t="str">
        <f aca="false">IF(AND($V2132&gt;=Parametros!$C$8,$R2132&gt;=Parametros!$C$12),"Alta rentabilidad",IF(OR($V2132&lt;Parametros!$C$11,$R2132&lt;Parametros!$C$13),"Revisar","Estandar"))</f>
        <v>Alta rentabilidad</v>
      </c>
      <c r="X2132" s="67" t="str">
        <f aca="false">IF(AND($J2132="E-commerce",IFERROR($T2132/$R2132,0)&gt;Parametros!$C$14),"Alerta","OK")</f>
        <v>OK</v>
      </c>
      <c r="Y2132" s="61" t="str">
        <f aca="false">IF($R2132&gt;=Parametros!$C$12,"Alto",IF($R2132&lt;Parametros!$C$13,"Bajo","Medio"))</f>
        <v>Alto</v>
      </c>
      <c r="Z2132" s="61" t="n">
        <v>1559</v>
      </c>
      <c r="AA2132" s="61" t="str">
        <f aca="false">IF(MATCH($A2132,Datos_Origen!$A$2:$A$2459,0)=$Z2132,"OK","REVISAR")</f>
        <v>OK</v>
      </c>
      <c r="AB2132" s="62" t="n">
        <f aca="false">INDEX(Datos_Origen!$B$2:$B$2459,$Z2132)</f>
        <v>45944</v>
      </c>
      <c r="AC2132" s="61" t="n">
        <f aca="false">INDEX(Datos_Origen!$H$2:$H$2459,$Z2132)</f>
        <v>57</v>
      </c>
      <c r="AD2132" s="61" t="str">
        <f aca="false">INDEX(Datos_Origen!$D$2:$D$2459,$Z2132)&amp;""</f>
        <v>Cordoba</v>
      </c>
    </row>
    <row r="2133" customFormat="false" ht="15" hidden="false" customHeight="false" outlineLevel="0" collapsed="false">
      <c r="A2133" s="61" t="n">
        <f aca="false">INDEX(Datos_Origen!$A$2:$A$2459,$Z2133)</f>
        <v>2132</v>
      </c>
      <c r="B2133" s="62" t="n">
        <f aca="false">IF(ISNUMBER($AB2133),$AB2133,IF(MID($AB2133,5,1)="-",DATE(VALUE(LEFT($AB2133,4)),VALUE(MID($AB2133,6,2)),VALUE(RIGHT($AB2133,2))),DATE(VALUE(RIGHT($AB2133,4)),VALUE(MID($AB2133,4,2)),VALUE(LEFT($AB2133,2)))))</f>
        <v>45951</v>
      </c>
      <c r="C2133" s="61" t="n">
        <f aca="false">YEAR($B2133)</f>
        <v>2025</v>
      </c>
      <c r="D2133" s="61" t="str">
        <f aca="false">"Q"&amp;ROUNDUP(MONTH($B2133)/3,0)</f>
        <v>Q4</v>
      </c>
      <c r="E2133" s="61" t="n">
        <f aca="false">MONTH($B2133)</f>
        <v>10</v>
      </c>
      <c r="F2133" s="61" t="str">
        <f aca="false">INDEX(Parametros!$I$5:$I$16,$E2133)</f>
        <v>Oct</v>
      </c>
      <c r="G2133" s="61" t="str">
        <f aca="false">TEXT($C2133,"0000")&amp;"-"&amp;TEXT($E2133,"00")</f>
        <v>2025-10</v>
      </c>
      <c r="H2133" s="61" t="str">
        <f aca="false">INDEX(Parametros!$C$71:$C$91,MATCH(TRIM(INDEX(Datos_Origen!$C$2:$C$2459,$Z2133)),Parametros!$B$71:$B$91,0))</f>
        <v>Centro</v>
      </c>
      <c r="I2133" s="61" t="str">
        <f aca="false">IF(TRIM($AD2133)="",INDEX(Parametros!$I$20:$I$24,MATCH($H2133,Parametros!$H$20:$H$24,0)),TRIM($AD2133))</f>
        <v>Cordoba</v>
      </c>
      <c r="J2133" s="61" t="str">
        <f aca="false">INDEX(Parametros!$C$95:$C$106,MATCH(TRIM(INDEX(Datos_Origen!$E$2:$E$2459,$Z2133)),Parametros!$B$95:$B$106,0))</f>
        <v>E-commerce</v>
      </c>
      <c r="K2133" s="61" t="str">
        <f aca="false">INDEX(Parametros!$C$48:$C$67,MATCH(TRIM(INDEX(Datos_Origen!$F$2:$F$2459,$Z2133)),Parametros!$B$48:$B$67,0))</f>
        <v>Accesorios</v>
      </c>
      <c r="L2133" s="61" t="str">
        <f aca="false">$K2133&amp;" "&amp;$C2133</f>
        <v>Accesorios 2025</v>
      </c>
      <c r="M2133" s="61" t="str">
        <f aca="false">TRIM(INDEX(Datos_Origen!$G$2:$G$2459,$Z2133))</f>
        <v>Webcam Full HD</v>
      </c>
      <c r="N2133" s="61" t="str">
        <f aca="false">$M2133&amp;" "&amp;$C2133</f>
        <v>Webcam Full HD 2025</v>
      </c>
      <c r="O2133" s="63" t="n">
        <f aca="false">IF(ISTEXT($AC2133),VALUE($AC2133),$AC2133)</f>
        <v>39</v>
      </c>
      <c r="P2133" s="64" t="n">
        <f aca="false">INDEX(Datos_Origen!$I$2:$I$2459,$Z2133)</f>
        <v>65.26</v>
      </c>
      <c r="Q2133" s="64" t="n">
        <f aca="false">INDEX(Datos_Origen!$J$2:$J$2459,$Z2133)</f>
        <v>36.49</v>
      </c>
      <c r="R2133" s="65" t="n">
        <f aca="false">ROUND($O2133*$P2133,2)</f>
        <v>2545.14</v>
      </c>
      <c r="S2133" s="65" t="n">
        <f aca="false">ROUND($O2133*$Q2133,2)</f>
        <v>1423.11</v>
      </c>
      <c r="T2133" s="65" t="n">
        <f aca="false">ROUND($R2133*SUMIFS(Parametros!$E$28:$E$43,Parametros!$B$28:$B$43,$J2133,Parametros!$C$28:$C$43,$C2133,Parametros!$D$28:$D$43,$D2133),2)</f>
        <v>132.35</v>
      </c>
      <c r="U2133" s="65" t="n">
        <f aca="false">$R2133-$S2133-$T2133</f>
        <v>989.68</v>
      </c>
      <c r="V2133" s="66" t="n">
        <f aca="false">IFERROR($U2133/$R2133,0)</f>
        <v>0.388850908005061</v>
      </c>
      <c r="W2133" s="67" t="str">
        <f aca="false">IF(AND($V2133&gt;=Parametros!$C$8,$R2133&gt;=Parametros!$C$12),"Alta rentabilidad",IF(OR($V2133&lt;Parametros!$C$11,$R2133&lt;Parametros!$C$13),"Revisar","Estandar"))</f>
        <v>Estandar</v>
      </c>
      <c r="X2133" s="67" t="str">
        <f aca="false">IF(AND($J2133="E-commerce",IFERROR($T2133/$R2133,0)&gt;Parametros!$C$14),"Alerta","OK")</f>
        <v>Alerta</v>
      </c>
      <c r="Y2133" s="61" t="str">
        <f aca="false">IF($R2133&gt;=Parametros!$C$12,"Alto",IF($R2133&lt;Parametros!$C$13,"Bajo","Medio"))</f>
        <v>Medio</v>
      </c>
      <c r="Z2133" s="61" t="n">
        <v>439</v>
      </c>
      <c r="AA2133" s="61" t="str">
        <f aca="false">IF(MATCH($A2133,Datos_Origen!$A$2:$A$2459,0)=$Z2133,"OK","REVISAR")</f>
        <v>OK</v>
      </c>
      <c r="AB2133" s="61" t="str">
        <f aca="false">INDEX(Datos_Origen!$B$2:$B$2459,$Z2133)</f>
        <v>21/10/2025</v>
      </c>
      <c r="AC2133" s="61" t="n">
        <f aca="false">INDEX(Datos_Origen!$H$2:$H$2459,$Z2133)</f>
        <v>39</v>
      </c>
      <c r="AD2133" s="61" t="str">
        <f aca="false">INDEX(Datos_Origen!$D$2:$D$2459,$Z2133)&amp;""</f>
        <v>Cordoba</v>
      </c>
    </row>
    <row r="2134" customFormat="false" ht="15" hidden="false" customHeight="false" outlineLevel="0" collapsed="false">
      <c r="A2134" s="61" t="n">
        <f aca="false">INDEX(Datos_Origen!$A$2:$A$2459,$Z2134)</f>
        <v>2133</v>
      </c>
      <c r="B2134" s="62" t="n">
        <f aca="false">IF(ISNUMBER($AB2134),$AB2134,IF(MID($AB2134,5,1)="-",DATE(VALUE(LEFT($AB2134,4)),VALUE(MID($AB2134,6,2)),VALUE(RIGHT($AB2134,2))),DATE(VALUE(RIGHT($AB2134,4)),VALUE(MID($AB2134,4,2)),VALUE(LEFT($AB2134,2)))))</f>
        <v>45931</v>
      </c>
      <c r="C2134" s="61" t="n">
        <f aca="false">YEAR($B2134)</f>
        <v>2025</v>
      </c>
      <c r="D2134" s="61" t="str">
        <f aca="false">"Q"&amp;ROUNDUP(MONTH($B2134)/3,0)</f>
        <v>Q4</v>
      </c>
      <c r="E2134" s="61" t="n">
        <f aca="false">MONTH($B2134)</f>
        <v>10</v>
      </c>
      <c r="F2134" s="61" t="str">
        <f aca="false">INDEX(Parametros!$I$5:$I$16,$E2134)</f>
        <v>Oct</v>
      </c>
      <c r="G2134" s="61" t="str">
        <f aca="false">TEXT($C2134,"0000")&amp;"-"&amp;TEXT($E2134,"00")</f>
        <v>2025-10</v>
      </c>
      <c r="H2134" s="61" t="str">
        <f aca="false">INDEX(Parametros!$C$71:$C$91,MATCH(TRIM(INDEX(Datos_Origen!$C$2:$C$2459,$Z2134)),Parametros!$B$71:$B$91,0))</f>
        <v>Centro</v>
      </c>
      <c r="I2134" s="61" t="str">
        <f aca="false">IF(TRIM($AD2134)="",INDEX(Parametros!$I$20:$I$24,MATCH($H2134,Parametros!$H$20:$H$24,0)),TRIM($AD2134))</f>
        <v>Cordoba</v>
      </c>
      <c r="J2134" s="61" t="str">
        <f aca="false">INDEX(Parametros!$C$95:$C$106,MATCH(TRIM(INDEX(Datos_Origen!$E$2:$E$2459,$Z2134)),Parametros!$B$95:$B$106,0))</f>
        <v>Tienda fisica</v>
      </c>
      <c r="K2134" s="61" t="str">
        <f aca="false">INDEX(Parametros!$C$48:$C$67,MATCH(TRIM(INDEX(Datos_Origen!$F$2:$F$2459,$Z2134)),Parametros!$B$48:$B$67,0))</f>
        <v>Audio</v>
      </c>
      <c r="L2134" s="61" t="str">
        <f aca="false">$K2134&amp;" "&amp;$C2134</f>
        <v>Audio 2025</v>
      </c>
      <c r="M2134" s="61" t="str">
        <f aca="false">TRIM(INDEX(Datos_Origen!$G$2:$G$2459,$Z2134))</f>
        <v>Auriculares BT Pro</v>
      </c>
      <c r="N2134" s="61" t="str">
        <f aca="false">$M2134&amp;" "&amp;$C2134</f>
        <v>Auriculares BT Pro 2025</v>
      </c>
      <c r="O2134" s="63" t="n">
        <f aca="false">IF(ISTEXT($AC2134),VALUE($AC2134),$AC2134)</f>
        <v>28</v>
      </c>
      <c r="P2134" s="64" t="n">
        <f aca="false">INDEX(Datos_Origen!$I$2:$I$2459,$Z2134)</f>
        <v>120.47</v>
      </c>
      <c r="Q2134" s="64" t="n">
        <f aca="false">INDEX(Datos_Origen!$J$2:$J$2459,$Z2134)</f>
        <v>65.51</v>
      </c>
      <c r="R2134" s="65" t="n">
        <f aca="false">ROUND($O2134*$P2134,2)</f>
        <v>3373.16</v>
      </c>
      <c r="S2134" s="65" t="n">
        <f aca="false">ROUND($O2134*$Q2134,2)</f>
        <v>1834.28</v>
      </c>
      <c r="T2134" s="65" t="n">
        <f aca="false">ROUND($R2134*SUMIFS(Parametros!$E$28:$E$43,Parametros!$B$28:$B$43,$J2134,Parametros!$C$28:$C$43,$C2134,Parametros!$D$28:$D$43,$D2134),2)</f>
        <v>43.85</v>
      </c>
      <c r="U2134" s="65" t="n">
        <f aca="false">$R2134-$S2134-$T2134</f>
        <v>1495.03</v>
      </c>
      <c r="V2134" s="66" t="n">
        <f aca="false">IFERROR($U2134/$R2134,0)</f>
        <v>0.4432134852779</v>
      </c>
      <c r="W2134" s="67" t="str">
        <f aca="false">IF(AND($V2134&gt;=Parametros!$C$8,$R2134&gt;=Parametros!$C$12),"Alta rentabilidad",IF(OR($V2134&lt;Parametros!$C$11,$R2134&lt;Parametros!$C$13),"Revisar","Estandar"))</f>
        <v>Alta rentabilidad</v>
      </c>
      <c r="X2134" s="67" t="str">
        <f aca="false">IF(AND($J2134="E-commerce",IFERROR($T2134/$R2134,0)&gt;Parametros!$C$14),"Alerta","OK")</f>
        <v>OK</v>
      </c>
      <c r="Y2134" s="61" t="str">
        <f aca="false">IF($R2134&gt;=Parametros!$C$12,"Alto",IF($R2134&lt;Parametros!$C$13,"Bajo","Medio"))</f>
        <v>Alto</v>
      </c>
      <c r="Z2134" s="61" t="n">
        <v>1057</v>
      </c>
      <c r="AA2134" s="61" t="str">
        <f aca="false">IF(MATCH($A2134,Datos_Origen!$A$2:$A$2459,0)=$Z2134,"OK","REVISAR")</f>
        <v>OK</v>
      </c>
      <c r="AB2134" s="62" t="n">
        <f aca="false">INDEX(Datos_Origen!$B$2:$B$2459,$Z2134)</f>
        <v>45931</v>
      </c>
      <c r="AC2134" s="61" t="n">
        <f aca="false">INDEX(Datos_Origen!$H$2:$H$2459,$Z2134)</f>
        <v>28</v>
      </c>
      <c r="AD2134" s="61" t="str">
        <f aca="false">INDEX(Datos_Origen!$D$2:$D$2459,$Z2134)&amp;""</f>
        <v>Cordoba</v>
      </c>
    </row>
    <row r="2135" customFormat="false" ht="15" hidden="false" customHeight="false" outlineLevel="0" collapsed="false">
      <c r="A2135" s="61" t="n">
        <f aca="false">INDEX(Datos_Origen!$A$2:$A$2459,$Z2135)</f>
        <v>2134</v>
      </c>
      <c r="B2135" s="62" t="n">
        <f aca="false">IF(ISNUMBER($AB2135),$AB2135,IF(MID($AB2135,5,1)="-",DATE(VALUE(LEFT($AB2135,4)),VALUE(MID($AB2135,6,2)),VALUE(RIGHT($AB2135,2))),DATE(VALUE(RIGHT($AB2135,4)),VALUE(MID($AB2135,4,2)),VALUE(LEFT($AB2135,2)))))</f>
        <v>45938</v>
      </c>
      <c r="C2135" s="61" t="n">
        <f aca="false">YEAR($B2135)</f>
        <v>2025</v>
      </c>
      <c r="D2135" s="61" t="str">
        <f aca="false">"Q"&amp;ROUNDUP(MONTH($B2135)/3,0)</f>
        <v>Q4</v>
      </c>
      <c r="E2135" s="61" t="n">
        <f aca="false">MONTH($B2135)</f>
        <v>10</v>
      </c>
      <c r="F2135" s="61" t="str">
        <f aca="false">INDEX(Parametros!$I$5:$I$16,$E2135)</f>
        <v>Oct</v>
      </c>
      <c r="G2135" s="61" t="str">
        <f aca="false">TEXT($C2135,"0000")&amp;"-"&amp;TEXT($E2135,"00")</f>
        <v>2025-10</v>
      </c>
      <c r="H2135" s="61" t="str">
        <f aca="false">INDEX(Parametros!$C$71:$C$91,MATCH(TRIM(INDEX(Datos_Origen!$C$2:$C$2459,$Z2135)),Parametros!$B$71:$B$91,0))</f>
        <v>Centro</v>
      </c>
      <c r="I2135" s="61" t="str">
        <f aca="false">IF(TRIM($AD2135)="",INDEX(Parametros!$I$20:$I$24,MATCH($H2135,Parametros!$H$20:$H$24,0)),TRIM($AD2135))</f>
        <v>Cordoba</v>
      </c>
      <c r="J2135" s="61" t="str">
        <f aca="false">INDEX(Parametros!$C$95:$C$106,MATCH(TRIM(INDEX(Datos_Origen!$E$2:$E$2459,$Z2135)),Parametros!$B$95:$B$106,0))</f>
        <v>E-commerce</v>
      </c>
      <c r="K2135" s="61" t="str">
        <f aca="false">INDEX(Parametros!$C$48:$C$67,MATCH(TRIM(INDEX(Datos_Origen!$F$2:$F$2459,$Z2135)),Parametros!$B$48:$B$67,0))</f>
        <v>Audio</v>
      </c>
      <c r="L2135" s="61" t="str">
        <f aca="false">$K2135&amp;" "&amp;$C2135</f>
        <v>Audio 2025</v>
      </c>
      <c r="M2135" s="61" t="str">
        <f aca="false">TRIM(INDEX(Datos_Origen!$G$2:$G$2459,$Z2135))</f>
        <v>Auriculares BT Pro</v>
      </c>
      <c r="N2135" s="61" t="str">
        <f aca="false">$M2135&amp;" "&amp;$C2135</f>
        <v>Auriculares BT Pro 2025</v>
      </c>
      <c r="O2135" s="63" t="n">
        <f aca="false">IF(ISTEXT($AC2135),VALUE($AC2135),$AC2135)</f>
        <v>20</v>
      </c>
      <c r="P2135" s="64" t="n">
        <f aca="false">INDEX(Datos_Origen!$I$2:$I$2459,$Z2135)</f>
        <v>120.47</v>
      </c>
      <c r="Q2135" s="64" t="n">
        <f aca="false">INDEX(Datos_Origen!$J$2:$J$2459,$Z2135)</f>
        <v>65.51</v>
      </c>
      <c r="R2135" s="65" t="n">
        <f aca="false">ROUND($O2135*$P2135,2)</f>
        <v>2409.4</v>
      </c>
      <c r="S2135" s="65" t="n">
        <f aca="false">ROUND($O2135*$Q2135,2)</f>
        <v>1310.2</v>
      </c>
      <c r="T2135" s="65" t="n">
        <f aca="false">ROUND($R2135*SUMIFS(Parametros!$E$28:$E$43,Parametros!$B$28:$B$43,$J2135,Parametros!$C$28:$C$43,$C2135,Parametros!$D$28:$D$43,$D2135),2)</f>
        <v>125.29</v>
      </c>
      <c r="U2135" s="65" t="n">
        <f aca="false">$R2135-$S2135-$T2135</f>
        <v>973.91</v>
      </c>
      <c r="V2135" s="66" t="n">
        <f aca="false">IFERROR($U2135/$R2135,0)</f>
        <v>0.404212667054038</v>
      </c>
      <c r="W2135" s="67" t="str">
        <f aca="false">IF(AND($V2135&gt;=Parametros!$C$8,$R2135&gt;=Parametros!$C$12),"Alta rentabilidad",IF(OR($V2135&lt;Parametros!$C$11,$R2135&lt;Parametros!$C$13),"Revisar","Estandar"))</f>
        <v>Estandar</v>
      </c>
      <c r="X2135" s="67" t="str">
        <f aca="false">IF(AND($J2135="E-commerce",IFERROR($T2135/$R2135,0)&gt;Parametros!$C$14),"Alerta","OK")</f>
        <v>Alerta</v>
      </c>
      <c r="Y2135" s="61" t="str">
        <f aca="false">IF($R2135&gt;=Parametros!$C$12,"Alto",IF($R2135&lt;Parametros!$C$13,"Bajo","Medio"))</f>
        <v>Medio</v>
      </c>
      <c r="Z2135" s="61" t="n">
        <v>2338</v>
      </c>
      <c r="AA2135" s="61" t="str">
        <f aca="false">IF(MATCH($A2135,Datos_Origen!$A$2:$A$2459,0)=$Z2135,"OK","REVISAR")</f>
        <v>OK</v>
      </c>
      <c r="AB2135" s="62" t="n">
        <f aca="false">INDEX(Datos_Origen!$B$2:$B$2459,$Z2135)</f>
        <v>45938</v>
      </c>
      <c r="AC2135" s="61" t="str">
        <f aca="false">INDEX(Datos_Origen!$H$2:$H$2459,$Z2135)</f>
        <v>20</v>
      </c>
      <c r="AD2135" s="61" t="str">
        <f aca="false">INDEX(Datos_Origen!$D$2:$D$2459,$Z2135)&amp;""</f>
        <v>Cordoba</v>
      </c>
    </row>
    <row r="2136" customFormat="false" ht="15" hidden="false" customHeight="false" outlineLevel="0" collapsed="false">
      <c r="A2136" s="61" t="n">
        <f aca="false">INDEX(Datos_Origen!$A$2:$A$2459,$Z2136)</f>
        <v>2135</v>
      </c>
      <c r="B2136" s="62" t="n">
        <f aca="false">IF(ISNUMBER($AB2136),$AB2136,IF(MID($AB2136,5,1)="-",DATE(VALUE(LEFT($AB2136,4)),VALUE(MID($AB2136,6,2)),VALUE(RIGHT($AB2136,2))),DATE(VALUE(RIGHT($AB2136,4)),VALUE(MID($AB2136,4,2)),VALUE(LEFT($AB2136,2)))))</f>
        <v>45945</v>
      </c>
      <c r="C2136" s="61" t="n">
        <f aca="false">YEAR($B2136)</f>
        <v>2025</v>
      </c>
      <c r="D2136" s="61" t="str">
        <f aca="false">"Q"&amp;ROUNDUP(MONTH($B2136)/3,0)</f>
        <v>Q4</v>
      </c>
      <c r="E2136" s="61" t="n">
        <f aca="false">MONTH($B2136)</f>
        <v>10</v>
      </c>
      <c r="F2136" s="61" t="str">
        <f aca="false">INDEX(Parametros!$I$5:$I$16,$E2136)</f>
        <v>Oct</v>
      </c>
      <c r="G2136" s="61" t="str">
        <f aca="false">TEXT($C2136,"0000")&amp;"-"&amp;TEXT($E2136,"00")</f>
        <v>2025-10</v>
      </c>
      <c r="H2136" s="61" t="str">
        <f aca="false">INDEX(Parametros!$C$71:$C$91,MATCH(TRIM(INDEX(Datos_Origen!$C$2:$C$2459,$Z2136)),Parametros!$B$71:$B$91,0))</f>
        <v>Centro</v>
      </c>
      <c r="I2136" s="61" t="str">
        <f aca="false">IF(TRIM($AD2136)="",INDEX(Parametros!$I$20:$I$24,MATCH($H2136,Parametros!$H$20:$H$24,0)),TRIM($AD2136))</f>
        <v>Cordoba</v>
      </c>
      <c r="J2136" s="61" t="str">
        <f aca="false">INDEX(Parametros!$C$95:$C$106,MATCH(TRIM(INDEX(Datos_Origen!$E$2:$E$2459,$Z2136)),Parametros!$B$95:$B$106,0))</f>
        <v>Tienda fisica</v>
      </c>
      <c r="K2136" s="61" t="str">
        <f aca="false">INDEX(Parametros!$C$48:$C$67,MATCH(TRIM(INDEX(Datos_Origen!$F$2:$F$2459,$Z2136)),Parametros!$B$48:$B$67,0))</f>
        <v>Audio</v>
      </c>
      <c r="L2136" s="61" t="str">
        <f aca="false">$K2136&amp;" "&amp;$C2136</f>
        <v>Audio 2025</v>
      </c>
      <c r="M2136" s="61" t="str">
        <f aca="false">TRIM(INDEX(Datos_Origen!$G$2:$G$2459,$Z2136))</f>
        <v>Parlante Bluetooth</v>
      </c>
      <c r="N2136" s="61" t="str">
        <f aca="false">$M2136&amp;" "&amp;$C2136</f>
        <v>Parlante Bluetooth 2025</v>
      </c>
      <c r="O2136" s="63" t="n">
        <f aca="false">IF(ISTEXT($AC2136),VALUE($AC2136),$AC2136)</f>
        <v>26</v>
      </c>
      <c r="P2136" s="64" t="n">
        <f aca="false">INDEX(Datos_Origen!$I$2:$I$2459,$Z2136)</f>
        <v>85.34</v>
      </c>
      <c r="Q2136" s="64" t="n">
        <f aca="false">INDEX(Datos_Origen!$J$2:$J$2459,$Z2136)</f>
        <v>49.47</v>
      </c>
      <c r="R2136" s="65" t="n">
        <f aca="false">ROUND($O2136*$P2136,2)</f>
        <v>2218.84</v>
      </c>
      <c r="S2136" s="65" t="n">
        <f aca="false">ROUND($O2136*$Q2136,2)</f>
        <v>1286.22</v>
      </c>
      <c r="T2136" s="65" t="n">
        <f aca="false">ROUND($R2136*SUMIFS(Parametros!$E$28:$E$43,Parametros!$B$28:$B$43,$J2136,Parametros!$C$28:$C$43,$C2136,Parametros!$D$28:$D$43,$D2136),2)</f>
        <v>28.84</v>
      </c>
      <c r="U2136" s="65" t="n">
        <f aca="false">$R2136-$S2136-$T2136</f>
        <v>903.78</v>
      </c>
      <c r="V2136" s="66" t="n">
        <f aca="false">IFERROR($U2136/$R2136,0)</f>
        <v>0.407320942474446</v>
      </c>
      <c r="W2136" s="67" t="str">
        <f aca="false">IF(AND($V2136&gt;=Parametros!$C$8,$R2136&gt;=Parametros!$C$12),"Alta rentabilidad",IF(OR($V2136&lt;Parametros!$C$11,$R2136&lt;Parametros!$C$13),"Revisar","Estandar"))</f>
        <v>Estandar</v>
      </c>
      <c r="X2136" s="67" t="str">
        <f aca="false">IF(AND($J2136="E-commerce",IFERROR($T2136/$R2136,0)&gt;Parametros!$C$14),"Alerta","OK")</f>
        <v>OK</v>
      </c>
      <c r="Y2136" s="61" t="str">
        <f aca="false">IF($R2136&gt;=Parametros!$C$12,"Alto",IF($R2136&lt;Parametros!$C$13,"Bajo","Medio"))</f>
        <v>Medio</v>
      </c>
      <c r="Z2136" s="61" t="n">
        <v>805</v>
      </c>
      <c r="AA2136" s="61" t="str">
        <f aca="false">IF(MATCH($A2136,Datos_Origen!$A$2:$A$2459,0)=$Z2136,"OK","REVISAR")</f>
        <v>OK</v>
      </c>
      <c r="AB2136" s="62" t="n">
        <f aca="false">INDEX(Datos_Origen!$B$2:$B$2459,$Z2136)</f>
        <v>45945</v>
      </c>
      <c r="AC2136" s="61" t="n">
        <f aca="false">INDEX(Datos_Origen!$H$2:$H$2459,$Z2136)</f>
        <v>26</v>
      </c>
      <c r="AD2136" s="61" t="str">
        <f aca="false">INDEX(Datos_Origen!$D$2:$D$2459,$Z2136)&amp;""</f>
        <v>Cordoba</v>
      </c>
    </row>
    <row r="2137" customFormat="false" ht="15" hidden="false" customHeight="false" outlineLevel="0" collapsed="false">
      <c r="A2137" s="61" t="n">
        <f aca="false">INDEX(Datos_Origen!$A$2:$A$2459,$Z2137)</f>
        <v>2136</v>
      </c>
      <c r="B2137" s="62" t="n">
        <f aca="false">IF(ISNUMBER($AB2137),$AB2137,IF(MID($AB2137,5,1)="-",DATE(VALUE(LEFT($AB2137,4)),VALUE(MID($AB2137,6,2)),VALUE(RIGHT($AB2137,2))),DATE(VALUE(RIGHT($AB2137,4)),VALUE(MID($AB2137,4,2)),VALUE(LEFT($AB2137,2)))))</f>
        <v>45952</v>
      </c>
      <c r="C2137" s="61" t="n">
        <f aca="false">YEAR($B2137)</f>
        <v>2025</v>
      </c>
      <c r="D2137" s="61" t="str">
        <f aca="false">"Q"&amp;ROUNDUP(MONTH($B2137)/3,0)</f>
        <v>Q4</v>
      </c>
      <c r="E2137" s="61" t="n">
        <f aca="false">MONTH($B2137)</f>
        <v>10</v>
      </c>
      <c r="F2137" s="61" t="str">
        <f aca="false">INDEX(Parametros!$I$5:$I$16,$E2137)</f>
        <v>Oct</v>
      </c>
      <c r="G2137" s="61" t="str">
        <f aca="false">TEXT($C2137,"0000")&amp;"-"&amp;TEXT($E2137,"00")</f>
        <v>2025-10</v>
      </c>
      <c r="H2137" s="61" t="str">
        <f aca="false">INDEX(Parametros!$C$71:$C$91,MATCH(TRIM(INDEX(Datos_Origen!$C$2:$C$2459,$Z2137)),Parametros!$B$71:$B$91,0))</f>
        <v>Centro</v>
      </c>
      <c r="I2137" s="61" t="str">
        <f aca="false">IF(TRIM($AD2137)="",INDEX(Parametros!$I$20:$I$24,MATCH($H2137,Parametros!$H$20:$H$24,0)),TRIM($AD2137))</f>
        <v>Cordoba</v>
      </c>
      <c r="J2137" s="61" t="str">
        <f aca="false">INDEX(Parametros!$C$95:$C$106,MATCH(TRIM(INDEX(Datos_Origen!$E$2:$E$2459,$Z2137)),Parametros!$B$95:$B$106,0))</f>
        <v>E-commerce</v>
      </c>
      <c r="K2137" s="61" t="str">
        <f aca="false">INDEX(Parametros!$C$48:$C$67,MATCH(TRIM(INDEX(Datos_Origen!$F$2:$F$2459,$Z2137)),Parametros!$B$48:$B$67,0))</f>
        <v>Audio</v>
      </c>
      <c r="L2137" s="61" t="str">
        <f aca="false">$K2137&amp;" "&amp;$C2137</f>
        <v>Audio 2025</v>
      </c>
      <c r="M2137" s="61" t="str">
        <f aca="false">TRIM(INDEX(Datos_Origen!$G$2:$G$2459,$Z2137))</f>
        <v>Parlante Bluetooth</v>
      </c>
      <c r="N2137" s="61" t="str">
        <f aca="false">$M2137&amp;" "&amp;$C2137</f>
        <v>Parlante Bluetooth 2025</v>
      </c>
      <c r="O2137" s="63" t="n">
        <f aca="false">IF(ISTEXT($AC2137),VALUE($AC2137),$AC2137)</f>
        <v>18</v>
      </c>
      <c r="P2137" s="64" t="n">
        <f aca="false">INDEX(Datos_Origen!$I$2:$I$2459,$Z2137)</f>
        <v>85.34</v>
      </c>
      <c r="Q2137" s="64" t="n">
        <f aca="false">INDEX(Datos_Origen!$J$2:$J$2459,$Z2137)</f>
        <v>49.47</v>
      </c>
      <c r="R2137" s="65" t="n">
        <f aca="false">ROUND($O2137*$P2137,2)</f>
        <v>1536.12</v>
      </c>
      <c r="S2137" s="65" t="n">
        <f aca="false">ROUND($O2137*$Q2137,2)</f>
        <v>890.46</v>
      </c>
      <c r="T2137" s="65" t="n">
        <f aca="false">ROUND($R2137*SUMIFS(Parametros!$E$28:$E$43,Parametros!$B$28:$B$43,$J2137,Parametros!$C$28:$C$43,$C2137,Parametros!$D$28:$D$43,$D2137),2)</f>
        <v>79.88</v>
      </c>
      <c r="U2137" s="65" t="n">
        <f aca="false">$R2137-$S2137-$T2137</f>
        <v>565.78</v>
      </c>
      <c r="V2137" s="66" t="n">
        <f aca="false">IFERROR($U2137/$R2137,0)</f>
        <v>0.368317579355779</v>
      </c>
      <c r="W2137" s="67" t="str">
        <f aca="false">IF(AND($V2137&gt;=Parametros!$C$8,$R2137&gt;=Parametros!$C$12),"Alta rentabilidad",IF(OR($V2137&lt;Parametros!$C$11,$R2137&lt;Parametros!$C$13),"Revisar","Estandar"))</f>
        <v>Estandar</v>
      </c>
      <c r="X2137" s="67" t="str">
        <f aca="false">IF(AND($J2137="E-commerce",IFERROR($T2137/$R2137,0)&gt;Parametros!$C$14),"Alerta","OK")</f>
        <v>Alerta</v>
      </c>
      <c r="Y2137" s="61" t="str">
        <f aca="false">IF($R2137&gt;=Parametros!$C$12,"Alto",IF($R2137&lt;Parametros!$C$13,"Bajo","Medio"))</f>
        <v>Medio</v>
      </c>
      <c r="Z2137" s="61" t="n">
        <v>1823</v>
      </c>
      <c r="AA2137" s="61" t="str">
        <f aca="false">IF(MATCH($A2137,Datos_Origen!$A$2:$A$2459,0)=$Z2137,"OK","REVISAR")</f>
        <v>OK</v>
      </c>
      <c r="AB2137" s="62" t="n">
        <f aca="false">INDEX(Datos_Origen!$B$2:$B$2459,$Z2137)</f>
        <v>45952</v>
      </c>
      <c r="AC2137" s="61" t="n">
        <f aca="false">INDEX(Datos_Origen!$H$2:$H$2459,$Z2137)</f>
        <v>18</v>
      </c>
      <c r="AD2137" s="61" t="str">
        <f aca="false">INDEX(Datos_Origen!$D$2:$D$2459,$Z2137)&amp;""</f>
        <v>Cordoba</v>
      </c>
    </row>
    <row r="2138" customFormat="false" ht="15" hidden="false" customHeight="false" outlineLevel="0" collapsed="false">
      <c r="A2138" s="61" t="n">
        <f aca="false">INDEX(Datos_Origen!$A$2:$A$2459,$Z2138)</f>
        <v>2137</v>
      </c>
      <c r="B2138" s="62" t="n">
        <f aca="false">IF(ISNUMBER($AB2138),$AB2138,IF(MID($AB2138,5,1)="-",DATE(VALUE(LEFT($AB2138,4)),VALUE(MID($AB2138,6,2)),VALUE(RIGHT($AB2138,2))),DATE(VALUE(RIGHT($AB2138,4)),VALUE(MID($AB2138,4,2)),VALUE(LEFT($AB2138,2)))))</f>
        <v>45932</v>
      </c>
      <c r="C2138" s="61" t="n">
        <f aca="false">YEAR($B2138)</f>
        <v>2025</v>
      </c>
      <c r="D2138" s="61" t="str">
        <f aca="false">"Q"&amp;ROUNDUP(MONTH($B2138)/3,0)</f>
        <v>Q4</v>
      </c>
      <c r="E2138" s="61" t="n">
        <f aca="false">MONTH($B2138)</f>
        <v>10</v>
      </c>
      <c r="F2138" s="61" t="str">
        <f aca="false">INDEX(Parametros!$I$5:$I$16,$E2138)</f>
        <v>Oct</v>
      </c>
      <c r="G2138" s="61" t="str">
        <f aca="false">TEXT($C2138,"0000")&amp;"-"&amp;TEXT($E2138,"00")</f>
        <v>2025-10</v>
      </c>
      <c r="H2138" s="61" t="str">
        <f aca="false">INDEX(Parametros!$C$71:$C$91,MATCH(TRIM(INDEX(Datos_Origen!$C$2:$C$2459,$Z2138)),Parametros!$B$71:$B$91,0))</f>
        <v>Centro</v>
      </c>
      <c r="I2138" s="61" t="str">
        <f aca="false">IF(TRIM($AD2138)="",INDEX(Parametros!$I$20:$I$24,MATCH($H2138,Parametros!$H$20:$H$24,0)),TRIM($AD2138))</f>
        <v>Cordoba</v>
      </c>
      <c r="J2138" s="61" t="str">
        <f aca="false">INDEX(Parametros!$C$95:$C$106,MATCH(TRIM(INDEX(Datos_Origen!$E$2:$E$2459,$Z2138)),Parametros!$B$95:$B$106,0))</f>
        <v>Tienda fisica</v>
      </c>
      <c r="K2138" s="61" t="str">
        <f aca="false">INDEX(Parametros!$C$48:$C$67,MATCH(TRIM(INDEX(Datos_Origen!$F$2:$F$2459,$Z2138)),Parametros!$B$48:$B$67,0))</f>
        <v>Almacenamiento</v>
      </c>
      <c r="L2138" s="61" t="str">
        <f aca="false">$K2138&amp;" "&amp;$C2138</f>
        <v>Almacenamiento 2025</v>
      </c>
      <c r="M2138" s="61" t="str">
        <f aca="false">TRIM(INDEX(Datos_Origen!$G$2:$G$2459,$Z2138))</f>
        <v>SSD Externo 1TB</v>
      </c>
      <c r="N2138" s="61" t="str">
        <f aca="false">$M2138&amp;" "&amp;$C2138</f>
        <v>SSD Externo 1TB 2025</v>
      </c>
      <c r="O2138" s="63" t="n">
        <f aca="false">IF(ISTEXT($AC2138),VALUE($AC2138),$AC2138)</f>
        <v>28</v>
      </c>
      <c r="P2138" s="64" t="n">
        <f aca="false">INDEX(Datos_Origen!$I$2:$I$2459,$Z2138)</f>
        <v>130.51</v>
      </c>
      <c r="Q2138" s="64" t="n">
        <f aca="false">INDEX(Datos_Origen!$J$2:$J$2459,$Z2138)</f>
        <v>78.33</v>
      </c>
      <c r="R2138" s="65" t="n">
        <f aca="false">ROUND($O2138*$P2138,2)</f>
        <v>3654.28</v>
      </c>
      <c r="S2138" s="65" t="n">
        <f aca="false">ROUND($O2138*$Q2138,2)</f>
        <v>2193.24</v>
      </c>
      <c r="T2138" s="65" t="n">
        <f aca="false">ROUND($R2138*SUMIFS(Parametros!$E$28:$E$43,Parametros!$B$28:$B$43,$J2138,Parametros!$C$28:$C$43,$C2138,Parametros!$D$28:$D$43,$D2138),2)</f>
        <v>47.51</v>
      </c>
      <c r="U2138" s="65" t="n">
        <f aca="false">$R2138-$S2138-$T2138</f>
        <v>1413.53</v>
      </c>
      <c r="V2138" s="66" t="n">
        <f aca="false">IFERROR($U2138/$R2138,0)</f>
        <v>0.386814912924023</v>
      </c>
      <c r="W2138" s="67" t="str">
        <f aca="false">IF(AND($V2138&gt;=Parametros!$C$8,$R2138&gt;=Parametros!$C$12),"Alta rentabilidad",IF(OR($V2138&lt;Parametros!$C$11,$R2138&lt;Parametros!$C$13),"Revisar","Estandar"))</f>
        <v>Alta rentabilidad</v>
      </c>
      <c r="X2138" s="67" t="str">
        <f aca="false">IF(AND($J2138="E-commerce",IFERROR($T2138/$R2138,0)&gt;Parametros!$C$14),"Alerta","OK")</f>
        <v>OK</v>
      </c>
      <c r="Y2138" s="61" t="str">
        <f aca="false">IF($R2138&gt;=Parametros!$C$12,"Alto",IF($R2138&lt;Parametros!$C$13,"Bajo","Medio"))</f>
        <v>Alto</v>
      </c>
      <c r="Z2138" s="61" t="n">
        <v>444</v>
      </c>
      <c r="AA2138" s="61" t="str">
        <f aca="false">IF(MATCH($A2138,Datos_Origen!$A$2:$A$2459,0)=$Z2138,"OK","REVISAR")</f>
        <v>OK</v>
      </c>
      <c r="AB2138" s="62" t="n">
        <f aca="false">INDEX(Datos_Origen!$B$2:$B$2459,$Z2138)</f>
        <v>45932</v>
      </c>
      <c r="AC2138" s="61" t="n">
        <f aca="false">INDEX(Datos_Origen!$H$2:$H$2459,$Z2138)</f>
        <v>28</v>
      </c>
      <c r="AD2138" s="61" t="str">
        <f aca="false">INDEX(Datos_Origen!$D$2:$D$2459,$Z2138)&amp;""</f>
        <v>Cordoba</v>
      </c>
    </row>
    <row r="2139" customFormat="false" ht="15" hidden="false" customHeight="false" outlineLevel="0" collapsed="false">
      <c r="A2139" s="61" t="n">
        <f aca="false">INDEX(Datos_Origen!$A$2:$A$2459,$Z2139)</f>
        <v>2138</v>
      </c>
      <c r="B2139" s="62" t="n">
        <f aca="false">IF(ISNUMBER($AB2139),$AB2139,IF(MID($AB2139,5,1)="-",DATE(VALUE(LEFT($AB2139,4)),VALUE(MID($AB2139,6,2)),VALUE(RIGHT($AB2139,2))),DATE(VALUE(RIGHT($AB2139,4)),VALUE(MID($AB2139,4,2)),VALUE(LEFT($AB2139,2)))))</f>
        <v>45939</v>
      </c>
      <c r="C2139" s="61" t="n">
        <f aca="false">YEAR($B2139)</f>
        <v>2025</v>
      </c>
      <c r="D2139" s="61" t="str">
        <f aca="false">"Q"&amp;ROUNDUP(MONTH($B2139)/3,0)</f>
        <v>Q4</v>
      </c>
      <c r="E2139" s="61" t="n">
        <f aca="false">MONTH($B2139)</f>
        <v>10</v>
      </c>
      <c r="F2139" s="61" t="str">
        <f aca="false">INDEX(Parametros!$I$5:$I$16,$E2139)</f>
        <v>Oct</v>
      </c>
      <c r="G2139" s="61" t="str">
        <f aca="false">TEXT($C2139,"0000")&amp;"-"&amp;TEXT($E2139,"00")</f>
        <v>2025-10</v>
      </c>
      <c r="H2139" s="61" t="str">
        <f aca="false">INDEX(Parametros!$C$71:$C$91,MATCH(TRIM(INDEX(Datos_Origen!$C$2:$C$2459,$Z2139)),Parametros!$B$71:$B$91,0))</f>
        <v>Centro</v>
      </c>
      <c r="I2139" s="61" t="str">
        <f aca="false">IF(TRIM($AD2139)="",INDEX(Parametros!$I$20:$I$24,MATCH($H2139,Parametros!$H$20:$H$24,0)),TRIM($AD2139))</f>
        <v>Cordoba</v>
      </c>
      <c r="J2139" s="61" t="str">
        <f aca="false">INDEX(Parametros!$C$95:$C$106,MATCH(TRIM(INDEX(Datos_Origen!$E$2:$E$2459,$Z2139)),Parametros!$B$95:$B$106,0))</f>
        <v>E-commerce</v>
      </c>
      <c r="K2139" s="61" t="str">
        <f aca="false">INDEX(Parametros!$C$48:$C$67,MATCH(TRIM(INDEX(Datos_Origen!$F$2:$F$2459,$Z2139)),Parametros!$B$48:$B$67,0))</f>
        <v>Almacenamiento</v>
      </c>
      <c r="L2139" s="61" t="str">
        <f aca="false">$K2139&amp;" "&amp;$C2139</f>
        <v>Almacenamiento 2025</v>
      </c>
      <c r="M2139" s="61" t="str">
        <f aca="false">TRIM(INDEX(Datos_Origen!$G$2:$G$2459,$Z2139))</f>
        <v>SSD Externo 1TB</v>
      </c>
      <c r="N2139" s="61" t="str">
        <f aca="false">$M2139&amp;" "&amp;$C2139</f>
        <v>SSD Externo 1TB 2025</v>
      </c>
      <c r="O2139" s="63" t="n">
        <f aca="false">IF(ISTEXT($AC2139),VALUE($AC2139),$AC2139)</f>
        <v>24</v>
      </c>
      <c r="P2139" s="64" t="n">
        <f aca="false">INDEX(Datos_Origen!$I$2:$I$2459,$Z2139)</f>
        <v>130.51</v>
      </c>
      <c r="Q2139" s="64" t="n">
        <f aca="false">INDEX(Datos_Origen!$J$2:$J$2459,$Z2139)</f>
        <v>78.33</v>
      </c>
      <c r="R2139" s="65" t="n">
        <f aca="false">ROUND($O2139*$P2139,2)</f>
        <v>3132.24</v>
      </c>
      <c r="S2139" s="65" t="n">
        <f aca="false">ROUND($O2139*$Q2139,2)</f>
        <v>1879.92</v>
      </c>
      <c r="T2139" s="65" t="n">
        <f aca="false">ROUND($R2139*SUMIFS(Parametros!$E$28:$E$43,Parametros!$B$28:$B$43,$J2139,Parametros!$C$28:$C$43,$C2139,Parametros!$D$28:$D$43,$D2139),2)</f>
        <v>162.88</v>
      </c>
      <c r="U2139" s="65" t="n">
        <f aca="false">$R2139-$S2139-$T2139</f>
        <v>1089.44</v>
      </c>
      <c r="V2139" s="66" t="n">
        <f aca="false">IFERROR($U2139/$R2139,0)</f>
        <v>0.347814982249125</v>
      </c>
      <c r="W2139" s="67" t="str">
        <f aca="false">IF(AND($V2139&gt;=Parametros!$C$8,$R2139&gt;=Parametros!$C$12),"Alta rentabilidad",IF(OR($V2139&lt;Parametros!$C$11,$R2139&lt;Parametros!$C$13),"Revisar","Estandar"))</f>
        <v>Alta rentabilidad</v>
      </c>
      <c r="X2139" s="67" t="str">
        <f aca="false">IF(AND($J2139="E-commerce",IFERROR($T2139/$R2139,0)&gt;Parametros!$C$14),"Alerta","OK")</f>
        <v>Alerta</v>
      </c>
      <c r="Y2139" s="61" t="str">
        <f aca="false">IF($R2139&gt;=Parametros!$C$12,"Alto",IF($R2139&lt;Parametros!$C$13,"Bajo","Medio"))</f>
        <v>Alto</v>
      </c>
      <c r="Z2139" s="61" t="n">
        <v>183</v>
      </c>
      <c r="AA2139" s="61" t="str">
        <f aca="false">IF(MATCH($A2139,Datos_Origen!$A$2:$A$2459,0)=$Z2139,"OK","REVISAR")</f>
        <v>OK</v>
      </c>
      <c r="AB2139" s="62" t="n">
        <f aca="false">INDEX(Datos_Origen!$B$2:$B$2459,$Z2139)</f>
        <v>45939</v>
      </c>
      <c r="AC2139" s="61" t="str">
        <f aca="false">INDEX(Datos_Origen!$H$2:$H$2459,$Z2139)</f>
        <v>24</v>
      </c>
      <c r="AD2139" s="61" t="str">
        <f aca="false">INDEX(Datos_Origen!$D$2:$D$2459,$Z2139)&amp;""</f>
        <v>Cordoba</v>
      </c>
    </row>
    <row r="2140" customFormat="false" ht="15" hidden="false" customHeight="false" outlineLevel="0" collapsed="false">
      <c r="A2140" s="61" t="n">
        <f aca="false">INDEX(Datos_Origen!$A$2:$A$2459,$Z2140)</f>
        <v>2139</v>
      </c>
      <c r="B2140" s="62" t="n">
        <f aca="false">IF(ISNUMBER($AB2140),$AB2140,IF(MID($AB2140,5,1)="-",DATE(VALUE(LEFT($AB2140,4)),VALUE(MID($AB2140,6,2)),VALUE(RIGHT($AB2140,2))),DATE(VALUE(RIGHT($AB2140,4)),VALUE(MID($AB2140,4,2)),VALUE(LEFT($AB2140,2)))))</f>
        <v>45946</v>
      </c>
      <c r="C2140" s="61" t="n">
        <f aca="false">YEAR($B2140)</f>
        <v>2025</v>
      </c>
      <c r="D2140" s="61" t="str">
        <f aca="false">"Q"&amp;ROUNDUP(MONTH($B2140)/3,0)</f>
        <v>Q4</v>
      </c>
      <c r="E2140" s="61" t="n">
        <f aca="false">MONTH($B2140)</f>
        <v>10</v>
      </c>
      <c r="F2140" s="61" t="str">
        <f aca="false">INDEX(Parametros!$I$5:$I$16,$E2140)</f>
        <v>Oct</v>
      </c>
      <c r="G2140" s="61" t="str">
        <f aca="false">TEXT($C2140,"0000")&amp;"-"&amp;TEXT($E2140,"00")</f>
        <v>2025-10</v>
      </c>
      <c r="H2140" s="61" t="str">
        <f aca="false">INDEX(Parametros!$C$71:$C$91,MATCH(TRIM(INDEX(Datos_Origen!$C$2:$C$2459,$Z2140)),Parametros!$B$71:$B$91,0))</f>
        <v>Centro</v>
      </c>
      <c r="I2140" s="61" t="str">
        <f aca="false">IF(TRIM($AD2140)="",INDEX(Parametros!$I$20:$I$24,MATCH($H2140,Parametros!$H$20:$H$24,0)),TRIM($AD2140))</f>
        <v>Cordoba</v>
      </c>
      <c r="J2140" s="61" t="str">
        <f aca="false">INDEX(Parametros!$C$95:$C$106,MATCH(TRIM(INDEX(Datos_Origen!$E$2:$E$2459,$Z2140)),Parametros!$B$95:$B$106,0))</f>
        <v>Tienda fisica</v>
      </c>
      <c r="K2140" s="61" t="str">
        <f aca="false">INDEX(Parametros!$C$48:$C$67,MATCH(TRIM(INDEX(Datos_Origen!$F$2:$F$2459,$Z2140)),Parametros!$B$48:$B$67,0))</f>
        <v>Almacenamiento</v>
      </c>
      <c r="L2140" s="61" t="str">
        <f aca="false">$K2140&amp;" "&amp;$C2140</f>
        <v>Almacenamiento 2025</v>
      </c>
      <c r="M2140" s="61" t="str">
        <f aca="false">TRIM(INDEX(Datos_Origen!$G$2:$G$2459,$Z2140))</f>
        <v>Pendrive 256GB</v>
      </c>
      <c r="N2140" s="61" t="str">
        <f aca="false">$M2140&amp;" "&amp;$C2140</f>
        <v>Pendrive 256GB 2025</v>
      </c>
      <c r="O2140" s="63" t="n">
        <f aca="false">IF(ISTEXT($AC2140),VALUE($AC2140),$AC2140)</f>
        <v>30</v>
      </c>
      <c r="P2140" s="64" t="n">
        <f aca="false">INDEX(Datos_Origen!$I$2:$I$2459,$Z2140)</f>
        <v>35.14</v>
      </c>
      <c r="Q2140" s="64" t="n">
        <f aca="false">INDEX(Datos_Origen!$J$2:$J$2459,$Z2140)</f>
        <v>18.39</v>
      </c>
      <c r="R2140" s="65" t="n">
        <f aca="false">ROUND($O2140*$P2140,2)</f>
        <v>1054.2</v>
      </c>
      <c r="S2140" s="65" t="n">
        <f aca="false">ROUND($O2140*$Q2140,2)</f>
        <v>551.7</v>
      </c>
      <c r="T2140" s="65" t="n">
        <f aca="false">ROUND($R2140*SUMIFS(Parametros!$E$28:$E$43,Parametros!$B$28:$B$43,$J2140,Parametros!$C$28:$C$43,$C2140,Parametros!$D$28:$D$43,$D2140),2)</f>
        <v>13.7</v>
      </c>
      <c r="U2140" s="65" t="n">
        <f aca="false">$R2140-$S2140-$T2140</f>
        <v>488.8</v>
      </c>
      <c r="V2140" s="66" t="n">
        <f aca="false">IFERROR($U2140/$R2140,0)</f>
        <v>0.463669132991842</v>
      </c>
      <c r="W2140" s="67" t="str">
        <f aca="false">IF(AND($V2140&gt;=Parametros!$C$8,$R2140&gt;=Parametros!$C$12),"Alta rentabilidad",IF(OR($V2140&lt;Parametros!$C$11,$R2140&lt;Parametros!$C$13),"Revisar","Estandar"))</f>
        <v>Estandar</v>
      </c>
      <c r="X2140" s="67" t="str">
        <f aca="false">IF(AND($J2140="E-commerce",IFERROR($T2140/$R2140,0)&gt;Parametros!$C$14),"Alerta","OK")</f>
        <v>OK</v>
      </c>
      <c r="Y2140" s="61" t="str">
        <f aca="false">IF($R2140&gt;=Parametros!$C$12,"Alto",IF($R2140&lt;Parametros!$C$13,"Bajo","Medio"))</f>
        <v>Medio</v>
      </c>
      <c r="Z2140" s="61" t="n">
        <v>880</v>
      </c>
      <c r="AA2140" s="61" t="str">
        <f aca="false">IF(MATCH($A2140,Datos_Origen!$A$2:$A$2459,0)=$Z2140,"OK","REVISAR")</f>
        <v>OK</v>
      </c>
      <c r="AB2140" s="62" t="n">
        <f aca="false">INDEX(Datos_Origen!$B$2:$B$2459,$Z2140)</f>
        <v>45946</v>
      </c>
      <c r="AC2140" s="61" t="str">
        <f aca="false">INDEX(Datos_Origen!$H$2:$H$2459,$Z2140)</f>
        <v>30</v>
      </c>
      <c r="AD2140" s="61" t="str">
        <f aca="false">INDEX(Datos_Origen!$D$2:$D$2459,$Z2140)&amp;""</f>
        <v>Cordoba</v>
      </c>
    </row>
    <row r="2141" customFormat="false" ht="15" hidden="false" customHeight="false" outlineLevel="0" collapsed="false">
      <c r="A2141" s="61" t="n">
        <f aca="false">INDEX(Datos_Origen!$A$2:$A$2459,$Z2141)</f>
        <v>2140</v>
      </c>
      <c r="B2141" s="62" t="n">
        <f aca="false">IF(ISNUMBER($AB2141),$AB2141,IF(MID($AB2141,5,1)="-",DATE(VALUE(LEFT($AB2141,4)),VALUE(MID($AB2141,6,2)),VALUE(RIGHT($AB2141,2))),DATE(VALUE(RIGHT($AB2141,4)),VALUE(MID($AB2141,4,2)),VALUE(LEFT($AB2141,2)))))</f>
        <v>45953</v>
      </c>
      <c r="C2141" s="61" t="n">
        <f aca="false">YEAR($B2141)</f>
        <v>2025</v>
      </c>
      <c r="D2141" s="61" t="str">
        <f aca="false">"Q"&amp;ROUNDUP(MONTH($B2141)/3,0)</f>
        <v>Q4</v>
      </c>
      <c r="E2141" s="61" t="n">
        <f aca="false">MONTH($B2141)</f>
        <v>10</v>
      </c>
      <c r="F2141" s="61" t="str">
        <f aca="false">INDEX(Parametros!$I$5:$I$16,$E2141)</f>
        <v>Oct</v>
      </c>
      <c r="G2141" s="61" t="str">
        <f aca="false">TEXT($C2141,"0000")&amp;"-"&amp;TEXT($E2141,"00")</f>
        <v>2025-10</v>
      </c>
      <c r="H2141" s="61" t="str">
        <f aca="false">INDEX(Parametros!$C$71:$C$91,MATCH(TRIM(INDEX(Datos_Origen!$C$2:$C$2459,$Z2141)),Parametros!$B$71:$B$91,0))</f>
        <v>Centro</v>
      </c>
      <c r="I2141" s="61" t="str">
        <f aca="false">IF(TRIM($AD2141)="",INDEX(Parametros!$I$20:$I$24,MATCH($H2141,Parametros!$H$20:$H$24,0)),TRIM($AD2141))</f>
        <v>Cordoba</v>
      </c>
      <c r="J2141" s="61" t="str">
        <f aca="false">INDEX(Parametros!$C$95:$C$106,MATCH(TRIM(INDEX(Datos_Origen!$E$2:$E$2459,$Z2141)),Parametros!$B$95:$B$106,0))</f>
        <v>E-commerce</v>
      </c>
      <c r="K2141" s="61" t="str">
        <f aca="false">INDEX(Parametros!$C$48:$C$67,MATCH(TRIM(INDEX(Datos_Origen!$F$2:$F$2459,$Z2141)),Parametros!$B$48:$B$67,0))</f>
        <v>Almacenamiento</v>
      </c>
      <c r="L2141" s="61" t="str">
        <f aca="false">$K2141&amp;" "&amp;$C2141</f>
        <v>Almacenamiento 2025</v>
      </c>
      <c r="M2141" s="61" t="str">
        <f aca="false">TRIM(INDEX(Datos_Origen!$G$2:$G$2459,$Z2141))</f>
        <v>Pendrive 256GB</v>
      </c>
      <c r="N2141" s="61" t="str">
        <f aca="false">$M2141&amp;" "&amp;$C2141</f>
        <v>Pendrive 256GB 2025</v>
      </c>
      <c r="O2141" s="63" t="n">
        <f aca="false">IF(ISTEXT($AC2141),VALUE($AC2141),$AC2141)</f>
        <v>19</v>
      </c>
      <c r="P2141" s="64" t="n">
        <f aca="false">INDEX(Datos_Origen!$I$2:$I$2459,$Z2141)</f>
        <v>35.14</v>
      </c>
      <c r="Q2141" s="64" t="n">
        <f aca="false">INDEX(Datos_Origen!$J$2:$J$2459,$Z2141)</f>
        <v>18.39</v>
      </c>
      <c r="R2141" s="65" t="n">
        <f aca="false">ROUND($O2141*$P2141,2)</f>
        <v>667.66</v>
      </c>
      <c r="S2141" s="65" t="n">
        <f aca="false">ROUND($O2141*$Q2141,2)</f>
        <v>349.41</v>
      </c>
      <c r="T2141" s="65" t="n">
        <f aca="false">ROUND($R2141*SUMIFS(Parametros!$E$28:$E$43,Parametros!$B$28:$B$43,$J2141,Parametros!$C$28:$C$43,$C2141,Parametros!$D$28:$D$43,$D2141),2)</f>
        <v>34.72</v>
      </c>
      <c r="U2141" s="65" t="n">
        <f aca="false">$R2141-$S2141-$T2141</f>
        <v>283.53</v>
      </c>
      <c r="V2141" s="66" t="n">
        <f aca="false">IFERROR($U2141/$R2141,0)</f>
        <v>0.424662253242668</v>
      </c>
      <c r="W2141" s="67" t="str">
        <f aca="false">IF(AND($V2141&gt;=Parametros!$C$8,$R2141&gt;=Parametros!$C$12),"Alta rentabilidad",IF(OR($V2141&lt;Parametros!$C$11,$R2141&lt;Parametros!$C$13),"Revisar","Estandar"))</f>
        <v>Estandar</v>
      </c>
      <c r="X2141" s="67" t="str">
        <f aca="false">IF(AND($J2141="E-commerce",IFERROR($T2141/$R2141,0)&gt;Parametros!$C$14),"Alerta","OK")</f>
        <v>Alerta</v>
      </c>
      <c r="Y2141" s="61" t="str">
        <f aca="false">IF($R2141&gt;=Parametros!$C$12,"Alto",IF($R2141&lt;Parametros!$C$13,"Bajo","Medio"))</f>
        <v>Medio</v>
      </c>
      <c r="Z2141" s="61" t="n">
        <v>1396</v>
      </c>
      <c r="AA2141" s="61" t="str">
        <f aca="false">IF(MATCH($A2141,Datos_Origen!$A$2:$A$2459,0)=$Z2141,"OK","REVISAR")</f>
        <v>OK</v>
      </c>
      <c r="AB2141" s="62" t="n">
        <f aca="false">INDEX(Datos_Origen!$B$2:$B$2459,$Z2141)</f>
        <v>45953</v>
      </c>
      <c r="AC2141" s="61" t="n">
        <f aca="false">INDEX(Datos_Origen!$H$2:$H$2459,$Z2141)</f>
        <v>19</v>
      </c>
      <c r="AD2141" s="61" t="str">
        <f aca="false">INDEX(Datos_Origen!$D$2:$D$2459,$Z2141)&amp;""</f>
        <v>Cordoba</v>
      </c>
    </row>
    <row r="2142" customFormat="false" ht="15" hidden="false" customHeight="false" outlineLevel="0" collapsed="false">
      <c r="A2142" s="61" t="n">
        <f aca="false">INDEX(Datos_Origen!$A$2:$A$2459,$Z2142)</f>
        <v>2141</v>
      </c>
      <c r="B2142" s="62" t="n">
        <f aca="false">IF(ISNUMBER($AB2142),$AB2142,IF(MID($AB2142,5,1)="-",DATE(VALUE(LEFT($AB2142,4)),VALUE(MID($AB2142,6,2)),VALUE(RIGHT($AB2142,2))),DATE(VALUE(RIGHT($AB2142,4)),VALUE(MID($AB2142,4,2)),VALUE(LEFT($AB2142,2)))))</f>
        <v>45933</v>
      </c>
      <c r="C2142" s="61" t="n">
        <f aca="false">YEAR($B2142)</f>
        <v>2025</v>
      </c>
      <c r="D2142" s="61" t="str">
        <f aca="false">"Q"&amp;ROUNDUP(MONTH($B2142)/3,0)</f>
        <v>Q4</v>
      </c>
      <c r="E2142" s="61" t="n">
        <f aca="false">MONTH($B2142)</f>
        <v>10</v>
      </c>
      <c r="F2142" s="61" t="str">
        <f aca="false">INDEX(Parametros!$I$5:$I$16,$E2142)</f>
        <v>Oct</v>
      </c>
      <c r="G2142" s="61" t="str">
        <f aca="false">TEXT($C2142,"0000")&amp;"-"&amp;TEXT($E2142,"00")</f>
        <v>2025-10</v>
      </c>
      <c r="H2142" s="61" t="str">
        <f aca="false">INDEX(Parametros!$C$71:$C$91,MATCH(TRIM(INDEX(Datos_Origen!$C$2:$C$2459,$Z2142)),Parametros!$B$71:$B$91,0))</f>
        <v>Litoral</v>
      </c>
      <c r="I2142" s="61" t="str">
        <f aca="false">IF(TRIM($AD2142)="",INDEX(Parametros!$I$20:$I$24,MATCH($H2142,Parametros!$H$20:$H$24,0)),TRIM($AD2142))</f>
        <v>Rosario</v>
      </c>
      <c r="J2142" s="61" t="str">
        <f aca="false">INDEX(Parametros!$C$95:$C$106,MATCH(TRIM(INDEX(Datos_Origen!$E$2:$E$2459,$Z2142)),Parametros!$B$95:$B$106,0))</f>
        <v>Tienda fisica</v>
      </c>
      <c r="K2142" s="61" t="str">
        <f aca="false">INDEX(Parametros!$C$48:$C$67,MATCH(TRIM(INDEX(Datos_Origen!$F$2:$F$2459,$Z2142)),Parametros!$B$48:$B$67,0))</f>
        <v>Computacion</v>
      </c>
      <c r="L2142" s="61" t="str">
        <f aca="false">$K2142&amp;" "&amp;$C2142</f>
        <v>Computacion 2025</v>
      </c>
      <c r="M2142" s="61" t="str">
        <f aca="false">TRIM(INDEX(Datos_Origen!$G$2:$G$2459,$Z2142))</f>
        <v>Laptop Pro 15</v>
      </c>
      <c r="N2142" s="61" t="str">
        <f aca="false">$M2142&amp;" "&amp;$C2142</f>
        <v>Laptop Pro 15 2025</v>
      </c>
      <c r="O2142" s="63" t="n">
        <f aca="false">IF(ISTEXT($AC2142),VALUE($AC2142),$AC2142)</f>
        <v>8</v>
      </c>
      <c r="P2142" s="64" t="n">
        <f aca="false">INDEX(Datos_Origen!$I$2:$I$2459,$Z2142)</f>
        <v>1204.74</v>
      </c>
      <c r="Q2142" s="64" t="n">
        <f aca="false">INDEX(Datos_Origen!$J$2:$J$2459,$Z2142)</f>
        <v>766.32</v>
      </c>
      <c r="R2142" s="65" t="n">
        <f aca="false">ROUND($O2142*$P2142,2)</f>
        <v>9637.92</v>
      </c>
      <c r="S2142" s="65" t="n">
        <f aca="false">ROUND($O2142*$Q2142,2)</f>
        <v>6130.56</v>
      </c>
      <c r="T2142" s="65" t="n">
        <f aca="false">ROUND($R2142*SUMIFS(Parametros!$E$28:$E$43,Parametros!$B$28:$B$43,$J2142,Parametros!$C$28:$C$43,$C2142,Parametros!$D$28:$D$43,$D2142),2)</f>
        <v>125.29</v>
      </c>
      <c r="U2142" s="65" t="n">
        <f aca="false">$R2142-$S2142-$T2142</f>
        <v>3382.07</v>
      </c>
      <c r="V2142" s="66" t="n">
        <f aca="false">IFERROR($U2142/$R2142,0)</f>
        <v>0.350912852565699</v>
      </c>
      <c r="W2142" s="67" t="str">
        <f aca="false">IF(AND($V2142&gt;=Parametros!$C$8,$R2142&gt;=Parametros!$C$12),"Alta rentabilidad",IF(OR($V2142&lt;Parametros!$C$11,$R2142&lt;Parametros!$C$13),"Revisar","Estandar"))</f>
        <v>Alta rentabilidad</v>
      </c>
      <c r="X2142" s="67" t="str">
        <f aca="false">IF(AND($J2142="E-commerce",IFERROR($T2142/$R2142,0)&gt;Parametros!$C$14),"Alerta","OK")</f>
        <v>OK</v>
      </c>
      <c r="Y2142" s="61" t="str">
        <f aca="false">IF($R2142&gt;=Parametros!$C$12,"Alto",IF($R2142&lt;Parametros!$C$13,"Bajo","Medio"))</f>
        <v>Alto</v>
      </c>
      <c r="Z2142" s="61" t="n">
        <v>36</v>
      </c>
      <c r="AA2142" s="61" t="str">
        <f aca="false">IF(MATCH($A2142,Datos_Origen!$A$2:$A$2459,0)=$Z2142,"OK","REVISAR")</f>
        <v>OK</v>
      </c>
      <c r="AB2142" s="62" t="n">
        <f aca="false">INDEX(Datos_Origen!$B$2:$B$2459,$Z2142)</f>
        <v>45933</v>
      </c>
      <c r="AC2142" s="61" t="n">
        <f aca="false">INDEX(Datos_Origen!$H$2:$H$2459,$Z2142)</f>
        <v>8</v>
      </c>
      <c r="AD2142" s="61" t="str">
        <f aca="false">INDEX(Datos_Origen!$D$2:$D$2459,$Z2142)&amp;""</f>
        <v>Rosario</v>
      </c>
    </row>
    <row r="2143" customFormat="false" ht="15" hidden="false" customHeight="false" outlineLevel="0" collapsed="false">
      <c r="A2143" s="61" t="n">
        <f aca="false">INDEX(Datos_Origen!$A$2:$A$2459,$Z2143)</f>
        <v>2142</v>
      </c>
      <c r="B2143" s="62" t="n">
        <f aca="false">IF(ISNUMBER($AB2143),$AB2143,IF(MID($AB2143,5,1)="-",DATE(VALUE(LEFT($AB2143,4)),VALUE(MID($AB2143,6,2)),VALUE(RIGHT($AB2143,2))),DATE(VALUE(RIGHT($AB2143,4)),VALUE(MID($AB2143,4,2)),VALUE(LEFT($AB2143,2)))))</f>
        <v>45940</v>
      </c>
      <c r="C2143" s="61" t="n">
        <f aca="false">YEAR($B2143)</f>
        <v>2025</v>
      </c>
      <c r="D2143" s="61" t="str">
        <f aca="false">"Q"&amp;ROUNDUP(MONTH($B2143)/3,0)</f>
        <v>Q4</v>
      </c>
      <c r="E2143" s="61" t="n">
        <f aca="false">MONTH($B2143)</f>
        <v>10</v>
      </c>
      <c r="F2143" s="61" t="str">
        <f aca="false">INDEX(Parametros!$I$5:$I$16,$E2143)</f>
        <v>Oct</v>
      </c>
      <c r="G2143" s="61" t="str">
        <f aca="false">TEXT($C2143,"0000")&amp;"-"&amp;TEXT($E2143,"00")</f>
        <v>2025-10</v>
      </c>
      <c r="H2143" s="61" t="str">
        <f aca="false">INDEX(Parametros!$C$71:$C$91,MATCH(TRIM(INDEX(Datos_Origen!$C$2:$C$2459,$Z2143)),Parametros!$B$71:$B$91,0))</f>
        <v>Litoral</v>
      </c>
      <c r="I2143" s="61" t="str">
        <f aca="false">IF(TRIM($AD2143)="",INDEX(Parametros!$I$20:$I$24,MATCH($H2143,Parametros!$H$20:$H$24,0)),TRIM($AD2143))</f>
        <v>Rosario</v>
      </c>
      <c r="J2143" s="61" t="str">
        <f aca="false">INDEX(Parametros!$C$95:$C$106,MATCH(TRIM(INDEX(Datos_Origen!$E$2:$E$2459,$Z2143)),Parametros!$B$95:$B$106,0))</f>
        <v>E-commerce</v>
      </c>
      <c r="K2143" s="61" t="str">
        <f aca="false">INDEX(Parametros!$C$48:$C$67,MATCH(TRIM(INDEX(Datos_Origen!$F$2:$F$2459,$Z2143)),Parametros!$B$48:$B$67,0))</f>
        <v>Computacion</v>
      </c>
      <c r="L2143" s="61" t="str">
        <f aca="false">$K2143&amp;" "&amp;$C2143</f>
        <v>Computacion 2025</v>
      </c>
      <c r="M2143" s="61" t="str">
        <f aca="false">TRIM(INDEX(Datos_Origen!$G$2:$G$2459,$Z2143))</f>
        <v>Laptop Pro 15</v>
      </c>
      <c r="N2143" s="61" t="str">
        <f aca="false">$M2143&amp;" "&amp;$C2143</f>
        <v>Laptop Pro 15 2025</v>
      </c>
      <c r="O2143" s="63" t="n">
        <f aca="false">IF(ISTEXT($AC2143),VALUE($AC2143),$AC2143)</f>
        <v>7</v>
      </c>
      <c r="P2143" s="64" t="n">
        <f aca="false">INDEX(Datos_Origen!$I$2:$I$2459,$Z2143)</f>
        <v>1204.74</v>
      </c>
      <c r="Q2143" s="64" t="n">
        <f aca="false">INDEX(Datos_Origen!$J$2:$J$2459,$Z2143)</f>
        <v>766.32</v>
      </c>
      <c r="R2143" s="65" t="n">
        <f aca="false">ROUND($O2143*$P2143,2)</f>
        <v>8433.18</v>
      </c>
      <c r="S2143" s="65" t="n">
        <f aca="false">ROUND($O2143*$Q2143,2)</f>
        <v>5364.24</v>
      </c>
      <c r="T2143" s="65" t="n">
        <f aca="false">ROUND($R2143*SUMIFS(Parametros!$E$28:$E$43,Parametros!$B$28:$B$43,$J2143,Parametros!$C$28:$C$43,$C2143,Parametros!$D$28:$D$43,$D2143),2)</f>
        <v>438.53</v>
      </c>
      <c r="U2143" s="65" t="n">
        <f aca="false">$R2143-$S2143-$T2143</f>
        <v>2630.41</v>
      </c>
      <c r="V2143" s="66" t="n">
        <f aca="false">IFERROR($U2143/$R2143,0)</f>
        <v>0.311911995237858</v>
      </c>
      <c r="W2143" s="67" t="str">
        <f aca="false">IF(AND($V2143&gt;=Parametros!$C$8,$R2143&gt;=Parametros!$C$12),"Alta rentabilidad",IF(OR($V2143&lt;Parametros!$C$11,$R2143&lt;Parametros!$C$13),"Revisar","Estandar"))</f>
        <v>Estandar</v>
      </c>
      <c r="X2143" s="67" t="str">
        <f aca="false">IF(AND($J2143="E-commerce",IFERROR($T2143/$R2143,0)&gt;Parametros!$C$14),"Alerta","OK")</f>
        <v>Alerta</v>
      </c>
      <c r="Y2143" s="61" t="str">
        <f aca="false">IF($R2143&gt;=Parametros!$C$12,"Alto",IF($R2143&lt;Parametros!$C$13,"Bajo","Medio"))</f>
        <v>Alto</v>
      </c>
      <c r="Z2143" s="61" t="n">
        <v>1781</v>
      </c>
      <c r="AA2143" s="61" t="str">
        <f aca="false">IF(MATCH($A2143,Datos_Origen!$A$2:$A$2459,0)=$Z2143,"OK","REVISAR")</f>
        <v>OK</v>
      </c>
      <c r="AB2143" s="61" t="str">
        <f aca="false">INDEX(Datos_Origen!$B$2:$B$2459,$Z2143)</f>
        <v>2025-10-10</v>
      </c>
      <c r="AC2143" s="61" t="n">
        <f aca="false">INDEX(Datos_Origen!$H$2:$H$2459,$Z2143)</f>
        <v>7</v>
      </c>
      <c r="AD2143" s="61" t="str">
        <f aca="false">INDEX(Datos_Origen!$D$2:$D$2459,$Z2143)&amp;""</f>
        <v>Rosario</v>
      </c>
    </row>
    <row r="2144" customFormat="false" ht="15" hidden="false" customHeight="false" outlineLevel="0" collapsed="false">
      <c r="A2144" s="61" t="n">
        <f aca="false">INDEX(Datos_Origen!$A$2:$A$2459,$Z2144)</f>
        <v>2143</v>
      </c>
      <c r="B2144" s="62" t="n">
        <f aca="false">IF(ISNUMBER($AB2144),$AB2144,IF(MID($AB2144,5,1)="-",DATE(VALUE(LEFT($AB2144,4)),VALUE(MID($AB2144,6,2)),VALUE(RIGHT($AB2144,2))),DATE(VALUE(RIGHT($AB2144,4)),VALUE(MID($AB2144,4,2)),VALUE(LEFT($AB2144,2)))))</f>
        <v>45947</v>
      </c>
      <c r="C2144" s="61" t="n">
        <f aca="false">YEAR($B2144)</f>
        <v>2025</v>
      </c>
      <c r="D2144" s="61" t="str">
        <f aca="false">"Q"&amp;ROUNDUP(MONTH($B2144)/3,0)</f>
        <v>Q4</v>
      </c>
      <c r="E2144" s="61" t="n">
        <f aca="false">MONTH($B2144)</f>
        <v>10</v>
      </c>
      <c r="F2144" s="61" t="str">
        <f aca="false">INDEX(Parametros!$I$5:$I$16,$E2144)</f>
        <v>Oct</v>
      </c>
      <c r="G2144" s="61" t="str">
        <f aca="false">TEXT($C2144,"0000")&amp;"-"&amp;TEXT($E2144,"00")</f>
        <v>2025-10</v>
      </c>
      <c r="H2144" s="61" t="str">
        <f aca="false">INDEX(Parametros!$C$71:$C$91,MATCH(TRIM(INDEX(Datos_Origen!$C$2:$C$2459,$Z2144)),Parametros!$B$71:$B$91,0))</f>
        <v>Litoral</v>
      </c>
      <c r="I2144" s="61" t="str">
        <f aca="false">IF(TRIM($AD2144)="",INDEX(Parametros!$I$20:$I$24,MATCH($H2144,Parametros!$H$20:$H$24,0)),TRIM($AD2144))</f>
        <v>Rosario</v>
      </c>
      <c r="J2144" s="61" t="str">
        <f aca="false">INDEX(Parametros!$C$95:$C$106,MATCH(TRIM(INDEX(Datos_Origen!$E$2:$E$2459,$Z2144)),Parametros!$B$95:$B$106,0))</f>
        <v>Tienda fisica</v>
      </c>
      <c r="K2144" s="61" t="str">
        <f aca="false">INDEX(Parametros!$C$48:$C$67,MATCH(TRIM(INDEX(Datos_Origen!$F$2:$F$2459,$Z2144)),Parametros!$B$48:$B$67,0))</f>
        <v>Computacion</v>
      </c>
      <c r="L2144" s="61" t="str">
        <f aca="false">$K2144&amp;" "&amp;$C2144</f>
        <v>Computacion 2025</v>
      </c>
      <c r="M2144" s="61" t="str">
        <f aca="false">TRIM(INDEX(Datos_Origen!$G$2:$G$2459,$Z2144))</f>
        <v>Monitor 4K 27</v>
      </c>
      <c r="N2144" s="61" t="str">
        <f aca="false">$M2144&amp;" "&amp;$C2144</f>
        <v>Monitor 4K 27 2025</v>
      </c>
      <c r="O2144" s="63" t="n">
        <f aca="false">IF(ISTEXT($AC2144),VALUE($AC2144),$AC2144)</f>
        <v>8</v>
      </c>
      <c r="P2144" s="64" t="n">
        <f aca="false">INDEX(Datos_Origen!$I$2:$I$2459,$Z2144)</f>
        <v>451.78</v>
      </c>
      <c r="Q2144" s="64" t="n">
        <f aca="false">INDEX(Datos_Origen!$J$2:$J$2459,$Z2144)</f>
        <v>280.42</v>
      </c>
      <c r="R2144" s="65" t="n">
        <f aca="false">ROUND($O2144*$P2144,2)</f>
        <v>3614.24</v>
      </c>
      <c r="S2144" s="65" t="n">
        <f aca="false">ROUND($O2144*$Q2144,2)</f>
        <v>2243.36</v>
      </c>
      <c r="T2144" s="65" t="n">
        <f aca="false">ROUND($R2144*SUMIFS(Parametros!$E$28:$E$43,Parametros!$B$28:$B$43,$J2144,Parametros!$C$28:$C$43,$C2144,Parametros!$D$28:$D$43,$D2144),2)</f>
        <v>46.99</v>
      </c>
      <c r="U2144" s="65" t="n">
        <f aca="false">$R2144-$S2144-$T2144</f>
        <v>1323.89</v>
      </c>
      <c r="V2144" s="66" t="n">
        <f aca="false">IFERROR($U2144/$R2144,0)</f>
        <v>0.366298308911417</v>
      </c>
      <c r="W2144" s="67" t="str">
        <f aca="false">IF(AND($V2144&gt;=Parametros!$C$8,$R2144&gt;=Parametros!$C$12),"Alta rentabilidad",IF(OR($V2144&lt;Parametros!$C$11,$R2144&lt;Parametros!$C$13),"Revisar","Estandar"))</f>
        <v>Alta rentabilidad</v>
      </c>
      <c r="X2144" s="67" t="str">
        <f aca="false">IF(AND($J2144="E-commerce",IFERROR($T2144/$R2144,0)&gt;Parametros!$C$14),"Alerta","OK")</f>
        <v>OK</v>
      </c>
      <c r="Y2144" s="61" t="str">
        <f aca="false">IF($R2144&gt;=Parametros!$C$12,"Alto",IF($R2144&lt;Parametros!$C$13,"Bajo","Medio"))</f>
        <v>Alto</v>
      </c>
      <c r="Z2144" s="61" t="n">
        <v>2411</v>
      </c>
      <c r="AA2144" s="61" t="str">
        <f aca="false">IF(MATCH($A2144,Datos_Origen!$A$2:$A$2459,0)=$Z2144,"OK","REVISAR")</f>
        <v>OK</v>
      </c>
      <c r="AB2144" s="61" t="str">
        <f aca="false">INDEX(Datos_Origen!$B$2:$B$2459,$Z2144)</f>
        <v>17/10/2025</v>
      </c>
      <c r="AC2144" s="61" t="n">
        <f aca="false">INDEX(Datos_Origen!$H$2:$H$2459,$Z2144)</f>
        <v>8</v>
      </c>
      <c r="AD2144" s="61" t="str">
        <f aca="false">INDEX(Datos_Origen!$D$2:$D$2459,$Z2144)&amp;""</f>
        <v>Rosario</v>
      </c>
    </row>
    <row r="2145" customFormat="false" ht="15" hidden="false" customHeight="false" outlineLevel="0" collapsed="false">
      <c r="A2145" s="61" t="n">
        <f aca="false">INDEX(Datos_Origen!$A$2:$A$2459,$Z2145)</f>
        <v>2144</v>
      </c>
      <c r="B2145" s="62" t="n">
        <f aca="false">IF(ISNUMBER($AB2145),$AB2145,IF(MID($AB2145,5,1)="-",DATE(VALUE(LEFT($AB2145,4)),VALUE(MID($AB2145,6,2)),VALUE(RIGHT($AB2145,2))),DATE(VALUE(RIGHT($AB2145,4)),VALUE(MID($AB2145,4,2)),VALUE(LEFT($AB2145,2)))))</f>
        <v>45954</v>
      </c>
      <c r="C2145" s="61" t="n">
        <f aca="false">YEAR($B2145)</f>
        <v>2025</v>
      </c>
      <c r="D2145" s="61" t="str">
        <f aca="false">"Q"&amp;ROUNDUP(MONTH($B2145)/3,0)</f>
        <v>Q4</v>
      </c>
      <c r="E2145" s="61" t="n">
        <f aca="false">MONTH($B2145)</f>
        <v>10</v>
      </c>
      <c r="F2145" s="61" t="str">
        <f aca="false">INDEX(Parametros!$I$5:$I$16,$E2145)</f>
        <v>Oct</v>
      </c>
      <c r="G2145" s="61" t="str">
        <f aca="false">TEXT($C2145,"0000")&amp;"-"&amp;TEXT($E2145,"00")</f>
        <v>2025-10</v>
      </c>
      <c r="H2145" s="61" t="str">
        <f aca="false">INDEX(Parametros!$C$71:$C$91,MATCH(TRIM(INDEX(Datos_Origen!$C$2:$C$2459,$Z2145)),Parametros!$B$71:$B$91,0))</f>
        <v>Litoral</v>
      </c>
      <c r="I2145" s="61" t="str">
        <f aca="false">IF(TRIM($AD2145)="",INDEX(Parametros!$I$20:$I$24,MATCH($H2145,Parametros!$H$20:$H$24,0)),TRIM($AD2145))</f>
        <v>Rosario</v>
      </c>
      <c r="J2145" s="61" t="str">
        <f aca="false">INDEX(Parametros!$C$95:$C$106,MATCH(TRIM(INDEX(Datos_Origen!$E$2:$E$2459,$Z2145)),Parametros!$B$95:$B$106,0))</f>
        <v>E-commerce</v>
      </c>
      <c r="K2145" s="61" t="str">
        <f aca="false">INDEX(Parametros!$C$48:$C$67,MATCH(TRIM(INDEX(Datos_Origen!$F$2:$F$2459,$Z2145)),Parametros!$B$48:$B$67,0))</f>
        <v>Computacion</v>
      </c>
      <c r="L2145" s="61" t="str">
        <f aca="false">$K2145&amp;" "&amp;$C2145</f>
        <v>Computacion 2025</v>
      </c>
      <c r="M2145" s="61" t="str">
        <f aca="false">TRIM(INDEX(Datos_Origen!$G$2:$G$2459,$Z2145))</f>
        <v>Monitor 4K 27</v>
      </c>
      <c r="N2145" s="61" t="str">
        <f aca="false">$M2145&amp;" "&amp;$C2145</f>
        <v>Monitor 4K 27 2025</v>
      </c>
      <c r="O2145" s="63" t="n">
        <f aca="false">IF(ISTEXT($AC2145),VALUE($AC2145),$AC2145)</f>
        <v>6</v>
      </c>
      <c r="P2145" s="64" t="n">
        <f aca="false">INDEX(Datos_Origen!$I$2:$I$2459,$Z2145)</f>
        <v>451.78</v>
      </c>
      <c r="Q2145" s="64" t="n">
        <f aca="false">INDEX(Datos_Origen!$J$2:$J$2459,$Z2145)</f>
        <v>280.42</v>
      </c>
      <c r="R2145" s="65" t="n">
        <f aca="false">ROUND($O2145*$P2145,2)</f>
        <v>2710.68</v>
      </c>
      <c r="S2145" s="65" t="n">
        <f aca="false">ROUND($O2145*$Q2145,2)</f>
        <v>1682.52</v>
      </c>
      <c r="T2145" s="65" t="n">
        <f aca="false">ROUND($R2145*SUMIFS(Parametros!$E$28:$E$43,Parametros!$B$28:$B$43,$J2145,Parametros!$C$28:$C$43,$C2145,Parametros!$D$28:$D$43,$D2145),2)</f>
        <v>140.96</v>
      </c>
      <c r="U2145" s="65" t="n">
        <f aca="false">$R2145-$S2145-$T2145</f>
        <v>887.2</v>
      </c>
      <c r="V2145" s="66" t="n">
        <f aca="false">IFERROR($U2145/$R2145,0)</f>
        <v>0.327297947378518</v>
      </c>
      <c r="W2145" s="67" t="str">
        <f aca="false">IF(AND($V2145&gt;=Parametros!$C$8,$R2145&gt;=Parametros!$C$12),"Alta rentabilidad",IF(OR($V2145&lt;Parametros!$C$11,$R2145&lt;Parametros!$C$13),"Revisar","Estandar"))</f>
        <v>Estandar</v>
      </c>
      <c r="X2145" s="67" t="str">
        <f aca="false">IF(AND($J2145="E-commerce",IFERROR($T2145/$R2145,0)&gt;Parametros!$C$14),"Alerta","OK")</f>
        <v>Alerta</v>
      </c>
      <c r="Y2145" s="61" t="str">
        <f aca="false">IF($R2145&gt;=Parametros!$C$12,"Alto",IF($R2145&lt;Parametros!$C$13,"Bajo","Medio"))</f>
        <v>Medio</v>
      </c>
      <c r="Z2145" s="61" t="n">
        <v>1162</v>
      </c>
      <c r="AA2145" s="61" t="str">
        <f aca="false">IF(MATCH($A2145,Datos_Origen!$A$2:$A$2459,0)=$Z2145,"OK","REVISAR")</f>
        <v>OK</v>
      </c>
      <c r="AB2145" s="62" t="n">
        <f aca="false">INDEX(Datos_Origen!$B$2:$B$2459,$Z2145)</f>
        <v>45954</v>
      </c>
      <c r="AC2145" s="61" t="n">
        <f aca="false">INDEX(Datos_Origen!$H$2:$H$2459,$Z2145)</f>
        <v>6</v>
      </c>
      <c r="AD2145" s="61" t="str">
        <f aca="false">INDEX(Datos_Origen!$D$2:$D$2459,$Z2145)&amp;""</f>
        <v>Rosario</v>
      </c>
    </row>
    <row r="2146" customFormat="false" ht="15" hidden="false" customHeight="false" outlineLevel="0" collapsed="false">
      <c r="A2146" s="61" t="n">
        <f aca="false">INDEX(Datos_Origen!$A$2:$A$2459,$Z2146)</f>
        <v>2145</v>
      </c>
      <c r="B2146" s="62" t="n">
        <f aca="false">IF(ISNUMBER($AB2146),$AB2146,IF(MID($AB2146,5,1)="-",DATE(VALUE(LEFT($AB2146,4)),VALUE(MID($AB2146,6,2)),VALUE(RIGHT($AB2146,2))),DATE(VALUE(RIGHT($AB2146,4)),VALUE(MID($AB2146,4,2)),VALUE(LEFT($AB2146,2)))))</f>
        <v>45934</v>
      </c>
      <c r="C2146" s="61" t="n">
        <f aca="false">YEAR($B2146)</f>
        <v>2025</v>
      </c>
      <c r="D2146" s="61" t="str">
        <f aca="false">"Q"&amp;ROUNDUP(MONTH($B2146)/3,0)</f>
        <v>Q4</v>
      </c>
      <c r="E2146" s="61" t="n">
        <f aca="false">MONTH($B2146)</f>
        <v>10</v>
      </c>
      <c r="F2146" s="61" t="str">
        <f aca="false">INDEX(Parametros!$I$5:$I$16,$E2146)</f>
        <v>Oct</v>
      </c>
      <c r="G2146" s="61" t="str">
        <f aca="false">TEXT($C2146,"0000")&amp;"-"&amp;TEXT($E2146,"00")</f>
        <v>2025-10</v>
      </c>
      <c r="H2146" s="61" t="str">
        <f aca="false">INDEX(Parametros!$C$71:$C$91,MATCH(TRIM(INDEX(Datos_Origen!$C$2:$C$2459,$Z2146)),Parametros!$B$71:$B$91,0))</f>
        <v>Litoral</v>
      </c>
      <c r="I2146" s="61" t="str">
        <f aca="false">IF(TRIM($AD2146)="",INDEX(Parametros!$I$20:$I$24,MATCH($H2146,Parametros!$H$20:$H$24,0)),TRIM($AD2146))</f>
        <v>Rosario</v>
      </c>
      <c r="J2146" s="61" t="str">
        <f aca="false">INDEX(Parametros!$C$95:$C$106,MATCH(TRIM(INDEX(Datos_Origen!$E$2:$E$2459,$Z2146)),Parametros!$B$95:$B$106,0))</f>
        <v>Tienda fisica</v>
      </c>
      <c r="K2146" s="61" t="str">
        <f aca="false">INDEX(Parametros!$C$48:$C$67,MATCH(TRIM(INDEX(Datos_Origen!$F$2:$F$2459,$Z2146)),Parametros!$B$48:$B$67,0))</f>
        <v>Computacion</v>
      </c>
      <c r="L2146" s="61" t="str">
        <f aca="false">$K2146&amp;" "&amp;$C2146</f>
        <v>Computacion 2025</v>
      </c>
      <c r="M2146" s="61" t="str">
        <f aca="false">TRIM(INDEX(Datos_Origen!$G$2:$G$2459,$Z2146))</f>
        <v>PC Gamer Ryzen</v>
      </c>
      <c r="N2146" s="61" t="str">
        <f aca="false">$M2146&amp;" "&amp;$C2146</f>
        <v>PC Gamer Ryzen 2025</v>
      </c>
      <c r="O2146" s="63" t="n">
        <f aca="false">IF(ISTEXT($AC2146),VALUE($AC2146),$AC2146)</f>
        <v>8</v>
      </c>
      <c r="P2146" s="64" t="n">
        <f aca="false">INDEX(Datos_Origen!$I$2:$I$2459,$Z2146)</f>
        <v>1656.52</v>
      </c>
      <c r="Q2146" s="64" t="n">
        <f aca="false">INDEX(Datos_Origen!$J$2:$J$2459,$Z2146)</f>
        <v>1155.66</v>
      </c>
      <c r="R2146" s="65" t="n">
        <f aca="false">ROUND($O2146*$P2146,2)</f>
        <v>13252.16</v>
      </c>
      <c r="S2146" s="65" t="n">
        <f aca="false">ROUND($O2146*$Q2146,2)</f>
        <v>9245.28</v>
      </c>
      <c r="T2146" s="65" t="n">
        <f aca="false">ROUND($R2146*SUMIFS(Parametros!$E$28:$E$43,Parametros!$B$28:$B$43,$J2146,Parametros!$C$28:$C$43,$C2146,Parametros!$D$28:$D$43,$D2146),2)</f>
        <v>172.28</v>
      </c>
      <c r="U2146" s="65" t="n">
        <f aca="false">$R2146-$S2146-$T2146</f>
        <v>3834.6</v>
      </c>
      <c r="V2146" s="66" t="n">
        <f aca="false">IFERROR($U2146/$R2146,0)</f>
        <v>0.289356602999058</v>
      </c>
      <c r="W2146" s="67" t="str">
        <f aca="false">IF(AND($V2146&gt;=Parametros!$C$8,$R2146&gt;=Parametros!$C$12),"Alta rentabilidad",IF(OR($V2146&lt;Parametros!$C$11,$R2146&lt;Parametros!$C$13),"Revisar","Estandar"))</f>
        <v>Estandar</v>
      </c>
      <c r="X2146" s="67" t="str">
        <f aca="false">IF(AND($J2146="E-commerce",IFERROR($T2146/$R2146,0)&gt;Parametros!$C$14),"Alerta","OK")</f>
        <v>OK</v>
      </c>
      <c r="Y2146" s="61" t="str">
        <f aca="false">IF($R2146&gt;=Parametros!$C$12,"Alto",IF($R2146&lt;Parametros!$C$13,"Bajo","Medio"))</f>
        <v>Alto</v>
      </c>
      <c r="Z2146" s="61" t="n">
        <v>2274</v>
      </c>
      <c r="AA2146" s="61" t="str">
        <f aca="false">IF(MATCH($A2146,Datos_Origen!$A$2:$A$2459,0)=$Z2146,"OK","REVISAR")</f>
        <v>OK</v>
      </c>
      <c r="AB2146" s="62" t="n">
        <f aca="false">INDEX(Datos_Origen!$B$2:$B$2459,$Z2146)</f>
        <v>45934</v>
      </c>
      <c r="AC2146" s="61" t="n">
        <f aca="false">INDEX(Datos_Origen!$H$2:$H$2459,$Z2146)</f>
        <v>8</v>
      </c>
      <c r="AD2146" s="61" t="str">
        <f aca="false">INDEX(Datos_Origen!$D$2:$D$2459,$Z2146)&amp;""</f>
        <v>Rosario</v>
      </c>
    </row>
    <row r="2147" customFormat="false" ht="15" hidden="false" customHeight="false" outlineLevel="0" collapsed="false">
      <c r="A2147" s="61" t="n">
        <f aca="false">INDEX(Datos_Origen!$A$2:$A$2459,$Z2147)</f>
        <v>2146</v>
      </c>
      <c r="B2147" s="62" t="n">
        <f aca="false">IF(ISNUMBER($AB2147),$AB2147,IF(MID($AB2147,5,1)="-",DATE(VALUE(LEFT($AB2147,4)),VALUE(MID($AB2147,6,2)),VALUE(RIGHT($AB2147,2))),DATE(VALUE(RIGHT($AB2147,4)),VALUE(MID($AB2147,4,2)),VALUE(LEFT($AB2147,2)))))</f>
        <v>45941</v>
      </c>
      <c r="C2147" s="61" t="n">
        <f aca="false">YEAR($B2147)</f>
        <v>2025</v>
      </c>
      <c r="D2147" s="61" t="str">
        <f aca="false">"Q"&amp;ROUNDUP(MONTH($B2147)/3,0)</f>
        <v>Q4</v>
      </c>
      <c r="E2147" s="61" t="n">
        <f aca="false">MONTH($B2147)</f>
        <v>10</v>
      </c>
      <c r="F2147" s="61" t="str">
        <f aca="false">INDEX(Parametros!$I$5:$I$16,$E2147)</f>
        <v>Oct</v>
      </c>
      <c r="G2147" s="61" t="str">
        <f aca="false">TEXT($C2147,"0000")&amp;"-"&amp;TEXT($E2147,"00")</f>
        <v>2025-10</v>
      </c>
      <c r="H2147" s="61" t="str">
        <f aca="false">INDEX(Parametros!$C$71:$C$91,MATCH(TRIM(INDEX(Datos_Origen!$C$2:$C$2459,$Z2147)),Parametros!$B$71:$B$91,0))</f>
        <v>Litoral</v>
      </c>
      <c r="I2147" s="61" t="str">
        <f aca="false">IF(TRIM($AD2147)="",INDEX(Parametros!$I$20:$I$24,MATCH($H2147,Parametros!$H$20:$H$24,0)),TRIM($AD2147))</f>
        <v>Rosario</v>
      </c>
      <c r="J2147" s="61" t="str">
        <f aca="false">INDEX(Parametros!$C$95:$C$106,MATCH(TRIM(INDEX(Datos_Origen!$E$2:$E$2459,$Z2147)),Parametros!$B$95:$B$106,0))</f>
        <v>E-commerce</v>
      </c>
      <c r="K2147" s="61" t="str">
        <f aca="false">INDEX(Parametros!$C$48:$C$67,MATCH(TRIM(INDEX(Datos_Origen!$F$2:$F$2459,$Z2147)),Parametros!$B$48:$B$67,0))</f>
        <v>Computacion</v>
      </c>
      <c r="L2147" s="61" t="str">
        <f aca="false">$K2147&amp;" "&amp;$C2147</f>
        <v>Computacion 2025</v>
      </c>
      <c r="M2147" s="61" t="str">
        <f aca="false">TRIM(INDEX(Datos_Origen!$G$2:$G$2459,$Z2147))</f>
        <v>PC Gamer Ryzen</v>
      </c>
      <c r="N2147" s="61" t="str">
        <f aca="false">$M2147&amp;" "&amp;$C2147</f>
        <v>PC Gamer Ryzen 2025</v>
      </c>
      <c r="O2147" s="63" t="n">
        <f aca="false">IF(ISTEXT($AC2147),VALUE($AC2147),$AC2147)</f>
        <v>6</v>
      </c>
      <c r="P2147" s="64" t="n">
        <f aca="false">INDEX(Datos_Origen!$I$2:$I$2459,$Z2147)</f>
        <v>1656.52</v>
      </c>
      <c r="Q2147" s="64" t="n">
        <f aca="false">INDEX(Datos_Origen!$J$2:$J$2459,$Z2147)</f>
        <v>1155.66</v>
      </c>
      <c r="R2147" s="65" t="n">
        <f aca="false">ROUND($O2147*$P2147,2)</f>
        <v>9939.12</v>
      </c>
      <c r="S2147" s="65" t="n">
        <f aca="false">ROUND($O2147*$Q2147,2)</f>
        <v>6933.96</v>
      </c>
      <c r="T2147" s="65" t="n">
        <f aca="false">ROUND($R2147*SUMIFS(Parametros!$E$28:$E$43,Parametros!$B$28:$B$43,$J2147,Parametros!$C$28:$C$43,$C2147,Parametros!$D$28:$D$43,$D2147),2)</f>
        <v>516.83</v>
      </c>
      <c r="U2147" s="65" t="n">
        <f aca="false">$R2147-$S2147-$T2147</f>
        <v>2488.33</v>
      </c>
      <c r="V2147" s="66" t="n">
        <f aca="false">IFERROR($U2147/$R2147,0)</f>
        <v>0.250357174478224</v>
      </c>
      <c r="W2147" s="67" t="str">
        <f aca="false">IF(AND($V2147&gt;=Parametros!$C$8,$R2147&gt;=Parametros!$C$12),"Alta rentabilidad",IF(OR($V2147&lt;Parametros!$C$11,$R2147&lt;Parametros!$C$13),"Revisar","Estandar"))</f>
        <v>Revisar</v>
      </c>
      <c r="X2147" s="67" t="str">
        <f aca="false">IF(AND($J2147="E-commerce",IFERROR($T2147/$R2147,0)&gt;Parametros!$C$14),"Alerta","OK")</f>
        <v>Alerta</v>
      </c>
      <c r="Y2147" s="61" t="str">
        <f aca="false">IF($R2147&gt;=Parametros!$C$12,"Alto",IF($R2147&lt;Parametros!$C$13,"Bajo","Medio"))</f>
        <v>Alto</v>
      </c>
      <c r="Z2147" s="61" t="n">
        <v>1076</v>
      </c>
      <c r="AA2147" s="61" t="str">
        <f aca="false">IF(MATCH($A2147,Datos_Origen!$A$2:$A$2459,0)=$Z2147,"OK","REVISAR")</f>
        <v>OK</v>
      </c>
      <c r="AB2147" s="62" t="n">
        <f aca="false">INDEX(Datos_Origen!$B$2:$B$2459,$Z2147)</f>
        <v>45941</v>
      </c>
      <c r="AC2147" s="61" t="str">
        <f aca="false">INDEX(Datos_Origen!$H$2:$H$2459,$Z2147)</f>
        <v>6</v>
      </c>
      <c r="AD2147" s="61" t="str">
        <f aca="false">INDEX(Datos_Origen!$D$2:$D$2459,$Z2147)&amp;""</f>
        <v>Rosario</v>
      </c>
    </row>
    <row r="2148" customFormat="false" ht="15" hidden="false" customHeight="false" outlineLevel="0" collapsed="false">
      <c r="A2148" s="61" t="n">
        <f aca="false">INDEX(Datos_Origen!$A$2:$A$2459,$Z2148)</f>
        <v>2147</v>
      </c>
      <c r="B2148" s="62" t="n">
        <f aca="false">IF(ISNUMBER($AB2148),$AB2148,IF(MID($AB2148,5,1)="-",DATE(VALUE(LEFT($AB2148,4)),VALUE(MID($AB2148,6,2)),VALUE(RIGHT($AB2148,2))),DATE(VALUE(RIGHT($AB2148,4)),VALUE(MID($AB2148,4,2)),VALUE(LEFT($AB2148,2)))))</f>
        <v>45948</v>
      </c>
      <c r="C2148" s="61" t="n">
        <f aca="false">YEAR($B2148)</f>
        <v>2025</v>
      </c>
      <c r="D2148" s="61" t="str">
        <f aca="false">"Q"&amp;ROUNDUP(MONTH($B2148)/3,0)</f>
        <v>Q4</v>
      </c>
      <c r="E2148" s="61" t="n">
        <f aca="false">MONTH($B2148)</f>
        <v>10</v>
      </c>
      <c r="F2148" s="61" t="str">
        <f aca="false">INDEX(Parametros!$I$5:$I$16,$E2148)</f>
        <v>Oct</v>
      </c>
      <c r="G2148" s="61" t="str">
        <f aca="false">TEXT($C2148,"0000")&amp;"-"&amp;TEXT($E2148,"00")</f>
        <v>2025-10</v>
      </c>
      <c r="H2148" s="61" t="str">
        <f aca="false">INDEX(Parametros!$C$71:$C$91,MATCH(TRIM(INDEX(Datos_Origen!$C$2:$C$2459,$Z2148)),Parametros!$B$71:$B$91,0))</f>
        <v>Litoral</v>
      </c>
      <c r="I2148" s="61" t="str">
        <f aca="false">IF(TRIM($AD2148)="",INDEX(Parametros!$I$20:$I$24,MATCH($H2148,Parametros!$H$20:$H$24,0)),TRIM($AD2148))</f>
        <v>Rosario</v>
      </c>
      <c r="J2148" s="61" t="str">
        <f aca="false">INDEX(Parametros!$C$95:$C$106,MATCH(TRIM(INDEX(Datos_Origen!$E$2:$E$2459,$Z2148)),Parametros!$B$95:$B$106,0))</f>
        <v>Tienda fisica</v>
      </c>
      <c r="K2148" s="61" t="str">
        <f aca="false">INDEX(Parametros!$C$48:$C$67,MATCH(TRIM(INDEX(Datos_Origen!$F$2:$F$2459,$Z2148)),Parametros!$B$48:$B$67,0))</f>
        <v>Accesorios</v>
      </c>
      <c r="L2148" s="61" t="str">
        <f aca="false">$K2148&amp;" "&amp;$C2148</f>
        <v>Accesorios 2025</v>
      </c>
      <c r="M2148" s="61" t="str">
        <f aca="false">TRIM(INDEX(Datos_Origen!$G$2:$G$2459,$Z2148))</f>
        <v>Mouse Inalambrico</v>
      </c>
      <c r="N2148" s="61" t="str">
        <f aca="false">$M2148&amp;" "&amp;$C2148</f>
        <v>Mouse Inalambrico 2025</v>
      </c>
      <c r="O2148" s="63" t="n">
        <f aca="false">IF(ISTEXT($AC2148),VALUE($AC2148),$AC2148)</f>
        <v>35</v>
      </c>
      <c r="P2148" s="64" t="n">
        <f aca="false">INDEX(Datos_Origen!$I$2:$I$2459,$Z2148)</f>
        <v>28.11</v>
      </c>
      <c r="Q2148" s="64" t="n">
        <f aca="false">INDEX(Datos_Origen!$J$2:$J$2459,$Z2148)</f>
        <v>13.84</v>
      </c>
      <c r="R2148" s="65" t="n">
        <f aca="false">ROUND($O2148*$P2148,2)</f>
        <v>983.85</v>
      </c>
      <c r="S2148" s="65" t="n">
        <f aca="false">ROUND($O2148*$Q2148,2)</f>
        <v>484.4</v>
      </c>
      <c r="T2148" s="65" t="n">
        <f aca="false">ROUND($R2148*SUMIFS(Parametros!$E$28:$E$43,Parametros!$B$28:$B$43,$J2148,Parametros!$C$28:$C$43,$C2148,Parametros!$D$28:$D$43,$D2148),2)</f>
        <v>12.79</v>
      </c>
      <c r="U2148" s="65" t="n">
        <f aca="false">$R2148-$S2148-$T2148</f>
        <v>486.66</v>
      </c>
      <c r="V2148" s="66" t="n">
        <f aca="false">IFERROR($U2148/$R2148,0)</f>
        <v>0.494648574477817</v>
      </c>
      <c r="W2148" s="67" t="str">
        <f aca="false">IF(AND($V2148&gt;=Parametros!$C$8,$R2148&gt;=Parametros!$C$12),"Alta rentabilidad",IF(OR($V2148&lt;Parametros!$C$11,$R2148&lt;Parametros!$C$13),"Revisar","Estandar"))</f>
        <v>Estandar</v>
      </c>
      <c r="X2148" s="67" t="str">
        <f aca="false">IF(AND($J2148="E-commerce",IFERROR($T2148/$R2148,0)&gt;Parametros!$C$14),"Alerta","OK")</f>
        <v>OK</v>
      </c>
      <c r="Y2148" s="61" t="str">
        <f aca="false">IF($R2148&gt;=Parametros!$C$12,"Alto",IF($R2148&lt;Parametros!$C$13,"Bajo","Medio"))</f>
        <v>Medio</v>
      </c>
      <c r="Z2148" s="61" t="n">
        <v>894</v>
      </c>
      <c r="AA2148" s="61" t="str">
        <f aca="false">IF(MATCH($A2148,Datos_Origen!$A$2:$A$2459,0)=$Z2148,"OK","REVISAR")</f>
        <v>OK</v>
      </c>
      <c r="AB2148" s="62" t="n">
        <f aca="false">INDEX(Datos_Origen!$B$2:$B$2459,$Z2148)</f>
        <v>45948</v>
      </c>
      <c r="AC2148" s="61" t="n">
        <f aca="false">INDEX(Datos_Origen!$H$2:$H$2459,$Z2148)</f>
        <v>35</v>
      </c>
      <c r="AD2148" s="61" t="str">
        <f aca="false">INDEX(Datos_Origen!$D$2:$D$2459,$Z2148)&amp;""</f>
        <v>Rosario</v>
      </c>
    </row>
    <row r="2149" customFormat="false" ht="15" hidden="false" customHeight="false" outlineLevel="0" collapsed="false">
      <c r="A2149" s="61" t="n">
        <f aca="false">INDEX(Datos_Origen!$A$2:$A$2459,$Z2149)</f>
        <v>2148</v>
      </c>
      <c r="B2149" s="62" t="n">
        <f aca="false">IF(ISNUMBER($AB2149),$AB2149,IF(MID($AB2149,5,1)="-",DATE(VALUE(LEFT($AB2149,4)),VALUE(MID($AB2149,6,2)),VALUE(RIGHT($AB2149,2))),DATE(VALUE(RIGHT($AB2149,4)),VALUE(MID($AB2149,4,2)),VALUE(LEFT($AB2149,2)))))</f>
        <v>45955</v>
      </c>
      <c r="C2149" s="61" t="n">
        <f aca="false">YEAR($B2149)</f>
        <v>2025</v>
      </c>
      <c r="D2149" s="61" t="str">
        <f aca="false">"Q"&amp;ROUNDUP(MONTH($B2149)/3,0)</f>
        <v>Q4</v>
      </c>
      <c r="E2149" s="61" t="n">
        <f aca="false">MONTH($B2149)</f>
        <v>10</v>
      </c>
      <c r="F2149" s="61" t="str">
        <f aca="false">INDEX(Parametros!$I$5:$I$16,$E2149)</f>
        <v>Oct</v>
      </c>
      <c r="G2149" s="61" t="str">
        <f aca="false">TEXT($C2149,"0000")&amp;"-"&amp;TEXT($E2149,"00")</f>
        <v>2025-10</v>
      </c>
      <c r="H2149" s="61" t="str">
        <f aca="false">INDEX(Parametros!$C$71:$C$91,MATCH(TRIM(INDEX(Datos_Origen!$C$2:$C$2459,$Z2149)),Parametros!$B$71:$B$91,0))</f>
        <v>Litoral</v>
      </c>
      <c r="I2149" s="61" t="str">
        <f aca="false">IF(TRIM($AD2149)="",INDEX(Parametros!$I$20:$I$24,MATCH($H2149,Parametros!$H$20:$H$24,0)),TRIM($AD2149))</f>
        <v>Rosario</v>
      </c>
      <c r="J2149" s="61" t="str">
        <f aca="false">INDEX(Parametros!$C$95:$C$106,MATCH(TRIM(INDEX(Datos_Origen!$E$2:$E$2459,$Z2149)),Parametros!$B$95:$B$106,0))</f>
        <v>E-commerce</v>
      </c>
      <c r="K2149" s="61" t="str">
        <f aca="false">INDEX(Parametros!$C$48:$C$67,MATCH(TRIM(INDEX(Datos_Origen!$F$2:$F$2459,$Z2149)),Parametros!$B$48:$B$67,0))</f>
        <v>Accesorios</v>
      </c>
      <c r="L2149" s="61" t="str">
        <f aca="false">$K2149&amp;" "&amp;$C2149</f>
        <v>Accesorios 2025</v>
      </c>
      <c r="M2149" s="61" t="str">
        <f aca="false">TRIM(INDEX(Datos_Origen!$G$2:$G$2459,$Z2149))</f>
        <v>Mouse Inalambrico</v>
      </c>
      <c r="N2149" s="61" t="str">
        <f aca="false">$M2149&amp;" "&amp;$C2149</f>
        <v>Mouse Inalambrico 2025</v>
      </c>
      <c r="O2149" s="63" t="n">
        <f aca="false">IF(ISTEXT($AC2149),VALUE($AC2149),$AC2149)</f>
        <v>31</v>
      </c>
      <c r="P2149" s="64" t="n">
        <f aca="false">INDEX(Datos_Origen!$I$2:$I$2459,$Z2149)</f>
        <v>28.11</v>
      </c>
      <c r="Q2149" s="64" t="n">
        <f aca="false">INDEX(Datos_Origen!$J$2:$J$2459,$Z2149)</f>
        <v>13.84</v>
      </c>
      <c r="R2149" s="65" t="n">
        <f aca="false">ROUND($O2149*$P2149,2)</f>
        <v>871.41</v>
      </c>
      <c r="S2149" s="65" t="n">
        <f aca="false">ROUND($O2149*$Q2149,2)</f>
        <v>429.04</v>
      </c>
      <c r="T2149" s="65" t="n">
        <f aca="false">ROUND($R2149*SUMIFS(Parametros!$E$28:$E$43,Parametros!$B$28:$B$43,$J2149,Parametros!$C$28:$C$43,$C2149,Parametros!$D$28:$D$43,$D2149),2)</f>
        <v>45.31</v>
      </c>
      <c r="U2149" s="65" t="n">
        <f aca="false">$R2149-$S2149-$T2149</f>
        <v>397.06</v>
      </c>
      <c r="V2149" s="66" t="n">
        <f aca="false">IFERROR($U2149/$R2149,0)</f>
        <v>0.455652333574322</v>
      </c>
      <c r="W2149" s="67" t="str">
        <f aca="false">IF(AND($V2149&gt;=Parametros!$C$8,$R2149&gt;=Parametros!$C$12),"Alta rentabilidad",IF(OR($V2149&lt;Parametros!$C$11,$R2149&lt;Parametros!$C$13),"Revisar","Estandar"))</f>
        <v>Estandar</v>
      </c>
      <c r="X2149" s="67" t="str">
        <f aca="false">IF(AND($J2149="E-commerce",IFERROR($T2149/$R2149,0)&gt;Parametros!$C$14),"Alerta","OK")</f>
        <v>Alerta</v>
      </c>
      <c r="Y2149" s="61" t="str">
        <f aca="false">IF($R2149&gt;=Parametros!$C$12,"Alto",IF($R2149&lt;Parametros!$C$13,"Bajo","Medio"))</f>
        <v>Medio</v>
      </c>
      <c r="Z2149" s="61" t="n">
        <v>1960</v>
      </c>
      <c r="AA2149" s="61" t="str">
        <f aca="false">IF(MATCH($A2149,Datos_Origen!$A$2:$A$2459,0)=$Z2149,"OK","REVISAR")</f>
        <v>OK</v>
      </c>
      <c r="AB2149" s="61" t="str">
        <f aca="false">INDEX(Datos_Origen!$B$2:$B$2459,$Z2149)</f>
        <v>2025-10-25</v>
      </c>
      <c r="AC2149" s="61" t="n">
        <f aca="false">INDEX(Datos_Origen!$H$2:$H$2459,$Z2149)</f>
        <v>31</v>
      </c>
      <c r="AD2149" s="61" t="str">
        <f aca="false">INDEX(Datos_Origen!$D$2:$D$2459,$Z2149)&amp;""</f>
        <v>Rosario</v>
      </c>
    </row>
    <row r="2150" customFormat="false" ht="15" hidden="false" customHeight="false" outlineLevel="0" collapsed="false">
      <c r="A2150" s="61" t="n">
        <f aca="false">INDEX(Datos_Origen!$A$2:$A$2459,$Z2150)</f>
        <v>2149</v>
      </c>
      <c r="B2150" s="62" t="n">
        <f aca="false">IF(ISNUMBER($AB2150),$AB2150,IF(MID($AB2150,5,1)="-",DATE(VALUE(LEFT($AB2150,4)),VALUE(MID($AB2150,6,2)),VALUE(RIGHT($AB2150,2))),DATE(VALUE(RIGHT($AB2150,4)),VALUE(MID($AB2150,4,2)),VALUE(LEFT($AB2150,2)))))</f>
        <v>45935</v>
      </c>
      <c r="C2150" s="61" t="n">
        <f aca="false">YEAR($B2150)</f>
        <v>2025</v>
      </c>
      <c r="D2150" s="61" t="str">
        <f aca="false">"Q"&amp;ROUNDUP(MONTH($B2150)/3,0)</f>
        <v>Q4</v>
      </c>
      <c r="E2150" s="61" t="n">
        <f aca="false">MONTH($B2150)</f>
        <v>10</v>
      </c>
      <c r="F2150" s="61" t="str">
        <f aca="false">INDEX(Parametros!$I$5:$I$16,$E2150)</f>
        <v>Oct</v>
      </c>
      <c r="G2150" s="61" t="str">
        <f aca="false">TEXT($C2150,"0000")&amp;"-"&amp;TEXT($E2150,"00")</f>
        <v>2025-10</v>
      </c>
      <c r="H2150" s="61" t="str">
        <f aca="false">INDEX(Parametros!$C$71:$C$91,MATCH(TRIM(INDEX(Datos_Origen!$C$2:$C$2459,$Z2150)),Parametros!$B$71:$B$91,0))</f>
        <v>Litoral</v>
      </c>
      <c r="I2150" s="61" t="str">
        <f aca="false">IF(TRIM($AD2150)="",INDEX(Parametros!$I$20:$I$24,MATCH($H2150,Parametros!$H$20:$H$24,0)),TRIM($AD2150))</f>
        <v>Rosario</v>
      </c>
      <c r="J2150" s="61" t="str">
        <f aca="false">INDEX(Parametros!$C$95:$C$106,MATCH(TRIM(INDEX(Datos_Origen!$E$2:$E$2459,$Z2150)),Parametros!$B$95:$B$106,0))</f>
        <v>Tienda fisica</v>
      </c>
      <c r="K2150" s="61" t="str">
        <f aca="false">INDEX(Parametros!$C$48:$C$67,MATCH(TRIM(INDEX(Datos_Origen!$F$2:$F$2459,$Z2150)),Parametros!$B$48:$B$67,0))</f>
        <v>Accesorios</v>
      </c>
      <c r="L2150" s="61" t="str">
        <f aca="false">$K2150&amp;" "&amp;$C2150</f>
        <v>Accesorios 2025</v>
      </c>
      <c r="M2150" s="61" t="str">
        <f aca="false">TRIM(INDEX(Datos_Origen!$G$2:$G$2459,$Z2150))</f>
        <v>Teclado Mecanico</v>
      </c>
      <c r="N2150" s="61" t="str">
        <f aca="false">$M2150&amp;" "&amp;$C2150</f>
        <v>Teclado Mecanico 2025</v>
      </c>
      <c r="O2150" s="63" t="n">
        <f aca="false">IF(ISTEXT($AC2150),VALUE($AC2150),$AC2150)</f>
        <v>44</v>
      </c>
      <c r="P2150" s="64" t="n">
        <f aca="false">INDEX(Datos_Origen!$I$2:$I$2459,$Z2150)</f>
        <v>95.38</v>
      </c>
      <c r="Q2150" s="64" t="n">
        <f aca="false">INDEX(Datos_Origen!$J$2:$J$2459,$Z2150)</f>
        <v>49.41</v>
      </c>
      <c r="R2150" s="65" t="n">
        <f aca="false">ROUND($O2150*$P2150,2)</f>
        <v>4196.72</v>
      </c>
      <c r="S2150" s="65" t="n">
        <f aca="false">ROUND($O2150*$Q2150,2)</f>
        <v>2174.04</v>
      </c>
      <c r="T2150" s="65" t="n">
        <f aca="false">ROUND($R2150*SUMIFS(Parametros!$E$28:$E$43,Parametros!$B$28:$B$43,$J2150,Parametros!$C$28:$C$43,$C2150,Parametros!$D$28:$D$43,$D2150),2)</f>
        <v>54.56</v>
      </c>
      <c r="U2150" s="65" t="n">
        <f aca="false">$R2150-$S2150-$T2150</f>
        <v>1968.12</v>
      </c>
      <c r="V2150" s="66" t="n">
        <f aca="false">IFERROR($U2150/$R2150,0)</f>
        <v>0.46896624030195</v>
      </c>
      <c r="W2150" s="67" t="str">
        <f aca="false">IF(AND($V2150&gt;=Parametros!$C$8,$R2150&gt;=Parametros!$C$12),"Alta rentabilidad",IF(OR($V2150&lt;Parametros!$C$11,$R2150&lt;Parametros!$C$13),"Revisar","Estandar"))</f>
        <v>Alta rentabilidad</v>
      </c>
      <c r="X2150" s="67" t="str">
        <f aca="false">IF(AND($J2150="E-commerce",IFERROR($T2150/$R2150,0)&gt;Parametros!$C$14),"Alerta","OK")</f>
        <v>OK</v>
      </c>
      <c r="Y2150" s="61" t="str">
        <f aca="false">IF($R2150&gt;=Parametros!$C$12,"Alto",IF($R2150&lt;Parametros!$C$13,"Bajo","Medio"))</f>
        <v>Alto</v>
      </c>
      <c r="Z2150" s="61" t="n">
        <v>829</v>
      </c>
      <c r="AA2150" s="61" t="str">
        <f aca="false">IF(MATCH($A2150,Datos_Origen!$A$2:$A$2459,0)=$Z2150,"OK","REVISAR")</f>
        <v>OK</v>
      </c>
      <c r="AB2150" s="62" t="n">
        <f aca="false">INDEX(Datos_Origen!$B$2:$B$2459,$Z2150)</f>
        <v>45935</v>
      </c>
      <c r="AC2150" s="61" t="n">
        <f aca="false">INDEX(Datos_Origen!$H$2:$H$2459,$Z2150)</f>
        <v>44</v>
      </c>
      <c r="AD2150" s="61" t="str">
        <f aca="false">INDEX(Datos_Origen!$D$2:$D$2459,$Z2150)&amp;""</f>
        <v>Rosario</v>
      </c>
    </row>
    <row r="2151" customFormat="false" ht="15" hidden="false" customHeight="false" outlineLevel="0" collapsed="false">
      <c r="A2151" s="61" t="n">
        <f aca="false">INDEX(Datos_Origen!$A$2:$A$2459,$Z2151)</f>
        <v>2150</v>
      </c>
      <c r="B2151" s="62" t="n">
        <f aca="false">IF(ISNUMBER($AB2151),$AB2151,IF(MID($AB2151,5,1)="-",DATE(VALUE(LEFT($AB2151,4)),VALUE(MID($AB2151,6,2)),VALUE(RIGHT($AB2151,2))),DATE(VALUE(RIGHT($AB2151,4)),VALUE(MID($AB2151,4,2)),VALUE(LEFT($AB2151,2)))))</f>
        <v>45942</v>
      </c>
      <c r="C2151" s="61" t="n">
        <f aca="false">YEAR($B2151)</f>
        <v>2025</v>
      </c>
      <c r="D2151" s="61" t="str">
        <f aca="false">"Q"&amp;ROUNDUP(MONTH($B2151)/3,0)</f>
        <v>Q4</v>
      </c>
      <c r="E2151" s="61" t="n">
        <f aca="false">MONTH($B2151)</f>
        <v>10</v>
      </c>
      <c r="F2151" s="61" t="str">
        <f aca="false">INDEX(Parametros!$I$5:$I$16,$E2151)</f>
        <v>Oct</v>
      </c>
      <c r="G2151" s="61" t="str">
        <f aca="false">TEXT($C2151,"0000")&amp;"-"&amp;TEXT($E2151,"00")</f>
        <v>2025-10</v>
      </c>
      <c r="H2151" s="61" t="str">
        <f aca="false">INDEX(Parametros!$C$71:$C$91,MATCH(TRIM(INDEX(Datos_Origen!$C$2:$C$2459,$Z2151)),Parametros!$B$71:$B$91,0))</f>
        <v>Litoral</v>
      </c>
      <c r="I2151" s="61" t="str">
        <f aca="false">IF(TRIM($AD2151)="",INDEX(Parametros!$I$20:$I$24,MATCH($H2151,Parametros!$H$20:$H$24,0)),TRIM($AD2151))</f>
        <v>Rosario</v>
      </c>
      <c r="J2151" s="61" t="str">
        <f aca="false">INDEX(Parametros!$C$95:$C$106,MATCH(TRIM(INDEX(Datos_Origen!$E$2:$E$2459,$Z2151)),Parametros!$B$95:$B$106,0))</f>
        <v>E-commerce</v>
      </c>
      <c r="K2151" s="61" t="str">
        <f aca="false">INDEX(Parametros!$C$48:$C$67,MATCH(TRIM(INDEX(Datos_Origen!$F$2:$F$2459,$Z2151)),Parametros!$B$48:$B$67,0))</f>
        <v>Accesorios</v>
      </c>
      <c r="L2151" s="61" t="str">
        <f aca="false">$K2151&amp;" "&amp;$C2151</f>
        <v>Accesorios 2025</v>
      </c>
      <c r="M2151" s="61" t="str">
        <f aca="false">TRIM(INDEX(Datos_Origen!$G$2:$G$2459,$Z2151))</f>
        <v>Teclado Mecanico</v>
      </c>
      <c r="N2151" s="61" t="str">
        <f aca="false">$M2151&amp;" "&amp;$C2151</f>
        <v>Teclado Mecanico 2025</v>
      </c>
      <c r="O2151" s="63" t="n">
        <f aca="false">IF(ISTEXT($AC2151),VALUE($AC2151),$AC2151)</f>
        <v>26</v>
      </c>
      <c r="P2151" s="64" t="n">
        <f aca="false">INDEX(Datos_Origen!$I$2:$I$2459,$Z2151)</f>
        <v>95.38</v>
      </c>
      <c r="Q2151" s="64" t="n">
        <f aca="false">INDEX(Datos_Origen!$J$2:$J$2459,$Z2151)</f>
        <v>49.41</v>
      </c>
      <c r="R2151" s="65" t="n">
        <f aca="false">ROUND($O2151*$P2151,2)</f>
        <v>2479.88</v>
      </c>
      <c r="S2151" s="65" t="n">
        <f aca="false">ROUND($O2151*$Q2151,2)</f>
        <v>1284.66</v>
      </c>
      <c r="T2151" s="65" t="n">
        <f aca="false">ROUND($R2151*SUMIFS(Parametros!$E$28:$E$43,Parametros!$B$28:$B$43,$J2151,Parametros!$C$28:$C$43,$C2151,Parametros!$D$28:$D$43,$D2151),2)</f>
        <v>128.95</v>
      </c>
      <c r="U2151" s="65" t="n">
        <f aca="false">$R2151-$S2151-$T2151</f>
        <v>1066.27</v>
      </c>
      <c r="V2151" s="66" t="n">
        <f aca="false">IFERROR($U2151/$R2151,0)</f>
        <v>0.429968385567044</v>
      </c>
      <c r="W2151" s="67" t="str">
        <f aca="false">IF(AND($V2151&gt;=Parametros!$C$8,$R2151&gt;=Parametros!$C$12),"Alta rentabilidad",IF(OR($V2151&lt;Parametros!$C$11,$R2151&lt;Parametros!$C$13),"Revisar","Estandar"))</f>
        <v>Estandar</v>
      </c>
      <c r="X2151" s="67" t="str">
        <f aca="false">IF(AND($J2151="E-commerce",IFERROR($T2151/$R2151,0)&gt;Parametros!$C$14),"Alerta","OK")</f>
        <v>Alerta</v>
      </c>
      <c r="Y2151" s="61" t="str">
        <f aca="false">IF($R2151&gt;=Parametros!$C$12,"Alto",IF($R2151&lt;Parametros!$C$13,"Bajo","Medio"))</f>
        <v>Medio</v>
      </c>
      <c r="Z2151" s="61" t="n">
        <v>686</v>
      </c>
      <c r="AA2151" s="61" t="str">
        <f aca="false">IF(MATCH($A2151,Datos_Origen!$A$2:$A$2459,0)=$Z2151,"OK","REVISAR")</f>
        <v>OK</v>
      </c>
      <c r="AB2151" s="62" t="n">
        <f aca="false">INDEX(Datos_Origen!$B$2:$B$2459,$Z2151)</f>
        <v>45942</v>
      </c>
      <c r="AC2151" s="61" t="n">
        <f aca="false">INDEX(Datos_Origen!$H$2:$H$2459,$Z2151)</f>
        <v>26</v>
      </c>
      <c r="AD2151" s="61" t="str">
        <f aca="false">INDEX(Datos_Origen!$D$2:$D$2459,$Z2151)&amp;""</f>
        <v>Rosario</v>
      </c>
    </row>
    <row r="2152" customFormat="false" ht="15" hidden="false" customHeight="false" outlineLevel="0" collapsed="false">
      <c r="A2152" s="61" t="n">
        <f aca="false">INDEX(Datos_Origen!$A$2:$A$2459,$Z2152)</f>
        <v>2151</v>
      </c>
      <c r="B2152" s="62" t="n">
        <f aca="false">IF(ISNUMBER($AB2152),$AB2152,IF(MID($AB2152,5,1)="-",DATE(VALUE(LEFT($AB2152,4)),VALUE(MID($AB2152,6,2)),VALUE(RIGHT($AB2152,2))),DATE(VALUE(RIGHT($AB2152,4)),VALUE(MID($AB2152,4,2)),VALUE(LEFT($AB2152,2)))))</f>
        <v>45949</v>
      </c>
      <c r="C2152" s="61" t="n">
        <f aca="false">YEAR($B2152)</f>
        <v>2025</v>
      </c>
      <c r="D2152" s="61" t="str">
        <f aca="false">"Q"&amp;ROUNDUP(MONTH($B2152)/3,0)</f>
        <v>Q4</v>
      </c>
      <c r="E2152" s="61" t="n">
        <f aca="false">MONTH($B2152)</f>
        <v>10</v>
      </c>
      <c r="F2152" s="61" t="str">
        <f aca="false">INDEX(Parametros!$I$5:$I$16,$E2152)</f>
        <v>Oct</v>
      </c>
      <c r="G2152" s="61" t="str">
        <f aca="false">TEXT($C2152,"0000")&amp;"-"&amp;TEXT($E2152,"00")</f>
        <v>2025-10</v>
      </c>
      <c r="H2152" s="61" t="str">
        <f aca="false">INDEX(Parametros!$C$71:$C$91,MATCH(TRIM(INDEX(Datos_Origen!$C$2:$C$2459,$Z2152)),Parametros!$B$71:$B$91,0))</f>
        <v>Litoral</v>
      </c>
      <c r="I2152" s="61" t="str">
        <f aca="false">IF(TRIM($AD2152)="",INDEX(Parametros!$I$20:$I$24,MATCH($H2152,Parametros!$H$20:$H$24,0)),TRIM($AD2152))</f>
        <v>Rosario</v>
      </c>
      <c r="J2152" s="61" t="str">
        <f aca="false">INDEX(Parametros!$C$95:$C$106,MATCH(TRIM(INDEX(Datos_Origen!$E$2:$E$2459,$Z2152)),Parametros!$B$95:$B$106,0))</f>
        <v>Tienda fisica</v>
      </c>
      <c r="K2152" s="61" t="str">
        <f aca="false">INDEX(Parametros!$C$48:$C$67,MATCH(TRIM(INDEX(Datos_Origen!$F$2:$F$2459,$Z2152)),Parametros!$B$48:$B$67,0))</f>
        <v>Accesorios</v>
      </c>
      <c r="L2152" s="61" t="str">
        <f aca="false">$K2152&amp;" "&amp;$C2152</f>
        <v>Accesorios 2025</v>
      </c>
      <c r="M2152" s="61" t="str">
        <f aca="false">TRIM(INDEX(Datos_Origen!$G$2:$G$2459,$Z2152))</f>
        <v>Webcam Full HD</v>
      </c>
      <c r="N2152" s="61" t="str">
        <f aca="false">$M2152&amp;" "&amp;$C2152</f>
        <v>Webcam Full HD 2025</v>
      </c>
      <c r="O2152" s="63" t="n">
        <f aca="false">IF(ISTEXT($AC2152),VALUE($AC2152),$AC2152)</f>
        <v>38</v>
      </c>
      <c r="P2152" s="64" t="n">
        <f aca="false">INDEX(Datos_Origen!$I$2:$I$2459,$Z2152)</f>
        <v>65.26</v>
      </c>
      <c r="Q2152" s="64" t="n">
        <f aca="false">INDEX(Datos_Origen!$J$2:$J$2459,$Z2152)</f>
        <v>36.49</v>
      </c>
      <c r="R2152" s="65" t="n">
        <f aca="false">ROUND($O2152*$P2152,2)</f>
        <v>2479.88</v>
      </c>
      <c r="S2152" s="65" t="n">
        <f aca="false">ROUND($O2152*$Q2152,2)</f>
        <v>1386.62</v>
      </c>
      <c r="T2152" s="65" t="n">
        <f aca="false">ROUND($R2152*SUMIFS(Parametros!$E$28:$E$43,Parametros!$B$28:$B$43,$J2152,Parametros!$C$28:$C$43,$C2152,Parametros!$D$28:$D$43,$D2152),2)</f>
        <v>32.24</v>
      </c>
      <c r="U2152" s="65" t="n">
        <f aca="false">$R2152-$S2152-$T2152</f>
        <v>1061.02</v>
      </c>
      <c r="V2152" s="66" t="n">
        <f aca="false">IFERROR($U2152/$R2152,0)</f>
        <v>0.427851347645854</v>
      </c>
      <c r="W2152" s="67" t="str">
        <f aca="false">IF(AND($V2152&gt;=Parametros!$C$8,$R2152&gt;=Parametros!$C$12),"Alta rentabilidad",IF(OR($V2152&lt;Parametros!$C$11,$R2152&lt;Parametros!$C$13),"Revisar","Estandar"))</f>
        <v>Estandar</v>
      </c>
      <c r="X2152" s="67" t="str">
        <f aca="false">IF(AND($J2152="E-commerce",IFERROR($T2152/$R2152,0)&gt;Parametros!$C$14),"Alerta","OK")</f>
        <v>OK</v>
      </c>
      <c r="Y2152" s="61" t="str">
        <f aca="false">IF($R2152&gt;=Parametros!$C$12,"Alto",IF($R2152&lt;Parametros!$C$13,"Bajo","Medio"))</f>
        <v>Medio</v>
      </c>
      <c r="Z2152" s="61" t="n">
        <v>201</v>
      </c>
      <c r="AA2152" s="61" t="str">
        <f aca="false">IF(MATCH($A2152,Datos_Origen!$A$2:$A$2459,0)=$Z2152,"OK","REVISAR")</f>
        <v>OK</v>
      </c>
      <c r="AB2152" s="62" t="n">
        <f aca="false">INDEX(Datos_Origen!$B$2:$B$2459,$Z2152)</f>
        <v>45949</v>
      </c>
      <c r="AC2152" s="61" t="n">
        <f aca="false">INDEX(Datos_Origen!$H$2:$H$2459,$Z2152)</f>
        <v>38</v>
      </c>
      <c r="AD2152" s="61" t="str">
        <f aca="false">INDEX(Datos_Origen!$D$2:$D$2459,$Z2152)&amp;""</f>
        <v>Rosario</v>
      </c>
    </row>
    <row r="2153" customFormat="false" ht="15" hidden="false" customHeight="false" outlineLevel="0" collapsed="false">
      <c r="A2153" s="61" t="n">
        <f aca="false">INDEX(Datos_Origen!$A$2:$A$2459,$Z2153)</f>
        <v>2152</v>
      </c>
      <c r="B2153" s="62" t="n">
        <f aca="false">IF(ISNUMBER($AB2153),$AB2153,IF(MID($AB2153,5,1)="-",DATE(VALUE(LEFT($AB2153,4)),VALUE(MID($AB2153,6,2)),VALUE(RIGHT($AB2153,2))),DATE(VALUE(RIGHT($AB2153,4)),VALUE(MID($AB2153,4,2)),VALUE(LEFT($AB2153,2)))))</f>
        <v>45956</v>
      </c>
      <c r="C2153" s="61" t="n">
        <f aca="false">YEAR($B2153)</f>
        <v>2025</v>
      </c>
      <c r="D2153" s="61" t="str">
        <f aca="false">"Q"&amp;ROUNDUP(MONTH($B2153)/3,0)</f>
        <v>Q4</v>
      </c>
      <c r="E2153" s="61" t="n">
        <f aca="false">MONTH($B2153)</f>
        <v>10</v>
      </c>
      <c r="F2153" s="61" t="str">
        <f aca="false">INDEX(Parametros!$I$5:$I$16,$E2153)</f>
        <v>Oct</v>
      </c>
      <c r="G2153" s="61" t="str">
        <f aca="false">TEXT($C2153,"0000")&amp;"-"&amp;TEXT($E2153,"00")</f>
        <v>2025-10</v>
      </c>
      <c r="H2153" s="61" t="str">
        <f aca="false">INDEX(Parametros!$C$71:$C$91,MATCH(TRIM(INDEX(Datos_Origen!$C$2:$C$2459,$Z2153)),Parametros!$B$71:$B$91,0))</f>
        <v>Litoral</v>
      </c>
      <c r="I2153" s="61" t="str">
        <f aca="false">IF(TRIM($AD2153)="",INDEX(Parametros!$I$20:$I$24,MATCH($H2153,Parametros!$H$20:$H$24,0)),TRIM($AD2153))</f>
        <v>Rosario</v>
      </c>
      <c r="J2153" s="61" t="str">
        <f aca="false">INDEX(Parametros!$C$95:$C$106,MATCH(TRIM(INDEX(Datos_Origen!$E$2:$E$2459,$Z2153)),Parametros!$B$95:$B$106,0))</f>
        <v>E-commerce</v>
      </c>
      <c r="K2153" s="61" t="str">
        <f aca="false">INDEX(Parametros!$C$48:$C$67,MATCH(TRIM(INDEX(Datos_Origen!$F$2:$F$2459,$Z2153)),Parametros!$B$48:$B$67,0))</f>
        <v>Accesorios</v>
      </c>
      <c r="L2153" s="61" t="str">
        <f aca="false">$K2153&amp;" "&amp;$C2153</f>
        <v>Accesorios 2025</v>
      </c>
      <c r="M2153" s="61" t="str">
        <f aca="false">TRIM(INDEX(Datos_Origen!$G$2:$G$2459,$Z2153))</f>
        <v>Webcam Full HD</v>
      </c>
      <c r="N2153" s="61" t="str">
        <f aca="false">$M2153&amp;" "&amp;$C2153</f>
        <v>Webcam Full HD 2025</v>
      </c>
      <c r="O2153" s="63" t="n">
        <f aca="false">IF(ISTEXT($AC2153),VALUE($AC2153),$AC2153)</f>
        <v>33</v>
      </c>
      <c r="P2153" s="64" t="n">
        <f aca="false">INDEX(Datos_Origen!$I$2:$I$2459,$Z2153)</f>
        <v>65.26</v>
      </c>
      <c r="Q2153" s="64" t="n">
        <f aca="false">INDEX(Datos_Origen!$J$2:$J$2459,$Z2153)</f>
        <v>36.49</v>
      </c>
      <c r="R2153" s="65" t="n">
        <f aca="false">ROUND($O2153*$P2153,2)</f>
        <v>2153.58</v>
      </c>
      <c r="S2153" s="65" t="n">
        <f aca="false">ROUND($O2153*$Q2153,2)</f>
        <v>1204.17</v>
      </c>
      <c r="T2153" s="65" t="n">
        <f aca="false">ROUND($R2153*SUMIFS(Parametros!$E$28:$E$43,Parametros!$B$28:$B$43,$J2153,Parametros!$C$28:$C$43,$C2153,Parametros!$D$28:$D$43,$D2153),2)</f>
        <v>111.99</v>
      </c>
      <c r="U2153" s="65" t="n">
        <f aca="false">$R2153-$S2153-$T2153</f>
        <v>837.42</v>
      </c>
      <c r="V2153" s="66" t="n">
        <f aca="false">IFERROR($U2153/$R2153,0)</f>
        <v>0.38885019363107</v>
      </c>
      <c r="W2153" s="67" t="str">
        <f aca="false">IF(AND($V2153&gt;=Parametros!$C$8,$R2153&gt;=Parametros!$C$12),"Alta rentabilidad",IF(OR($V2153&lt;Parametros!$C$11,$R2153&lt;Parametros!$C$13),"Revisar","Estandar"))</f>
        <v>Estandar</v>
      </c>
      <c r="X2153" s="67" t="str">
        <f aca="false">IF(AND($J2153="E-commerce",IFERROR($T2153/$R2153,0)&gt;Parametros!$C$14),"Alerta","OK")</f>
        <v>Alerta</v>
      </c>
      <c r="Y2153" s="61" t="str">
        <f aca="false">IF($R2153&gt;=Parametros!$C$12,"Alto",IF($R2153&lt;Parametros!$C$13,"Bajo","Medio"))</f>
        <v>Medio</v>
      </c>
      <c r="Z2153" s="61" t="n">
        <v>445</v>
      </c>
      <c r="AA2153" s="61" t="str">
        <f aca="false">IF(MATCH($A2153,Datos_Origen!$A$2:$A$2459,0)=$Z2153,"OK","REVISAR")</f>
        <v>OK</v>
      </c>
      <c r="AB2153" s="62" t="n">
        <f aca="false">INDEX(Datos_Origen!$B$2:$B$2459,$Z2153)</f>
        <v>45956</v>
      </c>
      <c r="AC2153" s="61" t="n">
        <f aca="false">INDEX(Datos_Origen!$H$2:$H$2459,$Z2153)</f>
        <v>33</v>
      </c>
      <c r="AD2153" s="61" t="str">
        <f aca="false">INDEX(Datos_Origen!$D$2:$D$2459,$Z2153)&amp;""</f>
        <v>Rosario</v>
      </c>
    </row>
    <row r="2154" customFormat="false" ht="15" hidden="false" customHeight="false" outlineLevel="0" collapsed="false">
      <c r="A2154" s="61" t="n">
        <f aca="false">INDEX(Datos_Origen!$A$2:$A$2459,$Z2154)</f>
        <v>2153</v>
      </c>
      <c r="B2154" s="62" t="n">
        <f aca="false">IF(ISNUMBER($AB2154),$AB2154,IF(MID($AB2154,5,1)="-",DATE(VALUE(LEFT($AB2154,4)),VALUE(MID($AB2154,6,2)),VALUE(RIGHT($AB2154,2))),DATE(VALUE(RIGHT($AB2154,4)),VALUE(MID($AB2154,4,2)),VALUE(LEFT($AB2154,2)))))</f>
        <v>45936</v>
      </c>
      <c r="C2154" s="61" t="n">
        <f aca="false">YEAR($B2154)</f>
        <v>2025</v>
      </c>
      <c r="D2154" s="61" t="str">
        <f aca="false">"Q"&amp;ROUNDUP(MONTH($B2154)/3,0)</f>
        <v>Q4</v>
      </c>
      <c r="E2154" s="61" t="n">
        <f aca="false">MONTH($B2154)</f>
        <v>10</v>
      </c>
      <c r="F2154" s="61" t="str">
        <f aca="false">INDEX(Parametros!$I$5:$I$16,$E2154)</f>
        <v>Oct</v>
      </c>
      <c r="G2154" s="61" t="str">
        <f aca="false">TEXT($C2154,"0000")&amp;"-"&amp;TEXT($E2154,"00")</f>
        <v>2025-10</v>
      </c>
      <c r="H2154" s="61" t="str">
        <f aca="false">INDEX(Parametros!$C$71:$C$91,MATCH(TRIM(INDEX(Datos_Origen!$C$2:$C$2459,$Z2154)),Parametros!$B$71:$B$91,0))</f>
        <v>Litoral</v>
      </c>
      <c r="I2154" s="61" t="str">
        <f aca="false">IF(TRIM($AD2154)="",INDEX(Parametros!$I$20:$I$24,MATCH($H2154,Parametros!$H$20:$H$24,0)),TRIM($AD2154))</f>
        <v>Rosario</v>
      </c>
      <c r="J2154" s="61" t="str">
        <f aca="false">INDEX(Parametros!$C$95:$C$106,MATCH(TRIM(INDEX(Datos_Origen!$E$2:$E$2459,$Z2154)),Parametros!$B$95:$B$106,0))</f>
        <v>Tienda fisica</v>
      </c>
      <c r="K2154" s="61" t="str">
        <f aca="false">INDEX(Parametros!$C$48:$C$67,MATCH(TRIM(INDEX(Datos_Origen!$F$2:$F$2459,$Z2154)),Parametros!$B$48:$B$67,0))</f>
        <v>Audio</v>
      </c>
      <c r="L2154" s="61" t="str">
        <f aca="false">$K2154&amp;" "&amp;$C2154</f>
        <v>Audio 2025</v>
      </c>
      <c r="M2154" s="61" t="str">
        <f aca="false">TRIM(INDEX(Datos_Origen!$G$2:$G$2459,$Z2154))</f>
        <v>Auriculares BT Pro</v>
      </c>
      <c r="N2154" s="61" t="str">
        <f aca="false">$M2154&amp;" "&amp;$C2154</f>
        <v>Auriculares BT Pro 2025</v>
      </c>
      <c r="O2154" s="63" t="n">
        <f aca="false">IF(ISTEXT($AC2154),VALUE($AC2154),$AC2154)</f>
        <v>19</v>
      </c>
      <c r="P2154" s="64" t="n">
        <f aca="false">INDEX(Datos_Origen!$I$2:$I$2459,$Z2154)</f>
        <v>120.47</v>
      </c>
      <c r="Q2154" s="64" t="n">
        <f aca="false">INDEX(Datos_Origen!$J$2:$J$2459,$Z2154)</f>
        <v>65.51</v>
      </c>
      <c r="R2154" s="65" t="n">
        <f aca="false">ROUND($O2154*$P2154,2)</f>
        <v>2288.93</v>
      </c>
      <c r="S2154" s="65" t="n">
        <f aca="false">ROUND($O2154*$Q2154,2)</f>
        <v>1244.69</v>
      </c>
      <c r="T2154" s="65" t="n">
        <f aca="false">ROUND($R2154*SUMIFS(Parametros!$E$28:$E$43,Parametros!$B$28:$B$43,$J2154,Parametros!$C$28:$C$43,$C2154,Parametros!$D$28:$D$43,$D2154),2)</f>
        <v>29.76</v>
      </c>
      <c r="U2154" s="65" t="n">
        <f aca="false">$R2154-$S2154-$T2154</f>
        <v>1014.48</v>
      </c>
      <c r="V2154" s="66" t="n">
        <f aca="false">IFERROR($U2154/$R2154,0)</f>
        <v>0.4432114568816</v>
      </c>
      <c r="W2154" s="67" t="str">
        <f aca="false">IF(AND($V2154&gt;=Parametros!$C$8,$R2154&gt;=Parametros!$C$12),"Alta rentabilidad",IF(OR($V2154&lt;Parametros!$C$11,$R2154&lt;Parametros!$C$13),"Revisar","Estandar"))</f>
        <v>Estandar</v>
      </c>
      <c r="X2154" s="67" t="str">
        <f aca="false">IF(AND($J2154="E-commerce",IFERROR($T2154/$R2154,0)&gt;Parametros!$C$14),"Alerta","OK")</f>
        <v>OK</v>
      </c>
      <c r="Y2154" s="61" t="str">
        <f aca="false">IF($R2154&gt;=Parametros!$C$12,"Alto",IF($R2154&lt;Parametros!$C$13,"Bajo","Medio"))</f>
        <v>Medio</v>
      </c>
      <c r="Z2154" s="61" t="n">
        <v>142</v>
      </c>
      <c r="AA2154" s="61" t="str">
        <f aca="false">IF(MATCH($A2154,Datos_Origen!$A$2:$A$2459,0)=$Z2154,"OK","REVISAR")</f>
        <v>OK</v>
      </c>
      <c r="AB2154" s="62" t="n">
        <f aca="false">INDEX(Datos_Origen!$B$2:$B$2459,$Z2154)</f>
        <v>45936</v>
      </c>
      <c r="AC2154" s="61" t="n">
        <f aca="false">INDEX(Datos_Origen!$H$2:$H$2459,$Z2154)</f>
        <v>19</v>
      </c>
      <c r="AD2154" s="61" t="str">
        <f aca="false">INDEX(Datos_Origen!$D$2:$D$2459,$Z2154)&amp;""</f>
        <v>Rosario</v>
      </c>
    </row>
    <row r="2155" customFormat="false" ht="15" hidden="false" customHeight="false" outlineLevel="0" collapsed="false">
      <c r="A2155" s="61" t="n">
        <f aca="false">INDEX(Datos_Origen!$A$2:$A$2459,$Z2155)</f>
        <v>2154</v>
      </c>
      <c r="B2155" s="62" t="n">
        <f aca="false">IF(ISNUMBER($AB2155),$AB2155,IF(MID($AB2155,5,1)="-",DATE(VALUE(LEFT($AB2155,4)),VALUE(MID($AB2155,6,2)),VALUE(RIGHT($AB2155,2))),DATE(VALUE(RIGHT($AB2155,4)),VALUE(MID($AB2155,4,2)),VALUE(LEFT($AB2155,2)))))</f>
        <v>45943</v>
      </c>
      <c r="C2155" s="61" t="n">
        <f aca="false">YEAR($B2155)</f>
        <v>2025</v>
      </c>
      <c r="D2155" s="61" t="str">
        <f aca="false">"Q"&amp;ROUNDUP(MONTH($B2155)/3,0)</f>
        <v>Q4</v>
      </c>
      <c r="E2155" s="61" t="n">
        <f aca="false">MONTH($B2155)</f>
        <v>10</v>
      </c>
      <c r="F2155" s="61" t="str">
        <f aca="false">INDEX(Parametros!$I$5:$I$16,$E2155)</f>
        <v>Oct</v>
      </c>
      <c r="G2155" s="61" t="str">
        <f aca="false">TEXT($C2155,"0000")&amp;"-"&amp;TEXT($E2155,"00")</f>
        <v>2025-10</v>
      </c>
      <c r="H2155" s="61" t="str">
        <f aca="false">INDEX(Parametros!$C$71:$C$91,MATCH(TRIM(INDEX(Datos_Origen!$C$2:$C$2459,$Z2155)),Parametros!$B$71:$B$91,0))</f>
        <v>Litoral</v>
      </c>
      <c r="I2155" s="61" t="str">
        <f aca="false">IF(TRIM($AD2155)="",INDEX(Parametros!$I$20:$I$24,MATCH($H2155,Parametros!$H$20:$H$24,0)),TRIM($AD2155))</f>
        <v>Rosario</v>
      </c>
      <c r="J2155" s="61" t="str">
        <f aca="false">INDEX(Parametros!$C$95:$C$106,MATCH(TRIM(INDEX(Datos_Origen!$E$2:$E$2459,$Z2155)),Parametros!$B$95:$B$106,0))</f>
        <v>E-commerce</v>
      </c>
      <c r="K2155" s="61" t="str">
        <f aca="false">INDEX(Parametros!$C$48:$C$67,MATCH(TRIM(INDEX(Datos_Origen!$F$2:$F$2459,$Z2155)),Parametros!$B$48:$B$67,0))</f>
        <v>Audio</v>
      </c>
      <c r="L2155" s="61" t="str">
        <f aca="false">$K2155&amp;" "&amp;$C2155</f>
        <v>Audio 2025</v>
      </c>
      <c r="M2155" s="61" t="str">
        <f aca="false">TRIM(INDEX(Datos_Origen!$G$2:$G$2459,$Z2155))</f>
        <v>Auriculares BT Pro</v>
      </c>
      <c r="N2155" s="61" t="str">
        <f aca="false">$M2155&amp;" "&amp;$C2155</f>
        <v>Auriculares BT Pro 2025</v>
      </c>
      <c r="O2155" s="63" t="n">
        <f aca="false">IF(ISTEXT($AC2155),VALUE($AC2155),$AC2155)</f>
        <v>15</v>
      </c>
      <c r="P2155" s="64" t="n">
        <f aca="false">INDEX(Datos_Origen!$I$2:$I$2459,$Z2155)</f>
        <v>120.47</v>
      </c>
      <c r="Q2155" s="64" t="n">
        <f aca="false">INDEX(Datos_Origen!$J$2:$J$2459,$Z2155)</f>
        <v>65.51</v>
      </c>
      <c r="R2155" s="65" t="n">
        <f aca="false">ROUND($O2155*$P2155,2)</f>
        <v>1807.05</v>
      </c>
      <c r="S2155" s="65" t="n">
        <f aca="false">ROUND($O2155*$Q2155,2)</f>
        <v>982.65</v>
      </c>
      <c r="T2155" s="65" t="n">
        <f aca="false">ROUND($R2155*SUMIFS(Parametros!$E$28:$E$43,Parametros!$B$28:$B$43,$J2155,Parametros!$C$28:$C$43,$C2155,Parametros!$D$28:$D$43,$D2155),2)</f>
        <v>93.97</v>
      </c>
      <c r="U2155" s="65" t="n">
        <f aca="false">$R2155-$S2155-$T2155</f>
        <v>730.43</v>
      </c>
      <c r="V2155" s="66" t="n">
        <f aca="false">IFERROR($U2155/$R2155,0)</f>
        <v>0.404211283583741</v>
      </c>
      <c r="W2155" s="67" t="str">
        <f aca="false">IF(AND($V2155&gt;=Parametros!$C$8,$R2155&gt;=Parametros!$C$12),"Alta rentabilidad",IF(OR($V2155&lt;Parametros!$C$11,$R2155&lt;Parametros!$C$13),"Revisar","Estandar"))</f>
        <v>Estandar</v>
      </c>
      <c r="X2155" s="67" t="str">
        <f aca="false">IF(AND($J2155="E-commerce",IFERROR($T2155/$R2155,0)&gt;Parametros!$C$14),"Alerta","OK")</f>
        <v>Alerta</v>
      </c>
      <c r="Y2155" s="61" t="str">
        <f aca="false">IF($R2155&gt;=Parametros!$C$12,"Alto",IF($R2155&lt;Parametros!$C$13,"Bajo","Medio"))</f>
        <v>Medio</v>
      </c>
      <c r="Z2155" s="61" t="n">
        <v>1001</v>
      </c>
      <c r="AA2155" s="61" t="str">
        <f aca="false">IF(MATCH($A2155,Datos_Origen!$A$2:$A$2459,0)=$Z2155,"OK","REVISAR")</f>
        <v>OK</v>
      </c>
      <c r="AB2155" s="61" t="str">
        <f aca="false">INDEX(Datos_Origen!$B$2:$B$2459,$Z2155)</f>
        <v>2025-10-13</v>
      </c>
      <c r="AC2155" s="61" t="n">
        <f aca="false">INDEX(Datos_Origen!$H$2:$H$2459,$Z2155)</f>
        <v>15</v>
      </c>
      <c r="AD2155" s="61" t="str">
        <f aca="false">INDEX(Datos_Origen!$D$2:$D$2459,$Z2155)&amp;""</f>
        <v>Rosario</v>
      </c>
    </row>
    <row r="2156" customFormat="false" ht="15" hidden="false" customHeight="false" outlineLevel="0" collapsed="false">
      <c r="A2156" s="61" t="n">
        <f aca="false">INDEX(Datos_Origen!$A$2:$A$2459,$Z2156)</f>
        <v>2155</v>
      </c>
      <c r="B2156" s="62" t="n">
        <f aca="false">IF(ISNUMBER($AB2156),$AB2156,IF(MID($AB2156,5,1)="-",DATE(VALUE(LEFT($AB2156,4)),VALUE(MID($AB2156,6,2)),VALUE(RIGHT($AB2156,2))),DATE(VALUE(RIGHT($AB2156,4)),VALUE(MID($AB2156,4,2)),VALUE(LEFT($AB2156,2)))))</f>
        <v>45950</v>
      </c>
      <c r="C2156" s="61" t="n">
        <f aca="false">YEAR($B2156)</f>
        <v>2025</v>
      </c>
      <c r="D2156" s="61" t="str">
        <f aca="false">"Q"&amp;ROUNDUP(MONTH($B2156)/3,0)</f>
        <v>Q4</v>
      </c>
      <c r="E2156" s="61" t="n">
        <f aca="false">MONTH($B2156)</f>
        <v>10</v>
      </c>
      <c r="F2156" s="61" t="str">
        <f aca="false">INDEX(Parametros!$I$5:$I$16,$E2156)</f>
        <v>Oct</v>
      </c>
      <c r="G2156" s="61" t="str">
        <f aca="false">TEXT($C2156,"0000")&amp;"-"&amp;TEXT($E2156,"00")</f>
        <v>2025-10</v>
      </c>
      <c r="H2156" s="61" t="str">
        <f aca="false">INDEX(Parametros!$C$71:$C$91,MATCH(TRIM(INDEX(Datos_Origen!$C$2:$C$2459,$Z2156)),Parametros!$B$71:$B$91,0))</f>
        <v>Litoral</v>
      </c>
      <c r="I2156" s="61" t="str">
        <f aca="false">IF(TRIM($AD2156)="",INDEX(Parametros!$I$20:$I$24,MATCH($H2156,Parametros!$H$20:$H$24,0)),TRIM($AD2156))</f>
        <v>Rosario</v>
      </c>
      <c r="J2156" s="61" t="str">
        <f aca="false">INDEX(Parametros!$C$95:$C$106,MATCH(TRIM(INDEX(Datos_Origen!$E$2:$E$2459,$Z2156)),Parametros!$B$95:$B$106,0))</f>
        <v>Tienda fisica</v>
      </c>
      <c r="K2156" s="61" t="str">
        <f aca="false">INDEX(Parametros!$C$48:$C$67,MATCH(TRIM(INDEX(Datos_Origen!$F$2:$F$2459,$Z2156)),Parametros!$B$48:$B$67,0))</f>
        <v>Audio</v>
      </c>
      <c r="L2156" s="61" t="str">
        <f aca="false">$K2156&amp;" "&amp;$C2156</f>
        <v>Audio 2025</v>
      </c>
      <c r="M2156" s="61" t="str">
        <f aca="false">TRIM(INDEX(Datos_Origen!$G$2:$G$2459,$Z2156))</f>
        <v>Parlante Bluetooth</v>
      </c>
      <c r="N2156" s="61" t="str">
        <f aca="false">$M2156&amp;" "&amp;$C2156</f>
        <v>Parlante Bluetooth 2025</v>
      </c>
      <c r="O2156" s="63" t="n">
        <f aca="false">IF(ISTEXT($AC2156),VALUE($AC2156),$AC2156)</f>
        <v>16</v>
      </c>
      <c r="P2156" s="64" t="n">
        <f aca="false">INDEX(Datos_Origen!$I$2:$I$2459,$Z2156)</f>
        <v>85.34</v>
      </c>
      <c r="Q2156" s="64" t="n">
        <f aca="false">INDEX(Datos_Origen!$J$2:$J$2459,$Z2156)</f>
        <v>49.47</v>
      </c>
      <c r="R2156" s="65" t="n">
        <f aca="false">ROUND($O2156*$P2156,2)</f>
        <v>1365.44</v>
      </c>
      <c r="S2156" s="65" t="n">
        <f aca="false">ROUND($O2156*$Q2156,2)</f>
        <v>791.52</v>
      </c>
      <c r="T2156" s="65" t="n">
        <f aca="false">ROUND($R2156*SUMIFS(Parametros!$E$28:$E$43,Parametros!$B$28:$B$43,$J2156,Parametros!$C$28:$C$43,$C2156,Parametros!$D$28:$D$43,$D2156),2)</f>
        <v>17.75</v>
      </c>
      <c r="U2156" s="65" t="n">
        <f aca="false">$R2156-$S2156-$T2156</f>
        <v>556.17</v>
      </c>
      <c r="V2156" s="66" t="n">
        <f aca="false">IFERROR($U2156/$R2156,0)</f>
        <v>0.407319252402156</v>
      </c>
      <c r="W2156" s="67" t="str">
        <f aca="false">IF(AND($V2156&gt;=Parametros!$C$8,$R2156&gt;=Parametros!$C$12),"Alta rentabilidad",IF(OR($V2156&lt;Parametros!$C$11,$R2156&lt;Parametros!$C$13),"Revisar","Estandar"))</f>
        <v>Estandar</v>
      </c>
      <c r="X2156" s="67" t="str">
        <f aca="false">IF(AND($J2156="E-commerce",IFERROR($T2156/$R2156,0)&gt;Parametros!$C$14),"Alerta","OK")</f>
        <v>OK</v>
      </c>
      <c r="Y2156" s="61" t="str">
        <f aca="false">IF($R2156&gt;=Parametros!$C$12,"Alto",IF($R2156&lt;Parametros!$C$13,"Bajo","Medio"))</f>
        <v>Medio</v>
      </c>
      <c r="Z2156" s="61" t="n">
        <v>432</v>
      </c>
      <c r="AA2156" s="61" t="str">
        <f aca="false">IF(MATCH($A2156,Datos_Origen!$A$2:$A$2459,0)=$Z2156,"OK","REVISAR")</f>
        <v>OK</v>
      </c>
      <c r="AB2156" s="62" t="n">
        <f aca="false">INDEX(Datos_Origen!$B$2:$B$2459,$Z2156)</f>
        <v>45950</v>
      </c>
      <c r="AC2156" s="61" t="n">
        <f aca="false">INDEX(Datos_Origen!$H$2:$H$2459,$Z2156)</f>
        <v>16</v>
      </c>
      <c r="AD2156" s="61" t="str">
        <f aca="false">INDEX(Datos_Origen!$D$2:$D$2459,$Z2156)&amp;""</f>
        <v>Rosario</v>
      </c>
    </row>
    <row r="2157" customFormat="false" ht="15" hidden="false" customHeight="false" outlineLevel="0" collapsed="false">
      <c r="A2157" s="61" t="n">
        <f aca="false">INDEX(Datos_Origen!$A$2:$A$2459,$Z2157)</f>
        <v>2156</v>
      </c>
      <c r="B2157" s="62" t="n">
        <f aca="false">IF(ISNUMBER($AB2157),$AB2157,IF(MID($AB2157,5,1)="-",DATE(VALUE(LEFT($AB2157,4)),VALUE(MID($AB2157,6,2)),VALUE(RIGHT($AB2157,2))),DATE(VALUE(RIGHT($AB2157,4)),VALUE(MID($AB2157,4,2)),VALUE(LEFT($AB2157,2)))))</f>
        <v>45957</v>
      </c>
      <c r="C2157" s="61" t="n">
        <f aca="false">YEAR($B2157)</f>
        <v>2025</v>
      </c>
      <c r="D2157" s="61" t="str">
        <f aca="false">"Q"&amp;ROUNDUP(MONTH($B2157)/3,0)</f>
        <v>Q4</v>
      </c>
      <c r="E2157" s="61" t="n">
        <f aca="false">MONTH($B2157)</f>
        <v>10</v>
      </c>
      <c r="F2157" s="61" t="str">
        <f aca="false">INDEX(Parametros!$I$5:$I$16,$E2157)</f>
        <v>Oct</v>
      </c>
      <c r="G2157" s="61" t="str">
        <f aca="false">TEXT($C2157,"0000")&amp;"-"&amp;TEXT($E2157,"00")</f>
        <v>2025-10</v>
      </c>
      <c r="H2157" s="61" t="str">
        <f aca="false">INDEX(Parametros!$C$71:$C$91,MATCH(TRIM(INDEX(Datos_Origen!$C$2:$C$2459,$Z2157)),Parametros!$B$71:$B$91,0))</f>
        <v>Litoral</v>
      </c>
      <c r="I2157" s="61" t="str">
        <f aca="false">IF(TRIM($AD2157)="",INDEX(Parametros!$I$20:$I$24,MATCH($H2157,Parametros!$H$20:$H$24,0)),TRIM($AD2157))</f>
        <v>Rosario</v>
      </c>
      <c r="J2157" s="61" t="str">
        <f aca="false">INDEX(Parametros!$C$95:$C$106,MATCH(TRIM(INDEX(Datos_Origen!$E$2:$E$2459,$Z2157)),Parametros!$B$95:$B$106,0))</f>
        <v>E-commerce</v>
      </c>
      <c r="K2157" s="61" t="str">
        <f aca="false">INDEX(Parametros!$C$48:$C$67,MATCH(TRIM(INDEX(Datos_Origen!$F$2:$F$2459,$Z2157)),Parametros!$B$48:$B$67,0))</f>
        <v>Audio</v>
      </c>
      <c r="L2157" s="61" t="str">
        <f aca="false">$K2157&amp;" "&amp;$C2157</f>
        <v>Audio 2025</v>
      </c>
      <c r="M2157" s="61" t="str">
        <f aca="false">TRIM(INDEX(Datos_Origen!$G$2:$G$2459,$Z2157))</f>
        <v>Parlante Bluetooth</v>
      </c>
      <c r="N2157" s="61" t="str">
        <f aca="false">$M2157&amp;" "&amp;$C2157</f>
        <v>Parlante Bluetooth 2025</v>
      </c>
      <c r="O2157" s="63" t="n">
        <f aca="false">IF(ISTEXT($AC2157),VALUE($AC2157),$AC2157)</f>
        <v>14</v>
      </c>
      <c r="P2157" s="64" t="n">
        <f aca="false">INDEX(Datos_Origen!$I$2:$I$2459,$Z2157)</f>
        <v>85.34</v>
      </c>
      <c r="Q2157" s="64" t="n">
        <f aca="false">INDEX(Datos_Origen!$J$2:$J$2459,$Z2157)</f>
        <v>49.47</v>
      </c>
      <c r="R2157" s="65" t="n">
        <f aca="false">ROUND($O2157*$P2157,2)</f>
        <v>1194.76</v>
      </c>
      <c r="S2157" s="65" t="n">
        <f aca="false">ROUND($O2157*$Q2157,2)</f>
        <v>692.58</v>
      </c>
      <c r="T2157" s="65" t="n">
        <f aca="false">ROUND($R2157*SUMIFS(Parametros!$E$28:$E$43,Parametros!$B$28:$B$43,$J2157,Parametros!$C$28:$C$43,$C2157,Parametros!$D$28:$D$43,$D2157),2)</f>
        <v>62.13</v>
      </c>
      <c r="U2157" s="65" t="n">
        <f aca="false">$R2157-$S2157-$T2157</f>
        <v>440.05</v>
      </c>
      <c r="V2157" s="66" t="n">
        <f aca="false">IFERROR($U2157/$R2157,0)</f>
        <v>0.368316649368911</v>
      </c>
      <c r="W2157" s="67" t="str">
        <f aca="false">IF(AND($V2157&gt;=Parametros!$C$8,$R2157&gt;=Parametros!$C$12),"Alta rentabilidad",IF(OR($V2157&lt;Parametros!$C$11,$R2157&lt;Parametros!$C$13),"Revisar","Estandar"))</f>
        <v>Estandar</v>
      </c>
      <c r="X2157" s="67" t="str">
        <f aca="false">IF(AND($J2157="E-commerce",IFERROR($T2157/$R2157,0)&gt;Parametros!$C$14),"Alerta","OK")</f>
        <v>Alerta</v>
      </c>
      <c r="Y2157" s="61" t="str">
        <f aca="false">IF($R2157&gt;=Parametros!$C$12,"Alto",IF($R2157&lt;Parametros!$C$13,"Bajo","Medio"))</f>
        <v>Medio</v>
      </c>
      <c r="Z2157" s="61" t="n">
        <v>934</v>
      </c>
      <c r="AA2157" s="61" t="str">
        <f aca="false">IF(MATCH($A2157,Datos_Origen!$A$2:$A$2459,0)=$Z2157,"OK","REVISAR")</f>
        <v>OK</v>
      </c>
      <c r="AB2157" s="62" t="n">
        <f aca="false">INDEX(Datos_Origen!$B$2:$B$2459,$Z2157)</f>
        <v>45957</v>
      </c>
      <c r="AC2157" s="61" t="n">
        <f aca="false">INDEX(Datos_Origen!$H$2:$H$2459,$Z2157)</f>
        <v>14</v>
      </c>
      <c r="AD2157" s="61" t="str">
        <f aca="false">INDEX(Datos_Origen!$D$2:$D$2459,$Z2157)&amp;""</f>
        <v>Rosario</v>
      </c>
    </row>
    <row r="2158" customFormat="false" ht="15" hidden="false" customHeight="false" outlineLevel="0" collapsed="false">
      <c r="A2158" s="61" t="n">
        <f aca="false">INDEX(Datos_Origen!$A$2:$A$2459,$Z2158)</f>
        <v>2157</v>
      </c>
      <c r="B2158" s="62" t="n">
        <f aca="false">IF(ISNUMBER($AB2158),$AB2158,IF(MID($AB2158,5,1)="-",DATE(VALUE(LEFT($AB2158,4)),VALUE(MID($AB2158,6,2)),VALUE(RIGHT($AB2158,2))),DATE(VALUE(RIGHT($AB2158,4)),VALUE(MID($AB2158,4,2)),VALUE(LEFT($AB2158,2)))))</f>
        <v>45937</v>
      </c>
      <c r="C2158" s="61" t="n">
        <f aca="false">YEAR($B2158)</f>
        <v>2025</v>
      </c>
      <c r="D2158" s="61" t="str">
        <f aca="false">"Q"&amp;ROUNDUP(MONTH($B2158)/3,0)</f>
        <v>Q4</v>
      </c>
      <c r="E2158" s="61" t="n">
        <f aca="false">MONTH($B2158)</f>
        <v>10</v>
      </c>
      <c r="F2158" s="61" t="str">
        <f aca="false">INDEX(Parametros!$I$5:$I$16,$E2158)</f>
        <v>Oct</v>
      </c>
      <c r="G2158" s="61" t="str">
        <f aca="false">TEXT($C2158,"0000")&amp;"-"&amp;TEXT($E2158,"00")</f>
        <v>2025-10</v>
      </c>
      <c r="H2158" s="61" t="str">
        <f aca="false">INDEX(Parametros!$C$71:$C$91,MATCH(TRIM(INDEX(Datos_Origen!$C$2:$C$2459,$Z2158)),Parametros!$B$71:$B$91,0))</f>
        <v>Litoral</v>
      </c>
      <c r="I2158" s="61" t="str">
        <f aca="false">IF(TRIM($AD2158)="",INDEX(Parametros!$I$20:$I$24,MATCH($H2158,Parametros!$H$20:$H$24,0)),TRIM($AD2158))</f>
        <v>Rosario</v>
      </c>
      <c r="J2158" s="61" t="str">
        <f aca="false">INDEX(Parametros!$C$95:$C$106,MATCH(TRIM(INDEX(Datos_Origen!$E$2:$E$2459,$Z2158)),Parametros!$B$95:$B$106,0))</f>
        <v>Tienda fisica</v>
      </c>
      <c r="K2158" s="61" t="str">
        <f aca="false">INDEX(Parametros!$C$48:$C$67,MATCH(TRIM(INDEX(Datos_Origen!$F$2:$F$2459,$Z2158)),Parametros!$B$48:$B$67,0))</f>
        <v>Almacenamiento</v>
      </c>
      <c r="L2158" s="61" t="str">
        <f aca="false">$K2158&amp;" "&amp;$C2158</f>
        <v>Almacenamiento 2025</v>
      </c>
      <c r="M2158" s="61" t="str">
        <f aca="false">TRIM(INDEX(Datos_Origen!$G$2:$G$2459,$Z2158))</f>
        <v>SSD Externo 1TB</v>
      </c>
      <c r="N2158" s="61" t="str">
        <f aca="false">$M2158&amp;" "&amp;$C2158</f>
        <v>SSD Externo 1TB 2025</v>
      </c>
      <c r="O2158" s="63" t="n">
        <f aca="false">IF(ISTEXT($AC2158),VALUE($AC2158),$AC2158)</f>
        <v>24</v>
      </c>
      <c r="P2158" s="64" t="n">
        <f aca="false">INDEX(Datos_Origen!$I$2:$I$2459,$Z2158)</f>
        <v>130.51</v>
      </c>
      <c r="Q2158" s="64" t="n">
        <f aca="false">INDEX(Datos_Origen!$J$2:$J$2459,$Z2158)</f>
        <v>78.33</v>
      </c>
      <c r="R2158" s="65" t="n">
        <f aca="false">ROUND($O2158*$P2158,2)</f>
        <v>3132.24</v>
      </c>
      <c r="S2158" s="65" t="n">
        <f aca="false">ROUND($O2158*$Q2158,2)</f>
        <v>1879.92</v>
      </c>
      <c r="T2158" s="65" t="n">
        <f aca="false">ROUND($R2158*SUMIFS(Parametros!$E$28:$E$43,Parametros!$B$28:$B$43,$J2158,Parametros!$C$28:$C$43,$C2158,Parametros!$D$28:$D$43,$D2158),2)</f>
        <v>40.72</v>
      </c>
      <c r="U2158" s="65" t="n">
        <f aca="false">$R2158-$S2158-$T2158</f>
        <v>1211.6</v>
      </c>
      <c r="V2158" s="66" t="n">
        <f aca="false">IFERROR($U2158/$R2158,0)</f>
        <v>0.386815825096417</v>
      </c>
      <c r="W2158" s="67" t="str">
        <f aca="false">IF(AND($V2158&gt;=Parametros!$C$8,$R2158&gt;=Parametros!$C$12),"Alta rentabilidad",IF(OR($V2158&lt;Parametros!$C$11,$R2158&lt;Parametros!$C$13),"Revisar","Estandar"))</f>
        <v>Alta rentabilidad</v>
      </c>
      <c r="X2158" s="67" t="str">
        <f aca="false">IF(AND($J2158="E-commerce",IFERROR($T2158/$R2158,0)&gt;Parametros!$C$14),"Alerta","OK")</f>
        <v>OK</v>
      </c>
      <c r="Y2158" s="61" t="str">
        <f aca="false">IF($R2158&gt;=Parametros!$C$12,"Alto",IF($R2158&lt;Parametros!$C$13,"Bajo","Medio"))</f>
        <v>Alto</v>
      </c>
      <c r="Z2158" s="61" t="n">
        <v>893</v>
      </c>
      <c r="AA2158" s="61" t="str">
        <f aca="false">IF(MATCH($A2158,Datos_Origen!$A$2:$A$2459,0)=$Z2158,"OK","REVISAR")</f>
        <v>OK</v>
      </c>
      <c r="AB2158" s="62" t="n">
        <f aca="false">INDEX(Datos_Origen!$B$2:$B$2459,$Z2158)</f>
        <v>45937</v>
      </c>
      <c r="AC2158" s="61" t="str">
        <f aca="false">INDEX(Datos_Origen!$H$2:$H$2459,$Z2158)</f>
        <v>24</v>
      </c>
      <c r="AD2158" s="61" t="str">
        <f aca="false">INDEX(Datos_Origen!$D$2:$D$2459,$Z2158)&amp;""</f>
        <v>Rosario</v>
      </c>
    </row>
    <row r="2159" customFormat="false" ht="15" hidden="false" customHeight="false" outlineLevel="0" collapsed="false">
      <c r="A2159" s="61" t="n">
        <f aca="false">INDEX(Datos_Origen!$A$2:$A$2459,$Z2159)</f>
        <v>2158</v>
      </c>
      <c r="B2159" s="62" t="n">
        <f aca="false">IF(ISNUMBER($AB2159),$AB2159,IF(MID($AB2159,5,1)="-",DATE(VALUE(LEFT($AB2159,4)),VALUE(MID($AB2159,6,2)),VALUE(RIGHT($AB2159,2))),DATE(VALUE(RIGHT($AB2159,4)),VALUE(MID($AB2159,4,2)),VALUE(LEFT($AB2159,2)))))</f>
        <v>45944</v>
      </c>
      <c r="C2159" s="61" t="n">
        <f aca="false">YEAR($B2159)</f>
        <v>2025</v>
      </c>
      <c r="D2159" s="61" t="str">
        <f aca="false">"Q"&amp;ROUNDUP(MONTH($B2159)/3,0)</f>
        <v>Q4</v>
      </c>
      <c r="E2159" s="61" t="n">
        <f aca="false">MONTH($B2159)</f>
        <v>10</v>
      </c>
      <c r="F2159" s="61" t="str">
        <f aca="false">INDEX(Parametros!$I$5:$I$16,$E2159)</f>
        <v>Oct</v>
      </c>
      <c r="G2159" s="61" t="str">
        <f aca="false">TEXT($C2159,"0000")&amp;"-"&amp;TEXT($E2159,"00")</f>
        <v>2025-10</v>
      </c>
      <c r="H2159" s="61" t="str">
        <f aca="false">INDEX(Parametros!$C$71:$C$91,MATCH(TRIM(INDEX(Datos_Origen!$C$2:$C$2459,$Z2159)),Parametros!$B$71:$B$91,0))</f>
        <v>Litoral</v>
      </c>
      <c r="I2159" s="61" t="str">
        <f aca="false">IF(TRIM($AD2159)="",INDEX(Parametros!$I$20:$I$24,MATCH($H2159,Parametros!$H$20:$H$24,0)),TRIM($AD2159))</f>
        <v>Rosario</v>
      </c>
      <c r="J2159" s="61" t="str">
        <f aca="false">INDEX(Parametros!$C$95:$C$106,MATCH(TRIM(INDEX(Datos_Origen!$E$2:$E$2459,$Z2159)),Parametros!$B$95:$B$106,0))</f>
        <v>E-commerce</v>
      </c>
      <c r="K2159" s="61" t="str">
        <f aca="false">INDEX(Parametros!$C$48:$C$67,MATCH(TRIM(INDEX(Datos_Origen!$F$2:$F$2459,$Z2159)),Parametros!$B$48:$B$67,0))</f>
        <v>Almacenamiento</v>
      </c>
      <c r="L2159" s="61" t="str">
        <f aca="false">$K2159&amp;" "&amp;$C2159</f>
        <v>Almacenamiento 2025</v>
      </c>
      <c r="M2159" s="61" t="str">
        <f aca="false">TRIM(INDEX(Datos_Origen!$G$2:$G$2459,$Z2159))</f>
        <v>SSD Externo 1TB</v>
      </c>
      <c r="N2159" s="61" t="str">
        <f aca="false">$M2159&amp;" "&amp;$C2159</f>
        <v>SSD Externo 1TB 2025</v>
      </c>
      <c r="O2159" s="63" t="n">
        <f aca="false">IF(ISTEXT($AC2159),VALUE($AC2159),$AC2159)</f>
        <v>18</v>
      </c>
      <c r="P2159" s="64" t="n">
        <f aca="false">INDEX(Datos_Origen!$I$2:$I$2459,$Z2159)</f>
        <v>130.51</v>
      </c>
      <c r="Q2159" s="64" t="n">
        <f aca="false">INDEX(Datos_Origen!$J$2:$J$2459,$Z2159)</f>
        <v>78.33</v>
      </c>
      <c r="R2159" s="65" t="n">
        <f aca="false">ROUND($O2159*$P2159,2)</f>
        <v>2349.18</v>
      </c>
      <c r="S2159" s="65" t="n">
        <f aca="false">ROUND($O2159*$Q2159,2)</f>
        <v>1409.94</v>
      </c>
      <c r="T2159" s="65" t="n">
        <f aca="false">ROUND($R2159*SUMIFS(Parametros!$E$28:$E$43,Parametros!$B$28:$B$43,$J2159,Parametros!$C$28:$C$43,$C2159,Parametros!$D$28:$D$43,$D2159),2)</f>
        <v>122.16</v>
      </c>
      <c r="U2159" s="65" t="n">
        <f aca="false">$R2159-$S2159-$T2159</f>
        <v>817.08</v>
      </c>
      <c r="V2159" s="66" t="n">
        <f aca="false">IFERROR($U2159/$R2159,0)</f>
        <v>0.347814982249125</v>
      </c>
      <c r="W2159" s="67" t="str">
        <f aca="false">IF(AND($V2159&gt;=Parametros!$C$8,$R2159&gt;=Parametros!$C$12),"Alta rentabilidad",IF(OR($V2159&lt;Parametros!$C$11,$R2159&lt;Parametros!$C$13),"Revisar","Estandar"))</f>
        <v>Estandar</v>
      </c>
      <c r="X2159" s="67" t="str">
        <f aca="false">IF(AND($J2159="E-commerce",IFERROR($T2159/$R2159,0)&gt;Parametros!$C$14),"Alerta","OK")</f>
        <v>Alerta</v>
      </c>
      <c r="Y2159" s="61" t="str">
        <f aca="false">IF($R2159&gt;=Parametros!$C$12,"Alto",IF($R2159&lt;Parametros!$C$13,"Bajo","Medio"))</f>
        <v>Medio</v>
      </c>
      <c r="Z2159" s="61" t="n">
        <v>1089</v>
      </c>
      <c r="AA2159" s="61" t="str">
        <f aca="false">IF(MATCH($A2159,Datos_Origen!$A$2:$A$2459,0)=$Z2159,"OK","REVISAR")</f>
        <v>OK</v>
      </c>
      <c r="AB2159" s="62" t="n">
        <f aca="false">INDEX(Datos_Origen!$B$2:$B$2459,$Z2159)</f>
        <v>45944</v>
      </c>
      <c r="AC2159" s="61" t="n">
        <f aca="false">INDEX(Datos_Origen!$H$2:$H$2459,$Z2159)</f>
        <v>18</v>
      </c>
      <c r="AD2159" s="61" t="str">
        <f aca="false">INDEX(Datos_Origen!$D$2:$D$2459,$Z2159)&amp;""</f>
        <v>Rosario</v>
      </c>
    </row>
    <row r="2160" customFormat="false" ht="15" hidden="false" customHeight="false" outlineLevel="0" collapsed="false">
      <c r="A2160" s="61" t="n">
        <f aca="false">INDEX(Datos_Origen!$A$2:$A$2459,$Z2160)</f>
        <v>2159</v>
      </c>
      <c r="B2160" s="62" t="n">
        <f aca="false">IF(ISNUMBER($AB2160),$AB2160,IF(MID($AB2160,5,1)="-",DATE(VALUE(LEFT($AB2160,4)),VALUE(MID($AB2160,6,2)),VALUE(RIGHT($AB2160,2))),DATE(VALUE(RIGHT($AB2160,4)),VALUE(MID($AB2160,4,2)),VALUE(LEFT($AB2160,2)))))</f>
        <v>45951</v>
      </c>
      <c r="C2160" s="61" t="n">
        <f aca="false">YEAR($B2160)</f>
        <v>2025</v>
      </c>
      <c r="D2160" s="61" t="str">
        <f aca="false">"Q"&amp;ROUNDUP(MONTH($B2160)/3,0)</f>
        <v>Q4</v>
      </c>
      <c r="E2160" s="61" t="n">
        <f aca="false">MONTH($B2160)</f>
        <v>10</v>
      </c>
      <c r="F2160" s="61" t="str">
        <f aca="false">INDEX(Parametros!$I$5:$I$16,$E2160)</f>
        <v>Oct</v>
      </c>
      <c r="G2160" s="61" t="str">
        <f aca="false">TEXT($C2160,"0000")&amp;"-"&amp;TEXT($E2160,"00")</f>
        <v>2025-10</v>
      </c>
      <c r="H2160" s="61" t="str">
        <f aca="false">INDEX(Parametros!$C$71:$C$91,MATCH(TRIM(INDEX(Datos_Origen!$C$2:$C$2459,$Z2160)),Parametros!$B$71:$B$91,0))</f>
        <v>Litoral</v>
      </c>
      <c r="I2160" s="61" t="str">
        <f aca="false">IF(TRIM($AD2160)="",INDEX(Parametros!$I$20:$I$24,MATCH($H2160,Parametros!$H$20:$H$24,0)),TRIM($AD2160))</f>
        <v>Rosario</v>
      </c>
      <c r="J2160" s="61" t="str">
        <f aca="false">INDEX(Parametros!$C$95:$C$106,MATCH(TRIM(INDEX(Datos_Origen!$E$2:$E$2459,$Z2160)),Parametros!$B$95:$B$106,0))</f>
        <v>Tienda fisica</v>
      </c>
      <c r="K2160" s="61" t="str">
        <f aca="false">INDEX(Parametros!$C$48:$C$67,MATCH(TRIM(INDEX(Datos_Origen!$F$2:$F$2459,$Z2160)),Parametros!$B$48:$B$67,0))</f>
        <v>Almacenamiento</v>
      </c>
      <c r="L2160" s="61" t="str">
        <f aca="false">$K2160&amp;" "&amp;$C2160</f>
        <v>Almacenamiento 2025</v>
      </c>
      <c r="M2160" s="61" t="str">
        <f aca="false">TRIM(INDEX(Datos_Origen!$G$2:$G$2459,$Z2160))</f>
        <v>Pendrive 256GB</v>
      </c>
      <c r="N2160" s="61" t="str">
        <f aca="false">$M2160&amp;" "&amp;$C2160</f>
        <v>Pendrive 256GB 2025</v>
      </c>
      <c r="O2160" s="63" t="n">
        <f aca="false">IF(ISTEXT($AC2160),VALUE($AC2160),$AC2160)</f>
        <v>25</v>
      </c>
      <c r="P2160" s="64" t="n">
        <f aca="false">INDEX(Datos_Origen!$I$2:$I$2459,$Z2160)</f>
        <v>35.14</v>
      </c>
      <c r="Q2160" s="64" t="n">
        <f aca="false">INDEX(Datos_Origen!$J$2:$J$2459,$Z2160)</f>
        <v>18.39</v>
      </c>
      <c r="R2160" s="65" t="n">
        <f aca="false">ROUND($O2160*$P2160,2)</f>
        <v>878.5</v>
      </c>
      <c r="S2160" s="65" t="n">
        <f aca="false">ROUND($O2160*$Q2160,2)</f>
        <v>459.75</v>
      </c>
      <c r="T2160" s="65" t="n">
        <f aca="false">ROUND($R2160*SUMIFS(Parametros!$E$28:$E$43,Parametros!$B$28:$B$43,$J2160,Parametros!$C$28:$C$43,$C2160,Parametros!$D$28:$D$43,$D2160),2)</f>
        <v>11.42</v>
      </c>
      <c r="U2160" s="65" t="n">
        <f aca="false">$R2160-$S2160-$T2160</f>
        <v>407.33</v>
      </c>
      <c r="V2160" s="66" t="n">
        <f aca="false">IFERROR($U2160/$R2160,0)</f>
        <v>0.463665338645418</v>
      </c>
      <c r="W2160" s="67" t="str">
        <f aca="false">IF(AND($V2160&gt;=Parametros!$C$8,$R2160&gt;=Parametros!$C$12),"Alta rentabilidad",IF(OR($V2160&lt;Parametros!$C$11,$R2160&lt;Parametros!$C$13),"Revisar","Estandar"))</f>
        <v>Estandar</v>
      </c>
      <c r="X2160" s="67" t="str">
        <f aca="false">IF(AND($J2160="E-commerce",IFERROR($T2160/$R2160,0)&gt;Parametros!$C$14),"Alerta","OK")</f>
        <v>OK</v>
      </c>
      <c r="Y2160" s="61" t="str">
        <f aca="false">IF($R2160&gt;=Parametros!$C$12,"Alto",IF($R2160&lt;Parametros!$C$13,"Bajo","Medio"))</f>
        <v>Medio</v>
      </c>
      <c r="Z2160" s="61" t="n">
        <v>1485</v>
      </c>
      <c r="AA2160" s="61" t="str">
        <f aca="false">IF(MATCH($A2160,Datos_Origen!$A$2:$A$2459,0)=$Z2160,"OK","REVISAR")</f>
        <v>OK</v>
      </c>
      <c r="AB2160" s="61" t="str">
        <f aca="false">INDEX(Datos_Origen!$B$2:$B$2459,$Z2160)</f>
        <v>21/10/2025</v>
      </c>
      <c r="AC2160" s="61" t="n">
        <f aca="false">INDEX(Datos_Origen!$H$2:$H$2459,$Z2160)</f>
        <v>25</v>
      </c>
      <c r="AD2160" s="61" t="str">
        <f aca="false">INDEX(Datos_Origen!$D$2:$D$2459,$Z2160)&amp;""</f>
        <v>Rosario</v>
      </c>
    </row>
    <row r="2161" customFormat="false" ht="15" hidden="false" customHeight="false" outlineLevel="0" collapsed="false">
      <c r="A2161" s="61" t="n">
        <f aca="false">INDEX(Datos_Origen!$A$2:$A$2459,$Z2161)</f>
        <v>2160</v>
      </c>
      <c r="B2161" s="62" t="n">
        <f aca="false">IF(ISNUMBER($AB2161),$AB2161,IF(MID($AB2161,5,1)="-",DATE(VALUE(LEFT($AB2161,4)),VALUE(MID($AB2161,6,2)),VALUE(RIGHT($AB2161,2))),DATE(VALUE(RIGHT($AB2161,4)),VALUE(MID($AB2161,4,2)),VALUE(LEFT($AB2161,2)))))</f>
        <v>45931</v>
      </c>
      <c r="C2161" s="61" t="n">
        <f aca="false">YEAR($B2161)</f>
        <v>2025</v>
      </c>
      <c r="D2161" s="61" t="str">
        <f aca="false">"Q"&amp;ROUNDUP(MONTH($B2161)/3,0)</f>
        <v>Q4</v>
      </c>
      <c r="E2161" s="61" t="n">
        <f aca="false">MONTH($B2161)</f>
        <v>10</v>
      </c>
      <c r="F2161" s="61" t="str">
        <f aca="false">INDEX(Parametros!$I$5:$I$16,$E2161)</f>
        <v>Oct</v>
      </c>
      <c r="G2161" s="61" t="str">
        <f aca="false">TEXT($C2161,"0000")&amp;"-"&amp;TEXT($E2161,"00")</f>
        <v>2025-10</v>
      </c>
      <c r="H2161" s="61" t="str">
        <f aca="false">INDEX(Parametros!$C$71:$C$91,MATCH(TRIM(INDEX(Datos_Origen!$C$2:$C$2459,$Z2161)),Parametros!$B$71:$B$91,0))</f>
        <v>Litoral</v>
      </c>
      <c r="I2161" s="61" t="str">
        <f aca="false">IF(TRIM($AD2161)="",INDEX(Parametros!$I$20:$I$24,MATCH($H2161,Parametros!$H$20:$H$24,0)),TRIM($AD2161))</f>
        <v>Rosario</v>
      </c>
      <c r="J2161" s="61" t="str">
        <f aca="false">INDEX(Parametros!$C$95:$C$106,MATCH(TRIM(INDEX(Datos_Origen!$E$2:$E$2459,$Z2161)),Parametros!$B$95:$B$106,0))</f>
        <v>E-commerce</v>
      </c>
      <c r="K2161" s="61" t="str">
        <f aca="false">INDEX(Parametros!$C$48:$C$67,MATCH(TRIM(INDEX(Datos_Origen!$F$2:$F$2459,$Z2161)),Parametros!$B$48:$B$67,0))</f>
        <v>Almacenamiento</v>
      </c>
      <c r="L2161" s="61" t="str">
        <f aca="false">$K2161&amp;" "&amp;$C2161</f>
        <v>Almacenamiento 2025</v>
      </c>
      <c r="M2161" s="61" t="str">
        <f aca="false">TRIM(INDEX(Datos_Origen!$G$2:$G$2459,$Z2161))</f>
        <v>Pendrive 256GB</v>
      </c>
      <c r="N2161" s="61" t="str">
        <f aca="false">$M2161&amp;" "&amp;$C2161</f>
        <v>Pendrive 256GB 2025</v>
      </c>
      <c r="O2161" s="63" t="n">
        <f aca="false">IF(ISTEXT($AC2161),VALUE($AC2161),$AC2161)</f>
        <v>18</v>
      </c>
      <c r="P2161" s="64" t="n">
        <f aca="false">INDEX(Datos_Origen!$I$2:$I$2459,$Z2161)</f>
        <v>35.14</v>
      </c>
      <c r="Q2161" s="64" t="n">
        <f aca="false">INDEX(Datos_Origen!$J$2:$J$2459,$Z2161)</f>
        <v>18.39</v>
      </c>
      <c r="R2161" s="65" t="n">
        <f aca="false">ROUND($O2161*$P2161,2)</f>
        <v>632.52</v>
      </c>
      <c r="S2161" s="65" t="n">
        <f aca="false">ROUND($O2161*$Q2161,2)</f>
        <v>331.02</v>
      </c>
      <c r="T2161" s="65" t="n">
        <f aca="false">ROUND($R2161*SUMIFS(Parametros!$E$28:$E$43,Parametros!$B$28:$B$43,$J2161,Parametros!$C$28:$C$43,$C2161,Parametros!$D$28:$D$43,$D2161),2)</f>
        <v>32.89</v>
      </c>
      <c r="U2161" s="65" t="n">
        <f aca="false">$R2161-$S2161-$T2161</f>
        <v>268.61</v>
      </c>
      <c r="V2161" s="66" t="n">
        <f aca="false">IFERROR($U2161/$R2161,0)</f>
        <v>0.424666413710238</v>
      </c>
      <c r="W2161" s="67" t="str">
        <f aca="false">IF(AND($V2161&gt;=Parametros!$C$8,$R2161&gt;=Parametros!$C$12),"Alta rentabilidad",IF(OR($V2161&lt;Parametros!$C$11,$R2161&lt;Parametros!$C$13),"Revisar","Estandar"))</f>
        <v>Estandar</v>
      </c>
      <c r="X2161" s="67" t="str">
        <f aca="false">IF(AND($J2161="E-commerce",IFERROR($T2161/$R2161,0)&gt;Parametros!$C$14),"Alerta","OK")</f>
        <v>Alerta</v>
      </c>
      <c r="Y2161" s="61" t="str">
        <f aca="false">IF($R2161&gt;=Parametros!$C$12,"Alto",IF($R2161&lt;Parametros!$C$13,"Bajo","Medio"))</f>
        <v>Medio</v>
      </c>
      <c r="Z2161" s="61" t="n">
        <v>1682</v>
      </c>
      <c r="AA2161" s="61" t="str">
        <f aca="false">IF(MATCH($A2161,Datos_Origen!$A$2:$A$2459,0)=$Z2161,"OK","REVISAR")</f>
        <v>OK</v>
      </c>
      <c r="AB2161" s="62" t="n">
        <f aca="false">INDEX(Datos_Origen!$B$2:$B$2459,$Z2161)</f>
        <v>45931</v>
      </c>
      <c r="AC2161" s="61" t="n">
        <f aca="false">INDEX(Datos_Origen!$H$2:$H$2459,$Z2161)</f>
        <v>18</v>
      </c>
      <c r="AD2161" s="61" t="str">
        <f aca="false">INDEX(Datos_Origen!$D$2:$D$2459,$Z2161)&amp;""</f>
        <v>Rosario</v>
      </c>
    </row>
    <row r="2162" customFormat="false" ht="15" hidden="false" customHeight="false" outlineLevel="0" collapsed="false">
      <c r="A2162" s="61" t="n">
        <f aca="false">INDEX(Datos_Origen!$A$2:$A$2459,$Z2162)</f>
        <v>2161</v>
      </c>
      <c r="B2162" s="62" t="n">
        <f aca="false">IF(ISNUMBER($AB2162),$AB2162,IF(MID($AB2162,5,1)="-",DATE(VALUE(LEFT($AB2162,4)),VALUE(MID($AB2162,6,2)),VALUE(RIGHT($AB2162,2))),DATE(VALUE(RIGHT($AB2162,4)),VALUE(MID($AB2162,4,2)),VALUE(LEFT($AB2162,2)))))</f>
        <v>45938</v>
      </c>
      <c r="C2162" s="61" t="n">
        <f aca="false">YEAR($B2162)</f>
        <v>2025</v>
      </c>
      <c r="D2162" s="61" t="str">
        <f aca="false">"Q"&amp;ROUNDUP(MONTH($B2162)/3,0)</f>
        <v>Q4</v>
      </c>
      <c r="E2162" s="61" t="n">
        <f aca="false">MONTH($B2162)</f>
        <v>10</v>
      </c>
      <c r="F2162" s="61" t="str">
        <f aca="false">INDEX(Parametros!$I$5:$I$16,$E2162)</f>
        <v>Oct</v>
      </c>
      <c r="G2162" s="61" t="str">
        <f aca="false">TEXT($C2162,"0000")&amp;"-"&amp;TEXT($E2162,"00")</f>
        <v>2025-10</v>
      </c>
      <c r="H2162" s="61" t="str">
        <f aca="false">INDEX(Parametros!$C$71:$C$91,MATCH(TRIM(INDEX(Datos_Origen!$C$2:$C$2459,$Z2162)),Parametros!$B$71:$B$91,0))</f>
        <v>Cuyo</v>
      </c>
      <c r="I2162" s="61" t="str">
        <f aca="false">IF(TRIM($AD2162)="",INDEX(Parametros!$I$20:$I$24,MATCH($H2162,Parametros!$H$20:$H$24,0)),TRIM($AD2162))</f>
        <v>Mendoza</v>
      </c>
      <c r="J2162" s="61" t="str">
        <f aca="false">INDEX(Parametros!$C$95:$C$106,MATCH(TRIM(INDEX(Datos_Origen!$E$2:$E$2459,$Z2162)),Parametros!$B$95:$B$106,0))</f>
        <v>Tienda fisica</v>
      </c>
      <c r="K2162" s="61" t="str">
        <f aca="false">INDEX(Parametros!$C$48:$C$67,MATCH(TRIM(INDEX(Datos_Origen!$F$2:$F$2459,$Z2162)),Parametros!$B$48:$B$67,0))</f>
        <v>Computacion</v>
      </c>
      <c r="L2162" s="61" t="str">
        <f aca="false">$K2162&amp;" "&amp;$C2162</f>
        <v>Computacion 2025</v>
      </c>
      <c r="M2162" s="61" t="str">
        <f aca="false">TRIM(INDEX(Datos_Origen!$G$2:$G$2459,$Z2162))</f>
        <v>Laptop Pro 15</v>
      </c>
      <c r="N2162" s="61" t="str">
        <f aca="false">$M2162&amp;" "&amp;$C2162</f>
        <v>Laptop Pro 15 2025</v>
      </c>
      <c r="O2162" s="63" t="n">
        <f aca="false">IF(ISTEXT($AC2162),VALUE($AC2162),$AC2162)</f>
        <v>7</v>
      </c>
      <c r="P2162" s="64" t="n">
        <f aca="false">INDEX(Datos_Origen!$I$2:$I$2459,$Z2162)</f>
        <v>1204.74</v>
      </c>
      <c r="Q2162" s="64" t="n">
        <f aca="false">INDEX(Datos_Origen!$J$2:$J$2459,$Z2162)</f>
        <v>766.32</v>
      </c>
      <c r="R2162" s="65" t="n">
        <f aca="false">ROUND($O2162*$P2162,2)</f>
        <v>8433.18</v>
      </c>
      <c r="S2162" s="65" t="n">
        <f aca="false">ROUND($O2162*$Q2162,2)</f>
        <v>5364.24</v>
      </c>
      <c r="T2162" s="65" t="n">
        <f aca="false">ROUND($R2162*SUMIFS(Parametros!$E$28:$E$43,Parametros!$B$28:$B$43,$J2162,Parametros!$C$28:$C$43,$C2162,Parametros!$D$28:$D$43,$D2162),2)</f>
        <v>109.63</v>
      </c>
      <c r="U2162" s="65" t="n">
        <f aca="false">$R2162-$S2162-$T2162</f>
        <v>2959.31</v>
      </c>
      <c r="V2162" s="66" t="n">
        <f aca="false">IFERROR($U2162/$R2162,0)</f>
        <v>0.35091270434166</v>
      </c>
      <c r="W2162" s="67" t="str">
        <f aca="false">IF(AND($V2162&gt;=Parametros!$C$8,$R2162&gt;=Parametros!$C$12),"Alta rentabilidad",IF(OR($V2162&lt;Parametros!$C$11,$R2162&lt;Parametros!$C$13),"Revisar","Estandar"))</f>
        <v>Alta rentabilidad</v>
      </c>
      <c r="X2162" s="67" t="str">
        <f aca="false">IF(AND($J2162="E-commerce",IFERROR($T2162/$R2162,0)&gt;Parametros!$C$14),"Alerta","OK")</f>
        <v>OK</v>
      </c>
      <c r="Y2162" s="61" t="str">
        <f aca="false">IF($R2162&gt;=Parametros!$C$12,"Alto",IF($R2162&lt;Parametros!$C$13,"Bajo","Medio"))</f>
        <v>Alto</v>
      </c>
      <c r="Z2162" s="61" t="n">
        <v>1856</v>
      </c>
      <c r="AA2162" s="61" t="str">
        <f aca="false">IF(MATCH($A2162,Datos_Origen!$A$2:$A$2459,0)=$Z2162,"OK","REVISAR")</f>
        <v>OK</v>
      </c>
      <c r="AB2162" s="62" t="n">
        <f aca="false">INDEX(Datos_Origen!$B$2:$B$2459,$Z2162)</f>
        <v>45938</v>
      </c>
      <c r="AC2162" s="61" t="n">
        <f aca="false">INDEX(Datos_Origen!$H$2:$H$2459,$Z2162)</f>
        <v>7</v>
      </c>
      <c r="AD2162" s="61" t="str">
        <f aca="false">INDEX(Datos_Origen!$D$2:$D$2459,$Z2162)&amp;""</f>
        <v>Mendoza</v>
      </c>
    </row>
    <row r="2163" customFormat="false" ht="15" hidden="false" customHeight="false" outlineLevel="0" collapsed="false">
      <c r="A2163" s="61" t="n">
        <f aca="false">INDEX(Datos_Origen!$A$2:$A$2459,$Z2163)</f>
        <v>2162</v>
      </c>
      <c r="B2163" s="62" t="n">
        <f aca="false">IF(ISNUMBER($AB2163),$AB2163,IF(MID($AB2163,5,1)="-",DATE(VALUE(LEFT($AB2163,4)),VALUE(MID($AB2163,6,2)),VALUE(RIGHT($AB2163,2))),DATE(VALUE(RIGHT($AB2163,4)),VALUE(MID($AB2163,4,2)),VALUE(LEFT($AB2163,2)))))</f>
        <v>45945</v>
      </c>
      <c r="C2163" s="61" t="n">
        <f aca="false">YEAR($B2163)</f>
        <v>2025</v>
      </c>
      <c r="D2163" s="61" t="str">
        <f aca="false">"Q"&amp;ROUNDUP(MONTH($B2163)/3,0)</f>
        <v>Q4</v>
      </c>
      <c r="E2163" s="61" t="n">
        <f aca="false">MONTH($B2163)</f>
        <v>10</v>
      </c>
      <c r="F2163" s="61" t="str">
        <f aca="false">INDEX(Parametros!$I$5:$I$16,$E2163)</f>
        <v>Oct</v>
      </c>
      <c r="G2163" s="61" t="str">
        <f aca="false">TEXT($C2163,"0000")&amp;"-"&amp;TEXT($E2163,"00")</f>
        <v>2025-10</v>
      </c>
      <c r="H2163" s="61" t="str">
        <f aca="false">INDEX(Parametros!$C$71:$C$91,MATCH(TRIM(INDEX(Datos_Origen!$C$2:$C$2459,$Z2163)),Parametros!$B$71:$B$91,0))</f>
        <v>Cuyo</v>
      </c>
      <c r="I2163" s="61" t="str">
        <f aca="false">IF(TRIM($AD2163)="",INDEX(Parametros!$I$20:$I$24,MATCH($H2163,Parametros!$H$20:$H$24,0)),TRIM($AD2163))</f>
        <v>Mendoza</v>
      </c>
      <c r="J2163" s="61" t="str">
        <f aca="false">INDEX(Parametros!$C$95:$C$106,MATCH(TRIM(INDEX(Datos_Origen!$E$2:$E$2459,$Z2163)),Parametros!$B$95:$B$106,0))</f>
        <v>E-commerce</v>
      </c>
      <c r="K2163" s="61" t="str">
        <f aca="false">INDEX(Parametros!$C$48:$C$67,MATCH(TRIM(INDEX(Datos_Origen!$F$2:$F$2459,$Z2163)),Parametros!$B$48:$B$67,0))</f>
        <v>Computacion</v>
      </c>
      <c r="L2163" s="61" t="str">
        <f aca="false">$K2163&amp;" "&amp;$C2163</f>
        <v>Computacion 2025</v>
      </c>
      <c r="M2163" s="61" t="str">
        <f aca="false">TRIM(INDEX(Datos_Origen!$G$2:$G$2459,$Z2163))</f>
        <v>Laptop Pro 15</v>
      </c>
      <c r="N2163" s="61" t="str">
        <f aca="false">$M2163&amp;" "&amp;$C2163</f>
        <v>Laptop Pro 15 2025</v>
      </c>
      <c r="O2163" s="63" t="n">
        <f aca="false">IF(ISTEXT($AC2163),VALUE($AC2163),$AC2163)</f>
        <v>4</v>
      </c>
      <c r="P2163" s="64" t="n">
        <f aca="false">INDEX(Datos_Origen!$I$2:$I$2459,$Z2163)</f>
        <v>1204.74</v>
      </c>
      <c r="Q2163" s="64" t="n">
        <f aca="false">INDEX(Datos_Origen!$J$2:$J$2459,$Z2163)</f>
        <v>766.32</v>
      </c>
      <c r="R2163" s="65" t="n">
        <f aca="false">ROUND($O2163*$P2163,2)</f>
        <v>4818.96</v>
      </c>
      <c r="S2163" s="65" t="n">
        <f aca="false">ROUND($O2163*$Q2163,2)</f>
        <v>3065.28</v>
      </c>
      <c r="T2163" s="65" t="n">
        <f aca="false">ROUND($R2163*SUMIFS(Parametros!$E$28:$E$43,Parametros!$B$28:$B$43,$J2163,Parametros!$C$28:$C$43,$C2163,Parametros!$D$28:$D$43,$D2163),2)</f>
        <v>250.59</v>
      </c>
      <c r="U2163" s="65" t="n">
        <f aca="false">$R2163-$S2163-$T2163</f>
        <v>1503.09</v>
      </c>
      <c r="V2163" s="66" t="n">
        <f aca="false">IFERROR($U2163/$R2163,0)</f>
        <v>0.31191169878978</v>
      </c>
      <c r="W2163" s="67" t="str">
        <f aca="false">IF(AND($V2163&gt;=Parametros!$C$8,$R2163&gt;=Parametros!$C$12),"Alta rentabilidad",IF(OR($V2163&lt;Parametros!$C$11,$R2163&lt;Parametros!$C$13),"Revisar","Estandar"))</f>
        <v>Estandar</v>
      </c>
      <c r="X2163" s="67" t="str">
        <f aca="false">IF(AND($J2163="E-commerce",IFERROR($T2163/$R2163,0)&gt;Parametros!$C$14),"Alerta","OK")</f>
        <v>Alerta</v>
      </c>
      <c r="Y2163" s="61" t="str">
        <f aca="false">IF($R2163&gt;=Parametros!$C$12,"Alto",IF($R2163&lt;Parametros!$C$13,"Bajo","Medio"))</f>
        <v>Alto</v>
      </c>
      <c r="Z2163" s="61" t="n">
        <v>1116</v>
      </c>
      <c r="AA2163" s="61" t="str">
        <f aca="false">IF(MATCH($A2163,Datos_Origen!$A$2:$A$2459,0)=$Z2163,"OK","REVISAR")</f>
        <v>OK</v>
      </c>
      <c r="AB2163" s="61" t="str">
        <f aca="false">INDEX(Datos_Origen!$B$2:$B$2459,$Z2163)</f>
        <v>15/10/2025</v>
      </c>
      <c r="AC2163" s="61" t="n">
        <f aca="false">INDEX(Datos_Origen!$H$2:$H$2459,$Z2163)</f>
        <v>4</v>
      </c>
      <c r="AD2163" s="61" t="str">
        <f aca="false">INDEX(Datos_Origen!$D$2:$D$2459,$Z2163)&amp;""</f>
        <v>Mendoza</v>
      </c>
    </row>
    <row r="2164" customFormat="false" ht="15" hidden="false" customHeight="false" outlineLevel="0" collapsed="false">
      <c r="A2164" s="61" t="n">
        <f aca="false">INDEX(Datos_Origen!$A$2:$A$2459,$Z2164)</f>
        <v>2163</v>
      </c>
      <c r="B2164" s="62" t="n">
        <f aca="false">IF(ISNUMBER($AB2164),$AB2164,IF(MID($AB2164,5,1)="-",DATE(VALUE(LEFT($AB2164,4)),VALUE(MID($AB2164,6,2)),VALUE(RIGHT($AB2164,2))),DATE(VALUE(RIGHT($AB2164,4)),VALUE(MID($AB2164,4,2)),VALUE(LEFT($AB2164,2)))))</f>
        <v>45952</v>
      </c>
      <c r="C2164" s="61" t="n">
        <f aca="false">YEAR($B2164)</f>
        <v>2025</v>
      </c>
      <c r="D2164" s="61" t="str">
        <f aca="false">"Q"&amp;ROUNDUP(MONTH($B2164)/3,0)</f>
        <v>Q4</v>
      </c>
      <c r="E2164" s="61" t="n">
        <f aca="false">MONTH($B2164)</f>
        <v>10</v>
      </c>
      <c r="F2164" s="61" t="str">
        <f aca="false">INDEX(Parametros!$I$5:$I$16,$E2164)</f>
        <v>Oct</v>
      </c>
      <c r="G2164" s="61" t="str">
        <f aca="false">TEXT($C2164,"0000")&amp;"-"&amp;TEXT($E2164,"00")</f>
        <v>2025-10</v>
      </c>
      <c r="H2164" s="61" t="str">
        <f aca="false">INDEX(Parametros!$C$71:$C$91,MATCH(TRIM(INDEX(Datos_Origen!$C$2:$C$2459,$Z2164)),Parametros!$B$71:$B$91,0))</f>
        <v>Cuyo</v>
      </c>
      <c r="I2164" s="61" t="str">
        <f aca="false">IF(TRIM($AD2164)="",INDEX(Parametros!$I$20:$I$24,MATCH($H2164,Parametros!$H$20:$H$24,0)),TRIM($AD2164))</f>
        <v>Mendoza</v>
      </c>
      <c r="J2164" s="61" t="str">
        <f aca="false">INDEX(Parametros!$C$95:$C$106,MATCH(TRIM(INDEX(Datos_Origen!$E$2:$E$2459,$Z2164)),Parametros!$B$95:$B$106,0))</f>
        <v>Tienda fisica</v>
      </c>
      <c r="K2164" s="61" t="str">
        <f aca="false">INDEX(Parametros!$C$48:$C$67,MATCH(TRIM(INDEX(Datos_Origen!$F$2:$F$2459,$Z2164)),Parametros!$B$48:$B$67,0))</f>
        <v>Computacion</v>
      </c>
      <c r="L2164" s="61" t="str">
        <f aca="false">$K2164&amp;" "&amp;$C2164</f>
        <v>Computacion 2025</v>
      </c>
      <c r="M2164" s="61" t="str">
        <f aca="false">TRIM(INDEX(Datos_Origen!$G$2:$G$2459,$Z2164))</f>
        <v>Monitor 4K 27</v>
      </c>
      <c r="N2164" s="61" t="str">
        <f aca="false">$M2164&amp;" "&amp;$C2164</f>
        <v>Monitor 4K 27 2025</v>
      </c>
      <c r="O2164" s="63" t="n">
        <f aca="false">IF(ISTEXT($AC2164),VALUE($AC2164),$AC2164)</f>
        <v>6</v>
      </c>
      <c r="P2164" s="64" t="n">
        <f aca="false">INDEX(Datos_Origen!$I$2:$I$2459,$Z2164)</f>
        <v>451.78</v>
      </c>
      <c r="Q2164" s="64" t="n">
        <f aca="false">INDEX(Datos_Origen!$J$2:$J$2459,$Z2164)</f>
        <v>280.42</v>
      </c>
      <c r="R2164" s="65" t="n">
        <f aca="false">ROUND($O2164*$P2164,2)</f>
        <v>2710.68</v>
      </c>
      <c r="S2164" s="65" t="n">
        <f aca="false">ROUND($O2164*$Q2164,2)</f>
        <v>1682.52</v>
      </c>
      <c r="T2164" s="65" t="n">
        <f aca="false">ROUND($R2164*SUMIFS(Parametros!$E$28:$E$43,Parametros!$B$28:$B$43,$J2164,Parametros!$C$28:$C$43,$C2164,Parametros!$D$28:$D$43,$D2164),2)</f>
        <v>35.24</v>
      </c>
      <c r="U2164" s="65" t="n">
        <f aca="false">$R2164-$S2164-$T2164</f>
        <v>992.92</v>
      </c>
      <c r="V2164" s="66" t="n">
        <f aca="false">IFERROR($U2164/$R2164,0)</f>
        <v>0.366299231189222</v>
      </c>
      <c r="W2164" s="67" t="str">
        <f aca="false">IF(AND($V2164&gt;=Parametros!$C$8,$R2164&gt;=Parametros!$C$12),"Alta rentabilidad",IF(OR($V2164&lt;Parametros!$C$11,$R2164&lt;Parametros!$C$13),"Revisar","Estandar"))</f>
        <v>Estandar</v>
      </c>
      <c r="X2164" s="67" t="str">
        <f aca="false">IF(AND($J2164="E-commerce",IFERROR($T2164/$R2164,0)&gt;Parametros!$C$14),"Alerta","OK")</f>
        <v>OK</v>
      </c>
      <c r="Y2164" s="61" t="str">
        <f aca="false">IF($R2164&gt;=Parametros!$C$12,"Alto",IF($R2164&lt;Parametros!$C$13,"Bajo","Medio"))</f>
        <v>Medio</v>
      </c>
      <c r="Z2164" s="61" t="n">
        <v>1490</v>
      </c>
      <c r="AA2164" s="61" t="str">
        <f aca="false">IF(MATCH($A2164,Datos_Origen!$A$2:$A$2459,0)=$Z2164,"OK","REVISAR")</f>
        <v>OK</v>
      </c>
      <c r="AB2164" s="62" t="n">
        <f aca="false">INDEX(Datos_Origen!$B$2:$B$2459,$Z2164)</f>
        <v>45952</v>
      </c>
      <c r="AC2164" s="61" t="n">
        <f aca="false">INDEX(Datos_Origen!$H$2:$H$2459,$Z2164)</f>
        <v>6</v>
      </c>
      <c r="AD2164" s="61" t="str">
        <f aca="false">INDEX(Datos_Origen!$D$2:$D$2459,$Z2164)&amp;""</f>
        <v/>
      </c>
    </row>
    <row r="2165" customFormat="false" ht="15" hidden="false" customHeight="false" outlineLevel="0" collapsed="false">
      <c r="A2165" s="61" t="n">
        <f aca="false">INDEX(Datos_Origen!$A$2:$A$2459,$Z2165)</f>
        <v>2164</v>
      </c>
      <c r="B2165" s="62" t="n">
        <f aca="false">IF(ISNUMBER($AB2165),$AB2165,IF(MID($AB2165,5,1)="-",DATE(VALUE(LEFT($AB2165,4)),VALUE(MID($AB2165,6,2)),VALUE(RIGHT($AB2165,2))),DATE(VALUE(RIGHT($AB2165,4)),VALUE(MID($AB2165,4,2)),VALUE(LEFT($AB2165,2)))))</f>
        <v>45932</v>
      </c>
      <c r="C2165" s="61" t="n">
        <f aca="false">YEAR($B2165)</f>
        <v>2025</v>
      </c>
      <c r="D2165" s="61" t="str">
        <f aca="false">"Q"&amp;ROUNDUP(MONTH($B2165)/3,0)</f>
        <v>Q4</v>
      </c>
      <c r="E2165" s="61" t="n">
        <f aca="false">MONTH($B2165)</f>
        <v>10</v>
      </c>
      <c r="F2165" s="61" t="str">
        <f aca="false">INDEX(Parametros!$I$5:$I$16,$E2165)</f>
        <v>Oct</v>
      </c>
      <c r="G2165" s="61" t="str">
        <f aca="false">TEXT($C2165,"0000")&amp;"-"&amp;TEXT($E2165,"00")</f>
        <v>2025-10</v>
      </c>
      <c r="H2165" s="61" t="str">
        <f aca="false">INDEX(Parametros!$C$71:$C$91,MATCH(TRIM(INDEX(Datos_Origen!$C$2:$C$2459,$Z2165)),Parametros!$B$71:$B$91,0))</f>
        <v>Cuyo</v>
      </c>
      <c r="I2165" s="61" t="str">
        <f aca="false">IF(TRIM($AD2165)="",INDEX(Parametros!$I$20:$I$24,MATCH($H2165,Parametros!$H$20:$H$24,0)),TRIM($AD2165))</f>
        <v>Mendoza</v>
      </c>
      <c r="J2165" s="61" t="str">
        <f aca="false">INDEX(Parametros!$C$95:$C$106,MATCH(TRIM(INDEX(Datos_Origen!$E$2:$E$2459,$Z2165)),Parametros!$B$95:$B$106,0))</f>
        <v>E-commerce</v>
      </c>
      <c r="K2165" s="61" t="str">
        <f aca="false">INDEX(Parametros!$C$48:$C$67,MATCH(TRIM(INDEX(Datos_Origen!$F$2:$F$2459,$Z2165)),Parametros!$B$48:$B$67,0))</f>
        <v>Computacion</v>
      </c>
      <c r="L2165" s="61" t="str">
        <f aca="false">$K2165&amp;" "&amp;$C2165</f>
        <v>Computacion 2025</v>
      </c>
      <c r="M2165" s="61" t="str">
        <f aca="false">TRIM(INDEX(Datos_Origen!$G$2:$G$2459,$Z2165))</f>
        <v>Monitor 4K 27</v>
      </c>
      <c r="N2165" s="61" t="str">
        <f aca="false">$M2165&amp;" "&amp;$C2165</f>
        <v>Monitor 4K 27 2025</v>
      </c>
      <c r="O2165" s="63" t="n">
        <f aca="false">IF(ISTEXT($AC2165),VALUE($AC2165),$AC2165)</f>
        <v>4</v>
      </c>
      <c r="P2165" s="64" t="n">
        <f aca="false">INDEX(Datos_Origen!$I$2:$I$2459,$Z2165)</f>
        <v>451.78</v>
      </c>
      <c r="Q2165" s="64" t="n">
        <f aca="false">INDEX(Datos_Origen!$J$2:$J$2459,$Z2165)</f>
        <v>280.42</v>
      </c>
      <c r="R2165" s="65" t="n">
        <f aca="false">ROUND($O2165*$P2165,2)</f>
        <v>1807.12</v>
      </c>
      <c r="S2165" s="65" t="n">
        <f aca="false">ROUND($O2165*$Q2165,2)</f>
        <v>1121.68</v>
      </c>
      <c r="T2165" s="65" t="n">
        <f aca="false">ROUND($R2165*SUMIFS(Parametros!$E$28:$E$43,Parametros!$B$28:$B$43,$J2165,Parametros!$C$28:$C$43,$C2165,Parametros!$D$28:$D$43,$D2165),2)</f>
        <v>93.97</v>
      </c>
      <c r="U2165" s="65" t="n">
        <f aca="false">$R2165-$S2165-$T2165</f>
        <v>591.47</v>
      </c>
      <c r="V2165" s="66" t="n">
        <f aca="false">IFERROR($U2165/$R2165,0)</f>
        <v>0.327299791934127</v>
      </c>
      <c r="W2165" s="67" t="str">
        <f aca="false">IF(AND($V2165&gt;=Parametros!$C$8,$R2165&gt;=Parametros!$C$12),"Alta rentabilidad",IF(OR($V2165&lt;Parametros!$C$11,$R2165&lt;Parametros!$C$13),"Revisar","Estandar"))</f>
        <v>Estandar</v>
      </c>
      <c r="X2165" s="67" t="str">
        <f aca="false">IF(AND($J2165="E-commerce",IFERROR($T2165/$R2165,0)&gt;Parametros!$C$14),"Alerta","OK")</f>
        <v>Alerta</v>
      </c>
      <c r="Y2165" s="61" t="str">
        <f aca="false">IF($R2165&gt;=Parametros!$C$12,"Alto",IF($R2165&lt;Parametros!$C$13,"Bajo","Medio"))</f>
        <v>Medio</v>
      </c>
      <c r="Z2165" s="61" t="n">
        <v>1040</v>
      </c>
      <c r="AA2165" s="61" t="str">
        <f aca="false">IF(MATCH($A2165,Datos_Origen!$A$2:$A$2459,0)=$Z2165,"OK","REVISAR")</f>
        <v>OK</v>
      </c>
      <c r="AB2165" s="62" t="n">
        <f aca="false">INDEX(Datos_Origen!$B$2:$B$2459,$Z2165)</f>
        <v>45932</v>
      </c>
      <c r="AC2165" s="61" t="n">
        <f aca="false">INDEX(Datos_Origen!$H$2:$H$2459,$Z2165)</f>
        <v>4</v>
      </c>
      <c r="AD2165" s="61" t="str">
        <f aca="false">INDEX(Datos_Origen!$D$2:$D$2459,$Z2165)&amp;""</f>
        <v>Mendoza</v>
      </c>
    </row>
    <row r="2166" customFormat="false" ht="15" hidden="false" customHeight="false" outlineLevel="0" collapsed="false">
      <c r="A2166" s="61" t="n">
        <f aca="false">INDEX(Datos_Origen!$A$2:$A$2459,$Z2166)</f>
        <v>2165</v>
      </c>
      <c r="B2166" s="62" t="n">
        <f aca="false">IF(ISNUMBER($AB2166),$AB2166,IF(MID($AB2166,5,1)="-",DATE(VALUE(LEFT($AB2166,4)),VALUE(MID($AB2166,6,2)),VALUE(RIGHT($AB2166,2))),DATE(VALUE(RIGHT($AB2166,4)),VALUE(MID($AB2166,4,2)),VALUE(LEFT($AB2166,2)))))</f>
        <v>45939</v>
      </c>
      <c r="C2166" s="61" t="n">
        <f aca="false">YEAR($B2166)</f>
        <v>2025</v>
      </c>
      <c r="D2166" s="61" t="str">
        <f aca="false">"Q"&amp;ROUNDUP(MONTH($B2166)/3,0)</f>
        <v>Q4</v>
      </c>
      <c r="E2166" s="61" t="n">
        <f aca="false">MONTH($B2166)</f>
        <v>10</v>
      </c>
      <c r="F2166" s="61" t="str">
        <f aca="false">INDEX(Parametros!$I$5:$I$16,$E2166)</f>
        <v>Oct</v>
      </c>
      <c r="G2166" s="61" t="str">
        <f aca="false">TEXT($C2166,"0000")&amp;"-"&amp;TEXT($E2166,"00")</f>
        <v>2025-10</v>
      </c>
      <c r="H2166" s="61" t="str">
        <f aca="false">INDEX(Parametros!$C$71:$C$91,MATCH(TRIM(INDEX(Datos_Origen!$C$2:$C$2459,$Z2166)),Parametros!$B$71:$B$91,0))</f>
        <v>Cuyo</v>
      </c>
      <c r="I2166" s="61" t="str">
        <f aca="false">IF(TRIM($AD2166)="",INDEX(Parametros!$I$20:$I$24,MATCH($H2166,Parametros!$H$20:$H$24,0)),TRIM($AD2166))</f>
        <v>Mendoza</v>
      </c>
      <c r="J2166" s="61" t="str">
        <f aca="false">INDEX(Parametros!$C$95:$C$106,MATCH(TRIM(INDEX(Datos_Origen!$E$2:$E$2459,$Z2166)),Parametros!$B$95:$B$106,0))</f>
        <v>Tienda fisica</v>
      </c>
      <c r="K2166" s="61" t="str">
        <f aca="false">INDEX(Parametros!$C$48:$C$67,MATCH(TRIM(INDEX(Datos_Origen!$F$2:$F$2459,$Z2166)),Parametros!$B$48:$B$67,0))</f>
        <v>Computacion</v>
      </c>
      <c r="L2166" s="61" t="str">
        <f aca="false">$K2166&amp;" "&amp;$C2166</f>
        <v>Computacion 2025</v>
      </c>
      <c r="M2166" s="61" t="str">
        <f aca="false">TRIM(INDEX(Datos_Origen!$G$2:$G$2459,$Z2166))</f>
        <v>PC Gamer Ryzen</v>
      </c>
      <c r="N2166" s="61" t="str">
        <f aca="false">$M2166&amp;" "&amp;$C2166</f>
        <v>PC Gamer Ryzen 2025</v>
      </c>
      <c r="O2166" s="63" t="n">
        <f aca="false">IF(ISTEXT($AC2166),VALUE($AC2166),$AC2166)</f>
        <v>6</v>
      </c>
      <c r="P2166" s="64" t="n">
        <f aca="false">INDEX(Datos_Origen!$I$2:$I$2459,$Z2166)</f>
        <v>1656.52</v>
      </c>
      <c r="Q2166" s="64" t="n">
        <f aca="false">INDEX(Datos_Origen!$J$2:$J$2459,$Z2166)</f>
        <v>1155.66</v>
      </c>
      <c r="R2166" s="65" t="n">
        <f aca="false">ROUND($O2166*$P2166,2)</f>
        <v>9939.12</v>
      </c>
      <c r="S2166" s="65" t="n">
        <f aca="false">ROUND($O2166*$Q2166,2)</f>
        <v>6933.96</v>
      </c>
      <c r="T2166" s="65" t="n">
        <f aca="false">ROUND($R2166*SUMIFS(Parametros!$E$28:$E$43,Parametros!$B$28:$B$43,$J2166,Parametros!$C$28:$C$43,$C2166,Parametros!$D$28:$D$43,$D2166),2)</f>
        <v>129.21</v>
      </c>
      <c r="U2166" s="65" t="n">
        <f aca="false">$R2166-$S2166-$T2166</f>
        <v>2875.95</v>
      </c>
      <c r="V2166" s="66" t="n">
        <f aca="false">IFERROR($U2166/$R2166,0)</f>
        <v>0.289356602999058</v>
      </c>
      <c r="W2166" s="67" t="str">
        <f aca="false">IF(AND($V2166&gt;=Parametros!$C$8,$R2166&gt;=Parametros!$C$12),"Alta rentabilidad",IF(OR($V2166&lt;Parametros!$C$11,$R2166&lt;Parametros!$C$13),"Revisar","Estandar"))</f>
        <v>Estandar</v>
      </c>
      <c r="X2166" s="67" t="str">
        <f aca="false">IF(AND($J2166="E-commerce",IFERROR($T2166/$R2166,0)&gt;Parametros!$C$14),"Alerta","OK")</f>
        <v>OK</v>
      </c>
      <c r="Y2166" s="61" t="str">
        <f aca="false">IF($R2166&gt;=Parametros!$C$12,"Alto",IF($R2166&lt;Parametros!$C$13,"Bajo","Medio"))</f>
        <v>Alto</v>
      </c>
      <c r="Z2166" s="61" t="n">
        <v>2070</v>
      </c>
      <c r="AA2166" s="61" t="str">
        <f aca="false">IF(MATCH($A2166,Datos_Origen!$A$2:$A$2459,0)=$Z2166,"OK","REVISAR")</f>
        <v>OK</v>
      </c>
      <c r="AB2166" s="62" t="n">
        <f aca="false">INDEX(Datos_Origen!$B$2:$B$2459,$Z2166)</f>
        <v>45939</v>
      </c>
      <c r="AC2166" s="61" t="n">
        <f aca="false">INDEX(Datos_Origen!$H$2:$H$2459,$Z2166)</f>
        <v>6</v>
      </c>
      <c r="AD2166" s="61" t="str">
        <f aca="false">INDEX(Datos_Origen!$D$2:$D$2459,$Z2166)&amp;""</f>
        <v>Mendoza</v>
      </c>
    </row>
    <row r="2167" customFormat="false" ht="15" hidden="false" customHeight="false" outlineLevel="0" collapsed="false">
      <c r="A2167" s="61" t="n">
        <f aca="false">INDEX(Datos_Origen!$A$2:$A$2459,$Z2167)</f>
        <v>2166</v>
      </c>
      <c r="B2167" s="62" t="n">
        <f aca="false">IF(ISNUMBER($AB2167),$AB2167,IF(MID($AB2167,5,1)="-",DATE(VALUE(LEFT($AB2167,4)),VALUE(MID($AB2167,6,2)),VALUE(RIGHT($AB2167,2))),DATE(VALUE(RIGHT($AB2167,4)),VALUE(MID($AB2167,4,2)),VALUE(LEFT($AB2167,2)))))</f>
        <v>45946</v>
      </c>
      <c r="C2167" s="61" t="n">
        <f aca="false">YEAR($B2167)</f>
        <v>2025</v>
      </c>
      <c r="D2167" s="61" t="str">
        <f aca="false">"Q"&amp;ROUNDUP(MONTH($B2167)/3,0)</f>
        <v>Q4</v>
      </c>
      <c r="E2167" s="61" t="n">
        <f aca="false">MONTH($B2167)</f>
        <v>10</v>
      </c>
      <c r="F2167" s="61" t="str">
        <f aca="false">INDEX(Parametros!$I$5:$I$16,$E2167)</f>
        <v>Oct</v>
      </c>
      <c r="G2167" s="61" t="str">
        <f aca="false">TEXT($C2167,"0000")&amp;"-"&amp;TEXT($E2167,"00")</f>
        <v>2025-10</v>
      </c>
      <c r="H2167" s="61" t="str">
        <f aca="false">INDEX(Parametros!$C$71:$C$91,MATCH(TRIM(INDEX(Datos_Origen!$C$2:$C$2459,$Z2167)),Parametros!$B$71:$B$91,0))</f>
        <v>Cuyo</v>
      </c>
      <c r="I2167" s="61" t="str">
        <f aca="false">IF(TRIM($AD2167)="",INDEX(Parametros!$I$20:$I$24,MATCH($H2167,Parametros!$H$20:$H$24,0)),TRIM($AD2167))</f>
        <v>Mendoza</v>
      </c>
      <c r="J2167" s="61" t="str">
        <f aca="false">INDEX(Parametros!$C$95:$C$106,MATCH(TRIM(INDEX(Datos_Origen!$E$2:$E$2459,$Z2167)),Parametros!$B$95:$B$106,0))</f>
        <v>E-commerce</v>
      </c>
      <c r="K2167" s="61" t="str">
        <f aca="false">INDEX(Parametros!$C$48:$C$67,MATCH(TRIM(INDEX(Datos_Origen!$F$2:$F$2459,$Z2167)),Parametros!$B$48:$B$67,0))</f>
        <v>Computacion</v>
      </c>
      <c r="L2167" s="61" t="str">
        <f aca="false">$K2167&amp;" "&amp;$C2167</f>
        <v>Computacion 2025</v>
      </c>
      <c r="M2167" s="61" t="str">
        <f aca="false">TRIM(INDEX(Datos_Origen!$G$2:$G$2459,$Z2167))</f>
        <v>PC Gamer Ryzen</v>
      </c>
      <c r="N2167" s="61" t="str">
        <f aca="false">$M2167&amp;" "&amp;$C2167</f>
        <v>PC Gamer Ryzen 2025</v>
      </c>
      <c r="O2167" s="63" t="n">
        <f aca="false">IF(ISTEXT($AC2167),VALUE($AC2167),$AC2167)</f>
        <v>5</v>
      </c>
      <c r="P2167" s="64" t="n">
        <f aca="false">INDEX(Datos_Origen!$I$2:$I$2459,$Z2167)</f>
        <v>1656.52</v>
      </c>
      <c r="Q2167" s="64" t="n">
        <f aca="false">INDEX(Datos_Origen!$J$2:$J$2459,$Z2167)</f>
        <v>1155.66</v>
      </c>
      <c r="R2167" s="65" t="n">
        <f aca="false">ROUND($O2167*$P2167,2)</f>
        <v>8282.6</v>
      </c>
      <c r="S2167" s="65" t="n">
        <f aca="false">ROUND($O2167*$Q2167,2)</f>
        <v>5778.3</v>
      </c>
      <c r="T2167" s="65" t="n">
        <f aca="false">ROUND($R2167*SUMIFS(Parametros!$E$28:$E$43,Parametros!$B$28:$B$43,$J2167,Parametros!$C$28:$C$43,$C2167,Parametros!$D$28:$D$43,$D2167),2)</f>
        <v>430.7</v>
      </c>
      <c r="U2167" s="65" t="n">
        <f aca="false">$R2167-$S2167-$T2167</f>
        <v>2073.6</v>
      </c>
      <c r="V2167" s="66" t="n">
        <f aca="false">IFERROR($U2167/$R2167,0)</f>
        <v>0.250356168352933</v>
      </c>
      <c r="W2167" s="67" t="str">
        <f aca="false">IF(AND($V2167&gt;=Parametros!$C$8,$R2167&gt;=Parametros!$C$12),"Alta rentabilidad",IF(OR($V2167&lt;Parametros!$C$11,$R2167&lt;Parametros!$C$13),"Revisar","Estandar"))</f>
        <v>Revisar</v>
      </c>
      <c r="X2167" s="67" t="str">
        <f aca="false">IF(AND($J2167="E-commerce",IFERROR($T2167/$R2167,0)&gt;Parametros!$C$14),"Alerta","OK")</f>
        <v>Alerta</v>
      </c>
      <c r="Y2167" s="61" t="str">
        <f aca="false">IF($R2167&gt;=Parametros!$C$12,"Alto",IF($R2167&lt;Parametros!$C$13,"Bajo","Medio"))</f>
        <v>Alto</v>
      </c>
      <c r="Z2167" s="61" t="n">
        <v>1964</v>
      </c>
      <c r="AA2167" s="61" t="str">
        <f aca="false">IF(MATCH($A2167,Datos_Origen!$A$2:$A$2459,0)=$Z2167,"OK","REVISAR")</f>
        <v>OK</v>
      </c>
      <c r="AB2167" s="61" t="str">
        <f aca="false">INDEX(Datos_Origen!$B$2:$B$2459,$Z2167)</f>
        <v>2025-10-16</v>
      </c>
      <c r="AC2167" s="61" t="n">
        <f aca="false">INDEX(Datos_Origen!$H$2:$H$2459,$Z2167)</f>
        <v>5</v>
      </c>
      <c r="AD2167" s="61" t="str">
        <f aca="false">INDEX(Datos_Origen!$D$2:$D$2459,$Z2167)&amp;""</f>
        <v>Mendoza</v>
      </c>
    </row>
    <row r="2168" customFormat="false" ht="15" hidden="false" customHeight="false" outlineLevel="0" collapsed="false">
      <c r="A2168" s="61" t="n">
        <f aca="false">INDEX(Datos_Origen!$A$2:$A$2459,$Z2168)</f>
        <v>2167</v>
      </c>
      <c r="B2168" s="62" t="n">
        <f aca="false">IF(ISNUMBER($AB2168),$AB2168,IF(MID($AB2168,5,1)="-",DATE(VALUE(LEFT($AB2168,4)),VALUE(MID($AB2168,6,2)),VALUE(RIGHT($AB2168,2))),DATE(VALUE(RIGHT($AB2168,4)),VALUE(MID($AB2168,4,2)),VALUE(LEFT($AB2168,2)))))</f>
        <v>45953</v>
      </c>
      <c r="C2168" s="61" t="n">
        <f aca="false">YEAR($B2168)</f>
        <v>2025</v>
      </c>
      <c r="D2168" s="61" t="str">
        <f aca="false">"Q"&amp;ROUNDUP(MONTH($B2168)/3,0)</f>
        <v>Q4</v>
      </c>
      <c r="E2168" s="61" t="n">
        <f aca="false">MONTH($B2168)</f>
        <v>10</v>
      </c>
      <c r="F2168" s="61" t="str">
        <f aca="false">INDEX(Parametros!$I$5:$I$16,$E2168)</f>
        <v>Oct</v>
      </c>
      <c r="G2168" s="61" t="str">
        <f aca="false">TEXT($C2168,"0000")&amp;"-"&amp;TEXT($E2168,"00")</f>
        <v>2025-10</v>
      </c>
      <c r="H2168" s="61" t="str">
        <f aca="false">INDEX(Parametros!$C$71:$C$91,MATCH(TRIM(INDEX(Datos_Origen!$C$2:$C$2459,$Z2168)),Parametros!$B$71:$B$91,0))</f>
        <v>Cuyo</v>
      </c>
      <c r="I2168" s="61" t="str">
        <f aca="false">IF(TRIM($AD2168)="",INDEX(Parametros!$I$20:$I$24,MATCH($H2168,Parametros!$H$20:$H$24,0)),TRIM($AD2168))</f>
        <v>Mendoza</v>
      </c>
      <c r="J2168" s="61" t="str">
        <f aca="false">INDEX(Parametros!$C$95:$C$106,MATCH(TRIM(INDEX(Datos_Origen!$E$2:$E$2459,$Z2168)),Parametros!$B$95:$B$106,0))</f>
        <v>Tienda fisica</v>
      </c>
      <c r="K2168" s="61" t="str">
        <f aca="false">INDEX(Parametros!$C$48:$C$67,MATCH(TRIM(INDEX(Datos_Origen!$F$2:$F$2459,$Z2168)),Parametros!$B$48:$B$67,0))</f>
        <v>Accesorios</v>
      </c>
      <c r="L2168" s="61" t="str">
        <f aca="false">$K2168&amp;" "&amp;$C2168</f>
        <v>Accesorios 2025</v>
      </c>
      <c r="M2168" s="61" t="str">
        <f aca="false">TRIM(INDEX(Datos_Origen!$G$2:$G$2459,$Z2168))</f>
        <v>Mouse Inalambrico</v>
      </c>
      <c r="N2168" s="61" t="str">
        <f aca="false">$M2168&amp;" "&amp;$C2168</f>
        <v>Mouse Inalambrico 2025</v>
      </c>
      <c r="O2168" s="63" t="n">
        <f aca="false">IF(ISTEXT($AC2168),VALUE($AC2168),$AC2168)</f>
        <v>36</v>
      </c>
      <c r="P2168" s="64" t="n">
        <f aca="false">INDEX(Datos_Origen!$I$2:$I$2459,$Z2168)</f>
        <v>28.11</v>
      </c>
      <c r="Q2168" s="64" t="n">
        <f aca="false">INDEX(Datos_Origen!$J$2:$J$2459,$Z2168)</f>
        <v>13.84</v>
      </c>
      <c r="R2168" s="65" t="n">
        <f aca="false">ROUND($O2168*$P2168,2)</f>
        <v>1011.96</v>
      </c>
      <c r="S2168" s="65" t="n">
        <f aca="false">ROUND($O2168*$Q2168,2)</f>
        <v>498.24</v>
      </c>
      <c r="T2168" s="65" t="n">
        <f aca="false">ROUND($R2168*SUMIFS(Parametros!$E$28:$E$43,Parametros!$B$28:$B$43,$J2168,Parametros!$C$28:$C$43,$C2168,Parametros!$D$28:$D$43,$D2168),2)</f>
        <v>13.16</v>
      </c>
      <c r="U2168" s="65" t="n">
        <f aca="false">$R2168-$S2168-$T2168</f>
        <v>500.56</v>
      </c>
      <c r="V2168" s="66" t="n">
        <f aca="false">IFERROR($U2168/$R2168,0)</f>
        <v>0.494644057077355</v>
      </c>
      <c r="W2168" s="67" t="str">
        <f aca="false">IF(AND($V2168&gt;=Parametros!$C$8,$R2168&gt;=Parametros!$C$12),"Alta rentabilidad",IF(OR($V2168&lt;Parametros!$C$11,$R2168&lt;Parametros!$C$13),"Revisar","Estandar"))</f>
        <v>Estandar</v>
      </c>
      <c r="X2168" s="67" t="str">
        <f aca="false">IF(AND($J2168="E-commerce",IFERROR($T2168/$R2168,0)&gt;Parametros!$C$14),"Alerta","OK")</f>
        <v>OK</v>
      </c>
      <c r="Y2168" s="61" t="str">
        <f aca="false">IF($R2168&gt;=Parametros!$C$12,"Alto",IF($R2168&lt;Parametros!$C$13,"Bajo","Medio"))</f>
        <v>Medio</v>
      </c>
      <c r="Z2168" s="61" t="n">
        <v>1728</v>
      </c>
      <c r="AA2168" s="61" t="str">
        <f aca="false">IF(MATCH($A2168,Datos_Origen!$A$2:$A$2459,0)=$Z2168,"OK","REVISAR")</f>
        <v>OK</v>
      </c>
      <c r="AB2168" s="62" t="n">
        <f aca="false">INDEX(Datos_Origen!$B$2:$B$2459,$Z2168)</f>
        <v>45953</v>
      </c>
      <c r="AC2168" s="61" t="n">
        <f aca="false">INDEX(Datos_Origen!$H$2:$H$2459,$Z2168)</f>
        <v>36</v>
      </c>
      <c r="AD2168" s="61" t="str">
        <f aca="false">INDEX(Datos_Origen!$D$2:$D$2459,$Z2168)&amp;""</f>
        <v>Mendoza</v>
      </c>
    </row>
    <row r="2169" customFormat="false" ht="15" hidden="false" customHeight="false" outlineLevel="0" collapsed="false">
      <c r="A2169" s="61" t="n">
        <f aca="false">INDEX(Datos_Origen!$A$2:$A$2459,$Z2169)</f>
        <v>2168</v>
      </c>
      <c r="B2169" s="62" t="n">
        <f aca="false">IF(ISNUMBER($AB2169),$AB2169,IF(MID($AB2169,5,1)="-",DATE(VALUE(LEFT($AB2169,4)),VALUE(MID($AB2169,6,2)),VALUE(RIGHT($AB2169,2))),DATE(VALUE(RIGHT($AB2169,4)),VALUE(MID($AB2169,4,2)),VALUE(LEFT($AB2169,2)))))</f>
        <v>45933</v>
      </c>
      <c r="C2169" s="61" t="n">
        <f aca="false">YEAR($B2169)</f>
        <v>2025</v>
      </c>
      <c r="D2169" s="61" t="str">
        <f aca="false">"Q"&amp;ROUNDUP(MONTH($B2169)/3,0)</f>
        <v>Q4</v>
      </c>
      <c r="E2169" s="61" t="n">
        <f aca="false">MONTH($B2169)</f>
        <v>10</v>
      </c>
      <c r="F2169" s="61" t="str">
        <f aca="false">INDEX(Parametros!$I$5:$I$16,$E2169)</f>
        <v>Oct</v>
      </c>
      <c r="G2169" s="61" t="str">
        <f aca="false">TEXT($C2169,"0000")&amp;"-"&amp;TEXT($E2169,"00")</f>
        <v>2025-10</v>
      </c>
      <c r="H2169" s="61" t="str">
        <f aca="false">INDEX(Parametros!$C$71:$C$91,MATCH(TRIM(INDEX(Datos_Origen!$C$2:$C$2459,$Z2169)),Parametros!$B$71:$B$91,0))</f>
        <v>Cuyo</v>
      </c>
      <c r="I2169" s="61" t="str">
        <f aca="false">IF(TRIM($AD2169)="",INDEX(Parametros!$I$20:$I$24,MATCH($H2169,Parametros!$H$20:$H$24,0)),TRIM($AD2169))</f>
        <v>Mendoza</v>
      </c>
      <c r="J2169" s="61" t="str">
        <f aca="false">INDEX(Parametros!$C$95:$C$106,MATCH(TRIM(INDEX(Datos_Origen!$E$2:$E$2459,$Z2169)),Parametros!$B$95:$B$106,0))</f>
        <v>E-commerce</v>
      </c>
      <c r="K2169" s="61" t="str">
        <f aca="false">INDEX(Parametros!$C$48:$C$67,MATCH(TRIM(INDEX(Datos_Origen!$F$2:$F$2459,$Z2169)),Parametros!$B$48:$B$67,0))</f>
        <v>Accesorios</v>
      </c>
      <c r="L2169" s="61" t="str">
        <f aca="false">$K2169&amp;" "&amp;$C2169</f>
        <v>Accesorios 2025</v>
      </c>
      <c r="M2169" s="61" t="str">
        <f aca="false">TRIM(INDEX(Datos_Origen!$G$2:$G$2459,$Z2169))</f>
        <v>Mouse Inalambrico</v>
      </c>
      <c r="N2169" s="61" t="str">
        <f aca="false">$M2169&amp;" "&amp;$C2169</f>
        <v>Mouse Inalambrico 2025</v>
      </c>
      <c r="O2169" s="63" t="n">
        <f aca="false">IF(ISTEXT($AC2169),VALUE($AC2169),$AC2169)</f>
        <v>18</v>
      </c>
      <c r="P2169" s="64" t="n">
        <f aca="false">INDEX(Datos_Origen!$I$2:$I$2459,$Z2169)</f>
        <v>28.11</v>
      </c>
      <c r="Q2169" s="64" t="n">
        <f aca="false">INDEX(Datos_Origen!$J$2:$J$2459,$Z2169)</f>
        <v>13.84</v>
      </c>
      <c r="R2169" s="65" t="n">
        <f aca="false">ROUND($O2169*$P2169,2)</f>
        <v>505.98</v>
      </c>
      <c r="S2169" s="65" t="n">
        <f aca="false">ROUND($O2169*$Q2169,2)</f>
        <v>249.12</v>
      </c>
      <c r="T2169" s="65" t="n">
        <f aca="false">ROUND($R2169*SUMIFS(Parametros!$E$28:$E$43,Parametros!$B$28:$B$43,$J2169,Parametros!$C$28:$C$43,$C2169,Parametros!$D$28:$D$43,$D2169),2)</f>
        <v>26.31</v>
      </c>
      <c r="U2169" s="65" t="n">
        <f aca="false">$R2169-$S2169-$T2169</f>
        <v>230.55</v>
      </c>
      <c r="V2169" s="66" t="n">
        <f aca="false">IFERROR($U2169/$R2169,0)</f>
        <v>0.455650420965256</v>
      </c>
      <c r="W2169" s="67" t="str">
        <f aca="false">IF(AND($V2169&gt;=Parametros!$C$8,$R2169&gt;=Parametros!$C$12),"Alta rentabilidad",IF(OR($V2169&lt;Parametros!$C$11,$R2169&lt;Parametros!$C$13),"Revisar","Estandar"))</f>
        <v>Estandar</v>
      </c>
      <c r="X2169" s="67" t="str">
        <f aca="false">IF(AND($J2169="E-commerce",IFERROR($T2169/$R2169,0)&gt;Parametros!$C$14),"Alerta","OK")</f>
        <v>Alerta</v>
      </c>
      <c r="Y2169" s="61" t="str">
        <f aca="false">IF($R2169&gt;=Parametros!$C$12,"Alto",IF($R2169&lt;Parametros!$C$13,"Bajo","Medio"))</f>
        <v>Medio</v>
      </c>
      <c r="Z2169" s="61" t="n">
        <v>217</v>
      </c>
      <c r="AA2169" s="61" t="str">
        <f aca="false">IF(MATCH($A2169,Datos_Origen!$A$2:$A$2459,0)=$Z2169,"OK","REVISAR")</f>
        <v>OK</v>
      </c>
      <c r="AB2169" s="62" t="n">
        <f aca="false">INDEX(Datos_Origen!$B$2:$B$2459,$Z2169)</f>
        <v>45933</v>
      </c>
      <c r="AC2169" s="61" t="str">
        <f aca="false">INDEX(Datos_Origen!$H$2:$H$2459,$Z2169)</f>
        <v>18</v>
      </c>
      <c r="AD2169" s="61" t="str">
        <f aca="false">INDEX(Datos_Origen!$D$2:$D$2459,$Z2169)&amp;""</f>
        <v>Mendoza</v>
      </c>
    </row>
    <row r="2170" customFormat="false" ht="15" hidden="false" customHeight="false" outlineLevel="0" collapsed="false">
      <c r="A2170" s="61" t="n">
        <f aca="false">INDEX(Datos_Origen!$A$2:$A$2459,$Z2170)</f>
        <v>2169</v>
      </c>
      <c r="B2170" s="62" t="n">
        <f aca="false">IF(ISNUMBER($AB2170),$AB2170,IF(MID($AB2170,5,1)="-",DATE(VALUE(LEFT($AB2170,4)),VALUE(MID($AB2170,6,2)),VALUE(RIGHT($AB2170,2))),DATE(VALUE(RIGHT($AB2170,4)),VALUE(MID($AB2170,4,2)),VALUE(LEFT($AB2170,2)))))</f>
        <v>45940</v>
      </c>
      <c r="C2170" s="61" t="n">
        <f aca="false">YEAR($B2170)</f>
        <v>2025</v>
      </c>
      <c r="D2170" s="61" t="str">
        <f aca="false">"Q"&amp;ROUNDUP(MONTH($B2170)/3,0)</f>
        <v>Q4</v>
      </c>
      <c r="E2170" s="61" t="n">
        <f aca="false">MONTH($B2170)</f>
        <v>10</v>
      </c>
      <c r="F2170" s="61" t="str">
        <f aca="false">INDEX(Parametros!$I$5:$I$16,$E2170)</f>
        <v>Oct</v>
      </c>
      <c r="G2170" s="61" t="str">
        <f aca="false">TEXT($C2170,"0000")&amp;"-"&amp;TEXT($E2170,"00")</f>
        <v>2025-10</v>
      </c>
      <c r="H2170" s="61" t="str">
        <f aca="false">INDEX(Parametros!$C$71:$C$91,MATCH(TRIM(INDEX(Datos_Origen!$C$2:$C$2459,$Z2170)),Parametros!$B$71:$B$91,0))</f>
        <v>Cuyo</v>
      </c>
      <c r="I2170" s="61" t="str">
        <f aca="false">IF(TRIM($AD2170)="",INDEX(Parametros!$I$20:$I$24,MATCH($H2170,Parametros!$H$20:$H$24,0)),TRIM($AD2170))</f>
        <v>Mendoza</v>
      </c>
      <c r="J2170" s="61" t="str">
        <f aca="false">INDEX(Parametros!$C$95:$C$106,MATCH(TRIM(INDEX(Datos_Origen!$E$2:$E$2459,$Z2170)),Parametros!$B$95:$B$106,0))</f>
        <v>Tienda fisica</v>
      </c>
      <c r="K2170" s="61" t="str">
        <f aca="false">INDEX(Parametros!$C$48:$C$67,MATCH(TRIM(INDEX(Datos_Origen!$F$2:$F$2459,$Z2170)),Parametros!$B$48:$B$67,0))</f>
        <v>Accesorios</v>
      </c>
      <c r="L2170" s="61" t="str">
        <f aca="false">$K2170&amp;" "&amp;$C2170</f>
        <v>Accesorios 2025</v>
      </c>
      <c r="M2170" s="61" t="str">
        <f aca="false">TRIM(INDEX(Datos_Origen!$G$2:$G$2459,$Z2170))</f>
        <v>Teclado Mecanico</v>
      </c>
      <c r="N2170" s="61" t="str">
        <f aca="false">$M2170&amp;" "&amp;$C2170</f>
        <v>Teclado Mecanico 2025</v>
      </c>
      <c r="O2170" s="63" t="n">
        <f aca="false">IF(ISTEXT($AC2170),VALUE($AC2170),$AC2170)</f>
        <v>34</v>
      </c>
      <c r="P2170" s="64" t="n">
        <f aca="false">INDEX(Datos_Origen!$I$2:$I$2459,$Z2170)</f>
        <v>95.38</v>
      </c>
      <c r="Q2170" s="64" t="n">
        <f aca="false">INDEX(Datos_Origen!$J$2:$J$2459,$Z2170)</f>
        <v>49.41</v>
      </c>
      <c r="R2170" s="65" t="n">
        <f aca="false">ROUND($O2170*$P2170,2)</f>
        <v>3242.92</v>
      </c>
      <c r="S2170" s="65" t="n">
        <f aca="false">ROUND($O2170*$Q2170,2)</f>
        <v>1679.94</v>
      </c>
      <c r="T2170" s="65" t="n">
        <f aca="false">ROUND($R2170*SUMIFS(Parametros!$E$28:$E$43,Parametros!$B$28:$B$43,$J2170,Parametros!$C$28:$C$43,$C2170,Parametros!$D$28:$D$43,$D2170),2)</f>
        <v>42.16</v>
      </c>
      <c r="U2170" s="65" t="n">
        <f aca="false">$R2170-$S2170-$T2170</f>
        <v>1520.82</v>
      </c>
      <c r="V2170" s="66" t="n">
        <f aca="false">IFERROR($U2170/$R2170,0)</f>
        <v>0.46896624030195</v>
      </c>
      <c r="W2170" s="67" t="str">
        <f aca="false">IF(AND($V2170&gt;=Parametros!$C$8,$R2170&gt;=Parametros!$C$12),"Alta rentabilidad",IF(OR($V2170&lt;Parametros!$C$11,$R2170&lt;Parametros!$C$13),"Revisar","Estandar"))</f>
        <v>Alta rentabilidad</v>
      </c>
      <c r="X2170" s="67" t="str">
        <f aca="false">IF(AND($J2170="E-commerce",IFERROR($T2170/$R2170,0)&gt;Parametros!$C$14),"Alerta","OK")</f>
        <v>OK</v>
      </c>
      <c r="Y2170" s="61" t="str">
        <f aca="false">IF($R2170&gt;=Parametros!$C$12,"Alto",IF($R2170&lt;Parametros!$C$13,"Bajo","Medio"))</f>
        <v>Alto</v>
      </c>
      <c r="Z2170" s="61" t="n">
        <v>2193</v>
      </c>
      <c r="AA2170" s="61" t="str">
        <f aca="false">IF(MATCH($A2170,Datos_Origen!$A$2:$A$2459,0)=$Z2170,"OK","REVISAR")</f>
        <v>OK</v>
      </c>
      <c r="AB2170" s="62" t="n">
        <f aca="false">INDEX(Datos_Origen!$B$2:$B$2459,$Z2170)</f>
        <v>45940</v>
      </c>
      <c r="AC2170" s="61" t="n">
        <f aca="false">INDEX(Datos_Origen!$H$2:$H$2459,$Z2170)</f>
        <v>34</v>
      </c>
      <c r="AD2170" s="61" t="str">
        <f aca="false">INDEX(Datos_Origen!$D$2:$D$2459,$Z2170)&amp;""</f>
        <v>Mendoza</v>
      </c>
    </row>
    <row r="2171" customFormat="false" ht="15" hidden="false" customHeight="false" outlineLevel="0" collapsed="false">
      <c r="A2171" s="61" t="n">
        <f aca="false">INDEX(Datos_Origen!$A$2:$A$2459,$Z2171)</f>
        <v>2170</v>
      </c>
      <c r="B2171" s="62" t="n">
        <f aca="false">IF(ISNUMBER($AB2171),$AB2171,IF(MID($AB2171,5,1)="-",DATE(VALUE(LEFT($AB2171,4)),VALUE(MID($AB2171,6,2)),VALUE(RIGHT($AB2171,2))),DATE(VALUE(RIGHT($AB2171,4)),VALUE(MID($AB2171,4,2)),VALUE(LEFT($AB2171,2)))))</f>
        <v>45947</v>
      </c>
      <c r="C2171" s="61" t="n">
        <f aca="false">YEAR($B2171)</f>
        <v>2025</v>
      </c>
      <c r="D2171" s="61" t="str">
        <f aca="false">"Q"&amp;ROUNDUP(MONTH($B2171)/3,0)</f>
        <v>Q4</v>
      </c>
      <c r="E2171" s="61" t="n">
        <f aca="false">MONTH($B2171)</f>
        <v>10</v>
      </c>
      <c r="F2171" s="61" t="str">
        <f aca="false">INDEX(Parametros!$I$5:$I$16,$E2171)</f>
        <v>Oct</v>
      </c>
      <c r="G2171" s="61" t="str">
        <f aca="false">TEXT($C2171,"0000")&amp;"-"&amp;TEXT($E2171,"00")</f>
        <v>2025-10</v>
      </c>
      <c r="H2171" s="61" t="str">
        <f aca="false">INDEX(Parametros!$C$71:$C$91,MATCH(TRIM(INDEX(Datos_Origen!$C$2:$C$2459,$Z2171)),Parametros!$B$71:$B$91,0))</f>
        <v>Cuyo</v>
      </c>
      <c r="I2171" s="61" t="str">
        <f aca="false">IF(TRIM($AD2171)="",INDEX(Parametros!$I$20:$I$24,MATCH($H2171,Parametros!$H$20:$H$24,0)),TRIM($AD2171))</f>
        <v>Mendoza</v>
      </c>
      <c r="J2171" s="61" t="str">
        <f aca="false">INDEX(Parametros!$C$95:$C$106,MATCH(TRIM(INDEX(Datos_Origen!$E$2:$E$2459,$Z2171)),Parametros!$B$95:$B$106,0))</f>
        <v>E-commerce</v>
      </c>
      <c r="K2171" s="61" t="str">
        <f aca="false">INDEX(Parametros!$C$48:$C$67,MATCH(TRIM(INDEX(Datos_Origen!$F$2:$F$2459,$Z2171)),Parametros!$B$48:$B$67,0))</f>
        <v>Accesorios</v>
      </c>
      <c r="L2171" s="61" t="str">
        <f aca="false">$K2171&amp;" "&amp;$C2171</f>
        <v>Accesorios 2025</v>
      </c>
      <c r="M2171" s="61" t="str">
        <f aca="false">TRIM(INDEX(Datos_Origen!$G$2:$G$2459,$Z2171))</f>
        <v>Teclado Mecanico</v>
      </c>
      <c r="N2171" s="61" t="str">
        <f aca="false">$M2171&amp;" "&amp;$C2171</f>
        <v>Teclado Mecanico 2025</v>
      </c>
      <c r="O2171" s="63" t="n">
        <f aca="false">IF(ISTEXT($AC2171),VALUE($AC2171),$AC2171)</f>
        <v>18</v>
      </c>
      <c r="P2171" s="64" t="n">
        <f aca="false">INDEX(Datos_Origen!$I$2:$I$2459,$Z2171)</f>
        <v>95.38</v>
      </c>
      <c r="Q2171" s="64" t="n">
        <f aca="false">INDEX(Datos_Origen!$J$2:$J$2459,$Z2171)</f>
        <v>49.41</v>
      </c>
      <c r="R2171" s="65" t="n">
        <f aca="false">ROUND($O2171*$P2171,2)</f>
        <v>1716.84</v>
      </c>
      <c r="S2171" s="65" t="n">
        <f aca="false">ROUND($O2171*$Q2171,2)</f>
        <v>889.38</v>
      </c>
      <c r="T2171" s="65" t="n">
        <f aca="false">ROUND($R2171*SUMIFS(Parametros!$E$28:$E$43,Parametros!$B$28:$B$43,$J2171,Parametros!$C$28:$C$43,$C2171,Parametros!$D$28:$D$43,$D2171),2)</f>
        <v>89.28</v>
      </c>
      <c r="U2171" s="65" t="n">
        <f aca="false">$R2171-$S2171-$T2171</f>
        <v>738.18</v>
      </c>
      <c r="V2171" s="66" t="n">
        <f aca="false">IFERROR($U2171/$R2171,0)</f>
        <v>0.42996435311386</v>
      </c>
      <c r="W2171" s="67" t="str">
        <f aca="false">IF(AND($V2171&gt;=Parametros!$C$8,$R2171&gt;=Parametros!$C$12),"Alta rentabilidad",IF(OR($V2171&lt;Parametros!$C$11,$R2171&lt;Parametros!$C$13),"Revisar","Estandar"))</f>
        <v>Estandar</v>
      </c>
      <c r="X2171" s="67" t="str">
        <f aca="false">IF(AND($J2171="E-commerce",IFERROR($T2171/$R2171,0)&gt;Parametros!$C$14),"Alerta","OK")</f>
        <v>Alerta</v>
      </c>
      <c r="Y2171" s="61" t="str">
        <f aca="false">IF($R2171&gt;=Parametros!$C$12,"Alto",IF($R2171&lt;Parametros!$C$13,"Bajo","Medio"))</f>
        <v>Medio</v>
      </c>
      <c r="Z2171" s="61" t="n">
        <v>2429</v>
      </c>
      <c r="AA2171" s="61" t="str">
        <f aca="false">IF(MATCH($A2171,Datos_Origen!$A$2:$A$2459,0)=$Z2171,"OK","REVISAR")</f>
        <v>OK</v>
      </c>
      <c r="AB2171" s="62" t="n">
        <f aca="false">INDEX(Datos_Origen!$B$2:$B$2459,$Z2171)</f>
        <v>45947</v>
      </c>
      <c r="AC2171" s="61" t="str">
        <f aca="false">INDEX(Datos_Origen!$H$2:$H$2459,$Z2171)</f>
        <v>18</v>
      </c>
      <c r="AD2171" s="61" t="str">
        <f aca="false">INDEX(Datos_Origen!$D$2:$D$2459,$Z2171)&amp;""</f>
        <v>Mendoza</v>
      </c>
    </row>
    <row r="2172" customFormat="false" ht="15" hidden="false" customHeight="false" outlineLevel="0" collapsed="false">
      <c r="A2172" s="61" t="n">
        <f aca="false">INDEX(Datos_Origen!$A$2:$A$2459,$Z2172)</f>
        <v>2171</v>
      </c>
      <c r="B2172" s="62" t="n">
        <f aca="false">IF(ISNUMBER($AB2172),$AB2172,IF(MID($AB2172,5,1)="-",DATE(VALUE(LEFT($AB2172,4)),VALUE(MID($AB2172,6,2)),VALUE(RIGHT($AB2172,2))),DATE(VALUE(RIGHT($AB2172,4)),VALUE(MID($AB2172,4,2)),VALUE(LEFT($AB2172,2)))))</f>
        <v>45954</v>
      </c>
      <c r="C2172" s="61" t="n">
        <f aca="false">YEAR($B2172)</f>
        <v>2025</v>
      </c>
      <c r="D2172" s="61" t="str">
        <f aca="false">"Q"&amp;ROUNDUP(MONTH($B2172)/3,0)</f>
        <v>Q4</v>
      </c>
      <c r="E2172" s="61" t="n">
        <f aca="false">MONTH($B2172)</f>
        <v>10</v>
      </c>
      <c r="F2172" s="61" t="str">
        <f aca="false">INDEX(Parametros!$I$5:$I$16,$E2172)</f>
        <v>Oct</v>
      </c>
      <c r="G2172" s="61" t="str">
        <f aca="false">TEXT($C2172,"0000")&amp;"-"&amp;TEXT($E2172,"00")</f>
        <v>2025-10</v>
      </c>
      <c r="H2172" s="61" t="str">
        <f aca="false">INDEX(Parametros!$C$71:$C$91,MATCH(TRIM(INDEX(Datos_Origen!$C$2:$C$2459,$Z2172)),Parametros!$B$71:$B$91,0))</f>
        <v>Cuyo</v>
      </c>
      <c r="I2172" s="61" t="str">
        <f aca="false">IF(TRIM($AD2172)="",INDEX(Parametros!$I$20:$I$24,MATCH($H2172,Parametros!$H$20:$H$24,0)),TRIM($AD2172))</f>
        <v>Mendoza</v>
      </c>
      <c r="J2172" s="61" t="str">
        <f aca="false">INDEX(Parametros!$C$95:$C$106,MATCH(TRIM(INDEX(Datos_Origen!$E$2:$E$2459,$Z2172)),Parametros!$B$95:$B$106,0))</f>
        <v>Tienda fisica</v>
      </c>
      <c r="K2172" s="61" t="str">
        <f aca="false">INDEX(Parametros!$C$48:$C$67,MATCH(TRIM(INDEX(Datos_Origen!$F$2:$F$2459,$Z2172)),Parametros!$B$48:$B$67,0))</f>
        <v>Accesorios</v>
      </c>
      <c r="L2172" s="61" t="str">
        <f aca="false">$K2172&amp;" "&amp;$C2172</f>
        <v>Accesorios 2025</v>
      </c>
      <c r="M2172" s="61" t="str">
        <f aca="false">TRIM(INDEX(Datos_Origen!$G$2:$G$2459,$Z2172))</f>
        <v>Webcam Full HD</v>
      </c>
      <c r="N2172" s="61" t="str">
        <f aca="false">$M2172&amp;" "&amp;$C2172</f>
        <v>Webcam Full HD 2025</v>
      </c>
      <c r="O2172" s="63" t="n">
        <f aca="false">IF(ISTEXT($AC2172),VALUE($AC2172),$AC2172)</f>
        <v>36</v>
      </c>
      <c r="P2172" s="64" t="n">
        <f aca="false">INDEX(Datos_Origen!$I$2:$I$2459,$Z2172)</f>
        <v>65.26</v>
      </c>
      <c r="Q2172" s="64" t="n">
        <f aca="false">INDEX(Datos_Origen!$J$2:$J$2459,$Z2172)</f>
        <v>36.49</v>
      </c>
      <c r="R2172" s="65" t="n">
        <f aca="false">ROUND($O2172*$P2172,2)</f>
        <v>2349.36</v>
      </c>
      <c r="S2172" s="65" t="n">
        <f aca="false">ROUND($O2172*$Q2172,2)</f>
        <v>1313.64</v>
      </c>
      <c r="T2172" s="65" t="n">
        <f aca="false">ROUND($R2172*SUMIFS(Parametros!$E$28:$E$43,Parametros!$B$28:$B$43,$J2172,Parametros!$C$28:$C$43,$C2172,Parametros!$D$28:$D$43,$D2172),2)</f>
        <v>30.54</v>
      </c>
      <c r="U2172" s="65" t="n">
        <f aca="false">$R2172-$S2172-$T2172</f>
        <v>1005.18</v>
      </c>
      <c r="V2172" s="66" t="n">
        <f aca="false">IFERROR($U2172/$R2172,0)</f>
        <v>0.427852691796915</v>
      </c>
      <c r="W2172" s="67" t="str">
        <f aca="false">IF(AND($V2172&gt;=Parametros!$C$8,$R2172&gt;=Parametros!$C$12),"Alta rentabilidad",IF(OR($V2172&lt;Parametros!$C$11,$R2172&lt;Parametros!$C$13),"Revisar","Estandar"))</f>
        <v>Estandar</v>
      </c>
      <c r="X2172" s="67" t="str">
        <f aca="false">IF(AND($J2172="E-commerce",IFERROR($T2172/$R2172,0)&gt;Parametros!$C$14),"Alerta","OK")</f>
        <v>OK</v>
      </c>
      <c r="Y2172" s="61" t="str">
        <f aca="false">IF($R2172&gt;=Parametros!$C$12,"Alto",IF($R2172&lt;Parametros!$C$13,"Bajo","Medio"))</f>
        <v>Medio</v>
      </c>
      <c r="Z2172" s="61" t="n">
        <v>707</v>
      </c>
      <c r="AA2172" s="61" t="str">
        <f aca="false">IF(MATCH($A2172,Datos_Origen!$A$2:$A$2459,0)=$Z2172,"OK","REVISAR")</f>
        <v>OK</v>
      </c>
      <c r="AB2172" s="61" t="str">
        <f aca="false">INDEX(Datos_Origen!$B$2:$B$2459,$Z2172)</f>
        <v>24/10/2025</v>
      </c>
      <c r="AC2172" s="61" t="str">
        <f aca="false">INDEX(Datos_Origen!$H$2:$H$2459,$Z2172)</f>
        <v>36</v>
      </c>
      <c r="AD2172" s="61" t="str">
        <f aca="false">INDEX(Datos_Origen!$D$2:$D$2459,$Z2172)&amp;""</f>
        <v>Mendoza</v>
      </c>
    </row>
    <row r="2173" customFormat="false" ht="15" hidden="false" customHeight="false" outlineLevel="0" collapsed="false">
      <c r="A2173" s="61" t="n">
        <f aca="false">INDEX(Datos_Origen!$A$2:$A$2459,$Z2173)</f>
        <v>2172</v>
      </c>
      <c r="B2173" s="62" t="n">
        <f aca="false">IF(ISNUMBER($AB2173),$AB2173,IF(MID($AB2173,5,1)="-",DATE(VALUE(LEFT($AB2173,4)),VALUE(MID($AB2173,6,2)),VALUE(RIGHT($AB2173,2))),DATE(VALUE(RIGHT($AB2173,4)),VALUE(MID($AB2173,4,2)),VALUE(LEFT($AB2173,2)))))</f>
        <v>45934</v>
      </c>
      <c r="C2173" s="61" t="n">
        <f aca="false">YEAR($B2173)</f>
        <v>2025</v>
      </c>
      <c r="D2173" s="61" t="str">
        <f aca="false">"Q"&amp;ROUNDUP(MONTH($B2173)/3,0)</f>
        <v>Q4</v>
      </c>
      <c r="E2173" s="61" t="n">
        <f aca="false">MONTH($B2173)</f>
        <v>10</v>
      </c>
      <c r="F2173" s="61" t="str">
        <f aca="false">INDEX(Parametros!$I$5:$I$16,$E2173)</f>
        <v>Oct</v>
      </c>
      <c r="G2173" s="61" t="str">
        <f aca="false">TEXT($C2173,"0000")&amp;"-"&amp;TEXT($E2173,"00")</f>
        <v>2025-10</v>
      </c>
      <c r="H2173" s="61" t="str">
        <f aca="false">INDEX(Parametros!$C$71:$C$91,MATCH(TRIM(INDEX(Datos_Origen!$C$2:$C$2459,$Z2173)),Parametros!$B$71:$B$91,0))</f>
        <v>Cuyo</v>
      </c>
      <c r="I2173" s="61" t="str">
        <f aca="false">IF(TRIM($AD2173)="",INDEX(Parametros!$I$20:$I$24,MATCH($H2173,Parametros!$H$20:$H$24,0)),TRIM($AD2173))</f>
        <v>Mendoza</v>
      </c>
      <c r="J2173" s="61" t="str">
        <f aca="false">INDEX(Parametros!$C$95:$C$106,MATCH(TRIM(INDEX(Datos_Origen!$E$2:$E$2459,$Z2173)),Parametros!$B$95:$B$106,0))</f>
        <v>E-commerce</v>
      </c>
      <c r="K2173" s="61" t="str">
        <f aca="false">INDEX(Parametros!$C$48:$C$67,MATCH(TRIM(INDEX(Datos_Origen!$F$2:$F$2459,$Z2173)),Parametros!$B$48:$B$67,0))</f>
        <v>Accesorios</v>
      </c>
      <c r="L2173" s="61" t="str">
        <f aca="false">$K2173&amp;" "&amp;$C2173</f>
        <v>Accesorios 2025</v>
      </c>
      <c r="M2173" s="61" t="str">
        <f aca="false">TRIM(INDEX(Datos_Origen!$G$2:$G$2459,$Z2173))</f>
        <v>Webcam Full HD</v>
      </c>
      <c r="N2173" s="61" t="str">
        <f aca="false">$M2173&amp;" "&amp;$C2173</f>
        <v>Webcam Full HD 2025</v>
      </c>
      <c r="O2173" s="63" t="n">
        <f aca="false">IF(ISTEXT($AC2173),VALUE($AC2173),$AC2173)</f>
        <v>22</v>
      </c>
      <c r="P2173" s="64" t="n">
        <f aca="false">INDEX(Datos_Origen!$I$2:$I$2459,$Z2173)</f>
        <v>65.26</v>
      </c>
      <c r="Q2173" s="64" t="n">
        <f aca="false">INDEX(Datos_Origen!$J$2:$J$2459,$Z2173)</f>
        <v>36.49</v>
      </c>
      <c r="R2173" s="65" t="n">
        <f aca="false">ROUND($O2173*$P2173,2)</f>
        <v>1435.72</v>
      </c>
      <c r="S2173" s="65" t="n">
        <f aca="false">ROUND($O2173*$Q2173,2)</f>
        <v>802.78</v>
      </c>
      <c r="T2173" s="65" t="n">
        <f aca="false">ROUND($R2173*SUMIFS(Parametros!$E$28:$E$43,Parametros!$B$28:$B$43,$J2173,Parametros!$C$28:$C$43,$C2173,Parametros!$D$28:$D$43,$D2173),2)</f>
        <v>74.66</v>
      </c>
      <c r="U2173" s="65" t="n">
        <f aca="false">$R2173-$S2173-$T2173</f>
        <v>558.28</v>
      </c>
      <c r="V2173" s="66" t="n">
        <f aca="false">IFERROR($U2173/$R2173,0)</f>
        <v>0.38885019363107</v>
      </c>
      <c r="W2173" s="67" t="str">
        <f aca="false">IF(AND($V2173&gt;=Parametros!$C$8,$R2173&gt;=Parametros!$C$12),"Alta rentabilidad",IF(OR($V2173&lt;Parametros!$C$11,$R2173&lt;Parametros!$C$13),"Revisar","Estandar"))</f>
        <v>Estandar</v>
      </c>
      <c r="X2173" s="67" t="str">
        <f aca="false">IF(AND($J2173="E-commerce",IFERROR($T2173/$R2173,0)&gt;Parametros!$C$14),"Alerta","OK")</f>
        <v>Alerta</v>
      </c>
      <c r="Y2173" s="61" t="str">
        <f aca="false">IF($R2173&gt;=Parametros!$C$12,"Alto",IF($R2173&lt;Parametros!$C$13,"Bajo","Medio"))</f>
        <v>Medio</v>
      </c>
      <c r="Z2173" s="61" t="n">
        <v>2254</v>
      </c>
      <c r="AA2173" s="61" t="str">
        <f aca="false">IF(MATCH($A2173,Datos_Origen!$A$2:$A$2459,0)=$Z2173,"OK","REVISAR")</f>
        <v>OK</v>
      </c>
      <c r="AB2173" s="62" t="n">
        <f aca="false">INDEX(Datos_Origen!$B$2:$B$2459,$Z2173)</f>
        <v>45934</v>
      </c>
      <c r="AC2173" s="61" t="n">
        <f aca="false">INDEX(Datos_Origen!$H$2:$H$2459,$Z2173)</f>
        <v>22</v>
      </c>
      <c r="AD2173" s="61" t="str">
        <f aca="false">INDEX(Datos_Origen!$D$2:$D$2459,$Z2173)&amp;""</f>
        <v>Mendoza</v>
      </c>
    </row>
    <row r="2174" customFormat="false" ht="15" hidden="false" customHeight="false" outlineLevel="0" collapsed="false">
      <c r="A2174" s="61" t="n">
        <f aca="false">INDEX(Datos_Origen!$A$2:$A$2459,$Z2174)</f>
        <v>2173</v>
      </c>
      <c r="B2174" s="62" t="n">
        <f aca="false">IF(ISNUMBER($AB2174),$AB2174,IF(MID($AB2174,5,1)="-",DATE(VALUE(LEFT($AB2174,4)),VALUE(MID($AB2174,6,2)),VALUE(RIGHT($AB2174,2))),DATE(VALUE(RIGHT($AB2174,4)),VALUE(MID($AB2174,4,2)),VALUE(LEFT($AB2174,2)))))</f>
        <v>45941</v>
      </c>
      <c r="C2174" s="61" t="n">
        <f aca="false">YEAR($B2174)</f>
        <v>2025</v>
      </c>
      <c r="D2174" s="61" t="str">
        <f aca="false">"Q"&amp;ROUNDUP(MONTH($B2174)/3,0)</f>
        <v>Q4</v>
      </c>
      <c r="E2174" s="61" t="n">
        <f aca="false">MONTH($B2174)</f>
        <v>10</v>
      </c>
      <c r="F2174" s="61" t="str">
        <f aca="false">INDEX(Parametros!$I$5:$I$16,$E2174)</f>
        <v>Oct</v>
      </c>
      <c r="G2174" s="61" t="str">
        <f aca="false">TEXT($C2174,"0000")&amp;"-"&amp;TEXT($E2174,"00")</f>
        <v>2025-10</v>
      </c>
      <c r="H2174" s="61" t="str">
        <f aca="false">INDEX(Parametros!$C$71:$C$91,MATCH(TRIM(INDEX(Datos_Origen!$C$2:$C$2459,$Z2174)),Parametros!$B$71:$B$91,0))</f>
        <v>Cuyo</v>
      </c>
      <c r="I2174" s="61" t="str">
        <f aca="false">IF(TRIM($AD2174)="",INDEX(Parametros!$I$20:$I$24,MATCH($H2174,Parametros!$H$20:$H$24,0)),TRIM($AD2174))</f>
        <v>Mendoza</v>
      </c>
      <c r="J2174" s="61" t="str">
        <f aca="false">INDEX(Parametros!$C$95:$C$106,MATCH(TRIM(INDEX(Datos_Origen!$E$2:$E$2459,$Z2174)),Parametros!$B$95:$B$106,0))</f>
        <v>Tienda fisica</v>
      </c>
      <c r="K2174" s="61" t="str">
        <f aca="false">INDEX(Parametros!$C$48:$C$67,MATCH(TRIM(INDEX(Datos_Origen!$F$2:$F$2459,$Z2174)),Parametros!$B$48:$B$67,0))</f>
        <v>Audio</v>
      </c>
      <c r="L2174" s="61" t="str">
        <f aca="false">$K2174&amp;" "&amp;$C2174</f>
        <v>Audio 2025</v>
      </c>
      <c r="M2174" s="61" t="str">
        <f aca="false">TRIM(INDEX(Datos_Origen!$G$2:$G$2459,$Z2174))</f>
        <v>Auriculares BT Pro</v>
      </c>
      <c r="N2174" s="61" t="str">
        <f aca="false">$M2174&amp;" "&amp;$C2174</f>
        <v>Auriculares BT Pro 2025</v>
      </c>
      <c r="O2174" s="63" t="n">
        <f aca="false">IF(ISTEXT($AC2174),VALUE($AC2174),$AC2174)</f>
        <v>14</v>
      </c>
      <c r="P2174" s="64" t="n">
        <f aca="false">INDEX(Datos_Origen!$I$2:$I$2459,$Z2174)</f>
        <v>120.47</v>
      </c>
      <c r="Q2174" s="64" t="n">
        <f aca="false">INDEX(Datos_Origen!$J$2:$J$2459,$Z2174)</f>
        <v>65.51</v>
      </c>
      <c r="R2174" s="65" t="n">
        <f aca="false">ROUND($O2174*$P2174,2)</f>
        <v>1686.58</v>
      </c>
      <c r="S2174" s="65" t="n">
        <f aca="false">ROUND($O2174*$Q2174,2)</f>
        <v>917.14</v>
      </c>
      <c r="T2174" s="65" t="n">
        <f aca="false">ROUND($R2174*SUMIFS(Parametros!$E$28:$E$43,Parametros!$B$28:$B$43,$J2174,Parametros!$C$28:$C$43,$C2174,Parametros!$D$28:$D$43,$D2174),2)</f>
        <v>21.93</v>
      </c>
      <c r="U2174" s="65" t="n">
        <f aca="false">$R2174-$S2174-$T2174</f>
        <v>747.51</v>
      </c>
      <c r="V2174" s="66" t="n">
        <f aca="false">IFERROR($U2174/$R2174,0)</f>
        <v>0.443210520698692</v>
      </c>
      <c r="W2174" s="67" t="str">
        <f aca="false">IF(AND($V2174&gt;=Parametros!$C$8,$R2174&gt;=Parametros!$C$12),"Alta rentabilidad",IF(OR($V2174&lt;Parametros!$C$11,$R2174&lt;Parametros!$C$13),"Revisar","Estandar"))</f>
        <v>Estandar</v>
      </c>
      <c r="X2174" s="67" t="str">
        <f aca="false">IF(AND($J2174="E-commerce",IFERROR($T2174/$R2174,0)&gt;Parametros!$C$14),"Alerta","OK")</f>
        <v>OK</v>
      </c>
      <c r="Y2174" s="61" t="str">
        <f aca="false">IF($R2174&gt;=Parametros!$C$12,"Alto",IF($R2174&lt;Parametros!$C$13,"Bajo","Medio"))</f>
        <v>Medio</v>
      </c>
      <c r="Z2174" s="61" t="n">
        <v>976</v>
      </c>
      <c r="AA2174" s="61" t="str">
        <f aca="false">IF(MATCH($A2174,Datos_Origen!$A$2:$A$2459,0)=$Z2174,"OK","REVISAR")</f>
        <v>OK</v>
      </c>
      <c r="AB2174" s="62" t="n">
        <f aca="false">INDEX(Datos_Origen!$B$2:$B$2459,$Z2174)</f>
        <v>45941</v>
      </c>
      <c r="AC2174" s="61" t="n">
        <f aca="false">INDEX(Datos_Origen!$H$2:$H$2459,$Z2174)</f>
        <v>14</v>
      </c>
      <c r="AD2174" s="61" t="str">
        <f aca="false">INDEX(Datos_Origen!$D$2:$D$2459,$Z2174)&amp;""</f>
        <v/>
      </c>
    </row>
    <row r="2175" customFormat="false" ht="15" hidden="false" customHeight="false" outlineLevel="0" collapsed="false">
      <c r="A2175" s="61" t="n">
        <f aca="false">INDEX(Datos_Origen!$A$2:$A$2459,$Z2175)</f>
        <v>2174</v>
      </c>
      <c r="B2175" s="62" t="n">
        <f aca="false">IF(ISNUMBER($AB2175),$AB2175,IF(MID($AB2175,5,1)="-",DATE(VALUE(LEFT($AB2175,4)),VALUE(MID($AB2175,6,2)),VALUE(RIGHT($AB2175,2))),DATE(VALUE(RIGHT($AB2175,4)),VALUE(MID($AB2175,4,2)),VALUE(LEFT($AB2175,2)))))</f>
        <v>45948</v>
      </c>
      <c r="C2175" s="61" t="n">
        <f aca="false">YEAR($B2175)</f>
        <v>2025</v>
      </c>
      <c r="D2175" s="61" t="str">
        <f aca="false">"Q"&amp;ROUNDUP(MONTH($B2175)/3,0)</f>
        <v>Q4</v>
      </c>
      <c r="E2175" s="61" t="n">
        <f aca="false">MONTH($B2175)</f>
        <v>10</v>
      </c>
      <c r="F2175" s="61" t="str">
        <f aca="false">INDEX(Parametros!$I$5:$I$16,$E2175)</f>
        <v>Oct</v>
      </c>
      <c r="G2175" s="61" t="str">
        <f aca="false">TEXT($C2175,"0000")&amp;"-"&amp;TEXT($E2175,"00")</f>
        <v>2025-10</v>
      </c>
      <c r="H2175" s="61" t="str">
        <f aca="false">INDEX(Parametros!$C$71:$C$91,MATCH(TRIM(INDEX(Datos_Origen!$C$2:$C$2459,$Z2175)),Parametros!$B$71:$B$91,0))</f>
        <v>Cuyo</v>
      </c>
      <c r="I2175" s="61" t="str">
        <f aca="false">IF(TRIM($AD2175)="",INDEX(Parametros!$I$20:$I$24,MATCH($H2175,Parametros!$H$20:$H$24,0)),TRIM($AD2175))</f>
        <v>Mendoza</v>
      </c>
      <c r="J2175" s="61" t="str">
        <f aca="false">INDEX(Parametros!$C$95:$C$106,MATCH(TRIM(INDEX(Datos_Origen!$E$2:$E$2459,$Z2175)),Parametros!$B$95:$B$106,0))</f>
        <v>E-commerce</v>
      </c>
      <c r="K2175" s="61" t="str">
        <f aca="false">INDEX(Parametros!$C$48:$C$67,MATCH(TRIM(INDEX(Datos_Origen!$F$2:$F$2459,$Z2175)),Parametros!$B$48:$B$67,0))</f>
        <v>Audio</v>
      </c>
      <c r="L2175" s="61" t="str">
        <f aca="false">$K2175&amp;" "&amp;$C2175</f>
        <v>Audio 2025</v>
      </c>
      <c r="M2175" s="61" t="str">
        <f aca="false">TRIM(INDEX(Datos_Origen!$G$2:$G$2459,$Z2175))</f>
        <v>Auriculares BT Pro</v>
      </c>
      <c r="N2175" s="61" t="str">
        <f aca="false">$M2175&amp;" "&amp;$C2175</f>
        <v>Auriculares BT Pro 2025</v>
      </c>
      <c r="O2175" s="63" t="n">
        <f aca="false">IF(ISTEXT($AC2175),VALUE($AC2175),$AC2175)</f>
        <v>9</v>
      </c>
      <c r="P2175" s="64" t="n">
        <f aca="false">INDEX(Datos_Origen!$I$2:$I$2459,$Z2175)</f>
        <v>120.47</v>
      </c>
      <c r="Q2175" s="64" t="n">
        <f aca="false">INDEX(Datos_Origen!$J$2:$J$2459,$Z2175)</f>
        <v>65.51</v>
      </c>
      <c r="R2175" s="65" t="n">
        <f aca="false">ROUND($O2175*$P2175,2)</f>
        <v>1084.23</v>
      </c>
      <c r="S2175" s="65" t="n">
        <f aca="false">ROUND($O2175*$Q2175,2)</f>
        <v>589.59</v>
      </c>
      <c r="T2175" s="65" t="n">
        <f aca="false">ROUND($R2175*SUMIFS(Parametros!$E$28:$E$43,Parametros!$B$28:$B$43,$J2175,Parametros!$C$28:$C$43,$C2175,Parametros!$D$28:$D$43,$D2175),2)</f>
        <v>56.38</v>
      </c>
      <c r="U2175" s="65" t="n">
        <f aca="false">$R2175-$S2175-$T2175</f>
        <v>438.26</v>
      </c>
      <c r="V2175" s="66" t="n">
        <f aca="false">IFERROR($U2175/$R2175,0)</f>
        <v>0.404213128210804</v>
      </c>
      <c r="W2175" s="67" t="str">
        <f aca="false">IF(AND($V2175&gt;=Parametros!$C$8,$R2175&gt;=Parametros!$C$12),"Alta rentabilidad",IF(OR($V2175&lt;Parametros!$C$11,$R2175&lt;Parametros!$C$13),"Revisar","Estandar"))</f>
        <v>Estandar</v>
      </c>
      <c r="X2175" s="67" t="str">
        <f aca="false">IF(AND($J2175="E-commerce",IFERROR($T2175/$R2175,0)&gt;Parametros!$C$14),"Alerta","OK")</f>
        <v>Alerta</v>
      </c>
      <c r="Y2175" s="61" t="str">
        <f aca="false">IF($R2175&gt;=Parametros!$C$12,"Alto",IF($R2175&lt;Parametros!$C$13,"Bajo","Medio"))</f>
        <v>Medio</v>
      </c>
      <c r="Z2175" s="61" t="n">
        <v>1871</v>
      </c>
      <c r="AA2175" s="61" t="str">
        <f aca="false">IF(MATCH($A2175,Datos_Origen!$A$2:$A$2459,0)=$Z2175,"OK","REVISAR")</f>
        <v>OK</v>
      </c>
      <c r="AB2175" s="61" t="str">
        <f aca="false">INDEX(Datos_Origen!$B$2:$B$2459,$Z2175)</f>
        <v>18/10/2025</v>
      </c>
      <c r="AC2175" s="61" t="str">
        <f aca="false">INDEX(Datos_Origen!$H$2:$H$2459,$Z2175)</f>
        <v>9</v>
      </c>
      <c r="AD2175" s="61" t="str">
        <f aca="false">INDEX(Datos_Origen!$D$2:$D$2459,$Z2175)&amp;""</f>
        <v>Mendoza</v>
      </c>
    </row>
    <row r="2176" customFormat="false" ht="15" hidden="false" customHeight="false" outlineLevel="0" collapsed="false">
      <c r="A2176" s="61" t="n">
        <f aca="false">INDEX(Datos_Origen!$A$2:$A$2459,$Z2176)</f>
        <v>2175</v>
      </c>
      <c r="B2176" s="62" t="n">
        <f aca="false">IF(ISNUMBER($AB2176),$AB2176,IF(MID($AB2176,5,1)="-",DATE(VALUE(LEFT($AB2176,4)),VALUE(MID($AB2176,6,2)),VALUE(RIGHT($AB2176,2))),DATE(VALUE(RIGHT($AB2176,4)),VALUE(MID($AB2176,4,2)),VALUE(LEFT($AB2176,2)))))</f>
        <v>45955</v>
      </c>
      <c r="C2176" s="61" t="n">
        <f aca="false">YEAR($B2176)</f>
        <v>2025</v>
      </c>
      <c r="D2176" s="61" t="str">
        <f aca="false">"Q"&amp;ROUNDUP(MONTH($B2176)/3,0)</f>
        <v>Q4</v>
      </c>
      <c r="E2176" s="61" t="n">
        <f aca="false">MONTH($B2176)</f>
        <v>10</v>
      </c>
      <c r="F2176" s="61" t="str">
        <f aca="false">INDEX(Parametros!$I$5:$I$16,$E2176)</f>
        <v>Oct</v>
      </c>
      <c r="G2176" s="61" t="str">
        <f aca="false">TEXT($C2176,"0000")&amp;"-"&amp;TEXT($E2176,"00")</f>
        <v>2025-10</v>
      </c>
      <c r="H2176" s="61" t="str">
        <f aca="false">INDEX(Parametros!$C$71:$C$91,MATCH(TRIM(INDEX(Datos_Origen!$C$2:$C$2459,$Z2176)),Parametros!$B$71:$B$91,0))</f>
        <v>Cuyo</v>
      </c>
      <c r="I2176" s="61" t="str">
        <f aca="false">IF(TRIM($AD2176)="",INDEX(Parametros!$I$20:$I$24,MATCH($H2176,Parametros!$H$20:$H$24,0)),TRIM($AD2176))</f>
        <v>Mendoza</v>
      </c>
      <c r="J2176" s="61" t="str">
        <f aca="false">INDEX(Parametros!$C$95:$C$106,MATCH(TRIM(INDEX(Datos_Origen!$E$2:$E$2459,$Z2176)),Parametros!$B$95:$B$106,0))</f>
        <v>Tienda fisica</v>
      </c>
      <c r="K2176" s="61" t="str">
        <f aca="false">INDEX(Parametros!$C$48:$C$67,MATCH(TRIM(INDEX(Datos_Origen!$F$2:$F$2459,$Z2176)),Parametros!$B$48:$B$67,0))</f>
        <v>Audio</v>
      </c>
      <c r="L2176" s="61" t="str">
        <f aca="false">$K2176&amp;" "&amp;$C2176</f>
        <v>Audio 2025</v>
      </c>
      <c r="M2176" s="61" t="str">
        <f aca="false">TRIM(INDEX(Datos_Origen!$G$2:$G$2459,$Z2176))</f>
        <v>Parlante Bluetooth</v>
      </c>
      <c r="N2176" s="61" t="str">
        <f aca="false">$M2176&amp;" "&amp;$C2176</f>
        <v>Parlante Bluetooth 2025</v>
      </c>
      <c r="O2176" s="63" t="n">
        <f aca="false">IF(ISTEXT($AC2176),VALUE($AC2176),$AC2176)</f>
        <v>15</v>
      </c>
      <c r="P2176" s="64" t="n">
        <f aca="false">INDEX(Datos_Origen!$I$2:$I$2459,$Z2176)</f>
        <v>85.34</v>
      </c>
      <c r="Q2176" s="64" t="n">
        <f aca="false">INDEX(Datos_Origen!$J$2:$J$2459,$Z2176)</f>
        <v>49.47</v>
      </c>
      <c r="R2176" s="65" t="n">
        <f aca="false">ROUND($O2176*$P2176,2)</f>
        <v>1280.1</v>
      </c>
      <c r="S2176" s="65" t="n">
        <f aca="false">ROUND($O2176*$Q2176,2)</f>
        <v>742.05</v>
      </c>
      <c r="T2176" s="65" t="n">
        <f aca="false">ROUND($R2176*SUMIFS(Parametros!$E$28:$E$43,Parametros!$B$28:$B$43,$J2176,Parametros!$C$28:$C$43,$C2176,Parametros!$D$28:$D$43,$D2176),2)</f>
        <v>16.64</v>
      </c>
      <c r="U2176" s="65" t="n">
        <f aca="false">$R2176-$S2176-$T2176</f>
        <v>521.41</v>
      </c>
      <c r="V2176" s="66" t="n">
        <f aca="false">IFERROR($U2176/$R2176,0)</f>
        <v>0.407319740645262</v>
      </c>
      <c r="W2176" s="67" t="str">
        <f aca="false">IF(AND($V2176&gt;=Parametros!$C$8,$R2176&gt;=Parametros!$C$12),"Alta rentabilidad",IF(OR($V2176&lt;Parametros!$C$11,$R2176&lt;Parametros!$C$13),"Revisar","Estandar"))</f>
        <v>Estandar</v>
      </c>
      <c r="X2176" s="67" t="str">
        <f aca="false">IF(AND($J2176="E-commerce",IFERROR($T2176/$R2176,0)&gt;Parametros!$C$14),"Alerta","OK")</f>
        <v>OK</v>
      </c>
      <c r="Y2176" s="61" t="str">
        <f aca="false">IF($R2176&gt;=Parametros!$C$12,"Alto",IF($R2176&lt;Parametros!$C$13,"Bajo","Medio"))</f>
        <v>Medio</v>
      </c>
      <c r="Z2176" s="61" t="n">
        <v>859</v>
      </c>
      <c r="AA2176" s="61" t="str">
        <f aca="false">IF(MATCH($A2176,Datos_Origen!$A$2:$A$2459,0)=$Z2176,"OK","REVISAR")</f>
        <v>OK</v>
      </c>
      <c r="AB2176" s="61" t="str">
        <f aca="false">INDEX(Datos_Origen!$B$2:$B$2459,$Z2176)</f>
        <v>25/10/2025</v>
      </c>
      <c r="AC2176" s="61" t="n">
        <f aca="false">INDEX(Datos_Origen!$H$2:$H$2459,$Z2176)</f>
        <v>15</v>
      </c>
      <c r="AD2176" s="61" t="str">
        <f aca="false">INDEX(Datos_Origen!$D$2:$D$2459,$Z2176)&amp;""</f>
        <v>Mendoza</v>
      </c>
    </row>
    <row r="2177" customFormat="false" ht="15" hidden="false" customHeight="false" outlineLevel="0" collapsed="false">
      <c r="A2177" s="61" t="n">
        <f aca="false">INDEX(Datos_Origen!$A$2:$A$2459,$Z2177)</f>
        <v>2176</v>
      </c>
      <c r="B2177" s="62" t="n">
        <f aca="false">IF(ISNUMBER($AB2177),$AB2177,IF(MID($AB2177,5,1)="-",DATE(VALUE(LEFT($AB2177,4)),VALUE(MID($AB2177,6,2)),VALUE(RIGHT($AB2177,2))),DATE(VALUE(RIGHT($AB2177,4)),VALUE(MID($AB2177,4,2)),VALUE(LEFT($AB2177,2)))))</f>
        <v>45935</v>
      </c>
      <c r="C2177" s="61" t="n">
        <f aca="false">YEAR($B2177)</f>
        <v>2025</v>
      </c>
      <c r="D2177" s="61" t="str">
        <f aca="false">"Q"&amp;ROUNDUP(MONTH($B2177)/3,0)</f>
        <v>Q4</v>
      </c>
      <c r="E2177" s="61" t="n">
        <f aca="false">MONTH($B2177)</f>
        <v>10</v>
      </c>
      <c r="F2177" s="61" t="str">
        <f aca="false">INDEX(Parametros!$I$5:$I$16,$E2177)</f>
        <v>Oct</v>
      </c>
      <c r="G2177" s="61" t="str">
        <f aca="false">TEXT($C2177,"0000")&amp;"-"&amp;TEXT($E2177,"00")</f>
        <v>2025-10</v>
      </c>
      <c r="H2177" s="61" t="str">
        <f aca="false">INDEX(Parametros!$C$71:$C$91,MATCH(TRIM(INDEX(Datos_Origen!$C$2:$C$2459,$Z2177)),Parametros!$B$71:$B$91,0))</f>
        <v>Cuyo</v>
      </c>
      <c r="I2177" s="61" t="str">
        <f aca="false">IF(TRIM($AD2177)="",INDEX(Parametros!$I$20:$I$24,MATCH($H2177,Parametros!$H$20:$H$24,0)),TRIM($AD2177))</f>
        <v>Mendoza</v>
      </c>
      <c r="J2177" s="61" t="str">
        <f aca="false">INDEX(Parametros!$C$95:$C$106,MATCH(TRIM(INDEX(Datos_Origen!$E$2:$E$2459,$Z2177)),Parametros!$B$95:$B$106,0))</f>
        <v>E-commerce</v>
      </c>
      <c r="K2177" s="61" t="str">
        <f aca="false">INDEX(Parametros!$C$48:$C$67,MATCH(TRIM(INDEX(Datos_Origen!$F$2:$F$2459,$Z2177)),Parametros!$B$48:$B$67,0))</f>
        <v>Audio</v>
      </c>
      <c r="L2177" s="61" t="str">
        <f aca="false">$K2177&amp;" "&amp;$C2177</f>
        <v>Audio 2025</v>
      </c>
      <c r="M2177" s="61" t="str">
        <f aca="false">TRIM(INDEX(Datos_Origen!$G$2:$G$2459,$Z2177))</f>
        <v>Parlante Bluetooth</v>
      </c>
      <c r="N2177" s="61" t="str">
        <f aca="false">$M2177&amp;" "&amp;$C2177</f>
        <v>Parlante Bluetooth 2025</v>
      </c>
      <c r="O2177" s="63" t="n">
        <f aca="false">IF(ISTEXT($AC2177),VALUE($AC2177),$AC2177)</f>
        <v>9</v>
      </c>
      <c r="P2177" s="64" t="n">
        <f aca="false">INDEX(Datos_Origen!$I$2:$I$2459,$Z2177)</f>
        <v>85.34</v>
      </c>
      <c r="Q2177" s="64" t="n">
        <f aca="false">INDEX(Datos_Origen!$J$2:$J$2459,$Z2177)</f>
        <v>49.47</v>
      </c>
      <c r="R2177" s="65" t="n">
        <f aca="false">ROUND($O2177*$P2177,2)</f>
        <v>768.06</v>
      </c>
      <c r="S2177" s="65" t="n">
        <f aca="false">ROUND($O2177*$Q2177,2)</f>
        <v>445.23</v>
      </c>
      <c r="T2177" s="65" t="n">
        <f aca="false">ROUND($R2177*SUMIFS(Parametros!$E$28:$E$43,Parametros!$B$28:$B$43,$J2177,Parametros!$C$28:$C$43,$C2177,Parametros!$D$28:$D$43,$D2177),2)</f>
        <v>39.94</v>
      </c>
      <c r="U2177" s="65" t="n">
        <f aca="false">$R2177-$S2177-$T2177</f>
        <v>282.89</v>
      </c>
      <c r="V2177" s="66" t="n">
        <f aca="false">IFERROR($U2177/$R2177,0)</f>
        <v>0.368317579355779</v>
      </c>
      <c r="W2177" s="67" t="str">
        <f aca="false">IF(AND($V2177&gt;=Parametros!$C$8,$R2177&gt;=Parametros!$C$12),"Alta rentabilidad",IF(OR($V2177&lt;Parametros!$C$11,$R2177&lt;Parametros!$C$13),"Revisar","Estandar"))</f>
        <v>Estandar</v>
      </c>
      <c r="X2177" s="67" t="str">
        <f aca="false">IF(AND($J2177="E-commerce",IFERROR($T2177/$R2177,0)&gt;Parametros!$C$14),"Alerta","OK")</f>
        <v>Alerta</v>
      </c>
      <c r="Y2177" s="61" t="str">
        <f aca="false">IF($R2177&gt;=Parametros!$C$12,"Alto",IF($R2177&lt;Parametros!$C$13,"Bajo","Medio"))</f>
        <v>Medio</v>
      </c>
      <c r="Z2177" s="61" t="n">
        <v>2299</v>
      </c>
      <c r="AA2177" s="61" t="str">
        <f aca="false">IF(MATCH($A2177,Datos_Origen!$A$2:$A$2459,0)=$Z2177,"OK","REVISAR")</f>
        <v>OK</v>
      </c>
      <c r="AB2177" s="61" t="str">
        <f aca="false">INDEX(Datos_Origen!$B$2:$B$2459,$Z2177)</f>
        <v>2025-10-05</v>
      </c>
      <c r="AC2177" s="61" t="n">
        <f aca="false">INDEX(Datos_Origen!$H$2:$H$2459,$Z2177)</f>
        <v>9</v>
      </c>
      <c r="AD2177" s="61" t="str">
        <f aca="false">INDEX(Datos_Origen!$D$2:$D$2459,$Z2177)&amp;""</f>
        <v>Mendoza</v>
      </c>
    </row>
    <row r="2178" customFormat="false" ht="15" hidden="false" customHeight="false" outlineLevel="0" collapsed="false">
      <c r="A2178" s="61" t="n">
        <f aca="false">INDEX(Datos_Origen!$A$2:$A$2459,$Z2178)</f>
        <v>2177</v>
      </c>
      <c r="B2178" s="62" t="n">
        <f aca="false">IF(ISNUMBER($AB2178),$AB2178,IF(MID($AB2178,5,1)="-",DATE(VALUE(LEFT($AB2178,4)),VALUE(MID($AB2178,6,2)),VALUE(RIGHT($AB2178,2))),DATE(VALUE(RIGHT($AB2178,4)),VALUE(MID($AB2178,4,2)),VALUE(LEFT($AB2178,2)))))</f>
        <v>45942</v>
      </c>
      <c r="C2178" s="61" t="n">
        <f aca="false">YEAR($B2178)</f>
        <v>2025</v>
      </c>
      <c r="D2178" s="61" t="str">
        <f aca="false">"Q"&amp;ROUNDUP(MONTH($B2178)/3,0)</f>
        <v>Q4</v>
      </c>
      <c r="E2178" s="61" t="n">
        <f aca="false">MONTH($B2178)</f>
        <v>10</v>
      </c>
      <c r="F2178" s="61" t="str">
        <f aca="false">INDEX(Parametros!$I$5:$I$16,$E2178)</f>
        <v>Oct</v>
      </c>
      <c r="G2178" s="61" t="str">
        <f aca="false">TEXT($C2178,"0000")&amp;"-"&amp;TEXT($E2178,"00")</f>
        <v>2025-10</v>
      </c>
      <c r="H2178" s="61" t="str">
        <f aca="false">INDEX(Parametros!$C$71:$C$91,MATCH(TRIM(INDEX(Datos_Origen!$C$2:$C$2459,$Z2178)),Parametros!$B$71:$B$91,0))</f>
        <v>Cuyo</v>
      </c>
      <c r="I2178" s="61" t="str">
        <f aca="false">IF(TRIM($AD2178)="",INDEX(Parametros!$I$20:$I$24,MATCH($H2178,Parametros!$H$20:$H$24,0)),TRIM($AD2178))</f>
        <v>Mendoza</v>
      </c>
      <c r="J2178" s="61" t="str">
        <f aca="false">INDEX(Parametros!$C$95:$C$106,MATCH(TRIM(INDEX(Datos_Origen!$E$2:$E$2459,$Z2178)),Parametros!$B$95:$B$106,0))</f>
        <v>Tienda fisica</v>
      </c>
      <c r="K2178" s="61" t="str">
        <f aca="false">INDEX(Parametros!$C$48:$C$67,MATCH(TRIM(INDEX(Datos_Origen!$F$2:$F$2459,$Z2178)),Parametros!$B$48:$B$67,0))</f>
        <v>Almacenamiento</v>
      </c>
      <c r="L2178" s="61" t="str">
        <f aca="false">$K2178&amp;" "&amp;$C2178</f>
        <v>Almacenamiento 2025</v>
      </c>
      <c r="M2178" s="61" t="str">
        <f aca="false">TRIM(INDEX(Datos_Origen!$G$2:$G$2459,$Z2178))</f>
        <v>SSD Externo 1TB</v>
      </c>
      <c r="N2178" s="61" t="str">
        <f aca="false">$M2178&amp;" "&amp;$C2178</f>
        <v>SSD Externo 1TB 2025</v>
      </c>
      <c r="O2178" s="63" t="n">
        <f aca="false">IF(ISTEXT($AC2178),VALUE($AC2178),$AC2178)</f>
        <v>18</v>
      </c>
      <c r="P2178" s="64" t="n">
        <f aca="false">INDEX(Datos_Origen!$I$2:$I$2459,$Z2178)</f>
        <v>130.51</v>
      </c>
      <c r="Q2178" s="64" t="n">
        <f aca="false">INDEX(Datos_Origen!$J$2:$J$2459,$Z2178)</f>
        <v>78.33</v>
      </c>
      <c r="R2178" s="65" t="n">
        <f aca="false">ROUND($O2178*$P2178,2)</f>
        <v>2349.18</v>
      </c>
      <c r="S2178" s="65" t="n">
        <f aca="false">ROUND($O2178*$Q2178,2)</f>
        <v>1409.94</v>
      </c>
      <c r="T2178" s="65" t="n">
        <f aca="false">ROUND($R2178*SUMIFS(Parametros!$E$28:$E$43,Parametros!$B$28:$B$43,$J2178,Parametros!$C$28:$C$43,$C2178,Parametros!$D$28:$D$43,$D2178),2)</f>
        <v>30.54</v>
      </c>
      <c r="U2178" s="65" t="n">
        <f aca="false">$R2178-$S2178-$T2178</f>
        <v>908.7</v>
      </c>
      <c r="V2178" s="66" t="n">
        <f aca="false">IFERROR($U2178/$R2178,0)</f>
        <v>0.386815825096417</v>
      </c>
      <c r="W2178" s="67" t="str">
        <f aca="false">IF(AND($V2178&gt;=Parametros!$C$8,$R2178&gt;=Parametros!$C$12),"Alta rentabilidad",IF(OR($V2178&lt;Parametros!$C$11,$R2178&lt;Parametros!$C$13),"Revisar","Estandar"))</f>
        <v>Estandar</v>
      </c>
      <c r="X2178" s="67" t="str">
        <f aca="false">IF(AND($J2178="E-commerce",IFERROR($T2178/$R2178,0)&gt;Parametros!$C$14),"Alerta","OK")</f>
        <v>OK</v>
      </c>
      <c r="Y2178" s="61" t="str">
        <f aca="false">IF($R2178&gt;=Parametros!$C$12,"Alto",IF($R2178&lt;Parametros!$C$13,"Bajo","Medio"))</f>
        <v>Medio</v>
      </c>
      <c r="Z2178" s="61" t="n">
        <v>1545</v>
      </c>
      <c r="AA2178" s="61" t="str">
        <f aca="false">IF(MATCH($A2178,Datos_Origen!$A$2:$A$2459,0)=$Z2178,"OK","REVISAR")</f>
        <v>OK</v>
      </c>
      <c r="AB2178" s="62" t="n">
        <f aca="false">INDEX(Datos_Origen!$B$2:$B$2459,$Z2178)</f>
        <v>45942</v>
      </c>
      <c r="AC2178" s="61" t="n">
        <f aca="false">INDEX(Datos_Origen!$H$2:$H$2459,$Z2178)</f>
        <v>18</v>
      </c>
      <c r="AD2178" s="61" t="str">
        <f aca="false">INDEX(Datos_Origen!$D$2:$D$2459,$Z2178)&amp;""</f>
        <v>Mendoza</v>
      </c>
    </row>
    <row r="2179" customFormat="false" ht="15" hidden="false" customHeight="false" outlineLevel="0" collapsed="false">
      <c r="A2179" s="61" t="n">
        <f aca="false">INDEX(Datos_Origen!$A$2:$A$2459,$Z2179)</f>
        <v>2178</v>
      </c>
      <c r="B2179" s="62" t="n">
        <f aca="false">IF(ISNUMBER($AB2179),$AB2179,IF(MID($AB2179,5,1)="-",DATE(VALUE(LEFT($AB2179,4)),VALUE(MID($AB2179,6,2)),VALUE(RIGHT($AB2179,2))),DATE(VALUE(RIGHT($AB2179,4)),VALUE(MID($AB2179,4,2)),VALUE(LEFT($AB2179,2)))))</f>
        <v>45949</v>
      </c>
      <c r="C2179" s="61" t="n">
        <f aca="false">YEAR($B2179)</f>
        <v>2025</v>
      </c>
      <c r="D2179" s="61" t="str">
        <f aca="false">"Q"&amp;ROUNDUP(MONTH($B2179)/3,0)</f>
        <v>Q4</v>
      </c>
      <c r="E2179" s="61" t="n">
        <f aca="false">MONTH($B2179)</f>
        <v>10</v>
      </c>
      <c r="F2179" s="61" t="str">
        <f aca="false">INDEX(Parametros!$I$5:$I$16,$E2179)</f>
        <v>Oct</v>
      </c>
      <c r="G2179" s="61" t="str">
        <f aca="false">TEXT($C2179,"0000")&amp;"-"&amp;TEXT($E2179,"00")</f>
        <v>2025-10</v>
      </c>
      <c r="H2179" s="61" t="str">
        <f aca="false">INDEX(Parametros!$C$71:$C$91,MATCH(TRIM(INDEX(Datos_Origen!$C$2:$C$2459,$Z2179)),Parametros!$B$71:$B$91,0))</f>
        <v>Cuyo</v>
      </c>
      <c r="I2179" s="61" t="str">
        <f aca="false">IF(TRIM($AD2179)="",INDEX(Parametros!$I$20:$I$24,MATCH($H2179,Parametros!$H$20:$H$24,0)),TRIM($AD2179))</f>
        <v>Mendoza</v>
      </c>
      <c r="J2179" s="61" t="str">
        <f aca="false">INDEX(Parametros!$C$95:$C$106,MATCH(TRIM(INDEX(Datos_Origen!$E$2:$E$2459,$Z2179)),Parametros!$B$95:$B$106,0))</f>
        <v>E-commerce</v>
      </c>
      <c r="K2179" s="61" t="str">
        <f aca="false">INDEX(Parametros!$C$48:$C$67,MATCH(TRIM(INDEX(Datos_Origen!$F$2:$F$2459,$Z2179)),Parametros!$B$48:$B$67,0))</f>
        <v>Almacenamiento</v>
      </c>
      <c r="L2179" s="61" t="str">
        <f aca="false">$K2179&amp;" "&amp;$C2179</f>
        <v>Almacenamiento 2025</v>
      </c>
      <c r="M2179" s="61" t="str">
        <f aca="false">TRIM(INDEX(Datos_Origen!$G$2:$G$2459,$Z2179))</f>
        <v>SSD Externo 1TB</v>
      </c>
      <c r="N2179" s="61" t="str">
        <f aca="false">$M2179&amp;" "&amp;$C2179</f>
        <v>SSD Externo 1TB 2025</v>
      </c>
      <c r="O2179" s="63" t="n">
        <f aca="false">IF(ISTEXT($AC2179),VALUE($AC2179),$AC2179)</f>
        <v>13</v>
      </c>
      <c r="P2179" s="64" t="n">
        <f aca="false">INDEX(Datos_Origen!$I$2:$I$2459,$Z2179)</f>
        <v>130.51</v>
      </c>
      <c r="Q2179" s="64" t="n">
        <f aca="false">INDEX(Datos_Origen!$J$2:$J$2459,$Z2179)</f>
        <v>78.33</v>
      </c>
      <c r="R2179" s="65" t="n">
        <f aca="false">ROUND($O2179*$P2179,2)</f>
        <v>1696.63</v>
      </c>
      <c r="S2179" s="65" t="n">
        <f aca="false">ROUND($O2179*$Q2179,2)</f>
        <v>1018.29</v>
      </c>
      <c r="T2179" s="65" t="n">
        <f aca="false">ROUND($R2179*SUMIFS(Parametros!$E$28:$E$43,Parametros!$B$28:$B$43,$J2179,Parametros!$C$28:$C$43,$C2179,Parametros!$D$28:$D$43,$D2179),2)</f>
        <v>88.22</v>
      </c>
      <c r="U2179" s="65" t="n">
        <f aca="false">$R2179-$S2179-$T2179</f>
        <v>590.12</v>
      </c>
      <c r="V2179" s="66" t="n">
        <f aca="false">IFERROR($U2179/$R2179,0)</f>
        <v>0.347818911607127</v>
      </c>
      <c r="W2179" s="67" t="str">
        <f aca="false">IF(AND($V2179&gt;=Parametros!$C$8,$R2179&gt;=Parametros!$C$12),"Alta rentabilidad",IF(OR($V2179&lt;Parametros!$C$11,$R2179&lt;Parametros!$C$13),"Revisar","Estandar"))</f>
        <v>Estandar</v>
      </c>
      <c r="X2179" s="67" t="str">
        <f aca="false">IF(AND($J2179="E-commerce",IFERROR($T2179/$R2179,0)&gt;Parametros!$C$14),"Alerta","OK")</f>
        <v>Alerta</v>
      </c>
      <c r="Y2179" s="61" t="str">
        <f aca="false">IF($R2179&gt;=Parametros!$C$12,"Alto",IF($R2179&lt;Parametros!$C$13,"Bajo","Medio"))</f>
        <v>Medio</v>
      </c>
      <c r="Z2179" s="61" t="n">
        <v>1948</v>
      </c>
      <c r="AA2179" s="61" t="str">
        <f aca="false">IF(MATCH($A2179,Datos_Origen!$A$2:$A$2459,0)=$Z2179,"OK","REVISAR")</f>
        <v>OK</v>
      </c>
      <c r="AB2179" s="62" t="n">
        <f aca="false">INDEX(Datos_Origen!$B$2:$B$2459,$Z2179)</f>
        <v>45949</v>
      </c>
      <c r="AC2179" s="61" t="n">
        <f aca="false">INDEX(Datos_Origen!$H$2:$H$2459,$Z2179)</f>
        <v>13</v>
      </c>
      <c r="AD2179" s="61" t="str">
        <f aca="false">INDEX(Datos_Origen!$D$2:$D$2459,$Z2179)&amp;""</f>
        <v>Mendoza</v>
      </c>
    </row>
    <row r="2180" customFormat="false" ht="15" hidden="false" customHeight="false" outlineLevel="0" collapsed="false">
      <c r="A2180" s="61" t="n">
        <f aca="false">INDEX(Datos_Origen!$A$2:$A$2459,$Z2180)</f>
        <v>2179</v>
      </c>
      <c r="B2180" s="62" t="n">
        <f aca="false">IF(ISNUMBER($AB2180),$AB2180,IF(MID($AB2180,5,1)="-",DATE(VALUE(LEFT($AB2180,4)),VALUE(MID($AB2180,6,2)),VALUE(RIGHT($AB2180,2))),DATE(VALUE(RIGHT($AB2180,4)),VALUE(MID($AB2180,4,2)),VALUE(LEFT($AB2180,2)))))</f>
        <v>45956</v>
      </c>
      <c r="C2180" s="61" t="n">
        <f aca="false">YEAR($B2180)</f>
        <v>2025</v>
      </c>
      <c r="D2180" s="61" t="str">
        <f aca="false">"Q"&amp;ROUNDUP(MONTH($B2180)/3,0)</f>
        <v>Q4</v>
      </c>
      <c r="E2180" s="61" t="n">
        <f aca="false">MONTH($B2180)</f>
        <v>10</v>
      </c>
      <c r="F2180" s="61" t="str">
        <f aca="false">INDEX(Parametros!$I$5:$I$16,$E2180)</f>
        <v>Oct</v>
      </c>
      <c r="G2180" s="61" t="str">
        <f aca="false">TEXT($C2180,"0000")&amp;"-"&amp;TEXT($E2180,"00")</f>
        <v>2025-10</v>
      </c>
      <c r="H2180" s="61" t="str">
        <f aca="false">INDEX(Parametros!$C$71:$C$91,MATCH(TRIM(INDEX(Datos_Origen!$C$2:$C$2459,$Z2180)),Parametros!$B$71:$B$91,0))</f>
        <v>Cuyo</v>
      </c>
      <c r="I2180" s="61" t="str">
        <f aca="false">IF(TRIM($AD2180)="",INDEX(Parametros!$I$20:$I$24,MATCH($H2180,Parametros!$H$20:$H$24,0)),TRIM($AD2180))</f>
        <v>Mendoza</v>
      </c>
      <c r="J2180" s="61" t="str">
        <f aca="false">INDEX(Parametros!$C$95:$C$106,MATCH(TRIM(INDEX(Datos_Origen!$E$2:$E$2459,$Z2180)),Parametros!$B$95:$B$106,0))</f>
        <v>Tienda fisica</v>
      </c>
      <c r="K2180" s="61" t="str">
        <f aca="false">INDEX(Parametros!$C$48:$C$67,MATCH(TRIM(INDEX(Datos_Origen!$F$2:$F$2459,$Z2180)),Parametros!$B$48:$B$67,0))</f>
        <v>Almacenamiento</v>
      </c>
      <c r="L2180" s="61" t="str">
        <f aca="false">$K2180&amp;" "&amp;$C2180</f>
        <v>Almacenamiento 2025</v>
      </c>
      <c r="M2180" s="61" t="str">
        <f aca="false">TRIM(INDEX(Datos_Origen!$G$2:$G$2459,$Z2180))</f>
        <v>Pendrive 256GB</v>
      </c>
      <c r="N2180" s="61" t="str">
        <f aca="false">$M2180&amp;" "&amp;$C2180</f>
        <v>Pendrive 256GB 2025</v>
      </c>
      <c r="O2180" s="63" t="n">
        <f aca="false">IF(ISTEXT($AC2180),VALUE($AC2180),$AC2180)</f>
        <v>19</v>
      </c>
      <c r="P2180" s="64" t="n">
        <f aca="false">INDEX(Datos_Origen!$I$2:$I$2459,$Z2180)</f>
        <v>35.14</v>
      </c>
      <c r="Q2180" s="64" t="n">
        <f aca="false">INDEX(Datos_Origen!$J$2:$J$2459,$Z2180)</f>
        <v>18.39</v>
      </c>
      <c r="R2180" s="65" t="n">
        <f aca="false">ROUND($O2180*$P2180,2)</f>
        <v>667.66</v>
      </c>
      <c r="S2180" s="65" t="n">
        <f aca="false">ROUND($O2180*$Q2180,2)</f>
        <v>349.41</v>
      </c>
      <c r="T2180" s="65" t="n">
        <f aca="false">ROUND($R2180*SUMIFS(Parametros!$E$28:$E$43,Parametros!$B$28:$B$43,$J2180,Parametros!$C$28:$C$43,$C2180,Parametros!$D$28:$D$43,$D2180),2)</f>
        <v>8.68</v>
      </c>
      <c r="U2180" s="65" t="n">
        <f aca="false">$R2180-$S2180-$T2180</f>
        <v>309.57</v>
      </c>
      <c r="V2180" s="66" t="n">
        <f aca="false">IFERROR($U2180/$R2180,0)</f>
        <v>0.463664140430758</v>
      </c>
      <c r="W2180" s="67" t="str">
        <f aca="false">IF(AND($V2180&gt;=Parametros!$C$8,$R2180&gt;=Parametros!$C$12),"Alta rentabilidad",IF(OR($V2180&lt;Parametros!$C$11,$R2180&lt;Parametros!$C$13),"Revisar","Estandar"))</f>
        <v>Estandar</v>
      </c>
      <c r="X2180" s="67" t="str">
        <f aca="false">IF(AND($J2180="E-commerce",IFERROR($T2180/$R2180,0)&gt;Parametros!$C$14),"Alerta","OK")</f>
        <v>OK</v>
      </c>
      <c r="Y2180" s="61" t="str">
        <f aca="false">IF($R2180&gt;=Parametros!$C$12,"Alto",IF($R2180&lt;Parametros!$C$13,"Bajo","Medio"))</f>
        <v>Medio</v>
      </c>
      <c r="Z2180" s="61" t="n">
        <v>460</v>
      </c>
      <c r="AA2180" s="61" t="str">
        <f aca="false">IF(MATCH($A2180,Datos_Origen!$A$2:$A$2459,0)=$Z2180,"OK","REVISAR")</f>
        <v>OK</v>
      </c>
      <c r="AB2180" s="61" t="str">
        <f aca="false">INDEX(Datos_Origen!$B$2:$B$2459,$Z2180)</f>
        <v>26/10/2025</v>
      </c>
      <c r="AC2180" s="61" t="n">
        <f aca="false">INDEX(Datos_Origen!$H$2:$H$2459,$Z2180)</f>
        <v>19</v>
      </c>
      <c r="AD2180" s="61" t="str">
        <f aca="false">INDEX(Datos_Origen!$D$2:$D$2459,$Z2180)&amp;""</f>
        <v>Mendoza</v>
      </c>
    </row>
    <row r="2181" customFormat="false" ht="15" hidden="false" customHeight="false" outlineLevel="0" collapsed="false">
      <c r="A2181" s="61" t="n">
        <f aca="false">INDEX(Datos_Origen!$A$2:$A$2459,$Z2181)</f>
        <v>2180</v>
      </c>
      <c r="B2181" s="62" t="n">
        <f aca="false">IF(ISNUMBER($AB2181),$AB2181,IF(MID($AB2181,5,1)="-",DATE(VALUE(LEFT($AB2181,4)),VALUE(MID($AB2181,6,2)),VALUE(RIGHT($AB2181,2))),DATE(VALUE(RIGHT($AB2181,4)),VALUE(MID($AB2181,4,2)),VALUE(LEFT($AB2181,2)))))</f>
        <v>45936</v>
      </c>
      <c r="C2181" s="61" t="n">
        <f aca="false">YEAR($B2181)</f>
        <v>2025</v>
      </c>
      <c r="D2181" s="61" t="str">
        <f aca="false">"Q"&amp;ROUNDUP(MONTH($B2181)/3,0)</f>
        <v>Q4</v>
      </c>
      <c r="E2181" s="61" t="n">
        <f aca="false">MONTH($B2181)</f>
        <v>10</v>
      </c>
      <c r="F2181" s="61" t="str">
        <f aca="false">INDEX(Parametros!$I$5:$I$16,$E2181)</f>
        <v>Oct</v>
      </c>
      <c r="G2181" s="61" t="str">
        <f aca="false">TEXT($C2181,"0000")&amp;"-"&amp;TEXT($E2181,"00")</f>
        <v>2025-10</v>
      </c>
      <c r="H2181" s="61" t="str">
        <f aca="false">INDEX(Parametros!$C$71:$C$91,MATCH(TRIM(INDEX(Datos_Origen!$C$2:$C$2459,$Z2181)),Parametros!$B$71:$B$91,0))</f>
        <v>Cuyo</v>
      </c>
      <c r="I2181" s="61" t="str">
        <f aca="false">IF(TRIM($AD2181)="",INDEX(Parametros!$I$20:$I$24,MATCH($H2181,Parametros!$H$20:$H$24,0)),TRIM($AD2181))</f>
        <v>Mendoza</v>
      </c>
      <c r="J2181" s="61" t="str">
        <f aca="false">INDEX(Parametros!$C$95:$C$106,MATCH(TRIM(INDEX(Datos_Origen!$E$2:$E$2459,$Z2181)),Parametros!$B$95:$B$106,0))</f>
        <v>E-commerce</v>
      </c>
      <c r="K2181" s="61" t="str">
        <f aca="false">INDEX(Parametros!$C$48:$C$67,MATCH(TRIM(INDEX(Datos_Origen!$F$2:$F$2459,$Z2181)),Parametros!$B$48:$B$67,0))</f>
        <v>Almacenamiento</v>
      </c>
      <c r="L2181" s="61" t="str">
        <f aca="false">$K2181&amp;" "&amp;$C2181</f>
        <v>Almacenamiento 2025</v>
      </c>
      <c r="M2181" s="61" t="str">
        <f aca="false">TRIM(INDEX(Datos_Origen!$G$2:$G$2459,$Z2181))</f>
        <v>Pendrive 256GB</v>
      </c>
      <c r="N2181" s="61" t="str">
        <f aca="false">$M2181&amp;" "&amp;$C2181</f>
        <v>Pendrive 256GB 2025</v>
      </c>
      <c r="O2181" s="63" t="n">
        <f aca="false">IF(ISTEXT($AC2181),VALUE($AC2181),$AC2181)</f>
        <v>12</v>
      </c>
      <c r="P2181" s="64" t="n">
        <f aca="false">INDEX(Datos_Origen!$I$2:$I$2459,$Z2181)</f>
        <v>35.14</v>
      </c>
      <c r="Q2181" s="64" t="n">
        <f aca="false">INDEX(Datos_Origen!$J$2:$J$2459,$Z2181)</f>
        <v>18.39</v>
      </c>
      <c r="R2181" s="65" t="n">
        <f aca="false">ROUND($O2181*$P2181,2)</f>
        <v>421.68</v>
      </c>
      <c r="S2181" s="65" t="n">
        <f aca="false">ROUND($O2181*$Q2181,2)</f>
        <v>220.68</v>
      </c>
      <c r="T2181" s="65" t="n">
        <f aca="false">ROUND($R2181*SUMIFS(Parametros!$E$28:$E$43,Parametros!$B$28:$B$43,$J2181,Parametros!$C$28:$C$43,$C2181,Parametros!$D$28:$D$43,$D2181),2)</f>
        <v>21.93</v>
      </c>
      <c r="U2181" s="65" t="n">
        <f aca="false">$R2181-$S2181-$T2181</f>
        <v>179.07</v>
      </c>
      <c r="V2181" s="66" t="n">
        <f aca="false">IFERROR($U2181/$R2181,0)</f>
        <v>0.424658508821855</v>
      </c>
      <c r="W2181" s="67" t="str">
        <f aca="false">IF(AND($V2181&gt;=Parametros!$C$8,$R2181&gt;=Parametros!$C$12),"Alta rentabilidad",IF(OR($V2181&lt;Parametros!$C$11,$R2181&lt;Parametros!$C$13),"Revisar","Estandar"))</f>
        <v>Estandar</v>
      </c>
      <c r="X2181" s="67" t="str">
        <f aca="false">IF(AND($J2181="E-commerce",IFERROR($T2181/$R2181,0)&gt;Parametros!$C$14),"Alerta","OK")</f>
        <v>Alerta</v>
      </c>
      <c r="Y2181" s="61" t="str">
        <f aca="false">IF($R2181&gt;=Parametros!$C$12,"Alto",IF($R2181&lt;Parametros!$C$13,"Bajo","Medio"))</f>
        <v>Medio</v>
      </c>
      <c r="Z2181" s="61" t="n">
        <v>462</v>
      </c>
      <c r="AA2181" s="61" t="str">
        <f aca="false">IF(MATCH($A2181,Datos_Origen!$A$2:$A$2459,0)=$Z2181,"OK","REVISAR")</f>
        <v>OK</v>
      </c>
      <c r="AB2181" s="62" t="n">
        <f aca="false">INDEX(Datos_Origen!$B$2:$B$2459,$Z2181)</f>
        <v>45936</v>
      </c>
      <c r="AC2181" s="61" t="n">
        <f aca="false">INDEX(Datos_Origen!$H$2:$H$2459,$Z2181)</f>
        <v>12</v>
      </c>
      <c r="AD2181" s="61" t="str">
        <f aca="false">INDEX(Datos_Origen!$D$2:$D$2459,$Z2181)&amp;""</f>
        <v>Mendoza</v>
      </c>
    </row>
    <row r="2182" customFormat="false" ht="15" hidden="false" customHeight="false" outlineLevel="0" collapsed="false">
      <c r="A2182" s="61" t="n">
        <f aca="false">INDEX(Datos_Origen!$A$2:$A$2459,$Z2182)</f>
        <v>2181</v>
      </c>
      <c r="B2182" s="62" t="n">
        <f aca="false">IF(ISNUMBER($AB2182),$AB2182,IF(MID($AB2182,5,1)="-",DATE(VALUE(LEFT($AB2182,4)),VALUE(MID($AB2182,6,2)),VALUE(RIGHT($AB2182,2))),DATE(VALUE(RIGHT($AB2182,4)),VALUE(MID($AB2182,4,2)),VALUE(LEFT($AB2182,2)))))</f>
        <v>45943</v>
      </c>
      <c r="C2182" s="61" t="n">
        <f aca="false">YEAR($B2182)</f>
        <v>2025</v>
      </c>
      <c r="D2182" s="61" t="str">
        <f aca="false">"Q"&amp;ROUNDUP(MONTH($B2182)/3,0)</f>
        <v>Q4</v>
      </c>
      <c r="E2182" s="61" t="n">
        <f aca="false">MONTH($B2182)</f>
        <v>10</v>
      </c>
      <c r="F2182" s="61" t="str">
        <f aca="false">INDEX(Parametros!$I$5:$I$16,$E2182)</f>
        <v>Oct</v>
      </c>
      <c r="G2182" s="61" t="str">
        <f aca="false">TEXT($C2182,"0000")&amp;"-"&amp;TEXT($E2182,"00")</f>
        <v>2025-10</v>
      </c>
      <c r="H2182" s="61" t="str">
        <f aca="false">INDEX(Parametros!$C$71:$C$91,MATCH(TRIM(INDEX(Datos_Origen!$C$2:$C$2459,$Z2182)),Parametros!$B$71:$B$91,0))</f>
        <v>NOA</v>
      </c>
      <c r="I2182" s="61" t="str">
        <f aca="false">IF(TRIM($AD2182)="",INDEX(Parametros!$I$20:$I$24,MATCH($H2182,Parametros!$H$20:$H$24,0)),TRIM($AD2182))</f>
        <v>Tucuman</v>
      </c>
      <c r="J2182" s="61" t="str">
        <f aca="false">INDEX(Parametros!$C$95:$C$106,MATCH(TRIM(INDEX(Datos_Origen!$E$2:$E$2459,$Z2182)),Parametros!$B$95:$B$106,0))</f>
        <v>Tienda fisica</v>
      </c>
      <c r="K2182" s="61" t="str">
        <f aca="false">INDEX(Parametros!$C$48:$C$67,MATCH(TRIM(INDEX(Datos_Origen!$F$2:$F$2459,$Z2182)),Parametros!$B$48:$B$67,0))</f>
        <v>Computacion</v>
      </c>
      <c r="L2182" s="61" t="str">
        <f aca="false">$K2182&amp;" "&amp;$C2182</f>
        <v>Computacion 2025</v>
      </c>
      <c r="M2182" s="61" t="str">
        <f aca="false">TRIM(INDEX(Datos_Origen!$G$2:$G$2459,$Z2182))</f>
        <v>Laptop Pro 15</v>
      </c>
      <c r="N2182" s="61" t="str">
        <f aca="false">$M2182&amp;" "&amp;$C2182</f>
        <v>Laptop Pro 15 2025</v>
      </c>
      <c r="O2182" s="63" t="n">
        <f aca="false">IF(ISTEXT($AC2182),VALUE($AC2182),$AC2182)</f>
        <v>7</v>
      </c>
      <c r="P2182" s="64" t="n">
        <f aca="false">INDEX(Datos_Origen!$I$2:$I$2459,$Z2182)</f>
        <v>1204.74</v>
      </c>
      <c r="Q2182" s="64" t="n">
        <f aca="false">INDEX(Datos_Origen!$J$2:$J$2459,$Z2182)</f>
        <v>766.32</v>
      </c>
      <c r="R2182" s="65" t="n">
        <f aca="false">ROUND($O2182*$P2182,2)</f>
        <v>8433.18</v>
      </c>
      <c r="S2182" s="65" t="n">
        <f aca="false">ROUND($O2182*$Q2182,2)</f>
        <v>5364.24</v>
      </c>
      <c r="T2182" s="65" t="n">
        <f aca="false">ROUND($R2182*SUMIFS(Parametros!$E$28:$E$43,Parametros!$B$28:$B$43,$J2182,Parametros!$C$28:$C$43,$C2182,Parametros!$D$28:$D$43,$D2182),2)</f>
        <v>109.63</v>
      </c>
      <c r="U2182" s="65" t="n">
        <f aca="false">$R2182-$S2182-$T2182</f>
        <v>2959.31</v>
      </c>
      <c r="V2182" s="66" t="n">
        <f aca="false">IFERROR($U2182/$R2182,0)</f>
        <v>0.35091270434166</v>
      </c>
      <c r="W2182" s="67" t="str">
        <f aca="false">IF(AND($V2182&gt;=Parametros!$C$8,$R2182&gt;=Parametros!$C$12),"Alta rentabilidad",IF(OR($V2182&lt;Parametros!$C$11,$R2182&lt;Parametros!$C$13),"Revisar","Estandar"))</f>
        <v>Alta rentabilidad</v>
      </c>
      <c r="X2182" s="67" t="str">
        <f aca="false">IF(AND($J2182="E-commerce",IFERROR($T2182/$R2182,0)&gt;Parametros!$C$14),"Alerta","OK")</f>
        <v>OK</v>
      </c>
      <c r="Y2182" s="61" t="str">
        <f aca="false">IF($R2182&gt;=Parametros!$C$12,"Alto",IF($R2182&lt;Parametros!$C$13,"Bajo","Medio"))</f>
        <v>Alto</v>
      </c>
      <c r="Z2182" s="61" t="n">
        <v>848</v>
      </c>
      <c r="AA2182" s="61" t="str">
        <f aca="false">IF(MATCH($A2182,Datos_Origen!$A$2:$A$2459,0)=$Z2182,"OK","REVISAR")</f>
        <v>OK</v>
      </c>
      <c r="AB2182" s="62" t="n">
        <f aca="false">INDEX(Datos_Origen!$B$2:$B$2459,$Z2182)</f>
        <v>45943</v>
      </c>
      <c r="AC2182" s="61" t="n">
        <f aca="false">INDEX(Datos_Origen!$H$2:$H$2459,$Z2182)</f>
        <v>7</v>
      </c>
      <c r="AD2182" s="61" t="str">
        <f aca="false">INDEX(Datos_Origen!$D$2:$D$2459,$Z2182)&amp;""</f>
        <v>Tucuman</v>
      </c>
    </row>
    <row r="2183" customFormat="false" ht="15" hidden="false" customHeight="false" outlineLevel="0" collapsed="false">
      <c r="A2183" s="61" t="n">
        <f aca="false">INDEX(Datos_Origen!$A$2:$A$2459,$Z2183)</f>
        <v>2182</v>
      </c>
      <c r="B2183" s="62" t="n">
        <f aca="false">IF(ISNUMBER($AB2183),$AB2183,IF(MID($AB2183,5,1)="-",DATE(VALUE(LEFT($AB2183,4)),VALUE(MID($AB2183,6,2)),VALUE(RIGHT($AB2183,2))),DATE(VALUE(RIGHT($AB2183,4)),VALUE(MID($AB2183,4,2)),VALUE(LEFT($AB2183,2)))))</f>
        <v>45950</v>
      </c>
      <c r="C2183" s="61" t="n">
        <f aca="false">YEAR($B2183)</f>
        <v>2025</v>
      </c>
      <c r="D2183" s="61" t="str">
        <f aca="false">"Q"&amp;ROUNDUP(MONTH($B2183)/3,0)</f>
        <v>Q4</v>
      </c>
      <c r="E2183" s="61" t="n">
        <f aca="false">MONTH($B2183)</f>
        <v>10</v>
      </c>
      <c r="F2183" s="61" t="str">
        <f aca="false">INDEX(Parametros!$I$5:$I$16,$E2183)</f>
        <v>Oct</v>
      </c>
      <c r="G2183" s="61" t="str">
        <f aca="false">TEXT($C2183,"0000")&amp;"-"&amp;TEXT($E2183,"00")</f>
        <v>2025-10</v>
      </c>
      <c r="H2183" s="61" t="str">
        <f aca="false">INDEX(Parametros!$C$71:$C$91,MATCH(TRIM(INDEX(Datos_Origen!$C$2:$C$2459,$Z2183)),Parametros!$B$71:$B$91,0))</f>
        <v>NOA</v>
      </c>
      <c r="I2183" s="61" t="str">
        <f aca="false">IF(TRIM($AD2183)="",INDEX(Parametros!$I$20:$I$24,MATCH($H2183,Parametros!$H$20:$H$24,0)),TRIM($AD2183))</f>
        <v>Tucuman</v>
      </c>
      <c r="J2183" s="61" t="str">
        <f aca="false">INDEX(Parametros!$C$95:$C$106,MATCH(TRIM(INDEX(Datos_Origen!$E$2:$E$2459,$Z2183)),Parametros!$B$95:$B$106,0))</f>
        <v>E-commerce</v>
      </c>
      <c r="K2183" s="61" t="str">
        <f aca="false">INDEX(Parametros!$C$48:$C$67,MATCH(TRIM(INDEX(Datos_Origen!$F$2:$F$2459,$Z2183)),Parametros!$B$48:$B$67,0))</f>
        <v>Computacion</v>
      </c>
      <c r="L2183" s="61" t="str">
        <f aca="false">$K2183&amp;" "&amp;$C2183</f>
        <v>Computacion 2025</v>
      </c>
      <c r="M2183" s="61" t="str">
        <f aca="false">TRIM(INDEX(Datos_Origen!$G$2:$G$2459,$Z2183))</f>
        <v>Laptop Pro 15</v>
      </c>
      <c r="N2183" s="61" t="str">
        <f aca="false">$M2183&amp;" "&amp;$C2183</f>
        <v>Laptop Pro 15 2025</v>
      </c>
      <c r="O2183" s="63" t="n">
        <f aca="false">IF(ISTEXT($AC2183),VALUE($AC2183),$AC2183)</f>
        <v>5</v>
      </c>
      <c r="P2183" s="64" t="n">
        <f aca="false">INDEX(Datos_Origen!$I$2:$I$2459,$Z2183)</f>
        <v>1204.74</v>
      </c>
      <c r="Q2183" s="64" t="n">
        <f aca="false">INDEX(Datos_Origen!$J$2:$J$2459,$Z2183)</f>
        <v>766.32</v>
      </c>
      <c r="R2183" s="65" t="n">
        <f aca="false">ROUND($O2183*$P2183,2)</f>
        <v>6023.7</v>
      </c>
      <c r="S2183" s="65" t="n">
        <f aca="false">ROUND($O2183*$Q2183,2)</f>
        <v>3831.6</v>
      </c>
      <c r="T2183" s="65" t="n">
        <f aca="false">ROUND($R2183*SUMIFS(Parametros!$E$28:$E$43,Parametros!$B$28:$B$43,$J2183,Parametros!$C$28:$C$43,$C2183,Parametros!$D$28:$D$43,$D2183),2)</f>
        <v>313.23</v>
      </c>
      <c r="U2183" s="65" t="n">
        <f aca="false">$R2183-$S2183-$T2183</f>
        <v>1878.87</v>
      </c>
      <c r="V2183" s="66" t="n">
        <f aca="false">IFERROR($U2183/$R2183,0)</f>
        <v>0.311912943871707</v>
      </c>
      <c r="W2183" s="67" t="str">
        <f aca="false">IF(AND($V2183&gt;=Parametros!$C$8,$R2183&gt;=Parametros!$C$12),"Alta rentabilidad",IF(OR($V2183&lt;Parametros!$C$11,$R2183&lt;Parametros!$C$13),"Revisar","Estandar"))</f>
        <v>Estandar</v>
      </c>
      <c r="X2183" s="67" t="str">
        <f aca="false">IF(AND($J2183="E-commerce",IFERROR($T2183/$R2183,0)&gt;Parametros!$C$14),"Alerta","OK")</f>
        <v>Alerta</v>
      </c>
      <c r="Y2183" s="61" t="str">
        <f aca="false">IF($R2183&gt;=Parametros!$C$12,"Alto",IF($R2183&lt;Parametros!$C$13,"Bajo","Medio"))</f>
        <v>Alto</v>
      </c>
      <c r="Z2183" s="61" t="n">
        <v>205</v>
      </c>
      <c r="AA2183" s="61" t="str">
        <f aca="false">IF(MATCH($A2183,Datos_Origen!$A$2:$A$2459,0)=$Z2183,"OK","REVISAR")</f>
        <v>OK</v>
      </c>
      <c r="AB2183" s="61" t="str">
        <f aca="false">INDEX(Datos_Origen!$B$2:$B$2459,$Z2183)</f>
        <v>2025-10-20</v>
      </c>
      <c r="AC2183" s="61" t="n">
        <f aca="false">INDEX(Datos_Origen!$H$2:$H$2459,$Z2183)</f>
        <v>5</v>
      </c>
      <c r="AD2183" s="61" t="str">
        <f aca="false">INDEX(Datos_Origen!$D$2:$D$2459,$Z2183)&amp;""</f>
        <v>Tucuman</v>
      </c>
    </row>
    <row r="2184" customFormat="false" ht="15" hidden="false" customHeight="false" outlineLevel="0" collapsed="false">
      <c r="A2184" s="61" t="n">
        <f aca="false">INDEX(Datos_Origen!$A$2:$A$2459,$Z2184)</f>
        <v>2183</v>
      </c>
      <c r="B2184" s="62" t="n">
        <f aca="false">IF(ISNUMBER($AB2184),$AB2184,IF(MID($AB2184,5,1)="-",DATE(VALUE(LEFT($AB2184,4)),VALUE(MID($AB2184,6,2)),VALUE(RIGHT($AB2184,2))),DATE(VALUE(RIGHT($AB2184,4)),VALUE(MID($AB2184,4,2)),VALUE(LEFT($AB2184,2)))))</f>
        <v>45957</v>
      </c>
      <c r="C2184" s="61" t="n">
        <f aca="false">YEAR($B2184)</f>
        <v>2025</v>
      </c>
      <c r="D2184" s="61" t="str">
        <f aca="false">"Q"&amp;ROUNDUP(MONTH($B2184)/3,0)</f>
        <v>Q4</v>
      </c>
      <c r="E2184" s="61" t="n">
        <f aca="false">MONTH($B2184)</f>
        <v>10</v>
      </c>
      <c r="F2184" s="61" t="str">
        <f aca="false">INDEX(Parametros!$I$5:$I$16,$E2184)</f>
        <v>Oct</v>
      </c>
      <c r="G2184" s="61" t="str">
        <f aca="false">TEXT($C2184,"0000")&amp;"-"&amp;TEXT($E2184,"00")</f>
        <v>2025-10</v>
      </c>
      <c r="H2184" s="61" t="str">
        <f aca="false">INDEX(Parametros!$C$71:$C$91,MATCH(TRIM(INDEX(Datos_Origen!$C$2:$C$2459,$Z2184)),Parametros!$B$71:$B$91,0))</f>
        <v>NOA</v>
      </c>
      <c r="I2184" s="61" t="str">
        <f aca="false">IF(TRIM($AD2184)="",INDEX(Parametros!$I$20:$I$24,MATCH($H2184,Parametros!$H$20:$H$24,0)),TRIM($AD2184))</f>
        <v>Tucuman</v>
      </c>
      <c r="J2184" s="61" t="str">
        <f aca="false">INDEX(Parametros!$C$95:$C$106,MATCH(TRIM(INDEX(Datos_Origen!$E$2:$E$2459,$Z2184)),Parametros!$B$95:$B$106,0))</f>
        <v>Tienda fisica</v>
      </c>
      <c r="K2184" s="61" t="str">
        <f aca="false">INDEX(Parametros!$C$48:$C$67,MATCH(TRIM(INDEX(Datos_Origen!$F$2:$F$2459,$Z2184)),Parametros!$B$48:$B$67,0))</f>
        <v>Computacion</v>
      </c>
      <c r="L2184" s="61" t="str">
        <f aca="false">$K2184&amp;" "&amp;$C2184</f>
        <v>Computacion 2025</v>
      </c>
      <c r="M2184" s="61" t="str">
        <f aca="false">TRIM(INDEX(Datos_Origen!$G$2:$G$2459,$Z2184))</f>
        <v>Monitor 4K 27</v>
      </c>
      <c r="N2184" s="61" t="str">
        <f aca="false">$M2184&amp;" "&amp;$C2184</f>
        <v>Monitor 4K 27 2025</v>
      </c>
      <c r="O2184" s="63" t="n">
        <f aca="false">IF(ISTEXT($AC2184),VALUE($AC2184),$AC2184)</f>
        <v>8</v>
      </c>
      <c r="P2184" s="64" t="n">
        <f aca="false">INDEX(Datos_Origen!$I$2:$I$2459,$Z2184)</f>
        <v>451.78</v>
      </c>
      <c r="Q2184" s="64" t="n">
        <f aca="false">INDEX(Datos_Origen!$J$2:$J$2459,$Z2184)</f>
        <v>280.42</v>
      </c>
      <c r="R2184" s="65" t="n">
        <f aca="false">ROUND($O2184*$P2184,2)</f>
        <v>3614.24</v>
      </c>
      <c r="S2184" s="65" t="n">
        <f aca="false">ROUND($O2184*$Q2184,2)</f>
        <v>2243.36</v>
      </c>
      <c r="T2184" s="65" t="n">
        <f aca="false">ROUND($R2184*SUMIFS(Parametros!$E$28:$E$43,Parametros!$B$28:$B$43,$J2184,Parametros!$C$28:$C$43,$C2184,Parametros!$D$28:$D$43,$D2184),2)</f>
        <v>46.99</v>
      </c>
      <c r="U2184" s="65" t="n">
        <f aca="false">$R2184-$S2184-$T2184</f>
        <v>1323.89</v>
      </c>
      <c r="V2184" s="66" t="n">
        <f aca="false">IFERROR($U2184/$R2184,0)</f>
        <v>0.366298308911417</v>
      </c>
      <c r="W2184" s="67" t="str">
        <f aca="false">IF(AND($V2184&gt;=Parametros!$C$8,$R2184&gt;=Parametros!$C$12),"Alta rentabilidad",IF(OR($V2184&lt;Parametros!$C$11,$R2184&lt;Parametros!$C$13),"Revisar","Estandar"))</f>
        <v>Alta rentabilidad</v>
      </c>
      <c r="X2184" s="67" t="str">
        <f aca="false">IF(AND($J2184="E-commerce",IFERROR($T2184/$R2184,0)&gt;Parametros!$C$14),"Alerta","OK")</f>
        <v>OK</v>
      </c>
      <c r="Y2184" s="61" t="str">
        <f aca="false">IF($R2184&gt;=Parametros!$C$12,"Alto",IF($R2184&lt;Parametros!$C$13,"Bajo","Medio"))</f>
        <v>Alto</v>
      </c>
      <c r="Z2184" s="61" t="n">
        <v>888</v>
      </c>
      <c r="AA2184" s="61" t="str">
        <f aca="false">IF(MATCH($A2184,Datos_Origen!$A$2:$A$2459,0)=$Z2184,"OK","REVISAR")</f>
        <v>OK</v>
      </c>
      <c r="AB2184" s="61" t="str">
        <f aca="false">INDEX(Datos_Origen!$B$2:$B$2459,$Z2184)</f>
        <v>27/10/2025</v>
      </c>
      <c r="AC2184" s="61" t="n">
        <f aca="false">INDEX(Datos_Origen!$H$2:$H$2459,$Z2184)</f>
        <v>8</v>
      </c>
      <c r="AD2184" s="61" t="str">
        <f aca="false">INDEX(Datos_Origen!$D$2:$D$2459,$Z2184)&amp;""</f>
        <v>Tucuman</v>
      </c>
    </row>
    <row r="2185" customFormat="false" ht="15" hidden="false" customHeight="false" outlineLevel="0" collapsed="false">
      <c r="A2185" s="61" t="n">
        <f aca="false">INDEX(Datos_Origen!$A$2:$A$2459,$Z2185)</f>
        <v>2184</v>
      </c>
      <c r="B2185" s="62" t="n">
        <f aca="false">IF(ISNUMBER($AB2185),$AB2185,IF(MID($AB2185,5,1)="-",DATE(VALUE(LEFT($AB2185,4)),VALUE(MID($AB2185,6,2)),VALUE(RIGHT($AB2185,2))),DATE(VALUE(RIGHT($AB2185,4)),VALUE(MID($AB2185,4,2)),VALUE(LEFT($AB2185,2)))))</f>
        <v>45937</v>
      </c>
      <c r="C2185" s="61" t="n">
        <f aca="false">YEAR($B2185)</f>
        <v>2025</v>
      </c>
      <c r="D2185" s="61" t="str">
        <f aca="false">"Q"&amp;ROUNDUP(MONTH($B2185)/3,0)</f>
        <v>Q4</v>
      </c>
      <c r="E2185" s="61" t="n">
        <f aca="false">MONTH($B2185)</f>
        <v>10</v>
      </c>
      <c r="F2185" s="61" t="str">
        <f aca="false">INDEX(Parametros!$I$5:$I$16,$E2185)</f>
        <v>Oct</v>
      </c>
      <c r="G2185" s="61" t="str">
        <f aca="false">TEXT($C2185,"0000")&amp;"-"&amp;TEXT($E2185,"00")</f>
        <v>2025-10</v>
      </c>
      <c r="H2185" s="61" t="str">
        <f aca="false">INDEX(Parametros!$C$71:$C$91,MATCH(TRIM(INDEX(Datos_Origen!$C$2:$C$2459,$Z2185)),Parametros!$B$71:$B$91,0))</f>
        <v>NOA</v>
      </c>
      <c r="I2185" s="61" t="str">
        <f aca="false">IF(TRIM($AD2185)="",INDEX(Parametros!$I$20:$I$24,MATCH($H2185,Parametros!$H$20:$H$24,0)),TRIM($AD2185))</f>
        <v>Tucuman</v>
      </c>
      <c r="J2185" s="61" t="str">
        <f aca="false">INDEX(Parametros!$C$95:$C$106,MATCH(TRIM(INDEX(Datos_Origen!$E$2:$E$2459,$Z2185)),Parametros!$B$95:$B$106,0))</f>
        <v>E-commerce</v>
      </c>
      <c r="K2185" s="61" t="str">
        <f aca="false">INDEX(Parametros!$C$48:$C$67,MATCH(TRIM(INDEX(Datos_Origen!$F$2:$F$2459,$Z2185)),Parametros!$B$48:$B$67,0))</f>
        <v>Computacion</v>
      </c>
      <c r="L2185" s="61" t="str">
        <f aca="false">$K2185&amp;" "&amp;$C2185</f>
        <v>Computacion 2025</v>
      </c>
      <c r="M2185" s="61" t="str">
        <f aca="false">TRIM(INDEX(Datos_Origen!$G$2:$G$2459,$Z2185))</f>
        <v>Monitor 4K 27</v>
      </c>
      <c r="N2185" s="61" t="str">
        <f aca="false">$M2185&amp;" "&amp;$C2185</f>
        <v>Monitor 4K 27 2025</v>
      </c>
      <c r="O2185" s="63" t="n">
        <f aca="false">IF(ISTEXT($AC2185),VALUE($AC2185),$AC2185)</f>
        <v>5</v>
      </c>
      <c r="P2185" s="64" t="n">
        <f aca="false">INDEX(Datos_Origen!$I$2:$I$2459,$Z2185)</f>
        <v>451.78</v>
      </c>
      <c r="Q2185" s="64" t="n">
        <f aca="false">INDEX(Datos_Origen!$J$2:$J$2459,$Z2185)</f>
        <v>280.42</v>
      </c>
      <c r="R2185" s="65" t="n">
        <f aca="false">ROUND($O2185*$P2185,2)</f>
        <v>2258.9</v>
      </c>
      <c r="S2185" s="65" t="n">
        <f aca="false">ROUND($O2185*$Q2185,2)</f>
        <v>1402.1</v>
      </c>
      <c r="T2185" s="65" t="n">
        <f aca="false">ROUND($R2185*SUMIFS(Parametros!$E$28:$E$43,Parametros!$B$28:$B$43,$J2185,Parametros!$C$28:$C$43,$C2185,Parametros!$D$28:$D$43,$D2185),2)</f>
        <v>117.46</v>
      </c>
      <c r="U2185" s="65" t="n">
        <f aca="false">$R2185-$S2185-$T2185</f>
        <v>739.34</v>
      </c>
      <c r="V2185" s="66" t="n">
        <f aca="false">IFERROR($U2185/$R2185,0)</f>
        <v>0.327300898667493</v>
      </c>
      <c r="W2185" s="67" t="str">
        <f aca="false">IF(AND($V2185&gt;=Parametros!$C$8,$R2185&gt;=Parametros!$C$12),"Alta rentabilidad",IF(OR($V2185&lt;Parametros!$C$11,$R2185&lt;Parametros!$C$13),"Revisar","Estandar"))</f>
        <v>Estandar</v>
      </c>
      <c r="X2185" s="67" t="str">
        <f aca="false">IF(AND($J2185="E-commerce",IFERROR($T2185/$R2185,0)&gt;Parametros!$C$14),"Alerta","OK")</f>
        <v>Alerta</v>
      </c>
      <c r="Y2185" s="61" t="str">
        <f aca="false">IF($R2185&gt;=Parametros!$C$12,"Alto",IF($R2185&lt;Parametros!$C$13,"Bajo","Medio"))</f>
        <v>Medio</v>
      </c>
      <c r="Z2185" s="61" t="n">
        <v>1895</v>
      </c>
      <c r="AA2185" s="61" t="str">
        <f aca="false">IF(MATCH($A2185,Datos_Origen!$A$2:$A$2459,0)=$Z2185,"OK","REVISAR")</f>
        <v>OK</v>
      </c>
      <c r="AB2185" s="62" t="n">
        <f aca="false">INDEX(Datos_Origen!$B$2:$B$2459,$Z2185)</f>
        <v>45937</v>
      </c>
      <c r="AC2185" s="61" t="n">
        <f aca="false">INDEX(Datos_Origen!$H$2:$H$2459,$Z2185)</f>
        <v>5</v>
      </c>
      <c r="AD2185" s="61" t="str">
        <f aca="false">INDEX(Datos_Origen!$D$2:$D$2459,$Z2185)&amp;""</f>
        <v>Tucuman</v>
      </c>
    </row>
    <row r="2186" customFormat="false" ht="15" hidden="false" customHeight="false" outlineLevel="0" collapsed="false">
      <c r="A2186" s="61" t="n">
        <f aca="false">INDEX(Datos_Origen!$A$2:$A$2459,$Z2186)</f>
        <v>2185</v>
      </c>
      <c r="B2186" s="62" t="n">
        <f aca="false">IF(ISNUMBER($AB2186),$AB2186,IF(MID($AB2186,5,1)="-",DATE(VALUE(LEFT($AB2186,4)),VALUE(MID($AB2186,6,2)),VALUE(RIGHT($AB2186,2))),DATE(VALUE(RIGHT($AB2186,4)),VALUE(MID($AB2186,4,2)),VALUE(LEFT($AB2186,2)))))</f>
        <v>45944</v>
      </c>
      <c r="C2186" s="61" t="n">
        <f aca="false">YEAR($B2186)</f>
        <v>2025</v>
      </c>
      <c r="D2186" s="61" t="str">
        <f aca="false">"Q"&amp;ROUNDUP(MONTH($B2186)/3,0)</f>
        <v>Q4</v>
      </c>
      <c r="E2186" s="61" t="n">
        <f aca="false">MONTH($B2186)</f>
        <v>10</v>
      </c>
      <c r="F2186" s="61" t="str">
        <f aca="false">INDEX(Parametros!$I$5:$I$16,$E2186)</f>
        <v>Oct</v>
      </c>
      <c r="G2186" s="61" t="str">
        <f aca="false">TEXT($C2186,"0000")&amp;"-"&amp;TEXT($E2186,"00")</f>
        <v>2025-10</v>
      </c>
      <c r="H2186" s="61" t="str">
        <f aca="false">INDEX(Parametros!$C$71:$C$91,MATCH(TRIM(INDEX(Datos_Origen!$C$2:$C$2459,$Z2186)),Parametros!$B$71:$B$91,0))</f>
        <v>NOA</v>
      </c>
      <c r="I2186" s="61" t="str">
        <f aca="false">IF(TRIM($AD2186)="",INDEX(Parametros!$I$20:$I$24,MATCH($H2186,Parametros!$H$20:$H$24,0)),TRIM($AD2186))</f>
        <v>Tucuman</v>
      </c>
      <c r="J2186" s="61" t="str">
        <f aca="false">INDEX(Parametros!$C$95:$C$106,MATCH(TRIM(INDEX(Datos_Origen!$E$2:$E$2459,$Z2186)),Parametros!$B$95:$B$106,0))</f>
        <v>Tienda fisica</v>
      </c>
      <c r="K2186" s="61" t="str">
        <f aca="false">INDEX(Parametros!$C$48:$C$67,MATCH(TRIM(INDEX(Datos_Origen!$F$2:$F$2459,$Z2186)),Parametros!$B$48:$B$67,0))</f>
        <v>Computacion</v>
      </c>
      <c r="L2186" s="61" t="str">
        <f aca="false">$K2186&amp;" "&amp;$C2186</f>
        <v>Computacion 2025</v>
      </c>
      <c r="M2186" s="61" t="str">
        <f aca="false">TRIM(INDEX(Datos_Origen!$G$2:$G$2459,$Z2186))</f>
        <v>PC Gamer Ryzen</v>
      </c>
      <c r="N2186" s="61" t="str">
        <f aca="false">$M2186&amp;" "&amp;$C2186</f>
        <v>PC Gamer Ryzen 2025</v>
      </c>
      <c r="O2186" s="63" t="n">
        <f aca="false">IF(ISTEXT($AC2186),VALUE($AC2186),$AC2186)</f>
        <v>7</v>
      </c>
      <c r="P2186" s="64" t="n">
        <f aca="false">INDEX(Datos_Origen!$I$2:$I$2459,$Z2186)</f>
        <v>1656.52</v>
      </c>
      <c r="Q2186" s="64" t="n">
        <f aca="false">INDEX(Datos_Origen!$J$2:$J$2459,$Z2186)</f>
        <v>1155.66</v>
      </c>
      <c r="R2186" s="65" t="n">
        <f aca="false">ROUND($O2186*$P2186,2)</f>
        <v>11595.64</v>
      </c>
      <c r="S2186" s="65" t="n">
        <f aca="false">ROUND($O2186*$Q2186,2)</f>
        <v>8089.62</v>
      </c>
      <c r="T2186" s="65" t="n">
        <f aca="false">ROUND($R2186*SUMIFS(Parametros!$E$28:$E$43,Parametros!$B$28:$B$43,$J2186,Parametros!$C$28:$C$43,$C2186,Parametros!$D$28:$D$43,$D2186),2)</f>
        <v>150.74</v>
      </c>
      <c r="U2186" s="65" t="n">
        <f aca="false">$R2186-$S2186-$T2186</f>
        <v>3355.28</v>
      </c>
      <c r="V2186" s="66" t="n">
        <f aca="false">IFERROR($U2186/$R2186,0)</f>
        <v>0.289357034195611</v>
      </c>
      <c r="W2186" s="67" t="str">
        <f aca="false">IF(AND($V2186&gt;=Parametros!$C$8,$R2186&gt;=Parametros!$C$12),"Alta rentabilidad",IF(OR($V2186&lt;Parametros!$C$11,$R2186&lt;Parametros!$C$13),"Revisar","Estandar"))</f>
        <v>Estandar</v>
      </c>
      <c r="X2186" s="67" t="str">
        <f aca="false">IF(AND($J2186="E-commerce",IFERROR($T2186/$R2186,0)&gt;Parametros!$C$14),"Alerta","OK")</f>
        <v>OK</v>
      </c>
      <c r="Y2186" s="61" t="str">
        <f aca="false">IF($R2186&gt;=Parametros!$C$12,"Alto",IF($R2186&lt;Parametros!$C$13,"Bajo","Medio"))</f>
        <v>Alto</v>
      </c>
      <c r="Z2186" s="61" t="n">
        <v>1049</v>
      </c>
      <c r="AA2186" s="61" t="str">
        <f aca="false">IF(MATCH($A2186,Datos_Origen!$A$2:$A$2459,0)=$Z2186,"OK","REVISAR")</f>
        <v>OK</v>
      </c>
      <c r="AB2186" s="62" t="n">
        <f aca="false">INDEX(Datos_Origen!$B$2:$B$2459,$Z2186)</f>
        <v>45944</v>
      </c>
      <c r="AC2186" s="61" t="n">
        <f aca="false">INDEX(Datos_Origen!$H$2:$H$2459,$Z2186)</f>
        <v>7</v>
      </c>
      <c r="AD2186" s="61" t="str">
        <f aca="false">INDEX(Datos_Origen!$D$2:$D$2459,$Z2186)&amp;""</f>
        <v>Tucuman</v>
      </c>
    </row>
    <row r="2187" customFormat="false" ht="15" hidden="false" customHeight="false" outlineLevel="0" collapsed="false">
      <c r="A2187" s="61" t="n">
        <f aca="false">INDEX(Datos_Origen!$A$2:$A$2459,$Z2187)</f>
        <v>2186</v>
      </c>
      <c r="B2187" s="62" t="n">
        <f aca="false">IF(ISNUMBER($AB2187),$AB2187,IF(MID($AB2187,5,1)="-",DATE(VALUE(LEFT($AB2187,4)),VALUE(MID($AB2187,6,2)),VALUE(RIGHT($AB2187,2))),DATE(VALUE(RIGHT($AB2187,4)),VALUE(MID($AB2187,4,2)),VALUE(LEFT($AB2187,2)))))</f>
        <v>45951</v>
      </c>
      <c r="C2187" s="61" t="n">
        <f aca="false">YEAR($B2187)</f>
        <v>2025</v>
      </c>
      <c r="D2187" s="61" t="str">
        <f aca="false">"Q"&amp;ROUNDUP(MONTH($B2187)/3,0)</f>
        <v>Q4</v>
      </c>
      <c r="E2187" s="61" t="n">
        <f aca="false">MONTH($B2187)</f>
        <v>10</v>
      </c>
      <c r="F2187" s="61" t="str">
        <f aca="false">INDEX(Parametros!$I$5:$I$16,$E2187)</f>
        <v>Oct</v>
      </c>
      <c r="G2187" s="61" t="str">
        <f aca="false">TEXT($C2187,"0000")&amp;"-"&amp;TEXT($E2187,"00")</f>
        <v>2025-10</v>
      </c>
      <c r="H2187" s="61" t="str">
        <f aca="false">INDEX(Parametros!$C$71:$C$91,MATCH(TRIM(INDEX(Datos_Origen!$C$2:$C$2459,$Z2187)),Parametros!$B$71:$B$91,0))</f>
        <v>NOA</v>
      </c>
      <c r="I2187" s="61" t="str">
        <f aca="false">IF(TRIM($AD2187)="",INDEX(Parametros!$I$20:$I$24,MATCH($H2187,Parametros!$H$20:$H$24,0)),TRIM($AD2187))</f>
        <v>Tucuman</v>
      </c>
      <c r="J2187" s="61" t="str">
        <f aca="false">INDEX(Parametros!$C$95:$C$106,MATCH(TRIM(INDEX(Datos_Origen!$E$2:$E$2459,$Z2187)),Parametros!$B$95:$B$106,0))</f>
        <v>E-commerce</v>
      </c>
      <c r="K2187" s="61" t="str">
        <f aca="false">INDEX(Parametros!$C$48:$C$67,MATCH(TRIM(INDEX(Datos_Origen!$F$2:$F$2459,$Z2187)),Parametros!$B$48:$B$67,0))</f>
        <v>Computacion</v>
      </c>
      <c r="L2187" s="61" t="str">
        <f aca="false">$K2187&amp;" "&amp;$C2187</f>
        <v>Computacion 2025</v>
      </c>
      <c r="M2187" s="61" t="str">
        <f aca="false">TRIM(INDEX(Datos_Origen!$G$2:$G$2459,$Z2187))</f>
        <v>PC Gamer Ryzen</v>
      </c>
      <c r="N2187" s="61" t="str">
        <f aca="false">$M2187&amp;" "&amp;$C2187</f>
        <v>PC Gamer Ryzen 2025</v>
      </c>
      <c r="O2187" s="63" t="n">
        <f aca="false">IF(ISTEXT($AC2187),VALUE($AC2187),$AC2187)</f>
        <v>4</v>
      </c>
      <c r="P2187" s="64" t="n">
        <f aca="false">INDEX(Datos_Origen!$I$2:$I$2459,$Z2187)</f>
        <v>1656.52</v>
      </c>
      <c r="Q2187" s="64" t="n">
        <f aca="false">INDEX(Datos_Origen!$J$2:$J$2459,$Z2187)</f>
        <v>1155.66</v>
      </c>
      <c r="R2187" s="65" t="n">
        <f aca="false">ROUND($O2187*$P2187,2)</f>
        <v>6626.08</v>
      </c>
      <c r="S2187" s="65" t="n">
        <f aca="false">ROUND($O2187*$Q2187,2)</f>
        <v>4622.64</v>
      </c>
      <c r="T2187" s="65" t="n">
        <f aca="false">ROUND($R2187*SUMIFS(Parametros!$E$28:$E$43,Parametros!$B$28:$B$43,$J2187,Parametros!$C$28:$C$43,$C2187,Parametros!$D$28:$D$43,$D2187),2)</f>
        <v>344.56</v>
      </c>
      <c r="U2187" s="65" t="n">
        <f aca="false">$R2187-$S2187-$T2187</f>
        <v>1658.88</v>
      </c>
      <c r="V2187" s="66" t="n">
        <f aca="false">IFERROR($U2187/$R2187,0)</f>
        <v>0.250356168352933</v>
      </c>
      <c r="W2187" s="67" t="str">
        <f aca="false">IF(AND($V2187&gt;=Parametros!$C$8,$R2187&gt;=Parametros!$C$12),"Alta rentabilidad",IF(OR($V2187&lt;Parametros!$C$11,$R2187&lt;Parametros!$C$13),"Revisar","Estandar"))</f>
        <v>Revisar</v>
      </c>
      <c r="X2187" s="67" t="str">
        <f aca="false">IF(AND($J2187="E-commerce",IFERROR($T2187/$R2187,0)&gt;Parametros!$C$14),"Alerta","OK")</f>
        <v>Alerta</v>
      </c>
      <c r="Y2187" s="61" t="str">
        <f aca="false">IF($R2187&gt;=Parametros!$C$12,"Alto",IF($R2187&lt;Parametros!$C$13,"Bajo","Medio"))</f>
        <v>Alto</v>
      </c>
      <c r="Z2187" s="61" t="n">
        <v>165</v>
      </c>
      <c r="AA2187" s="61" t="str">
        <f aca="false">IF(MATCH($A2187,Datos_Origen!$A$2:$A$2459,0)=$Z2187,"OK","REVISAR")</f>
        <v>OK</v>
      </c>
      <c r="AB2187" s="62" t="n">
        <f aca="false">INDEX(Datos_Origen!$B$2:$B$2459,$Z2187)</f>
        <v>45951</v>
      </c>
      <c r="AC2187" s="61" t="n">
        <f aca="false">INDEX(Datos_Origen!$H$2:$H$2459,$Z2187)</f>
        <v>4</v>
      </c>
      <c r="AD2187" s="61" t="str">
        <f aca="false">INDEX(Datos_Origen!$D$2:$D$2459,$Z2187)&amp;""</f>
        <v>Tucuman</v>
      </c>
    </row>
    <row r="2188" customFormat="false" ht="15" hidden="false" customHeight="false" outlineLevel="0" collapsed="false">
      <c r="A2188" s="61" t="n">
        <f aca="false">INDEX(Datos_Origen!$A$2:$A$2459,$Z2188)</f>
        <v>2187</v>
      </c>
      <c r="B2188" s="62" t="n">
        <f aca="false">IF(ISNUMBER($AB2188),$AB2188,IF(MID($AB2188,5,1)="-",DATE(VALUE(LEFT($AB2188,4)),VALUE(MID($AB2188,6,2)),VALUE(RIGHT($AB2188,2))),DATE(VALUE(RIGHT($AB2188,4)),VALUE(MID($AB2188,4,2)),VALUE(LEFT($AB2188,2)))))</f>
        <v>45931</v>
      </c>
      <c r="C2188" s="61" t="n">
        <f aca="false">YEAR($B2188)</f>
        <v>2025</v>
      </c>
      <c r="D2188" s="61" t="str">
        <f aca="false">"Q"&amp;ROUNDUP(MONTH($B2188)/3,0)</f>
        <v>Q4</v>
      </c>
      <c r="E2188" s="61" t="n">
        <f aca="false">MONTH($B2188)</f>
        <v>10</v>
      </c>
      <c r="F2188" s="61" t="str">
        <f aca="false">INDEX(Parametros!$I$5:$I$16,$E2188)</f>
        <v>Oct</v>
      </c>
      <c r="G2188" s="61" t="str">
        <f aca="false">TEXT($C2188,"0000")&amp;"-"&amp;TEXT($E2188,"00")</f>
        <v>2025-10</v>
      </c>
      <c r="H2188" s="61" t="str">
        <f aca="false">INDEX(Parametros!$C$71:$C$91,MATCH(TRIM(INDEX(Datos_Origen!$C$2:$C$2459,$Z2188)),Parametros!$B$71:$B$91,0))</f>
        <v>NOA</v>
      </c>
      <c r="I2188" s="61" t="str">
        <f aca="false">IF(TRIM($AD2188)="",INDEX(Parametros!$I$20:$I$24,MATCH($H2188,Parametros!$H$20:$H$24,0)),TRIM($AD2188))</f>
        <v>Tucuman</v>
      </c>
      <c r="J2188" s="61" t="str">
        <f aca="false">INDEX(Parametros!$C$95:$C$106,MATCH(TRIM(INDEX(Datos_Origen!$E$2:$E$2459,$Z2188)),Parametros!$B$95:$B$106,0))</f>
        <v>Tienda fisica</v>
      </c>
      <c r="K2188" s="61" t="str">
        <f aca="false">INDEX(Parametros!$C$48:$C$67,MATCH(TRIM(INDEX(Datos_Origen!$F$2:$F$2459,$Z2188)),Parametros!$B$48:$B$67,0))</f>
        <v>Accesorios</v>
      </c>
      <c r="L2188" s="61" t="str">
        <f aca="false">$K2188&amp;" "&amp;$C2188</f>
        <v>Accesorios 2025</v>
      </c>
      <c r="M2188" s="61" t="str">
        <f aca="false">TRIM(INDEX(Datos_Origen!$G$2:$G$2459,$Z2188))</f>
        <v>Mouse Inalambrico</v>
      </c>
      <c r="N2188" s="61" t="str">
        <f aca="false">$M2188&amp;" "&amp;$C2188</f>
        <v>Mouse Inalambrico 2025</v>
      </c>
      <c r="O2188" s="63" t="n">
        <f aca="false">IF(ISTEXT($AC2188),VALUE($AC2188),$AC2188)</f>
        <v>36</v>
      </c>
      <c r="P2188" s="64" t="n">
        <f aca="false">INDEX(Datos_Origen!$I$2:$I$2459,$Z2188)</f>
        <v>28.11</v>
      </c>
      <c r="Q2188" s="64" t="n">
        <f aca="false">INDEX(Datos_Origen!$J$2:$J$2459,$Z2188)</f>
        <v>13.84</v>
      </c>
      <c r="R2188" s="65" t="n">
        <f aca="false">ROUND($O2188*$P2188,2)</f>
        <v>1011.96</v>
      </c>
      <c r="S2188" s="65" t="n">
        <f aca="false">ROUND($O2188*$Q2188,2)</f>
        <v>498.24</v>
      </c>
      <c r="T2188" s="65" t="n">
        <f aca="false">ROUND($R2188*SUMIFS(Parametros!$E$28:$E$43,Parametros!$B$28:$B$43,$J2188,Parametros!$C$28:$C$43,$C2188,Parametros!$D$28:$D$43,$D2188),2)</f>
        <v>13.16</v>
      </c>
      <c r="U2188" s="65" t="n">
        <f aca="false">$R2188-$S2188-$T2188</f>
        <v>500.56</v>
      </c>
      <c r="V2188" s="66" t="n">
        <f aca="false">IFERROR($U2188/$R2188,0)</f>
        <v>0.494644057077355</v>
      </c>
      <c r="W2188" s="67" t="str">
        <f aca="false">IF(AND($V2188&gt;=Parametros!$C$8,$R2188&gt;=Parametros!$C$12),"Alta rentabilidad",IF(OR($V2188&lt;Parametros!$C$11,$R2188&lt;Parametros!$C$13),"Revisar","Estandar"))</f>
        <v>Estandar</v>
      </c>
      <c r="X2188" s="67" t="str">
        <f aca="false">IF(AND($J2188="E-commerce",IFERROR($T2188/$R2188,0)&gt;Parametros!$C$14),"Alerta","OK")</f>
        <v>OK</v>
      </c>
      <c r="Y2188" s="61" t="str">
        <f aca="false">IF($R2188&gt;=Parametros!$C$12,"Alto",IF($R2188&lt;Parametros!$C$13,"Bajo","Medio"))</f>
        <v>Medio</v>
      </c>
      <c r="Z2188" s="61" t="n">
        <v>57</v>
      </c>
      <c r="AA2188" s="61" t="str">
        <f aca="false">IF(MATCH($A2188,Datos_Origen!$A$2:$A$2459,0)=$Z2188,"OK","REVISAR")</f>
        <v>OK</v>
      </c>
      <c r="AB2188" s="62" t="n">
        <f aca="false">INDEX(Datos_Origen!$B$2:$B$2459,$Z2188)</f>
        <v>45931</v>
      </c>
      <c r="AC2188" s="61" t="n">
        <f aca="false">INDEX(Datos_Origen!$H$2:$H$2459,$Z2188)</f>
        <v>36</v>
      </c>
      <c r="AD2188" s="61" t="str">
        <f aca="false">INDEX(Datos_Origen!$D$2:$D$2459,$Z2188)&amp;""</f>
        <v/>
      </c>
    </row>
    <row r="2189" customFormat="false" ht="15" hidden="false" customHeight="false" outlineLevel="0" collapsed="false">
      <c r="A2189" s="61" t="n">
        <f aca="false">INDEX(Datos_Origen!$A$2:$A$2459,$Z2189)</f>
        <v>2188</v>
      </c>
      <c r="B2189" s="62" t="n">
        <f aca="false">IF(ISNUMBER($AB2189),$AB2189,IF(MID($AB2189,5,1)="-",DATE(VALUE(LEFT($AB2189,4)),VALUE(MID($AB2189,6,2)),VALUE(RIGHT($AB2189,2))),DATE(VALUE(RIGHT($AB2189,4)),VALUE(MID($AB2189,4,2)),VALUE(LEFT($AB2189,2)))))</f>
        <v>45938</v>
      </c>
      <c r="C2189" s="61" t="n">
        <f aca="false">YEAR($B2189)</f>
        <v>2025</v>
      </c>
      <c r="D2189" s="61" t="str">
        <f aca="false">"Q"&amp;ROUNDUP(MONTH($B2189)/3,0)</f>
        <v>Q4</v>
      </c>
      <c r="E2189" s="61" t="n">
        <f aca="false">MONTH($B2189)</f>
        <v>10</v>
      </c>
      <c r="F2189" s="61" t="str">
        <f aca="false">INDEX(Parametros!$I$5:$I$16,$E2189)</f>
        <v>Oct</v>
      </c>
      <c r="G2189" s="61" t="str">
        <f aca="false">TEXT($C2189,"0000")&amp;"-"&amp;TEXT($E2189,"00")</f>
        <v>2025-10</v>
      </c>
      <c r="H2189" s="61" t="str">
        <f aca="false">INDEX(Parametros!$C$71:$C$91,MATCH(TRIM(INDEX(Datos_Origen!$C$2:$C$2459,$Z2189)),Parametros!$B$71:$B$91,0))</f>
        <v>NOA</v>
      </c>
      <c r="I2189" s="61" t="str">
        <f aca="false">IF(TRIM($AD2189)="",INDEX(Parametros!$I$20:$I$24,MATCH($H2189,Parametros!$H$20:$H$24,0)),TRIM($AD2189))</f>
        <v>Tucuman</v>
      </c>
      <c r="J2189" s="61" t="str">
        <f aca="false">INDEX(Parametros!$C$95:$C$106,MATCH(TRIM(INDEX(Datos_Origen!$E$2:$E$2459,$Z2189)),Parametros!$B$95:$B$106,0))</f>
        <v>E-commerce</v>
      </c>
      <c r="K2189" s="61" t="str">
        <f aca="false">INDEX(Parametros!$C$48:$C$67,MATCH(TRIM(INDEX(Datos_Origen!$F$2:$F$2459,$Z2189)),Parametros!$B$48:$B$67,0))</f>
        <v>Accesorios</v>
      </c>
      <c r="L2189" s="61" t="str">
        <f aca="false">$K2189&amp;" "&amp;$C2189</f>
        <v>Accesorios 2025</v>
      </c>
      <c r="M2189" s="61" t="str">
        <f aca="false">TRIM(INDEX(Datos_Origen!$G$2:$G$2459,$Z2189))</f>
        <v>Mouse Inalambrico</v>
      </c>
      <c r="N2189" s="61" t="str">
        <f aca="false">$M2189&amp;" "&amp;$C2189</f>
        <v>Mouse Inalambrico 2025</v>
      </c>
      <c r="O2189" s="63" t="n">
        <f aca="false">IF(ISTEXT($AC2189),VALUE($AC2189),$AC2189)</f>
        <v>19</v>
      </c>
      <c r="P2189" s="64" t="n">
        <f aca="false">INDEX(Datos_Origen!$I$2:$I$2459,$Z2189)</f>
        <v>28.11</v>
      </c>
      <c r="Q2189" s="64" t="n">
        <f aca="false">INDEX(Datos_Origen!$J$2:$J$2459,$Z2189)</f>
        <v>13.84</v>
      </c>
      <c r="R2189" s="65" t="n">
        <f aca="false">ROUND($O2189*$P2189,2)</f>
        <v>534.09</v>
      </c>
      <c r="S2189" s="65" t="n">
        <f aca="false">ROUND($O2189*$Q2189,2)</f>
        <v>262.96</v>
      </c>
      <c r="T2189" s="65" t="n">
        <f aca="false">ROUND($R2189*SUMIFS(Parametros!$E$28:$E$43,Parametros!$B$28:$B$43,$J2189,Parametros!$C$28:$C$43,$C2189,Parametros!$D$28:$D$43,$D2189),2)</f>
        <v>27.77</v>
      </c>
      <c r="U2189" s="65" t="n">
        <f aca="false">$R2189-$S2189-$T2189</f>
        <v>243.36</v>
      </c>
      <c r="V2189" s="66" t="n">
        <f aca="false">IFERROR($U2189/$R2189,0)</f>
        <v>0.455653541537943</v>
      </c>
      <c r="W2189" s="67" t="str">
        <f aca="false">IF(AND($V2189&gt;=Parametros!$C$8,$R2189&gt;=Parametros!$C$12),"Alta rentabilidad",IF(OR($V2189&lt;Parametros!$C$11,$R2189&lt;Parametros!$C$13),"Revisar","Estandar"))</f>
        <v>Estandar</v>
      </c>
      <c r="X2189" s="67" t="str">
        <f aca="false">IF(AND($J2189="E-commerce",IFERROR($T2189/$R2189,0)&gt;Parametros!$C$14),"Alerta","OK")</f>
        <v>Alerta</v>
      </c>
      <c r="Y2189" s="61" t="str">
        <f aca="false">IF($R2189&gt;=Parametros!$C$12,"Alto",IF($R2189&lt;Parametros!$C$13,"Bajo","Medio"))</f>
        <v>Medio</v>
      </c>
      <c r="Z2189" s="61" t="n">
        <v>277</v>
      </c>
      <c r="AA2189" s="61" t="str">
        <f aca="false">IF(MATCH($A2189,Datos_Origen!$A$2:$A$2459,0)=$Z2189,"OK","REVISAR")</f>
        <v>OK</v>
      </c>
      <c r="AB2189" s="62" t="n">
        <f aca="false">INDEX(Datos_Origen!$B$2:$B$2459,$Z2189)</f>
        <v>45938</v>
      </c>
      <c r="AC2189" s="61" t="str">
        <f aca="false">INDEX(Datos_Origen!$H$2:$H$2459,$Z2189)</f>
        <v>19</v>
      </c>
      <c r="AD2189" s="61" t="str">
        <f aca="false">INDEX(Datos_Origen!$D$2:$D$2459,$Z2189)&amp;""</f>
        <v>Tucuman</v>
      </c>
    </row>
    <row r="2190" customFormat="false" ht="15" hidden="false" customHeight="false" outlineLevel="0" collapsed="false">
      <c r="A2190" s="61" t="n">
        <f aca="false">INDEX(Datos_Origen!$A$2:$A$2459,$Z2190)</f>
        <v>2189</v>
      </c>
      <c r="B2190" s="62" t="n">
        <f aca="false">IF(ISNUMBER($AB2190),$AB2190,IF(MID($AB2190,5,1)="-",DATE(VALUE(LEFT($AB2190,4)),VALUE(MID($AB2190,6,2)),VALUE(RIGHT($AB2190,2))),DATE(VALUE(RIGHT($AB2190,4)),VALUE(MID($AB2190,4,2)),VALUE(LEFT($AB2190,2)))))</f>
        <v>45945</v>
      </c>
      <c r="C2190" s="61" t="n">
        <f aca="false">YEAR($B2190)</f>
        <v>2025</v>
      </c>
      <c r="D2190" s="61" t="str">
        <f aca="false">"Q"&amp;ROUNDUP(MONTH($B2190)/3,0)</f>
        <v>Q4</v>
      </c>
      <c r="E2190" s="61" t="n">
        <f aca="false">MONTH($B2190)</f>
        <v>10</v>
      </c>
      <c r="F2190" s="61" t="str">
        <f aca="false">INDEX(Parametros!$I$5:$I$16,$E2190)</f>
        <v>Oct</v>
      </c>
      <c r="G2190" s="61" t="str">
        <f aca="false">TEXT($C2190,"0000")&amp;"-"&amp;TEXT($E2190,"00")</f>
        <v>2025-10</v>
      </c>
      <c r="H2190" s="61" t="str">
        <f aca="false">INDEX(Parametros!$C$71:$C$91,MATCH(TRIM(INDEX(Datos_Origen!$C$2:$C$2459,$Z2190)),Parametros!$B$71:$B$91,0))</f>
        <v>NOA</v>
      </c>
      <c r="I2190" s="61" t="str">
        <f aca="false">IF(TRIM($AD2190)="",INDEX(Parametros!$I$20:$I$24,MATCH($H2190,Parametros!$H$20:$H$24,0)),TRIM($AD2190))</f>
        <v>Tucuman</v>
      </c>
      <c r="J2190" s="61" t="str">
        <f aca="false">INDEX(Parametros!$C$95:$C$106,MATCH(TRIM(INDEX(Datos_Origen!$E$2:$E$2459,$Z2190)),Parametros!$B$95:$B$106,0))</f>
        <v>Tienda fisica</v>
      </c>
      <c r="K2190" s="61" t="str">
        <f aca="false">INDEX(Parametros!$C$48:$C$67,MATCH(TRIM(INDEX(Datos_Origen!$F$2:$F$2459,$Z2190)),Parametros!$B$48:$B$67,0))</f>
        <v>Accesorios</v>
      </c>
      <c r="L2190" s="61" t="str">
        <f aca="false">$K2190&amp;" "&amp;$C2190</f>
        <v>Accesorios 2025</v>
      </c>
      <c r="M2190" s="61" t="str">
        <f aca="false">TRIM(INDEX(Datos_Origen!$G$2:$G$2459,$Z2190))</f>
        <v>Teclado Mecanico</v>
      </c>
      <c r="N2190" s="61" t="str">
        <f aca="false">$M2190&amp;" "&amp;$C2190</f>
        <v>Teclado Mecanico 2025</v>
      </c>
      <c r="O2190" s="63" t="n">
        <f aca="false">IF(ISTEXT($AC2190),VALUE($AC2190),$AC2190)</f>
        <v>31</v>
      </c>
      <c r="P2190" s="64" t="n">
        <f aca="false">INDEX(Datos_Origen!$I$2:$I$2459,$Z2190)</f>
        <v>95.38</v>
      </c>
      <c r="Q2190" s="64" t="n">
        <f aca="false">INDEX(Datos_Origen!$J$2:$J$2459,$Z2190)</f>
        <v>49.41</v>
      </c>
      <c r="R2190" s="65" t="n">
        <f aca="false">ROUND($O2190*$P2190,2)</f>
        <v>2956.78</v>
      </c>
      <c r="S2190" s="65" t="n">
        <f aca="false">ROUND($O2190*$Q2190,2)</f>
        <v>1531.71</v>
      </c>
      <c r="T2190" s="65" t="n">
        <f aca="false">ROUND($R2190*SUMIFS(Parametros!$E$28:$E$43,Parametros!$B$28:$B$43,$J2190,Parametros!$C$28:$C$43,$C2190,Parametros!$D$28:$D$43,$D2190),2)</f>
        <v>38.44</v>
      </c>
      <c r="U2190" s="65" t="n">
        <f aca="false">$R2190-$S2190-$T2190</f>
        <v>1386.63</v>
      </c>
      <c r="V2190" s="66" t="n">
        <f aca="false">IFERROR($U2190/$R2190,0)</f>
        <v>0.46896624030195</v>
      </c>
      <c r="W2190" s="67" t="str">
        <f aca="false">IF(AND($V2190&gt;=Parametros!$C$8,$R2190&gt;=Parametros!$C$12),"Alta rentabilidad",IF(OR($V2190&lt;Parametros!$C$11,$R2190&lt;Parametros!$C$13),"Revisar","Estandar"))</f>
        <v>Estandar</v>
      </c>
      <c r="X2190" s="67" t="str">
        <f aca="false">IF(AND($J2190="E-commerce",IFERROR($T2190/$R2190,0)&gt;Parametros!$C$14),"Alerta","OK")</f>
        <v>OK</v>
      </c>
      <c r="Y2190" s="61" t="str">
        <f aca="false">IF($R2190&gt;=Parametros!$C$12,"Alto",IF($R2190&lt;Parametros!$C$13,"Bajo","Medio"))</f>
        <v>Medio</v>
      </c>
      <c r="Z2190" s="61" t="n">
        <v>2124</v>
      </c>
      <c r="AA2190" s="61" t="str">
        <f aca="false">IF(MATCH($A2190,Datos_Origen!$A$2:$A$2459,0)=$Z2190,"OK","REVISAR")</f>
        <v>OK</v>
      </c>
      <c r="AB2190" s="62" t="n">
        <f aca="false">INDEX(Datos_Origen!$B$2:$B$2459,$Z2190)</f>
        <v>45945</v>
      </c>
      <c r="AC2190" s="61" t="n">
        <f aca="false">INDEX(Datos_Origen!$H$2:$H$2459,$Z2190)</f>
        <v>31</v>
      </c>
      <c r="AD2190" s="61" t="str">
        <f aca="false">INDEX(Datos_Origen!$D$2:$D$2459,$Z2190)&amp;""</f>
        <v>Tucuman</v>
      </c>
    </row>
    <row r="2191" customFormat="false" ht="15" hidden="false" customHeight="false" outlineLevel="0" collapsed="false">
      <c r="A2191" s="61" t="n">
        <f aca="false">INDEX(Datos_Origen!$A$2:$A$2459,$Z2191)</f>
        <v>2190</v>
      </c>
      <c r="B2191" s="62" t="n">
        <f aca="false">IF(ISNUMBER($AB2191),$AB2191,IF(MID($AB2191,5,1)="-",DATE(VALUE(LEFT($AB2191,4)),VALUE(MID($AB2191,6,2)),VALUE(RIGHT($AB2191,2))),DATE(VALUE(RIGHT($AB2191,4)),VALUE(MID($AB2191,4,2)),VALUE(LEFT($AB2191,2)))))</f>
        <v>45952</v>
      </c>
      <c r="C2191" s="61" t="n">
        <f aca="false">YEAR($B2191)</f>
        <v>2025</v>
      </c>
      <c r="D2191" s="61" t="str">
        <f aca="false">"Q"&amp;ROUNDUP(MONTH($B2191)/3,0)</f>
        <v>Q4</v>
      </c>
      <c r="E2191" s="61" t="n">
        <f aca="false">MONTH($B2191)</f>
        <v>10</v>
      </c>
      <c r="F2191" s="61" t="str">
        <f aca="false">INDEX(Parametros!$I$5:$I$16,$E2191)</f>
        <v>Oct</v>
      </c>
      <c r="G2191" s="61" t="str">
        <f aca="false">TEXT($C2191,"0000")&amp;"-"&amp;TEXT($E2191,"00")</f>
        <v>2025-10</v>
      </c>
      <c r="H2191" s="61" t="str">
        <f aca="false">INDEX(Parametros!$C$71:$C$91,MATCH(TRIM(INDEX(Datos_Origen!$C$2:$C$2459,$Z2191)),Parametros!$B$71:$B$91,0))</f>
        <v>NOA</v>
      </c>
      <c r="I2191" s="61" t="str">
        <f aca="false">IF(TRIM($AD2191)="",INDEX(Parametros!$I$20:$I$24,MATCH($H2191,Parametros!$H$20:$H$24,0)),TRIM($AD2191))</f>
        <v>Tucuman</v>
      </c>
      <c r="J2191" s="61" t="str">
        <f aca="false">INDEX(Parametros!$C$95:$C$106,MATCH(TRIM(INDEX(Datos_Origen!$E$2:$E$2459,$Z2191)),Parametros!$B$95:$B$106,0))</f>
        <v>E-commerce</v>
      </c>
      <c r="K2191" s="61" t="str">
        <f aca="false">INDEX(Parametros!$C$48:$C$67,MATCH(TRIM(INDEX(Datos_Origen!$F$2:$F$2459,$Z2191)),Parametros!$B$48:$B$67,0))</f>
        <v>Accesorios</v>
      </c>
      <c r="L2191" s="61" t="str">
        <f aca="false">$K2191&amp;" "&amp;$C2191</f>
        <v>Accesorios 2025</v>
      </c>
      <c r="M2191" s="61" t="str">
        <f aca="false">TRIM(INDEX(Datos_Origen!$G$2:$G$2459,$Z2191))</f>
        <v>Teclado Mecanico</v>
      </c>
      <c r="N2191" s="61" t="str">
        <f aca="false">$M2191&amp;" "&amp;$C2191</f>
        <v>Teclado Mecanico 2025</v>
      </c>
      <c r="O2191" s="63" t="n">
        <f aca="false">IF(ISTEXT($AC2191),VALUE($AC2191),$AC2191)</f>
        <v>24</v>
      </c>
      <c r="P2191" s="64" t="n">
        <f aca="false">INDEX(Datos_Origen!$I$2:$I$2459,$Z2191)</f>
        <v>95.38</v>
      </c>
      <c r="Q2191" s="64" t="n">
        <f aca="false">INDEX(Datos_Origen!$J$2:$J$2459,$Z2191)</f>
        <v>49.41</v>
      </c>
      <c r="R2191" s="65" t="n">
        <f aca="false">ROUND($O2191*$P2191,2)</f>
        <v>2289.12</v>
      </c>
      <c r="S2191" s="65" t="n">
        <f aca="false">ROUND($O2191*$Q2191,2)</f>
        <v>1185.84</v>
      </c>
      <c r="T2191" s="65" t="n">
        <f aca="false">ROUND($R2191*SUMIFS(Parametros!$E$28:$E$43,Parametros!$B$28:$B$43,$J2191,Parametros!$C$28:$C$43,$C2191,Parametros!$D$28:$D$43,$D2191),2)</f>
        <v>119.03</v>
      </c>
      <c r="U2191" s="65" t="n">
        <f aca="false">$R2191-$S2191-$T2191</f>
        <v>984.25</v>
      </c>
      <c r="V2191" s="66" t="n">
        <f aca="false">IFERROR($U2191/$R2191,0)</f>
        <v>0.429968721604809</v>
      </c>
      <c r="W2191" s="67" t="str">
        <f aca="false">IF(AND($V2191&gt;=Parametros!$C$8,$R2191&gt;=Parametros!$C$12),"Alta rentabilidad",IF(OR($V2191&lt;Parametros!$C$11,$R2191&lt;Parametros!$C$13),"Revisar","Estandar"))</f>
        <v>Estandar</v>
      </c>
      <c r="X2191" s="67" t="str">
        <f aca="false">IF(AND($J2191="E-commerce",IFERROR($T2191/$R2191,0)&gt;Parametros!$C$14),"Alerta","OK")</f>
        <v>Alerta</v>
      </c>
      <c r="Y2191" s="61" t="str">
        <f aca="false">IF($R2191&gt;=Parametros!$C$12,"Alto",IF($R2191&lt;Parametros!$C$13,"Bajo","Medio"))</f>
        <v>Medio</v>
      </c>
      <c r="Z2191" s="61" t="n">
        <v>1290</v>
      </c>
      <c r="AA2191" s="61" t="str">
        <f aca="false">IF(MATCH($A2191,Datos_Origen!$A$2:$A$2459,0)=$Z2191,"OK","REVISAR")</f>
        <v>OK</v>
      </c>
      <c r="AB2191" s="62" t="n">
        <f aca="false">INDEX(Datos_Origen!$B$2:$B$2459,$Z2191)</f>
        <v>45952</v>
      </c>
      <c r="AC2191" s="61" t="n">
        <f aca="false">INDEX(Datos_Origen!$H$2:$H$2459,$Z2191)</f>
        <v>24</v>
      </c>
      <c r="AD2191" s="61" t="str">
        <f aca="false">INDEX(Datos_Origen!$D$2:$D$2459,$Z2191)&amp;""</f>
        <v>Tucuman</v>
      </c>
    </row>
    <row r="2192" customFormat="false" ht="15" hidden="false" customHeight="false" outlineLevel="0" collapsed="false">
      <c r="A2192" s="61" t="n">
        <f aca="false">INDEX(Datos_Origen!$A$2:$A$2459,$Z2192)</f>
        <v>2191</v>
      </c>
      <c r="B2192" s="62" t="n">
        <f aca="false">IF(ISNUMBER($AB2192),$AB2192,IF(MID($AB2192,5,1)="-",DATE(VALUE(LEFT($AB2192,4)),VALUE(MID($AB2192,6,2)),VALUE(RIGHT($AB2192,2))),DATE(VALUE(RIGHT($AB2192,4)),VALUE(MID($AB2192,4,2)),VALUE(LEFT($AB2192,2)))))</f>
        <v>45932</v>
      </c>
      <c r="C2192" s="61" t="n">
        <f aca="false">YEAR($B2192)</f>
        <v>2025</v>
      </c>
      <c r="D2192" s="61" t="str">
        <f aca="false">"Q"&amp;ROUNDUP(MONTH($B2192)/3,0)</f>
        <v>Q4</v>
      </c>
      <c r="E2192" s="61" t="n">
        <f aca="false">MONTH($B2192)</f>
        <v>10</v>
      </c>
      <c r="F2192" s="61" t="str">
        <f aca="false">INDEX(Parametros!$I$5:$I$16,$E2192)</f>
        <v>Oct</v>
      </c>
      <c r="G2192" s="61" t="str">
        <f aca="false">TEXT($C2192,"0000")&amp;"-"&amp;TEXT($E2192,"00")</f>
        <v>2025-10</v>
      </c>
      <c r="H2192" s="61" t="str">
        <f aca="false">INDEX(Parametros!$C$71:$C$91,MATCH(TRIM(INDEX(Datos_Origen!$C$2:$C$2459,$Z2192)),Parametros!$B$71:$B$91,0))</f>
        <v>NOA</v>
      </c>
      <c r="I2192" s="61" t="str">
        <f aca="false">IF(TRIM($AD2192)="",INDEX(Parametros!$I$20:$I$24,MATCH($H2192,Parametros!$H$20:$H$24,0)),TRIM($AD2192))</f>
        <v>Tucuman</v>
      </c>
      <c r="J2192" s="61" t="str">
        <f aca="false">INDEX(Parametros!$C$95:$C$106,MATCH(TRIM(INDEX(Datos_Origen!$E$2:$E$2459,$Z2192)),Parametros!$B$95:$B$106,0))</f>
        <v>Tienda fisica</v>
      </c>
      <c r="K2192" s="61" t="str">
        <f aca="false">INDEX(Parametros!$C$48:$C$67,MATCH(TRIM(INDEX(Datos_Origen!$F$2:$F$2459,$Z2192)),Parametros!$B$48:$B$67,0))</f>
        <v>Accesorios</v>
      </c>
      <c r="L2192" s="61" t="str">
        <f aca="false">$K2192&amp;" "&amp;$C2192</f>
        <v>Accesorios 2025</v>
      </c>
      <c r="M2192" s="61" t="str">
        <f aca="false">TRIM(INDEX(Datos_Origen!$G$2:$G$2459,$Z2192))</f>
        <v>Webcam Full HD</v>
      </c>
      <c r="N2192" s="61" t="str">
        <f aca="false">$M2192&amp;" "&amp;$C2192</f>
        <v>Webcam Full HD 2025</v>
      </c>
      <c r="O2192" s="63" t="n">
        <f aca="false">IF(ISTEXT($AC2192),VALUE($AC2192),$AC2192)</f>
        <v>27</v>
      </c>
      <c r="P2192" s="64" t="n">
        <f aca="false">INDEX(Datos_Origen!$I$2:$I$2459,$Z2192)</f>
        <v>65.26</v>
      </c>
      <c r="Q2192" s="64" t="n">
        <f aca="false">INDEX(Datos_Origen!$J$2:$J$2459,$Z2192)</f>
        <v>36.49</v>
      </c>
      <c r="R2192" s="65" t="n">
        <f aca="false">ROUND($O2192*$P2192,2)</f>
        <v>1762.02</v>
      </c>
      <c r="S2192" s="65" t="n">
        <f aca="false">ROUND($O2192*$Q2192,2)</f>
        <v>985.23</v>
      </c>
      <c r="T2192" s="65" t="n">
        <f aca="false">ROUND($R2192*SUMIFS(Parametros!$E$28:$E$43,Parametros!$B$28:$B$43,$J2192,Parametros!$C$28:$C$43,$C2192,Parametros!$D$28:$D$43,$D2192),2)</f>
        <v>22.91</v>
      </c>
      <c r="U2192" s="65" t="n">
        <f aca="false">$R2192-$S2192-$T2192</f>
        <v>753.88</v>
      </c>
      <c r="V2192" s="66" t="n">
        <f aca="false">IFERROR($U2192/$R2192,0)</f>
        <v>0.427849854144675</v>
      </c>
      <c r="W2192" s="67" t="str">
        <f aca="false">IF(AND($V2192&gt;=Parametros!$C$8,$R2192&gt;=Parametros!$C$12),"Alta rentabilidad",IF(OR($V2192&lt;Parametros!$C$11,$R2192&lt;Parametros!$C$13),"Revisar","Estandar"))</f>
        <v>Estandar</v>
      </c>
      <c r="X2192" s="67" t="str">
        <f aca="false">IF(AND($J2192="E-commerce",IFERROR($T2192/$R2192,0)&gt;Parametros!$C$14),"Alerta","OK")</f>
        <v>OK</v>
      </c>
      <c r="Y2192" s="61" t="str">
        <f aca="false">IF($R2192&gt;=Parametros!$C$12,"Alto",IF($R2192&lt;Parametros!$C$13,"Bajo","Medio"))</f>
        <v>Medio</v>
      </c>
      <c r="Z2192" s="61" t="n">
        <v>214</v>
      </c>
      <c r="AA2192" s="61" t="str">
        <f aca="false">IF(MATCH($A2192,Datos_Origen!$A$2:$A$2459,0)=$Z2192,"OK","REVISAR")</f>
        <v>OK</v>
      </c>
      <c r="AB2192" s="62" t="n">
        <f aca="false">INDEX(Datos_Origen!$B$2:$B$2459,$Z2192)</f>
        <v>45932</v>
      </c>
      <c r="AC2192" s="61" t="n">
        <f aca="false">INDEX(Datos_Origen!$H$2:$H$2459,$Z2192)</f>
        <v>27</v>
      </c>
      <c r="AD2192" s="61" t="str">
        <f aca="false">INDEX(Datos_Origen!$D$2:$D$2459,$Z2192)&amp;""</f>
        <v>Tucuman</v>
      </c>
    </row>
    <row r="2193" customFormat="false" ht="15" hidden="false" customHeight="false" outlineLevel="0" collapsed="false">
      <c r="A2193" s="61" t="n">
        <f aca="false">INDEX(Datos_Origen!$A$2:$A$2459,$Z2193)</f>
        <v>2192</v>
      </c>
      <c r="B2193" s="62" t="n">
        <f aca="false">IF(ISNUMBER($AB2193),$AB2193,IF(MID($AB2193,5,1)="-",DATE(VALUE(LEFT($AB2193,4)),VALUE(MID($AB2193,6,2)),VALUE(RIGHT($AB2193,2))),DATE(VALUE(RIGHT($AB2193,4)),VALUE(MID($AB2193,4,2)),VALUE(LEFT($AB2193,2)))))</f>
        <v>45939</v>
      </c>
      <c r="C2193" s="61" t="n">
        <f aca="false">YEAR($B2193)</f>
        <v>2025</v>
      </c>
      <c r="D2193" s="61" t="str">
        <f aca="false">"Q"&amp;ROUNDUP(MONTH($B2193)/3,0)</f>
        <v>Q4</v>
      </c>
      <c r="E2193" s="61" t="n">
        <f aca="false">MONTH($B2193)</f>
        <v>10</v>
      </c>
      <c r="F2193" s="61" t="str">
        <f aca="false">INDEX(Parametros!$I$5:$I$16,$E2193)</f>
        <v>Oct</v>
      </c>
      <c r="G2193" s="61" t="str">
        <f aca="false">TEXT($C2193,"0000")&amp;"-"&amp;TEXT($E2193,"00")</f>
        <v>2025-10</v>
      </c>
      <c r="H2193" s="61" t="str">
        <f aca="false">INDEX(Parametros!$C$71:$C$91,MATCH(TRIM(INDEX(Datos_Origen!$C$2:$C$2459,$Z2193)),Parametros!$B$71:$B$91,0))</f>
        <v>NOA</v>
      </c>
      <c r="I2193" s="61" t="str">
        <f aca="false">IF(TRIM($AD2193)="",INDEX(Parametros!$I$20:$I$24,MATCH($H2193,Parametros!$H$20:$H$24,0)),TRIM($AD2193))</f>
        <v>Tucuman</v>
      </c>
      <c r="J2193" s="61" t="str">
        <f aca="false">INDEX(Parametros!$C$95:$C$106,MATCH(TRIM(INDEX(Datos_Origen!$E$2:$E$2459,$Z2193)),Parametros!$B$95:$B$106,0))</f>
        <v>E-commerce</v>
      </c>
      <c r="K2193" s="61" t="str">
        <f aca="false">INDEX(Parametros!$C$48:$C$67,MATCH(TRIM(INDEX(Datos_Origen!$F$2:$F$2459,$Z2193)),Parametros!$B$48:$B$67,0))</f>
        <v>Accesorios</v>
      </c>
      <c r="L2193" s="61" t="str">
        <f aca="false">$K2193&amp;" "&amp;$C2193</f>
        <v>Accesorios 2025</v>
      </c>
      <c r="M2193" s="61" t="str">
        <f aca="false">TRIM(INDEX(Datos_Origen!$G$2:$G$2459,$Z2193))</f>
        <v>Webcam Full HD</v>
      </c>
      <c r="N2193" s="61" t="str">
        <f aca="false">$M2193&amp;" "&amp;$C2193</f>
        <v>Webcam Full HD 2025</v>
      </c>
      <c r="O2193" s="63" t="n">
        <f aca="false">IF(ISTEXT($AC2193),VALUE($AC2193),$AC2193)</f>
        <v>22</v>
      </c>
      <c r="P2193" s="64" t="n">
        <f aca="false">INDEX(Datos_Origen!$I$2:$I$2459,$Z2193)</f>
        <v>65.26</v>
      </c>
      <c r="Q2193" s="64" t="n">
        <f aca="false">INDEX(Datos_Origen!$J$2:$J$2459,$Z2193)</f>
        <v>36.49</v>
      </c>
      <c r="R2193" s="65" t="n">
        <f aca="false">ROUND($O2193*$P2193,2)</f>
        <v>1435.72</v>
      </c>
      <c r="S2193" s="65" t="n">
        <f aca="false">ROUND($O2193*$Q2193,2)</f>
        <v>802.78</v>
      </c>
      <c r="T2193" s="65" t="n">
        <f aca="false">ROUND($R2193*SUMIFS(Parametros!$E$28:$E$43,Parametros!$B$28:$B$43,$J2193,Parametros!$C$28:$C$43,$C2193,Parametros!$D$28:$D$43,$D2193),2)</f>
        <v>74.66</v>
      </c>
      <c r="U2193" s="65" t="n">
        <f aca="false">$R2193-$S2193-$T2193</f>
        <v>558.28</v>
      </c>
      <c r="V2193" s="66" t="n">
        <f aca="false">IFERROR($U2193/$R2193,0)</f>
        <v>0.38885019363107</v>
      </c>
      <c r="W2193" s="67" t="str">
        <f aca="false">IF(AND($V2193&gt;=Parametros!$C$8,$R2193&gt;=Parametros!$C$12),"Alta rentabilidad",IF(OR($V2193&lt;Parametros!$C$11,$R2193&lt;Parametros!$C$13),"Revisar","Estandar"))</f>
        <v>Estandar</v>
      </c>
      <c r="X2193" s="67" t="str">
        <f aca="false">IF(AND($J2193="E-commerce",IFERROR($T2193/$R2193,0)&gt;Parametros!$C$14),"Alerta","OK")</f>
        <v>Alerta</v>
      </c>
      <c r="Y2193" s="61" t="str">
        <f aca="false">IF($R2193&gt;=Parametros!$C$12,"Alto",IF($R2193&lt;Parametros!$C$13,"Bajo","Medio"))</f>
        <v>Medio</v>
      </c>
      <c r="Z2193" s="61" t="n">
        <v>18</v>
      </c>
      <c r="AA2193" s="61" t="str">
        <f aca="false">IF(MATCH($A2193,Datos_Origen!$A$2:$A$2459,0)=$Z2193,"OK","REVISAR")</f>
        <v>OK</v>
      </c>
      <c r="AB2193" s="62" t="n">
        <f aca="false">INDEX(Datos_Origen!$B$2:$B$2459,$Z2193)</f>
        <v>45939</v>
      </c>
      <c r="AC2193" s="61" t="n">
        <f aca="false">INDEX(Datos_Origen!$H$2:$H$2459,$Z2193)</f>
        <v>22</v>
      </c>
      <c r="AD2193" s="61" t="str">
        <f aca="false">INDEX(Datos_Origen!$D$2:$D$2459,$Z2193)&amp;""</f>
        <v>Tucuman</v>
      </c>
    </row>
    <row r="2194" customFormat="false" ht="15" hidden="false" customHeight="false" outlineLevel="0" collapsed="false">
      <c r="A2194" s="61" t="n">
        <f aca="false">INDEX(Datos_Origen!$A$2:$A$2459,$Z2194)</f>
        <v>2193</v>
      </c>
      <c r="B2194" s="62" t="n">
        <f aca="false">IF(ISNUMBER($AB2194),$AB2194,IF(MID($AB2194,5,1)="-",DATE(VALUE(LEFT($AB2194,4)),VALUE(MID($AB2194,6,2)),VALUE(RIGHT($AB2194,2))),DATE(VALUE(RIGHT($AB2194,4)),VALUE(MID($AB2194,4,2)),VALUE(LEFT($AB2194,2)))))</f>
        <v>45946</v>
      </c>
      <c r="C2194" s="61" t="n">
        <f aca="false">YEAR($B2194)</f>
        <v>2025</v>
      </c>
      <c r="D2194" s="61" t="str">
        <f aca="false">"Q"&amp;ROUNDUP(MONTH($B2194)/3,0)</f>
        <v>Q4</v>
      </c>
      <c r="E2194" s="61" t="n">
        <f aca="false">MONTH($B2194)</f>
        <v>10</v>
      </c>
      <c r="F2194" s="61" t="str">
        <f aca="false">INDEX(Parametros!$I$5:$I$16,$E2194)</f>
        <v>Oct</v>
      </c>
      <c r="G2194" s="61" t="str">
        <f aca="false">TEXT($C2194,"0000")&amp;"-"&amp;TEXT($E2194,"00")</f>
        <v>2025-10</v>
      </c>
      <c r="H2194" s="61" t="str">
        <f aca="false">INDEX(Parametros!$C$71:$C$91,MATCH(TRIM(INDEX(Datos_Origen!$C$2:$C$2459,$Z2194)),Parametros!$B$71:$B$91,0))</f>
        <v>NOA</v>
      </c>
      <c r="I2194" s="61" t="str">
        <f aca="false">IF(TRIM($AD2194)="",INDEX(Parametros!$I$20:$I$24,MATCH($H2194,Parametros!$H$20:$H$24,0)),TRIM($AD2194))</f>
        <v>Tucuman</v>
      </c>
      <c r="J2194" s="61" t="str">
        <f aca="false">INDEX(Parametros!$C$95:$C$106,MATCH(TRIM(INDEX(Datos_Origen!$E$2:$E$2459,$Z2194)),Parametros!$B$95:$B$106,0))</f>
        <v>Tienda fisica</v>
      </c>
      <c r="K2194" s="61" t="str">
        <f aca="false">INDEX(Parametros!$C$48:$C$67,MATCH(TRIM(INDEX(Datos_Origen!$F$2:$F$2459,$Z2194)),Parametros!$B$48:$B$67,0))</f>
        <v>Audio</v>
      </c>
      <c r="L2194" s="61" t="str">
        <f aca="false">$K2194&amp;" "&amp;$C2194</f>
        <v>Audio 2025</v>
      </c>
      <c r="M2194" s="61" t="str">
        <f aca="false">TRIM(INDEX(Datos_Origen!$G$2:$G$2459,$Z2194))</f>
        <v>Auriculares BT Pro</v>
      </c>
      <c r="N2194" s="61" t="str">
        <f aca="false">$M2194&amp;" "&amp;$C2194</f>
        <v>Auriculares BT Pro 2025</v>
      </c>
      <c r="O2194" s="63" t="n">
        <f aca="false">IF(ISTEXT($AC2194),VALUE($AC2194),$AC2194)</f>
        <v>13</v>
      </c>
      <c r="P2194" s="64" t="n">
        <f aca="false">INDEX(Datos_Origen!$I$2:$I$2459,$Z2194)</f>
        <v>120.47</v>
      </c>
      <c r="Q2194" s="64" t="n">
        <f aca="false">INDEX(Datos_Origen!$J$2:$J$2459,$Z2194)</f>
        <v>65.51</v>
      </c>
      <c r="R2194" s="65" t="n">
        <f aca="false">ROUND($O2194*$P2194,2)</f>
        <v>1566.11</v>
      </c>
      <c r="S2194" s="65" t="n">
        <f aca="false">ROUND($O2194*$Q2194,2)</f>
        <v>851.63</v>
      </c>
      <c r="T2194" s="65" t="n">
        <f aca="false">ROUND($R2194*SUMIFS(Parametros!$E$28:$E$43,Parametros!$B$28:$B$43,$J2194,Parametros!$C$28:$C$43,$C2194,Parametros!$D$28:$D$43,$D2194),2)</f>
        <v>20.36</v>
      </c>
      <c r="U2194" s="65" t="n">
        <f aca="false">$R2194-$S2194-$T2194</f>
        <v>694.12</v>
      </c>
      <c r="V2194" s="66" t="n">
        <f aca="false">IFERROR($U2194/$R2194,0)</f>
        <v>0.443212801144236</v>
      </c>
      <c r="W2194" s="67" t="str">
        <f aca="false">IF(AND($V2194&gt;=Parametros!$C$8,$R2194&gt;=Parametros!$C$12),"Alta rentabilidad",IF(OR($V2194&lt;Parametros!$C$11,$R2194&lt;Parametros!$C$13),"Revisar","Estandar"))</f>
        <v>Estandar</v>
      </c>
      <c r="X2194" s="67" t="str">
        <f aca="false">IF(AND($J2194="E-commerce",IFERROR($T2194/$R2194,0)&gt;Parametros!$C$14),"Alerta","OK")</f>
        <v>OK</v>
      </c>
      <c r="Y2194" s="61" t="str">
        <f aca="false">IF($R2194&gt;=Parametros!$C$12,"Alto",IF($R2194&lt;Parametros!$C$13,"Bajo","Medio"))</f>
        <v>Medio</v>
      </c>
      <c r="Z2194" s="61" t="n">
        <v>1827</v>
      </c>
      <c r="AA2194" s="61" t="str">
        <f aca="false">IF(MATCH($A2194,Datos_Origen!$A$2:$A$2459,0)=$Z2194,"OK","REVISAR")</f>
        <v>OK</v>
      </c>
      <c r="AB2194" s="61" t="str">
        <f aca="false">INDEX(Datos_Origen!$B$2:$B$2459,$Z2194)</f>
        <v>2025-10-16</v>
      </c>
      <c r="AC2194" s="61" t="n">
        <f aca="false">INDEX(Datos_Origen!$H$2:$H$2459,$Z2194)</f>
        <v>13</v>
      </c>
      <c r="AD2194" s="61" t="str">
        <f aca="false">INDEX(Datos_Origen!$D$2:$D$2459,$Z2194)&amp;""</f>
        <v>Tucuman</v>
      </c>
    </row>
    <row r="2195" customFormat="false" ht="15" hidden="false" customHeight="false" outlineLevel="0" collapsed="false">
      <c r="A2195" s="61" t="n">
        <f aca="false">INDEX(Datos_Origen!$A$2:$A$2459,$Z2195)</f>
        <v>2194</v>
      </c>
      <c r="B2195" s="62" t="n">
        <f aca="false">IF(ISNUMBER($AB2195),$AB2195,IF(MID($AB2195,5,1)="-",DATE(VALUE(LEFT($AB2195,4)),VALUE(MID($AB2195,6,2)),VALUE(RIGHT($AB2195,2))),DATE(VALUE(RIGHT($AB2195,4)),VALUE(MID($AB2195,4,2)),VALUE(LEFT($AB2195,2)))))</f>
        <v>45953</v>
      </c>
      <c r="C2195" s="61" t="n">
        <f aca="false">YEAR($B2195)</f>
        <v>2025</v>
      </c>
      <c r="D2195" s="61" t="str">
        <f aca="false">"Q"&amp;ROUNDUP(MONTH($B2195)/3,0)</f>
        <v>Q4</v>
      </c>
      <c r="E2195" s="61" t="n">
        <f aca="false">MONTH($B2195)</f>
        <v>10</v>
      </c>
      <c r="F2195" s="61" t="str">
        <f aca="false">INDEX(Parametros!$I$5:$I$16,$E2195)</f>
        <v>Oct</v>
      </c>
      <c r="G2195" s="61" t="str">
        <f aca="false">TEXT($C2195,"0000")&amp;"-"&amp;TEXT($E2195,"00")</f>
        <v>2025-10</v>
      </c>
      <c r="H2195" s="61" t="str">
        <f aca="false">INDEX(Parametros!$C$71:$C$91,MATCH(TRIM(INDEX(Datos_Origen!$C$2:$C$2459,$Z2195)),Parametros!$B$71:$B$91,0))</f>
        <v>NOA</v>
      </c>
      <c r="I2195" s="61" t="str">
        <f aca="false">IF(TRIM($AD2195)="",INDEX(Parametros!$I$20:$I$24,MATCH($H2195,Parametros!$H$20:$H$24,0)),TRIM($AD2195))</f>
        <v>Tucuman</v>
      </c>
      <c r="J2195" s="61" t="str">
        <f aca="false">INDEX(Parametros!$C$95:$C$106,MATCH(TRIM(INDEX(Datos_Origen!$E$2:$E$2459,$Z2195)),Parametros!$B$95:$B$106,0))</f>
        <v>E-commerce</v>
      </c>
      <c r="K2195" s="61" t="str">
        <f aca="false">INDEX(Parametros!$C$48:$C$67,MATCH(TRIM(INDEX(Datos_Origen!$F$2:$F$2459,$Z2195)),Parametros!$B$48:$B$67,0))</f>
        <v>Audio</v>
      </c>
      <c r="L2195" s="61" t="str">
        <f aca="false">$K2195&amp;" "&amp;$C2195</f>
        <v>Audio 2025</v>
      </c>
      <c r="M2195" s="61" t="str">
        <f aca="false">TRIM(INDEX(Datos_Origen!$G$2:$G$2459,$Z2195))</f>
        <v>Auriculares BT Pro</v>
      </c>
      <c r="N2195" s="61" t="str">
        <f aca="false">$M2195&amp;" "&amp;$C2195</f>
        <v>Auriculares BT Pro 2025</v>
      </c>
      <c r="O2195" s="63" t="n">
        <f aca="false">IF(ISTEXT($AC2195),VALUE($AC2195),$AC2195)</f>
        <v>9</v>
      </c>
      <c r="P2195" s="64" t="n">
        <f aca="false">INDEX(Datos_Origen!$I$2:$I$2459,$Z2195)</f>
        <v>120.47</v>
      </c>
      <c r="Q2195" s="64" t="n">
        <f aca="false">INDEX(Datos_Origen!$J$2:$J$2459,$Z2195)</f>
        <v>65.51</v>
      </c>
      <c r="R2195" s="65" t="n">
        <f aca="false">ROUND($O2195*$P2195,2)</f>
        <v>1084.23</v>
      </c>
      <c r="S2195" s="65" t="n">
        <f aca="false">ROUND($O2195*$Q2195,2)</f>
        <v>589.59</v>
      </c>
      <c r="T2195" s="65" t="n">
        <f aca="false">ROUND($R2195*SUMIFS(Parametros!$E$28:$E$43,Parametros!$B$28:$B$43,$J2195,Parametros!$C$28:$C$43,$C2195,Parametros!$D$28:$D$43,$D2195),2)</f>
        <v>56.38</v>
      </c>
      <c r="U2195" s="65" t="n">
        <f aca="false">$R2195-$S2195-$T2195</f>
        <v>438.26</v>
      </c>
      <c r="V2195" s="66" t="n">
        <f aca="false">IFERROR($U2195/$R2195,0)</f>
        <v>0.404213128210804</v>
      </c>
      <c r="W2195" s="67" t="str">
        <f aca="false">IF(AND($V2195&gt;=Parametros!$C$8,$R2195&gt;=Parametros!$C$12),"Alta rentabilidad",IF(OR($V2195&lt;Parametros!$C$11,$R2195&lt;Parametros!$C$13),"Revisar","Estandar"))</f>
        <v>Estandar</v>
      </c>
      <c r="X2195" s="67" t="str">
        <f aca="false">IF(AND($J2195="E-commerce",IFERROR($T2195/$R2195,0)&gt;Parametros!$C$14),"Alerta","OK")</f>
        <v>Alerta</v>
      </c>
      <c r="Y2195" s="61" t="str">
        <f aca="false">IF($R2195&gt;=Parametros!$C$12,"Alto",IF($R2195&lt;Parametros!$C$13,"Bajo","Medio"))</f>
        <v>Medio</v>
      </c>
      <c r="Z2195" s="61" t="n">
        <v>2020</v>
      </c>
      <c r="AA2195" s="61" t="str">
        <f aca="false">IF(MATCH($A2195,Datos_Origen!$A$2:$A$2459,0)=$Z2195,"OK","REVISAR")</f>
        <v>OK</v>
      </c>
      <c r="AB2195" s="61" t="str">
        <f aca="false">INDEX(Datos_Origen!$B$2:$B$2459,$Z2195)</f>
        <v>23/10/2025</v>
      </c>
      <c r="AC2195" s="61" t="n">
        <f aca="false">INDEX(Datos_Origen!$H$2:$H$2459,$Z2195)</f>
        <v>9</v>
      </c>
      <c r="AD2195" s="61" t="str">
        <f aca="false">INDEX(Datos_Origen!$D$2:$D$2459,$Z2195)&amp;""</f>
        <v>Tucuman</v>
      </c>
    </row>
    <row r="2196" customFormat="false" ht="15" hidden="false" customHeight="false" outlineLevel="0" collapsed="false">
      <c r="A2196" s="61" t="n">
        <f aca="false">INDEX(Datos_Origen!$A$2:$A$2459,$Z2196)</f>
        <v>2195</v>
      </c>
      <c r="B2196" s="62" t="n">
        <f aca="false">IF(ISNUMBER($AB2196),$AB2196,IF(MID($AB2196,5,1)="-",DATE(VALUE(LEFT($AB2196,4)),VALUE(MID($AB2196,6,2)),VALUE(RIGHT($AB2196,2))),DATE(VALUE(RIGHT($AB2196,4)),VALUE(MID($AB2196,4,2)),VALUE(LEFT($AB2196,2)))))</f>
        <v>45933</v>
      </c>
      <c r="C2196" s="61" t="n">
        <f aca="false">YEAR($B2196)</f>
        <v>2025</v>
      </c>
      <c r="D2196" s="61" t="str">
        <f aca="false">"Q"&amp;ROUNDUP(MONTH($B2196)/3,0)</f>
        <v>Q4</v>
      </c>
      <c r="E2196" s="61" t="n">
        <f aca="false">MONTH($B2196)</f>
        <v>10</v>
      </c>
      <c r="F2196" s="61" t="str">
        <f aca="false">INDEX(Parametros!$I$5:$I$16,$E2196)</f>
        <v>Oct</v>
      </c>
      <c r="G2196" s="61" t="str">
        <f aca="false">TEXT($C2196,"0000")&amp;"-"&amp;TEXT($E2196,"00")</f>
        <v>2025-10</v>
      </c>
      <c r="H2196" s="61" t="str">
        <f aca="false">INDEX(Parametros!$C$71:$C$91,MATCH(TRIM(INDEX(Datos_Origen!$C$2:$C$2459,$Z2196)),Parametros!$B$71:$B$91,0))</f>
        <v>NOA</v>
      </c>
      <c r="I2196" s="61" t="str">
        <f aca="false">IF(TRIM($AD2196)="",INDEX(Parametros!$I$20:$I$24,MATCH($H2196,Parametros!$H$20:$H$24,0)),TRIM($AD2196))</f>
        <v>Tucuman</v>
      </c>
      <c r="J2196" s="61" t="str">
        <f aca="false">INDEX(Parametros!$C$95:$C$106,MATCH(TRIM(INDEX(Datos_Origen!$E$2:$E$2459,$Z2196)),Parametros!$B$95:$B$106,0))</f>
        <v>Tienda fisica</v>
      </c>
      <c r="K2196" s="61" t="str">
        <f aca="false">INDEX(Parametros!$C$48:$C$67,MATCH(TRIM(INDEX(Datos_Origen!$F$2:$F$2459,$Z2196)),Parametros!$B$48:$B$67,0))</f>
        <v>Audio</v>
      </c>
      <c r="L2196" s="61" t="str">
        <f aca="false">$K2196&amp;" "&amp;$C2196</f>
        <v>Audio 2025</v>
      </c>
      <c r="M2196" s="61" t="str">
        <f aca="false">TRIM(INDEX(Datos_Origen!$G$2:$G$2459,$Z2196))</f>
        <v>Parlante Bluetooth</v>
      </c>
      <c r="N2196" s="61" t="str">
        <f aca="false">$M2196&amp;" "&amp;$C2196</f>
        <v>Parlante Bluetooth 2025</v>
      </c>
      <c r="O2196" s="63" t="n">
        <f aca="false">IF(ISTEXT($AC2196),VALUE($AC2196),$AC2196)</f>
        <v>16</v>
      </c>
      <c r="P2196" s="64" t="n">
        <f aca="false">INDEX(Datos_Origen!$I$2:$I$2459,$Z2196)</f>
        <v>85.34</v>
      </c>
      <c r="Q2196" s="64" t="n">
        <f aca="false">INDEX(Datos_Origen!$J$2:$J$2459,$Z2196)</f>
        <v>49.47</v>
      </c>
      <c r="R2196" s="65" t="n">
        <f aca="false">ROUND($O2196*$P2196,2)</f>
        <v>1365.44</v>
      </c>
      <c r="S2196" s="65" t="n">
        <f aca="false">ROUND($O2196*$Q2196,2)</f>
        <v>791.52</v>
      </c>
      <c r="T2196" s="65" t="n">
        <f aca="false">ROUND($R2196*SUMIFS(Parametros!$E$28:$E$43,Parametros!$B$28:$B$43,$J2196,Parametros!$C$28:$C$43,$C2196,Parametros!$D$28:$D$43,$D2196),2)</f>
        <v>17.75</v>
      </c>
      <c r="U2196" s="65" t="n">
        <f aca="false">$R2196-$S2196-$T2196</f>
        <v>556.17</v>
      </c>
      <c r="V2196" s="66" t="n">
        <f aca="false">IFERROR($U2196/$R2196,0)</f>
        <v>0.407319252402156</v>
      </c>
      <c r="W2196" s="67" t="str">
        <f aca="false">IF(AND($V2196&gt;=Parametros!$C$8,$R2196&gt;=Parametros!$C$12),"Alta rentabilidad",IF(OR($V2196&lt;Parametros!$C$11,$R2196&lt;Parametros!$C$13),"Revisar","Estandar"))</f>
        <v>Estandar</v>
      </c>
      <c r="X2196" s="67" t="str">
        <f aca="false">IF(AND($J2196="E-commerce",IFERROR($T2196/$R2196,0)&gt;Parametros!$C$14),"Alerta","OK")</f>
        <v>OK</v>
      </c>
      <c r="Y2196" s="61" t="str">
        <f aca="false">IF($R2196&gt;=Parametros!$C$12,"Alto",IF($R2196&lt;Parametros!$C$13,"Bajo","Medio"))</f>
        <v>Medio</v>
      </c>
      <c r="Z2196" s="61" t="n">
        <v>1193</v>
      </c>
      <c r="AA2196" s="61" t="str">
        <f aca="false">IF(MATCH($A2196,Datos_Origen!$A$2:$A$2459,0)=$Z2196,"OK","REVISAR")</f>
        <v>OK</v>
      </c>
      <c r="AB2196" s="62" t="n">
        <f aca="false">INDEX(Datos_Origen!$B$2:$B$2459,$Z2196)</f>
        <v>45933</v>
      </c>
      <c r="AC2196" s="61" t="n">
        <f aca="false">INDEX(Datos_Origen!$H$2:$H$2459,$Z2196)</f>
        <v>16</v>
      </c>
      <c r="AD2196" s="61" t="str">
        <f aca="false">INDEX(Datos_Origen!$D$2:$D$2459,$Z2196)&amp;""</f>
        <v>Tucuman</v>
      </c>
    </row>
    <row r="2197" customFormat="false" ht="15" hidden="false" customHeight="false" outlineLevel="0" collapsed="false">
      <c r="A2197" s="61" t="n">
        <f aca="false">INDEX(Datos_Origen!$A$2:$A$2459,$Z2197)</f>
        <v>2196</v>
      </c>
      <c r="B2197" s="62" t="n">
        <f aca="false">IF(ISNUMBER($AB2197),$AB2197,IF(MID($AB2197,5,1)="-",DATE(VALUE(LEFT($AB2197,4)),VALUE(MID($AB2197,6,2)),VALUE(RIGHT($AB2197,2))),DATE(VALUE(RIGHT($AB2197,4)),VALUE(MID($AB2197,4,2)),VALUE(LEFT($AB2197,2)))))</f>
        <v>45940</v>
      </c>
      <c r="C2197" s="61" t="n">
        <f aca="false">YEAR($B2197)</f>
        <v>2025</v>
      </c>
      <c r="D2197" s="61" t="str">
        <f aca="false">"Q"&amp;ROUNDUP(MONTH($B2197)/3,0)</f>
        <v>Q4</v>
      </c>
      <c r="E2197" s="61" t="n">
        <f aca="false">MONTH($B2197)</f>
        <v>10</v>
      </c>
      <c r="F2197" s="61" t="str">
        <f aca="false">INDEX(Parametros!$I$5:$I$16,$E2197)</f>
        <v>Oct</v>
      </c>
      <c r="G2197" s="61" t="str">
        <f aca="false">TEXT($C2197,"0000")&amp;"-"&amp;TEXT($E2197,"00")</f>
        <v>2025-10</v>
      </c>
      <c r="H2197" s="61" t="str">
        <f aca="false">INDEX(Parametros!$C$71:$C$91,MATCH(TRIM(INDEX(Datos_Origen!$C$2:$C$2459,$Z2197)),Parametros!$B$71:$B$91,0))</f>
        <v>NOA</v>
      </c>
      <c r="I2197" s="61" t="str">
        <f aca="false">IF(TRIM($AD2197)="",INDEX(Parametros!$I$20:$I$24,MATCH($H2197,Parametros!$H$20:$H$24,0)),TRIM($AD2197))</f>
        <v>Tucuman</v>
      </c>
      <c r="J2197" s="61" t="str">
        <f aca="false">INDEX(Parametros!$C$95:$C$106,MATCH(TRIM(INDEX(Datos_Origen!$E$2:$E$2459,$Z2197)),Parametros!$B$95:$B$106,0))</f>
        <v>E-commerce</v>
      </c>
      <c r="K2197" s="61" t="str">
        <f aca="false">INDEX(Parametros!$C$48:$C$67,MATCH(TRIM(INDEX(Datos_Origen!$F$2:$F$2459,$Z2197)),Parametros!$B$48:$B$67,0))</f>
        <v>Audio</v>
      </c>
      <c r="L2197" s="61" t="str">
        <f aca="false">$K2197&amp;" "&amp;$C2197</f>
        <v>Audio 2025</v>
      </c>
      <c r="M2197" s="61" t="str">
        <f aca="false">TRIM(INDEX(Datos_Origen!$G$2:$G$2459,$Z2197))</f>
        <v>Parlante Bluetooth</v>
      </c>
      <c r="N2197" s="61" t="str">
        <f aca="false">$M2197&amp;" "&amp;$C2197</f>
        <v>Parlante Bluetooth 2025</v>
      </c>
      <c r="O2197" s="63" t="n">
        <f aca="false">IF(ISTEXT($AC2197),VALUE($AC2197),$AC2197)</f>
        <v>11</v>
      </c>
      <c r="P2197" s="64" t="n">
        <f aca="false">INDEX(Datos_Origen!$I$2:$I$2459,$Z2197)</f>
        <v>85.34</v>
      </c>
      <c r="Q2197" s="64" t="n">
        <f aca="false">INDEX(Datos_Origen!$J$2:$J$2459,$Z2197)</f>
        <v>49.47</v>
      </c>
      <c r="R2197" s="65" t="n">
        <f aca="false">ROUND($O2197*$P2197,2)</f>
        <v>938.74</v>
      </c>
      <c r="S2197" s="65" t="n">
        <f aca="false">ROUND($O2197*$Q2197,2)</f>
        <v>544.17</v>
      </c>
      <c r="T2197" s="65" t="n">
        <f aca="false">ROUND($R2197*SUMIFS(Parametros!$E$28:$E$43,Parametros!$B$28:$B$43,$J2197,Parametros!$C$28:$C$43,$C2197,Parametros!$D$28:$D$43,$D2197),2)</f>
        <v>48.81</v>
      </c>
      <c r="U2197" s="65" t="n">
        <f aca="false">$R2197-$S2197-$T2197</f>
        <v>345.76</v>
      </c>
      <c r="V2197" s="66" t="n">
        <f aca="false">IFERROR($U2197/$R2197,0)</f>
        <v>0.368323497454034</v>
      </c>
      <c r="W2197" s="67" t="str">
        <f aca="false">IF(AND($V2197&gt;=Parametros!$C$8,$R2197&gt;=Parametros!$C$12),"Alta rentabilidad",IF(OR($V2197&lt;Parametros!$C$11,$R2197&lt;Parametros!$C$13),"Revisar","Estandar"))</f>
        <v>Estandar</v>
      </c>
      <c r="X2197" s="67" t="str">
        <f aca="false">IF(AND($J2197="E-commerce",IFERROR($T2197/$R2197,0)&gt;Parametros!$C$14),"Alerta","OK")</f>
        <v>Alerta</v>
      </c>
      <c r="Y2197" s="61" t="str">
        <f aca="false">IF($R2197&gt;=Parametros!$C$12,"Alto",IF($R2197&lt;Parametros!$C$13,"Bajo","Medio"))</f>
        <v>Medio</v>
      </c>
      <c r="Z2197" s="61" t="n">
        <v>1762</v>
      </c>
      <c r="AA2197" s="61" t="str">
        <f aca="false">IF(MATCH($A2197,Datos_Origen!$A$2:$A$2459,0)=$Z2197,"OK","REVISAR")</f>
        <v>OK</v>
      </c>
      <c r="AB2197" s="61" t="str">
        <f aca="false">INDEX(Datos_Origen!$B$2:$B$2459,$Z2197)</f>
        <v>2025-10-10</v>
      </c>
      <c r="AC2197" s="61" t="n">
        <f aca="false">INDEX(Datos_Origen!$H$2:$H$2459,$Z2197)</f>
        <v>11</v>
      </c>
      <c r="AD2197" s="61" t="str">
        <f aca="false">INDEX(Datos_Origen!$D$2:$D$2459,$Z2197)&amp;""</f>
        <v>Tucuman</v>
      </c>
    </row>
    <row r="2198" customFormat="false" ht="15" hidden="false" customHeight="false" outlineLevel="0" collapsed="false">
      <c r="A2198" s="61" t="n">
        <f aca="false">INDEX(Datos_Origen!$A$2:$A$2459,$Z2198)</f>
        <v>2197</v>
      </c>
      <c r="B2198" s="62" t="n">
        <f aca="false">IF(ISNUMBER($AB2198),$AB2198,IF(MID($AB2198,5,1)="-",DATE(VALUE(LEFT($AB2198,4)),VALUE(MID($AB2198,6,2)),VALUE(RIGHT($AB2198,2))),DATE(VALUE(RIGHT($AB2198,4)),VALUE(MID($AB2198,4,2)),VALUE(LEFT($AB2198,2)))))</f>
        <v>45947</v>
      </c>
      <c r="C2198" s="61" t="n">
        <f aca="false">YEAR($B2198)</f>
        <v>2025</v>
      </c>
      <c r="D2198" s="61" t="str">
        <f aca="false">"Q"&amp;ROUNDUP(MONTH($B2198)/3,0)</f>
        <v>Q4</v>
      </c>
      <c r="E2198" s="61" t="n">
        <f aca="false">MONTH($B2198)</f>
        <v>10</v>
      </c>
      <c r="F2198" s="61" t="str">
        <f aca="false">INDEX(Parametros!$I$5:$I$16,$E2198)</f>
        <v>Oct</v>
      </c>
      <c r="G2198" s="61" t="str">
        <f aca="false">TEXT($C2198,"0000")&amp;"-"&amp;TEXT($E2198,"00")</f>
        <v>2025-10</v>
      </c>
      <c r="H2198" s="61" t="str">
        <f aca="false">INDEX(Parametros!$C$71:$C$91,MATCH(TRIM(INDEX(Datos_Origen!$C$2:$C$2459,$Z2198)),Parametros!$B$71:$B$91,0))</f>
        <v>NOA</v>
      </c>
      <c r="I2198" s="61" t="str">
        <f aca="false">IF(TRIM($AD2198)="",INDEX(Parametros!$I$20:$I$24,MATCH($H2198,Parametros!$H$20:$H$24,0)),TRIM($AD2198))</f>
        <v>Tucuman</v>
      </c>
      <c r="J2198" s="61" t="str">
        <f aca="false">INDEX(Parametros!$C$95:$C$106,MATCH(TRIM(INDEX(Datos_Origen!$E$2:$E$2459,$Z2198)),Parametros!$B$95:$B$106,0))</f>
        <v>Tienda fisica</v>
      </c>
      <c r="K2198" s="61" t="str">
        <f aca="false">INDEX(Parametros!$C$48:$C$67,MATCH(TRIM(INDEX(Datos_Origen!$F$2:$F$2459,$Z2198)),Parametros!$B$48:$B$67,0))</f>
        <v>Almacenamiento</v>
      </c>
      <c r="L2198" s="61" t="str">
        <f aca="false">$K2198&amp;" "&amp;$C2198</f>
        <v>Almacenamiento 2025</v>
      </c>
      <c r="M2198" s="61" t="str">
        <f aca="false">TRIM(INDEX(Datos_Origen!$G$2:$G$2459,$Z2198))</f>
        <v>SSD Externo 1TB</v>
      </c>
      <c r="N2198" s="61" t="str">
        <f aca="false">$M2198&amp;" "&amp;$C2198</f>
        <v>SSD Externo 1TB 2025</v>
      </c>
      <c r="O2198" s="63" t="n">
        <f aca="false">IF(ISTEXT($AC2198),VALUE($AC2198),$AC2198)</f>
        <v>17</v>
      </c>
      <c r="P2198" s="64" t="n">
        <f aca="false">INDEX(Datos_Origen!$I$2:$I$2459,$Z2198)</f>
        <v>130.51</v>
      </c>
      <c r="Q2198" s="64" t="n">
        <f aca="false">INDEX(Datos_Origen!$J$2:$J$2459,$Z2198)</f>
        <v>78.33</v>
      </c>
      <c r="R2198" s="65" t="n">
        <f aca="false">ROUND($O2198*$P2198,2)</f>
        <v>2218.67</v>
      </c>
      <c r="S2198" s="65" t="n">
        <f aca="false">ROUND($O2198*$Q2198,2)</f>
        <v>1331.61</v>
      </c>
      <c r="T2198" s="65" t="n">
        <f aca="false">ROUND($R2198*SUMIFS(Parametros!$E$28:$E$43,Parametros!$B$28:$B$43,$J2198,Parametros!$C$28:$C$43,$C2198,Parametros!$D$28:$D$43,$D2198),2)</f>
        <v>28.84</v>
      </c>
      <c r="U2198" s="65" t="n">
        <f aca="false">$R2198-$S2198-$T2198</f>
        <v>858.22</v>
      </c>
      <c r="V2198" s="66" t="n">
        <f aca="false">IFERROR($U2198/$R2198,0)</f>
        <v>0.386817327498006</v>
      </c>
      <c r="W2198" s="67" t="str">
        <f aca="false">IF(AND($V2198&gt;=Parametros!$C$8,$R2198&gt;=Parametros!$C$12),"Alta rentabilidad",IF(OR($V2198&lt;Parametros!$C$11,$R2198&lt;Parametros!$C$13),"Revisar","Estandar"))</f>
        <v>Estandar</v>
      </c>
      <c r="X2198" s="67" t="str">
        <f aca="false">IF(AND($J2198="E-commerce",IFERROR($T2198/$R2198,0)&gt;Parametros!$C$14),"Alerta","OK")</f>
        <v>OK</v>
      </c>
      <c r="Y2198" s="61" t="str">
        <f aca="false">IF($R2198&gt;=Parametros!$C$12,"Alto",IF($R2198&lt;Parametros!$C$13,"Bajo","Medio"))</f>
        <v>Medio</v>
      </c>
      <c r="Z2198" s="61" t="n">
        <v>347</v>
      </c>
      <c r="AA2198" s="61" t="str">
        <f aca="false">IF(MATCH($A2198,Datos_Origen!$A$2:$A$2459,0)=$Z2198,"OK","REVISAR")</f>
        <v>OK</v>
      </c>
      <c r="AB2198" s="62" t="n">
        <f aca="false">INDEX(Datos_Origen!$B$2:$B$2459,$Z2198)</f>
        <v>45947</v>
      </c>
      <c r="AC2198" s="61" t="n">
        <f aca="false">INDEX(Datos_Origen!$H$2:$H$2459,$Z2198)</f>
        <v>17</v>
      </c>
      <c r="AD2198" s="61" t="str">
        <f aca="false">INDEX(Datos_Origen!$D$2:$D$2459,$Z2198)&amp;""</f>
        <v>Tucuman</v>
      </c>
    </row>
    <row r="2199" customFormat="false" ht="15" hidden="false" customHeight="false" outlineLevel="0" collapsed="false">
      <c r="A2199" s="61" t="n">
        <f aca="false">INDEX(Datos_Origen!$A$2:$A$2459,$Z2199)</f>
        <v>2198</v>
      </c>
      <c r="B2199" s="62" t="n">
        <f aca="false">IF(ISNUMBER($AB2199),$AB2199,IF(MID($AB2199,5,1)="-",DATE(VALUE(LEFT($AB2199,4)),VALUE(MID($AB2199,6,2)),VALUE(RIGHT($AB2199,2))),DATE(VALUE(RIGHT($AB2199,4)),VALUE(MID($AB2199,4,2)),VALUE(LEFT($AB2199,2)))))</f>
        <v>45954</v>
      </c>
      <c r="C2199" s="61" t="n">
        <f aca="false">YEAR($B2199)</f>
        <v>2025</v>
      </c>
      <c r="D2199" s="61" t="str">
        <f aca="false">"Q"&amp;ROUNDUP(MONTH($B2199)/3,0)</f>
        <v>Q4</v>
      </c>
      <c r="E2199" s="61" t="n">
        <f aca="false">MONTH($B2199)</f>
        <v>10</v>
      </c>
      <c r="F2199" s="61" t="str">
        <f aca="false">INDEX(Parametros!$I$5:$I$16,$E2199)</f>
        <v>Oct</v>
      </c>
      <c r="G2199" s="61" t="str">
        <f aca="false">TEXT($C2199,"0000")&amp;"-"&amp;TEXT($E2199,"00")</f>
        <v>2025-10</v>
      </c>
      <c r="H2199" s="61" t="str">
        <f aca="false">INDEX(Parametros!$C$71:$C$91,MATCH(TRIM(INDEX(Datos_Origen!$C$2:$C$2459,$Z2199)),Parametros!$B$71:$B$91,0))</f>
        <v>NOA</v>
      </c>
      <c r="I2199" s="61" t="str">
        <f aca="false">IF(TRIM($AD2199)="",INDEX(Parametros!$I$20:$I$24,MATCH($H2199,Parametros!$H$20:$H$24,0)),TRIM($AD2199))</f>
        <v>Tucuman</v>
      </c>
      <c r="J2199" s="61" t="str">
        <f aca="false">INDEX(Parametros!$C$95:$C$106,MATCH(TRIM(INDEX(Datos_Origen!$E$2:$E$2459,$Z2199)),Parametros!$B$95:$B$106,0))</f>
        <v>E-commerce</v>
      </c>
      <c r="K2199" s="61" t="str">
        <f aca="false">INDEX(Parametros!$C$48:$C$67,MATCH(TRIM(INDEX(Datos_Origen!$F$2:$F$2459,$Z2199)),Parametros!$B$48:$B$67,0))</f>
        <v>Almacenamiento</v>
      </c>
      <c r="L2199" s="61" t="str">
        <f aca="false">$K2199&amp;" "&amp;$C2199</f>
        <v>Almacenamiento 2025</v>
      </c>
      <c r="M2199" s="61" t="str">
        <f aca="false">TRIM(INDEX(Datos_Origen!$G$2:$G$2459,$Z2199))</f>
        <v>SSD Externo 1TB</v>
      </c>
      <c r="N2199" s="61" t="str">
        <f aca="false">$M2199&amp;" "&amp;$C2199</f>
        <v>SSD Externo 1TB 2025</v>
      </c>
      <c r="O2199" s="63" t="n">
        <f aca="false">IF(ISTEXT($AC2199),VALUE($AC2199),$AC2199)</f>
        <v>12</v>
      </c>
      <c r="P2199" s="64" t="n">
        <f aca="false">INDEX(Datos_Origen!$I$2:$I$2459,$Z2199)</f>
        <v>130.51</v>
      </c>
      <c r="Q2199" s="64" t="n">
        <f aca="false">INDEX(Datos_Origen!$J$2:$J$2459,$Z2199)</f>
        <v>78.33</v>
      </c>
      <c r="R2199" s="65" t="n">
        <f aca="false">ROUND($O2199*$P2199,2)</f>
        <v>1566.12</v>
      </c>
      <c r="S2199" s="65" t="n">
        <f aca="false">ROUND($O2199*$Q2199,2)</f>
        <v>939.96</v>
      </c>
      <c r="T2199" s="65" t="n">
        <f aca="false">ROUND($R2199*SUMIFS(Parametros!$E$28:$E$43,Parametros!$B$28:$B$43,$J2199,Parametros!$C$28:$C$43,$C2199,Parametros!$D$28:$D$43,$D2199),2)</f>
        <v>81.44</v>
      </c>
      <c r="U2199" s="65" t="n">
        <f aca="false">$R2199-$S2199-$T2199</f>
        <v>544.72</v>
      </c>
      <c r="V2199" s="66" t="n">
        <f aca="false">IFERROR($U2199/$R2199,0)</f>
        <v>0.347814982249125</v>
      </c>
      <c r="W2199" s="67" t="str">
        <f aca="false">IF(AND($V2199&gt;=Parametros!$C$8,$R2199&gt;=Parametros!$C$12),"Alta rentabilidad",IF(OR($V2199&lt;Parametros!$C$11,$R2199&lt;Parametros!$C$13),"Revisar","Estandar"))</f>
        <v>Estandar</v>
      </c>
      <c r="X2199" s="67" t="str">
        <f aca="false">IF(AND($J2199="E-commerce",IFERROR($T2199/$R2199,0)&gt;Parametros!$C$14),"Alerta","OK")</f>
        <v>Alerta</v>
      </c>
      <c r="Y2199" s="61" t="str">
        <f aca="false">IF($R2199&gt;=Parametros!$C$12,"Alto",IF($R2199&lt;Parametros!$C$13,"Bajo","Medio"))</f>
        <v>Medio</v>
      </c>
      <c r="Z2199" s="61" t="n">
        <v>851</v>
      </c>
      <c r="AA2199" s="61" t="str">
        <f aca="false">IF(MATCH($A2199,Datos_Origen!$A$2:$A$2459,0)=$Z2199,"OK","REVISAR")</f>
        <v>OK</v>
      </c>
      <c r="AB2199" s="62" t="n">
        <f aca="false">INDEX(Datos_Origen!$B$2:$B$2459,$Z2199)</f>
        <v>45954</v>
      </c>
      <c r="AC2199" s="61" t="n">
        <f aca="false">INDEX(Datos_Origen!$H$2:$H$2459,$Z2199)</f>
        <v>12</v>
      </c>
      <c r="AD2199" s="61" t="str">
        <f aca="false">INDEX(Datos_Origen!$D$2:$D$2459,$Z2199)&amp;""</f>
        <v>Tucuman</v>
      </c>
    </row>
    <row r="2200" customFormat="false" ht="15" hidden="false" customHeight="false" outlineLevel="0" collapsed="false">
      <c r="A2200" s="61" t="n">
        <f aca="false">INDEX(Datos_Origen!$A$2:$A$2459,$Z2200)</f>
        <v>2199</v>
      </c>
      <c r="B2200" s="62" t="n">
        <f aca="false">IF(ISNUMBER($AB2200),$AB2200,IF(MID($AB2200,5,1)="-",DATE(VALUE(LEFT($AB2200,4)),VALUE(MID($AB2200,6,2)),VALUE(RIGHT($AB2200,2))),DATE(VALUE(RIGHT($AB2200,4)),VALUE(MID($AB2200,4,2)),VALUE(LEFT($AB2200,2)))))</f>
        <v>45934</v>
      </c>
      <c r="C2200" s="61" t="n">
        <f aca="false">YEAR($B2200)</f>
        <v>2025</v>
      </c>
      <c r="D2200" s="61" t="str">
        <f aca="false">"Q"&amp;ROUNDUP(MONTH($B2200)/3,0)</f>
        <v>Q4</v>
      </c>
      <c r="E2200" s="61" t="n">
        <f aca="false">MONTH($B2200)</f>
        <v>10</v>
      </c>
      <c r="F2200" s="61" t="str">
        <f aca="false">INDEX(Parametros!$I$5:$I$16,$E2200)</f>
        <v>Oct</v>
      </c>
      <c r="G2200" s="61" t="str">
        <f aca="false">TEXT($C2200,"0000")&amp;"-"&amp;TEXT($E2200,"00")</f>
        <v>2025-10</v>
      </c>
      <c r="H2200" s="61" t="str">
        <f aca="false">INDEX(Parametros!$C$71:$C$91,MATCH(TRIM(INDEX(Datos_Origen!$C$2:$C$2459,$Z2200)),Parametros!$B$71:$B$91,0))</f>
        <v>NOA</v>
      </c>
      <c r="I2200" s="61" t="str">
        <f aca="false">IF(TRIM($AD2200)="",INDEX(Parametros!$I$20:$I$24,MATCH($H2200,Parametros!$H$20:$H$24,0)),TRIM($AD2200))</f>
        <v>Tucuman</v>
      </c>
      <c r="J2200" s="61" t="str">
        <f aca="false">INDEX(Parametros!$C$95:$C$106,MATCH(TRIM(INDEX(Datos_Origen!$E$2:$E$2459,$Z2200)),Parametros!$B$95:$B$106,0))</f>
        <v>Tienda fisica</v>
      </c>
      <c r="K2200" s="61" t="str">
        <f aca="false">INDEX(Parametros!$C$48:$C$67,MATCH(TRIM(INDEX(Datos_Origen!$F$2:$F$2459,$Z2200)),Parametros!$B$48:$B$67,0))</f>
        <v>Almacenamiento</v>
      </c>
      <c r="L2200" s="61" t="str">
        <f aca="false">$K2200&amp;" "&amp;$C2200</f>
        <v>Almacenamiento 2025</v>
      </c>
      <c r="M2200" s="61" t="str">
        <f aca="false">TRIM(INDEX(Datos_Origen!$G$2:$G$2459,$Z2200))</f>
        <v>Pendrive 256GB</v>
      </c>
      <c r="N2200" s="61" t="str">
        <f aca="false">$M2200&amp;" "&amp;$C2200</f>
        <v>Pendrive 256GB 2025</v>
      </c>
      <c r="O2200" s="63" t="n">
        <f aca="false">IF(ISTEXT($AC2200),VALUE($AC2200),$AC2200)</f>
        <v>16</v>
      </c>
      <c r="P2200" s="64" t="n">
        <f aca="false">INDEX(Datos_Origen!$I$2:$I$2459,$Z2200)</f>
        <v>35.14</v>
      </c>
      <c r="Q2200" s="64" t="n">
        <f aca="false">INDEX(Datos_Origen!$J$2:$J$2459,$Z2200)</f>
        <v>18.39</v>
      </c>
      <c r="R2200" s="65" t="n">
        <f aca="false">ROUND($O2200*$P2200,2)</f>
        <v>562.24</v>
      </c>
      <c r="S2200" s="65" t="n">
        <f aca="false">ROUND($O2200*$Q2200,2)</f>
        <v>294.24</v>
      </c>
      <c r="T2200" s="65" t="n">
        <f aca="false">ROUND($R2200*SUMIFS(Parametros!$E$28:$E$43,Parametros!$B$28:$B$43,$J2200,Parametros!$C$28:$C$43,$C2200,Parametros!$D$28:$D$43,$D2200),2)</f>
        <v>7.31</v>
      </c>
      <c r="U2200" s="65" t="n">
        <f aca="false">$R2200-$S2200-$T2200</f>
        <v>260.69</v>
      </c>
      <c r="V2200" s="66" t="n">
        <f aca="false">IFERROR($U2200/$R2200,0)</f>
        <v>0.463663204325555</v>
      </c>
      <c r="W2200" s="67" t="str">
        <f aca="false">IF(AND($V2200&gt;=Parametros!$C$8,$R2200&gt;=Parametros!$C$12),"Alta rentabilidad",IF(OR($V2200&lt;Parametros!$C$11,$R2200&lt;Parametros!$C$13),"Revisar","Estandar"))</f>
        <v>Estandar</v>
      </c>
      <c r="X2200" s="67" t="str">
        <f aca="false">IF(AND($J2200="E-commerce",IFERROR($T2200/$R2200,0)&gt;Parametros!$C$14),"Alerta","OK")</f>
        <v>OK</v>
      </c>
      <c r="Y2200" s="61" t="str">
        <f aca="false">IF($R2200&gt;=Parametros!$C$12,"Alto",IF($R2200&lt;Parametros!$C$13,"Bajo","Medio"))</f>
        <v>Medio</v>
      </c>
      <c r="Z2200" s="61" t="n">
        <v>2201</v>
      </c>
      <c r="AA2200" s="61" t="str">
        <f aca="false">IF(MATCH($A2200,Datos_Origen!$A$2:$A$2459,0)=$Z2200,"OK","REVISAR")</f>
        <v>OK</v>
      </c>
      <c r="AB2200" s="62" t="n">
        <f aca="false">INDEX(Datos_Origen!$B$2:$B$2459,$Z2200)</f>
        <v>45934</v>
      </c>
      <c r="AC2200" s="61" t="str">
        <f aca="false">INDEX(Datos_Origen!$H$2:$H$2459,$Z2200)</f>
        <v>16</v>
      </c>
      <c r="AD2200" s="61" t="str">
        <f aca="false">INDEX(Datos_Origen!$D$2:$D$2459,$Z2200)&amp;""</f>
        <v>Tucuman</v>
      </c>
    </row>
    <row r="2201" customFormat="false" ht="15" hidden="false" customHeight="false" outlineLevel="0" collapsed="false">
      <c r="A2201" s="61" t="n">
        <f aca="false">INDEX(Datos_Origen!$A$2:$A$2459,$Z2201)</f>
        <v>2200</v>
      </c>
      <c r="B2201" s="62" t="n">
        <f aca="false">IF(ISNUMBER($AB2201),$AB2201,IF(MID($AB2201,5,1)="-",DATE(VALUE(LEFT($AB2201,4)),VALUE(MID($AB2201,6,2)),VALUE(RIGHT($AB2201,2))),DATE(VALUE(RIGHT($AB2201,4)),VALUE(MID($AB2201,4,2)),VALUE(LEFT($AB2201,2)))))</f>
        <v>45941</v>
      </c>
      <c r="C2201" s="61" t="n">
        <f aca="false">YEAR($B2201)</f>
        <v>2025</v>
      </c>
      <c r="D2201" s="61" t="str">
        <f aca="false">"Q"&amp;ROUNDUP(MONTH($B2201)/3,0)</f>
        <v>Q4</v>
      </c>
      <c r="E2201" s="61" t="n">
        <f aca="false">MONTH($B2201)</f>
        <v>10</v>
      </c>
      <c r="F2201" s="61" t="str">
        <f aca="false">INDEX(Parametros!$I$5:$I$16,$E2201)</f>
        <v>Oct</v>
      </c>
      <c r="G2201" s="61" t="str">
        <f aca="false">TEXT($C2201,"0000")&amp;"-"&amp;TEXT($E2201,"00")</f>
        <v>2025-10</v>
      </c>
      <c r="H2201" s="61" t="str">
        <f aca="false">INDEX(Parametros!$C$71:$C$91,MATCH(TRIM(INDEX(Datos_Origen!$C$2:$C$2459,$Z2201)),Parametros!$B$71:$B$91,0))</f>
        <v>NOA</v>
      </c>
      <c r="I2201" s="61" t="str">
        <f aca="false">IF(TRIM($AD2201)="",INDEX(Parametros!$I$20:$I$24,MATCH($H2201,Parametros!$H$20:$H$24,0)),TRIM($AD2201))</f>
        <v>Tucuman</v>
      </c>
      <c r="J2201" s="61" t="str">
        <f aca="false">INDEX(Parametros!$C$95:$C$106,MATCH(TRIM(INDEX(Datos_Origen!$E$2:$E$2459,$Z2201)),Parametros!$B$95:$B$106,0))</f>
        <v>E-commerce</v>
      </c>
      <c r="K2201" s="61" t="str">
        <f aca="false">INDEX(Parametros!$C$48:$C$67,MATCH(TRIM(INDEX(Datos_Origen!$F$2:$F$2459,$Z2201)),Parametros!$B$48:$B$67,0))</f>
        <v>Almacenamiento</v>
      </c>
      <c r="L2201" s="61" t="str">
        <f aca="false">$K2201&amp;" "&amp;$C2201</f>
        <v>Almacenamiento 2025</v>
      </c>
      <c r="M2201" s="61" t="str">
        <f aca="false">TRIM(INDEX(Datos_Origen!$G$2:$G$2459,$Z2201))</f>
        <v>Pendrive 256GB</v>
      </c>
      <c r="N2201" s="61" t="str">
        <f aca="false">$M2201&amp;" "&amp;$C2201</f>
        <v>Pendrive 256GB 2025</v>
      </c>
      <c r="O2201" s="63" t="n">
        <f aca="false">IF(ISTEXT($AC2201),VALUE($AC2201),$AC2201)</f>
        <v>14</v>
      </c>
      <c r="P2201" s="64" t="n">
        <f aca="false">INDEX(Datos_Origen!$I$2:$I$2459,$Z2201)</f>
        <v>35.14</v>
      </c>
      <c r="Q2201" s="64" t="n">
        <f aca="false">INDEX(Datos_Origen!$J$2:$J$2459,$Z2201)</f>
        <v>18.39</v>
      </c>
      <c r="R2201" s="65" t="n">
        <f aca="false">ROUND($O2201*$P2201,2)</f>
        <v>491.96</v>
      </c>
      <c r="S2201" s="65" t="n">
        <f aca="false">ROUND($O2201*$Q2201,2)</f>
        <v>257.46</v>
      </c>
      <c r="T2201" s="65" t="n">
        <f aca="false">ROUND($R2201*SUMIFS(Parametros!$E$28:$E$43,Parametros!$B$28:$B$43,$J2201,Parametros!$C$28:$C$43,$C2201,Parametros!$D$28:$D$43,$D2201),2)</f>
        <v>25.58</v>
      </c>
      <c r="U2201" s="65" t="n">
        <f aca="false">$R2201-$S2201-$T2201</f>
        <v>208.92</v>
      </c>
      <c r="V2201" s="66" t="n">
        <f aca="false">IFERROR($U2201/$R2201,0)</f>
        <v>0.424668672249776</v>
      </c>
      <c r="W2201" s="67" t="str">
        <f aca="false">IF(AND($V2201&gt;=Parametros!$C$8,$R2201&gt;=Parametros!$C$12),"Alta rentabilidad",IF(OR($V2201&lt;Parametros!$C$11,$R2201&lt;Parametros!$C$13),"Revisar","Estandar"))</f>
        <v>Estandar</v>
      </c>
      <c r="X2201" s="67" t="str">
        <f aca="false">IF(AND($J2201="E-commerce",IFERROR($T2201/$R2201,0)&gt;Parametros!$C$14),"Alerta","OK")</f>
        <v>Alerta</v>
      </c>
      <c r="Y2201" s="61" t="str">
        <f aca="false">IF($R2201&gt;=Parametros!$C$12,"Alto",IF($R2201&lt;Parametros!$C$13,"Bajo","Medio"))</f>
        <v>Medio</v>
      </c>
      <c r="Z2201" s="61" t="n">
        <v>2194</v>
      </c>
      <c r="AA2201" s="61" t="str">
        <f aca="false">IF(MATCH($A2201,Datos_Origen!$A$2:$A$2459,0)=$Z2201,"OK","REVISAR")</f>
        <v>OK</v>
      </c>
      <c r="AB2201" s="62" t="n">
        <f aca="false">INDEX(Datos_Origen!$B$2:$B$2459,$Z2201)</f>
        <v>45941</v>
      </c>
      <c r="AC2201" s="61" t="n">
        <f aca="false">INDEX(Datos_Origen!$H$2:$H$2459,$Z2201)</f>
        <v>14</v>
      </c>
      <c r="AD2201" s="61" t="str">
        <f aca="false">INDEX(Datos_Origen!$D$2:$D$2459,$Z2201)&amp;""</f>
        <v>Tucuman</v>
      </c>
    </row>
    <row r="2202" customFormat="false" ht="15" hidden="false" customHeight="false" outlineLevel="0" collapsed="false">
      <c r="A2202" s="61" t="n">
        <f aca="false">INDEX(Datos_Origen!$A$2:$A$2459,$Z2202)</f>
        <v>2201</v>
      </c>
      <c r="B2202" s="62" t="n">
        <f aca="false">IF(ISNUMBER($AB2202),$AB2202,IF(MID($AB2202,5,1)="-",DATE(VALUE(LEFT($AB2202,4)),VALUE(MID($AB2202,6,2)),VALUE(RIGHT($AB2202,2))),DATE(VALUE(RIGHT($AB2202,4)),VALUE(MID($AB2202,4,2)),VALUE(LEFT($AB2202,2)))))</f>
        <v>45979</v>
      </c>
      <c r="C2202" s="61" t="n">
        <f aca="false">YEAR($B2202)</f>
        <v>2025</v>
      </c>
      <c r="D2202" s="61" t="str">
        <f aca="false">"Q"&amp;ROUNDUP(MONTH($B2202)/3,0)</f>
        <v>Q4</v>
      </c>
      <c r="E2202" s="61" t="n">
        <f aca="false">MONTH($B2202)</f>
        <v>11</v>
      </c>
      <c r="F2202" s="61" t="str">
        <f aca="false">INDEX(Parametros!$I$5:$I$16,$E2202)</f>
        <v>Nov</v>
      </c>
      <c r="G2202" s="61" t="str">
        <f aca="false">TEXT($C2202,"0000")&amp;"-"&amp;TEXT($E2202,"00")</f>
        <v>2025-11</v>
      </c>
      <c r="H2202" s="61" t="str">
        <f aca="false">INDEX(Parametros!$C$71:$C$91,MATCH(TRIM(INDEX(Datos_Origen!$C$2:$C$2459,$Z2202)),Parametros!$B$71:$B$91,0))</f>
        <v>AMBA</v>
      </c>
      <c r="I2202" s="61" t="str">
        <f aca="false">IF(TRIM($AD2202)="",INDEX(Parametros!$I$20:$I$24,MATCH($H2202,Parametros!$H$20:$H$24,0)),TRIM($AD2202))</f>
        <v>Buenos Aires</v>
      </c>
      <c r="J2202" s="61" t="str">
        <f aca="false">INDEX(Parametros!$C$95:$C$106,MATCH(TRIM(INDEX(Datos_Origen!$E$2:$E$2459,$Z2202)),Parametros!$B$95:$B$106,0))</f>
        <v>Tienda fisica</v>
      </c>
      <c r="K2202" s="61" t="str">
        <f aca="false">INDEX(Parametros!$C$48:$C$67,MATCH(TRIM(INDEX(Datos_Origen!$F$2:$F$2459,$Z2202)),Parametros!$B$48:$B$67,0))</f>
        <v>Computacion</v>
      </c>
      <c r="L2202" s="61" t="str">
        <f aca="false">$K2202&amp;" "&amp;$C2202</f>
        <v>Computacion 2025</v>
      </c>
      <c r="M2202" s="61" t="str">
        <f aca="false">TRIM(INDEX(Datos_Origen!$G$2:$G$2459,$Z2202))</f>
        <v>Laptop Pro 15</v>
      </c>
      <c r="N2202" s="61" t="str">
        <f aca="false">$M2202&amp;" "&amp;$C2202</f>
        <v>Laptop Pro 15 2025</v>
      </c>
      <c r="O2202" s="63" t="n">
        <f aca="false">IF(ISTEXT($AC2202),VALUE($AC2202),$AC2202)</f>
        <v>28</v>
      </c>
      <c r="P2202" s="64" t="n">
        <f aca="false">INDEX(Datos_Origen!$I$2:$I$2459,$Z2202)</f>
        <v>1204.74</v>
      </c>
      <c r="Q2202" s="64" t="n">
        <f aca="false">INDEX(Datos_Origen!$J$2:$J$2459,$Z2202)</f>
        <v>766.32</v>
      </c>
      <c r="R2202" s="65" t="n">
        <f aca="false">ROUND($O2202*$P2202,2)</f>
        <v>33732.72</v>
      </c>
      <c r="S2202" s="65" t="n">
        <f aca="false">ROUND($O2202*$Q2202,2)</f>
        <v>21456.96</v>
      </c>
      <c r="T2202" s="65" t="n">
        <f aca="false">ROUND($R2202*SUMIFS(Parametros!$E$28:$E$43,Parametros!$B$28:$B$43,$J2202,Parametros!$C$28:$C$43,$C2202,Parametros!$D$28:$D$43,$D2202),2)</f>
        <v>438.53</v>
      </c>
      <c r="U2202" s="65" t="n">
        <f aca="false">$R2202-$S2202-$T2202</f>
        <v>11837.23</v>
      </c>
      <c r="V2202" s="66" t="n">
        <f aca="false">IFERROR($U2202/$R2202,0)</f>
        <v>0.350912407893582</v>
      </c>
      <c r="W2202" s="67" t="str">
        <f aca="false">IF(AND($V2202&gt;=Parametros!$C$8,$R2202&gt;=Parametros!$C$12),"Alta rentabilidad",IF(OR($V2202&lt;Parametros!$C$11,$R2202&lt;Parametros!$C$13),"Revisar","Estandar"))</f>
        <v>Alta rentabilidad</v>
      </c>
      <c r="X2202" s="67" t="str">
        <f aca="false">IF(AND($J2202="E-commerce",IFERROR($T2202/$R2202,0)&gt;Parametros!$C$14),"Alerta","OK")</f>
        <v>OK</v>
      </c>
      <c r="Y2202" s="61" t="str">
        <f aca="false">IF($R2202&gt;=Parametros!$C$12,"Alto",IF($R2202&lt;Parametros!$C$13,"Bajo","Medio"))</f>
        <v>Alto</v>
      </c>
      <c r="Z2202" s="61" t="n">
        <v>1205</v>
      </c>
      <c r="AA2202" s="61" t="str">
        <f aca="false">IF(MATCH($A2202,Datos_Origen!$A$2:$A$2459,0)=$Z2202,"OK","REVISAR")</f>
        <v>OK</v>
      </c>
      <c r="AB2202" s="61" t="str">
        <f aca="false">INDEX(Datos_Origen!$B$2:$B$2459,$Z2202)</f>
        <v>18/11/2025</v>
      </c>
      <c r="AC2202" s="61" t="str">
        <f aca="false">INDEX(Datos_Origen!$H$2:$H$2459,$Z2202)</f>
        <v>28</v>
      </c>
      <c r="AD2202" s="61" t="str">
        <f aca="false">INDEX(Datos_Origen!$D$2:$D$2459,$Z2202)&amp;""</f>
        <v>Buenos Aires</v>
      </c>
    </row>
    <row r="2203" customFormat="false" ht="15" hidden="false" customHeight="false" outlineLevel="0" collapsed="false">
      <c r="A2203" s="61" t="n">
        <f aca="false">INDEX(Datos_Origen!$A$2:$A$2459,$Z2203)</f>
        <v>2202</v>
      </c>
      <c r="B2203" s="62" t="n">
        <f aca="false">IF(ISNUMBER($AB2203),$AB2203,IF(MID($AB2203,5,1)="-",DATE(VALUE(LEFT($AB2203,4)),VALUE(MID($AB2203,6,2)),VALUE(RIGHT($AB2203,2))),DATE(VALUE(RIGHT($AB2203,4)),VALUE(MID($AB2203,4,2)),VALUE(LEFT($AB2203,2)))))</f>
        <v>45986</v>
      </c>
      <c r="C2203" s="61" t="n">
        <f aca="false">YEAR($B2203)</f>
        <v>2025</v>
      </c>
      <c r="D2203" s="61" t="str">
        <f aca="false">"Q"&amp;ROUNDUP(MONTH($B2203)/3,0)</f>
        <v>Q4</v>
      </c>
      <c r="E2203" s="61" t="n">
        <f aca="false">MONTH($B2203)</f>
        <v>11</v>
      </c>
      <c r="F2203" s="61" t="str">
        <f aca="false">INDEX(Parametros!$I$5:$I$16,$E2203)</f>
        <v>Nov</v>
      </c>
      <c r="G2203" s="61" t="str">
        <f aca="false">TEXT($C2203,"0000")&amp;"-"&amp;TEXT($E2203,"00")</f>
        <v>2025-11</v>
      </c>
      <c r="H2203" s="61" t="str">
        <f aca="false">INDEX(Parametros!$C$71:$C$91,MATCH(TRIM(INDEX(Datos_Origen!$C$2:$C$2459,$Z2203)),Parametros!$B$71:$B$91,0))</f>
        <v>AMBA</v>
      </c>
      <c r="I2203" s="61" t="str">
        <f aca="false">IF(TRIM($AD2203)="",INDEX(Parametros!$I$20:$I$24,MATCH($H2203,Parametros!$H$20:$H$24,0)),TRIM($AD2203))</f>
        <v>Buenos Aires</v>
      </c>
      <c r="J2203" s="61" t="str">
        <f aca="false">INDEX(Parametros!$C$95:$C$106,MATCH(TRIM(INDEX(Datos_Origen!$E$2:$E$2459,$Z2203)),Parametros!$B$95:$B$106,0))</f>
        <v>E-commerce</v>
      </c>
      <c r="K2203" s="61" t="str">
        <f aca="false">INDEX(Parametros!$C$48:$C$67,MATCH(TRIM(INDEX(Datos_Origen!$F$2:$F$2459,$Z2203)),Parametros!$B$48:$B$67,0))</f>
        <v>Computacion</v>
      </c>
      <c r="L2203" s="61" t="str">
        <f aca="false">$K2203&amp;" "&amp;$C2203</f>
        <v>Computacion 2025</v>
      </c>
      <c r="M2203" s="61" t="str">
        <f aca="false">TRIM(INDEX(Datos_Origen!$G$2:$G$2459,$Z2203))</f>
        <v>Laptop Pro 15</v>
      </c>
      <c r="N2203" s="61" t="str">
        <f aca="false">$M2203&amp;" "&amp;$C2203</f>
        <v>Laptop Pro 15 2025</v>
      </c>
      <c r="O2203" s="63" t="n">
        <f aca="false">IF(ISTEXT($AC2203),VALUE($AC2203),$AC2203)</f>
        <v>20</v>
      </c>
      <c r="P2203" s="64" t="n">
        <f aca="false">INDEX(Datos_Origen!$I$2:$I$2459,$Z2203)</f>
        <v>1204.74</v>
      </c>
      <c r="Q2203" s="64" t="n">
        <f aca="false">INDEX(Datos_Origen!$J$2:$J$2459,$Z2203)</f>
        <v>766.32</v>
      </c>
      <c r="R2203" s="65" t="n">
        <f aca="false">ROUND($O2203*$P2203,2)</f>
        <v>24094.8</v>
      </c>
      <c r="S2203" s="65" t="n">
        <f aca="false">ROUND($O2203*$Q2203,2)</f>
        <v>15326.4</v>
      </c>
      <c r="T2203" s="65" t="n">
        <f aca="false">ROUND($R2203*SUMIFS(Parametros!$E$28:$E$43,Parametros!$B$28:$B$43,$J2203,Parametros!$C$28:$C$43,$C2203,Parametros!$D$28:$D$43,$D2203),2)</f>
        <v>1252.93</v>
      </c>
      <c r="U2203" s="65" t="n">
        <f aca="false">$R2203-$S2203-$T2203</f>
        <v>7515.47</v>
      </c>
      <c r="V2203" s="66" t="n">
        <f aca="false">IFERROR($U2203/$R2203,0)</f>
        <v>0.311912528844398</v>
      </c>
      <c r="W2203" s="67" t="str">
        <f aca="false">IF(AND($V2203&gt;=Parametros!$C$8,$R2203&gt;=Parametros!$C$12),"Alta rentabilidad",IF(OR($V2203&lt;Parametros!$C$11,$R2203&lt;Parametros!$C$13),"Revisar","Estandar"))</f>
        <v>Estandar</v>
      </c>
      <c r="X2203" s="67" t="str">
        <f aca="false">IF(AND($J2203="E-commerce",IFERROR($T2203/$R2203,0)&gt;Parametros!$C$14),"Alerta","OK")</f>
        <v>Alerta</v>
      </c>
      <c r="Y2203" s="61" t="str">
        <f aca="false">IF($R2203&gt;=Parametros!$C$12,"Alto",IF($R2203&lt;Parametros!$C$13,"Bajo","Medio"))</f>
        <v>Alto</v>
      </c>
      <c r="Z2203" s="61" t="n">
        <v>935</v>
      </c>
      <c r="AA2203" s="61" t="str">
        <f aca="false">IF(MATCH($A2203,Datos_Origen!$A$2:$A$2459,0)=$Z2203,"OK","REVISAR")</f>
        <v>OK</v>
      </c>
      <c r="AB2203" s="62" t="n">
        <f aca="false">INDEX(Datos_Origen!$B$2:$B$2459,$Z2203)</f>
        <v>45986</v>
      </c>
      <c r="AC2203" s="61" t="n">
        <f aca="false">INDEX(Datos_Origen!$H$2:$H$2459,$Z2203)</f>
        <v>20</v>
      </c>
      <c r="AD2203" s="61" t="str">
        <f aca="false">INDEX(Datos_Origen!$D$2:$D$2459,$Z2203)&amp;""</f>
        <v>Buenos Aires</v>
      </c>
    </row>
    <row r="2204" customFormat="false" ht="15" hidden="false" customHeight="false" outlineLevel="0" collapsed="false">
      <c r="A2204" s="61" t="n">
        <f aca="false">INDEX(Datos_Origen!$A$2:$A$2459,$Z2204)</f>
        <v>2203</v>
      </c>
      <c r="B2204" s="62" t="n">
        <f aca="false">IF(ISNUMBER($AB2204),$AB2204,IF(MID($AB2204,5,1)="-",DATE(VALUE(LEFT($AB2204,4)),VALUE(MID($AB2204,6,2)),VALUE(RIGHT($AB2204,2))),DATE(VALUE(RIGHT($AB2204,4)),VALUE(MID($AB2204,4,2)),VALUE(LEFT($AB2204,2)))))</f>
        <v>45966</v>
      </c>
      <c r="C2204" s="61" t="n">
        <f aca="false">YEAR($B2204)</f>
        <v>2025</v>
      </c>
      <c r="D2204" s="61" t="str">
        <f aca="false">"Q"&amp;ROUNDUP(MONTH($B2204)/3,0)</f>
        <v>Q4</v>
      </c>
      <c r="E2204" s="61" t="n">
        <f aca="false">MONTH($B2204)</f>
        <v>11</v>
      </c>
      <c r="F2204" s="61" t="str">
        <f aca="false">INDEX(Parametros!$I$5:$I$16,$E2204)</f>
        <v>Nov</v>
      </c>
      <c r="G2204" s="61" t="str">
        <f aca="false">TEXT($C2204,"0000")&amp;"-"&amp;TEXT($E2204,"00")</f>
        <v>2025-11</v>
      </c>
      <c r="H2204" s="61" t="str">
        <f aca="false">INDEX(Parametros!$C$71:$C$91,MATCH(TRIM(INDEX(Datos_Origen!$C$2:$C$2459,$Z2204)),Parametros!$B$71:$B$91,0))</f>
        <v>AMBA</v>
      </c>
      <c r="I2204" s="61" t="str">
        <f aca="false">IF(TRIM($AD2204)="",INDEX(Parametros!$I$20:$I$24,MATCH($H2204,Parametros!$H$20:$H$24,0)),TRIM($AD2204))</f>
        <v>Buenos Aires</v>
      </c>
      <c r="J2204" s="61" t="str">
        <f aca="false">INDEX(Parametros!$C$95:$C$106,MATCH(TRIM(INDEX(Datos_Origen!$E$2:$E$2459,$Z2204)),Parametros!$B$95:$B$106,0))</f>
        <v>Tienda fisica</v>
      </c>
      <c r="K2204" s="61" t="str">
        <f aca="false">INDEX(Parametros!$C$48:$C$67,MATCH(TRIM(INDEX(Datos_Origen!$F$2:$F$2459,$Z2204)),Parametros!$B$48:$B$67,0))</f>
        <v>Computacion</v>
      </c>
      <c r="L2204" s="61" t="str">
        <f aca="false">$K2204&amp;" "&amp;$C2204</f>
        <v>Computacion 2025</v>
      </c>
      <c r="M2204" s="61" t="str">
        <f aca="false">TRIM(INDEX(Datos_Origen!$G$2:$G$2459,$Z2204))</f>
        <v>Monitor 4K 27</v>
      </c>
      <c r="N2204" s="61" t="str">
        <f aca="false">$M2204&amp;" "&amp;$C2204</f>
        <v>Monitor 4K 27 2025</v>
      </c>
      <c r="O2204" s="63" t="n">
        <f aca="false">IF(ISTEXT($AC2204),VALUE($AC2204),$AC2204)</f>
        <v>28</v>
      </c>
      <c r="P2204" s="64" t="n">
        <f aca="false">INDEX(Datos_Origen!$I$2:$I$2459,$Z2204)</f>
        <v>451.78</v>
      </c>
      <c r="Q2204" s="64" t="n">
        <f aca="false">INDEX(Datos_Origen!$J$2:$J$2459,$Z2204)</f>
        <v>280.42</v>
      </c>
      <c r="R2204" s="65" t="n">
        <f aca="false">ROUND($O2204*$P2204,2)</f>
        <v>12649.84</v>
      </c>
      <c r="S2204" s="65" t="n">
        <f aca="false">ROUND($O2204*$Q2204,2)</f>
        <v>7851.76</v>
      </c>
      <c r="T2204" s="65" t="n">
        <f aca="false">ROUND($R2204*SUMIFS(Parametros!$E$28:$E$43,Parametros!$B$28:$B$43,$J2204,Parametros!$C$28:$C$43,$C2204,Parametros!$D$28:$D$43,$D2204),2)</f>
        <v>164.45</v>
      </c>
      <c r="U2204" s="65" t="n">
        <f aca="false">$R2204-$S2204-$T2204</f>
        <v>4633.63</v>
      </c>
      <c r="V2204" s="66" t="n">
        <f aca="false">IFERROR($U2204/$R2204,0)</f>
        <v>0.366299494697166</v>
      </c>
      <c r="W2204" s="67" t="str">
        <f aca="false">IF(AND($V2204&gt;=Parametros!$C$8,$R2204&gt;=Parametros!$C$12),"Alta rentabilidad",IF(OR($V2204&lt;Parametros!$C$11,$R2204&lt;Parametros!$C$13),"Revisar","Estandar"))</f>
        <v>Alta rentabilidad</v>
      </c>
      <c r="X2204" s="67" t="str">
        <f aca="false">IF(AND($J2204="E-commerce",IFERROR($T2204/$R2204,0)&gt;Parametros!$C$14),"Alerta","OK")</f>
        <v>OK</v>
      </c>
      <c r="Y2204" s="61" t="str">
        <f aca="false">IF($R2204&gt;=Parametros!$C$12,"Alto",IF($R2204&lt;Parametros!$C$13,"Bajo","Medio"))</f>
        <v>Alto</v>
      </c>
      <c r="Z2204" s="61" t="n">
        <v>2110</v>
      </c>
      <c r="AA2204" s="61" t="str">
        <f aca="false">IF(MATCH($A2204,Datos_Origen!$A$2:$A$2459,0)=$Z2204,"OK","REVISAR")</f>
        <v>OK</v>
      </c>
      <c r="AB2204" s="62" t="n">
        <f aca="false">INDEX(Datos_Origen!$B$2:$B$2459,$Z2204)</f>
        <v>45966</v>
      </c>
      <c r="AC2204" s="61" t="n">
        <f aca="false">INDEX(Datos_Origen!$H$2:$H$2459,$Z2204)</f>
        <v>28</v>
      </c>
      <c r="AD2204" s="61" t="str">
        <f aca="false">INDEX(Datos_Origen!$D$2:$D$2459,$Z2204)&amp;""</f>
        <v>Buenos Aires</v>
      </c>
    </row>
    <row r="2205" customFormat="false" ht="15" hidden="false" customHeight="false" outlineLevel="0" collapsed="false">
      <c r="A2205" s="61" t="n">
        <f aca="false">INDEX(Datos_Origen!$A$2:$A$2459,$Z2205)</f>
        <v>2204</v>
      </c>
      <c r="B2205" s="62" t="n">
        <f aca="false">IF(ISNUMBER($AB2205),$AB2205,IF(MID($AB2205,5,1)="-",DATE(VALUE(LEFT($AB2205,4)),VALUE(MID($AB2205,6,2)),VALUE(RIGHT($AB2205,2))),DATE(VALUE(RIGHT($AB2205,4)),VALUE(MID($AB2205,4,2)),VALUE(LEFT($AB2205,2)))))</f>
        <v>45973</v>
      </c>
      <c r="C2205" s="61" t="n">
        <f aca="false">YEAR($B2205)</f>
        <v>2025</v>
      </c>
      <c r="D2205" s="61" t="str">
        <f aca="false">"Q"&amp;ROUNDUP(MONTH($B2205)/3,0)</f>
        <v>Q4</v>
      </c>
      <c r="E2205" s="61" t="n">
        <f aca="false">MONTH($B2205)</f>
        <v>11</v>
      </c>
      <c r="F2205" s="61" t="str">
        <f aca="false">INDEX(Parametros!$I$5:$I$16,$E2205)</f>
        <v>Nov</v>
      </c>
      <c r="G2205" s="61" t="str">
        <f aca="false">TEXT($C2205,"0000")&amp;"-"&amp;TEXT($E2205,"00")</f>
        <v>2025-11</v>
      </c>
      <c r="H2205" s="61" t="str">
        <f aca="false">INDEX(Parametros!$C$71:$C$91,MATCH(TRIM(INDEX(Datos_Origen!$C$2:$C$2459,$Z2205)),Parametros!$B$71:$B$91,0))</f>
        <v>AMBA</v>
      </c>
      <c r="I2205" s="61" t="str">
        <f aca="false">IF(TRIM($AD2205)="",INDEX(Parametros!$I$20:$I$24,MATCH($H2205,Parametros!$H$20:$H$24,0)),TRIM($AD2205))</f>
        <v>Buenos Aires</v>
      </c>
      <c r="J2205" s="61" t="str">
        <f aca="false">INDEX(Parametros!$C$95:$C$106,MATCH(TRIM(INDEX(Datos_Origen!$E$2:$E$2459,$Z2205)),Parametros!$B$95:$B$106,0))</f>
        <v>E-commerce</v>
      </c>
      <c r="K2205" s="61" t="str">
        <f aca="false">INDEX(Parametros!$C$48:$C$67,MATCH(TRIM(INDEX(Datos_Origen!$F$2:$F$2459,$Z2205)),Parametros!$B$48:$B$67,0))</f>
        <v>Computacion</v>
      </c>
      <c r="L2205" s="61" t="str">
        <f aca="false">$K2205&amp;" "&amp;$C2205</f>
        <v>Computacion 2025</v>
      </c>
      <c r="M2205" s="61" t="str">
        <f aca="false">TRIM(INDEX(Datos_Origen!$G$2:$G$2459,$Z2205))</f>
        <v>Monitor 4K 27</v>
      </c>
      <c r="N2205" s="61" t="str">
        <f aca="false">$M2205&amp;" "&amp;$C2205</f>
        <v>Monitor 4K 27 2025</v>
      </c>
      <c r="O2205" s="63" t="n">
        <f aca="false">IF(ISTEXT($AC2205),VALUE($AC2205),$AC2205)</f>
        <v>20</v>
      </c>
      <c r="P2205" s="64" t="n">
        <f aca="false">INDEX(Datos_Origen!$I$2:$I$2459,$Z2205)</f>
        <v>451.78</v>
      </c>
      <c r="Q2205" s="64" t="n">
        <f aca="false">INDEX(Datos_Origen!$J$2:$J$2459,$Z2205)</f>
        <v>280.42</v>
      </c>
      <c r="R2205" s="65" t="n">
        <f aca="false">ROUND($O2205*$P2205,2)</f>
        <v>9035.6</v>
      </c>
      <c r="S2205" s="65" t="n">
        <f aca="false">ROUND($O2205*$Q2205,2)</f>
        <v>5608.4</v>
      </c>
      <c r="T2205" s="65" t="n">
        <f aca="false">ROUND($R2205*SUMIFS(Parametros!$E$28:$E$43,Parametros!$B$28:$B$43,$J2205,Parametros!$C$28:$C$43,$C2205,Parametros!$D$28:$D$43,$D2205),2)</f>
        <v>469.85</v>
      </c>
      <c r="U2205" s="65" t="n">
        <f aca="false">$R2205-$S2205-$T2205</f>
        <v>2957.35</v>
      </c>
      <c r="V2205" s="66" t="n">
        <f aca="false">IFERROR($U2205/$R2205,0)</f>
        <v>0.327299791934127</v>
      </c>
      <c r="W2205" s="67" t="str">
        <f aca="false">IF(AND($V2205&gt;=Parametros!$C$8,$R2205&gt;=Parametros!$C$12),"Alta rentabilidad",IF(OR($V2205&lt;Parametros!$C$11,$R2205&lt;Parametros!$C$13),"Revisar","Estandar"))</f>
        <v>Estandar</v>
      </c>
      <c r="X2205" s="67" t="str">
        <f aca="false">IF(AND($J2205="E-commerce",IFERROR($T2205/$R2205,0)&gt;Parametros!$C$14),"Alerta","OK")</f>
        <v>Alerta</v>
      </c>
      <c r="Y2205" s="61" t="str">
        <f aca="false">IF($R2205&gt;=Parametros!$C$12,"Alto",IF($R2205&lt;Parametros!$C$13,"Bajo","Medio"))</f>
        <v>Alto</v>
      </c>
      <c r="Z2205" s="61" t="n">
        <v>585</v>
      </c>
      <c r="AA2205" s="61" t="str">
        <f aca="false">IF(MATCH($A2205,Datos_Origen!$A$2:$A$2459,0)=$Z2205,"OK","REVISAR")</f>
        <v>OK</v>
      </c>
      <c r="AB2205" s="62" t="n">
        <f aca="false">INDEX(Datos_Origen!$B$2:$B$2459,$Z2205)</f>
        <v>45973</v>
      </c>
      <c r="AC2205" s="61" t="n">
        <f aca="false">INDEX(Datos_Origen!$H$2:$H$2459,$Z2205)</f>
        <v>20</v>
      </c>
      <c r="AD2205" s="61" t="str">
        <f aca="false">INDEX(Datos_Origen!$D$2:$D$2459,$Z2205)&amp;""</f>
        <v>Buenos Aires</v>
      </c>
    </row>
    <row r="2206" customFormat="false" ht="15" hidden="false" customHeight="false" outlineLevel="0" collapsed="false">
      <c r="A2206" s="61" t="n">
        <f aca="false">INDEX(Datos_Origen!$A$2:$A$2459,$Z2206)</f>
        <v>2205</v>
      </c>
      <c r="B2206" s="62" t="n">
        <f aca="false">IF(ISNUMBER($AB2206),$AB2206,IF(MID($AB2206,5,1)="-",DATE(VALUE(LEFT($AB2206,4)),VALUE(MID($AB2206,6,2)),VALUE(RIGHT($AB2206,2))),DATE(VALUE(RIGHT($AB2206,4)),VALUE(MID($AB2206,4,2)),VALUE(LEFT($AB2206,2)))))</f>
        <v>45980</v>
      </c>
      <c r="C2206" s="61" t="n">
        <f aca="false">YEAR($B2206)</f>
        <v>2025</v>
      </c>
      <c r="D2206" s="61" t="str">
        <f aca="false">"Q"&amp;ROUNDUP(MONTH($B2206)/3,0)</f>
        <v>Q4</v>
      </c>
      <c r="E2206" s="61" t="n">
        <f aca="false">MONTH($B2206)</f>
        <v>11</v>
      </c>
      <c r="F2206" s="61" t="str">
        <f aca="false">INDEX(Parametros!$I$5:$I$16,$E2206)</f>
        <v>Nov</v>
      </c>
      <c r="G2206" s="61" t="str">
        <f aca="false">TEXT($C2206,"0000")&amp;"-"&amp;TEXT($E2206,"00")</f>
        <v>2025-11</v>
      </c>
      <c r="H2206" s="61" t="str">
        <f aca="false">INDEX(Parametros!$C$71:$C$91,MATCH(TRIM(INDEX(Datos_Origen!$C$2:$C$2459,$Z2206)),Parametros!$B$71:$B$91,0))</f>
        <v>AMBA</v>
      </c>
      <c r="I2206" s="61" t="str">
        <f aca="false">IF(TRIM($AD2206)="",INDEX(Parametros!$I$20:$I$24,MATCH($H2206,Parametros!$H$20:$H$24,0)),TRIM($AD2206))</f>
        <v>Buenos Aires</v>
      </c>
      <c r="J2206" s="61" t="str">
        <f aca="false">INDEX(Parametros!$C$95:$C$106,MATCH(TRIM(INDEX(Datos_Origen!$E$2:$E$2459,$Z2206)),Parametros!$B$95:$B$106,0))</f>
        <v>Tienda fisica</v>
      </c>
      <c r="K2206" s="61" t="str">
        <f aca="false">INDEX(Parametros!$C$48:$C$67,MATCH(TRIM(INDEX(Datos_Origen!$F$2:$F$2459,$Z2206)),Parametros!$B$48:$B$67,0))</f>
        <v>Computacion</v>
      </c>
      <c r="L2206" s="61" t="str">
        <f aca="false">$K2206&amp;" "&amp;$C2206</f>
        <v>Computacion 2025</v>
      </c>
      <c r="M2206" s="61" t="str">
        <f aca="false">TRIM(INDEX(Datos_Origen!$G$2:$G$2459,$Z2206))</f>
        <v>PC Gamer Ryzen</v>
      </c>
      <c r="N2206" s="61" t="str">
        <f aca="false">$M2206&amp;" "&amp;$C2206</f>
        <v>PC Gamer Ryzen 2025</v>
      </c>
      <c r="O2206" s="63" t="n">
        <f aca="false">IF(ISTEXT($AC2206),VALUE($AC2206),$AC2206)</f>
        <v>22</v>
      </c>
      <c r="P2206" s="64" t="n">
        <f aca="false">INDEX(Datos_Origen!$I$2:$I$2459,$Z2206)</f>
        <v>1656.52</v>
      </c>
      <c r="Q2206" s="64" t="n">
        <f aca="false">INDEX(Datos_Origen!$J$2:$J$2459,$Z2206)</f>
        <v>1155.66</v>
      </c>
      <c r="R2206" s="65" t="n">
        <f aca="false">ROUND($O2206*$P2206,2)</f>
        <v>36443.44</v>
      </c>
      <c r="S2206" s="65" t="n">
        <f aca="false">ROUND($O2206*$Q2206,2)</f>
        <v>25424.52</v>
      </c>
      <c r="T2206" s="65" t="n">
        <f aca="false">ROUND($R2206*SUMIFS(Parametros!$E$28:$E$43,Parametros!$B$28:$B$43,$J2206,Parametros!$C$28:$C$43,$C2206,Parametros!$D$28:$D$43,$D2206),2)</f>
        <v>473.76</v>
      </c>
      <c r="U2206" s="65" t="n">
        <f aca="false">$R2206-$S2206-$T2206</f>
        <v>10545.16</v>
      </c>
      <c r="V2206" s="66" t="n">
        <f aca="false">IFERROR($U2206/$R2206,0)</f>
        <v>0.289356877396865</v>
      </c>
      <c r="W2206" s="67" t="str">
        <f aca="false">IF(AND($V2206&gt;=Parametros!$C$8,$R2206&gt;=Parametros!$C$12),"Alta rentabilidad",IF(OR($V2206&lt;Parametros!$C$11,$R2206&lt;Parametros!$C$13),"Revisar","Estandar"))</f>
        <v>Estandar</v>
      </c>
      <c r="X2206" s="67" t="str">
        <f aca="false">IF(AND($J2206="E-commerce",IFERROR($T2206/$R2206,0)&gt;Parametros!$C$14),"Alerta","OK")</f>
        <v>OK</v>
      </c>
      <c r="Y2206" s="61" t="str">
        <f aca="false">IF($R2206&gt;=Parametros!$C$12,"Alto",IF($R2206&lt;Parametros!$C$13,"Bajo","Medio"))</f>
        <v>Alto</v>
      </c>
      <c r="Z2206" s="61" t="n">
        <v>600</v>
      </c>
      <c r="AA2206" s="61" t="str">
        <f aca="false">IF(MATCH($A2206,Datos_Origen!$A$2:$A$2459,0)=$Z2206,"OK","REVISAR")</f>
        <v>OK</v>
      </c>
      <c r="AB2206" s="62" t="n">
        <f aca="false">INDEX(Datos_Origen!$B$2:$B$2459,$Z2206)</f>
        <v>45980</v>
      </c>
      <c r="AC2206" s="61" t="n">
        <f aca="false">INDEX(Datos_Origen!$H$2:$H$2459,$Z2206)</f>
        <v>22</v>
      </c>
      <c r="AD2206" s="61" t="str">
        <f aca="false">INDEX(Datos_Origen!$D$2:$D$2459,$Z2206)&amp;""</f>
        <v>Buenos Aires</v>
      </c>
    </row>
    <row r="2207" customFormat="false" ht="15" hidden="false" customHeight="false" outlineLevel="0" collapsed="false">
      <c r="A2207" s="61" t="n">
        <f aca="false">INDEX(Datos_Origen!$A$2:$A$2459,$Z2207)</f>
        <v>2206</v>
      </c>
      <c r="B2207" s="62" t="n">
        <f aca="false">IF(ISNUMBER($AB2207),$AB2207,IF(MID($AB2207,5,1)="-",DATE(VALUE(LEFT($AB2207,4)),VALUE(MID($AB2207,6,2)),VALUE(RIGHT($AB2207,2))),DATE(VALUE(RIGHT($AB2207,4)),VALUE(MID($AB2207,4,2)),VALUE(LEFT($AB2207,2)))))</f>
        <v>45987</v>
      </c>
      <c r="C2207" s="61" t="n">
        <f aca="false">YEAR($B2207)</f>
        <v>2025</v>
      </c>
      <c r="D2207" s="61" t="str">
        <f aca="false">"Q"&amp;ROUNDUP(MONTH($B2207)/3,0)</f>
        <v>Q4</v>
      </c>
      <c r="E2207" s="61" t="n">
        <f aca="false">MONTH($B2207)</f>
        <v>11</v>
      </c>
      <c r="F2207" s="61" t="str">
        <f aca="false">INDEX(Parametros!$I$5:$I$16,$E2207)</f>
        <v>Nov</v>
      </c>
      <c r="G2207" s="61" t="str">
        <f aca="false">TEXT($C2207,"0000")&amp;"-"&amp;TEXT($E2207,"00")</f>
        <v>2025-11</v>
      </c>
      <c r="H2207" s="61" t="str">
        <f aca="false">INDEX(Parametros!$C$71:$C$91,MATCH(TRIM(INDEX(Datos_Origen!$C$2:$C$2459,$Z2207)),Parametros!$B$71:$B$91,0))</f>
        <v>AMBA</v>
      </c>
      <c r="I2207" s="61" t="str">
        <f aca="false">IF(TRIM($AD2207)="",INDEX(Parametros!$I$20:$I$24,MATCH($H2207,Parametros!$H$20:$H$24,0)),TRIM($AD2207))</f>
        <v>Buenos Aires</v>
      </c>
      <c r="J2207" s="61" t="str">
        <f aca="false">INDEX(Parametros!$C$95:$C$106,MATCH(TRIM(INDEX(Datos_Origen!$E$2:$E$2459,$Z2207)),Parametros!$B$95:$B$106,0))</f>
        <v>E-commerce</v>
      </c>
      <c r="K2207" s="61" t="str">
        <f aca="false">INDEX(Parametros!$C$48:$C$67,MATCH(TRIM(INDEX(Datos_Origen!$F$2:$F$2459,$Z2207)),Parametros!$B$48:$B$67,0))</f>
        <v>Computacion</v>
      </c>
      <c r="L2207" s="61" t="str">
        <f aca="false">$K2207&amp;" "&amp;$C2207</f>
        <v>Computacion 2025</v>
      </c>
      <c r="M2207" s="61" t="str">
        <f aca="false">TRIM(INDEX(Datos_Origen!$G$2:$G$2459,$Z2207))</f>
        <v>PC Gamer Ryzen</v>
      </c>
      <c r="N2207" s="61" t="str">
        <f aca="false">$M2207&amp;" "&amp;$C2207</f>
        <v>PC Gamer Ryzen 2025</v>
      </c>
      <c r="O2207" s="63" t="n">
        <f aca="false">IF(ISTEXT($AC2207),VALUE($AC2207),$AC2207)</f>
        <v>16</v>
      </c>
      <c r="P2207" s="64" t="n">
        <f aca="false">INDEX(Datos_Origen!$I$2:$I$2459,$Z2207)</f>
        <v>1656.52</v>
      </c>
      <c r="Q2207" s="64" t="n">
        <f aca="false">INDEX(Datos_Origen!$J$2:$J$2459,$Z2207)</f>
        <v>1155.66</v>
      </c>
      <c r="R2207" s="65" t="n">
        <f aca="false">ROUND($O2207*$P2207,2)</f>
        <v>26504.32</v>
      </c>
      <c r="S2207" s="65" t="n">
        <f aca="false">ROUND($O2207*$Q2207,2)</f>
        <v>18490.56</v>
      </c>
      <c r="T2207" s="65" t="n">
        <f aca="false">ROUND($R2207*SUMIFS(Parametros!$E$28:$E$43,Parametros!$B$28:$B$43,$J2207,Parametros!$C$28:$C$43,$C2207,Parametros!$D$28:$D$43,$D2207),2)</f>
        <v>1378.22</v>
      </c>
      <c r="U2207" s="65" t="n">
        <f aca="false">$R2207-$S2207-$T2207</f>
        <v>6635.54</v>
      </c>
      <c r="V2207" s="66" t="n">
        <f aca="false">IFERROR($U2207/$R2207,0)</f>
        <v>0.250356922946901</v>
      </c>
      <c r="W2207" s="67" t="str">
        <f aca="false">IF(AND($V2207&gt;=Parametros!$C$8,$R2207&gt;=Parametros!$C$12),"Alta rentabilidad",IF(OR($V2207&lt;Parametros!$C$11,$R2207&lt;Parametros!$C$13),"Revisar","Estandar"))</f>
        <v>Revisar</v>
      </c>
      <c r="X2207" s="67" t="str">
        <f aca="false">IF(AND($J2207="E-commerce",IFERROR($T2207/$R2207,0)&gt;Parametros!$C$14),"Alerta","OK")</f>
        <v>Alerta</v>
      </c>
      <c r="Y2207" s="61" t="str">
        <f aca="false">IF($R2207&gt;=Parametros!$C$12,"Alto",IF($R2207&lt;Parametros!$C$13,"Bajo","Medio"))</f>
        <v>Alto</v>
      </c>
      <c r="Z2207" s="61" t="n">
        <v>1169</v>
      </c>
      <c r="AA2207" s="61" t="str">
        <f aca="false">IF(MATCH($A2207,Datos_Origen!$A$2:$A$2459,0)=$Z2207,"OK","REVISAR")</f>
        <v>OK</v>
      </c>
      <c r="AB2207" s="61" t="str">
        <f aca="false">INDEX(Datos_Origen!$B$2:$B$2459,$Z2207)</f>
        <v>2025-11-26</v>
      </c>
      <c r="AC2207" s="61" t="n">
        <f aca="false">INDEX(Datos_Origen!$H$2:$H$2459,$Z2207)</f>
        <v>16</v>
      </c>
      <c r="AD2207" s="61" t="str">
        <f aca="false">INDEX(Datos_Origen!$D$2:$D$2459,$Z2207)&amp;""</f>
        <v>Buenos Aires</v>
      </c>
    </row>
    <row r="2208" customFormat="false" ht="15" hidden="false" customHeight="false" outlineLevel="0" collapsed="false">
      <c r="A2208" s="61" t="n">
        <f aca="false">INDEX(Datos_Origen!$A$2:$A$2459,$Z2208)</f>
        <v>2207</v>
      </c>
      <c r="B2208" s="62" t="n">
        <f aca="false">IF(ISNUMBER($AB2208),$AB2208,IF(MID($AB2208,5,1)="-",DATE(VALUE(LEFT($AB2208,4)),VALUE(MID($AB2208,6,2)),VALUE(RIGHT($AB2208,2))),DATE(VALUE(RIGHT($AB2208,4)),VALUE(MID($AB2208,4,2)),VALUE(LEFT($AB2208,2)))))</f>
        <v>45967</v>
      </c>
      <c r="C2208" s="61" t="n">
        <f aca="false">YEAR($B2208)</f>
        <v>2025</v>
      </c>
      <c r="D2208" s="61" t="str">
        <f aca="false">"Q"&amp;ROUNDUP(MONTH($B2208)/3,0)</f>
        <v>Q4</v>
      </c>
      <c r="E2208" s="61" t="n">
        <f aca="false">MONTH($B2208)</f>
        <v>11</v>
      </c>
      <c r="F2208" s="61" t="str">
        <f aca="false">INDEX(Parametros!$I$5:$I$16,$E2208)</f>
        <v>Nov</v>
      </c>
      <c r="G2208" s="61" t="str">
        <f aca="false">TEXT($C2208,"0000")&amp;"-"&amp;TEXT($E2208,"00")</f>
        <v>2025-11</v>
      </c>
      <c r="H2208" s="61" t="str">
        <f aca="false">INDEX(Parametros!$C$71:$C$91,MATCH(TRIM(INDEX(Datos_Origen!$C$2:$C$2459,$Z2208)),Parametros!$B$71:$B$91,0))</f>
        <v>AMBA</v>
      </c>
      <c r="I2208" s="61" t="str">
        <f aca="false">IF(TRIM($AD2208)="",INDEX(Parametros!$I$20:$I$24,MATCH($H2208,Parametros!$H$20:$H$24,0)),TRIM($AD2208))</f>
        <v>Buenos Aires</v>
      </c>
      <c r="J2208" s="61" t="str">
        <f aca="false">INDEX(Parametros!$C$95:$C$106,MATCH(TRIM(INDEX(Datos_Origen!$E$2:$E$2459,$Z2208)),Parametros!$B$95:$B$106,0))</f>
        <v>Tienda fisica</v>
      </c>
      <c r="K2208" s="61" t="str">
        <f aca="false">INDEX(Parametros!$C$48:$C$67,MATCH(TRIM(INDEX(Datos_Origen!$F$2:$F$2459,$Z2208)),Parametros!$B$48:$B$67,0))</f>
        <v>Accesorios</v>
      </c>
      <c r="L2208" s="61" t="str">
        <f aca="false">$K2208&amp;" "&amp;$C2208</f>
        <v>Accesorios 2025</v>
      </c>
      <c r="M2208" s="61" t="str">
        <f aca="false">TRIM(INDEX(Datos_Origen!$G$2:$G$2459,$Z2208))</f>
        <v>Mouse Inalambrico</v>
      </c>
      <c r="N2208" s="61" t="str">
        <f aca="false">$M2208&amp;" "&amp;$C2208</f>
        <v>Mouse Inalambrico 2025</v>
      </c>
      <c r="O2208" s="63" t="n">
        <f aca="false">IF(ISTEXT($AC2208),VALUE($AC2208),$AC2208)</f>
        <v>118</v>
      </c>
      <c r="P2208" s="64" t="n">
        <f aca="false">INDEX(Datos_Origen!$I$2:$I$2459,$Z2208)</f>
        <v>28.11</v>
      </c>
      <c r="Q2208" s="64" t="n">
        <f aca="false">INDEX(Datos_Origen!$J$2:$J$2459,$Z2208)</f>
        <v>13.84</v>
      </c>
      <c r="R2208" s="65" t="n">
        <f aca="false">ROUND($O2208*$P2208,2)</f>
        <v>3316.98</v>
      </c>
      <c r="S2208" s="65" t="n">
        <f aca="false">ROUND($O2208*$Q2208,2)</f>
        <v>1633.12</v>
      </c>
      <c r="T2208" s="65" t="n">
        <f aca="false">ROUND($R2208*SUMIFS(Parametros!$E$28:$E$43,Parametros!$B$28:$B$43,$J2208,Parametros!$C$28:$C$43,$C2208,Parametros!$D$28:$D$43,$D2208),2)</f>
        <v>43.12</v>
      </c>
      <c r="U2208" s="65" t="n">
        <f aca="false">$R2208-$S2208-$T2208</f>
        <v>1640.74</v>
      </c>
      <c r="V2208" s="66" t="n">
        <f aca="false">IFERROR($U2208/$R2208,0)</f>
        <v>0.494648746751563</v>
      </c>
      <c r="W2208" s="67" t="str">
        <f aca="false">IF(AND($V2208&gt;=Parametros!$C$8,$R2208&gt;=Parametros!$C$12),"Alta rentabilidad",IF(OR($V2208&lt;Parametros!$C$11,$R2208&lt;Parametros!$C$13),"Revisar","Estandar"))</f>
        <v>Alta rentabilidad</v>
      </c>
      <c r="X2208" s="67" t="str">
        <f aca="false">IF(AND($J2208="E-commerce",IFERROR($T2208/$R2208,0)&gt;Parametros!$C$14),"Alerta","OK")</f>
        <v>OK</v>
      </c>
      <c r="Y2208" s="61" t="str">
        <f aca="false">IF($R2208&gt;=Parametros!$C$12,"Alto",IF($R2208&lt;Parametros!$C$13,"Bajo","Medio"))</f>
        <v>Alto</v>
      </c>
      <c r="Z2208" s="61" t="n">
        <v>1883</v>
      </c>
      <c r="AA2208" s="61" t="str">
        <f aca="false">IF(MATCH($A2208,Datos_Origen!$A$2:$A$2459,0)=$Z2208,"OK","REVISAR")</f>
        <v>OK</v>
      </c>
      <c r="AB2208" s="62" t="n">
        <f aca="false">INDEX(Datos_Origen!$B$2:$B$2459,$Z2208)</f>
        <v>45967</v>
      </c>
      <c r="AC2208" s="61" t="n">
        <f aca="false">INDEX(Datos_Origen!$H$2:$H$2459,$Z2208)</f>
        <v>118</v>
      </c>
      <c r="AD2208" s="61" t="str">
        <f aca="false">INDEX(Datos_Origen!$D$2:$D$2459,$Z2208)&amp;""</f>
        <v>Buenos Aires</v>
      </c>
    </row>
    <row r="2209" customFormat="false" ht="15" hidden="false" customHeight="false" outlineLevel="0" collapsed="false">
      <c r="A2209" s="61" t="n">
        <f aca="false">INDEX(Datos_Origen!$A$2:$A$2459,$Z2209)</f>
        <v>2208</v>
      </c>
      <c r="B2209" s="62" t="n">
        <f aca="false">IF(ISNUMBER($AB2209),$AB2209,IF(MID($AB2209,5,1)="-",DATE(VALUE(LEFT($AB2209,4)),VALUE(MID($AB2209,6,2)),VALUE(RIGHT($AB2209,2))),DATE(VALUE(RIGHT($AB2209,4)),VALUE(MID($AB2209,4,2)),VALUE(LEFT($AB2209,2)))))</f>
        <v>45974</v>
      </c>
      <c r="C2209" s="61" t="n">
        <f aca="false">YEAR($B2209)</f>
        <v>2025</v>
      </c>
      <c r="D2209" s="61" t="str">
        <f aca="false">"Q"&amp;ROUNDUP(MONTH($B2209)/3,0)</f>
        <v>Q4</v>
      </c>
      <c r="E2209" s="61" t="n">
        <f aca="false">MONTH($B2209)</f>
        <v>11</v>
      </c>
      <c r="F2209" s="61" t="str">
        <f aca="false">INDEX(Parametros!$I$5:$I$16,$E2209)</f>
        <v>Nov</v>
      </c>
      <c r="G2209" s="61" t="str">
        <f aca="false">TEXT($C2209,"0000")&amp;"-"&amp;TEXT($E2209,"00")</f>
        <v>2025-11</v>
      </c>
      <c r="H2209" s="61" t="str">
        <f aca="false">INDEX(Parametros!$C$71:$C$91,MATCH(TRIM(INDEX(Datos_Origen!$C$2:$C$2459,$Z2209)),Parametros!$B$71:$B$91,0))</f>
        <v>AMBA</v>
      </c>
      <c r="I2209" s="61" t="str">
        <f aca="false">IF(TRIM($AD2209)="",INDEX(Parametros!$I$20:$I$24,MATCH($H2209,Parametros!$H$20:$H$24,0)),TRIM($AD2209))</f>
        <v>Buenos Aires</v>
      </c>
      <c r="J2209" s="61" t="str">
        <f aca="false">INDEX(Parametros!$C$95:$C$106,MATCH(TRIM(INDEX(Datos_Origen!$E$2:$E$2459,$Z2209)),Parametros!$B$95:$B$106,0))</f>
        <v>E-commerce</v>
      </c>
      <c r="K2209" s="61" t="str">
        <f aca="false">INDEX(Parametros!$C$48:$C$67,MATCH(TRIM(INDEX(Datos_Origen!$F$2:$F$2459,$Z2209)),Parametros!$B$48:$B$67,0))</f>
        <v>Accesorios</v>
      </c>
      <c r="L2209" s="61" t="str">
        <f aca="false">$K2209&amp;" "&amp;$C2209</f>
        <v>Accesorios 2025</v>
      </c>
      <c r="M2209" s="61" t="str">
        <f aca="false">TRIM(INDEX(Datos_Origen!$G$2:$G$2459,$Z2209))</f>
        <v>Mouse Inalambrico</v>
      </c>
      <c r="N2209" s="61" t="str">
        <f aca="false">$M2209&amp;" "&amp;$C2209</f>
        <v>Mouse Inalambrico 2025</v>
      </c>
      <c r="O2209" s="63" t="n">
        <f aca="false">IF(ISTEXT($AC2209),VALUE($AC2209),$AC2209)</f>
        <v>72</v>
      </c>
      <c r="P2209" s="64" t="n">
        <f aca="false">INDEX(Datos_Origen!$I$2:$I$2459,$Z2209)</f>
        <v>28.11</v>
      </c>
      <c r="Q2209" s="64" t="n">
        <f aca="false">INDEX(Datos_Origen!$J$2:$J$2459,$Z2209)</f>
        <v>13.84</v>
      </c>
      <c r="R2209" s="65" t="n">
        <f aca="false">ROUND($O2209*$P2209,2)</f>
        <v>2023.92</v>
      </c>
      <c r="S2209" s="65" t="n">
        <f aca="false">ROUND($O2209*$Q2209,2)</f>
        <v>996.48</v>
      </c>
      <c r="T2209" s="65" t="n">
        <f aca="false">ROUND($R2209*SUMIFS(Parametros!$E$28:$E$43,Parametros!$B$28:$B$43,$J2209,Parametros!$C$28:$C$43,$C2209,Parametros!$D$28:$D$43,$D2209),2)</f>
        <v>105.24</v>
      </c>
      <c r="U2209" s="65" t="n">
        <f aca="false">$R2209-$S2209-$T2209</f>
        <v>922.2</v>
      </c>
      <c r="V2209" s="66" t="n">
        <f aca="false">IFERROR($U2209/$R2209,0)</f>
        <v>0.455650420965256</v>
      </c>
      <c r="W2209" s="67" t="str">
        <f aca="false">IF(AND($V2209&gt;=Parametros!$C$8,$R2209&gt;=Parametros!$C$12),"Alta rentabilidad",IF(OR($V2209&lt;Parametros!$C$11,$R2209&lt;Parametros!$C$13),"Revisar","Estandar"))</f>
        <v>Estandar</v>
      </c>
      <c r="X2209" s="67" t="str">
        <f aca="false">IF(AND($J2209="E-commerce",IFERROR($T2209/$R2209,0)&gt;Parametros!$C$14),"Alerta","OK")</f>
        <v>Alerta</v>
      </c>
      <c r="Y2209" s="61" t="str">
        <f aca="false">IF($R2209&gt;=Parametros!$C$12,"Alto",IF($R2209&lt;Parametros!$C$13,"Bajo","Medio"))</f>
        <v>Medio</v>
      </c>
      <c r="Z2209" s="61" t="n">
        <v>886</v>
      </c>
      <c r="AA2209" s="61" t="str">
        <f aca="false">IF(MATCH($A2209,Datos_Origen!$A$2:$A$2459,0)=$Z2209,"OK","REVISAR")</f>
        <v>OK</v>
      </c>
      <c r="AB2209" s="62" t="n">
        <f aca="false">INDEX(Datos_Origen!$B$2:$B$2459,$Z2209)</f>
        <v>45974</v>
      </c>
      <c r="AC2209" s="61" t="n">
        <f aca="false">INDEX(Datos_Origen!$H$2:$H$2459,$Z2209)</f>
        <v>72</v>
      </c>
      <c r="AD2209" s="61" t="str">
        <f aca="false">INDEX(Datos_Origen!$D$2:$D$2459,$Z2209)&amp;""</f>
        <v>Buenos Aires</v>
      </c>
    </row>
    <row r="2210" customFormat="false" ht="15" hidden="false" customHeight="false" outlineLevel="0" collapsed="false">
      <c r="A2210" s="61" t="n">
        <f aca="false">INDEX(Datos_Origen!$A$2:$A$2459,$Z2210)</f>
        <v>2209</v>
      </c>
      <c r="B2210" s="62" t="n">
        <f aca="false">IF(ISNUMBER($AB2210),$AB2210,IF(MID($AB2210,5,1)="-",DATE(VALUE(LEFT($AB2210,4)),VALUE(MID($AB2210,6,2)),VALUE(RIGHT($AB2210,2))),DATE(VALUE(RIGHT($AB2210,4)),VALUE(MID($AB2210,4,2)),VALUE(LEFT($AB2210,2)))))</f>
        <v>45981</v>
      </c>
      <c r="C2210" s="61" t="n">
        <f aca="false">YEAR($B2210)</f>
        <v>2025</v>
      </c>
      <c r="D2210" s="61" t="str">
        <f aca="false">"Q"&amp;ROUNDUP(MONTH($B2210)/3,0)</f>
        <v>Q4</v>
      </c>
      <c r="E2210" s="61" t="n">
        <f aca="false">MONTH($B2210)</f>
        <v>11</v>
      </c>
      <c r="F2210" s="61" t="str">
        <f aca="false">INDEX(Parametros!$I$5:$I$16,$E2210)</f>
        <v>Nov</v>
      </c>
      <c r="G2210" s="61" t="str">
        <f aca="false">TEXT($C2210,"0000")&amp;"-"&amp;TEXT($E2210,"00")</f>
        <v>2025-11</v>
      </c>
      <c r="H2210" s="61" t="str">
        <f aca="false">INDEX(Parametros!$C$71:$C$91,MATCH(TRIM(INDEX(Datos_Origen!$C$2:$C$2459,$Z2210)),Parametros!$B$71:$B$91,0))</f>
        <v>AMBA</v>
      </c>
      <c r="I2210" s="61" t="str">
        <f aca="false">IF(TRIM($AD2210)="",INDEX(Parametros!$I$20:$I$24,MATCH($H2210,Parametros!$H$20:$H$24,0)),TRIM($AD2210))</f>
        <v>Buenos Aires</v>
      </c>
      <c r="J2210" s="61" t="str">
        <f aca="false">INDEX(Parametros!$C$95:$C$106,MATCH(TRIM(INDEX(Datos_Origen!$E$2:$E$2459,$Z2210)),Parametros!$B$95:$B$106,0))</f>
        <v>Tienda fisica</v>
      </c>
      <c r="K2210" s="61" t="str">
        <f aca="false">INDEX(Parametros!$C$48:$C$67,MATCH(TRIM(INDEX(Datos_Origen!$F$2:$F$2459,$Z2210)),Parametros!$B$48:$B$67,0))</f>
        <v>Accesorios</v>
      </c>
      <c r="L2210" s="61" t="str">
        <f aca="false">$K2210&amp;" "&amp;$C2210</f>
        <v>Accesorios 2025</v>
      </c>
      <c r="M2210" s="61" t="str">
        <f aca="false">TRIM(INDEX(Datos_Origen!$G$2:$G$2459,$Z2210))</f>
        <v>Teclado Mecanico</v>
      </c>
      <c r="N2210" s="61" t="str">
        <f aca="false">$M2210&amp;" "&amp;$C2210</f>
        <v>Teclado Mecanico 2025</v>
      </c>
      <c r="O2210" s="63" t="n">
        <f aca="false">IF(ISTEXT($AC2210),VALUE($AC2210),$AC2210)</f>
        <v>122</v>
      </c>
      <c r="P2210" s="64" t="n">
        <f aca="false">INDEX(Datos_Origen!$I$2:$I$2459,$Z2210)</f>
        <v>95.38</v>
      </c>
      <c r="Q2210" s="64" t="n">
        <f aca="false">INDEX(Datos_Origen!$J$2:$J$2459,$Z2210)</f>
        <v>49.41</v>
      </c>
      <c r="R2210" s="65" t="n">
        <f aca="false">ROUND($O2210*$P2210,2)</f>
        <v>11636.36</v>
      </c>
      <c r="S2210" s="65" t="n">
        <f aca="false">ROUND($O2210*$Q2210,2)</f>
        <v>6028.02</v>
      </c>
      <c r="T2210" s="65" t="n">
        <f aca="false">ROUND($R2210*SUMIFS(Parametros!$E$28:$E$43,Parametros!$B$28:$B$43,$J2210,Parametros!$C$28:$C$43,$C2210,Parametros!$D$28:$D$43,$D2210),2)</f>
        <v>151.27</v>
      </c>
      <c r="U2210" s="65" t="n">
        <f aca="false">$R2210-$S2210-$T2210</f>
        <v>5457.07</v>
      </c>
      <c r="V2210" s="66" t="n">
        <f aca="false">IFERROR($U2210/$R2210,0)</f>
        <v>0.468967099677219</v>
      </c>
      <c r="W2210" s="67" t="str">
        <f aca="false">IF(AND($V2210&gt;=Parametros!$C$8,$R2210&gt;=Parametros!$C$12),"Alta rentabilidad",IF(OR($V2210&lt;Parametros!$C$11,$R2210&lt;Parametros!$C$13),"Revisar","Estandar"))</f>
        <v>Alta rentabilidad</v>
      </c>
      <c r="X2210" s="67" t="str">
        <f aca="false">IF(AND($J2210="E-commerce",IFERROR($T2210/$R2210,0)&gt;Parametros!$C$14),"Alerta","OK")</f>
        <v>OK</v>
      </c>
      <c r="Y2210" s="61" t="str">
        <f aca="false">IF($R2210&gt;=Parametros!$C$12,"Alto",IF($R2210&lt;Parametros!$C$13,"Bajo","Medio"))</f>
        <v>Alto</v>
      </c>
      <c r="Z2210" s="61" t="n">
        <v>2184</v>
      </c>
      <c r="AA2210" s="61" t="str">
        <f aca="false">IF(MATCH($A2210,Datos_Origen!$A$2:$A$2459,0)=$Z2210,"OK","REVISAR")</f>
        <v>OK</v>
      </c>
      <c r="AB2210" s="61" t="str">
        <f aca="false">INDEX(Datos_Origen!$B$2:$B$2459,$Z2210)</f>
        <v>2025-11-20</v>
      </c>
      <c r="AC2210" s="61" t="n">
        <f aca="false">INDEX(Datos_Origen!$H$2:$H$2459,$Z2210)</f>
        <v>122</v>
      </c>
      <c r="AD2210" s="61" t="str">
        <f aca="false">INDEX(Datos_Origen!$D$2:$D$2459,$Z2210)&amp;""</f>
        <v>Buenos Aires</v>
      </c>
    </row>
    <row r="2211" customFormat="false" ht="15" hidden="false" customHeight="false" outlineLevel="0" collapsed="false">
      <c r="A2211" s="61" t="n">
        <f aca="false">INDEX(Datos_Origen!$A$2:$A$2459,$Z2211)</f>
        <v>2210</v>
      </c>
      <c r="B2211" s="62" t="n">
        <f aca="false">IF(ISNUMBER($AB2211),$AB2211,IF(MID($AB2211,5,1)="-",DATE(VALUE(LEFT($AB2211,4)),VALUE(MID($AB2211,6,2)),VALUE(RIGHT($AB2211,2))),DATE(VALUE(RIGHT($AB2211,4)),VALUE(MID($AB2211,4,2)),VALUE(LEFT($AB2211,2)))))</f>
        <v>45988</v>
      </c>
      <c r="C2211" s="61" t="n">
        <f aca="false">YEAR($B2211)</f>
        <v>2025</v>
      </c>
      <c r="D2211" s="61" t="str">
        <f aca="false">"Q"&amp;ROUNDUP(MONTH($B2211)/3,0)</f>
        <v>Q4</v>
      </c>
      <c r="E2211" s="61" t="n">
        <f aca="false">MONTH($B2211)</f>
        <v>11</v>
      </c>
      <c r="F2211" s="61" t="str">
        <f aca="false">INDEX(Parametros!$I$5:$I$16,$E2211)</f>
        <v>Nov</v>
      </c>
      <c r="G2211" s="61" t="str">
        <f aca="false">TEXT($C2211,"0000")&amp;"-"&amp;TEXT($E2211,"00")</f>
        <v>2025-11</v>
      </c>
      <c r="H2211" s="61" t="str">
        <f aca="false">INDEX(Parametros!$C$71:$C$91,MATCH(TRIM(INDEX(Datos_Origen!$C$2:$C$2459,$Z2211)),Parametros!$B$71:$B$91,0))</f>
        <v>AMBA</v>
      </c>
      <c r="I2211" s="61" t="str">
        <f aca="false">IF(TRIM($AD2211)="",INDEX(Parametros!$I$20:$I$24,MATCH($H2211,Parametros!$H$20:$H$24,0)),TRIM($AD2211))</f>
        <v>Buenos Aires</v>
      </c>
      <c r="J2211" s="61" t="str">
        <f aca="false">INDEX(Parametros!$C$95:$C$106,MATCH(TRIM(INDEX(Datos_Origen!$E$2:$E$2459,$Z2211)),Parametros!$B$95:$B$106,0))</f>
        <v>E-commerce</v>
      </c>
      <c r="K2211" s="61" t="str">
        <f aca="false">INDEX(Parametros!$C$48:$C$67,MATCH(TRIM(INDEX(Datos_Origen!$F$2:$F$2459,$Z2211)),Parametros!$B$48:$B$67,0))</f>
        <v>Accesorios</v>
      </c>
      <c r="L2211" s="61" t="str">
        <f aca="false">$K2211&amp;" "&amp;$C2211</f>
        <v>Accesorios 2025</v>
      </c>
      <c r="M2211" s="61" t="str">
        <f aca="false">TRIM(INDEX(Datos_Origen!$G$2:$G$2459,$Z2211))</f>
        <v>Teclado Mecanico</v>
      </c>
      <c r="N2211" s="61" t="str">
        <f aca="false">$M2211&amp;" "&amp;$C2211</f>
        <v>Teclado Mecanico 2025</v>
      </c>
      <c r="O2211" s="63" t="n">
        <f aca="false">IF(ISTEXT($AC2211),VALUE($AC2211),$AC2211)</f>
        <v>78</v>
      </c>
      <c r="P2211" s="64" t="n">
        <f aca="false">INDEX(Datos_Origen!$I$2:$I$2459,$Z2211)</f>
        <v>95.38</v>
      </c>
      <c r="Q2211" s="64" t="n">
        <f aca="false">INDEX(Datos_Origen!$J$2:$J$2459,$Z2211)</f>
        <v>49.41</v>
      </c>
      <c r="R2211" s="65" t="n">
        <f aca="false">ROUND($O2211*$P2211,2)</f>
        <v>7439.64</v>
      </c>
      <c r="S2211" s="65" t="n">
        <f aca="false">ROUND($O2211*$Q2211,2)</f>
        <v>3853.98</v>
      </c>
      <c r="T2211" s="65" t="n">
        <f aca="false">ROUND($R2211*SUMIFS(Parametros!$E$28:$E$43,Parametros!$B$28:$B$43,$J2211,Parametros!$C$28:$C$43,$C2211,Parametros!$D$28:$D$43,$D2211),2)</f>
        <v>386.86</v>
      </c>
      <c r="U2211" s="65" t="n">
        <f aca="false">$R2211-$S2211-$T2211</f>
        <v>3198.8</v>
      </c>
      <c r="V2211" s="66" t="n">
        <f aca="false">IFERROR($U2211/$R2211,0)</f>
        <v>0.429967041415983</v>
      </c>
      <c r="W2211" s="67" t="str">
        <f aca="false">IF(AND($V2211&gt;=Parametros!$C$8,$R2211&gt;=Parametros!$C$12),"Alta rentabilidad",IF(OR($V2211&lt;Parametros!$C$11,$R2211&lt;Parametros!$C$13),"Revisar","Estandar"))</f>
        <v>Alta rentabilidad</v>
      </c>
      <c r="X2211" s="67" t="str">
        <f aca="false">IF(AND($J2211="E-commerce",IFERROR($T2211/$R2211,0)&gt;Parametros!$C$14),"Alerta","OK")</f>
        <v>Alerta</v>
      </c>
      <c r="Y2211" s="61" t="str">
        <f aca="false">IF($R2211&gt;=Parametros!$C$12,"Alto",IF($R2211&lt;Parametros!$C$13,"Bajo","Medio"))</f>
        <v>Alto</v>
      </c>
      <c r="Z2211" s="61" t="n">
        <v>486</v>
      </c>
      <c r="AA2211" s="61" t="str">
        <f aca="false">IF(MATCH($A2211,Datos_Origen!$A$2:$A$2459,0)=$Z2211,"OK","REVISAR")</f>
        <v>OK</v>
      </c>
      <c r="AB2211" s="62" t="n">
        <f aca="false">INDEX(Datos_Origen!$B$2:$B$2459,$Z2211)</f>
        <v>45988</v>
      </c>
      <c r="AC2211" s="61" t="str">
        <f aca="false">INDEX(Datos_Origen!$H$2:$H$2459,$Z2211)</f>
        <v>78</v>
      </c>
      <c r="AD2211" s="61" t="str">
        <f aca="false">INDEX(Datos_Origen!$D$2:$D$2459,$Z2211)&amp;""</f>
        <v>Buenos Aires</v>
      </c>
    </row>
    <row r="2212" customFormat="false" ht="15" hidden="false" customHeight="false" outlineLevel="0" collapsed="false">
      <c r="A2212" s="61" t="n">
        <f aca="false">INDEX(Datos_Origen!$A$2:$A$2459,$Z2212)</f>
        <v>2211</v>
      </c>
      <c r="B2212" s="62" t="n">
        <f aca="false">IF(ISNUMBER($AB2212),$AB2212,IF(MID($AB2212,5,1)="-",DATE(VALUE(LEFT($AB2212,4)),VALUE(MID($AB2212,6,2)),VALUE(RIGHT($AB2212,2))),DATE(VALUE(RIGHT($AB2212,4)),VALUE(MID($AB2212,4,2)),VALUE(LEFT($AB2212,2)))))</f>
        <v>45968</v>
      </c>
      <c r="C2212" s="61" t="n">
        <f aca="false">YEAR($B2212)</f>
        <v>2025</v>
      </c>
      <c r="D2212" s="61" t="str">
        <f aca="false">"Q"&amp;ROUNDUP(MONTH($B2212)/3,0)</f>
        <v>Q4</v>
      </c>
      <c r="E2212" s="61" t="n">
        <f aca="false">MONTH($B2212)</f>
        <v>11</v>
      </c>
      <c r="F2212" s="61" t="str">
        <f aca="false">INDEX(Parametros!$I$5:$I$16,$E2212)</f>
        <v>Nov</v>
      </c>
      <c r="G2212" s="61" t="str">
        <f aca="false">TEXT($C2212,"0000")&amp;"-"&amp;TEXT($E2212,"00")</f>
        <v>2025-11</v>
      </c>
      <c r="H2212" s="61" t="str">
        <f aca="false">INDEX(Parametros!$C$71:$C$91,MATCH(TRIM(INDEX(Datos_Origen!$C$2:$C$2459,$Z2212)),Parametros!$B$71:$B$91,0))</f>
        <v>AMBA</v>
      </c>
      <c r="I2212" s="61" t="str">
        <f aca="false">IF(TRIM($AD2212)="",INDEX(Parametros!$I$20:$I$24,MATCH($H2212,Parametros!$H$20:$H$24,0)),TRIM($AD2212))</f>
        <v>Buenos Aires</v>
      </c>
      <c r="J2212" s="61" t="str">
        <f aca="false">INDEX(Parametros!$C$95:$C$106,MATCH(TRIM(INDEX(Datos_Origen!$E$2:$E$2459,$Z2212)),Parametros!$B$95:$B$106,0))</f>
        <v>Tienda fisica</v>
      </c>
      <c r="K2212" s="61" t="str">
        <f aca="false">INDEX(Parametros!$C$48:$C$67,MATCH(TRIM(INDEX(Datos_Origen!$F$2:$F$2459,$Z2212)),Parametros!$B$48:$B$67,0))</f>
        <v>Accesorios</v>
      </c>
      <c r="L2212" s="61" t="str">
        <f aca="false">$K2212&amp;" "&amp;$C2212</f>
        <v>Accesorios 2025</v>
      </c>
      <c r="M2212" s="61" t="str">
        <f aca="false">TRIM(INDEX(Datos_Origen!$G$2:$G$2459,$Z2212))</f>
        <v>Webcam Full HD</v>
      </c>
      <c r="N2212" s="61" t="str">
        <f aca="false">$M2212&amp;" "&amp;$C2212</f>
        <v>Webcam Full HD 2025</v>
      </c>
      <c r="O2212" s="63" t="n">
        <f aca="false">IF(ISTEXT($AC2212),VALUE($AC2212),$AC2212)</f>
        <v>96</v>
      </c>
      <c r="P2212" s="64" t="n">
        <f aca="false">INDEX(Datos_Origen!$I$2:$I$2459,$Z2212)</f>
        <v>65.26</v>
      </c>
      <c r="Q2212" s="64" t="n">
        <f aca="false">INDEX(Datos_Origen!$J$2:$J$2459,$Z2212)</f>
        <v>36.49</v>
      </c>
      <c r="R2212" s="65" t="n">
        <f aca="false">ROUND($O2212*$P2212,2)</f>
        <v>6264.96</v>
      </c>
      <c r="S2212" s="65" t="n">
        <f aca="false">ROUND($O2212*$Q2212,2)</f>
        <v>3503.04</v>
      </c>
      <c r="T2212" s="65" t="n">
        <f aca="false">ROUND($R2212*SUMIFS(Parametros!$E$28:$E$43,Parametros!$B$28:$B$43,$J2212,Parametros!$C$28:$C$43,$C2212,Parametros!$D$28:$D$43,$D2212),2)</f>
        <v>81.44</v>
      </c>
      <c r="U2212" s="65" t="n">
        <f aca="false">$R2212-$S2212-$T2212</f>
        <v>2680.48</v>
      </c>
      <c r="V2212" s="66" t="n">
        <f aca="false">IFERROR($U2212/$R2212,0)</f>
        <v>0.427852691796915</v>
      </c>
      <c r="W2212" s="67" t="str">
        <f aca="false">IF(AND($V2212&gt;=Parametros!$C$8,$R2212&gt;=Parametros!$C$12),"Alta rentabilidad",IF(OR($V2212&lt;Parametros!$C$11,$R2212&lt;Parametros!$C$13),"Revisar","Estandar"))</f>
        <v>Alta rentabilidad</v>
      </c>
      <c r="X2212" s="67" t="str">
        <f aca="false">IF(AND($J2212="E-commerce",IFERROR($T2212/$R2212,0)&gt;Parametros!$C$14),"Alerta","OK")</f>
        <v>OK</v>
      </c>
      <c r="Y2212" s="61" t="str">
        <f aca="false">IF($R2212&gt;=Parametros!$C$12,"Alto",IF($R2212&lt;Parametros!$C$13,"Bajo","Medio"))</f>
        <v>Alto</v>
      </c>
      <c r="Z2212" s="61" t="n">
        <v>215</v>
      </c>
      <c r="AA2212" s="61" t="str">
        <f aca="false">IF(MATCH($A2212,Datos_Origen!$A$2:$A$2459,0)=$Z2212,"OK","REVISAR")</f>
        <v>OK</v>
      </c>
      <c r="AB2212" s="62" t="n">
        <f aca="false">INDEX(Datos_Origen!$B$2:$B$2459,$Z2212)</f>
        <v>45968</v>
      </c>
      <c r="AC2212" s="61" t="n">
        <f aca="false">INDEX(Datos_Origen!$H$2:$H$2459,$Z2212)</f>
        <v>96</v>
      </c>
      <c r="AD2212" s="61" t="str">
        <f aca="false">INDEX(Datos_Origen!$D$2:$D$2459,$Z2212)&amp;""</f>
        <v>Buenos Aires</v>
      </c>
    </row>
    <row r="2213" customFormat="false" ht="15" hidden="false" customHeight="false" outlineLevel="0" collapsed="false">
      <c r="A2213" s="61" t="n">
        <f aca="false">INDEX(Datos_Origen!$A$2:$A$2459,$Z2213)</f>
        <v>2212</v>
      </c>
      <c r="B2213" s="62" t="n">
        <f aca="false">IF(ISNUMBER($AB2213),$AB2213,IF(MID($AB2213,5,1)="-",DATE(VALUE(LEFT($AB2213,4)),VALUE(MID($AB2213,6,2)),VALUE(RIGHT($AB2213,2))),DATE(VALUE(RIGHT($AB2213,4)),VALUE(MID($AB2213,4,2)),VALUE(LEFT($AB2213,2)))))</f>
        <v>45975</v>
      </c>
      <c r="C2213" s="61" t="n">
        <f aca="false">YEAR($B2213)</f>
        <v>2025</v>
      </c>
      <c r="D2213" s="61" t="str">
        <f aca="false">"Q"&amp;ROUNDUP(MONTH($B2213)/3,0)</f>
        <v>Q4</v>
      </c>
      <c r="E2213" s="61" t="n">
        <f aca="false">MONTH($B2213)</f>
        <v>11</v>
      </c>
      <c r="F2213" s="61" t="str">
        <f aca="false">INDEX(Parametros!$I$5:$I$16,$E2213)</f>
        <v>Nov</v>
      </c>
      <c r="G2213" s="61" t="str">
        <f aca="false">TEXT($C2213,"0000")&amp;"-"&amp;TEXT($E2213,"00")</f>
        <v>2025-11</v>
      </c>
      <c r="H2213" s="61" t="str">
        <f aca="false">INDEX(Parametros!$C$71:$C$91,MATCH(TRIM(INDEX(Datos_Origen!$C$2:$C$2459,$Z2213)),Parametros!$B$71:$B$91,0))</f>
        <v>AMBA</v>
      </c>
      <c r="I2213" s="61" t="str">
        <f aca="false">IF(TRIM($AD2213)="",INDEX(Parametros!$I$20:$I$24,MATCH($H2213,Parametros!$H$20:$H$24,0)),TRIM($AD2213))</f>
        <v>Buenos Aires</v>
      </c>
      <c r="J2213" s="61" t="str">
        <f aca="false">INDEX(Parametros!$C$95:$C$106,MATCH(TRIM(INDEX(Datos_Origen!$E$2:$E$2459,$Z2213)),Parametros!$B$95:$B$106,0))</f>
        <v>E-commerce</v>
      </c>
      <c r="K2213" s="61" t="str">
        <f aca="false">INDEX(Parametros!$C$48:$C$67,MATCH(TRIM(INDEX(Datos_Origen!$F$2:$F$2459,$Z2213)),Parametros!$B$48:$B$67,0))</f>
        <v>Accesorios</v>
      </c>
      <c r="L2213" s="61" t="str">
        <f aca="false">$K2213&amp;" "&amp;$C2213</f>
        <v>Accesorios 2025</v>
      </c>
      <c r="M2213" s="61" t="str">
        <f aca="false">TRIM(INDEX(Datos_Origen!$G$2:$G$2459,$Z2213))</f>
        <v>Webcam Full HD</v>
      </c>
      <c r="N2213" s="61" t="str">
        <f aca="false">$M2213&amp;" "&amp;$C2213</f>
        <v>Webcam Full HD 2025</v>
      </c>
      <c r="O2213" s="63" t="n">
        <f aca="false">IF(ISTEXT($AC2213),VALUE($AC2213),$AC2213)</f>
        <v>80</v>
      </c>
      <c r="P2213" s="64" t="n">
        <f aca="false">INDEX(Datos_Origen!$I$2:$I$2459,$Z2213)</f>
        <v>65.26</v>
      </c>
      <c r="Q2213" s="64" t="n">
        <f aca="false">INDEX(Datos_Origen!$J$2:$J$2459,$Z2213)</f>
        <v>36.49</v>
      </c>
      <c r="R2213" s="65" t="n">
        <f aca="false">ROUND($O2213*$P2213,2)</f>
        <v>5220.8</v>
      </c>
      <c r="S2213" s="65" t="n">
        <f aca="false">ROUND($O2213*$Q2213,2)</f>
        <v>2919.2</v>
      </c>
      <c r="T2213" s="65" t="n">
        <f aca="false">ROUND($R2213*SUMIFS(Parametros!$E$28:$E$43,Parametros!$B$28:$B$43,$J2213,Parametros!$C$28:$C$43,$C2213,Parametros!$D$28:$D$43,$D2213),2)</f>
        <v>271.48</v>
      </c>
      <c r="U2213" s="65" t="n">
        <f aca="false">$R2213-$S2213-$T2213</f>
        <v>2030.12</v>
      </c>
      <c r="V2213" s="66" t="n">
        <f aca="false">IFERROR($U2213/$R2213,0)</f>
        <v>0.388852283174992</v>
      </c>
      <c r="W2213" s="67" t="str">
        <f aca="false">IF(AND($V2213&gt;=Parametros!$C$8,$R2213&gt;=Parametros!$C$12),"Alta rentabilidad",IF(OR($V2213&lt;Parametros!$C$11,$R2213&lt;Parametros!$C$13),"Revisar","Estandar"))</f>
        <v>Alta rentabilidad</v>
      </c>
      <c r="X2213" s="67" t="str">
        <f aca="false">IF(AND($J2213="E-commerce",IFERROR($T2213/$R2213,0)&gt;Parametros!$C$14),"Alerta","OK")</f>
        <v>Alerta</v>
      </c>
      <c r="Y2213" s="61" t="str">
        <f aca="false">IF($R2213&gt;=Parametros!$C$12,"Alto",IF($R2213&lt;Parametros!$C$13,"Bajo","Medio"))</f>
        <v>Alto</v>
      </c>
      <c r="Z2213" s="61" t="n">
        <v>1249</v>
      </c>
      <c r="AA2213" s="61" t="str">
        <f aca="false">IF(MATCH($A2213,Datos_Origen!$A$2:$A$2459,0)=$Z2213,"OK","REVISAR")</f>
        <v>OK</v>
      </c>
      <c r="AB2213" s="62" t="n">
        <f aca="false">INDEX(Datos_Origen!$B$2:$B$2459,$Z2213)</f>
        <v>45975</v>
      </c>
      <c r="AC2213" s="61" t="str">
        <f aca="false">INDEX(Datos_Origen!$H$2:$H$2459,$Z2213)</f>
        <v>80</v>
      </c>
      <c r="AD2213" s="61" t="str">
        <f aca="false">INDEX(Datos_Origen!$D$2:$D$2459,$Z2213)&amp;""</f>
        <v>Buenos Aires</v>
      </c>
    </row>
    <row r="2214" customFormat="false" ht="15" hidden="false" customHeight="false" outlineLevel="0" collapsed="false">
      <c r="A2214" s="61" t="n">
        <f aca="false">INDEX(Datos_Origen!$A$2:$A$2459,$Z2214)</f>
        <v>2213</v>
      </c>
      <c r="B2214" s="62" t="n">
        <f aca="false">IF(ISNUMBER($AB2214),$AB2214,IF(MID($AB2214,5,1)="-",DATE(VALUE(LEFT($AB2214,4)),VALUE(MID($AB2214,6,2)),VALUE(RIGHT($AB2214,2))),DATE(VALUE(RIGHT($AB2214,4)),VALUE(MID($AB2214,4,2)),VALUE(LEFT($AB2214,2)))))</f>
        <v>45982</v>
      </c>
      <c r="C2214" s="61" t="n">
        <f aca="false">YEAR($B2214)</f>
        <v>2025</v>
      </c>
      <c r="D2214" s="61" t="str">
        <f aca="false">"Q"&amp;ROUNDUP(MONTH($B2214)/3,0)</f>
        <v>Q4</v>
      </c>
      <c r="E2214" s="61" t="n">
        <f aca="false">MONTH($B2214)</f>
        <v>11</v>
      </c>
      <c r="F2214" s="61" t="str">
        <f aca="false">INDEX(Parametros!$I$5:$I$16,$E2214)</f>
        <v>Nov</v>
      </c>
      <c r="G2214" s="61" t="str">
        <f aca="false">TEXT($C2214,"0000")&amp;"-"&amp;TEXT($E2214,"00")</f>
        <v>2025-11</v>
      </c>
      <c r="H2214" s="61" t="str">
        <f aca="false">INDEX(Parametros!$C$71:$C$91,MATCH(TRIM(INDEX(Datos_Origen!$C$2:$C$2459,$Z2214)),Parametros!$B$71:$B$91,0))</f>
        <v>AMBA</v>
      </c>
      <c r="I2214" s="61" t="str">
        <f aca="false">IF(TRIM($AD2214)="",INDEX(Parametros!$I$20:$I$24,MATCH($H2214,Parametros!$H$20:$H$24,0)),TRIM($AD2214))</f>
        <v>Buenos Aires</v>
      </c>
      <c r="J2214" s="61" t="str">
        <f aca="false">INDEX(Parametros!$C$95:$C$106,MATCH(TRIM(INDEX(Datos_Origen!$E$2:$E$2459,$Z2214)),Parametros!$B$95:$B$106,0))</f>
        <v>Tienda fisica</v>
      </c>
      <c r="K2214" s="61" t="str">
        <f aca="false">INDEX(Parametros!$C$48:$C$67,MATCH(TRIM(INDEX(Datos_Origen!$F$2:$F$2459,$Z2214)),Parametros!$B$48:$B$67,0))</f>
        <v>Audio</v>
      </c>
      <c r="L2214" s="61" t="str">
        <f aca="false">$K2214&amp;" "&amp;$C2214</f>
        <v>Audio 2025</v>
      </c>
      <c r="M2214" s="61" t="str">
        <f aca="false">TRIM(INDEX(Datos_Origen!$G$2:$G$2459,$Z2214))</f>
        <v>Auriculares BT Pro</v>
      </c>
      <c r="N2214" s="61" t="str">
        <f aca="false">$M2214&amp;" "&amp;$C2214</f>
        <v>Auriculares BT Pro 2025</v>
      </c>
      <c r="O2214" s="63" t="n">
        <f aca="false">IF(ISTEXT($AC2214),VALUE($AC2214),$AC2214)</f>
        <v>58</v>
      </c>
      <c r="P2214" s="64" t="n">
        <f aca="false">INDEX(Datos_Origen!$I$2:$I$2459,$Z2214)</f>
        <v>120.47</v>
      </c>
      <c r="Q2214" s="64" t="n">
        <f aca="false">INDEX(Datos_Origen!$J$2:$J$2459,$Z2214)</f>
        <v>65.51</v>
      </c>
      <c r="R2214" s="65" t="n">
        <f aca="false">ROUND($O2214*$P2214,2)</f>
        <v>6987.26</v>
      </c>
      <c r="S2214" s="65" t="n">
        <f aca="false">ROUND($O2214*$Q2214,2)</f>
        <v>3799.58</v>
      </c>
      <c r="T2214" s="65" t="n">
        <f aca="false">ROUND($R2214*SUMIFS(Parametros!$E$28:$E$43,Parametros!$B$28:$B$43,$J2214,Parametros!$C$28:$C$43,$C2214,Parametros!$D$28:$D$43,$D2214),2)</f>
        <v>90.83</v>
      </c>
      <c r="U2214" s="65" t="n">
        <f aca="false">$R2214-$S2214-$T2214</f>
        <v>3096.85</v>
      </c>
      <c r="V2214" s="66" t="n">
        <f aca="false">IFERROR($U2214/$R2214,0)</f>
        <v>0.443213791958507</v>
      </c>
      <c r="W2214" s="67" t="str">
        <f aca="false">IF(AND($V2214&gt;=Parametros!$C$8,$R2214&gt;=Parametros!$C$12),"Alta rentabilidad",IF(OR($V2214&lt;Parametros!$C$11,$R2214&lt;Parametros!$C$13),"Revisar","Estandar"))</f>
        <v>Alta rentabilidad</v>
      </c>
      <c r="X2214" s="67" t="str">
        <f aca="false">IF(AND($J2214="E-commerce",IFERROR($T2214/$R2214,0)&gt;Parametros!$C$14),"Alerta","OK")</f>
        <v>OK</v>
      </c>
      <c r="Y2214" s="61" t="str">
        <f aca="false">IF($R2214&gt;=Parametros!$C$12,"Alto",IF($R2214&lt;Parametros!$C$13,"Bajo","Medio"))</f>
        <v>Alto</v>
      </c>
      <c r="Z2214" s="61" t="n">
        <v>360</v>
      </c>
      <c r="AA2214" s="61" t="str">
        <f aca="false">IF(MATCH($A2214,Datos_Origen!$A$2:$A$2459,0)=$Z2214,"OK","REVISAR")</f>
        <v>OK</v>
      </c>
      <c r="AB2214" s="62" t="n">
        <f aca="false">INDEX(Datos_Origen!$B$2:$B$2459,$Z2214)</f>
        <v>45982</v>
      </c>
      <c r="AC2214" s="61" t="n">
        <f aca="false">INDEX(Datos_Origen!$H$2:$H$2459,$Z2214)</f>
        <v>58</v>
      </c>
      <c r="AD2214" s="61" t="str">
        <f aca="false">INDEX(Datos_Origen!$D$2:$D$2459,$Z2214)&amp;""</f>
        <v>Buenos Aires</v>
      </c>
    </row>
    <row r="2215" customFormat="false" ht="15" hidden="false" customHeight="false" outlineLevel="0" collapsed="false">
      <c r="A2215" s="61" t="n">
        <f aca="false">INDEX(Datos_Origen!$A$2:$A$2459,$Z2215)</f>
        <v>2214</v>
      </c>
      <c r="B2215" s="62" t="n">
        <f aca="false">IF(ISNUMBER($AB2215),$AB2215,IF(MID($AB2215,5,1)="-",DATE(VALUE(LEFT($AB2215,4)),VALUE(MID($AB2215,6,2)),VALUE(RIGHT($AB2215,2))),DATE(VALUE(RIGHT($AB2215,4)),VALUE(MID($AB2215,4,2)),VALUE(LEFT($AB2215,2)))))</f>
        <v>45962</v>
      </c>
      <c r="C2215" s="61" t="n">
        <f aca="false">YEAR($B2215)</f>
        <v>2025</v>
      </c>
      <c r="D2215" s="61" t="str">
        <f aca="false">"Q"&amp;ROUNDUP(MONTH($B2215)/3,0)</f>
        <v>Q4</v>
      </c>
      <c r="E2215" s="61" t="n">
        <f aca="false">MONTH($B2215)</f>
        <v>11</v>
      </c>
      <c r="F2215" s="61" t="str">
        <f aca="false">INDEX(Parametros!$I$5:$I$16,$E2215)</f>
        <v>Nov</v>
      </c>
      <c r="G2215" s="61" t="str">
        <f aca="false">TEXT($C2215,"0000")&amp;"-"&amp;TEXT($E2215,"00")</f>
        <v>2025-11</v>
      </c>
      <c r="H2215" s="61" t="str">
        <f aca="false">INDEX(Parametros!$C$71:$C$91,MATCH(TRIM(INDEX(Datos_Origen!$C$2:$C$2459,$Z2215)),Parametros!$B$71:$B$91,0))</f>
        <v>AMBA</v>
      </c>
      <c r="I2215" s="61" t="str">
        <f aca="false">IF(TRIM($AD2215)="",INDEX(Parametros!$I$20:$I$24,MATCH($H2215,Parametros!$H$20:$H$24,0)),TRIM($AD2215))</f>
        <v>Buenos Aires</v>
      </c>
      <c r="J2215" s="61" t="str">
        <f aca="false">INDEX(Parametros!$C$95:$C$106,MATCH(TRIM(INDEX(Datos_Origen!$E$2:$E$2459,$Z2215)),Parametros!$B$95:$B$106,0))</f>
        <v>E-commerce</v>
      </c>
      <c r="K2215" s="61" t="str">
        <f aca="false">INDEX(Parametros!$C$48:$C$67,MATCH(TRIM(INDEX(Datos_Origen!$F$2:$F$2459,$Z2215)),Parametros!$B$48:$B$67,0))</f>
        <v>Audio</v>
      </c>
      <c r="L2215" s="61" t="str">
        <f aca="false">$K2215&amp;" "&amp;$C2215</f>
        <v>Audio 2025</v>
      </c>
      <c r="M2215" s="61" t="str">
        <f aca="false">TRIM(INDEX(Datos_Origen!$G$2:$G$2459,$Z2215))</f>
        <v>Auriculares BT Pro</v>
      </c>
      <c r="N2215" s="61" t="str">
        <f aca="false">$M2215&amp;" "&amp;$C2215</f>
        <v>Auriculares BT Pro 2025</v>
      </c>
      <c r="O2215" s="63" t="n">
        <f aca="false">IF(ISTEXT($AC2215),VALUE($AC2215),$AC2215)</f>
        <v>31</v>
      </c>
      <c r="P2215" s="64" t="n">
        <f aca="false">INDEX(Datos_Origen!$I$2:$I$2459,$Z2215)</f>
        <v>120.47</v>
      </c>
      <c r="Q2215" s="64" t="n">
        <f aca="false">INDEX(Datos_Origen!$J$2:$J$2459,$Z2215)</f>
        <v>65.51</v>
      </c>
      <c r="R2215" s="65" t="n">
        <f aca="false">ROUND($O2215*$P2215,2)</f>
        <v>3734.57</v>
      </c>
      <c r="S2215" s="65" t="n">
        <f aca="false">ROUND($O2215*$Q2215,2)</f>
        <v>2030.81</v>
      </c>
      <c r="T2215" s="65" t="n">
        <f aca="false">ROUND($R2215*SUMIFS(Parametros!$E$28:$E$43,Parametros!$B$28:$B$43,$J2215,Parametros!$C$28:$C$43,$C2215,Parametros!$D$28:$D$43,$D2215),2)</f>
        <v>194.2</v>
      </c>
      <c r="U2215" s="65" t="n">
        <f aca="false">$R2215-$S2215-$T2215</f>
        <v>1509.56</v>
      </c>
      <c r="V2215" s="66" t="n">
        <f aca="false">IFERROR($U2215/$R2215,0)</f>
        <v>0.404212533169816</v>
      </c>
      <c r="W2215" s="67" t="str">
        <f aca="false">IF(AND($V2215&gt;=Parametros!$C$8,$R2215&gt;=Parametros!$C$12),"Alta rentabilidad",IF(OR($V2215&lt;Parametros!$C$11,$R2215&lt;Parametros!$C$13),"Revisar","Estandar"))</f>
        <v>Alta rentabilidad</v>
      </c>
      <c r="X2215" s="67" t="str">
        <f aca="false">IF(AND($J2215="E-commerce",IFERROR($T2215/$R2215,0)&gt;Parametros!$C$14),"Alerta","OK")</f>
        <v>Alerta</v>
      </c>
      <c r="Y2215" s="61" t="str">
        <f aca="false">IF($R2215&gt;=Parametros!$C$12,"Alto",IF($R2215&lt;Parametros!$C$13,"Bajo","Medio"))</f>
        <v>Alto</v>
      </c>
      <c r="Z2215" s="61" t="n">
        <v>1279</v>
      </c>
      <c r="AA2215" s="61" t="str">
        <f aca="false">IF(MATCH($A2215,Datos_Origen!$A$2:$A$2459,0)=$Z2215,"OK","REVISAR")</f>
        <v>OK</v>
      </c>
      <c r="AB2215" s="61" t="str">
        <f aca="false">INDEX(Datos_Origen!$B$2:$B$2459,$Z2215)</f>
        <v>01/11/2025</v>
      </c>
      <c r="AC2215" s="61" t="n">
        <f aca="false">INDEX(Datos_Origen!$H$2:$H$2459,$Z2215)</f>
        <v>31</v>
      </c>
      <c r="AD2215" s="61" t="str">
        <f aca="false">INDEX(Datos_Origen!$D$2:$D$2459,$Z2215)&amp;""</f>
        <v>Buenos Aires</v>
      </c>
    </row>
    <row r="2216" customFormat="false" ht="15" hidden="false" customHeight="false" outlineLevel="0" collapsed="false">
      <c r="A2216" s="61" t="n">
        <f aca="false">INDEX(Datos_Origen!$A$2:$A$2459,$Z2216)</f>
        <v>2215</v>
      </c>
      <c r="B2216" s="62" t="n">
        <f aca="false">IF(ISNUMBER($AB2216),$AB2216,IF(MID($AB2216,5,1)="-",DATE(VALUE(LEFT($AB2216,4)),VALUE(MID($AB2216,6,2)),VALUE(RIGHT($AB2216,2))),DATE(VALUE(RIGHT($AB2216,4)),VALUE(MID($AB2216,4,2)),VALUE(LEFT($AB2216,2)))))</f>
        <v>45969</v>
      </c>
      <c r="C2216" s="61" t="n">
        <f aca="false">YEAR($B2216)</f>
        <v>2025</v>
      </c>
      <c r="D2216" s="61" t="str">
        <f aca="false">"Q"&amp;ROUNDUP(MONTH($B2216)/3,0)</f>
        <v>Q4</v>
      </c>
      <c r="E2216" s="61" t="n">
        <f aca="false">MONTH($B2216)</f>
        <v>11</v>
      </c>
      <c r="F2216" s="61" t="str">
        <f aca="false">INDEX(Parametros!$I$5:$I$16,$E2216)</f>
        <v>Nov</v>
      </c>
      <c r="G2216" s="61" t="str">
        <f aca="false">TEXT($C2216,"0000")&amp;"-"&amp;TEXT($E2216,"00")</f>
        <v>2025-11</v>
      </c>
      <c r="H2216" s="61" t="str">
        <f aca="false">INDEX(Parametros!$C$71:$C$91,MATCH(TRIM(INDEX(Datos_Origen!$C$2:$C$2459,$Z2216)),Parametros!$B$71:$B$91,0))</f>
        <v>AMBA</v>
      </c>
      <c r="I2216" s="61" t="str">
        <f aca="false">IF(TRIM($AD2216)="",INDEX(Parametros!$I$20:$I$24,MATCH($H2216,Parametros!$H$20:$H$24,0)),TRIM($AD2216))</f>
        <v>Buenos Aires</v>
      </c>
      <c r="J2216" s="61" t="str">
        <f aca="false">INDEX(Parametros!$C$95:$C$106,MATCH(TRIM(INDEX(Datos_Origen!$E$2:$E$2459,$Z2216)),Parametros!$B$95:$B$106,0))</f>
        <v>Tienda fisica</v>
      </c>
      <c r="K2216" s="61" t="str">
        <f aca="false">INDEX(Parametros!$C$48:$C$67,MATCH(TRIM(INDEX(Datos_Origen!$F$2:$F$2459,$Z2216)),Parametros!$B$48:$B$67,0))</f>
        <v>Audio</v>
      </c>
      <c r="L2216" s="61" t="str">
        <f aca="false">$K2216&amp;" "&amp;$C2216</f>
        <v>Audio 2025</v>
      </c>
      <c r="M2216" s="61" t="str">
        <f aca="false">TRIM(INDEX(Datos_Origen!$G$2:$G$2459,$Z2216))</f>
        <v>Parlante Bluetooth</v>
      </c>
      <c r="N2216" s="61" t="str">
        <f aca="false">$M2216&amp;" "&amp;$C2216</f>
        <v>Parlante Bluetooth 2025</v>
      </c>
      <c r="O2216" s="63" t="n">
        <f aca="false">IF(ISTEXT($AC2216),VALUE($AC2216),$AC2216)</f>
        <v>48</v>
      </c>
      <c r="P2216" s="64" t="n">
        <f aca="false">INDEX(Datos_Origen!$I$2:$I$2459,$Z2216)</f>
        <v>85.34</v>
      </c>
      <c r="Q2216" s="64" t="n">
        <f aca="false">INDEX(Datos_Origen!$J$2:$J$2459,$Z2216)</f>
        <v>49.47</v>
      </c>
      <c r="R2216" s="65" t="n">
        <f aca="false">ROUND($O2216*$P2216,2)</f>
        <v>4096.32</v>
      </c>
      <c r="S2216" s="65" t="n">
        <f aca="false">ROUND($O2216*$Q2216,2)</f>
        <v>2374.56</v>
      </c>
      <c r="T2216" s="65" t="n">
        <f aca="false">ROUND($R2216*SUMIFS(Parametros!$E$28:$E$43,Parametros!$B$28:$B$43,$J2216,Parametros!$C$28:$C$43,$C2216,Parametros!$D$28:$D$43,$D2216),2)</f>
        <v>53.25</v>
      </c>
      <c r="U2216" s="65" t="n">
        <f aca="false">$R2216-$S2216-$T2216</f>
        <v>1668.51</v>
      </c>
      <c r="V2216" s="66" t="n">
        <f aca="false">IFERROR($U2216/$R2216,0)</f>
        <v>0.407319252402156</v>
      </c>
      <c r="W2216" s="67" t="str">
        <f aca="false">IF(AND($V2216&gt;=Parametros!$C$8,$R2216&gt;=Parametros!$C$12),"Alta rentabilidad",IF(OR($V2216&lt;Parametros!$C$11,$R2216&lt;Parametros!$C$13),"Revisar","Estandar"))</f>
        <v>Alta rentabilidad</v>
      </c>
      <c r="X2216" s="67" t="str">
        <f aca="false">IF(AND($J2216="E-commerce",IFERROR($T2216/$R2216,0)&gt;Parametros!$C$14),"Alerta","OK")</f>
        <v>OK</v>
      </c>
      <c r="Y2216" s="61" t="str">
        <f aca="false">IF($R2216&gt;=Parametros!$C$12,"Alto",IF($R2216&lt;Parametros!$C$13,"Bajo","Medio"))</f>
        <v>Alto</v>
      </c>
      <c r="Z2216" s="61" t="n">
        <v>161</v>
      </c>
      <c r="AA2216" s="61" t="str">
        <f aca="false">IF(MATCH($A2216,Datos_Origen!$A$2:$A$2459,0)=$Z2216,"OK","REVISAR")</f>
        <v>OK</v>
      </c>
      <c r="AB2216" s="62" t="n">
        <f aca="false">INDEX(Datos_Origen!$B$2:$B$2459,$Z2216)</f>
        <v>45969</v>
      </c>
      <c r="AC2216" s="61" t="n">
        <f aca="false">INDEX(Datos_Origen!$H$2:$H$2459,$Z2216)</f>
        <v>48</v>
      </c>
      <c r="AD2216" s="61" t="str">
        <f aca="false">INDEX(Datos_Origen!$D$2:$D$2459,$Z2216)&amp;""</f>
        <v>Buenos Aires</v>
      </c>
    </row>
    <row r="2217" customFormat="false" ht="15" hidden="false" customHeight="false" outlineLevel="0" collapsed="false">
      <c r="A2217" s="61" t="n">
        <f aca="false">INDEX(Datos_Origen!$A$2:$A$2459,$Z2217)</f>
        <v>2216</v>
      </c>
      <c r="B2217" s="62" t="n">
        <f aca="false">IF(ISNUMBER($AB2217),$AB2217,IF(MID($AB2217,5,1)="-",DATE(VALUE(LEFT($AB2217,4)),VALUE(MID($AB2217,6,2)),VALUE(RIGHT($AB2217,2))),DATE(VALUE(RIGHT($AB2217,4)),VALUE(MID($AB2217,4,2)),VALUE(LEFT($AB2217,2)))))</f>
        <v>45976</v>
      </c>
      <c r="C2217" s="61" t="n">
        <f aca="false">YEAR($B2217)</f>
        <v>2025</v>
      </c>
      <c r="D2217" s="61" t="str">
        <f aca="false">"Q"&amp;ROUNDUP(MONTH($B2217)/3,0)</f>
        <v>Q4</v>
      </c>
      <c r="E2217" s="61" t="n">
        <f aca="false">MONTH($B2217)</f>
        <v>11</v>
      </c>
      <c r="F2217" s="61" t="str">
        <f aca="false">INDEX(Parametros!$I$5:$I$16,$E2217)</f>
        <v>Nov</v>
      </c>
      <c r="G2217" s="61" t="str">
        <f aca="false">TEXT($C2217,"0000")&amp;"-"&amp;TEXT($E2217,"00")</f>
        <v>2025-11</v>
      </c>
      <c r="H2217" s="61" t="str">
        <f aca="false">INDEX(Parametros!$C$71:$C$91,MATCH(TRIM(INDEX(Datos_Origen!$C$2:$C$2459,$Z2217)),Parametros!$B$71:$B$91,0))</f>
        <v>AMBA</v>
      </c>
      <c r="I2217" s="61" t="str">
        <f aca="false">IF(TRIM($AD2217)="",INDEX(Parametros!$I$20:$I$24,MATCH($H2217,Parametros!$H$20:$H$24,0)),TRIM($AD2217))</f>
        <v>Buenos Aires</v>
      </c>
      <c r="J2217" s="61" t="str">
        <f aca="false">INDEX(Parametros!$C$95:$C$106,MATCH(TRIM(INDEX(Datos_Origen!$E$2:$E$2459,$Z2217)),Parametros!$B$95:$B$106,0))</f>
        <v>E-commerce</v>
      </c>
      <c r="K2217" s="61" t="str">
        <f aca="false">INDEX(Parametros!$C$48:$C$67,MATCH(TRIM(INDEX(Datos_Origen!$F$2:$F$2459,$Z2217)),Parametros!$B$48:$B$67,0))</f>
        <v>Audio</v>
      </c>
      <c r="L2217" s="61" t="str">
        <f aca="false">$K2217&amp;" "&amp;$C2217</f>
        <v>Audio 2025</v>
      </c>
      <c r="M2217" s="61" t="str">
        <f aca="false">TRIM(INDEX(Datos_Origen!$G$2:$G$2459,$Z2217))</f>
        <v>Parlante Bluetooth</v>
      </c>
      <c r="N2217" s="61" t="str">
        <f aca="false">$M2217&amp;" "&amp;$C2217</f>
        <v>Parlante Bluetooth 2025</v>
      </c>
      <c r="O2217" s="63" t="n">
        <f aca="false">IF(ISTEXT($AC2217),VALUE($AC2217),$AC2217)</f>
        <v>39</v>
      </c>
      <c r="P2217" s="64" t="n">
        <f aca="false">INDEX(Datos_Origen!$I$2:$I$2459,$Z2217)</f>
        <v>85.34</v>
      </c>
      <c r="Q2217" s="64" t="n">
        <f aca="false">INDEX(Datos_Origen!$J$2:$J$2459,$Z2217)</f>
        <v>49.47</v>
      </c>
      <c r="R2217" s="65" t="n">
        <f aca="false">ROUND($O2217*$P2217,2)</f>
        <v>3328.26</v>
      </c>
      <c r="S2217" s="65" t="n">
        <f aca="false">ROUND($O2217*$Q2217,2)</f>
        <v>1929.33</v>
      </c>
      <c r="T2217" s="65" t="n">
        <f aca="false">ROUND($R2217*SUMIFS(Parametros!$E$28:$E$43,Parametros!$B$28:$B$43,$J2217,Parametros!$C$28:$C$43,$C2217,Parametros!$D$28:$D$43,$D2217),2)</f>
        <v>173.07</v>
      </c>
      <c r="U2217" s="65" t="n">
        <f aca="false">$R2217-$S2217-$T2217</f>
        <v>1225.86</v>
      </c>
      <c r="V2217" s="66" t="n">
        <f aca="false">IFERROR($U2217/$R2217,0)</f>
        <v>0.3683185808801</v>
      </c>
      <c r="W2217" s="67" t="str">
        <f aca="false">IF(AND($V2217&gt;=Parametros!$C$8,$R2217&gt;=Parametros!$C$12),"Alta rentabilidad",IF(OR($V2217&lt;Parametros!$C$11,$R2217&lt;Parametros!$C$13),"Revisar","Estandar"))</f>
        <v>Alta rentabilidad</v>
      </c>
      <c r="X2217" s="67" t="str">
        <f aca="false">IF(AND($J2217="E-commerce",IFERROR($T2217/$R2217,0)&gt;Parametros!$C$14),"Alerta","OK")</f>
        <v>Alerta</v>
      </c>
      <c r="Y2217" s="61" t="str">
        <f aca="false">IF($R2217&gt;=Parametros!$C$12,"Alto",IF($R2217&lt;Parametros!$C$13,"Bajo","Medio"))</f>
        <v>Alto</v>
      </c>
      <c r="Z2217" s="61" t="n">
        <v>419</v>
      </c>
      <c r="AA2217" s="61" t="str">
        <f aca="false">IF(MATCH($A2217,Datos_Origen!$A$2:$A$2459,0)=$Z2217,"OK","REVISAR")</f>
        <v>OK</v>
      </c>
      <c r="AB2217" s="62" t="n">
        <f aca="false">INDEX(Datos_Origen!$B$2:$B$2459,$Z2217)</f>
        <v>45976</v>
      </c>
      <c r="AC2217" s="61" t="str">
        <f aca="false">INDEX(Datos_Origen!$H$2:$H$2459,$Z2217)</f>
        <v>39</v>
      </c>
      <c r="AD2217" s="61" t="str">
        <f aca="false">INDEX(Datos_Origen!$D$2:$D$2459,$Z2217)&amp;""</f>
        <v/>
      </c>
    </row>
    <row r="2218" customFormat="false" ht="15" hidden="false" customHeight="false" outlineLevel="0" collapsed="false">
      <c r="A2218" s="61" t="n">
        <f aca="false">INDEX(Datos_Origen!$A$2:$A$2459,$Z2218)</f>
        <v>2217</v>
      </c>
      <c r="B2218" s="62" t="n">
        <f aca="false">IF(ISNUMBER($AB2218),$AB2218,IF(MID($AB2218,5,1)="-",DATE(VALUE(LEFT($AB2218,4)),VALUE(MID($AB2218,6,2)),VALUE(RIGHT($AB2218,2))),DATE(VALUE(RIGHT($AB2218,4)),VALUE(MID($AB2218,4,2)),VALUE(LEFT($AB2218,2)))))</f>
        <v>45983</v>
      </c>
      <c r="C2218" s="61" t="n">
        <f aca="false">YEAR($B2218)</f>
        <v>2025</v>
      </c>
      <c r="D2218" s="61" t="str">
        <f aca="false">"Q"&amp;ROUNDUP(MONTH($B2218)/3,0)</f>
        <v>Q4</v>
      </c>
      <c r="E2218" s="61" t="n">
        <f aca="false">MONTH($B2218)</f>
        <v>11</v>
      </c>
      <c r="F2218" s="61" t="str">
        <f aca="false">INDEX(Parametros!$I$5:$I$16,$E2218)</f>
        <v>Nov</v>
      </c>
      <c r="G2218" s="61" t="str">
        <f aca="false">TEXT($C2218,"0000")&amp;"-"&amp;TEXT($E2218,"00")</f>
        <v>2025-11</v>
      </c>
      <c r="H2218" s="61" t="str">
        <f aca="false">INDEX(Parametros!$C$71:$C$91,MATCH(TRIM(INDEX(Datos_Origen!$C$2:$C$2459,$Z2218)),Parametros!$B$71:$B$91,0))</f>
        <v>AMBA</v>
      </c>
      <c r="I2218" s="61" t="str">
        <f aca="false">IF(TRIM($AD2218)="",INDEX(Parametros!$I$20:$I$24,MATCH($H2218,Parametros!$H$20:$H$24,0)),TRIM($AD2218))</f>
        <v>Buenos Aires</v>
      </c>
      <c r="J2218" s="61" t="str">
        <f aca="false">INDEX(Parametros!$C$95:$C$106,MATCH(TRIM(INDEX(Datos_Origen!$E$2:$E$2459,$Z2218)),Parametros!$B$95:$B$106,0))</f>
        <v>Tienda fisica</v>
      </c>
      <c r="K2218" s="61" t="str">
        <f aca="false">INDEX(Parametros!$C$48:$C$67,MATCH(TRIM(INDEX(Datos_Origen!$F$2:$F$2459,$Z2218)),Parametros!$B$48:$B$67,0))</f>
        <v>Almacenamiento</v>
      </c>
      <c r="L2218" s="61" t="str">
        <f aca="false">$K2218&amp;" "&amp;$C2218</f>
        <v>Almacenamiento 2025</v>
      </c>
      <c r="M2218" s="61" t="str">
        <f aca="false">TRIM(INDEX(Datos_Origen!$G$2:$G$2459,$Z2218))</f>
        <v>SSD Externo 1TB</v>
      </c>
      <c r="N2218" s="61" t="str">
        <f aca="false">$M2218&amp;" "&amp;$C2218</f>
        <v>SSD Externo 1TB 2025</v>
      </c>
      <c r="O2218" s="63" t="n">
        <f aca="false">IF(ISTEXT($AC2218),VALUE($AC2218),$AC2218)</f>
        <v>71</v>
      </c>
      <c r="P2218" s="64" t="n">
        <f aca="false">INDEX(Datos_Origen!$I$2:$I$2459,$Z2218)</f>
        <v>130.51</v>
      </c>
      <c r="Q2218" s="64" t="n">
        <f aca="false">INDEX(Datos_Origen!$J$2:$J$2459,$Z2218)</f>
        <v>78.33</v>
      </c>
      <c r="R2218" s="65" t="n">
        <f aca="false">ROUND($O2218*$P2218,2)</f>
        <v>9266.21</v>
      </c>
      <c r="S2218" s="65" t="n">
        <f aca="false">ROUND($O2218*$Q2218,2)</f>
        <v>5561.43</v>
      </c>
      <c r="T2218" s="65" t="n">
        <f aca="false">ROUND($R2218*SUMIFS(Parametros!$E$28:$E$43,Parametros!$B$28:$B$43,$J2218,Parametros!$C$28:$C$43,$C2218,Parametros!$D$28:$D$43,$D2218),2)</f>
        <v>120.46</v>
      </c>
      <c r="U2218" s="65" t="n">
        <f aca="false">$R2218-$S2218-$T2218</f>
        <v>3584.32</v>
      </c>
      <c r="V2218" s="66" t="n">
        <f aca="false">IFERROR($U2218/$R2218,0)</f>
        <v>0.386816184826374</v>
      </c>
      <c r="W2218" s="67" t="str">
        <f aca="false">IF(AND($V2218&gt;=Parametros!$C$8,$R2218&gt;=Parametros!$C$12),"Alta rentabilidad",IF(OR($V2218&lt;Parametros!$C$11,$R2218&lt;Parametros!$C$13),"Revisar","Estandar"))</f>
        <v>Alta rentabilidad</v>
      </c>
      <c r="X2218" s="67" t="str">
        <f aca="false">IF(AND($J2218="E-commerce",IFERROR($T2218/$R2218,0)&gt;Parametros!$C$14),"Alerta","OK")</f>
        <v>OK</v>
      </c>
      <c r="Y2218" s="61" t="str">
        <f aca="false">IF($R2218&gt;=Parametros!$C$12,"Alto",IF($R2218&lt;Parametros!$C$13,"Bajo","Medio"))</f>
        <v>Alto</v>
      </c>
      <c r="Z2218" s="61" t="n">
        <v>1566</v>
      </c>
      <c r="AA2218" s="61" t="str">
        <f aca="false">IF(MATCH($A2218,Datos_Origen!$A$2:$A$2459,0)=$Z2218,"OK","REVISAR")</f>
        <v>OK</v>
      </c>
      <c r="AB2218" s="61" t="str">
        <f aca="false">INDEX(Datos_Origen!$B$2:$B$2459,$Z2218)</f>
        <v>22/11/2025</v>
      </c>
      <c r="AC2218" s="61" t="n">
        <f aca="false">INDEX(Datos_Origen!$H$2:$H$2459,$Z2218)</f>
        <v>71</v>
      </c>
      <c r="AD2218" s="61" t="str">
        <f aca="false">INDEX(Datos_Origen!$D$2:$D$2459,$Z2218)&amp;""</f>
        <v>Buenos Aires</v>
      </c>
    </row>
    <row r="2219" customFormat="false" ht="15" hidden="false" customHeight="false" outlineLevel="0" collapsed="false">
      <c r="A2219" s="61" t="n">
        <f aca="false">INDEX(Datos_Origen!$A$2:$A$2459,$Z2219)</f>
        <v>2218</v>
      </c>
      <c r="B2219" s="62" t="n">
        <f aca="false">IF(ISNUMBER($AB2219),$AB2219,IF(MID($AB2219,5,1)="-",DATE(VALUE(LEFT($AB2219,4)),VALUE(MID($AB2219,6,2)),VALUE(RIGHT($AB2219,2))),DATE(VALUE(RIGHT($AB2219,4)),VALUE(MID($AB2219,4,2)),VALUE(LEFT($AB2219,2)))))</f>
        <v>45963</v>
      </c>
      <c r="C2219" s="61" t="n">
        <f aca="false">YEAR($B2219)</f>
        <v>2025</v>
      </c>
      <c r="D2219" s="61" t="str">
        <f aca="false">"Q"&amp;ROUNDUP(MONTH($B2219)/3,0)</f>
        <v>Q4</v>
      </c>
      <c r="E2219" s="61" t="n">
        <f aca="false">MONTH($B2219)</f>
        <v>11</v>
      </c>
      <c r="F2219" s="61" t="str">
        <f aca="false">INDEX(Parametros!$I$5:$I$16,$E2219)</f>
        <v>Nov</v>
      </c>
      <c r="G2219" s="61" t="str">
        <f aca="false">TEXT($C2219,"0000")&amp;"-"&amp;TEXT($E2219,"00")</f>
        <v>2025-11</v>
      </c>
      <c r="H2219" s="61" t="str">
        <f aca="false">INDEX(Parametros!$C$71:$C$91,MATCH(TRIM(INDEX(Datos_Origen!$C$2:$C$2459,$Z2219)),Parametros!$B$71:$B$91,0))</f>
        <v>AMBA</v>
      </c>
      <c r="I2219" s="61" t="str">
        <f aca="false">IF(TRIM($AD2219)="",INDEX(Parametros!$I$20:$I$24,MATCH($H2219,Parametros!$H$20:$H$24,0)),TRIM($AD2219))</f>
        <v>Buenos Aires</v>
      </c>
      <c r="J2219" s="61" t="str">
        <f aca="false">INDEX(Parametros!$C$95:$C$106,MATCH(TRIM(INDEX(Datos_Origen!$E$2:$E$2459,$Z2219)),Parametros!$B$95:$B$106,0))</f>
        <v>E-commerce</v>
      </c>
      <c r="K2219" s="61" t="str">
        <f aca="false">INDEX(Parametros!$C$48:$C$67,MATCH(TRIM(INDEX(Datos_Origen!$F$2:$F$2459,$Z2219)),Parametros!$B$48:$B$67,0))</f>
        <v>Almacenamiento</v>
      </c>
      <c r="L2219" s="61" t="str">
        <f aca="false">$K2219&amp;" "&amp;$C2219</f>
        <v>Almacenamiento 2025</v>
      </c>
      <c r="M2219" s="61" t="str">
        <f aca="false">TRIM(INDEX(Datos_Origen!$G$2:$G$2459,$Z2219))</f>
        <v>SSD Externo 1TB</v>
      </c>
      <c r="N2219" s="61" t="str">
        <f aca="false">$M2219&amp;" "&amp;$C2219</f>
        <v>SSD Externo 1TB 2025</v>
      </c>
      <c r="O2219" s="63" t="n">
        <f aca="false">IF(ISTEXT($AC2219),VALUE($AC2219),$AC2219)</f>
        <v>42</v>
      </c>
      <c r="P2219" s="64" t="n">
        <f aca="false">INDEX(Datos_Origen!$I$2:$I$2459,$Z2219)</f>
        <v>130.51</v>
      </c>
      <c r="Q2219" s="64" t="n">
        <f aca="false">INDEX(Datos_Origen!$J$2:$J$2459,$Z2219)</f>
        <v>78.33</v>
      </c>
      <c r="R2219" s="65" t="n">
        <f aca="false">ROUND($O2219*$P2219,2)</f>
        <v>5481.42</v>
      </c>
      <c r="S2219" s="65" t="n">
        <f aca="false">ROUND($O2219*$Q2219,2)</f>
        <v>3289.86</v>
      </c>
      <c r="T2219" s="65" t="n">
        <f aca="false">ROUND($R2219*SUMIFS(Parametros!$E$28:$E$43,Parametros!$B$28:$B$43,$J2219,Parametros!$C$28:$C$43,$C2219,Parametros!$D$28:$D$43,$D2219),2)</f>
        <v>285.03</v>
      </c>
      <c r="U2219" s="65" t="n">
        <f aca="false">$R2219-$S2219-$T2219</f>
        <v>1906.53</v>
      </c>
      <c r="V2219" s="66" t="n">
        <f aca="false">IFERROR($U2219/$R2219,0)</f>
        <v>0.347816806593912</v>
      </c>
      <c r="W2219" s="67" t="str">
        <f aca="false">IF(AND($V2219&gt;=Parametros!$C$8,$R2219&gt;=Parametros!$C$12),"Alta rentabilidad",IF(OR($V2219&lt;Parametros!$C$11,$R2219&lt;Parametros!$C$13),"Revisar","Estandar"))</f>
        <v>Alta rentabilidad</v>
      </c>
      <c r="X2219" s="67" t="str">
        <f aca="false">IF(AND($J2219="E-commerce",IFERROR($T2219/$R2219,0)&gt;Parametros!$C$14),"Alerta","OK")</f>
        <v>Alerta</v>
      </c>
      <c r="Y2219" s="61" t="str">
        <f aca="false">IF($R2219&gt;=Parametros!$C$12,"Alto",IF($R2219&lt;Parametros!$C$13,"Bajo","Medio"))</f>
        <v>Alto</v>
      </c>
      <c r="Z2219" s="61" t="n">
        <v>404</v>
      </c>
      <c r="AA2219" s="61" t="str">
        <f aca="false">IF(MATCH($A2219,Datos_Origen!$A$2:$A$2459,0)=$Z2219,"OK","REVISAR")</f>
        <v>OK</v>
      </c>
      <c r="AB2219" s="61" t="str">
        <f aca="false">INDEX(Datos_Origen!$B$2:$B$2459,$Z2219)</f>
        <v>2025-11-02</v>
      </c>
      <c r="AC2219" s="61" t="n">
        <f aca="false">INDEX(Datos_Origen!$H$2:$H$2459,$Z2219)</f>
        <v>42</v>
      </c>
      <c r="AD2219" s="61" t="str">
        <f aca="false">INDEX(Datos_Origen!$D$2:$D$2459,$Z2219)&amp;""</f>
        <v>Buenos Aires</v>
      </c>
    </row>
    <row r="2220" customFormat="false" ht="15" hidden="false" customHeight="false" outlineLevel="0" collapsed="false">
      <c r="A2220" s="61" t="n">
        <f aca="false">INDEX(Datos_Origen!$A$2:$A$2459,$Z2220)</f>
        <v>2219</v>
      </c>
      <c r="B2220" s="62" t="n">
        <f aca="false">IF(ISNUMBER($AB2220),$AB2220,IF(MID($AB2220,5,1)="-",DATE(VALUE(LEFT($AB2220,4)),VALUE(MID($AB2220,6,2)),VALUE(RIGHT($AB2220,2))),DATE(VALUE(RIGHT($AB2220,4)),VALUE(MID($AB2220,4,2)),VALUE(LEFT($AB2220,2)))))</f>
        <v>45970</v>
      </c>
      <c r="C2220" s="61" t="n">
        <f aca="false">YEAR($B2220)</f>
        <v>2025</v>
      </c>
      <c r="D2220" s="61" t="str">
        <f aca="false">"Q"&amp;ROUNDUP(MONTH($B2220)/3,0)</f>
        <v>Q4</v>
      </c>
      <c r="E2220" s="61" t="n">
        <f aca="false">MONTH($B2220)</f>
        <v>11</v>
      </c>
      <c r="F2220" s="61" t="str">
        <f aca="false">INDEX(Parametros!$I$5:$I$16,$E2220)</f>
        <v>Nov</v>
      </c>
      <c r="G2220" s="61" t="str">
        <f aca="false">TEXT($C2220,"0000")&amp;"-"&amp;TEXT($E2220,"00")</f>
        <v>2025-11</v>
      </c>
      <c r="H2220" s="61" t="str">
        <f aca="false">INDEX(Parametros!$C$71:$C$91,MATCH(TRIM(INDEX(Datos_Origen!$C$2:$C$2459,$Z2220)),Parametros!$B$71:$B$91,0))</f>
        <v>AMBA</v>
      </c>
      <c r="I2220" s="61" t="str">
        <f aca="false">IF(TRIM($AD2220)="",INDEX(Parametros!$I$20:$I$24,MATCH($H2220,Parametros!$H$20:$H$24,0)),TRIM($AD2220))</f>
        <v>Buenos Aires</v>
      </c>
      <c r="J2220" s="61" t="str">
        <f aca="false">INDEX(Parametros!$C$95:$C$106,MATCH(TRIM(INDEX(Datos_Origen!$E$2:$E$2459,$Z2220)),Parametros!$B$95:$B$106,0))</f>
        <v>Tienda fisica</v>
      </c>
      <c r="K2220" s="61" t="str">
        <f aca="false">INDEX(Parametros!$C$48:$C$67,MATCH(TRIM(INDEX(Datos_Origen!$F$2:$F$2459,$Z2220)),Parametros!$B$48:$B$67,0))</f>
        <v>Almacenamiento</v>
      </c>
      <c r="L2220" s="61" t="str">
        <f aca="false">$K2220&amp;" "&amp;$C2220</f>
        <v>Almacenamiento 2025</v>
      </c>
      <c r="M2220" s="61" t="str">
        <f aca="false">TRIM(INDEX(Datos_Origen!$G$2:$G$2459,$Z2220))</f>
        <v>Pendrive 256GB</v>
      </c>
      <c r="N2220" s="61" t="str">
        <f aca="false">$M2220&amp;" "&amp;$C2220</f>
        <v>Pendrive 256GB 2025</v>
      </c>
      <c r="O2220" s="63" t="n">
        <f aca="false">IF(ISTEXT($AC2220),VALUE($AC2220),$AC2220)</f>
        <v>57</v>
      </c>
      <c r="P2220" s="64" t="n">
        <f aca="false">INDEX(Datos_Origen!$I$2:$I$2459,$Z2220)</f>
        <v>35.14</v>
      </c>
      <c r="Q2220" s="64" t="n">
        <f aca="false">INDEX(Datos_Origen!$J$2:$J$2459,$Z2220)</f>
        <v>18.39</v>
      </c>
      <c r="R2220" s="65" t="n">
        <f aca="false">ROUND($O2220*$P2220,2)</f>
        <v>2002.98</v>
      </c>
      <c r="S2220" s="65" t="n">
        <f aca="false">ROUND($O2220*$Q2220,2)</f>
        <v>1048.23</v>
      </c>
      <c r="T2220" s="65" t="n">
        <f aca="false">ROUND($R2220*SUMIFS(Parametros!$E$28:$E$43,Parametros!$B$28:$B$43,$J2220,Parametros!$C$28:$C$43,$C2220,Parametros!$D$28:$D$43,$D2220),2)</f>
        <v>26.04</v>
      </c>
      <c r="U2220" s="65" t="n">
        <f aca="false">$R2220-$S2220-$T2220</f>
        <v>928.71</v>
      </c>
      <c r="V2220" s="66" t="n">
        <f aca="false">IFERROR($U2220/$R2220,0)</f>
        <v>0.463664140430758</v>
      </c>
      <c r="W2220" s="67" t="str">
        <f aca="false">IF(AND($V2220&gt;=Parametros!$C$8,$R2220&gt;=Parametros!$C$12),"Alta rentabilidad",IF(OR($V2220&lt;Parametros!$C$11,$R2220&lt;Parametros!$C$13),"Revisar","Estandar"))</f>
        <v>Estandar</v>
      </c>
      <c r="X2220" s="67" t="str">
        <f aca="false">IF(AND($J2220="E-commerce",IFERROR($T2220/$R2220,0)&gt;Parametros!$C$14),"Alerta","OK")</f>
        <v>OK</v>
      </c>
      <c r="Y2220" s="61" t="str">
        <f aca="false">IF($R2220&gt;=Parametros!$C$12,"Alto",IF($R2220&lt;Parametros!$C$13,"Bajo","Medio"))</f>
        <v>Medio</v>
      </c>
      <c r="Z2220" s="61" t="n">
        <v>2150</v>
      </c>
      <c r="AA2220" s="61" t="str">
        <f aca="false">IF(MATCH($A2220,Datos_Origen!$A$2:$A$2459,0)=$Z2220,"OK","REVISAR")</f>
        <v>OK</v>
      </c>
      <c r="AB2220" s="61" t="str">
        <f aca="false">INDEX(Datos_Origen!$B$2:$B$2459,$Z2220)</f>
        <v>09/11/2025</v>
      </c>
      <c r="AC2220" s="61" t="n">
        <f aca="false">INDEX(Datos_Origen!$H$2:$H$2459,$Z2220)</f>
        <v>57</v>
      </c>
      <c r="AD2220" s="61" t="str">
        <f aca="false">INDEX(Datos_Origen!$D$2:$D$2459,$Z2220)&amp;""</f>
        <v>Buenos Aires</v>
      </c>
    </row>
    <row r="2221" customFormat="false" ht="15" hidden="false" customHeight="false" outlineLevel="0" collapsed="false">
      <c r="A2221" s="61" t="n">
        <f aca="false">INDEX(Datos_Origen!$A$2:$A$2459,$Z2221)</f>
        <v>2220</v>
      </c>
      <c r="B2221" s="62" t="n">
        <f aca="false">IF(ISNUMBER($AB2221),$AB2221,IF(MID($AB2221,5,1)="-",DATE(VALUE(LEFT($AB2221,4)),VALUE(MID($AB2221,6,2)),VALUE(RIGHT($AB2221,2))),DATE(VALUE(RIGHT($AB2221,4)),VALUE(MID($AB2221,4,2)),VALUE(LEFT($AB2221,2)))))</f>
        <v>45977</v>
      </c>
      <c r="C2221" s="61" t="n">
        <f aca="false">YEAR($B2221)</f>
        <v>2025</v>
      </c>
      <c r="D2221" s="61" t="str">
        <f aca="false">"Q"&amp;ROUNDUP(MONTH($B2221)/3,0)</f>
        <v>Q4</v>
      </c>
      <c r="E2221" s="61" t="n">
        <f aca="false">MONTH($B2221)</f>
        <v>11</v>
      </c>
      <c r="F2221" s="61" t="str">
        <f aca="false">INDEX(Parametros!$I$5:$I$16,$E2221)</f>
        <v>Nov</v>
      </c>
      <c r="G2221" s="61" t="str">
        <f aca="false">TEXT($C2221,"0000")&amp;"-"&amp;TEXT($E2221,"00")</f>
        <v>2025-11</v>
      </c>
      <c r="H2221" s="61" t="str">
        <f aca="false">INDEX(Parametros!$C$71:$C$91,MATCH(TRIM(INDEX(Datos_Origen!$C$2:$C$2459,$Z2221)),Parametros!$B$71:$B$91,0))</f>
        <v>AMBA</v>
      </c>
      <c r="I2221" s="61" t="str">
        <f aca="false">IF(TRIM($AD2221)="",INDEX(Parametros!$I$20:$I$24,MATCH($H2221,Parametros!$H$20:$H$24,0)),TRIM($AD2221))</f>
        <v>Buenos Aires</v>
      </c>
      <c r="J2221" s="61" t="str">
        <f aca="false">INDEX(Parametros!$C$95:$C$106,MATCH(TRIM(INDEX(Datos_Origen!$E$2:$E$2459,$Z2221)),Parametros!$B$95:$B$106,0))</f>
        <v>E-commerce</v>
      </c>
      <c r="K2221" s="61" t="str">
        <f aca="false">INDEX(Parametros!$C$48:$C$67,MATCH(TRIM(INDEX(Datos_Origen!$F$2:$F$2459,$Z2221)),Parametros!$B$48:$B$67,0))</f>
        <v>Almacenamiento</v>
      </c>
      <c r="L2221" s="61" t="str">
        <f aca="false">$K2221&amp;" "&amp;$C2221</f>
        <v>Almacenamiento 2025</v>
      </c>
      <c r="M2221" s="61" t="str">
        <f aca="false">TRIM(INDEX(Datos_Origen!$G$2:$G$2459,$Z2221))</f>
        <v>Pendrive 256GB</v>
      </c>
      <c r="N2221" s="61" t="str">
        <f aca="false">$M2221&amp;" "&amp;$C2221</f>
        <v>Pendrive 256GB 2025</v>
      </c>
      <c r="O2221" s="63" t="n">
        <f aca="false">IF(ISTEXT($AC2221),VALUE($AC2221),$AC2221)</f>
        <v>39</v>
      </c>
      <c r="P2221" s="64" t="n">
        <f aca="false">INDEX(Datos_Origen!$I$2:$I$2459,$Z2221)</f>
        <v>35.14</v>
      </c>
      <c r="Q2221" s="64" t="n">
        <f aca="false">INDEX(Datos_Origen!$J$2:$J$2459,$Z2221)</f>
        <v>18.39</v>
      </c>
      <c r="R2221" s="65" t="n">
        <f aca="false">ROUND($O2221*$P2221,2)</f>
        <v>1370.46</v>
      </c>
      <c r="S2221" s="65" t="n">
        <f aca="false">ROUND($O2221*$Q2221,2)</f>
        <v>717.21</v>
      </c>
      <c r="T2221" s="65" t="n">
        <f aca="false">ROUND($R2221*SUMIFS(Parametros!$E$28:$E$43,Parametros!$B$28:$B$43,$J2221,Parametros!$C$28:$C$43,$C2221,Parametros!$D$28:$D$43,$D2221),2)</f>
        <v>71.26</v>
      </c>
      <c r="U2221" s="65" t="n">
        <f aca="false">$R2221-$S2221-$T2221</f>
        <v>581.99</v>
      </c>
      <c r="V2221" s="66" t="n">
        <f aca="false">IFERROR($U2221/$R2221,0)</f>
        <v>0.424667629846913</v>
      </c>
      <c r="W2221" s="67" t="str">
        <f aca="false">IF(AND($V2221&gt;=Parametros!$C$8,$R2221&gt;=Parametros!$C$12),"Alta rentabilidad",IF(OR($V2221&lt;Parametros!$C$11,$R2221&lt;Parametros!$C$13),"Revisar","Estandar"))</f>
        <v>Estandar</v>
      </c>
      <c r="X2221" s="67" t="str">
        <f aca="false">IF(AND($J2221="E-commerce",IFERROR($T2221/$R2221,0)&gt;Parametros!$C$14),"Alerta","OK")</f>
        <v>Alerta</v>
      </c>
      <c r="Y2221" s="61" t="str">
        <f aca="false">IF($R2221&gt;=Parametros!$C$12,"Alto",IF($R2221&lt;Parametros!$C$13,"Bajo","Medio"))</f>
        <v>Medio</v>
      </c>
      <c r="Z2221" s="61" t="n">
        <v>1501</v>
      </c>
      <c r="AA2221" s="61" t="str">
        <f aca="false">IF(MATCH($A2221,Datos_Origen!$A$2:$A$2459,0)=$Z2221,"OK","REVISAR")</f>
        <v>OK</v>
      </c>
      <c r="AB2221" s="61" t="str">
        <f aca="false">INDEX(Datos_Origen!$B$2:$B$2459,$Z2221)</f>
        <v>16/11/2025</v>
      </c>
      <c r="AC2221" s="61" t="n">
        <f aca="false">INDEX(Datos_Origen!$H$2:$H$2459,$Z2221)</f>
        <v>39</v>
      </c>
      <c r="AD2221" s="61" t="str">
        <f aca="false">INDEX(Datos_Origen!$D$2:$D$2459,$Z2221)&amp;""</f>
        <v>Buenos Aires</v>
      </c>
    </row>
    <row r="2222" customFormat="false" ht="15" hidden="false" customHeight="false" outlineLevel="0" collapsed="false">
      <c r="A2222" s="61" t="n">
        <f aca="false">INDEX(Datos_Origen!$A$2:$A$2459,$Z2222)</f>
        <v>2221</v>
      </c>
      <c r="B2222" s="62" t="n">
        <f aca="false">IF(ISNUMBER($AB2222),$AB2222,IF(MID($AB2222,5,1)="-",DATE(VALUE(LEFT($AB2222,4)),VALUE(MID($AB2222,6,2)),VALUE(RIGHT($AB2222,2))),DATE(VALUE(RIGHT($AB2222,4)),VALUE(MID($AB2222,4,2)),VALUE(LEFT($AB2222,2)))))</f>
        <v>45984</v>
      </c>
      <c r="C2222" s="61" t="n">
        <f aca="false">YEAR($B2222)</f>
        <v>2025</v>
      </c>
      <c r="D2222" s="61" t="str">
        <f aca="false">"Q"&amp;ROUNDUP(MONTH($B2222)/3,0)</f>
        <v>Q4</v>
      </c>
      <c r="E2222" s="61" t="n">
        <f aca="false">MONTH($B2222)</f>
        <v>11</v>
      </c>
      <c r="F2222" s="61" t="str">
        <f aca="false">INDEX(Parametros!$I$5:$I$16,$E2222)</f>
        <v>Nov</v>
      </c>
      <c r="G2222" s="61" t="str">
        <f aca="false">TEXT($C2222,"0000")&amp;"-"&amp;TEXT($E2222,"00")</f>
        <v>2025-11</v>
      </c>
      <c r="H2222" s="61" t="str">
        <f aca="false">INDEX(Parametros!$C$71:$C$91,MATCH(TRIM(INDEX(Datos_Origen!$C$2:$C$2459,$Z2222)),Parametros!$B$71:$B$91,0))</f>
        <v>Centro</v>
      </c>
      <c r="I2222" s="61" t="str">
        <f aca="false">IF(TRIM($AD2222)="",INDEX(Parametros!$I$20:$I$24,MATCH($H2222,Parametros!$H$20:$H$24,0)),TRIM($AD2222))</f>
        <v>Cordoba</v>
      </c>
      <c r="J2222" s="61" t="str">
        <f aca="false">INDEX(Parametros!$C$95:$C$106,MATCH(TRIM(INDEX(Datos_Origen!$E$2:$E$2459,$Z2222)),Parametros!$B$95:$B$106,0))</f>
        <v>Tienda fisica</v>
      </c>
      <c r="K2222" s="61" t="str">
        <f aca="false">INDEX(Parametros!$C$48:$C$67,MATCH(TRIM(INDEX(Datos_Origen!$F$2:$F$2459,$Z2222)),Parametros!$B$48:$B$67,0))</f>
        <v>Computacion</v>
      </c>
      <c r="L2222" s="61" t="str">
        <f aca="false">$K2222&amp;" "&amp;$C2222</f>
        <v>Computacion 2025</v>
      </c>
      <c r="M2222" s="61" t="str">
        <f aca="false">TRIM(INDEX(Datos_Origen!$G$2:$G$2459,$Z2222))</f>
        <v>Laptop Pro 15</v>
      </c>
      <c r="N2222" s="61" t="str">
        <f aca="false">$M2222&amp;" "&amp;$C2222</f>
        <v>Laptop Pro 15 2025</v>
      </c>
      <c r="O2222" s="63" t="n">
        <f aca="false">IF(ISTEXT($AC2222),VALUE($AC2222),$AC2222)</f>
        <v>17</v>
      </c>
      <c r="P2222" s="64" t="n">
        <f aca="false">INDEX(Datos_Origen!$I$2:$I$2459,$Z2222)</f>
        <v>1204.74</v>
      </c>
      <c r="Q2222" s="64" t="n">
        <f aca="false">INDEX(Datos_Origen!$J$2:$J$2459,$Z2222)</f>
        <v>766.32</v>
      </c>
      <c r="R2222" s="65" t="n">
        <f aca="false">ROUND($O2222*$P2222,2)</f>
        <v>20480.58</v>
      </c>
      <c r="S2222" s="65" t="n">
        <f aca="false">ROUND($O2222*$Q2222,2)</f>
        <v>13027.44</v>
      </c>
      <c r="T2222" s="65" t="n">
        <f aca="false">ROUND($R2222*SUMIFS(Parametros!$E$28:$E$43,Parametros!$B$28:$B$43,$J2222,Parametros!$C$28:$C$43,$C2222,Parametros!$D$28:$D$43,$D2222),2)</f>
        <v>266.25</v>
      </c>
      <c r="U2222" s="65" t="n">
        <f aca="false">$R2222-$S2222-$T2222</f>
        <v>7186.89</v>
      </c>
      <c r="V2222" s="66" t="n">
        <f aca="false">IFERROR($U2222/$R2222,0)</f>
        <v>0.350912425331705</v>
      </c>
      <c r="W2222" s="67" t="str">
        <f aca="false">IF(AND($V2222&gt;=Parametros!$C$8,$R2222&gt;=Parametros!$C$12),"Alta rentabilidad",IF(OR($V2222&lt;Parametros!$C$11,$R2222&lt;Parametros!$C$13),"Revisar","Estandar"))</f>
        <v>Alta rentabilidad</v>
      </c>
      <c r="X2222" s="67" t="str">
        <f aca="false">IF(AND($J2222="E-commerce",IFERROR($T2222/$R2222,0)&gt;Parametros!$C$14),"Alerta","OK")</f>
        <v>OK</v>
      </c>
      <c r="Y2222" s="61" t="str">
        <f aca="false">IF($R2222&gt;=Parametros!$C$12,"Alto",IF($R2222&lt;Parametros!$C$13,"Bajo","Medio"))</f>
        <v>Alto</v>
      </c>
      <c r="Z2222" s="61" t="n">
        <v>1497</v>
      </c>
      <c r="AA2222" s="61" t="str">
        <f aca="false">IF(MATCH($A2222,Datos_Origen!$A$2:$A$2459,0)=$Z2222,"OK","REVISAR")</f>
        <v>OK</v>
      </c>
      <c r="AB2222" s="61" t="str">
        <f aca="false">INDEX(Datos_Origen!$B$2:$B$2459,$Z2222)</f>
        <v>23/11/2025</v>
      </c>
      <c r="AC2222" s="61" t="n">
        <f aca="false">INDEX(Datos_Origen!$H$2:$H$2459,$Z2222)</f>
        <v>17</v>
      </c>
      <c r="AD2222" s="61" t="str">
        <f aca="false">INDEX(Datos_Origen!$D$2:$D$2459,$Z2222)&amp;""</f>
        <v>Cordoba</v>
      </c>
    </row>
    <row r="2223" customFormat="false" ht="15" hidden="false" customHeight="false" outlineLevel="0" collapsed="false">
      <c r="A2223" s="61" t="n">
        <f aca="false">INDEX(Datos_Origen!$A$2:$A$2459,$Z2223)</f>
        <v>2222</v>
      </c>
      <c r="B2223" s="62" t="n">
        <f aca="false">IF(ISNUMBER($AB2223),$AB2223,IF(MID($AB2223,5,1)="-",DATE(VALUE(LEFT($AB2223,4)),VALUE(MID($AB2223,6,2)),VALUE(RIGHT($AB2223,2))),DATE(VALUE(RIGHT($AB2223,4)),VALUE(MID($AB2223,4,2)),VALUE(LEFT($AB2223,2)))))</f>
        <v>45964</v>
      </c>
      <c r="C2223" s="61" t="n">
        <f aca="false">YEAR($B2223)</f>
        <v>2025</v>
      </c>
      <c r="D2223" s="61" t="str">
        <f aca="false">"Q"&amp;ROUNDUP(MONTH($B2223)/3,0)</f>
        <v>Q4</v>
      </c>
      <c r="E2223" s="61" t="n">
        <f aca="false">MONTH($B2223)</f>
        <v>11</v>
      </c>
      <c r="F2223" s="61" t="str">
        <f aca="false">INDEX(Parametros!$I$5:$I$16,$E2223)</f>
        <v>Nov</v>
      </c>
      <c r="G2223" s="61" t="str">
        <f aca="false">TEXT($C2223,"0000")&amp;"-"&amp;TEXT($E2223,"00")</f>
        <v>2025-11</v>
      </c>
      <c r="H2223" s="61" t="str">
        <f aca="false">INDEX(Parametros!$C$71:$C$91,MATCH(TRIM(INDEX(Datos_Origen!$C$2:$C$2459,$Z2223)),Parametros!$B$71:$B$91,0))</f>
        <v>Centro</v>
      </c>
      <c r="I2223" s="61" t="str">
        <f aca="false">IF(TRIM($AD2223)="",INDEX(Parametros!$I$20:$I$24,MATCH($H2223,Parametros!$H$20:$H$24,0)),TRIM($AD2223))</f>
        <v>Cordoba</v>
      </c>
      <c r="J2223" s="61" t="str">
        <f aca="false">INDEX(Parametros!$C$95:$C$106,MATCH(TRIM(INDEX(Datos_Origen!$E$2:$E$2459,$Z2223)),Parametros!$B$95:$B$106,0))</f>
        <v>E-commerce</v>
      </c>
      <c r="K2223" s="61" t="str">
        <f aca="false">INDEX(Parametros!$C$48:$C$67,MATCH(TRIM(INDEX(Datos_Origen!$F$2:$F$2459,$Z2223)),Parametros!$B$48:$B$67,0))</f>
        <v>Computacion</v>
      </c>
      <c r="L2223" s="61" t="str">
        <f aca="false">$K2223&amp;" "&amp;$C2223</f>
        <v>Computacion 2025</v>
      </c>
      <c r="M2223" s="61" t="str">
        <f aca="false">TRIM(INDEX(Datos_Origen!$G$2:$G$2459,$Z2223))</f>
        <v>Laptop Pro 15</v>
      </c>
      <c r="N2223" s="61" t="str">
        <f aca="false">$M2223&amp;" "&amp;$C2223</f>
        <v>Laptop Pro 15 2025</v>
      </c>
      <c r="O2223" s="63" t="n">
        <f aca="false">IF(ISTEXT($AC2223),VALUE($AC2223),$AC2223)</f>
        <v>10</v>
      </c>
      <c r="P2223" s="64" t="n">
        <f aca="false">INDEX(Datos_Origen!$I$2:$I$2459,$Z2223)</f>
        <v>1204.74</v>
      </c>
      <c r="Q2223" s="64" t="n">
        <f aca="false">INDEX(Datos_Origen!$J$2:$J$2459,$Z2223)</f>
        <v>766.32</v>
      </c>
      <c r="R2223" s="65" t="n">
        <f aca="false">ROUND($O2223*$P2223,2)</f>
        <v>12047.4</v>
      </c>
      <c r="S2223" s="65" t="n">
        <f aca="false">ROUND($O2223*$Q2223,2)</f>
        <v>7663.2</v>
      </c>
      <c r="T2223" s="65" t="n">
        <f aca="false">ROUND($R2223*SUMIFS(Parametros!$E$28:$E$43,Parametros!$B$28:$B$43,$J2223,Parametros!$C$28:$C$43,$C2223,Parametros!$D$28:$D$43,$D2223),2)</f>
        <v>626.46</v>
      </c>
      <c r="U2223" s="65" t="n">
        <f aca="false">$R2223-$S2223-$T2223</f>
        <v>3757.74</v>
      </c>
      <c r="V2223" s="66" t="n">
        <f aca="false">IFERROR($U2223/$R2223,0)</f>
        <v>0.311912943871707</v>
      </c>
      <c r="W2223" s="67" t="str">
        <f aca="false">IF(AND($V2223&gt;=Parametros!$C$8,$R2223&gt;=Parametros!$C$12),"Alta rentabilidad",IF(OR($V2223&lt;Parametros!$C$11,$R2223&lt;Parametros!$C$13),"Revisar","Estandar"))</f>
        <v>Estandar</v>
      </c>
      <c r="X2223" s="67" t="str">
        <f aca="false">IF(AND($J2223="E-commerce",IFERROR($T2223/$R2223,0)&gt;Parametros!$C$14),"Alerta","OK")</f>
        <v>Alerta</v>
      </c>
      <c r="Y2223" s="61" t="str">
        <f aca="false">IF($R2223&gt;=Parametros!$C$12,"Alto",IF($R2223&lt;Parametros!$C$13,"Bajo","Medio"))</f>
        <v>Alto</v>
      </c>
      <c r="Z2223" s="61" t="n">
        <v>184</v>
      </c>
      <c r="AA2223" s="61" t="str">
        <f aca="false">IF(MATCH($A2223,Datos_Origen!$A$2:$A$2459,0)=$Z2223,"OK","REVISAR")</f>
        <v>OK</v>
      </c>
      <c r="AB2223" s="61" t="str">
        <f aca="false">INDEX(Datos_Origen!$B$2:$B$2459,$Z2223)</f>
        <v>03/11/2025</v>
      </c>
      <c r="AC2223" s="61" t="n">
        <f aca="false">INDEX(Datos_Origen!$H$2:$H$2459,$Z2223)</f>
        <v>10</v>
      </c>
      <c r="AD2223" s="61" t="str">
        <f aca="false">INDEX(Datos_Origen!$D$2:$D$2459,$Z2223)&amp;""</f>
        <v>Cordoba</v>
      </c>
    </row>
    <row r="2224" customFormat="false" ht="15" hidden="false" customHeight="false" outlineLevel="0" collapsed="false">
      <c r="A2224" s="61" t="n">
        <f aca="false">INDEX(Datos_Origen!$A$2:$A$2459,$Z2224)</f>
        <v>2223</v>
      </c>
      <c r="B2224" s="62" t="n">
        <f aca="false">IF(ISNUMBER($AB2224),$AB2224,IF(MID($AB2224,5,1)="-",DATE(VALUE(LEFT($AB2224,4)),VALUE(MID($AB2224,6,2)),VALUE(RIGHT($AB2224,2))),DATE(VALUE(RIGHT($AB2224,4)),VALUE(MID($AB2224,4,2)),VALUE(LEFT($AB2224,2)))))</f>
        <v>45971</v>
      </c>
      <c r="C2224" s="61" t="n">
        <f aca="false">YEAR($B2224)</f>
        <v>2025</v>
      </c>
      <c r="D2224" s="61" t="str">
        <f aca="false">"Q"&amp;ROUNDUP(MONTH($B2224)/3,0)</f>
        <v>Q4</v>
      </c>
      <c r="E2224" s="61" t="n">
        <f aca="false">MONTH($B2224)</f>
        <v>11</v>
      </c>
      <c r="F2224" s="61" t="str">
        <f aca="false">INDEX(Parametros!$I$5:$I$16,$E2224)</f>
        <v>Nov</v>
      </c>
      <c r="G2224" s="61" t="str">
        <f aca="false">TEXT($C2224,"0000")&amp;"-"&amp;TEXT($E2224,"00")</f>
        <v>2025-11</v>
      </c>
      <c r="H2224" s="61" t="str">
        <f aca="false">INDEX(Parametros!$C$71:$C$91,MATCH(TRIM(INDEX(Datos_Origen!$C$2:$C$2459,$Z2224)),Parametros!$B$71:$B$91,0))</f>
        <v>Centro</v>
      </c>
      <c r="I2224" s="61" t="str">
        <f aca="false">IF(TRIM($AD2224)="",INDEX(Parametros!$I$20:$I$24,MATCH($H2224,Parametros!$H$20:$H$24,0)),TRIM($AD2224))</f>
        <v>Cordoba</v>
      </c>
      <c r="J2224" s="61" t="str">
        <f aca="false">INDEX(Parametros!$C$95:$C$106,MATCH(TRIM(INDEX(Datos_Origen!$E$2:$E$2459,$Z2224)),Parametros!$B$95:$B$106,0))</f>
        <v>Tienda fisica</v>
      </c>
      <c r="K2224" s="61" t="str">
        <f aca="false">INDEX(Parametros!$C$48:$C$67,MATCH(TRIM(INDEX(Datos_Origen!$F$2:$F$2459,$Z2224)),Parametros!$B$48:$B$67,0))</f>
        <v>Computacion</v>
      </c>
      <c r="L2224" s="61" t="str">
        <f aca="false">$K2224&amp;" "&amp;$C2224</f>
        <v>Computacion 2025</v>
      </c>
      <c r="M2224" s="61" t="str">
        <f aca="false">TRIM(INDEX(Datos_Origen!$G$2:$G$2459,$Z2224))</f>
        <v>Monitor 4K 27</v>
      </c>
      <c r="N2224" s="61" t="str">
        <f aca="false">$M2224&amp;" "&amp;$C2224</f>
        <v>Monitor 4K 27 2025</v>
      </c>
      <c r="O2224" s="63" t="n">
        <f aca="false">IF(ISTEXT($AC2224),VALUE($AC2224),$AC2224)</f>
        <v>14</v>
      </c>
      <c r="P2224" s="64" t="n">
        <f aca="false">INDEX(Datos_Origen!$I$2:$I$2459,$Z2224)</f>
        <v>451.78</v>
      </c>
      <c r="Q2224" s="64" t="n">
        <f aca="false">INDEX(Datos_Origen!$J$2:$J$2459,$Z2224)</f>
        <v>280.42</v>
      </c>
      <c r="R2224" s="65" t="n">
        <f aca="false">ROUND($O2224*$P2224,2)</f>
        <v>6324.92</v>
      </c>
      <c r="S2224" s="65" t="n">
        <f aca="false">ROUND($O2224*$Q2224,2)</f>
        <v>3925.88</v>
      </c>
      <c r="T2224" s="65" t="n">
        <f aca="false">ROUND($R2224*SUMIFS(Parametros!$E$28:$E$43,Parametros!$B$28:$B$43,$J2224,Parametros!$C$28:$C$43,$C2224,Parametros!$D$28:$D$43,$D2224),2)</f>
        <v>82.22</v>
      </c>
      <c r="U2224" s="65" t="n">
        <f aca="false">$R2224-$S2224-$T2224</f>
        <v>2316.82</v>
      </c>
      <c r="V2224" s="66" t="n">
        <f aca="false">IFERROR($U2224/$R2224,0)</f>
        <v>0.366300285220999</v>
      </c>
      <c r="W2224" s="67" t="str">
        <f aca="false">IF(AND($V2224&gt;=Parametros!$C$8,$R2224&gt;=Parametros!$C$12),"Alta rentabilidad",IF(OR($V2224&lt;Parametros!$C$11,$R2224&lt;Parametros!$C$13),"Revisar","Estandar"))</f>
        <v>Alta rentabilidad</v>
      </c>
      <c r="X2224" s="67" t="str">
        <f aca="false">IF(AND($J2224="E-commerce",IFERROR($T2224/$R2224,0)&gt;Parametros!$C$14),"Alerta","OK")</f>
        <v>OK</v>
      </c>
      <c r="Y2224" s="61" t="str">
        <f aca="false">IF($R2224&gt;=Parametros!$C$12,"Alto",IF($R2224&lt;Parametros!$C$13,"Bajo","Medio"))</f>
        <v>Alto</v>
      </c>
      <c r="Z2224" s="61" t="n">
        <v>1839</v>
      </c>
      <c r="AA2224" s="61" t="str">
        <f aca="false">IF(MATCH($A2224,Datos_Origen!$A$2:$A$2459,0)=$Z2224,"OK","REVISAR")</f>
        <v>OK</v>
      </c>
      <c r="AB2224" s="61" t="str">
        <f aca="false">INDEX(Datos_Origen!$B$2:$B$2459,$Z2224)</f>
        <v>10/11/2025</v>
      </c>
      <c r="AC2224" s="61" t="n">
        <f aca="false">INDEX(Datos_Origen!$H$2:$H$2459,$Z2224)</f>
        <v>14</v>
      </c>
      <c r="AD2224" s="61" t="str">
        <f aca="false">INDEX(Datos_Origen!$D$2:$D$2459,$Z2224)&amp;""</f>
        <v>Cordoba</v>
      </c>
    </row>
    <row r="2225" customFormat="false" ht="15" hidden="false" customHeight="false" outlineLevel="0" collapsed="false">
      <c r="A2225" s="61" t="n">
        <f aca="false">INDEX(Datos_Origen!$A$2:$A$2459,$Z2225)</f>
        <v>2224</v>
      </c>
      <c r="B2225" s="62" t="n">
        <f aca="false">IF(ISNUMBER($AB2225),$AB2225,IF(MID($AB2225,5,1)="-",DATE(VALUE(LEFT($AB2225,4)),VALUE(MID($AB2225,6,2)),VALUE(RIGHT($AB2225,2))),DATE(VALUE(RIGHT($AB2225,4)),VALUE(MID($AB2225,4,2)),VALUE(LEFT($AB2225,2)))))</f>
        <v>45978</v>
      </c>
      <c r="C2225" s="61" t="n">
        <f aca="false">YEAR($B2225)</f>
        <v>2025</v>
      </c>
      <c r="D2225" s="61" t="str">
        <f aca="false">"Q"&amp;ROUNDUP(MONTH($B2225)/3,0)</f>
        <v>Q4</v>
      </c>
      <c r="E2225" s="61" t="n">
        <f aca="false">MONTH($B2225)</f>
        <v>11</v>
      </c>
      <c r="F2225" s="61" t="str">
        <f aca="false">INDEX(Parametros!$I$5:$I$16,$E2225)</f>
        <v>Nov</v>
      </c>
      <c r="G2225" s="61" t="str">
        <f aca="false">TEXT($C2225,"0000")&amp;"-"&amp;TEXT($E2225,"00")</f>
        <v>2025-11</v>
      </c>
      <c r="H2225" s="61" t="str">
        <f aca="false">INDEX(Parametros!$C$71:$C$91,MATCH(TRIM(INDEX(Datos_Origen!$C$2:$C$2459,$Z2225)),Parametros!$B$71:$B$91,0))</f>
        <v>Centro</v>
      </c>
      <c r="I2225" s="61" t="str">
        <f aca="false">IF(TRIM($AD2225)="",INDEX(Parametros!$I$20:$I$24,MATCH($H2225,Parametros!$H$20:$H$24,0)),TRIM($AD2225))</f>
        <v>Cordoba</v>
      </c>
      <c r="J2225" s="61" t="str">
        <f aca="false">INDEX(Parametros!$C$95:$C$106,MATCH(TRIM(INDEX(Datos_Origen!$E$2:$E$2459,$Z2225)),Parametros!$B$95:$B$106,0))</f>
        <v>E-commerce</v>
      </c>
      <c r="K2225" s="61" t="str">
        <f aca="false">INDEX(Parametros!$C$48:$C$67,MATCH(TRIM(INDEX(Datos_Origen!$F$2:$F$2459,$Z2225)),Parametros!$B$48:$B$67,0))</f>
        <v>Computacion</v>
      </c>
      <c r="L2225" s="61" t="str">
        <f aca="false">$K2225&amp;" "&amp;$C2225</f>
        <v>Computacion 2025</v>
      </c>
      <c r="M2225" s="61" t="str">
        <f aca="false">TRIM(INDEX(Datos_Origen!$G$2:$G$2459,$Z2225))</f>
        <v>Monitor 4K 27</v>
      </c>
      <c r="N2225" s="61" t="str">
        <f aca="false">$M2225&amp;" "&amp;$C2225</f>
        <v>Monitor 4K 27 2025</v>
      </c>
      <c r="O2225" s="63" t="n">
        <f aca="false">IF(ISTEXT($AC2225),VALUE($AC2225),$AC2225)</f>
        <v>12</v>
      </c>
      <c r="P2225" s="64" t="n">
        <f aca="false">INDEX(Datos_Origen!$I$2:$I$2459,$Z2225)</f>
        <v>451.78</v>
      </c>
      <c r="Q2225" s="64" t="n">
        <f aca="false">INDEX(Datos_Origen!$J$2:$J$2459,$Z2225)</f>
        <v>280.42</v>
      </c>
      <c r="R2225" s="65" t="n">
        <f aca="false">ROUND($O2225*$P2225,2)</f>
        <v>5421.36</v>
      </c>
      <c r="S2225" s="65" t="n">
        <f aca="false">ROUND($O2225*$Q2225,2)</f>
        <v>3365.04</v>
      </c>
      <c r="T2225" s="65" t="n">
        <f aca="false">ROUND($R2225*SUMIFS(Parametros!$E$28:$E$43,Parametros!$B$28:$B$43,$J2225,Parametros!$C$28:$C$43,$C2225,Parametros!$D$28:$D$43,$D2225),2)</f>
        <v>281.91</v>
      </c>
      <c r="U2225" s="65" t="n">
        <f aca="false">$R2225-$S2225-$T2225</f>
        <v>1774.41</v>
      </c>
      <c r="V2225" s="66" t="n">
        <f aca="false">IFERROR($U2225/$R2225,0)</f>
        <v>0.327299791934127</v>
      </c>
      <c r="W2225" s="67" t="str">
        <f aca="false">IF(AND($V2225&gt;=Parametros!$C$8,$R2225&gt;=Parametros!$C$12),"Alta rentabilidad",IF(OR($V2225&lt;Parametros!$C$11,$R2225&lt;Parametros!$C$13),"Revisar","Estandar"))</f>
        <v>Estandar</v>
      </c>
      <c r="X2225" s="67" t="str">
        <f aca="false">IF(AND($J2225="E-commerce",IFERROR($T2225/$R2225,0)&gt;Parametros!$C$14),"Alerta","OK")</f>
        <v>Alerta</v>
      </c>
      <c r="Y2225" s="61" t="str">
        <f aca="false">IF($R2225&gt;=Parametros!$C$12,"Alto",IF($R2225&lt;Parametros!$C$13,"Bajo","Medio"))</f>
        <v>Alto</v>
      </c>
      <c r="Z2225" s="61" t="n">
        <v>814</v>
      </c>
      <c r="AA2225" s="61" t="str">
        <f aca="false">IF(MATCH($A2225,Datos_Origen!$A$2:$A$2459,0)=$Z2225,"OK","REVISAR")</f>
        <v>OK</v>
      </c>
      <c r="AB2225" s="62" t="n">
        <f aca="false">INDEX(Datos_Origen!$B$2:$B$2459,$Z2225)</f>
        <v>45978</v>
      </c>
      <c r="AC2225" s="61" t="n">
        <f aca="false">INDEX(Datos_Origen!$H$2:$H$2459,$Z2225)</f>
        <v>12</v>
      </c>
      <c r="AD2225" s="61" t="str">
        <f aca="false">INDEX(Datos_Origen!$D$2:$D$2459,$Z2225)&amp;""</f>
        <v>Cordoba</v>
      </c>
    </row>
    <row r="2226" customFormat="false" ht="15" hidden="false" customHeight="false" outlineLevel="0" collapsed="false">
      <c r="A2226" s="61" t="n">
        <f aca="false">INDEX(Datos_Origen!$A$2:$A$2459,$Z2226)</f>
        <v>2225</v>
      </c>
      <c r="B2226" s="62" t="n">
        <f aca="false">IF(ISNUMBER($AB2226),$AB2226,IF(MID($AB2226,5,1)="-",DATE(VALUE(LEFT($AB2226,4)),VALUE(MID($AB2226,6,2)),VALUE(RIGHT($AB2226,2))),DATE(VALUE(RIGHT($AB2226,4)),VALUE(MID($AB2226,4,2)),VALUE(LEFT($AB2226,2)))))</f>
        <v>45985</v>
      </c>
      <c r="C2226" s="61" t="n">
        <f aca="false">YEAR($B2226)</f>
        <v>2025</v>
      </c>
      <c r="D2226" s="61" t="str">
        <f aca="false">"Q"&amp;ROUNDUP(MONTH($B2226)/3,0)</f>
        <v>Q4</v>
      </c>
      <c r="E2226" s="61" t="n">
        <f aca="false">MONTH($B2226)</f>
        <v>11</v>
      </c>
      <c r="F2226" s="61" t="str">
        <f aca="false">INDEX(Parametros!$I$5:$I$16,$E2226)</f>
        <v>Nov</v>
      </c>
      <c r="G2226" s="61" t="str">
        <f aca="false">TEXT($C2226,"0000")&amp;"-"&amp;TEXT($E2226,"00")</f>
        <v>2025-11</v>
      </c>
      <c r="H2226" s="61" t="str">
        <f aca="false">INDEX(Parametros!$C$71:$C$91,MATCH(TRIM(INDEX(Datos_Origen!$C$2:$C$2459,$Z2226)),Parametros!$B$71:$B$91,0))</f>
        <v>Centro</v>
      </c>
      <c r="I2226" s="61" t="str">
        <f aca="false">IF(TRIM($AD2226)="",INDEX(Parametros!$I$20:$I$24,MATCH($H2226,Parametros!$H$20:$H$24,0)),TRIM($AD2226))</f>
        <v>Cordoba</v>
      </c>
      <c r="J2226" s="61" t="str">
        <f aca="false">INDEX(Parametros!$C$95:$C$106,MATCH(TRIM(INDEX(Datos_Origen!$E$2:$E$2459,$Z2226)),Parametros!$B$95:$B$106,0))</f>
        <v>Tienda fisica</v>
      </c>
      <c r="K2226" s="61" t="str">
        <f aca="false">INDEX(Parametros!$C$48:$C$67,MATCH(TRIM(INDEX(Datos_Origen!$F$2:$F$2459,$Z2226)),Parametros!$B$48:$B$67,0))</f>
        <v>Computacion</v>
      </c>
      <c r="L2226" s="61" t="str">
        <f aca="false">$K2226&amp;" "&amp;$C2226</f>
        <v>Computacion 2025</v>
      </c>
      <c r="M2226" s="61" t="str">
        <f aca="false">TRIM(INDEX(Datos_Origen!$G$2:$G$2459,$Z2226))</f>
        <v>PC Gamer Ryzen</v>
      </c>
      <c r="N2226" s="61" t="str">
        <f aca="false">$M2226&amp;" "&amp;$C2226</f>
        <v>PC Gamer Ryzen 2025</v>
      </c>
      <c r="O2226" s="63" t="n">
        <f aca="false">IF(ISTEXT($AC2226),VALUE($AC2226),$AC2226)</f>
        <v>16</v>
      </c>
      <c r="P2226" s="64" t="n">
        <f aca="false">INDEX(Datos_Origen!$I$2:$I$2459,$Z2226)</f>
        <v>1656.52</v>
      </c>
      <c r="Q2226" s="64" t="n">
        <f aca="false">INDEX(Datos_Origen!$J$2:$J$2459,$Z2226)</f>
        <v>1155.66</v>
      </c>
      <c r="R2226" s="65" t="n">
        <f aca="false">ROUND($O2226*$P2226,2)</f>
        <v>26504.32</v>
      </c>
      <c r="S2226" s="65" t="n">
        <f aca="false">ROUND($O2226*$Q2226,2)</f>
        <v>18490.56</v>
      </c>
      <c r="T2226" s="65" t="n">
        <f aca="false">ROUND($R2226*SUMIFS(Parametros!$E$28:$E$43,Parametros!$B$28:$B$43,$J2226,Parametros!$C$28:$C$43,$C2226,Parametros!$D$28:$D$43,$D2226),2)</f>
        <v>344.56</v>
      </c>
      <c r="U2226" s="65" t="n">
        <f aca="false">$R2226-$S2226-$T2226</f>
        <v>7669.2</v>
      </c>
      <c r="V2226" s="66" t="n">
        <f aca="false">IFERROR($U2226/$R2226,0)</f>
        <v>0.289356602999058</v>
      </c>
      <c r="W2226" s="67" t="str">
        <f aca="false">IF(AND($V2226&gt;=Parametros!$C$8,$R2226&gt;=Parametros!$C$12),"Alta rentabilidad",IF(OR($V2226&lt;Parametros!$C$11,$R2226&lt;Parametros!$C$13),"Revisar","Estandar"))</f>
        <v>Estandar</v>
      </c>
      <c r="X2226" s="67" t="str">
        <f aca="false">IF(AND($J2226="E-commerce",IFERROR($T2226/$R2226,0)&gt;Parametros!$C$14),"Alerta","OK")</f>
        <v>OK</v>
      </c>
      <c r="Y2226" s="61" t="str">
        <f aca="false">IF($R2226&gt;=Parametros!$C$12,"Alto",IF($R2226&lt;Parametros!$C$13,"Bajo","Medio"))</f>
        <v>Alto</v>
      </c>
      <c r="Z2226" s="61" t="n">
        <v>1767</v>
      </c>
      <c r="AA2226" s="61" t="str">
        <f aca="false">IF(MATCH($A2226,Datos_Origen!$A$2:$A$2459,0)=$Z2226,"OK","REVISAR")</f>
        <v>OK</v>
      </c>
      <c r="AB2226" s="61" t="str">
        <f aca="false">INDEX(Datos_Origen!$B$2:$B$2459,$Z2226)</f>
        <v>24/11/2025</v>
      </c>
      <c r="AC2226" s="61" t="n">
        <f aca="false">INDEX(Datos_Origen!$H$2:$H$2459,$Z2226)</f>
        <v>16</v>
      </c>
      <c r="AD2226" s="61" t="str">
        <f aca="false">INDEX(Datos_Origen!$D$2:$D$2459,$Z2226)&amp;""</f>
        <v>Cordoba</v>
      </c>
    </row>
    <row r="2227" customFormat="false" ht="15" hidden="false" customHeight="false" outlineLevel="0" collapsed="false">
      <c r="A2227" s="61" t="n">
        <f aca="false">INDEX(Datos_Origen!$A$2:$A$2459,$Z2227)</f>
        <v>2226</v>
      </c>
      <c r="B2227" s="62" t="n">
        <f aca="false">IF(ISNUMBER($AB2227),$AB2227,IF(MID($AB2227,5,1)="-",DATE(VALUE(LEFT($AB2227,4)),VALUE(MID($AB2227,6,2)),VALUE(RIGHT($AB2227,2))),DATE(VALUE(RIGHT($AB2227,4)),VALUE(MID($AB2227,4,2)),VALUE(LEFT($AB2227,2)))))</f>
        <v>45965</v>
      </c>
      <c r="C2227" s="61" t="n">
        <f aca="false">YEAR($B2227)</f>
        <v>2025</v>
      </c>
      <c r="D2227" s="61" t="str">
        <f aca="false">"Q"&amp;ROUNDUP(MONTH($B2227)/3,0)</f>
        <v>Q4</v>
      </c>
      <c r="E2227" s="61" t="n">
        <f aca="false">MONTH($B2227)</f>
        <v>11</v>
      </c>
      <c r="F2227" s="61" t="str">
        <f aca="false">INDEX(Parametros!$I$5:$I$16,$E2227)</f>
        <v>Nov</v>
      </c>
      <c r="G2227" s="61" t="str">
        <f aca="false">TEXT($C2227,"0000")&amp;"-"&amp;TEXT($E2227,"00")</f>
        <v>2025-11</v>
      </c>
      <c r="H2227" s="61" t="str">
        <f aca="false">INDEX(Parametros!$C$71:$C$91,MATCH(TRIM(INDEX(Datos_Origen!$C$2:$C$2459,$Z2227)),Parametros!$B$71:$B$91,0))</f>
        <v>Centro</v>
      </c>
      <c r="I2227" s="61" t="str">
        <f aca="false">IF(TRIM($AD2227)="",INDEX(Parametros!$I$20:$I$24,MATCH($H2227,Parametros!$H$20:$H$24,0)),TRIM($AD2227))</f>
        <v>Cordoba</v>
      </c>
      <c r="J2227" s="61" t="str">
        <f aca="false">INDEX(Parametros!$C$95:$C$106,MATCH(TRIM(INDEX(Datos_Origen!$E$2:$E$2459,$Z2227)),Parametros!$B$95:$B$106,0))</f>
        <v>E-commerce</v>
      </c>
      <c r="K2227" s="61" t="str">
        <f aca="false">INDEX(Parametros!$C$48:$C$67,MATCH(TRIM(INDEX(Datos_Origen!$F$2:$F$2459,$Z2227)),Parametros!$B$48:$B$67,0))</f>
        <v>Computacion</v>
      </c>
      <c r="L2227" s="61" t="str">
        <f aca="false">$K2227&amp;" "&amp;$C2227</f>
        <v>Computacion 2025</v>
      </c>
      <c r="M2227" s="61" t="str">
        <f aca="false">TRIM(INDEX(Datos_Origen!$G$2:$G$2459,$Z2227))</f>
        <v>PC Gamer Ryzen</v>
      </c>
      <c r="N2227" s="61" t="str">
        <f aca="false">$M2227&amp;" "&amp;$C2227</f>
        <v>PC Gamer Ryzen 2025</v>
      </c>
      <c r="O2227" s="63" t="n">
        <f aca="false">IF(ISTEXT($AC2227),VALUE($AC2227),$AC2227)</f>
        <v>9</v>
      </c>
      <c r="P2227" s="64" t="n">
        <f aca="false">INDEX(Datos_Origen!$I$2:$I$2459,$Z2227)</f>
        <v>1656.52</v>
      </c>
      <c r="Q2227" s="64" t="n">
        <f aca="false">INDEX(Datos_Origen!$J$2:$J$2459,$Z2227)</f>
        <v>1155.66</v>
      </c>
      <c r="R2227" s="65" t="n">
        <f aca="false">ROUND($O2227*$P2227,2)</f>
        <v>14908.68</v>
      </c>
      <c r="S2227" s="65" t="n">
        <f aca="false">ROUND($O2227*$Q2227,2)</f>
        <v>10400.94</v>
      </c>
      <c r="T2227" s="65" t="n">
        <f aca="false">ROUND($R2227*SUMIFS(Parametros!$E$28:$E$43,Parametros!$B$28:$B$43,$J2227,Parametros!$C$28:$C$43,$C2227,Parametros!$D$28:$D$43,$D2227),2)</f>
        <v>775.25</v>
      </c>
      <c r="U2227" s="65" t="n">
        <f aca="false">$R2227-$S2227-$T2227</f>
        <v>3732.49</v>
      </c>
      <c r="V2227" s="66" t="n">
        <f aca="false">IFERROR($U2227/$R2227,0)</f>
        <v>0.250356839103127</v>
      </c>
      <c r="W2227" s="67" t="str">
        <f aca="false">IF(AND($V2227&gt;=Parametros!$C$8,$R2227&gt;=Parametros!$C$12),"Alta rentabilidad",IF(OR($V2227&lt;Parametros!$C$11,$R2227&lt;Parametros!$C$13),"Revisar","Estandar"))</f>
        <v>Revisar</v>
      </c>
      <c r="X2227" s="67" t="str">
        <f aca="false">IF(AND($J2227="E-commerce",IFERROR($T2227/$R2227,0)&gt;Parametros!$C$14),"Alerta","OK")</f>
        <v>Alerta</v>
      </c>
      <c r="Y2227" s="61" t="str">
        <f aca="false">IF($R2227&gt;=Parametros!$C$12,"Alto",IF($R2227&lt;Parametros!$C$13,"Bajo","Medio"))</f>
        <v>Alto</v>
      </c>
      <c r="Z2227" s="61" t="n">
        <v>2443</v>
      </c>
      <c r="AA2227" s="61" t="str">
        <f aca="false">IF(MATCH($A2227,Datos_Origen!$A$2:$A$2459,0)=$Z2227,"OK","REVISAR")</f>
        <v>OK</v>
      </c>
      <c r="AB2227" s="62" t="n">
        <f aca="false">INDEX(Datos_Origen!$B$2:$B$2459,$Z2227)</f>
        <v>45965</v>
      </c>
      <c r="AC2227" s="61" t="n">
        <f aca="false">INDEX(Datos_Origen!$H$2:$H$2459,$Z2227)</f>
        <v>9</v>
      </c>
      <c r="AD2227" s="61" t="str">
        <f aca="false">INDEX(Datos_Origen!$D$2:$D$2459,$Z2227)&amp;""</f>
        <v>Cordoba</v>
      </c>
    </row>
    <row r="2228" customFormat="false" ht="15" hidden="false" customHeight="false" outlineLevel="0" collapsed="false">
      <c r="A2228" s="61" t="n">
        <f aca="false">INDEX(Datos_Origen!$A$2:$A$2459,$Z2228)</f>
        <v>2227</v>
      </c>
      <c r="B2228" s="62" t="n">
        <f aca="false">IF(ISNUMBER($AB2228),$AB2228,IF(MID($AB2228,5,1)="-",DATE(VALUE(LEFT($AB2228,4)),VALUE(MID($AB2228,6,2)),VALUE(RIGHT($AB2228,2))),DATE(VALUE(RIGHT($AB2228,4)),VALUE(MID($AB2228,4,2)),VALUE(LEFT($AB2228,2)))))</f>
        <v>45972</v>
      </c>
      <c r="C2228" s="61" t="n">
        <f aca="false">YEAR($B2228)</f>
        <v>2025</v>
      </c>
      <c r="D2228" s="61" t="str">
        <f aca="false">"Q"&amp;ROUNDUP(MONTH($B2228)/3,0)</f>
        <v>Q4</v>
      </c>
      <c r="E2228" s="61" t="n">
        <f aca="false">MONTH($B2228)</f>
        <v>11</v>
      </c>
      <c r="F2228" s="61" t="str">
        <f aca="false">INDEX(Parametros!$I$5:$I$16,$E2228)</f>
        <v>Nov</v>
      </c>
      <c r="G2228" s="61" t="str">
        <f aca="false">TEXT($C2228,"0000")&amp;"-"&amp;TEXT($E2228,"00")</f>
        <v>2025-11</v>
      </c>
      <c r="H2228" s="61" t="str">
        <f aca="false">INDEX(Parametros!$C$71:$C$91,MATCH(TRIM(INDEX(Datos_Origen!$C$2:$C$2459,$Z2228)),Parametros!$B$71:$B$91,0))</f>
        <v>Centro</v>
      </c>
      <c r="I2228" s="61" t="str">
        <f aca="false">IF(TRIM($AD2228)="",INDEX(Parametros!$I$20:$I$24,MATCH($H2228,Parametros!$H$20:$H$24,0)),TRIM($AD2228))</f>
        <v>Cordoba</v>
      </c>
      <c r="J2228" s="61" t="str">
        <f aca="false">INDEX(Parametros!$C$95:$C$106,MATCH(TRIM(INDEX(Datos_Origen!$E$2:$E$2459,$Z2228)),Parametros!$B$95:$B$106,0))</f>
        <v>Tienda fisica</v>
      </c>
      <c r="K2228" s="61" t="str">
        <f aca="false">INDEX(Parametros!$C$48:$C$67,MATCH(TRIM(INDEX(Datos_Origen!$F$2:$F$2459,$Z2228)),Parametros!$B$48:$B$67,0))</f>
        <v>Accesorios</v>
      </c>
      <c r="L2228" s="61" t="str">
        <f aca="false">$K2228&amp;" "&amp;$C2228</f>
        <v>Accesorios 2025</v>
      </c>
      <c r="M2228" s="61" t="str">
        <f aca="false">TRIM(INDEX(Datos_Origen!$G$2:$G$2459,$Z2228))</f>
        <v>Mouse Inalambrico</v>
      </c>
      <c r="N2228" s="61" t="str">
        <f aca="false">$M2228&amp;" "&amp;$C2228</f>
        <v>Mouse Inalambrico 2025</v>
      </c>
      <c r="O2228" s="63" t="n">
        <f aca="false">IF(ISTEXT($AC2228),VALUE($AC2228),$AC2228)</f>
        <v>57</v>
      </c>
      <c r="P2228" s="64" t="n">
        <f aca="false">INDEX(Datos_Origen!$I$2:$I$2459,$Z2228)</f>
        <v>28.11</v>
      </c>
      <c r="Q2228" s="64" t="n">
        <f aca="false">INDEX(Datos_Origen!$J$2:$J$2459,$Z2228)</f>
        <v>13.84</v>
      </c>
      <c r="R2228" s="65" t="n">
        <f aca="false">ROUND($O2228*$P2228,2)</f>
        <v>1602.27</v>
      </c>
      <c r="S2228" s="65" t="n">
        <f aca="false">ROUND($O2228*$Q2228,2)</f>
        <v>788.88</v>
      </c>
      <c r="T2228" s="65" t="n">
        <f aca="false">ROUND($R2228*SUMIFS(Parametros!$E$28:$E$43,Parametros!$B$28:$B$43,$J2228,Parametros!$C$28:$C$43,$C2228,Parametros!$D$28:$D$43,$D2228),2)</f>
        <v>20.83</v>
      </c>
      <c r="U2228" s="65" t="n">
        <f aca="false">$R2228-$S2228-$T2228</f>
        <v>792.56</v>
      </c>
      <c r="V2228" s="66" t="n">
        <f aca="false">IFERROR($U2228/$R2228,0)</f>
        <v>0.494648217840938</v>
      </c>
      <c r="W2228" s="67" t="str">
        <f aca="false">IF(AND($V2228&gt;=Parametros!$C$8,$R2228&gt;=Parametros!$C$12),"Alta rentabilidad",IF(OR($V2228&lt;Parametros!$C$11,$R2228&lt;Parametros!$C$13),"Revisar","Estandar"))</f>
        <v>Estandar</v>
      </c>
      <c r="X2228" s="67" t="str">
        <f aca="false">IF(AND($J2228="E-commerce",IFERROR($T2228/$R2228,0)&gt;Parametros!$C$14),"Alerta","OK")</f>
        <v>OK</v>
      </c>
      <c r="Y2228" s="61" t="str">
        <f aca="false">IF($R2228&gt;=Parametros!$C$12,"Alto",IF($R2228&lt;Parametros!$C$13,"Bajo","Medio"))</f>
        <v>Medio</v>
      </c>
      <c r="Z2228" s="61" t="n">
        <v>434</v>
      </c>
      <c r="AA2228" s="61" t="str">
        <f aca="false">IF(MATCH($A2228,Datos_Origen!$A$2:$A$2459,0)=$Z2228,"OK","REVISAR")</f>
        <v>OK</v>
      </c>
      <c r="AB2228" s="62" t="n">
        <f aca="false">INDEX(Datos_Origen!$B$2:$B$2459,$Z2228)</f>
        <v>45972</v>
      </c>
      <c r="AC2228" s="61" t="n">
        <f aca="false">INDEX(Datos_Origen!$H$2:$H$2459,$Z2228)</f>
        <v>57</v>
      </c>
      <c r="AD2228" s="61" t="str">
        <f aca="false">INDEX(Datos_Origen!$D$2:$D$2459,$Z2228)&amp;""</f>
        <v>Cordoba</v>
      </c>
    </row>
    <row r="2229" customFormat="false" ht="15" hidden="false" customHeight="false" outlineLevel="0" collapsed="false">
      <c r="A2229" s="61" t="n">
        <f aca="false">INDEX(Datos_Origen!$A$2:$A$2459,$Z2229)</f>
        <v>2228</v>
      </c>
      <c r="B2229" s="62" t="n">
        <f aca="false">IF(ISNUMBER($AB2229),$AB2229,IF(MID($AB2229,5,1)="-",DATE(VALUE(LEFT($AB2229,4)),VALUE(MID($AB2229,6,2)),VALUE(RIGHT($AB2229,2))),DATE(VALUE(RIGHT($AB2229,4)),VALUE(MID($AB2229,4,2)),VALUE(LEFT($AB2229,2)))))</f>
        <v>45979</v>
      </c>
      <c r="C2229" s="61" t="n">
        <f aca="false">YEAR($B2229)</f>
        <v>2025</v>
      </c>
      <c r="D2229" s="61" t="str">
        <f aca="false">"Q"&amp;ROUNDUP(MONTH($B2229)/3,0)</f>
        <v>Q4</v>
      </c>
      <c r="E2229" s="61" t="n">
        <f aca="false">MONTH($B2229)</f>
        <v>11</v>
      </c>
      <c r="F2229" s="61" t="str">
        <f aca="false">INDEX(Parametros!$I$5:$I$16,$E2229)</f>
        <v>Nov</v>
      </c>
      <c r="G2229" s="61" t="str">
        <f aca="false">TEXT($C2229,"0000")&amp;"-"&amp;TEXT($E2229,"00")</f>
        <v>2025-11</v>
      </c>
      <c r="H2229" s="61" t="str">
        <f aca="false">INDEX(Parametros!$C$71:$C$91,MATCH(TRIM(INDEX(Datos_Origen!$C$2:$C$2459,$Z2229)),Parametros!$B$71:$B$91,0))</f>
        <v>Centro</v>
      </c>
      <c r="I2229" s="61" t="str">
        <f aca="false">IF(TRIM($AD2229)="",INDEX(Parametros!$I$20:$I$24,MATCH($H2229,Parametros!$H$20:$H$24,0)),TRIM($AD2229))</f>
        <v>Cordoba</v>
      </c>
      <c r="J2229" s="61" t="str">
        <f aca="false">INDEX(Parametros!$C$95:$C$106,MATCH(TRIM(INDEX(Datos_Origen!$E$2:$E$2459,$Z2229)),Parametros!$B$95:$B$106,0))</f>
        <v>E-commerce</v>
      </c>
      <c r="K2229" s="61" t="str">
        <f aca="false">INDEX(Parametros!$C$48:$C$67,MATCH(TRIM(INDEX(Datos_Origen!$F$2:$F$2459,$Z2229)),Parametros!$B$48:$B$67,0))</f>
        <v>Accesorios</v>
      </c>
      <c r="L2229" s="61" t="str">
        <f aca="false">$K2229&amp;" "&amp;$C2229</f>
        <v>Accesorios 2025</v>
      </c>
      <c r="M2229" s="61" t="str">
        <f aca="false">TRIM(INDEX(Datos_Origen!$G$2:$G$2459,$Z2229))</f>
        <v>Mouse Inalambrico</v>
      </c>
      <c r="N2229" s="61" t="str">
        <f aca="false">$M2229&amp;" "&amp;$C2229</f>
        <v>Mouse Inalambrico 2025</v>
      </c>
      <c r="O2229" s="63" t="n">
        <f aca="false">IF(ISTEXT($AC2229),VALUE($AC2229),$AC2229)</f>
        <v>49</v>
      </c>
      <c r="P2229" s="64" t="n">
        <f aca="false">INDEX(Datos_Origen!$I$2:$I$2459,$Z2229)</f>
        <v>28.11</v>
      </c>
      <c r="Q2229" s="64" t="n">
        <f aca="false">INDEX(Datos_Origen!$J$2:$J$2459,$Z2229)</f>
        <v>13.84</v>
      </c>
      <c r="R2229" s="65" t="n">
        <f aca="false">ROUND($O2229*$P2229,2)</f>
        <v>1377.39</v>
      </c>
      <c r="S2229" s="65" t="n">
        <f aca="false">ROUND($O2229*$Q2229,2)</f>
        <v>678.16</v>
      </c>
      <c r="T2229" s="65" t="n">
        <f aca="false">ROUND($R2229*SUMIFS(Parametros!$E$28:$E$43,Parametros!$B$28:$B$43,$J2229,Parametros!$C$28:$C$43,$C2229,Parametros!$D$28:$D$43,$D2229),2)</f>
        <v>71.62</v>
      </c>
      <c r="U2229" s="65" t="n">
        <f aca="false">$R2229-$S2229-$T2229</f>
        <v>627.61</v>
      </c>
      <c r="V2229" s="66" t="n">
        <f aca="false">IFERROR($U2229/$R2229,0)</f>
        <v>0.455651630983236</v>
      </c>
      <c r="W2229" s="67" t="str">
        <f aca="false">IF(AND($V2229&gt;=Parametros!$C$8,$R2229&gt;=Parametros!$C$12),"Alta rentabilidad",IF(OR($V2229&lt;Parametros!$C$11,$R2229&lt;Parametros!$C$13),"Revisar","Estandar"))</f>
        <v>Estandar</v>
      </c>
      <c r="X2229" s="67" t="str">
        <f aca="false">IF(AND($J2229="E-commerce",IFERROR($T2229/$R2229,0)&gt;Parametros!$C$14),"Alerta","OK")</f>
        <v>Alerta</v>
      </c>
      <c r="Y2229" s="61" t="str">
        <f aca="false">IF($R2229&gt;=Parametros!$C$12,"Alto",IF($R2229&lt;Parametros!$C$13,"Bajo","Medio"))</f>
        <v>Medio</v>
      </c>
      <c r="Z2229" s="61" t="n">
        <v>2291</v>
      </c>
      <c r="AA2229" s="61" t="str">
        <f aca="false">IF(MATCH($A2229,Datos_Origen!$A$2:$A$2459,0)=$Z2229,"OK","REVISAR")</f>
        <v>OK</v>
      </c>
      <c r="AB2229" s="62" t="n">
        <f aca="false">INDEX(Datos_Origen!$B$2:$B$2459,$Z2229)</f>
        <v>45979</v>
      </c>
      <c r="AC2229" s="61" t="n">
        <f aca="false">INDEX(Datos_Origen!$H$2:$H$2459,$Z2229)</f>
        <v>49</v>
      </c>
      <c r="AD2229" s="61" t="str">
        <f aca="false">INDEX(Datos_Origen!$D$2:$D$2459,$Z2229)&amp;""</f>
        <v/>
      </c>
    </row>
    <row r="2230" customFormat="false" ht="15" hidden="false" customHeight="false" outlineLevel="0" collapsed="false">
      <c r="A2230" s="61" t="n">
        <f aca="false">INDEX(Datos_Origen!$A$2:$A$2459,$Z2230)</f>
        <v>2229</v>
      </c>
      <c r="B2230" s="62" t="n">
        <f aca="false">IF(ISNUMBER($AB2230),$AB2230,IF(MID($AB2230,5,1)="-",DATE(VALUE(LEFT($AB2230,4)),VALUE(MID($AB2230,6,2)),VALUE(RIGHT($AB2230,2))),DATE(VALUE(RIGHT($AB2230,4)),VALUE(MID($AB2230,4,2)),VALUE(LEFT($AB2230,2)))))</f>
        <v>45986</v>
      </c>
      <c r="C2230" s="61" t="n">
        <f aca="false">YEAR($B2230)</f>
        <v>2025</v>
      </c>
      <c r="D2230" s="61" t="str">
        <f aca="false">"Q"&amp;ROUNDUP(MONTH($B2230)/3,0)</f>
        <v>Q4</v>
      </c>
      <c r="E2230" s="61" t="n">
        <f aca="false">MONTH($B2230)</f>
        <v>11</v>
      </c>
      <c r="F2230" s="61" t="str">
        <f aca="false">INDEX(Parametros!$I$5:$I$16,$E2230)</f>
        <v>Nov</v>
      </c>
      <c r="G2230" s="61" t="str">
        <f aca="false">TEXT($C2230,"0000")&amp;"-"&amp;TEXT($E2230,"00")</f>
        <v>2025-11</v>
      </c>
      <c r="H2230" s="61" t="str">
        <f aca="false">INDEX(Parametros!$C$71:$C$91,MATCH(TRIM(INDEX(Datos_Origen!$C$2:$C$2459,$Z2230)),Parametros!$B$71:$B$91,0))</f>
        <v>Centro</v>
      </c>
      <c r="I2230" s="61" t="str">
        <f aca="false">IF(TRIM($AD2230)="",INDEX(Parametros!$I$20:$I$24,MATCH($H2230,Parametros!$H$20:$H$24,0)),TRIM($AD2230))</f>
        <v>Cordoba</v>
      </c>
      <c r="J2230" s="61" t="str">
        <f aca="false">INDEX(Parametros!$C$95:$C$106,MATCH(TRIM(INDEX(Datos_Origen!$E$2:$E$2459,$Z2230)),Parametros!$B$95:$B$106,0))</f>
        <v>Tienda fisica</v>
      </c>
      <c r="K2230" s="61" t="str">
        <f aca="false">INDEX(Parametros!$C$48:$C$67,MATCH(TRIM(INDEX(Datos_Origen!$F$2:$F$2459,$Z2230)),Parametros!$B$48:$B$67,0))</f>
        <v>Accesorios</v>
      </c>
      <c r="L2230" s="61" t="str">
        <f aca="false">$K2230&amp;" "&amp;$C2230</f>
        <v>Accesorios 2025</v>
      </c>
      <c r="M2230" s="61" t="str">
        <f aca="false">TRIM(INDEX(Datos_Origen!$G$2:$G$2459,$Z2230))</f>
        <v>Teclado Mecanico</v>
      </c>
      <c r="N2230" s="61" t="str">
        <f aca="false">$M2230&amp;" "&amp;$C2230</f>
        <v>Teclado Mecanico 2025</v>
      </c>
      <c r="O2230" s="63" t="n">
        <f aca="false">IF(ISTEXT($AC2230),VALUE($AC2230),$AC2230)</f>
        <v>61</v>
      </c>
      <c r="P2230" s="64" t="n">
        <f aca="false">INDEX(Datos_Origen!$I$2:$I$2459,$Z2230)</f>
        <v>95.38</v>
      </c>
      <c r="Q2230" s="64" t="n">
        <f aca="false">INDEX(Datos_Origen!$J$2:$J$2459,$Z2230)</f>
        <v>49.41</v>
      </c>
      <c r="R2230" s="65" t="n">
        <f aca="false">ROUND($O2230*$P2230,2)</f>
        <v>5818.18</v>
      </c>
      <c r="S2230" s="65" t="n">
        <f aca="false">ROUND($O2230*$Q2230,2)</f>
        <v>3014.01</v>
      </c>
      <c r="T2230" s="65" t="n">
        <f aca="false">ROUND($R2230*SUMIFS(Parametros!$E$28:$E$43,Parametros!$B$28:$B$43,$J2230,Parametros!$C$28:$C$43,$C2230,Parametros!$D$28:$D$43,$D2230),2)</f>
        <v>75.64</v>
      </c>
      <c r="U2230" s="65" t="n">
        <f aca="false">$R2230-$S2230-$T2230</f>
        <v>2728.53</v>
      </c>
      <c r="V2230" s="66" t="n">
        <f aca="false">IFERROR($U2230/$R2230,0)</f>
        <v>0.46896624030195</v>
      </c>
      <c r="W2230" s="67" t="str">
        <f aca="false">IF(AND($V2230&gt;=Parametros!$C$8,$R2230&gt;=Parametros!$C$12),"Alta rentabilidad",IF(OR($V2230&lt;Parametros!$C$11,$R2230&lt;Parametros!$C$13),"Revisar","Estandar"))</f>
        <v>Alta rentabilidad</v>
      </c>
      <c r="X2230" s="67" t="str">
        <f aca="false">IF(AND($J2230="E-commerce",IFERROR($T2230/$R2230,0)&gt;Parametros!$C$14),"Alerta","OK")</f>
        <v>OK</v>
      </c>
      <c r="Y2230" s="61" t="str">
        <f aca="false">IF($R2230&gt;=Parametros!$C$12,"Alto",IF($R2230&lt;Parametros!$C$13,"Bajo","Medio"))</f>
        <v>Alto</v>
      </c>
      <c r="Z2230" s="61" t="n">
        <v>2203</v>
      </c>
      <c r="AA2230" s="61" t="str">
        <f aca="false">IF(MATCH($A2230,Datos_Origen!$A$2:$A$2459,0)=$Z2230,"OK","REVISAR")</f>
        <v>OK</v>
      </c>
      <c r="AB2230" s="62" t="n">
        <f aca="false">INDEX(Datos_Origen!$B$2:$B$2459,$Z2230)</f>
        <v>45986</v>
      </c>
      <c r="AC2230" s="61" t="n">
        <f aca="false">INDEX(Datos_Origen!$H$2:$H$2459,$Z2230)</f>
        <v>61</v>
      </c>
      <c r="AD2230" s="61" t="str">
        <f aca="false">INDEX(Datos_Origen!$D$2:$D$2459,$Z2230)&amp;""</f>
        <v>Cordoba</v>
      </c>
    </row>
    <row r="2231" customFormat="false" ht="15" hidden="false" customHeight="false" outlineLevel="0" collapsed="false">
      <c r="A2231" s="61" t="n">
        <f aca="false">INDEX(Datos_Origen!$A$2:$A$2459,$Z2231)</f>
        <v>2230</v>
      </c>
      <c r="B2231" s="62" t="n">
        <f aca="false">IF(ISNUMBER($AB2231),$AB2231,IF(MID($AB2231,5,1)="-",DATE(VALUE(LEFT($AB2231,4)),VALUE(MID($AB2231,6,2)),VALUE(RIGHT($AB2231,2))),DATE(VALUE(RIGHT($AB2231,4)),VALUE(MID($AB2231,4,2)),VALUE(LEFT($AB2231,2)))))</f>
        <v>45966</v>
      </c>
      <c r="C2231" s="61" t="n">
        <f aca="false">YEAR($B2231)</f>
        <v>2025</v>
      </c>
      <c r="D2231" s="61" t="str">
        <f aca="false">"Q"&amp;ROUNDUP(MONTH($B2231)/3,0)</f>
        <v>Q4</v>
      </c>
      <c r="E2231" s="61" t="n">
        <f aca="false">MONTH($B2231)</f>
        <v>11</v>
      </c>
      <c r="F2231" s="61" t="str">
        <f aca="false">INDEX(Parametros!$I$5:$I$16,$E2231)</f>
        <v>Nov</v>
      </c>
      <c r="G2231" s="61" t="str">
        <f aca="false">TEXT($C2231,"0000")&amp;"-"&amp;TEXT($E2231,"00")</f>
        <v>2025-11</v>
      </c>
      <c r="H2231" s="61" t="str">
        <f aca="false">INDEX(Parametros!$C$71:$C$91,MATCH(TRIM(INDEX(Datos_Origen!$C$2:$C$2459,$Z2231)),Parametros!$B$71:$B$91,0))</f>
        <v>Centro</v>
      </c>
      <c r="I2231" s="61" t="str">
        <f aca="false">IF(TRIM($AD2231)="",INDEX(Parametros!$I$20:$I$24,MATCH($H2231,Parametros!$H$20:$H$24,0)),TRIM($AD2231))</f>
        <v>Cordoba</v>
      </c>
      <c r="J2231" s="61" t="str">
        <f aca="false">INDEX(Parametros!$C$95:$C$106,MATCH(TRIM(INDEX(Datos_Origen!$E$2:$E$2459,$Z2231)),Parametros!$B$95:$B$106,0))</f>
        <v>E-commerce</v>
      </c>
      <c r="K2231" s="61" t="str">
        <f aca="false">INDEX(Parametros!$C$48:$C$67,MATCH(TRIM(INDEX(Datos_Origen!$F$2:$F$2459,$Z2231)),Parametros!$B$48:$B$67,0))</f>
        <v>Accesorios</v>
      </c>
      <c r="L2231" s="61" t="str">
        <f aca="false">$K2231&amp;" "&amp;$C2231</f>
        <v>Accesorios 2025</v>
      </c>
      <c r="M2231" s="61" t="str">
        <f aca="false">TRIM(INDEX(Datos_Origen!$G$2:$G$2459,$Z2231))</f>
        <v>Teclado Mecanico</v>
      </c>
      <c r="N2231" s="61" t="str">
        <f aca="false">$M2231&amp;" "&amp;$C2231</f>
        <v>Teclado Mecanico 2025</v>
      </c>
      <c r="O2231" s="63" t="n">
        <f aca="false">IF(ISTEXT($AC2231),VALUE($AC2231),$AC2231)</f>
        <v>49</v>
      </c>
      <c r="P2231" s="64" t="n">
        <f aca="false">INDEX(Datos_Origen!$I$2:$I$2459,$Z2231)</f>
        <v>95.38</v>
      </c>
      <c r="Q2231" s="64" t="n">
        <f aca="false">INDEX(Datos_Origen!$J$2:$J$2459,$Z2231)</f>
        <v>49.41</v>
      </c>
      <c r="R2231" s="65" t="n">
        <f aca="false">ROUND($O2231*$P2231,2)</f>
        <v>4673.62</v>
      </c>
      <c r="S2231" s="65" t="n">
        <f aca="false">ROUND($O2231*$Q2231,2)</f>
        <v>2421.09</v>
      </c>
      <c r="T2231" s="65" t="n">
        <f aca="false">ROUND($R2231*SUMIFS(Parametros!$E$28:$E$43,Parametros!$B$28:$B$43,$J2231,Parametros!$C$28:$C$43,$C2231,Parametros!$D$28:$D$43,$D2231),2)</f>
        <v>243.03</v>
      </c>
      <c r="U2231" s="65" t="n">
        <f aca="false">$R2231-$S2231-$T2231</f>
        <v>2009.5</v>
      </c>
      <c r="V2231" s="66" t="n">
        <f aca="false">IFERROR($U2231/$R2231,0)</f>
        <v>0.429966492782896</v>
      </c>
      <c r="W2231" s="67" t="str">
        <f aca="false">IF(AND($V2231&gt;=Parametros!$C$8,$R2231&gt;=Parametros!$C$12),"Alta rentabilidad",IF(OR($V2231&lt;Parametros!$C$11,$R2231&lt;Parametros!$C$13),"Revisar","Estandar"))</f>
        <v>Alta rentabilidad</v>
      </c>
      <c r="X2231" s="67" t="str">
        <f aca="false">IF(AND($J2231="E-commerce",IFERROR($T2231/$R2231,0)&gt;Parametros!$C$14),"Alerta","OK")</f>
        <v>Alerta</v>
      </c>
      <c r="Y2231" s="61" t="str">
        <f aca="false">IF($R2231&gt;=Parametros!$C$12,"Alto",IF($R2231&lt;Parametros!$C$13,"Bajo","Medio"))</f>
        <v>Alto</v>
      </c>
      <c r="Z2231" s="61" t="n">
        <v>970</v>
      </c>
      <c r="AA2231" s="61" t="str">
        <f aca="false">IF(MATCH($A2231,Datos_Origen!$A$2:$A$2459,0)=$Z2231,"OK","REVISAR")</f>
        <v>OK</v>
      </c>
      <c r="AB2231" s="62" t="n">
        <f aca="false">INDEX(Datos_Origen!$B$2:$B$2459,$Z2231)</f>
        <v>45966</v>
      </c>
      <c r="AC2231" s="61" t="n">
        <f aca="false">INDEX(Datos_Origen!$H$2:$H$2459,$Z2231)</f>
        <v>49</v>
      </c>
      <c r="AD2231" s="61" t="str">
        <f aca="false">INDEX(Datos_Origen!$D$2:$D$2459,$Z2231)&amp;""</f>
        <v>Cordoba</v>
      </c>
    </row>
    <row r="2232" customFormat="false" ht="15" hidden="false" customHeight="false" outlineLevel="0" collapsed="false">
      <c r="A2232" s="61" t="n">
        <f aca="false">INDEX(Datos_Origen!$A$2:$A$2459,$Z2232)</f>
        <v>2231</v>
      </c>
      <c r="B2232" s="62" t="n">
        <f aca="false">IF(ISNUMBER($AB2232),$AB2232,IF(MID($AB2232,5,1)="-",DATE(VALUE(LEFT($AB2232,4)),VALUE(MID($AB2232,6,2)),VALUE(RIGHT($AB2232,2))),DATE(VALUE(RIGHT($AB2232,4)),VALUE(MID($AB2232,4,2)),VALUE(LEFT($AB2232,2)))))</f>
        <v>45973</v>
      </c>
      <c r="C2232" s="61" t="n">
        <f aca="false">YEAR($B2232)</f>
        <v>2025</v>
      </c>
      <c r="D2232" s="61" t="str">
        <f aca="false">"Q"&amp;ROUNDUP(MONTH($B2232)/3,0)</f>
        <v>Q4</v>
      </c>
      <c r="E2232" s="61" t="n">
        <f aca="false">MONTH($B2232)</f>
        <v>11</v>
      </c>
      <c r="F2232" s="61" t="str">
        <f aca="false">INDEX(Parametros!$I$5:$I$16,$E2232)</f>
        <v>Nov</v>
      </c>
      <c r="G2232" s="61" t="str">
        <f aca="false">TEXT($C2232,"0000")&amp;"-"&amp;TEXT($E2232,"00")</f>
        <v>2025-11</v>
      </c>
      <c r="H2232" s="61" t="str">
        <f aca="false">INDEX(Parametros!$C$71:$C$91,MATCH(TRIM(INDEX(Datos_Origen!$C$2:$C$2459,$Z2232)),Parametros!$B$71:$B$91,0))</f>
        <v>Centro</v>
      </c>
      <c r="I2232" s="61" t="str">
        <f aca="false">IF(TRIM($AD2232)="",INDEX(Parametros!$I$20:$I$24,MATCH($H2232,Parametros!$H$20:$H$24,0)),TRIM($AD2232))</f>
        <v>Cordoba</v>
      </c>
      <c r="J2232" s="61" t="str">
        <f aca="false">INDEX(Parametros!$C$95:$C$106,MATCH(TRIM(INDEX(Datos_Origen!$E$2:$E$2459,$Z2232)),Parametros!$B$95:$B$106,0))</f>
        <v>Tienda fisica</v>
      </c>
      <c r="K2232" s="61" t="str">
        <f aca="false">INDEX(Parametros!$C$48:$C$67,MATCH(TRIM(INDEX(Datos_Origen!$F$2:$F$2459,$Z2232)),Parametros!$B$48:$B$67,0))</f>
        <v>Accesorios</v>
      </c>
      <c r="L2232" s="61" t="str">
        <f aca="false">$K2232&amp;" "&amp;$C2232</f>
        <v>Accesorios 2025</v>
      </c>
      <c r="M2232" s="61" t="str">
        <f aca="false">TRIM(INDEX(Datos_Origen!$G$2:$G$2459,$Z2232))</f>
        <v>Webcam Full HD</v>
      </c>
      <c r="N2232" s="61" t="str">
        <f aca="false">$M2232&amp;" "&amp;$C2232</f>
        <v>Webcam Full HD 2025</v>
      </c>
      <c r="O2232" s="63" t="n">
        <f aca="false">IF(ISTEXT($AC2232),VALUE($AC2232),$AC2232)</f>
        <v>62</v>
      </c>
      <c r="P2232" s="64" t="n">
        <f aca="false">INDEX(Datos_Origen!$I$2:$I$2459,$Z2232)</f>
        <v>65.26</v>
      </c>
      <c r="Q2232" s="64" t="n">
        <f aca="false">INDEX(Datos_Origen!$J$2:$J$2459,$Z2232)</f>
        <v>36.49</v>
      </c>
      <c r="R2232" s="65" t="n">
        <f aca="false">ROUND($O2232*$P2232,2)</f>
        <v>4046.12</v>
      </c>
      <c r="S2232" s="65" t="n">
        <f aca="false">ROUND($O2232*$Q2232,2)</f>
        <v>2262.38</v>
      </c>
      <c r="T2232" s="65" t="n">
        <f aca="false">ROUND($R2232*SUMIFS(Parametros!$E$28:$E$43,Parametros!$B$28:$B$43,$J2232,Parametros!$C$28:$C$43,$C2232,Parametros!$D$28:$D$43,$D2232),2)</f>
        <v>52.6</v>
      </c>
      <c r="U2232" s="65" t="n">
        <f aca="false">$R2232-$S2232-$T2232</f>
        <v>1731.14</v>
      </c>
      <c r="V2232" s="66" t="n">
        <f aca="false">IFERROR($U2232/$R2232,0)</f>
        <v>0.427851867962394</v>
      </c>
      <c r="W2232" s="67" t="str">
        <f aca="false">IF(AND($V2232&gt;=Parametros!$C$8,$R2232&gt;=Parametros!$C$12),"Alta rentabilidad",IF(OR($V2232&lt;Parametros!$C$11,$R2232&lt;Parametros!$C$13),"Revisar","Estandar"))</f>
        <v>Alta rentabilidad</v>
      </c>
      <c r="X2232" s="67" t="str">
        <f aca="false">IF(AND($J2232="E-commerce",IFERROR($T2232/$R2232,0)&gt;Parametros!$C$14),"Alerta","OK")</f>
        <v>OK</v>
      </c>
      <c r="Y2232" s="61" t="str">
        <f aca="false">IF($R2232&gt;=Parametros!$C$12,"Alto",IF($R2232&lt;Parametros!$C$13,"Bajo","Medio"))</f>
        <v>Alto</v>
      </c>
      <c r="Z2232" s="61" t="n">
        <v>553</v>
      </c>
      <c r="AA2232" s="61" t="str">
        <f aca="false">IF(MATCH($A2232,Datos_Origen!$A$2:$A$2459,0)=$Z2232,"OK","REVISAR")</f>
        <v>OK</v>
      </c>
      <c r="AB2232" s="62" t="n">
        <f aca="false">INDEX(Datos_Origen!$B$2:$B$2459,$Z2232)</f>
        <v>45973</v>
      </c>
      <c r="AC2232" s="61" t="n">
        <f aca="false">INDEX(Datos_Origen!$H$2:$H$2459,$Z2232)</f>
        <v>62</v>
      </c>
      <c r="AD2232" s="61" t="str">
        <f aca="false">INDEX(Datos_Origen!$D$2:$D$2459,$Z2232)&amp;""</f>
        <v>Cordoba</v>
      </c>
    </row>
    <row r="2233" customFormat="false" ht="15" hidden="false" customHeight="false" outlineLevel="0" collapsed="false">
      <c r="A2233" s="61" t="n">
        <f aca="false">INDEX(Datos_Origen!$A$2:$A$2459,$Z2233)</f>
        <v>2232</v>
      </c>
      <c r="B2233" s="62" t="n">
        <f aca="false">IF(ISNUMBER($AB2233),$AB2233,IF(MID($AB2233,5,1)="-",DATE(VALUE(LEFT($AB2233,4)),VALUE(MID($AB2233,6,2)),VALUE(RIGHT($AB2233,2))),DATE(VALUE(RIGHT($AB2233,4)),VALUE(MID($AB2233,4,2)),VALUE(LEFT($AB2233,2)))))</f>
        <v>45980</v>
      </c>
      <c r="C2233" s="61" t="n">
        <f aca="false">YEAR($B2233)</f>
        <v>2025</v>
      </c>
      <c r="D2233" s="61" t="str">
        <f aca="false">"Q"&amp;ROUNDUP(MONTH($B2233)/3,0)</f>
        <v>Q4</v>
      </c>
      <c r="E2233" s="61" t="n">
        <f aca="false">MONTH($B2233)</f>
        <v>11</v>
      </c>
      <c r="F2233" s="61" t="str">
        <f aca="false">INDEX(Parametros!$I$5:$I$16,$E2233)</f>
        <v>Nov</v>
      </c>
      <c r="G2233" s="61" t="str">
        <f aca="false">TEXT($C2233,"0000")&amp;"-"&amp;TEXT($E2233,"00")</f>
        <v>2025-11</v>
      </c>
      <c r="H2233" s="61" t="str">
        <f aca="false">INDEX(Parametros!$C$71:$C$91,MATCH(TRIM(INDEX(Datos_Origen!$C$2:$C$2459,$Z2233)),Parametros!$B$71:$B$91,0))</f>
        <v>Centro</v>
      </c>
      <c r="I2233" s="61" t="str">
        <f aca="false">IF(TRIM($AD2233)="",INDEX(Parametros!$I$20:$I$24,MATCH($H2233,Parametros!$H$20:$H$24,0)),TRIM($AD2233))</f>
        <v>Cordoba</v>
      </c>
      <c r="J2233" s="61" t="str">
        <f aca="false">INDEX(Parametros!$C$95:$C$106,MATCH(TRIM(INDEX(Datos_Origen!$E$2:$E$2459,$Z2233)),Parametros!$B$95:$B$106,0))</f>
        <v>E-commerce</v>
      </c>
      <c r="K2233" s="61" t="str">
        <f aca="false">INDEX(Parametros!$C$48:$C$67,MATCH(TRIM(INDEX(Datos_Origen!$F$2:$F$2459,$Z2233)),Parametros!$B$48:$B$67,0))</f>
        <v>Accesorios</v>
      </c>
      <c r="L2233" s="61" t="str">
        <f aca="false">$K2233&amp;" "&amp;$C2233</f>
        <v>Accesorios 2025</v>
      </c>
      <c r="M2233" s="61" t="str">
        <f aca="false">TRIM(INDEX(Datos_Origen!$G$2:$G$2459,$Z2233))</f>
        <v>Webcam Full HD</v>
      </c>
      <c r="N2233" s="61" t="str">
        <f aca="false">$M2233&amp;" "&amp;$C2233</f>
        <v>Webcam Full HD 2025</v>
      </c>
      <c r="O2233" s="63" t="n">
        <f aca="false">IF(ISTEXT($AC2233),VALUE($AC2233),$AC2233)</f>
        <v>55</v>
      </c>
      <c r="P2233" s="64" t="n">
        <f aca="false">INDEX(Datos_Origen!$I$2:$I$2459,$Z2233)</f>
        <v>65.26</v>
      </c>
      <c r="Q2233" s="64" t="n">
        <f aca="false">INDEX(Datos_Origen!$J$2:$J$2459,$Z2233)</f>
        <v>36.49</v>
      </c>
      <c r="R2233" s="65" t="n">
        <f aca="false">ROUND($O2233*$P2233,2)</f>
        <v>3589.3</v>
      </c>
      <c r="S2233" s="65" t="n">
        <f aca="false">ROUND($O2233*$Q2233,2)</f>
        <v>2006.95</v>
      </c>
      <c r="T2233" s="65" t="n">
        <f aca="false">ROUND($R2233*SUMIFS(Parametros!$E$28:$E$43,Parametros!$B$28:$B$43,$J2233,Parametros!$C$28:$C$43,$C2233,Parametros!$D$28:$D$43,$D2233),2)</f>
        <v>186.64</v>
      </c>
      <c r="U2233" s="65" t="n">
        <f aca="false">$R2233-$S2233-$T2233</f>
        <v>1395.71</v>
      </c>
      <c r="V2233" s="66" t="n">
        <f aca="false">IFERROR($U2233/$R2233,0)</f>
        <v>0.388852979689633</v>
      </c>
      <c r="W2233" s="67" t="str">
        <f aca="false">IF(AND($V2233&gt;=Parametros!$C$8,$R2233&gt;=Parametros!$C$12),"Alta rentabilidad",IF(OR($V2233&lt;Parametros!$C$11,$R2233&lt;Parametros!$C$13),"Revisar","Estandar"))</f>
        <v>Alta rentabilidad</v>
      </c>
      <c r="X2233" s="67" t="str">
        <f aca="false">IF(AND($J2233="E-commerce",IFERROR($T2233/$R2233,0)&gt;Parametros!$C$14),"Alerta","OK")</f>
        <v>Alerta</v>
      </c>
      <c r="Y2233" s="61" t="str">
        <f aca="false">IF($R2233&gt;=Parametros!$C$12,"Alto",IF($R2233&lt;Parametros!$C$13,"Bajo","Medio"))</f>
        <v>Alto</v>
      </c>
      <c r="Z2233" s="61" t="n">
        <v>480</v>
      </c>
      <c r="AA2233" s="61" t="str">
        <f aca="false">IF(MATCH($A2233,Datos_Origen!$A$2:$A$2459,0)=$Z2233,"OK","REVISAR")</f>
        <v>OK</v>
      </c>
      <c r="AB2233" s="61" t="str">
        <f aca="false">INDEX(Datos_Origen!$B$2:$B$2459,$Z2233)</f>
        <v>19/11/2025</v>
      </c>
      <c r="AC2233" s="61" t="n">
        <f aca="false">INDEX(Datos_Origen!$H$2:$H$2459,$Z2233)</f>
        <v>55</v>
      </c>
      <c r="AD2233" s="61" t="str">
        <f aca="false">INDEX(Datos_Origen!$D$2:$D$2459,$Z2233)&amp;""</f>
        <v>Cordoba</v>
      </c>
    </row>
    <row r="2234" customFormat="false" ht="15" hidden="false" customHeight="false" outlineLevel="0" collapsed="false">
      <c r="A2234" s="61" t="n">
        <f aca="false">INDEX(Datos_Origen!$A$2:$A$2459,$Z2234)</f>
        <v>2233</v>
      </c>
      <c r="B2234" s="62" t="n">
        <f aca="false">IF(ISNUMBER($AB2234),$AB2234,IF(MID($AB2234,5,1)="-",DATE(VALUE(LEFT($AB2234,4)),VALUE(MID($AB2234,6,2)),VALUE(RIGHT($AB2234,2))),DATE(VALUE(RIGHT($AB2234,4)),VALUE(MID($AB2234,4,2)),VALUE(LEFT($AB2234,2)))))</f>
        <v>45987</v>
      </c>
      <c r="C2234" s="61" t="n">
        <f aca="false">YEAR($B2234)</f>
        <v>2025</v>
      </c>
      <c r="D2234" s="61" t="str">
        <f aca="false">"Q"&amp;ROUNDUP(MONTH($B2234)/3,0)</f>
        <v>Q4</v>
      </c>
      <c r="E2234" s="61" t="n">
        <f aca="false">MONTH($B2234)</f>
        <v>11</v>
      </c>
      <c r="F2234" s="61" t="str">
        <f aca="false">INDEX(Parametros!$I$5:$I$16,$E2234)</f>
        <v>Nov</v>
      </c>
      <c r="G2234" s="61" t="str">
        <f aca="false">TEXT($C2234,"0000")&amp;"-"&amp;TEXT($E2234,"00")</f>
        <v>2025-11</v>
      </c>
      <c r="H2234" s="61" t="str">
        <f aca="false">INDEX(Parametros!$C$71:$C$91,MATCH(TRIM(INDEX(Datos_Origen!$C$2:$C$2459,$Z2234)),Parametros!$B$71:$B$91,0))</f>
        <v>Centro</v>
      </c>
      <c r="I2234" s="61" t="str">
        <f aca="false">IF(TRIM($AD2234)="",INDEX(Parametros!$I$20:$I$24,MATCH($H2234,Parametros!$H$20:$H$24,0)),TRIM($AD2234))</f>
        <v>Cordoba</v>
      </c>
      <c r="J2234" s="61" t="str">
        <f aca="false">INDEX(Parametros!$C$95:$C$106,MATCH(TRIM(INDEX(Datos_Origen!$E$2:$E$2459,$Z2234)),Parametros!$B$95:$B$106,0))</f>
        <v>Tienda fisica</v>
      </c>
      <c r="K2234" s="61" t="str">
        <f aca="false">INDEX(Parametros!$C$48:$C$67,MATCH(TRIM(INDEX(Datos_Origen!$F$2:$F$2459,$Z2234)),Parametros!$B$48:$B$67,0))</f>
        <v>Audio</v>
      </c>
      <c r="L2234" s="61" t="str">
        <f aca="false">$K2234&amp;" "&amp;$C2234</f>
        <v>Audio 2025</v>
      </c>
      <c r="M2234" s="61" t="str">
        <f aca="false">TRIM(INDEX(Datos_Origen!$G$2:$G$2459,$Z2234))</f>
        <v>Auriculares BT Pro</v>
      </c>
      <c r="N2234" s="61" t="str">
        <f aca="false">$M2234&amp;" "&amp;$C2234</f>
        <v>Auriculares BT Pro 2025</v>
      </c>
      <c r="O2234" s="63" t="n">
        <f aca="false">IF(ISTEXT($AC2234),VALUE($AC2234),$AC2234)</f>
        <v>27</v>
      </c>
      <c r="P2234" s="64" t="n">
        <f aca="false">INDEX(Datos_Origen!$I$2:$I$2459,$Z2234)</f>
        <v>120.47</v>
      </c>
      <c r="Q2234" s="64" t="n">
        <f aca="false">INDEX(Datos_Origen!$J$2:$J$2459,$Z2234)</f>
        <v>65.51</v>
      </c>
      <c r="R2234" s="65" t="n">
        <f aca="false">ROUND($O2234*$P2234,2)</f>
        <v>3252.69</v>
      </c>
      <c r="S2234" s="65" t="n">
        <f aca="false">ROUND($O2234*$Q2234,2)</f>
        <v>1768.77</v>
      </c>
      <c r="T2234" s="65" t="n">
        <f aca="false">ROUND($R2234*SUMIFS(Parametros!$E$28:$E$43,Parametros!$B$28:$B$43,$J2234,Parametros!$C$28:$C$43,$C2234,Parametros!$D$28:$D$43,$D2234),2)</f>
        <v>42.28</v>
      </c>
      <c r="U2234" s="65" t="n">
        <f aca="false">$R2234-$S2234-$T2234</f>
        <v>1441.64</v>
      </c>
      <c r="V2234" s="66" t="n">
        <f aca="false">IFERROR($U2234/$R2234,0)</f>
        <v>0.443214693069429</v>
      </c>
      <c r="W2234" s="67" t="str">
        <f aca="false">IF(AND($V2234&gt;=Parametros!$C$8,$R2234&gt;=Parametros!$C$12),"Alta rentabilidad",IF(OR($V2234&lt;Parametros!$C$11,$R2234&lt;Parametros!$C$13),"Revisar","Estandar"))</f>
        <v>Alta rentabilidad</v>
      </c>
      <c r="X2234" s="67" t="str">
        <f aca="false">IF(AND($J2234="E-commerce",IFERROR($T2234/$R2234,0)&gt;Parametros!$C$14),"Alerta","OK")</f>
        <v>OK</v>
      </c>
      <c r="Y2234" s="61" t="str">
        <f aca="false">IF($R2234&gt;=Parametros!$C$12,"Alto",IF($R2234&lt;Parametros!$C$13,"Bajo","Medio"))</f>
        <v>Alto</v>
      </c>
      <c r="Z2234" s="61" t="n">
        <v>1132</v>
      </c>
      <c r="AA2234" s="61" t="str">
        <f aca="false">IF(MATCH($A2234,Datos_Origen!$A$2:$A$2459,0)=$Z2234,"OK","REVISAR")</f>
        <v>OK</v>
      </c>
      <c r="AB2234" s="62" t="n">
        <f aca="false">INDEX(Datos_Origen!$B$2:$B$2459,$Z2234)</f>
        <v>45987</v>
      </c>
      <c r="AC2234" s="61" t="n">
        <f aca="false">INDEX(Datos_Origen!$H$2:$H$2459,$Z2234)</f>
        <v>27</v>
      </c>
      <c r="AD2234" s="61" t="str">
        <f aca="false">INDEX(Datos_Origen!$D$2:$D$2459,$Z2234)&amp;""</f>
        <v/>
      </c>
    </row>
    <row r="2235" customFormat="false" ht="15" hidden="false" customHeight="false" outlineLevel="0" collapsed="false">
      <c r="A2235" s="61" t="n">
        <f aca="false">INDEX(Datos_Origen!$A$2:$A$2459,$Z2235)</f>
        <v>2234</v>
      </c>
      <c r="B2235" s="62" t="n">
        <f aca="false">IF(ISNUMBER($AB2235),$AB2235,IF(MID($AB2235,5,1)="-",DATE(VALUE(LEFT($AB2235,4)),VALUE(MID($AB2235,6,2)),VALUE(RIGHT($AB2235,2))),DATE(VALUE(RIGHT($AB2235,4)),VALUE(MID($AB2235,4,2)),VALUE(LEFT($AB2235,2)))))</f>
        <v>45967</v>
      </c>
      <c r="C2235" s="61" t="n">
        <f aca="false">YEAR($B2235)</f>
        <v>2025</v>
      </c>
      <c r="D2235" s="61" t="str">
        <f aca="false">"Q"&amp;ROUNDUP(MONTH($B2235)/3,0)</f>
        <v>Q4</v>
      </c>
      <c r="E2235" s="61" t="n">
        <f aca="false">MONTH($B2235)</f>
        <v>11</v>
      </c>
      <c r="F2235" s="61" t="str">
        <f aca="false">INDEX(Parametros!$I$5:$I$16,$E2235)</f>
        <v>Nov</v>
      </c>
      <c r="G2235" s="61" t="str">
        <f aca="false">TEXT($C2235,"0000")&amp;"-"&amp;TEXT($E2235,"00")</f>
        <v>2025-11</v>
      </c>
      <c r="H2235" s="61" t="str">
        <f aca="false">INDEX(Parametros!$C$71:$C$91,MATCH(TRIM(INDEX(Datos_Origen!$C$2:$C$2459,$Z2235)),Parametros!$B$71:$B$91,0))</f>
        <v>Centro</v>
      </c>
      <c r="I2235" s="61" t="str">
        <f aca="false">IF(TRIM($AD2235)="",INDEX(Parametros!$I$20:$I$24,MATCH($H2235,Parametros!$H$20:$H$24,0)),TRIM($AD2235))</f>
        <v>Cordoba</v>
      </c>
      <c r="J2235" s="61" t="str">
        <f aca="false">INDEX(Parametros!$C$95:$C$106,MATCH(TRIM(INDEX(Datos_Origen!$E$2:$E$2459,$Z2235)),Parametros!$B$95:$B$106,0))</f>
        <v>E-commerce</v>
      </c>
      <c r="K2235" s="61" t="str">
        <f aca="false">INDEX(Parametros!$C$48:$C$67,MATCH(TRIM(INDEX(Datos_Origen!$F$2:$F$2459,$Z2235)),Parametros!$B$48:$B$67,0))</f>
        <v>Audio</v>
      </c>
      <c r="L2235" s="61" t="str">
        <f aca="false">$K2235&amp;" "&amp;$C2235</f>
        <v>Audio 2025</v>
      </c>
      <c r="M2235" s="61" t="str">
        <f aca="false">TRIM(INDEX(Datos_Origen!$G$2:$G$2459,$Z2235))</f>
        <v>Auriculares BT Pro</v>
      </c>
      <c r="N2235" s="61" t="str">
        <f aca="false">$M2235&amp;" "&amp;$C2235</f>
        <v>Auriculares BT Pro 2025</v>
      </c>
      <c r="O2235" s="63" t="n">
        <f aca="false">IF(ISTEXT($AC2235),VALUE($AC2235),$AC2235)</f>
        <v>19</v>
      </c>
      <c r="P2235" s="64" t="n">
        <f aca="false">INDEX(Datos_Origen!$I$2:$I$2459,$Z2235)</f>
        <v>120.47</v>
      </c>
      <c r="Q2235" s="64" t="n">
        <f aca="false">INDEX(Datos_Origen!$J$2:$J$2459,$Z2235)</f>
        <v>65.51</v>
      </c>
      <c r="R2235" s="65" t="n">
        <f aca="false">ROUND($O2235*$P2235,2)</f>
        <v>2288.93</v>
      </c>
      <c r="S2235" s="65" t="n">
        <f aca="false">ROUND($O2235*$Q2235,2)</f>
        <v>1244.69</v>
      </c>
      <c r="T2235" s="65" t="n">
        <f aca="false">ROUND($R2235*SUMIFS(Parametros!$E$28:$E$43,Parametros!$B$28:$B$43,$J2235,Parametros!$C$28:$C$43,$C2235,Parametros!$D$28:$D$43,$D2235),2)</f>
        <v>119.02</v>
      </c>
      <c r="U2235" s="65" t="n">
        <f aca="false">$R2235-$S2235-$T2235</f>
        <v>925.22</v>
      </c>
      <c r="V2235" s="66" t="n">
        <f aca="false">IFERROR($U2235/$R2235,0)</f>
        <v>0.404215069923501</v>
      </c>
      <c r="W2235" s="67" t="str">
        <f aca="false">IF(AND($V2235&gt;=Parametros!$C$8,$R2235&gt;=Parametros!$C$12),"Alta rentabilidad",IF(OR($V2235&lt;Parametros!$C$11,$R2235&lt;Parametros!$C$13),"Revisar","Estandar"))</f>
        <v>Estandar</v>
      </c>
      <c r="X2235" s="67" t="str">
        <f aca="false">IF(AND($J2235="E-commerce",IFERROR($T2235/$R2235,0)&gt;Parametros!$C$14),"Alerta","OK")</f>
        <v>Alerta</v>
      </c>
      <c r="Y2235" s="61" t="str">
        <f aca="false">IF($R2235&gt;=Parametros!$C$12,"Alto",IF($R2235&lt;Parametros!$C$13,"Bajo","Medio"))</f>
        <v>Medio</v>
      </c>
      <c r="Z2235" s="61" t="n">
        <v>362</v>
      </c>
      <c r="AA2235" s="61" t="str">
        <f aca="false">IF(MATCH($A2235,Datos_Origen!$A$2:$A$2459,0)=$Z2235,"OK","REVISAR")</f>
        <v>OK</v>
      </c>
      <c r="AB2235" s="62" t="n">
        <f aca="false">INDEX(Datos_Origen!$B$2:$B$2459,$Z2235)</f>
        <v>45967</v>
      </c>
      <c r="AC2235" s="61" t="n">
        <f aca="false">INDEX(Datos_Origen!$H$2:$H$2459,$Z2235)</f>
        <v>19</v>
      </c>
      <c r="AD2235" s="61" t="str">
        <f aca="false">INDEX(Datos_Origen!$D$2:$D$2459,$Z2235)&amp;""</f>
        <v/>
      </c>
    </row>
    <row r="2236" customFormat="false" ht="15" hidden="false" customHeight="false" outlineLevel="0" collapsed="false">
      <c r="A2236" s="61" t="n">
        <f aca="false">INDEX(Datos_Origen!$A$2:$A$2459,$Z2236)</f>
        <v>2235</v>
      </c>
      <c r="B2236" s="62" t="n">
        <f aca="false">IF(ISNUMBER($AB2236),$AB2236,IF(MID($AB2236,5,1)="-",DATE(VALUE(LEFT($AB2236,4)),VALUE(MID($AB2236,6,2)),VALUE(RIGHT($AB2236,2))),DATE(VALUE(RIGHT($AB2236,4)),VALUE(MID($AB2236,4,2)),VALUE(LEFT($AB2236,2)))))</f>
        <v>45974</v>
      </c>
      <c r="C2236" s="61" t="n">
        <f aca="false">YEAR($B2236)</f>
        <v>2025</v>
      </c>
      <c r="D2236" s="61" t="str">
        <f aca="false">"Q"&amp;ROUNDUP(MONTH($B2236)/3,0)</f>
        <v>Q4</v>
      </c>
      <c r="E2236" s="61" t="n">
        <f aca="false">MONTH($B2236)</f>
        <v>11</v>
      </c>
      <c r="F2236" s="61" t="str">
        <f aca="false">INDEX(Parametros!$I$5:$I$16,$E2236)</f>
        <v>Nov</v>
      </c>
      <c r="G2236" s="61" t="str">
        <f aca="false">TEXT($C2236,"0000")&amp;"-"&amp;TEXT($E2236,"00")</f>
        <v>2025-11</v>
      </c>
      <c r="H2236" s="61" t="str">
        <f aca="false">INDEX(Parametros!$C$71:$C$91,MATCH(TRIM(INDEX(Datos_Origen!$C$2:$C$2459,$Z2236)),Parametros!$B$71:$B$91,0))</f>
        <v>Centro</v>
      </c>
      <c r="I2236" s="61" t="str">
        <f aca="false">IF(TRIM($AD2236)="",INDEX(Parametros!$I$20:$I$24,MATCH($H2236,Parametros!$H$20:$H$24,0)),TRIM($AD2236))</f>
        <v>Cordoba</v>
      </c>
      <c r="J2236" s="61" t="str">
        <f aca="false">INDEX(Parametros!$C$95:$C$106,MATCH(TRIM(INDEX(Datos_Origen!$E$2:$E$2459,$Z2236)),Parametros!$B$95:$B$106,0))</f>
        <v>Tienda fisica</v>
      </c>
      <c r="K2236" s="61" t="str">
        <f aca="false">INDEX(Parametros!$C$48:$C$67,MATCH(TRIM(INDEX(Datos_Origen!$F$2:$F$2459,$Z2236)),Parametros!$B$48:$B$67,0))</f>
        <v>Audio</v>
      </c>
      <c r="L2236" s="61" t="str">
        <f aca="false">$K2236&amp;" "&amp;$C2236</f>
        <v>Audio 2025</v>
      </c>
      <c r="M2236" s="61" t="str">
        <f aca="false">TRIM(INDEX(Datos_Origen!$G$2:$G$2459,$Z2236))</f>
        <v>Parlante Bluetooth</v>
      </c>
      <c r="N2236" s="61" t="str">
        <f aca="false">$M2236&amp;" "&amp;$C2236</f>
        <v>Parlante Bluetooth 2025</v>
      </c>
      <c r="O2236" s="63" t="n">
        <f aca="false">IF(ISTEXT($AC2236),VALUE($AC2236),$AC2236)</f>
        <v>27</v>
      </c>
      <c r="P2236" s="64" t="n">
        <f aca="false">INDEX(Datos_Origen!$I$2:$I$2459,$Z2236)</f>
        <v>85.34</v>
      </c>
      <c r="Q2236" s="64" t="n">
        <f aca="false">INDEX(Datos_Origen!$J$2:$J$2459,$Z2236)</f>
        <v>49.47</v>
      </c>
      <c r="R2236" s="65" t="n">
        <f aca="false">ROUND($O2236*$P2236,2)</f>
        <v>2304.18</v>
      </c>
      <c r="S2236" s="65" t="n">
        <f aca="false">ROUND($O2236*$Q2236,2)</f>
        <v>1335.69</v>
      </c>
      <c r="T2236" s="65" t="n">
        <f aca="false">ROUND($R2236*SUMIFS(Parametros!$E$28:$E$43,Parametros!$B$28:$B$43,$J2236,Parametros!$C$28:$C$43,$C2236,Parametros!$D$28:$D$43,$D2236),2)</f>
        <v>29.95</v>
      </c>
      <c r="U2236" s="65" t="n">
        <f aca="false">$R2236-$S2236-$T2236</f>
        <v>938.54</v>
      </c>
      <c r="V2236" s="66" t="n">
        <f aca="false">IFERROR($U2236/$R2236,0)</f>
        <v>0.407320608633006</v>
      </c>
      <c r="W2236" s="67" t="str">
        <f aca="false">IF(AND($V2236&gt;=Parametros!$C$8,$R2236&gt;=Parametros!$C$12),"Alta rentabilidad",IF(OR($V2236&lt;Parametros!$C$11,$R2236&lt;Parametros!$C$13),"Revisar","Estandar"))</f>
        <v>Estandar</v>
      </c>
      <c r="X2236" s="67" t="str">
        <f aca="false">IF(AND($J2236="E-commerce",IFERROR($T2236/$R2236,0)&gt;Parametros!$C$14),"Alerta","OK")</f>
        <v>OK</v>
      </c>
      <c r="Y2236" s="61" t="str">
        <f aca="false">IF($R2236&gt;=Parametros!$C$12,"Alto",IF($R2236&lt;Parametros!$C$13,"Bajo","Medio"))</f>
        <v>Medio</v>
      </c>
      <c r="Z2236" s="61" t="n">
        <v>2387</v>
      </c>
      <c r="AA2236" s="61" t="str">
        <f aca="false">IF(MATCH($A2236,Datos_Origen!$A$2:$A$2459,0)=$Z2236,"OK","REVISAR")</f>
        <v>OK</v>
      </c>
      <c r="AB2236" s="62" t="n">
        <f aca="false">INDEX(Datos_Origen!$B$2:$B$2459,$Z2236)</f>
        <v>45974</v>
      </c>
      <c r="AC2236" s="61" t="n">
        <f aca="false">INDEX(Datos_Origen!$H$2:$H$2459,$Z2236)</f>
        <v>27</v>
      </c>
      <c r="AD2236" s="61" t="str">
        <f aca="false">INDEX(Datos_Origen!$D$2:$D$2459,$Z2236)&amp;""</f>
        <v>Cordoba</v>
      </c>
    </row>
    <row r="2237" customFormat="false" ht="15" hidden="false" customHeight="false" outlineLevel="0" collapsed="false">
      <c r="A2237" s="61" t="n">
        <f aca="false">INDEX(Datos_Origen!$A$2:$A$2459,$Z2237)</f>
        <v>2236</v>
      </c>
      <c r="B2237" s="62" t="n">
        <f aca="false">IF(ISNUMBER($AB2237),$AB2237,IF(MID($AB2237,5,1)="-",DATE(VALUE(LEFT($AB2237,4)),VALUE(MID($AB2237,6,2)),VALUE(RIGHT($AB2237,2))),DATE(VALUE(RIGHT($AB2237,4)),VALUE(MID($AB2237,4,2)),VALUE(LEFT($AB2237,2)))))</f>
        <v>45981</v>
      </c>
      <c r="C2237" s="61" t="n">
        <f aca="false">YEAR($B2237)</f>
        <v>2025</v>
      </c>
      <c r="D2237" s="61" t="str">
        <f aca="false">"Q"&amp;ROUNDUP(MONTH($B2237)/3,0)</f>
        <v>Q4</v>
      </c>
      <c r="E2237" s="61" t="n">
        <f aca="false">MONTH($B2237)</f>
        <v>11</v>
      </c>
      <c r="F2237" s="61" t="str">
        <f aca="false">INDEX(Parametros!$I$5:$I$16,$E2237)</f>
        <v>Nov</v>
      </c>
      <c r="G2237" s="61" t="str">
        <f aca="false">TEXT($C2237,"0000")&amp;"-"&amp;TEXT($E2237,"00")</f>
        <v>2025-11</v>
      </c>
      <c r="H2237" s="61" t="str">
        <f aca="false">INDEX(Parametros!$C$71:$C$91,MATCH(TRIM(INDEX(Datos_Origen!$C$2:$C$2459,$Z2237)),Parametros!$B$71:$B$91,0))</f>
        <v>Centro</v>
      </c>
      <c r="I2237" s="61" t="str">
        <f aca="false">IF(TRIM($AD2237)="",INDEX(Parametros!$I$20:$I$24,MATCH($H2237,Parametros!$H$20:$H$24,0)),TRIM($AD2237))</f>
        <v>Cordoba</v>
      </c>
      <c r="J2237" s="61" t="str">
        <f aca="false">INDEX(Parametros!$C$95:$C$106,MATCH(TRIM(INDEX(Datos_Origen!$E$2:$E$2459,$Z2237)),Parametros!$B$95:$B$106,0))</f>
        <v>E-commerce</v>
      </c>
      <c r="K2237" s="61" t="str">
        <f aca="false">INDEX(Parametros!$C$48:$C$67,MATCH(TRIM(INDEX(Datos_Origen!$F$2:$F$2459,$Z2237)),Parametros!$B$48:$B$67,0))</f>
        <v>Audio</v>
      </c>
      <c r="L2237" s="61" t="str">
        <f aca="false">$K2237&amp;" "&amp;$C2237</f>
        <v>Audio 2025</v>
      </c>
      <c r="M2237" s="61" t="str">
        <f aca="false">TRIM(INDEX(Datos_Origen!$G$2:$G$2459,$Z2237))</f>
        <v>Parlante Bluetooth</v>
      </c>
      <c r="N2237" s="61" t="str">
        <f aca="false">$M2237&amp;" "&amp;$C2237</f>
        <v>Parlante Bluetooth 2025</v>
      </c>
      <c r="O2237" s="63" t="n">
        <f aca="false">IF(ISTEXT($AC2237),VALUE($AC2237),$AC2237)</f>
        <v>22</v>
      </c>
      <c r="P2237" s="64" t="n">
        <f aca="false">INDEX(Datos_Origen!$I$2:$I$2459,$Z2237)</f>
        <v>85.34</v>
      </c>
      <c r="Q2237" s="64" t="n">
        <f aca="false">INDEX(Datos_Origen!$J$2:$J$2459,$Z2237)</f>
        <v>49.47</v>
      </c>
      <c r="R2237" s="65" t="n">
        <f aca="false">ROUND($O2237*$P2237,2)</f>
        <v>1877.48</v>
      </c>
      <c r="S2237" s="65" t="n">
        <f aca="false">ROUND($O2237*$Q2237,2)</f>
        <v>1088.34</v>
      </c>
      <c r="T2237" s="65" t="n">
        <f aca="false">ROUND($R2237*SUMIFS(Parametros!$E$28:$E$43,Parametros!$B$28:$B$43,$J2237,Parametros!$C$28:$C$43,$C2237,Parametros!$D$28:$D$43,$D2237),2)</f>
        <v>97.63</v>
      </c>
      <c r="U2237" s="65" t="n">
        <f aca="false">$R2237-$S2237-$T2237</f>
        <v>691.51</v>
      </c>
      <c r="V2237" s="66" t="n">
        <f aca="false">IFERROR($U2237/$R2237,0)</f>
        <v>0.368318171165605</v>
      </c>
      <c r="W2237" s="67" t="str">
        <f aca="false">IF(AND($V2237&gt;=Parametros!$C$8,$R2237&gt;=Parametros!$C$12),"Alta rentabilidad",IF(OR($V2237&lt;Parametros!$C$11,$R2237&lt;Parametros!$C$13),"Revisar","Estandar"))</f>
        <v>Estandar</v>
      </c>
      <c r="X2237" s="67" t="str">
        <f aca="false">IF(AND($J2237="E-commerce",IFERROR($T2237/$R2237,0)&gt;Parametros!$C$14),"Alerta","OK")</f>
        <v>Alerta</v>
      </c>
      <c r="Y2237" s="61" t="str">
        <f aca="false">IF($R2237&gt;=Parametros!$C$12,"Alto",IF($R2237&lt;Parametros!$C$13,"Bajo","Medio"))</f>
        <v>Medio</v>
      </c>
      <c r="Z2237" s="61" t="n">
        <v>1780</v>
      </c>
      <c r="AA2237" s="61" t="str">
        <f aca="false">IF(MATCH($A2237,Datos_Origen!$A$2:$A$2459,0)=$Z2237,"OK","REVISAR")</f>
        <v>OK</v>
      </c>
      <c r="AB2237" s="62" t="n">
        <f aca="false">INDEX(Datos_Origen!$B$2:$B$2459,$Z2237)</f>
        <v>45981</v>
      </c>
      <c r="AC2237" s="61" t="n">
        <f aca="false">INDEX(Datos_Origen!$H$2:$H$2459,$Z2237)</f>
        <v>22</v>
      </c>
      <c r="AD2237" s="61" t="str">
        <f aca="false">INDEX(Datos_Origen!$D$2:$D$2459,$Z2237)&amp;""</f>
        <v>Cordoba</v>
      </c>
    </row>
    <row r="2238" customFormat="false" ht="15" hidden="false" customHeight="false" outlineLevel="0" collapsed="false">
      <c r="A2238" s="61" t="n">
        <f aca="false">INDEX(Datos_Origen!$A$2:$A$2459,$Z2238)</f>
        <v>2237</v>
      </c>
      <c r="B2238" s="62" t="n">
        <f aca="false">IF(ISNUMBER($AB2238),$AB2238,IF(MID($AB2238,5,1)="-",DATE(VALUE(LEFT($AB2238,4)),VALUE(MID($AB2238,6,2)),VALUE(RIGHT($AB2238,2))),DATE(VALUE(RIGHT($AB2238,4)),VALUE(MID($AB2238,4,2)),VALUE(LEFT($AB2238,2)))))</f>
        <v>45988</v>
      </c>
      <c r="C2238" s="61" t="n">
        <f aca="false">YEAR($B2238)</f>
        <v>2025</v>
      </c>
      <c r="D2238" s="61" t="str">
        <f aca="false">"Q"&amp;ROUNDUP(MONTH($B2238)/3,0)</f>
        <v>Q4</v>
      </c>
      <c r="E2238" s="61" t="n">
        <f aca="false">MONTH($B2238)</f>
        <v>11</v>
      </c>
      <c r="F2238" s="61" t="str">
        <f aca="false">INDEX(Parametros!$I$5:$I$16,$E2238)</f>
        <v>Nov</v>
      </c>
      <c r="G2238" s="61" t="str">
        <f aca="false">TEXT($C2238,"0000")&amp;"-"&amp;TEXT($E2238,"00")</f>
        <v>2025-11</v>
      </c>
      <c r="H2238" s="61" t="str">
        <f aca="false">INDEX(Parametros!$C$71:$C$91,MATCH(TRIM(INDEX(Datos_Origen!$C$2:$C$2459,$Z2238)),Parametros!$B$71:$B$91,0))</f>
        <v>Centro</v>
      </c>
      <c r="I2238" s="61" t="str">
        <f aca="false">IF(TRIM($AD2238)="",INDEX(Parametros!$I$20:$I$24,MATCH($H2238,Parametros!$H$20:$H$24,0)),TRIM($AD2238))</f>
        <v>Cordoba</v>
      </c>
      <c r="J2238" s="61" t="str">
        <f aca="false">INDEX(Parametros!$C$95:$C$106,MATCH(TRIM(INDEX(Datos_Origen!$E$2:$E$2459,$Z2238)),Parametros!$B$95:$B$106,0))</f>
        <v>Tienda fisica</v>
      </c>
      <c r="K2238" s="61" t="str">
        <f aca="false">INDEX(Parametros!$C$48:$C$67,MATCH(TRIM(INDEX(Datos_Origen!$F$2:$F$2459,$Z2238)),Parametros!$B$48:$B$67,0))</f>
        <v>Almacenamiento</v>
      </c>
      <c r="L2238" s="61" t="str">
        <f aca="false">$K2238&amp;" "&amp;$C2238</f>
        <v>Almacenamiento 2025</v>
      </c>
      <c r="M2238" s="61" t="str">
        <f aca="false">TRIM(INDEX(Datos_Origen!$G$2:$G$2459,$Z2238))</f>
        <v>SSD Externo 1TB</v>
      </c>
      <c r="N2238" s="61" t="str">
        <f aca="false">$M2238&amp;" "&amp;$C2238</f>
        <v>SSD Externo 1TB 2025</v>
      </c>
      <c r="O2238" s="63" t="n">
        <f aca="false">IF(ISTEXT($AC2238),VALUE($AC2238),$AC2238)</f>
        <v>41</v>
      </c>
      <c r="P2238" s="64" t="n">
        <f aca="false">INDEX(Datos_Origen!$I$2:$I$2459,$Z2238)</f>
        <v>130.51</v>
      </c>
      <c r="Q2238" s="64" t="n">
        <f aca="false">INDEX(Datos_Origen!$J$2:$J$2459,$Z2238)</f>
        <v>78.33</v>
      </c>
      <c r="R2238" s="65" t="n">
        <f aca="false">ROUND($O2238*$P2238,2)</f>
        <v>5350.91</v>
      </c>
      <c r="S2238" s="65" t="n">
        <f aca="false">ROUND($O2238*$Q2238,2)</f>
        <v>3211.53</v>
      </c>
      <c r="T2238" s="65" t="n">
        <f aca="false">ROUND($R2238*SUMIFS(Parametros!$E$28:$E$43,Parametros!$B$28:$B$43,$J2238,Parametros!$C$28:$C$43,$C2238,Parametros!$D$28:$D$43,$D2238),2)</f>
        <v>69.56</v>
      </c>
      <c r="U2238" s="65" t="n">
        <f aca="false">$R2238-$S2238-$T2238</f>
        <v>2069.82</v>
      </c>
      <c r="V2238" s="66" t="n">
        <f aca="false">IFERROR($U2238/$R2238,0)</f>
        <v>0.386816448043417</v>
      </c>
      <c r="W2238" s="67" t="str">
        <f aca="false">IF(AND($V2238&gt;=Parametros!$C$8,$R2238&gt;=Parametros!$C$12),"Alta rentabilidad",IF(OR($V2238&lt;Parametros!$C$11,$R2238&lt;Parametros!$C$13),"Revisar","Estandar"))</f>
        <v>Alta rentabilidad</v>
      </c>
      <c r="X2238" s="67" t="str">
        <f aca="false">IF(AND($J2238="E-commerce",IFERROR($T2238/$R2238,0)&gt;Parametros!$C$14),"Alerta","OK")</f>
        <v>OK</v>
      </c>
      <c r="Y2238" s="61" t="str">
        <f aca="false">IF($R2238&gt;=Parametros!$C$12,"Alto",IF($R2238&lt;Parametros!$C$13,"Bajo","Medio"))</f>
        <v>Alto</v>
      </c>
      <c r="Z2238" s="61" t="n">
        <v>1805</v>
      </c>
      <c r="AA2238" s="61" t="str">
        <f aca="false">IF(MATCH($A2238,Datos_Origen!$A$2:$A$2459,0)=$Z2238,"OK","REVISAR")</f>
        <v>OK</v>
      </c>
      <c r="AB2238" s="62" t="n">
        <f aca="false">INDEX(Datos_Origen!$B$2:$B$2459,$Z2238)</f>
        <v>45988</v>
      </c>
      <c r="AC2238" s="61" t="n">
        <f aca="false">INDEX(Datos_Origen!$H$2:$H$2459,$Z2238)</f>
        <v>41</v>
      </c>
      <c r="AD2238" s="61" t="str">
        <f aca="false">INDEX(Datos_Origen!$D$2:$D$2459,$Z2238)&amp;""</f>
        <v/>
      </c>
    </row>
    <row r="2239" customFormat="false" ht="15" hidden="false" customHeight="false" outlineLevel="0" collapsed="false">
      <c r="A2239" s="61" t="n">
        <f aca="false">INDEX(Datos_Origen!$A$2:$A$2459,$Z2239)</f>
        <v>2238</v>
      </c>
      <c r="B2239" s="62" t="n">
        <f aca="false">IF(ISNUMBER($AB2239),$AB2239,IF(MID($AB2239,5,1)="-",DATE(VALUE(LEFT($AB2239,4)),VALUE(MID($AB2239,6,2)),VALUE(RIGHT($AB2239,2))),DATE(VALUE(RIGHT($AB2239,4)),VALUE(MID($AB2239,4,2)),VALUE(LEFT($AB2239,2)))))</f>
        <v>45968</v>
      </c>
      <c r="C2239" s="61" t="n">
        <f aca="false">YEAR($B2239)</f>
        <v>2025</v>
      </c>
      <c r="D2239" s="61" t="str">
        <f aca="false">"Q"&amp;ROUNDUP(MONTH($B2239)/3,0)</f>
        <v>Q4</v>
      </c>
      <c r="E2239" s="61" t="n">
        <f aca="false">MONTH($B2239)</f>
        <v>11</v>
      </c>
      <c r="F2239" s="61" t="str">
        <f aca="false">INDEX(Parametros!$I$5:$I$16,$E2239)</f>
        <v>Nov</v>
      </c>
      <c r="G2239" s="61" t="str">
        <f aca="false">TEXT($C2239,"0000")&amp;"-"&amp;TEXT($E2239,"00")</f>
        <v>2025-11</v>
      </c>
      <c r="H2239" s="61" t="str">
        <f aca="false">INDEX(Parametros!$C$71:$C$91,MATCH(TRIM(INDEX(Datos_Origen!$C$2:$C$2459,$Z2239)),Parametros!$B$71:$B$91,0))</f>
        <v>Centro</v>
      </c>
      <c r="I2239" s="61" t="str">
        <f aca="false">IF(TRIM($AD2239)="",INDEX(Parametros!$I$20:$I$24,MATCH($H2239,Parametros!$H$20:$H$24,0)),TRIM($AD2239))</f>
        <v>Cordoba</v>
      </c>
      <c r="J2239" s="61" t="str">
        <f aca="false">INDEX(Parametros!$C$95:$C$106,MATCH(TRIM(INDEX(Datos_Origen!$E$2:$E$2459,$Z2239)),Parametros!$B$95:$B$106,0))</f>
        <v>E-commerce</v>
      </c>
      <c r="K2239" s="61" t="str">
        <f aca="false">INDEX(Parametros!$C$48:$C$67,MATCH(TRIM(INDEX(Datos_Origen!$F$2:$F$2459,$Z2239)),Parametros!$B$48:$B$67,0))</f>
        <v>Almacenamiento</v>
      </c>
      <c r="L2239" s="61" t="str">
        <f aca="false">$K2239&amp;" "&amp;$C2239</f>
        <v>Almacenamiento 2025</v>
      </c>
      <c r="M2239" s="61" t="str">
        <f aca="false">TRIM(INDEX(Datos_Origen!$G$2:$G$2459,$Z2239))</f>
        <v>SSD Externo 1TB</v>
      </c>
      <c r="N2239" s="61" t="str">
        <f aca="false">$M2239&amp;" "&amp;$C2239</f>
        <v>SSD Externo 1TB 2025</v>
      </c>
      <c r="O2239" s="63" t="n">
        <f aca="false">IF(ISTEXT($AC2239),VALUE($AC2239),$AC2239)</f>
        <v>30</v>
      </c>
      <c r="P2239" s="64" t="n">
        <f aca="false">INDEX(Datos_Origen!$I$2:$I$2459,$Z2239)</f>
        <v>130.51</v>
      </c>
      <c r="Q2239" s="64" t="n">
        <f aca="false">INDEX(Datos_Origen!$J$2:$J$2459,$Z2239)</f>
        <v>78.33</v>
      </c>
      <c r="R2239" s="65" t="n">
        <f aca="false">ROUND($O2239*$P2239,2)</f>
        <v>3915.3</v>
      </c>
      <c r="S2239" s="65" t="n">
        <f aca="false">ROUND($O2239*$Q2239,2)</f>
        <v>2349.9</v>
      </c>
      <c r="T2239" s="65" t="n">
        <f aca="false">ROUND($R2239*SUMIFS(Parametros!$E$28:$E$43,Parametros!$B$28:$B$43,$J2239,Parametros!$C$28:$C$43,$C2239,Parametros!$D$28:$D$43,$D2239),2)</f>
        <v>203.6</v>
      </c>
      <c r="U2239" s="65" t="n">
        <f aca="false">$R2239-$S2239-$T2239</f>
        <v>1361.8</v>
      </c>
      <c r="V2239" s="66" t="n">
        <f aca="false">IFERROR($U2239/$R2239,0)</f>
        <v>0.347814982249125</v>
      </c>
      <c r="W2239" s="67" t="str">
        <f aca="false">IF(AND($V2239&gt;=Parametros!$C$8,$R2239&gt;=Parametros!$C$12),"Alta rentabilidad",IF(OR($V2239&lt;Parametros!$C$11,$R2239&lt;Parametros!$C$13),"Revisar","Estandar"))</f>
        <v>Alta rentabilidad</v>
      </c>
      <c r="X2239" s="67" t="str">
        <f aca="false">IF(AND($J2239="E-commerce",IFERROR($T2239/$R2239,0)&gt;Parametros!$C$14),"Alerta","OK")</f>
        <v>Alerta</v>
      </c>
      <c r="Y2239" s="61" t="str">
        <f aca="false">IF($R2239&gt;=Parametros!$C$12,"Alto",IF($R2239&lt;Parametros!$C$13,"Bajo","Medio"))</f>
        <v>Alto</v>
      </c>
      <c r="Z2239" s="61" t="n">
        <v>862</v>
      </c>
      <c r="AA2239" s="61" t="str">
        <f aca="false">IF(MATCH($A2239,Datos_Origen!$A$2:$A$2459,0)=$Z2239,"OK","REVISAR")</f>
        <v>OK</v>
      </c>
      <c r="AB2239" s="61" t="str">
        <f aca="false">INDEX(Datos_Origen!$B$2:$B$2459,$Z2239)</f>
        <v>2025-11-07</v>
      </c>
      <c r="AC2239" s="61" t="n">
        <f aca="false">INDEX(Datos_Origen!$H$2:$H$2459,$Z2239)</f>
        <v>30</v>
      </c>
      <c r="AD2239" s="61" t="str">
        <f aca="false">INDEX(Datos_Origen!$D$2:$D$2459,$Z2239)&amp;""</f>
        <v>Cordoba</v>
      </c>
    </row>
    <row r="2240" customFormat="false" ht="15" hidden="false" customHeight="false" outlineLevel="0" collapsed="false">
      <c r="A2240" s="61" t="n">
        <f aca="false">INDEX(Datos_Origen!$A$2:$A$2459,$Z2240)</f>
        <v>2239</v>
      </c>
      <c r="B2240" s="62" t="n">
        <f aca="false">IF(ISNUMBER($AB2240),$AB2240,IF(MID($AB2240,5,1)="-",DATE(VALUE(LEFT($AB2240,4)),VALUE(MID($AB2240,6,2)),VALUE(RIGHT($AB2240,2))),DATE(VALUE(RIGHT($AB2240,4)),VALUE(MID($AB2240,4,2)),VALUE(LEFT($AB2240,2)))))</f>
        <v>45975</v>
      </c>
      <c r="C2240" s="61" t="n">
        <f aca="false">YEAR($B2240)</f>
        <v>2025</v>
      </c>
      <c r="D2240" s="61" t="str">
        <f aca="false">"Q"&amp;ROUNDUP(MONTH($B2240)/3,0)</f>
        <v>Q4</v>
      </c>
      <c r="E2240" s="61" t="n">
        <f aca="false">MONTH($B2240)</f>
        <v>11</v>
      </c>
      <c r="F2240" s="61" t="str">
        <f aca="false">INDEX(Parametros!$I$5:$I$16,$E2240)</f>
        <v>Nov</v>
      </c>
      <c r="G2240" s="61" t="str">
        <f aca="false">TEXT($C2240,"0000")&amp;"-"&amp;TEXT($E2240,"00")</f>
        <v>2025-11</v>
      </c>
      <c r="H2240" s="61" t="str">
        <f aca="false">INDEX(Parametros!$C$71:$C$91,MATCH(TRIM(INDEX(Datos_Origen!$C$2:$C$2459,$Z2240)),Parametros!$B$71:$B$91,0))</f>
        <v>Centro</v>
      </c>
      <c r="I2240" s="61" t="str">
        <f aca="false">IF(TRIM($AD2240)="",INDEX(Parametros!$I$20:$I$24,MATCH($H2240,Parametros!$H$20:$H$24,0)),TRIM($AD2240))</f>
        <v>Cordoba</v>
      </c>
      <c r="J2240" s="61" t="str">
        <f aca="false">INDEX(Parametros!$C$95:$C$106,MATCH(TRIM(INDEX(Datos_Origen!$E$2:$E$2459,$Z2240)),Parametros!$B$95:$B$106,0))</f>
        <v>Tienda fisica</v>
      </c>
      <c r="K2240" s="61" t="str">
        <f aca="false">INDEX(Parametros!$C$48:$C$67,MATCH(TRIM(INDEX(Datos_Origen!$F$2:$F$2459,$Z2240)),Parametros!$B$48:$B$67,0))</f>
        <v>Almacenamiento</v>
      </c>
      <c r="L2240" s="61" t="str">
        <f aca="false">$K2240&amp;" "&amp;$C2240</f>
        <v>Almacenamiento 2025</v>
      </c>
      <c r="M2240" s="61" t="str">
        <f aca="false">TRIM(INDEX(Datos_Origen!$G$2:$G$2459,$Z2240))</f>
        <v>Pendrive 256GB</v>
      </c>
      <c r="N2240" s="61" t="str">
        <f aca="false">$M2240&amp;" "&amp;$C2240</f>
        <v>Pendrive 256GB 2025</v>
      </c>
      <c r="O2240" s="63" t="n">
        <f aca="false">IF(ISTEXT($AC2240),VALUE($AC2240),$AC2240)</f>
        <v>36</v>
      </c>
      <c r="P2240" s="64" t="n">
        <f aca="false">INDEX(Datos_Origen!$I$2:$I$2459,$Z2240)</f>
        <v>35.14</v>
      </c>
      <c r="Q2240" s="64" t="n">
        <f aca="false">INDEX(Datos_Origen!$J$2:$J$2459,$Z2240)</f>
        <v>18.39</v>
      </c>
      <c r="R2240" s="65" t="n">
        <f aca="false">ROUND($O2240*$P2240,2)</f>
        <v>1265.04</v>
      </c>
      <c r="S2240" s="65" t="n">
        <f aca="false">ROUND($O2240*$Q2240,2)</f>
        <v>662.04</v>
      </c>
      <c r="T2240" s="65" t="n">
        <f aca="false">ROUND($R2240*SUMIFS(Parametros!$E$28:$E$43,Parametros!$B$28:$B$43,$J2240,Parametros!$C$28:$C$43,$C2240,Parametros!$D$28:$D$43,$D2240),2)</f>
        <v>16.45</v>
      </c>
      <c r="U2240" s="65" t="n">
        <f aca="false">$R2240-$S2240-$T2240</f>
        <v>586.55</v>
      </c>
      <c r="V2240" s="66" t="n">
        <f aca="false">IFERROR($U2240/$R2240,0)</f>
        <v>0.463661228103459</v>
      </c>
      <c r="W2240" s="67" t="str">
        <f aca="false">IF(AND($V2240&gt;=Parametros!$C$8,$R2240&gt;=Parametros!$C$12),"Alta rentabilidad",IF(OR($V2240&lt;Parametros!$C$11,$R2240&lt;Parametros!$C$13),"Revisar","Estandar"))</f>
        <v>Estandar</v>
      </c>
      <c r="X2240" s="67" t="str">
        <f aca="false">IF(AND($J2240="E-commerce",IFERROR($T2240/$R2240,0)&gt;Parametros!$C$14),"Alerta","OK")</f>
        <v>OK</v>
      </c>
      <c r="Y2240" s="61" t="str">
        <f aca="false">IF($R2240&gt;=Parametros!$C$12,"Alto",IF($R2240&lt;Parametros!$C$13,"Bajo","Medio"))</f>
        <v>Medio</v>
      </c>
      <c r="Z2240" s="61" t="n">
        <v>974</v>
      </c>
      <c r="AA2240" s="61" t="str">
        <f aca="false">IF(MATCH($A2240,Datos_Origen!$A$2:$A$2459,0)=$Z2240,"OK","REVISAR")</f>
        <v>OK</v>
      </c>
      <c r="AB2240" s="61" t="str">
        <f aca="false">INDEX(Datos_Origen!$B$2:$B$2459,$Z2240)</f>
        <v>14/11/2025</v>
      </c>
      <c r="AC2240" s="61" t="str">
        <f aca="false">INDEX(Datos_Origen!$H$2:$H$2459,$Z2240)</f>
        <v>36</v>
      </c>
      <c r="AD2240" s="61" t="str">
        <f aca="false">INDEX(Datos_Origen!$D$2:$D$2459,$Z2240)&amp;""</f>
        <v>Cordoba</v>
      </c>
    </row>
    <row r="2241" customFormat="false" ht="15" hidden="false" customHeight="false" outlineLevel="0" collapsed="false">
      <c r="A2241" s="61" t="n">
        <f aca="false">INDEX(Datos_Origen!$A$2:$A$2459,$Z2241)</f>
        <v>2240</v>
      </c>
      <c r="B2241" s="62" t="n">
        <f aca="false">IF(ISNUMBER($AB2241),$AB2241,IF(MID($AB2241,5,1)="-",DATE(VALUE(LEFT($AB2241,4)),VALUE(MID($AB2241,6,2)),VALUE(RIGHT($AB2241,2))),DATE(VALUE(RIGHT($AB2241,4)),VALUE(MID($AB2241,4,2)),VALUE(LEFT($AB2241,2)))))</f>
        <v>45982</v>
      </c>
      <c r="C2241" s="61" t="n">
        <f aca="false">YEAR($B2241)</f>
        <v>2025</v>
      </c>
      <c r="D2241" s="61" t="str">
        <f aca="false">"Q"&amp;ROUNDUP(MONTH($B2241)/3,0)</f>
        <v>Q4</v>
      </c>
      <c r="E2241" s="61" t="n">
        <f aca="false">MONTH($B2241)</f>
        <v>11</v>
      </c>
      <c r="F2241" s="61" t="str">
        <f aca="false">INDEX(Parametros!$I$5:$I$16,$E2241)</f>
        <v>Nov</v>
      </c>
      <c r="G2241" s="61" t="str">
        <f aca="false">TEXT($C2241,"0000")&amp;"-"&amp;TEXT($E2241,"00")</f>
        <v>2025-11</v>
      </c>
      <c r="H2241" s="61" t="str">
        <f aca="false">INDEX(Parametros!$C$71:$C$91,MATCH(TRIM(INDEX(Datos_Origen!$C$2:$C$2459,$Z2241)),Parametros!$B$71:$B$91,0))</f>
        <v>Centro</v>
      </c>
      <c r="I2241" s="61" t="str">
        <f aca="false">IF(TRIM($AD2241)="",INDEX(Parametros!$I$20:$I$24,MATCH($H2241,Parametros!$H$20:$H$24,0)),TRIM($AD2241))</f>
        <v>Cordoba</v>
      </c>
      <c r="J2241" s="61" t="str">
        <f aca="false">INDEX(Parametros!$C$95:$C$106,MATCH(TRIM(INDEX(Datos_Origen!$E$2:$E$2459,$Z2241)),Parametros!$B$95:$B$106,0))</f>
        <v>E-commerce</v>
      </c>
      <c r="K2241" s="61" t="str">
        <f aca="false">INDEX(Parametros!$C$48:$C$67,MATCH(TRIM(INDEX(Datos_Origen!$F$2:$F$2459,$Z2241)),Parametros!$B$48:$B$67,0))</f>
        <v>Almacenamiento</v>
      </c>
      <c r="L2241" s="61" t="str">
        <f aca="false">$K2241&amp;" "&amp;$C2241</f>
        <v>Almacenamiento 2025</v>
      </c>
      <c r="M2241" s="61" t="str">
        <f aca="false">TRIM(INDEX(Datos_Origen!$G$2:$G$2459,$Z2241))</f>
        <v>Pendrive 256GB</v>
      </c>
      <c r="N2241" s="61" t="str">
        <f aca="false">$M2241&amp;" "&amp;$C2241</f>
        <v>Pendrive 256GB 2025</v>
      </c>
      <c r="O2241" s="63" t="n">
        <f aca="false">IF(ISTEXT($AC2241),VALUE($AC2241),$AC2241)</f>
        <v>24</v>
      </c>
      <c r="P2241" s="64" t="n">
        <f aca="false">INDEX(Datos_Origen!$I$2:$I$2459,$Z2241)</f>
        <v>35.14</v>
      </c>
      <c r="Q2241" s="64" t="n">
        <f aca="false">INDEX(Datos_Origen!$J$2:$J$2459,$Z2241)</f>
        <v>18.39</v>
      </c>
      <c r="R2241" s="65" t="n">
        <f aca="false">ROUND($O2241*$P2241,2)</f>
        <v>843.36</v>
      </c>
      <c r="S2241" s="65" t="n">
        <f aca="false">ROUND($O2241*$Q2241,2)</f>
        <v>441.36</v>
      </c>
      <c r="T2241" s="65" t="n">
        <f aca="false">ROUND($R2241*SUMIFS(Parametros!$E$28:$E$43,Parametros!$B$28:$B$43,$J2241,Parametros!$C$28:$C$43,$C2241,Parametros!$D$28:$D$43,$D2241),2)</f>
        <v>43.85</v>
      </c>
      <c r="U2241" s="65" t="n">
        <f aca="false">$R2241-$S2241-$T2241</f>
        <v>358.15</v>
      </c>
      <c r="V2241" s="66" t="n">
        <f aca="false">IFERROR($U2241/$R2241,0)</f>
        <v>0.42467036615443</v>
      </c>
      <c r="W2241" s="67" t="str">
        <f aca="false">IF(AND($V2241&gt;=Parametros!$C$8,$R2241&gt;=Parametros!$C$12),"Alta rentabilidad",IF(OR($V2241&lt;Parametros!$C$11,$R2241&lt;Parametros!$C$13),"Revisar","Estandar"))</f>
        <v>Estandar</v>
      </c>
      <c r="X2241" s="67" t="str">
        <f aca="false">IF(AND($J2241="E-commerce",IFERROR($T2241/$R2241,0)&gt;Parametros!$C$14),"Alerta","OK")</f>
        <v>Alerta</v>
      </c>
      <c r="Y2241" s="61" t="str">
        <f aca="false">IF($R2241&gt;=Parametros!$C$12,"Alto",IF($R2241&lt;Parametros!$C$13,"Bajo","Medio"))</f>
        <v>Medio</v>
      </c>
      <c r="Z2241" s="61" t="n">
        <v>2354</v>
      </c>
      <c r="AA2241" s="61" t="str">
        <f aca="false">IF(MATCH($A2241,Datos_Origen!$A$2:$A$2459,0)=$Z2241,"OK","REVISAR")</f>
        <v>OK</v>
      </c>
      <c r="AB2241" s="62" t="n">
        <f aca="false">INDEX(Datos_Origen!$B$2:$B$2459,$Z2241)</f>
        <v>45982</v>
      </c>
      <c r="AC2241" s="61" t="n">
        <f aca="false">INDEX(Datos_Origen!$H$2:$H$2459,$Z2241)</f>
        <v>24</v>
      </c>
      <c r="AD2241" s="61" t="str">
        <f aca="false">INDEX(Datos_Origen!$D$2:$D$2459,$Z2241)&amp;""</f>
        <v>Cordoba</v>
      </c>
    </row>
    <row r="2242" customFormat="false" ht="15" hidden="false" customHeight="false" outlineLevel="0" collapsed="false">
      <c r="A2242" s="61" t="n">
        <f aca="false">INDEX(Datos_Origen!$A$2:$A$2459,$Z2242)</f>
        <v>2241</v>
      </c>
      <c r="B2242" s="62" t="n">
        <f aca="false">IF(ISNUMBER($AB2242),$AB2242,IF(MID($AB2242,5,1)="-",DATE(VALUE(LEFT($AB2242,4)),VALUE(MID($AB2242,6,2)),VALUE(RIGHT($AB2242,2))),DATE(VALUE(RIGHT($AB2242,4)),VALUE(MID($AB2242,4,2)),VALUE(LEFT($AB2242,2)))))</f>
        <v>45962</v>
      </c>
      <c r="C2242" s="61" t="n">
        <f aca="false">YEAR($B2242)</f>
        <v>2025</v>
      </c>
      <c r="D2242" s="61" t="str">
        <f aca="false">"Q"&amp;ROUNDUP(MONTH($B2242)/3,0)</f>
        <v>Q4</v>
      </c>
      <c r="E2242" s="61" t="n">
        <f aca="false">MONTH($B2242)</f>
        <v>11</v>
      </c>
      <c r="F2242" s="61" t="str">
        <f aca="false">INDEX(Parametros!$I$5:$I$16,$E2242)</f>
        <v>Nov</v>
      </c>
      <c r="G2242" s="61" t="str">
        <f aca="false">TEXT($C2242,"0000")&amp;"-"&amp;TEXT($E2242,"00")</f>
        <v>2025-11</v>
      </c>
      <c r="H2242" s="61" t="str">
        <f aca="false">INDEX(Parametros!$C$71:$C$91,MATCH(TRIM(INDEX(Datos_Origen!$C$2:$C$2459,$Z2242)),Parametros!$B$71:$B$91,0))</f>
        <v>Litoral</v>
      </c>
      <c r="I2242" s="61" t="str">
        <f aca="false">IF(TRIM($AD2242)="",INDEX(Parametros!$I$20:$I$24,MATCH($H2242,Parametros!$H$20:$H$24,0)),TRIM($AD2242))</f>
        <v>Rosario</v>
      </c>
      <c r="J2242" s="61" t="str">
        <f aca="false">INDEX(Parametros!$C$95:$C$106,MATCH(TRIM(INDEX(Datos_Origen!$E$2:$E$2459,$Z2242)),Parametros!$B$95:$B$106,0))</f>
        <v>Tienda fisica</v>
      </c>
      <c r="K2242" s="61" t="str">
        <f aca="false">INDEX(Parametros!$C$48:$C$67,MATCH(TRIM(INDEX(Datos_Origen!$F$2:$F$2459,$Z2242)),Parametros!$B$48:$B$67,0))</f>
        <v>Computacion</v>
      </c>
      <c r="L2242" s="61" t="str">
        <f aca="false">$K2242&amp;" "&amp;$C2242</f>
        <v>Computacion 2025</v>
      </c>
      <c r="M2242" s="61" t="str">
        <f aca="false">TRIM(INDEX(Datos_Origen!$G$2:$G$2459,$Z2242))</f>
        <v>Laptop Pro 15</v>
      </c>
      <c r="N2242" s="61" t="str">
        <f aca="false">$M2242&amp;" "&amp;$C2242</f>
        <v>Laptop Pro 15 2025</v>
      </c>
      <c r="O2242" s="63" t="n">
        <f aca="false">IF(ISTEXT($AC2242),VALUE($AC2242),$AC2242)</f>
        <v>9</v>
      </c>
      <c r="P2242" s="64" t="n">
        <f aca="false">INDEX(Datos_Origen!$I$2:$I$2459,$Z2242)</f>
        <v>1204.74</v>
      </c>
      <c r="Q2242" s="64" t="n">
        <f aca="false">INDEX(Datos_Origen!$J$2:$J$2459,$Z2242)</f>
        <v>766.32</v>
      </c>
      <c r="R2242" s="65" t="n">
        <f aca="false">ROUND($O2242*$P2242,2)</f>
        <v>10842.66</v>
      </c>
      <c r="S2242" s="65" t="n">
        <f aca="false">ROUND($O2242*$Q2242,2)</f>
        <v>6896.88</v>
      </c>
      <c r="T2242" s="65" t="n">
        <f aca="false">ROUND($R2242*SUMIFS(Parametros!$E$28:$E$43,Parametros!$B$28:$B$43,$J2242,Parametros!$C$28:$C$43,$C2242,Parametros!$D$28:$D$43,$D2242),2)</f>
        <v>140.95</v>
      </c>
      <c r="U2242" s="65" t="n">
        <f aca="false">$R2242-$S2242-$T2242</f>
        <v>3804.83</v>
      </c>
      <c r="V2242" s="66" t="n">
        <f aca="false">IFERROR($U2242/$R2242,0)</f>
        <v>0.350912967851062</v>
      </c>
      <c r="W2242" s="67" t="str">
        <f aca="false">IF(AND($V2242&gt;=Parametros!$C$8,$R2242&gt;=Parametros!$C$12),"Alta rentabilidad",IF(OR($V2242&lt;Parametros!$C$11,$R2242&lt;Parametros!$C$13),"Revisar","Estandar"))</f>
        <v>Alta rentabilidad</v>
      </c>
      <c r="X2242" s="67" t="str">
        <f aca="false">IF(AND($J2242="E-commerce",IFERROR($T2242/$R2242,0)&gt;Parametros!$C$14),"Alerta","OK")</f>
        <v>OK</v>
      </c>
      <c r="Y2242" s="61" t="str">
        <f aca="false">IF($R2242&gt;=Parametros!$C$12,"Alto",IF($R2242&lt;Parametros!$C$13,"Bajo","Medio"))</f>
        <v>Alto</v>
      </c>
      <c r="Z2242" s="61" t="n">
        <v>685</v>
      </c>
      <c r="AA2242" s="61" t="str">
        <f aca="false">IF(MATCH($A2242,Datos_Origen!$A$2:$A$2459,0)=$Z2242,"OK","REVISAR")</f>
        <v>OK</v>
      </c>
      <c r="AB2242" s="62" t="n">
        <f aca="false">INDEX(Datos_Origen!$B$2:$B$2459,$Z2242)</f>
        <v>45962</v>
      </c>
      <c r="AC2242" s="61" t="n">
        <f aca="false">INDEX(Datos_Origen!$H$2:$H$2459,$Z2242)</f>
        <v>9</v>
      </c>
      <c r="AD2242" s="61" t="str">
        <f aca="false">INDEX(Datos_Origen!$D$2:$D$2459,$Z2242)&amp;""</f>
        <v>Rosario</v>
      </c>
    </row>
    <row r="2243" customFormat="false" ht="15" hidden="false" customHeight="false" outlineLevel="0" collapsed="false">
      <c r="A2243" s="61" t="n">
        <f aca="false">INDEX(Datos_Origen!$A$2:$A$2459,$Z2243)</f>
        <v>2242</v>
      </c>
      <c r="B2243" s="62" t="n">
        <f aca="false">IF(ISNUMBER($AB2243),$AB2243,IF(MID($AB2243,5,1)="-",DATE(VALUE(LEFT($AB2243,4)),VALUE(MID($AB2243,6,2)),VALUE(RIGHT($AB2243,2))),DATE(VALUE(RIGHT($AB2243,4)),VALUE(MID($AB2243,4,2)),VALUE(LEFT($AB2243,2)))))</f>
        <v>45969</v>
      </c>
      <c r="C2243" s="61" t="n">
        <f aca="false">YEAR($B2243)</f>
        <v>2025</v>
      </c>
      <c r="D2243" s="61" t="str">
        <f aca="false">"Q"&amp;ROUNDUP(MONTH($B2243)/3,0)</f>
        <v>Q4</v>
      </c>
      <c r="E2243" s="61" t="n">
        <f aca="false">MONTH($B2243)</f>
        <v>11</v>
      </c>
      <c r="F2243" s="61" t="str">
        <f aca="false">INDEX(Parametros!$I$5:$I$16,$E2243)</f>
        <v>Nov</v>
      </c>
      <c r="G2243" s="61" t="str">
        <f aca="false">TEXT($C2243,"0000")&amp;"-"&amp;TEXT($E2243,"00")</f>
        <v>2025-11</v>
      </c>
      <c r="H2243" s="61" t="str">
        <f aca="false">INDEX(Parametros!$C$71:$C$91,MATCH(TRIM(INDEX(Datos_Origen!$C$2:$C$2459,$Z2243)),Parametros!$B$71:$B$91,0))</f>
        <v>Litoral</v>
      </c>
      <c r="I2243" s="61" t="str">
        <f aca="false">IF(TRIM($AD2243)="",INDEX(Parametros!$I$20:$I$24,MATCH($H2243,Parametros!$H$20:$H$24,0)),TRIM($AD2243))</f>
        <v>Rosario</v>
      </c>
      <c r="J2243" s="61" t="str">
        <f aca="false">INDEX(Parametros!$C$95:$C$106,MATCH(TRIM(INDEX(Datos_Origen!$E$2:$E$2459,$Z2243)),Parametros!$B$95:$B$106,0))</f>
        <v>E-commerce</v>
      </c>
      <c r="K2243" s="61" t="str">
        <f aca="false">INDEX(Parametros!$C$48:$C$67,MATCH(TRIM(INDEX(Datos_Origen!$F$2:$F$2459,$Z2243)),Parametros!$B$48:$B$67,0))</f>
        <v>Computacion</v>
      </c>
      <c r="L2243" s="61" t="str">
        <f aca="false">$K2243&amp;" "&amp;$C2243</f>
        <v>Computacion 2025</v>
      </c>
      <c r="M2243" s="61" t="str">
        <f aca="false">TRIM(INDEX(Datos_Origen!$G$2:$G$2459,$Z2243))</f>
        <v>Laptop Pro 15</v>
      </c>
      <c r="N2243" s="61" t="str">
        <f aca="false">$M2243&amp;" "&amp;$C2243</f>
        <v>Laptop Pro 15 2025</v>
      </c>
      <c r="O2243" s="63" t="n">
        <f aca="false">IF(ISTEXT($AC2243),VALUE($AC2243),$AC2243)</f>
        <v>7</v>
      </c>
      <c r="P2243" s="64" t="n">
        <f aca="false">INDEX(Datos_Origen!$I$2:$I$2459,$Z2243)</f>
        <v>1204.74</v>
      </c>
      <c r="Q2243" s="64" t="n">
        <f aca="false">INDEX(Datos_Origen!$J$2:$J$2459,$Z2243)</f>
        <v>766.32</v>
      </c>
      <c r="R2243" s="65" t="n">
        <f aca="false">ROUND($O2243*$P2243,2)</f>
        <v>8433.18</v>
      </c>
      <c r="S2243" s="65" t="n">
        <f aca="false">ROUND($O2243*$Q2243,2)</f>
        <v>5364.24</v>
      </c>
      <c r="T2243" s="65" t="n">
        <f aca="false">ROUND($R2243*SUMIFS(Parametros!$E$28:$E$43,Parametros!$B$28:$B$43,$J2243,Parametros!$C$28:$C$43,$C2243,Parametros!$D$28:$D$43,$D2243),2)</f>
        <v>438.53</v>
      </c>
      <c r="U2243" s="65" t="n">
        <f aca="false">$R2243-$S2243-$T2243</f>
        <v>2630.41</v>
      </c>
      <c r="V2243" s="66" t="n">
        <f aca="false">IFERROR($U2243/$R2243,0)</f>
        <v>0.311911995237858</v>
      </c>
      <c r="W2243" s="67" t="str">
        <f aca="false">IF(AND($V2243&gt;=Parametros!$C$8,$R2243&gt;=Parametros!$C$12),"Alta rentabilidad",IF(OR($V2243&lt;Parametros!$C$11,$R2243&lt;Parametros!$C$13),"Revisar","Estandar"))</f>
        <v>Estandar</v>
      </c>
      <c r="X2243" s="67" t="str">
        <f aca="false">IF(AND($J2243="E-commerce",IFERROR($T2243/$R2243,0)&gt;Parametros!$C$14),"Alerta","OK")</f>
        <v>Alerta</v>
      </c>
      <c r="Y2243" s="61" t="str">
        <f aca="false">IF($R2243&gt;=Parametros!$C$12,"Alto",IF($R2243&lt;Parametros!$C$13,"Bajo","Medio"))</f>
        <v>Alto</v>
      </c>
      <c r="Z2243" s="61" t="n">
        <v>130</v>
      </c>
      <c r="AA2243" s="61" t="str">
        <f aca="false">IF(MATCH($A2243,Datos_Origen!$A$2:$A$2459,0)=$Z2243,"OK","REVISAR")</f>
        <v>OK</v>
      </c>
      <c r="AB2243" s="62" t="n">
        <f aca="false">INDEX(Datos_Origen!$B$2:$B$2459,$Z2243)</f>
        <v>45969</v>
      </c>
      <c r="AC2243" s="61" t="n">
        <f aca="false">INDEX(Datos_Origen!$H$2:$H$2459,$Z2243)</f>
        <v>7</v>
      </c>
      <c r="AD2243" s="61" t="str">
        <f aca="false">INDEX(Datos_Origen!$D$2:$D$2459,$Z2243)&amp;""</f>
        <v>Rosario</v>
      </c>
    </row>
    <row r="2244" customFormat="false" ht="15" hidden="false" customHeight="false" outlineLevel="0" collapsed="false">
      <c r="A2244" s="61" t="n">
        <f aca="false">INDEX(Datos_Origen!$A$2:$A$2459,$Z2244)</f>
        <v>2243</v>
      </c>
      <c r="B2244" s="62" t="n">
        <f aca="false">IF(ISNUMBER($AB2244),$AB2244,IF(MID($AB2244,5,1)="-",DATE(VALUE(LEFT($AB2244,4)),VALUE(MID($AB2244,6,2)),VALUE(RIGHT($AB2244,2))),DATE(VALUE(RIGHT($AB2244,4)),VALUE(MID($AB2244,4,2)),VALUE(LEFT($AB2244,2)))))</f>
        <v>45976</v>
      </c>
      <c r="C2244" s="61" t="n">
        <f aca="false">YEAR($B2244)</f>
        <v>2025</v>
      </c>
      <c r="D2244" s="61" t="str">
        <f aca="false">"Q"&amp;ROUNDUP(MONTH($B2244)/3,0)</f>
        <v>Q4</v>
      </c>
      <c r="E2244" s="61" t="n">
        <f aca="false">MONTH($B2244)</f>
        <v>11</v>
      </c>
      <c r="F2244" s="61" t="str">
        <f aca="false">INDEX(Parametros!$I$5:$I$16,$E2244)</f>
        <v>Nov</v>
      </c>
      <c r="G2244" s="61" t="str">
        <f aca="false">TEXT($C2244,"0000")&amp;"-"&amp;TEXT($E2244,"00")</f>
        <v>2025-11</v>
      </c>
      <c r="H2244" s="61" t="str">
        <f aca="false">INDEX(Parametros!$C$71:$C$91,MATCH(TRIM(INDEX(Datos_Origen!$C$2:$C$2459,$Z2244)),Parametros!$B$71:$B$91,0))</f>
        <v>Litoral</v>
      </c>
      <c r="I2244" s="61" t="str">
        <f aca="false">IF(TRIM($AD2244)="",INDEX(Parametros!$I$20:$I$24,MATCH($H2244,Parametros!$H$20:$H$24,0)),TRIM($AD2244))</f>
        <v>Rosario</v>
      </c>
      <c r="J2244" s="61" t="str">
        <f aca="false">INDEX(Parametros!$C$95:$C$106,MATCH(TRIM(INDEX(Datos_Origen!$E$2:$E$2459,$Z2244)),Parametros!$B$95:$B$106,0))</f>
        <v>Tienda fisica</v>
      </c>
      <c r="K2244" s="61" t="str">
        <f aca="false">INDEX(Parametros!$C$48:$C$67,MATCH(TRIM(INDEX(Datos_Origen!$F$2:$F$2459,$Z2244)),Parametros!$B$48:$B$67,0))</f>
        <v>Computacion</v>
      </c>
      <c r="L2244" s="61" t="str">
        <f aca="false">$K2244&amp;" "&amp;$C2244</f>
        <v>Computacion 2025</v>
      </c>
      <c r="M2244" s="61" t="str">
        <f aca="false">TRIM(INDEX(Datos_Origen!$G$2:$G$2459,$Z2244))</f>
        <v>Monitor 4K 27</v>
      </c>
      <c r="N2244" s="61" t="str">
        <f aca="false">$M2244&amp;" "&amp;$C2244</f>
        <v>Monitor 4K 27 2025</v>
      </c>
      <c r="O2244" s="63" t="n">
        <f aca="false">IF(ISTEXT($AC2244),VALUE($AC2244),$AC2244)</f>
        <v>11</v>
      </c>
      <c r="P2244" s="64" t="n">
        <f aca="false">INDEX(Datos_Origen!$I$2:$I$2459,$Z2244)</f>
        <v>451.78</v>
      </c>
      <c r="Q2244" s="64" t="n">
        <f aca="false">INDEX(Datos_Origen!$J$2:$J$2459,$Z2244)</f>
        <v>280.42</v>
      </c>
      <c r="R2244" s="65" t="n">
        <f aca="false">ROUND($O2244*$P2244,2)</f>
        <v>4969.58</v>
      </c>
      <c r="S2244" s="65" t="n">
        <f aca="false">ROUND($O2244*$Q2244,2)</f>
        <v>3084.62</v>
      </c>
      <c r="T2244" s="65" t="n">
        <f aca="false">ROUND($R2244*SUMIFS(Parametros!$E$28:$E$43,Parametros!$B$28:$B$43,$J2244,Parametros!$C$28:$C$43,$C2244,Parametros!$D$28:$D$43,$D2244),2)</f>
        <v>64.6</v>
      </c>
      <c r="U2244" s="65" t="n">
        <f aca="false">$R2244-$S2244-$T2244</f>
        <v>1820.36</v>
      </c>
      <c r="V2244" s="66" t="n">
        <f aca="false">IFERROR($U2244/$R2244,0)</f>
        <v>0.366300572684211</v>
      </c>
      <c r="W2244" s="67" t="str">
        <f aca="false">IF(AND($V2244&gt;=Parametros!$C$8,$R2244&gt;=Parametros!$C$12),"Alta rentabilidad",IF(OR($V2244&lt;Parametros!$C$11,$R2244&lt;Parametros!$C$13),"Revisar","Estandar"))</f>
        <v>Alta rentabilidad</v>
      </c>
      <c r="X2244" s="67" t="str">
        <f aca="false">IF(AND($J2244="E-commerce",IFERROR($T2244/$R2244,0)&gt;Parametros!$C$14),"Alerta","OK")</f>
        <v>OK</v>
      </c>
      <c r="Y2244" s="61" t="str">
        <f aca="false">IF($R2244&gt;=Parametros!$C$12,"Alto",IF($R2244&lt;Parametros!$C$13,"Bajo","Medio"))</f>
        <v>Alto</v>
      </c>
      <c r="Z2244" s="61" t="n">
        <v>626</v>
      </c>
      <c r="AA2244" s="61" t="str">
        <f aca="false">IF(MATCH($A2244,Datos_Origen!$A$2:$A$2459,0)=$Z2244,"OK","REVISAR")</f>
        <v>OK</v>
      </c>
      <c r="AB2244" s="62" t="n">
        <f aca="false">INDEX(Datos_Origen!$B$2:$B$2459,$Z2244)</f>
        <v>45976</v>
      </c>
      <c r="AC2244" s="61" t="n">
        <f aca="false">INDEX(Datos_Origen!$H$2:$H$2459,$Z2244)</f>
        <v>11</v>
      </c>
      <c r="AD2244" s="61" t="str">
        <f aca="false">INDEX(Datos_Origen!$D$2:$D$2459,$Z2244)&amp;""</f>
        <v>Rosario</v>
      </c>
    </row>
    <row r="2245" customFormat="false" ht="15" hidden="false" customHeight="false" outlineLevel="0" collapsed="false">
      <c r="A2245" s="61" t="n">
        <f aca="false">INDEX(Datos_Origen!$A$2:$A$2459,$Z2245)</f>
        <v>2244</v>
      </c>
      <c r="B2245" s="62" t="n">
        <f aca="false">IF(ISNUMBER($AB2245),$AB2245,IF(MID($AB2245,5,1)="-",DATE(VALUE(LEFT($AB2245,4)),VALUE(MID($AB2245,6,2)),VALUE(RIGHT($AB2245,2))),DATE(VALUE(RIGHT($AB2245,4)),VALUE(MID($AB2245,4,2)),VALUE(LEFT($AB2245,2)))))</f>
        <v>45983</v>
      </c>
      <c r="C2245" s="61" t="n">
        <f aca="false">YEAR($B2245)</f>
        <v>2025</v>
      </c>
      <c r="D2245" s="61" t="str">
        <f aca="false">"Q"&amp;ROUNDUP(MONTH($B2245)/3,0)</f>
        <v>Q4</v>
      </c>
      <c r="E2245" s="61" t="n">
        <f aca="false">MONTH($B2245)</f>
        <v>11</v>
      </c>
      <c r="F2245" s="61" t="str">
        <f aca="false">INDEX(Parametros!$I$5:$I$16,$E2245)</f>
        <v>Nov</v>
      </c>
      <c r="G2245" s="61" t="str">
        <f aca="false">TEXT($C2245,"0000")&amp;"-"&amp;TEXT($E2245,"00")</f>
        <v>2025-11</v>
      </c>
      <c r="H2245" s="61" t="str">
        <f aca="false">INDEX(Parametros!$C$71:$C$91,MATCH(TRIM(INDEX(Datos_Origen!$C$2:$C$2459,$Z2245)),Parametros!$B$71:$B$91,0))</f>
        <v>Litoral</v>
      </c>
      <c r="I2245" s="61" t="str">
        <f aca="false">IF(TRIM($AD2245)="",INDEX(Parametros!$I$20:$I$24,MATCH($H2245,Parametros!$H$20:$H$24,0)),TRIM($AD2245))</f>
        <v>Rosario</v>
      </c>
      <c r="J2245" s="61" t="str">
        <f aca="false">INDEX(Parametros!$C$95:$C$106,MATCH(TRIM(INDEX(Datos_Origen!$E$2:$E$2459,$Z2245)),Parametros!$B$95:$B$106,0))</f>
        <v>E-commerce</v>
      </c>
      <c r="K2245" s="61" t="str">
        <f aca="false">INDEX(Parametros!$C$48:$C$67,MATCH(TRIM(INDEX(Datos_Origen!$F$2:$F$2459,$Z2245)),Parametros!$B$48:$B$67,0))</f>
        <v>Computacion</v>
      </c>
      <c r="L2245" s="61" t="str">
        <f aca="false">$K2245&amp;" "&amp;$C2245</f>
        <v>Computacion 2025</v>
      </c>
      <c r="M2245" s="61" t="str">
        <f aca="false">TRIM(INDEX(Datos_Origen!$G$2:$G$2459,$Z2245))</f>
        <v>Monitor 4K 27</v>
      </c>
      <c r="N2245" s="61" t="str">
        <f aca="false">$M2245&amp;" "&amp;$C2245</f>
        <v>Monitor 4K 27 2025</v>
      </c>
      <c r="O2245" s="63" t="n">
        <f aca="false">IF(ISTEXT($AC2245),VALUE($AC2245),$AC2245)</f>
        <v>8</v>
      </c>
      <c r="P2245" s="64" t="n">
        <f aca="false">INDEX(Datos_Origen!$I$2:$I$2459,$Z2245)</f>
        <v>451.78</v>
      </c>
      <c r="Q2245" s="64" t="n">
        <f aca="false">INDEX(Datos_Origen!$J$2:$J$2459,$Z2245)</f>
        <v>280.42</v>
      </c>
      <c r="R2245" s="65" t="n">
        <f aca="false">ROUND($O2245*$P2245,2)</f>
        <v>3614.24</v>
      </c>
      <c r="S2245" s="65" t="n">
        <f aca="false">ROUND($O2245*$Q2245,2)</f>
        <v>2243.36</v>
      </c>
      <c r="T2245" s="65" t="n">
        <f aca="false">ROUND($R2245*SUMIFS(Parametros!$E$28:$E$43,Parametros!$B$28:$B$43,$J2245,Parametros!$C$28:$C$43,$C2245,Parametros!$D$28:$D$43,$D2245),2)</f>
        <v>187.94</v>
      </c>
      <c r="U2245" s="65" t="n">
        <f aca="false">$R2245-$S2245-$T2245</f>
        <v>1182.94</v>
      </c>
      <c r="V2245" s="66" t="n">
        <f aca="false">IFERROR($U2245/$R2245,0)</f>
        <v>0.327299791934127</v>
      </c>
      <c r="W2245" s="67" t="str">
        <f aca="false">IF(AND($V2245&gt;=Parametros!$C$8,$R2245&gt;=Parametros!$C$12),"Alta rentabilidad",IF(OR($V2245&lt;Parametros!$C$11,$R2245&lt;Parametros!$C$13),"Revisar","Estandar"))</f>
        <v>Estandar</v>
      </c>
      <c r="X2245" s="67" t="str">
        <f aca="false">IF(AND($J2245="E-commerce",IFERROR($T2245/$R2245,0)&gt;Parametros!$C$14),"Alerta","OK")</f>
        <v>Alerta</v>
      </c>
      <c r="Y2245" s="61" t="str">
        <f aca="false">IF($R2245&gt;=Parametros!$C$12,"Alto",IF($R2245&lt;Parametros!$C$13,"Bajo","Medio"))</f>
        <v>Alto</v>
      </c>
      <c r="Z2245" s="61" t="n">
        <v>1345</v>
      </c>
      <c r="AA2245" s="61" t="str">
        <f aca="false">IF(MATCH($A2245,Datos_Origen!$A$2:$A$2459,0)=$Z2245,"OK","REVISAR")</f>
        <v>OK</v>
      </c>
      <c r="AB2245" s="61" t="str">
        <f aca="false">INDEX(Datos_Origen!$B$2:$B$2459,$Z2245)</f>
        <v>22/11/2025</v>
      </c>
      <c r="AC2245" s="61" t="n">
        <f aca="false">INDEX(Datos_Origen!$H$2:$H$2459,$Z2245)</f>
        <v>8</v>
      </c>
      <c r="AD2245" s="61" t="str">
        <f aca="false">INDEX(Datos_Origen!$D$2:$D$2459,$Z2245)&amp;""</f>
        <v>Rosario</v>
      </c>
    </row>
    <row r="2246" customFormat="false" ht="15" hidden="false" customHeight="false" outlineLevel="0" collapsed="false">
      <c r="A2246" s="61" t="n">
        <f aca="false">INDEX(Datos_Origen!$A$2:$A$2459,$Z2246)</f>
        <v>2245</v>
      </c>
      <c r="B2246" s="62" t="n">
        <f aca="false">IF(ISNUMBER($AB2246),$AB2246,IF(MID($AB2246,5,1)="-",DATE(VALUE(LEFT($AB2246,4)),VALUE(MID($AB2246,6,2)),VALUE(RIGHT($AB2246,2))),DATE(VALUE(RIGHT($AB2246,4)),VALUE(MID($AB2246,4,2)),VALUE(LEFT($AB2246,2)))))</f>
        <v>45963</v>
      </c>
      <c r="C2246" s="61" t="n">
        <f aca="false">YEAR($B2246)</f>
        <v>2025</v>
      </c>
      <c r="D2246" s="61" t="str">
        <f aca="false">"Q"&amp;ROUNDUP(MONTH($B2246)/3,0)</f>
        <v>Q4</v>
      </c>
      <c r="E2246" s="61" t="n">
        <f aca="false">MONTH($B2246)</f>
        <v>11</v>
      </c>
      <c r="F2246" s="61" t="str">
        <f aca="false">INDEX(Parametros!$I$5:$I$16,$E2246)</f>
        <v>Nov</v>
      </c>
      <c r="G2246" s="61" t="str">
        <f aca="false">TEXT($C2246,"0000")&amp;"-"&amp;TEXT($E2246,"00")</f>
        <v>2025-11</v>
      </c>
      <c r="H2246" s="61" t="str">
        <f aca="false">INDEX(Parametros!$C$71:$C$91,MATCH(TRIM(INDEX(Datos_Origen!$C$2:$C$2459,$Z2246)),Parametros!$B$71:$B$91,0))</f>
        <v>Litoral</v>
      </c>
      <c r="I2246" s="61" t="str">
        <f aca="false">IF(TRIM($AD2246)="",INDEX(Parametros!$I$20:$I$24,MATCH($H2246,Parametros!$H$20:$H$24,0)),TRIM($AD2246))</f>
        <v>Rosario</v>
      </c>
      <c r="J2246" s="61" t="str">
        <f aca="false">INDEX(Parametros!$C$95:$C$106,MATCH(TRIM(INDEX(Datos_Origen!$E$2:$E$2459,$Z2246)),Parametros!$B$95:$B$106,0))</f>
        <v>Tienda fisica</v>
      </c>
      <c r="K2246" s="61" t="str">
        <f aca="false">INDEX(Parametros!$C$48:$C$67,MATCH(TRIM(INDEX(Datos_Origen!$F$2:$F$2459,$Z2246)),Parametros!$B$48:$B$67,0))</f>
        <v>Computacion</v>
      </c>
      <c r="L2246" s="61" t="str">
        <f aca="false">$K2246&amp;" "&amp;$C2246</f>
        <v>Computacion 2025</v>
      </c>
      <c r="M2246" s="61" t="str">
        <f aca="false">TRIM(INDEX(Datos_Origen!$G$2:$G$2459,$Z2246))</f>
        <v>PC Gamer Ryzen</v>
      </c>
      <c r="N2246" s="61" t="str">
        <f aca="false">$M2246&amp;" "&amp;$C2246</f>
        <v>PC Gamer Ryzen 2025</v>
      </c>
      <c r="O2246" s="63" t="n">
        <f aca="false">IF(ISTEXT($AC2246),VALUE($AC2246),$AC2246)</f>
        <v>11</v>
      </c>
      <c r="P2246" s="64" t="n">
        <f aca="false">INDEX(Datos_Origen!$I$2:$I$2459,$Z2246)</f>
        <v>1656.52</v>
      </c>
      <c r="Q2246" s="64" t="n">
        <f aca="false">INDEX(Datos_Origen!$J$2:$J$2459,$Z2246)</f>
        <v>1155.66</v>
      </c>
      <c r="R2246" s="65" t="n">
        <f aca="false">ROUND($O2246*$P2246,2)</f>
        <v>18221.72</v>
      </c>
      <c r="S2246" s="65" t="n">
        <f aca="false">ROUND($O2246*$Q2246,2)</f>
        <v>12712.26</v>
      </c>
      <c r="T2246" s="65" t="n">
        <f aca="false">ROUND($R2246*SUMIFS(Parametros!$E$28:$E$43,Parametros!$B$28:$B$43,$J2246,Parametros!$C$28:$C$43,$C2246,Parametros!$D$28:$D$43,$D2246),2)</f>
        <v>236.88</v>
      </c>
      <c r="U2246" s="65" t="n">
        <f aca="false">$R2246-$S2246-$T2246</f>
        <v>5272.58</v>
      </c>
      <c r="V2246" s="66" t="n">
        <f aca="false">IFERROR($U2246/$R2246,0)</f>
        <v>0.289356877396865</v>
      </c>
      <c r="W2246" s="67" t="str">
        <f aca="false">IF(AND($V2246&gt;=Parametros!$C$8,$R2246&gt;=Parametros!$C$12),"Alta rentabilidad",IF(OR($V2246&lt;Parametros!$C$11,$R2246&lt;Parametros!$C$13),"Revisar","Estandar"))</f>
        <v>Estandar</v>
      </c>
      <c r="X2246" s="67" t="str">
        <f aca="false">IF(AND($J2246="E-commerce",IFERROR($T2246/$R2246,0)&gt;Parametros!$C$14),"Alerta","OK")</f>
        <v>OK</v>
      </c>
      <c r="Y2246" s="61" t="str">
        <f aca="false">IF($R2246&gt;=Parametros!$C$12,"Alto",IF($R2246&lt;Parametros!$C$13,"Bajo","Medio"))</f>
        <v>Alto</v>
      </c>
      <c r="Z2246" s="61" t="n">
        <v>131</v>
      </c>
      <c r="AA2246" s="61" t="str">
        <f aca="false">IF(MATCH($A2246,Datos_Origen!$A$2:$A$2459,0)=$Z2246,"OK","REVISAR")</f>
        <v>OK</v>
      </c>
      <c r="AB2246" s="62" t="n">
        <f aca="false">INDEX(Datos_Origen!$B$2:$B$2459,$Z2246)</f>
        <v>45963</v>
      </c>
      <c r="AC2246" s="61" t="n">
        <f aca="false">INDEX(Datos_Origen!$H$2:$H$2459,$Z2246)</f>
        <v>11</v>
      </c>
      <c r="AD2246" s="61" t="str">
        <f aca="false">INDEX(Datos_Origen!$D$2:$D$2459,$Z2246)&amp;""</f>
        <v>Rosario</v>
      </c>
    </row>
    <row r="2247" customFormat="false" ht="15" hidden="false" customHeight="false" outlineLevel="0" collapsed="false">
      <c r="A2247" s="61" t="n">
        <f aca="false">INDEX(Datos_Origen!$A$2:$A$2459,$Z2247)</f>
        <v>2246</v>
      </c>
      <c r="B2247" s="62" t="n">
        <f aca="false">IF(ISNUMBER($AB2247),$AB2247,IF(MID($AB2247,5,1)="-",DATE(VALUE(LEFT($AB2247,4)),VALUE(MID($AB2247,6,2)),VALUE(RIGHT($AB2247,2))),DATE(VALUE(RIGHT($AB2247,4)),VALUE(MID($AB2247,4,2)),VALUE(LEFT($AB2247,2)))))</f>
        <v>45970</v>
      </c>
      <c r="C2247" s="61" t="n">
        <f aca="false">YEAR($B2247)</f>
        <v>2025</v>
      </c>
      <c r="D2247" s="61" t="str">
        <f aca="false">"Q"&amp;ROUNDUP(MONTH($B2247)/3,0)</f>
        <v>Q4</v>
      </c>
      <c r="E2247" s="61" t="n">
        <f aca="false">MONTH($B2247)</f>
        <v>11</v>
      </c>
      <c r="F2247" s="61" t="str">
        <f aca="false">INDEX(Parametros!$I$5:$I$16,$E2247)</f>
        <v>Nov</v>
      </c>
      <c r="G2247" s="61" t="str">
        <f aca="false">TEXT($C2247,"0000")&amp;"-"&amp;TEXT($E2247,"00")</f>
        <v>2025-11</v>
      </c>
      <c r="H2247" s="61" t="str">
        <f aca="false">INDEX(Parametros!$C$71:$C$91,MATCH(TRIM(INDEX(Datos_Origen!$C$2:$C$2459,$Z2247)),Parametros!$B$71:$B$91,0))</f>
        <v>Litoral</v>
      </c>
      <c r="I2247" s="61" t="str">
        <f aca="false">IF(TRIM($AD2247)="",INDEX(Parametros!$I$20:$I$24,MATCH($H2247,Parametros!$H$20:$H$24,0)),TRIM($AD2247))</f>
        <v>Rosario</v>
      </c>
      <c r="J2247" s="61" t="str">
        <f aca="false">INDEX(Parametros!$C$95:$C$106,MATCH(TRIM(INDEX(Datos_Origen!$E$2:$E$2459,$Z2247)),Parametros!$B$95:$B$106,0))</f>
        <v>E-commerce</v>
      </c>
      <c r="K2247" s="61" t="str">
        <f aca="false">INDEX(Parametros!$C$48:$C$67,MATCH(TRIM(INDEX(Datos_Origen!$F$2:$F$2459,$Z2247)),Parametros!$B$48:$B$67,0))</f>
        <v>Computacion</v>
      </c>
      <c r="L2247" s="61" t="str">
        <f aca="false">$K2247&amp;" "&amp;$C2247</f>
        <v>Computacion 2025</v>
      </c>
      <c r="M2247" s="61" t="str">
        <f aca="false">TRIM(INDEX(Datos_Origen!$G$2:$G$2459,$Z2247))</f>
        <v>PC Gamer Ryzen</v>
      </c>
      <c r="N2247" s="61" t="str">
        <f aca="false">$M2247&amp;" "&amp;$C2247</f>
        <v>PC Gamer Ryzen 2025</v>
      </c>
      <c r="O2247" s="63" t="n">
        <f aca="false">IF(ISTEXT($AC2247),VALUE($AC2247),$AC2247)</f>
        <v>6</v>
      </c>
      <c r="P2247" s="64" t="n">
        <f aca="false">INDEX(Datos_Origen!$I$2:$I$2459,$Z2247)</f>
        <v>1656.52</v>
      </c>
      <c r="Q2247" s="64" t="n">
        <f aca="false">INDEX(Datos_Origen!$J$2:$J$2459,$Z2247)</f>
        <v>1155.66</v>
      </c>
      <c r="R2247" s="65" t="n">
        <f aca="false">ROUND($O2247*$P2247,2)</f>
        <v>9939.12</v>
      </c>
      <c r="S2247" s="65" t="n">
        <f aca="false">ROUND($O2247*$Q2247,2)</f>
        <v>6933.96</v>
      </c>
      <c r="T2247" s="65" t="n">
        <f aca="false">ROUND($R2247*SUMIFS(Parametros!$E$28:$E$43,Parametros!$B$28:$B$43,$J2247,Parametros!$C$28:$C$43,$C2247,Parametros!$D$28:$D$43,$D2247),2)</f>
        <v>516.83</v>
      </c>
      <c r="U2247" s="65" t="n">
        <f aca="false">$R2247-$S2247-$T2247</f>
        <v>2488.33</v>
      </c>
      <c r="V2247" s="66" t="n">
        <f aca="false">IFERROR($U2247/$R2247,0)</f>
        <v>0.250357174478224</v>
      </c>
      <c r="W2247" s="67" t="str">
        <f aca="false">IF(AND($V2247&gt;=Parametros!$C$8,$R2247&gt;=Parametros!$C$12),"Alta rentabilidad",IF(OR($V2247&lt;Parametros!$C$11,$R2247&lt;Parametros!$C$13),"Revisar","Estandar"))</f>
        <v>Revisar</v>
      </c>
      <c r="X2247" s="67" t="str">
        <f aca="false">IF(AND($J2247="E-commerce",IFERROR($T2247/$R2247,0)&gt;Parametros!$C$14),"Alerta","OK")</f>
        <v>Alerta</v>
      </c>
      <c r="Y2247" s="61" t="str">
        <f aca="false">IF($R2247&gt;=Parametros!$C$12,"Alto",IF($R2247&lt;Parametros!$C$13,"Bajo","Medio"))</f>
        <v>Alto</v>
      </c>
      <c r="Z2247" s="61" t="n">
        <v>2351</v>
      </c>
      <c r="AA2247" s="61" t="str">
        <f aca="false">IF(MATCH($A2247,Datos_Origen!$A$2:$A$2459,0)=$Z2247,"OK","REVISAR")</f>
        <v>OK</v>
      </c>
      <c r="AB2247" s="62" t="n">
        <f aca="false">INDEX(Datos_Origen!$B$2:$B$2459,$Z2247)</f>
        <v>45970</v>
      </c>
      <c r="AC2247" s="61" t="n">
        <f aca="false">INDEX(Datos_Origen!$H$2:$H$2459,$Z2247)</f>
        <v>6</v>
      </c>
      <c r="AD2247" s="61" t="str">
        <f aca="false">INDEX(Datos_Origen!$D$2:$D$2459,$Z2247)&amp;""</f>
        <v>Rosario</v>
      </c>
    </row>
    <row r="2248" customFormat="false" ht="15" hidden="false" customHeight="false" outlineLevel="0" collapsed="false">
      <c r="A2248" s="61" t="n">
        <f aca="false">INDEX(Datos_Origen!$A$2:$A$2459,$Z2248)</f>
        <v>2247</v>
      </c>
      <c r="B2248" s="62" t="n">
        <f aca="false">IF(ISNUMBER($AB2248),$AB2248,IF(MID($AB2248,5,1)="-",DATE(VALUE(LEFT($AB2248,4)),VALUE(MID($AB2248,6,2)),VALUE(RIGHT($AB2248,2))),DATE(VALUE(RIGHT($AB2248,4)),VALUE(MID($AB2248,4,2)),VALUE(LEFT($AB2248,2)))))</f>
        <v>45977</v>
      </c>
      <c r="C2248" s="61" t="n">
        <f aca="false">YEAR($B2248)</f>
        <v>2025</v>
      </c>
      <c r="D2248" s="61" t="str">
        <f aca="false">"Q"&amp;ROUNDUP(MONTH($B2248)/3,0)</f>
        <v>Q4</v>
      </c>
      <c r="E2248" s="61" t="n">
        <f aca="false">MONTH($B2248)</f>
        <v>11</v>
      </c>
      <c r="F2248" s="61" t="str">
        <f aca="false">INDEX(Parametros!$I$5:$I$16,$E2248)</f>
        <v>Nov</v>
      </c>
      <c r="G2248" s="61" t="str">
        <f aca="false">TEXT($C2248,"0000")&amp;"-"&amp;TEXT($E2248,"00")</f>
        <v>2025-11</v>
      </c>
      <c r="H2248" s="61" t="str">
        <f aca="false">INDEX(Parametros!$C$71:$C$91,MATCH(TRIM(INDEX(Datos_Origen!$C$2:$C$2459,$Z2248)),Parametros!$B$71:$B$91,0))</f>
        <v>Litoral</v>
      </c>
      <c r="I2248" s="61" t="str">
        <f aca="false">IF(TRIM($AD2248)="",INDEX(Parametros!$I$20:$I$24,MATCH($H2248,Parametros!$H$20:$H$24,0)),TRIM($AD2248))</f>
        <v>Rosario</v>
      </c>
      <c r="J2248" s="61" t="str">
        <f aca="false">INDEX(Parametros!$C$95:$C$106,MATCH(TRIM(INDEX(Datos_Origen!$E$2:$E$2459,$Z2248)),Parametros!$B$95:$B$106,0))</f>
        <v>Tienda fisica</v>
      </c>
      <c r="K2248" s="61" t="str">
        <f aca="false">INDEX(Parametros!$C$48:$C$67,MATCH(TRIM(INDEX(Datos_Origen!$F$2:$F$2459,$Z2248)),Parametros!$B$48:$B$67,0))</f>
        <v>Accesorios</v>
      </c>
      <c r="L2248" s="61" t="str">
        <f aca="false">$K2248&amp;" "&amp;$C2248</f>
        <v>Accesorios 2025</v>
      </c>
      <c r="M2248" s="61" t="str">
        <f aca="false">TRIM(INDEX(Datos_Origen!$G$2:$G$2459,$Z2248))</f>
        <v>Mouse Inalambrico</v>
      </c>
      <c r="N2248" s="61" t="str">
        <f aca="false">$M2248&amp;" "&amp;$C2248</f>
        <v>Mouse Inalambrico 2025</v>
      </c>
      <c r="O2248" s="63" t="n">
        <f aca="false">IF(ISTEXT($AC2248),VALUE($AC2248),$AC2248)</f>
        <v>42</v>
      </c>
      <c r="P2248" s="64" t="n">
        <f aca="false">INDEX(Datos_Origen!$I$2:$I$2459,$Z2248)</f>
        <v>28.11</v>
      </c>
      <c r="Q2248" s="64" t="n">
        <f aca="false">INDEX(Datos_Origen!$J$2:$J$2459,$Z2248)</f>
        <v>13.84</v>
      </c>
      <c r="R2248" s="65" t="n">
        <f aca="false">ROUND($O2248*$P2248,2)</f>
        <v>1180.62</v>
      </c>
      <c r="S2248" s="65" t="n">
        <f aca="false">ROUND($O2248*$Q2248,2)</f>
        <v>581.28</v>
      </c>
      <c r="T2248" s="65" t="n">
        <f aca="false">ROUND($R2248*SUMIFS(Parametros!$E$28:$E$43,Parametros!$B$28:$B$43,$J2248,Parametros!$C$28:$C$43,$C2248,Parametros!$D$28:$D$43,$D2248),2)</f>
        <v>15.35</v>
      </c>
      <c r="U2248" s="65" t="n">
        <f aca="false">$R2248-$S2248-$T2248</f>
        <v>583.99</v>
      </c>
      <c r="V2248" s="66" t="n">
        <f aca="false">IFERROR($U2248/$R2248,0)</f>
        <v>0.494646880452644</v>
      </c>
      <c r="W2248" s="67" t="str">
        <f aca="false">IF(AND($V2248&gt;=Parametros!$C$8,$R2248&gt;=Parametros!$C$12),"Alta rentabilidad",IF(OR($V2248&lt;Parametros!$C$11,$R2248&lt;Parametros!$C$13),"Revisar","Estandar"))</f>
        <v>Estandar</v>
      </c>
      <c r="X2248" s="67" t="str">
        <f aca="false">IF(AND($J2248="E-commerce",IFERROR($T2248/$R2248,0)&gt;Parametros!$C$14),"Alerta","OK")</f>
        <v>OK</v>
      </c>
      <c r="Y2248" s="61" t="str">
        <f aca="false">IF($R2248&gt;=Parametros!$C$12,"Alto",IF($R2248&lt;Parametros!$C$13,"Bajo","Medio"))</f>
        <v>Medio</v>
      </c>
      <c r="Z2248" s="61" t="n">
        <v>770</v>
      </c>
      <c r="AA2248" s="61" t="str">
        <f aca="false">IF(MATCH($A2248,Datos_Origen!$A$2:$A$2459,0)=$Z2248,"OK","REVISAR")</f>
        <v>OK</v>
      </c>
      <c r="AB2248" s="61" t="str">
        <f aca="false">INDEX(Datos_Origen!$B$2:$B$2459,$Z2248)</f>
        <v>2025-11-16</v>
      </c>
      <c r="AC2248" s="61" t="n">
        <f aca="false">INDEX(Datos_Origen!$H$2:$H$2459,$Z2248)</f>
        <v>42</v>
      </c>
      <c r="AD2248" s="61" t="str">
        <f aca="false">INDEX(Datos_Origen!$D$2:$D$2459,$Z2248)&amp;""</f>
        <v>Rosario</v>
      </c>
    </row>
    <row r="2249" customFormat="false" ht="15" hidden="false" customHeight="false" outlineLevel="0" collapsed="false">
      <c r="A2249" s="61" t="n">
        <f aca="false">INDEX(Datos_Origen!$A$2:$A$2459,$Z2249)</f>
        <v>2248</v>
      </c>
      <c r="B2249" s="62" t="n">
        <f aca="false">IF(ISNUMBER($AB2249),$AB2249,IF(MID($AB2249,5,1)="-",DATE(VALUE(LEFT($AB2249,4)),VALUE(MID($AB2249,6,2)),VALUE(RIGHT($AB2249,2))),DATE(VALUE(RIGHT($AB2249,4)),VALUE(MID($AB2249,4,2)),VALUE(LEFT($AB2249,2)))))</f>
        <v>45984</v>
      </c>
      <c r="C2249" s="61" t="n">
        <f aca="false">YEAR($B2249)</f>
        <v>2025</v>
      </c>
      <c r="D2249" s="61" t="str">
        <f aca="false">"Q"&amp;ROUNDUP(MONTH($B2249)/3,0)</f>
        <v>Q4</v>
      </c>
      <c r="E2249" s="61" t="n">
        <f aca="false">MONTH($B2249)</f>
        <v>11</v>
      </c>
      <c r="F2249" s="61" t="str">
        <f aca="false">INDEX(Parametros!$I$5:$I$16,$E2249)</f>
        <v>Nov</v>
      </c>
      <c r="G2249" s="61" t="str">
        <f aca="false">TEXT($C2249,"0000")&amp;"-"&amp;TEXT($E2249,"00")</f>
        <v>2025-11</v>
      </c>
      <c r="H2249" s="61" t="str">
        <f aca="false">INDEX(Parametros!$C$71:$C$91,MATCH(TRIM(INDEX(Datos_Origen!$C$2:$C$2459,$Z2249)),Parametros!$B$71:$B$91,0))</f>
        <v>Litoral</v>
      </c>
      <c r="I2249" s="61" t="str">
        <f aca="false">IF(TRIM($AD2249)="",INDEX(Parametros!$I$20:$I$24,MATCH($H2249,Parametros!$H$20:$H$24,0)),TRIM($AD2249))</f>
        <v>Rosario</v>
      </c>
      <c r="J2249" s="61" t="str">
        <f aca="false">INDEX(Parametros!$C$95:$C$106,MATCH(TRIM(INDEX(Datos_Origen!$E$2:$E$2459,$Z2249)),Parametros!$B$95:$B$106,0))</f>
        <v>E-commerce</v>
      </c>
      <c r="K2249" s="61" t="str">
        <f aca="false">INDEX(Parametros!$C$48:$C$67,MATCH(TRIM(INDEX(Datos_Origen!$F$2:$F$2459,$Z2249)),Parametros!$B$48:$B$67,0))</f>
        <v>Accesorios</v>
      </c>
      <c r="L2249" s="61" t="str">
        <f aca="false">$K2249&amp;" "&amp;$C2249</f>
        <v>Accesorios 2025</v>
      </c>
      <c r="M2249" s="61" t="str">
        <f aca="false">TRIM(INDEX(Datos_Origen!$G$2:$G$2459,$Z2249))</f>
        <v>Mouse Inalambrico</v>
      </c>
      <c r="N2249" s="61" t="str">
        <f aca="false">$M2249&amp;" "&amp;$C2249</f>
        <v>Mouse Inalambrico 2025</v>
      </c>
      <c r="O2249" s="63" t="n">
        <f aca="false">IF(ISTEXT($AC2249),VALUE($AC2249),$AC2249)</f>
        <v>30</v>
      </c>
      <c r="P2249" s="64" t="n">
        <f aca="false">INDEX(Datos_Origen!$I$2:$I$2459,$Z2249)</f>
        <v>28.11</v>
      </c>
      <c r="Q2249" s="64" t="n">
        <f aca="false">INDEX(Datos_Origen!$J$2:$J$2459,$Z2249)</f>
        <v>13.84</v>
      </c>
      <c r="R2249" s="65" t="n">
        <f aca="false">ROUND($O2249*$P2249,2)</f>
        <v>843.3</v>
      </c>
      <c r="S2249" s="65" t="n">
        <f aca="false">ROUND($O2249*$Q2249,2)</f>
        <v>415.2</v>
      </c>
      <c r="T2249" s="65" t="n">
        <f aca="false">ROUND($R2249*SUMIFS(Parametros!$E$28:$E$43,Parametros!$B$28:$B$43,$J2249,Parametros!$C$28:$C$43,$C2249,Parametros!$D$28:$D$43,$D2249),2)</f>
        <v>43.85</v>
      </c>
      <c r="U2249" s="65" t="n">
        <f aca="false">$R2249-$S2249-$T2249</f>
        <v>384.25</v>
      </c>
      <c r="V2249" s="66" t="n">
        <f aca="false">IFERROR($U2249/$R2249,0)</f>
        <v>0.455650420965256</v>
      </c>
      <c r="W2249" s="67" t="str">
        <f aca="false">IF(AND($V2249&gt;=Parametros!$C$8,$R2249&gt;=Parametros!$C$12),"Alta rentabilidad",IF(OR($V2249&lt;Parametros!$C$11,$R2249&lt;Parametros!$C$13),"Revisar","Estandar"))</f>
        <v>Estandar</v>
      </c>
      <c r="X2249" s="67" t="str">
        <f aca="false">IF(AND($J2249="E-commerce",IFERROR($T2249/$R2249,0)&gt;Parametros!$C$14),"Alerta","OK")</f>
        <v>Alerta</v>
      </c>
      <c r="Y2249" s="61" t="str">
        <f aca="false">IF($R2249&gt;=Parametros!$C$12,"Alto",IF($R2249&lt;Parametros!$C$13,"Bajo","Medio"))</f>
        <v>Medio</v>
      </c>
      <c r="Z2249" s="61" t="n">
        <v>780</v>
      </c>
      <c r="AA2249" s="61" t="str">
        <f aca="false">IF(MATCH($A2249,Datos_Origen!$A$2:$A$2459,0)=$Z2249,"OK","REVISAR")</f>
        <v>OK</v>
      </c>
      <c r="AB2249" s="61" t="str">
        <f aca="false">INDEX(Datos_Origen!$B$2:$B$2459,$Z2249)</f>
        <v>23/11/2025</v>
      </c>
      <c r="AC2249" s="61" t="n">
        <f aca="false">INDEX(Datos_Origen!$H$2:$H$2459,$Z2249)</f>
        <v>30</v>
      </c>
      <c r="AD2249" s="61" t="str">
        <f aca="false">INDEX(Datos_Origen!$D$2:$D$2459,$Z2249)&amp;""</f>
        <v>Rosario</v>
      </c>
    </row>
    <row r="2250" customFormat="false" ht="15" hidden="false" customHeight="false" outlineLevel="0" collapsed="false">
      <c r="A2250" s="61" t="n">
        <f aca="false">INDEX(Datos_Origen!$A$2:$A$2459,$Z2250)</f>
        <v>2249</v>
      </c>
      <c r="B2250" s="62" t="n">
        <f aca="false">IF(ISNUMBER($AB2250),$AB2250,IF(MID($AB2250,5,1)="-",DATE(VALUE(LEFT($AB2250,4)),VALUE(MID($AB2250,6,2)),VALUE(RIGHT($AB2250,2))),DATE(VALUE(RIGHT($AB2250,4)),VALUE(MID($AB2250,4,2)),VALUE(LEFT($AB2250,2)))))</f>
        <v>45964</v>
      </c>
      <c r="C2250" s="61" t="n">
        <f aca="false">YEAR($B2250)</f>
        <v>2025</v>
      </c>
      <c r="D2250" s="61" t="str">
        <f aca="false">"Q"&amp;ROUNDUP(MONTH($B2250)/3,0)</f>
        <v>Q4</v>
      </c>
      <c r="E2250" s="61" t="n">
        <f aca="false">MONTH($B2250)</f>
        <v>11</v>
      </c>
      <c r="F2250" s="61" t="str">
        <f aca="false">INDEX(Parametros!$I$5:$I$16,$E2250)</f>
        <v>Nov</v>
      </c>
      <c r="G2250" s="61" t="str">
        <f aca="false">TEXT($C2250,"0000")&amp;"-"&amp;TEXT($E2250,"00")</f>
        <v>2025-11</v>
      </c>
      <c r="H2250" s="61" t="str">
        <f aca="false">INDEX(Parametros!$C$71:$C$91,MATCH(TRIM(INDEX(Datos_Origen!$C$2:$C$2459,$Z2250)),Parametros!$B$71:$B$91,0))</f>
        <v>Litoral</v>
      </c>
      <c r="I2250" s="61" t="str">
        <f aca="false">IF(TRIM($AD2250)="",INDEX(Parametros!$I$20:$I$24,MATCH($H2250,Parametros!$H$20:$H$24,0)),TRIM($AD2250))</f>
        <v>Rosario</v>
      </c>
      <c r="J2250" s="61" t="str">
        <f aca="false">INDEX(Parametros!$C$95:$C$106,MATCH(TRIM(INDEX(Datos_Origen!$E$2:$E$2459,$Z2250)),Parametros!$B$95:$B$106,0))</f>
        <v>Tienda fisica</v>
      </c>
      <c r="K2250" s="61" t="str">
        <f aca="false">INDEX(Parametros!$C$48:$C$67,MATCH(TRIM(INDEX(Datos_Origen!$F$2:$F$2459,$Z2250)),Parametros!$B$48:$B$67,0))</f>
        <v>Accesorios</v>
      </c>
      <c r="L2250" s="61" t="str">
        <f aca="false">$K2250&amp;" "&amp;$C2250</f>
        <v>Accesorios 2025</v>
      </c>
      <c r="M2250" s="61" t="str">
        <f aca="false">TRIM(INDEX(Datos_Origen!$G$2:$G$2459,$Z2250))</f>
        <v>Teclado Mecanico</v>
      </c>
      <c r="N2250" s="61" t="str">
        <f aca="false">$M2250&amp;" "&amp;$C2250</f>
        <v>Teclado Mecanico 2025</v>
      </c>
      <c r="O2250" s="63" t="n">
        <f aca="false">IF(ISTEXT($AC2250),VALUE($AC2250),$AC2250)</f>
        <v>45</v>
      </c>
      <c r="P2250" s="64" t="n">
        <f aca="false">INDEX(Datos_Origen!$I$2:$I$2459,$Z2250)</f>
        <v>95.38</v>
      </c>
      <c r="Q2250" s="64" t="n">
        <f aca="false">INDEX(Datos_Origen!$J$2:$J$2459,$Z2250)</f>
        <v>49.41</v>
      </c>
      <c r="R2250" s="65" t="n">
        <f aca="false">ROUND($O2250*$P2250,2)</f>
        <v>4292.1</v>
      </c>
      <c r="S2250" s="65" t="n">
        <f aca="false">ROUND($O2250*$Q2250,2)</f>
        <v>2223.45</v>
      </c>
      <c r="T2250" s="65" t="n">
        <f aca="false">ROUND($R2250*SUMIFS(Parametros!$E$28:$E$43,Parametros!$B$28:$B$43,$J2250,Parametros!$C$28:$C$43,$C2250,Parametros!$D$28:$D$43,$D2250),2)</f>
        <v>55.8</v>
      </c>
      <c r="U2250" s="65" t="n">
        <f aca="false">$R2250-$S2250-$T2250</f>
        <v>2012.85</v>
      </c>
      <c r="V2250" s="66" t="n">
        <f aca="false">IFERROR($U2250/$R2250,0)</f>
        <v>0.46896624030195</v>
      </c>
      <c r="W2250" s="67" t="str">
        <f aca="false">IF(AND($V2250&gt;=Parametros!$C$8,$R2250&gt;=Parametros!$C$12),"Alta rentabilidad",IF(OR($V2250&lt;Parametros!$C$11,$R2250&lt;Parametros!$C$13),"Revisar","Estandar"))</f>
        <v>Alta rentabilidad</v>
      </c>
      <c r="X2250" s="67" t="str">
        <f aca="false">IF(AND($J2250="E-commerce",IFERROR($T2250/$R2250,0)&gt;Parametros!$C$14),"Alerta","OK")</f>
        <v>OK</v>
      </c>
      <c r="Y2250" s="61" t="str">
        <f aca="false">IF($R2250&gt;=Parametros!$C$12,"Alto",IF($R2250&lt;Parametros!$C$13,"Bajo","Medio"))</f>
        <v>Alto</v>
      </c>
      <c r="Z2250" s="61" t="n">
        <v>30</v>
      </c>
      <c r="AA2250" s="61" t="str">
        <f aca="false">IF(MATCH($A2250,Datos_Origen!$A$2:$A$2459,0)=$Z2250,"OK","REVISAR")</f>
        <v>OK</v>
      </c>
      <c r="AB2250" s="62" t="n">
        <f aca="false">INDEX(Datos_Origen!$B$2:$B$2459,$Z2250)</f>
        <v>45964</v>
      </c>
      <c r="AC2250" s="61" t="n">
        <f aca="false">INDEX(Datos_Origen!$H$2:$H$2459,$Z2250)</f>
        <v>45</v>
      </c>
      <c r="AD2250" s="61" t="str">
        <f aca="false">INDEX(Datos_Origen!$D$2:$D$2459,$Z2250)&amp;""</f>
        <v>Rosario</v>
      </c>
    </row>
    <row r="2251" customFormat="false" ht="15" hidden="false" customHeight="false" outlineLevel="0" collapsed="false">
      <c r="A2251" s="61" t="n">
        <f aca="false">INDEX(Datos_Origen!$A$2:$A$2459,$Z2251)</f>
        <v>2250</v>
      </c>
      <c r="B2251" s="62" t="n">
        <f aca="false">IF(ISNUMBER($AB2251),$AB2251,IF(MID($AB2251,5,1)="-",DATE(VALUE(LEFT($AB2251,4)),VALUE(MID($AB2251,6,2)),VALUE(RIGHT($AB2251,2))),DATE(VALUE(RIGHT($AB2251,4)),VALUE(MID($AB2251,4,2)),VALUE(LEFT($AB2251,2)))))</f>
        <v>45971</v>
      </c>
      <c r="C2251" s="61" t="n">
        <f aca="false">YEAR($B2251)</f>
        <v>2025</v>
      </c>
      <c r="D2251" s="61" t="str">
        <f aca="false">"Q"&amp;ROUNDUP(MONTH($B2251)/3,0)</f>
        <v>Q4</v>
      </c>
      <c r="E2251" s="61" t="n">
        <f aca="false">MONTH($B2251)</f>
        <v>11</v>
      </c>
      <c r="F2251" s="61" t="str">
        <f aca="false">INDEX(Parametros!$I$5:$I$16,$E2251)</f>
        <v>Nov</v>
      </c>
      <c r="G2251" s="61" t="str">
        <f aca="false">TEXT($C2251,"0000")&amp;"-"&amp;TEXT($E2251,"00")</f>
        <v>2025-11</v>
      </c>
      <c r="H2251" s="61" t="str">
        <f aca="false">INDEX(Parametros!$C$71:$C$91,MATCH(TRIM(INDEX(Datos_Origen!$C$2:$C$2459,$Z2251)),Parametros!$B$71:$B$91,0))</f>
        <v>Litoral</v>
      </c>
      <c r="I2251" s="61" t="str">
        <f aca="false">IF(TRIM($AD2251)="",INDEX(Parametros!$I$20:$I$24,MATCH($H2251,Parametros!$H$20:$H$24,0)),TRIM($AD2251))</f>
        <v>Rosario</v>
      </c>
      <c r="J2251" s="61" t="str">
        <f aca="false">INDEX(Parametros!$C$95:$C$106,MATCH(TRIM(INDEX(Datos_Origen!$E$2:$E$2459,$Z2251)),Parametros!$B$95:$B$106,0))</f>
        <v>E-commerce</v>
      </c>
      <c r="K2251" s="61" t="str">
        <f aca="false">INDEX(Parametros!$C$48:$C$67,MATCH(TRIM(INDEX(Datos_Origen!$F$2:$F$2459,$Z2251)),Parametros!$B$48:$B$67,0))</f>
        <v>Accesorios</v>
      </c>
      <c r="L2251" s="61" t="str">
        <f aca="false">$K2251&amp;" "&amp;$C2251</f>
        <v>Accesorios 2025</v>
      </c>
      <c r="M2251" s="61" t="str">
        <f aca="false">TRIM(INDEX(Datos_Origen!$G$2:$G$2459,$Z2251))</f>
        <v>Teclado Mecanico</v>
      </c>
      <c r="N2251" s="61" t="str">
        <f aca="false">$M2251&amp;" "&amp;$C2251</f>
        <v>Teclado Mecanico 2025</v>
      </c>
      <c r="O2251" s="63" t="n">
        <f aca="false">IF(ISTEXT($AC2251),VALUE($AC2251),$AC2251)</f>
        <v>31</v>
      </c>
      <c r="P2251" s="64" t="n">
        <f aca="false">INDEX(Datos_Origen!$I$2:$I$2459,$Z2251)</f>
        <v>95.38</v>
      </c>
      <c r="Q2251" s="64" t="n">
        <f aca="false">INDEX(Datos_Origen!$J$2:$J$2459,$Z2251)</f>
        <v>49.41</v>
      </c>
      <c r="R2251" s="65" t="n">
        <f aca="false">ROUND($O2251*$P2251,2)</f>
        <v>2956.78</v>
      </c>
      <c r="S2251" s="65" t="n">
        <f aca="false">ROUND($O2251*$Q2251,2)</f>
        <v>1531.71</v>
      </c>
      <c r="T2251" s="65" t="n">
        <f aca="false">ROUND($R2251*SUMIFS(Parametros!$E$28:$E$43,Parametros!$B$28:$B$43,$J2251,Parametros!$C$28:$C$43,$C2251,Parametros!$D$28:$D$43,$D2251),2)</f>
        <v>153.75</v>
      </c>
      <c r="U2251" s="65" t="n">
        <f aca="false">$R2251-$S2251-$T2251</f>
        <v>1271.32</v>
      </c>
      <c r="V2251" s="66" t="n">
        <f aca="false">IFERROR($U2251/$R2251,0)</f>
        <v>0.429967735171369</v>
      </c>
      <c r="W2251" s="67" t="str">
        <f aca="false">IF(AND($V2251&gt;=Parametros!$C$8,$R2251&gt;=Parametros!$C$12),"Alta rentabilidad",IF(OR($V2251&lt;Parametros!$C$11,$R2251&lt;Parametros!$C$13),"Revisar","Estandar"))</f>
        <v>Estandar</v>
      </c>
      <c r="X2251" s="67" t="str">
        <f aca="false">IF(AND($J2251="E-commerce",IFERROR($T2251/$R2251,0)&gt;Parametros!$C$14),"Alerta","OK")</f>
        <v>Alerta</v>
      </c>
      <c r="Y2251" s="61" t="str">
        <f aca="false">IF($R2251&gt;=Parametros!$C$12,"Alto",IF($R2251&lt;Parametros!$C$13,"Bajo","Medio"))</f>
        <v>Medio</v>
      </c>
      <c r="Z2251" s="61" t="n">
        <v>2125</v>
      </c>
      <c r="AA2251" s="61" t="str">
        <f aca="false">IF(MATCH($A2251,Datos_Origen!$A$2:$A$2459,0)=$Z2251,"OK","REVISAR")</f>
        <v>OK</v>
      </c>
      <c r="AB2251" s="61" t="str">
        <f aca="false">INDEX(Datos_Origen!$B$2:$B$2459,$Z2251)</f>
        <v>10/11/2025</v>
      </c>
      <c r="AC2251" s="61" t="n">
        <f aca="false">INDEX(Datos_Origen!$H$2:$H$2459,$Z2251)</f>
        <v>31</v>
      </c>
      <c r="AD2251" s="61" t="str">
        <f aca="false">INDEX(Datos_Origen!$D$2:$D$2459,$Z2251)&amp;""</f>
        <v>Rosario</v>
      </c>
    </row>
    <row r="2252" customFormat="false" ht="15" hidden="false" customHeight="false" outlineLevel="0" collapsed="false">
      <c r="A2252" s="61" t="n">
        <f aca="false">INDEX(Datos_Origen!$A$2:$A$2459,$Z2252)</f>
        <v>2251</v>
      </c>
      <c r="B2252" s="62" t="n">
        <f aca="false">IF(ISNUMBER($AB2252),$AB2252,IF(MID($AB2252,5,1)="-",DATE(VALUE(LEFT($AB2252,4)),VALUE(MID($AB2252,6,2)),VALUE(RIGHT($AB2252,2))),DATE(VALUE(RIGHT($AB2252,4)),VALUE(MID($AB2252,4,2)),VALUE(LEFT($AB2252,2)))))</f>
        <v>45978</v>
      </c>
      <c r="C2252" s="61" t="n">
        <f aca="false">YEAR($B2252)</f>
        <v>2025</v>
      </c>
      <c r="D2252" s="61" t="str">
        <f aca="false">"Q"&amp;ROUNDUP(MONTH($B2252)/3,0)</f>
        <v>Q4</v>
      </c>
      <c r="E2252" s="61" t="n">
        <f aca="false">MONTH($B2252)</f>
        <v>11</v>
      </c>
      <c r="F2252" s="61" t="str">
        <f aca="false">INDEX(Parametros!$I$5:$I$16,$E2252)</f>
        <v>Nov</v>
      </c>
      <c r="G2252" s="61" t="str">
        <f aca="false">TEXT($C2252,"0000")&amp;"-"&amp;TEXT($E2252,"00")</f>
        <v>2025-11</v>
      </c>
      <c r="H2252" s="61" t="str">
        <f aca="false">INDEX(Parametros!$C$71:$C$91,MATCH(TRIM(INDEX(Datos_Origen!$C$2:$C$2459,$Z2252)),Parametros!$B$71:$B$91,0))</f>
        <v>Litoral</v>
      </c>
      <c r="I2252" s="61" t="str">
        <f aca="false">IF(TRIM($AD2252)="",INDEX(Parametros!$I$20:$I$24,MATCH($H2252,Parametros!$H$20:$H$24,0)),TRIM($AD2252))</f>
        <v>Rosario</v>
      </c>
      <c r="J2252" s="61" t="str">
        <f aca="false">INDEX(Parametros!$C$95:$C$106,MATCH(TRIM(INDEX(Datos_Origen!$E$2:$E$2459,$Z2252)),Parametros!$B$95:$B$106,0))</f>
        <v>Tienda fisica</v>
      </c>
      <c r="K2252" s="61" t="str">
        <f aca="false">INDEX(Parametros!$C$48:$C$67,MATCH(TRIM(INDEX(Datos_Origen!$F$2:$F$2459,$Z2252)),Parametros!$B$48:$B$67,0))</f>
        <v>Accesorios</v>
      </c>
      <c r="L2252" s="61" t="str">
        <f aca="false">$K2252&amp;" "&amp;$C2252</f>
        <v>Accesorios 2025</v>
      </c>
      <c r="M2252" s="61" t="str">
        <f aca="false">TRIM(INDEX(Datos_Origen!$G$2:$G$2459,$Z2252))</f>
        <v>Webcam Full HD</v>
      </c>
      <c r="N2252" s="61" t="str">
        <f aca="false">$M2252&amp;" "&amp;$C2252</f>
        <v>Webcam Full HD 2025</v>
      </c>
      <c r="O2252" s="63" t="n">
        <f aca="false">IF(ISTEXT($AC2252),VALUE($AC2252),$AC2252)</f>
        <v>51</v>
      </c>
      <c r="P2252" s="64" t="n">
        <f aca="false">INDEX(Datos_Origen!$I$2:$I$2459,$Z2252)</f>
        <v>65.26</v>
      </c>
      <c r="Q2252" s="64" t="n">
        <f aca="false">INDEX(Datos_Origen!$J$2:$J$2459,$Z2252)</f>
        <v>36.49</v>
      </c>
      <c r="R2252" s="65" t="n">
        <f aca="false">ROUND($O2252*$P2252,2)</f>
        <v>3328.26</v>
      </c>
      <c r="S2252" s="65" t="n">
        <f aca="false">ROUND($O2252*$Q2252,2)</f>
        <v>1860.99</v>
      </c>
      <c r="T2252" s="65" t="n">
        <f aca="false">ROUND($R2252*SUMIFS(Parametros!$E$28:$E$43,Parametros!$B$28:$B$43,$J2252,Parametros!$C$28:$C$43,$C2252,Parametros!$D$28:$D$43,$D2252),2)</f>
        <v>43.27</v>
      </c>
      <c r="U2252" s="65" t="n">
        <f aca="false">$R2252-$S2252-$T2252</f>
        <v>1424</v>
      </c>
      <c r="V2252" s="66" t="n">
        <f aca="false">IFERROR($U2252/$R2252,0)</f>
        <v>0.427851189510435</v>
      </c>
      <c r="W2252" s="67" t="str">
        <f aca="false">IF(AND($V2252&gt;=Parametros!$C$8,$R2252&gt;=Parametros!$C$12),"Alta rentabilidad",IF(OR($V2252&lt;Parametros!$C$11,$R2252&lt;Parametros!$C$13),"Revisar","Estandar"))</f>
        <v>Alta rentabilidad</v>
      </c>
      <c r="X2252" s="67" t="str">
        <f aca="false">IF(AND($J2252="E-commerce",IFERROR($T2252/$R2252,0)&gt;Parametros!$C$14),"Alerta","OK")</f>
        <v>OK</v>
      </c>
      <c r="Y2252" s="61" t="str">
        <f aca="false">IF($R2252&gt;=Parametros!$C$12,"Alto",IF($R2252&lt;Parametros!$C$13,"Bajo","Medio"))</f>
        <v>Alto</v>
      </c>
      <c r="Z2252" s="61" t="n">
        <v>630</v>
      </c>
      <c r="AA2252" s="61" t="str">
        <f aca="false">IF(MATCH($A2252,Datos_Origen!$A$2:$A$2459,0)=$Z2252,"OK","REVISAR")</f>
        <v>OK</v>
      </c>
      <c r="AB2252" s="62" t="n">
        <f aca="false">INDEX(Datos_Origen!$B$2:$B$2459,$Z2252)</f>
        <v>45978</v>
      </c>
      <c r="AC2252" s="61" t="n">
        <f aca="false">INDEX(Datos_Origen!$H$2:$H$2459,$Z2252)</f>
        <v>51</v>
      </c>
      <c r="AD2252" s="61" t="str">
        <f aca="false">INDEX(Datos_Origen!$D$2:$D$2459,$Z2252)&amp;""</f>
        <v>Rosario</v>
      </c>
    </row>
    <row r="2253" customFormat="false" ht="15" hidden="false" customHeight="false" outlineLevel="0" collapsed="false">
      <c r="A2253" s="61" t="n">
        <f aca="false">INDEX(Datos_Origen!$A$2:$A$2459,$Z2253)</f>
        <v>2252</v>
      </c>
      <c r="B2253" s="62" t="n">
        <f aca="false">IF(ISNUMBER($AB2253),$AB2253,IF(MID($AB2253,5,1)="-",DATE(VALUE(LEFT($AB2253,4)),VALUE(MID($AB2253,6,2)),VALUE(RIGHT($AB2253,2))),DATE(VALUE(RIGHT($AB2253,4)),VALUE(MID($AB2253,4,2)),VALUE(LEFT($AB2253,2)))))</f>
        <v>45985</v>
      </c>
      <c r="C2253" s="61" t="n">
        <f aca="false">YEAR($B2253)</f>
        <v>2025</v>
      </c>
      <c r="D2253" s="61" t="str">
        <f aca="false">"Q"&amp;ROUNDUP(MONTH($B2253)/3,0)</f>
        <v>Q4</v>
      </c>
      <c r="E2253" s="61" t="n">
        <f aca="false">MONTH($B2253)</f>
        <v>11</v>
      </c>
      <c r="F2253" s="61" t="str">
        <f aca="false">INDEX(Parametros!$I$5:$I$16,$E2253)</f>
        <v>Nov</v>
      </c>
      <c r="G2253" s="61" t="str">
        <f aca="false">TEXT($C2253,"0000")&amp;"-"&amp;TEXT($E2253,"00")</f>
        <v>2025-11</v>
      </c>
      <c r="H2253" s="61" t="str">
        <f aca="false">INDEX(Parametros!$C$71:$C$91,MATCH(TRIM(INDEX(Datos_Origen!$C$2:$C$2459,$Z2253)),Parametros!$B$71:$B$91,0))</f>
        <v>Litoral</v>
      </c>
      <c r="I2253" s="61" t="str">
        <f aca="false">IF(TRIM($AD2253)="",INDEX(Parametros!$I$20:$I$24,MATCH($H2253,Parametros!$H$20:$H$24,0)),TRIM($AD2253))</f>
        <v>Rosario</v>
      </c>
      <c r="J2253" s="61" t="str">
        <f aca="false">INDEX(Parametros!$C$95:$C$106,MATCH(TRIM(INDEX(Datos_Origen!$E$2:$E$2459,$Z2253)),Parametros!$B$95:$B$106,0))</f>
        <v>E-commerce</v>
      </c>
      <c r="K2253" s="61" t="str">
        <f aca="false">INDEX(Parametros!$C$48:$C$67,MATCH(TRIM(INDEX(Datos_Origen!$F$2:$F$2459,$Z2253)),Parametros!$B$48:$B$67,0))</f>
        <v>Accesorios</v>
      </c>
      <c r="L2253" s="61" t="str">
        <f aca="false">$K2253&amp;" "&amp;$C2253</f>
        <v>Accesorios 2025</v>
      </c>
      <c r="M2253" s="61" t="str">
        <f aca="false">TRIM(INDEX(Datos_Origen!$G$2:$G$2459,$Z2253))</f>
        <v>Webcam Full HD</v>
      </c>
      <c r="N2253" s="61" t="str">
        <f aca="false">$M2253&amp;" "&amp;$C2253</f>
        <v>Webcam Full HD 2025</v>
      </c>
      <c r="O2253" s="63" t="n">
        <f aca="false">IF(ISTEXT($AC2253),VALUE($AC2253),$AC2253)</f>
        <v>40</v>
      </c>
      <c r="P2253" s="64" t="n">
        <f aca="false">INDEX(Datos_Origen!$I$2:$I$2459,$Z2253)</f>
        <v>65.26</v>
      </c>
      <c r="Q2253" s="64" t="n">
        <f aca="false">INDEX(Datos_Origen!$J$2:$J$2459,$Z2253)</f>
        <v>36.49</v>
      </c>
      <c r="R2253" s="65" t="n">
        <f aca="false">ROUND($O2253*$P2253,2)</f>
        <v>2610.4</v>
      </c>
      <c r="S2253" s="65" t="n">
        <f aca="false">ROUND($O2253*$Q2253,2)</f>
        <v>1459.6</v>
      </c>
      <c r="T2253" s="65" t="n">
        <f aca="false">ROUND($R2253*SUMIFS(Parametros!$E$28:$E$43,Parametros!$B$28:$B$43,$J2253,Parametros!$C$28:$C$43,$C2253,Parametros!$D$28:$D$43,$D2253),2)</f>
        <v>135.74</v>
      </c>
      <c r="U2253" s="65" t="n">
        <f aca="false">$R2253-$S2253-$T2253</f>
        <v>1015.06</v>
      </c>
      <c r="V2253" s="66" t="n">
        <f aca="false">IFERROR($U2253/$R2253,0)</f>
        <v>0.388852283174992</v>
      </c>
      <c r="W2253" s="67" t="str">
        <f aca="false">IF(AND($V2253&gt;=Parametros!$C$8,$R2253&gt;=Parametros!$C$12),"Alta rentabilidad",IF(OR($V2253&lt;Parametros!$C$11,$R2253&lt;Parametros!$C$13),"Revisar","Estandar"))</f>
        <v>Estandar</v>
      </c>
      <c r="X2253" s="67" t="str">
        <f aca="false">IF(AND($J2253="E-commerce",IFERROR($T2253/$R2253,0)&gt;Parametros!$C$14),"Alerta","OK")</f>
        <v>Alerta</v>
      </c>
      <c r="Y2253" s="61" t="str">
        <f aca="false">IF($R2253&gt;=Parametros!$C$12,"Alto",IF($R2253&lt;Parametros!$C$13,"Bajo","Medio"))</f>
        <v>Medio</v>
      </c>
      <c r="Z2253" s="61" t="n">
        <v>236</v>
      </c>
      <c r="AA2253" s="61" t="str">
        <f aca="false">IF(MATCH($A2253,Datos_Origen!$A$2:$A$2459,0)=$Z2253,"OK","REVISAR")</f>
        <v>OK</v>
      </c>
      <c r="AB2253" s="61" t="str">
        <f aca="false">INDEX(Datos_Origen!$B$2:$B$2459,$Z2253)</f>
        <v>24/11/2025</v>
      </c>
      <c r="AC2253" s="61" t="n">
        <f aca="false">INDEX(Datos_Origen!$H$2:$H$2459,$Z2253)</f>
        <v>40</v>
      </c>
      <c r="AD2253" s="61" t="str">
        <f aca="false">INDEX(Datos_Origen!$D$2:$D$2459,$Z2253)&amp;""</f>
        <v>Rosario</v>
      </c>
    </row>
    <row r="2254" customFormat="false" ht="15" hidden="false" customHeight="false" outlineLevel="0" collapsed="false">
      <c r="A2254" s="61" t="n">
        <f aca="false">INDEX(Datos_Origen!$A$2:$A$2459,$Z2254)</f>
        <v>2253</v>
      </c>
      <c r="B2254" s="62" t="n">
        <f aca="false">IF(ISNUMBER($AB2254),$AB2254,IF(MID($AB2254,5,1)="-",DATE(VALUE(LEFT($AB2254,4)),VALUE(MID($AB2254,6,2)),VALUE(RIGHT($AB2254,2))),DATE(VALUE(RIGHT($AB2254,4)),VALUE(MID($AB2254,4,2)),VALUE(LEFT($AB2254,2)))))</f>
        <v>45965</v>
      </c>
      <c r="C2254" s="61" t="n">
        <f aca="false">YEAR($B2254)</f>
        <v>2025</v>
      </c>
      <c r="D2254" s="61" t="str">
        <f aca="false">"Q"&amp;ROUNDUP(MONTH($B2254)/3,0)</f>
        <v>Q4</v>
      </c>
      <c r="E2254" s="61" t="n">
        <f aca="false">MONTH($B2254)</f>
        <v>11</v>
      </c>
      <c r="F2254" s="61" t="str">
        <f aca="false">INDEX(Parametros!$I$5:$I$16,$E2254)</f>
        <v>Nov</v>
      </c>
      <c r="G2254" s="61" t="str">
        <f aca="false">TEXT($C2254,"0000")&amp;"-"&amp;TEXT($E2254,"00")</f>
        <v>2025-11</v>
      </c>
      <c r="H2254" s="61" t="str">
        <f aca="false">INDEX(Parametros!$C$71:$C$91,MATCH(TRIM(INDEX(Datos_Origen!$C$2:$C$2459,$Z2254)),Parametros!$B$71:$B$91,0))</f>
        <v>Litoral</v>
      </c>
      <c r="I2254" s="61" t="str">
        <f aca="false">IF(TRIM($AD2254)="",INDEX(Parametros!$I$20:$I$24,MATCH($H2254,Parametros!$H$20:$H$24,0)),TRIM($AD2254))</f>
        <v>Rosario</v>
      </c>
      <c r="J2254" s="61" t="str">
        <f aca="false">INDEX(Parametros!$C$95:$C$106,MATCH(TRIM(INDEX(Datos_Origen!$E$2:$E$2459,$Z2254)),Parametros!$B$95:$B$106,0))</f>
        <v>Tienda fisica</v>
      </c>
      <c r="K2254" s="61" t="str">
        <f aca="false">INDEX(Parametros!$C$48:$C$67,MATCH(TRIM(INDEX(Datos_Origen!$F$2:$F$2459,$Z2254)),Parametros!$B$48:$B$67,0))</f>
        <v>Audio</v>
      </c>
      <c r="L2254" s="61" t="str">
        <f aca="false">$K2254&amp;" "&amp;$C2254</f>
        <v>Audio 2025</v>
      </c>
      <c r="M2254" s="61" t="str">
        <f aca="false">TRIM(INDEX(Datos_Origen!$G$2:$G$2459,$Z2254))</f>
        <v>Auriculares BT Pro</v>
      </c>
      <c r="N2254" s="61" t="str">
        <f aca="false">$M2254&amp;" "&amp;$C2254</f>
        <v>Auriculares BT Pro 2025</v>
      </c>
      <c r="O2254" s="63" t="n">
        <f aca="false">IF(ISTEXT($AC2254),VALUE($AC2254),$AC2254)</f>
        <v>22</v>
      </c>
      <c r="P2254" s="64" t="n">
        <f aca="false">INDEX(Datos_Origen!$I$2:$I$2459,$Z2254)</f>
        <v>120.47</v>
      </c>
      <c r="Q2254" s="64" t="n">
        <f aca="false">INDEX(Datos_Origen!$J$2:$J$2459,$Z2254)</f>
        <v>65.51</v>
      </c>
      <c r="R2254" s="65" t="n">
        <f aca="false">ROUND($O2254*$P2254,2)</f>
        <v>2650.34</v>
      </c>
      <c r="S2254" s="65" t="n">
        <f aca="false">ROUND($O2254*$Q2254,2)</f>
        <v>1441.22</v>
      </c>
      <c r="T2254" s="65" t="n">
        <f aca="false">ROUND($R2254*SUMIFS(Parametros!$E$28:$E$43,Parametros!$B$28:$B$43,$J2254,Parametros!$C$28:$C$43,$C2254,Parametros!$D$28:$D$43,$D2254),2)</f>
        <v>34.45</v>
      </c>
      <c r="U2254" s="65" t="n">
        <f aca="false">$R2254-$S2254-$T2254</f>
        <v>1174.67</v>
      </c>
      <c r="V2254" s="66" t="n">
        <f aca="false">IFERROR($U2254/$R2254,0)</f>
        <v>0.443214832813903</v>
      </c>
      <c r="W2254" s="67" t="str">
        <f aca="false">IF(AND($V2254&gt;=Parametros!$C$8,$R2254&gt;=Parametros!$C$12),"Alta rentabilidad",IF(OR($V2254&lt;Parametros!$C$11,$R2254&lt;Parametros!$C$13),"Revisar","Estandar"))</f>
        <v>Estandar</v>
      </c>
      <c r="X2254" s="67" t="str">
        <f aca="false">IF(AND($J2254="E-commerce",IFERROR($T2254/$R2254,0)&gt;Parametros!$C$14),"Alerta","OK")</f>
        <v>OK</v>
      </c>
      <c r="Y2254" s="61" t="str">
        <f aca="false">IF($R2254&gt;=Parametros!$C$12,"Alto",IF($R2254&lt;Parametros!$C$13,"Bajo","Medio"))</f>
        <v>Medio</v>
      </c>
      <c r="Z2254" s="61" t="n">
        <v>443</v>
      </c>
      <c r="AA2254" s="61" t="str">
        <f aca="false">IF(MATCH($A2254,Datos_Origen!$A$2:$A$2459,0)=$Z2254,"OK","REVISAR")</f>
        <v>OK</v>
      </c>
      <c r="AB2254" s="62" t="n">
        <f aca="false">INDEX(Datos_Origen!$B$2:$B$2459,$Z2254)</f>
        <v>45965</v>
      </c>
      <c r="AC2254" s="61" t="n">
        <f aca="false">INDEX(Datos_Origen!$H$2:$H$2459,$Z2254)</f>
        <v>22</v>
      </c>
      <c r="AD2254" s="61" t="str">
        <f aca="false">INDEX(Datos_Origen!$D$2:$D$2459,$Z2254)&amp;""</f>
        <v>Rosario</v>
      </c>
    </row>
    <row r="2255" customFormat="false" ht="15" hidden="false" customHeight="false" outlineLevel="0" collapsed="false">
      <c r="A2255" s="61" t="n">
        <f aca="false">INDEX(Datos_Origen!$A$2:$A$2459,$Z2255)</f>
        <v>2254</v>
      </c>
      <c r="B2255" s="62" t="n">
        <f aca="false">IF(ISNUMBER($AB2255),$AB2255,IF(MID($AB2255,5,1)="-",DATE(VALUE(LEFT($AB2255,4)),VALUE(MID($AB2255,6,2)),VALUE(RIGHT($AB2255,2))),DATE(VALUE(RIGHT($AB2255,4)),VALUE(MID($AB2255,4,2)),VALUE(LEFT($AB2255,2)))))</f>
        <v>45972</v>
      </c>
      <c r="C2255" s="61" t="n">
        <f aca="false">YEAR($B2255)</f>
        <v>2025</v>
      </c>
      <c r="D2255" s="61" t="str">
        <f aca="false">"Q"&amp;ROUNDUP(MONTH($B2255)/3,0)</f>
        <v>Q4</v>
      </c>
      <c r="E2255" s="61" t="n">
        <f aca="false">MONTH($B2255)</f>
        <v>11</v>
      </c>
      <c r="F2255" s="61" t="str">
        <f aca="false">INDEX(Parametros!$I$5:$I$16,$E2255)</f>
        <v>Nov</v>
      </c>
      <c r="G2255" s="61" t="str">
        <f aca="false">TEXT($C2255,"0000")&amp;"-"&amp;TEXT($E2255,"00")</f>
        <v>2025-11</v>
      </c>
      <c r="H2255" s="61" t="str">
        <f aca="false">INDEX(Parametros!$C$71:$C$91,MATCH(TRIM(INDEX(Datos_Origen!$C$2:$C$2459,$Z2255)),Parametros!$B$71:$B$91,0))</f>
        <v>Litoral</v>
      </c>
      <c r="I2255" s="61" t="str">
        <f aca="false">IF(TRIM($AD2255)="",INDEX(Parametros!$I$20:$I$24,MATCH($H2255,Parametros!$H$20:$H$24,0)),TRIM($AD2255))</f>
        <v>Rosario</v>
      </c>
      <c r="J2255" s="61" t="str">
        <f aca="false">INDEX(Parametros!$C$95:$C$106,MATCH(TRIM(INDEX(Datos_Origen!$E$2:$E$2459,$Z2255)),Parametros!$B$95:$B$106,0))</f>
        <v>E-commerce</v>
      </c>
      <c r="K2255" s="61" t="str">
        <f aca="false">INDEX(Parametros!$C$48:$C$67,MATCH(TRIM(INDEX(Datos_Origen!$F$2:$F$2459,$Z2255)),Parametros!$B$48:$B$67,0))</f>
        <v>Audio</v>
      </c>
      <c r="L2255" s="61" t="str">
        <f aca="false">$K2255&amp;" "&amp;$C2255</f>
        <v>Audio 2025</v>
      </c>
      <c r="M2255" s="61" t="str">
        <f aca="false">TRIM(INDEX(Datos_Origen!$G$2:$G$2459,$Z2255))</f>
        <v>Auriculares BT Pro</v>
      </c>
      <c r="N2255" s="61" t="str">
        <f aca="false">$M2255&amp;" "&amp;$C2255</f>
        <v>Auriculares BT Pro 2025</v>
      </c>
      <c r="O2255" s="63" t="n">
        <f aca="false">IF(ISTEXT($AC2255),VALUE($AC2255),$AC2255)</f>
        <v>13</v>
      </c>
      <c r="P2255" s="64" t="n">
        <f aca="false">INDEX(Datos_Origen!$I$2:$I$2459,$Z2255)</f>
        <v>120.47</v>
      </c>
      <c r="Q2255" s="64" t="n">
        <f aca="false">INDEX(Datos_Origen!$J$2:$J$2459,$Z2255)</f>
        <v>65.51</v>
      </c>
      <c r="R2255" s="65" t="n">
        <f aca="false">ROUND($O2255*$P2255,2)</f>
        <v>1566.11</v>
      </c>
      <c r="S2255" s="65" t="n">
        <f aca="false">ROUND($O2255*$Q2255,2)</f>
        <v>851.63</v>
      </c>
      <c r="T2255" s="65" t="n">
        <f aca="false">ROUND($R2255*SUMIFS(Parametros!$E$28:$E$43,Parametros!$B$28:$B$43,$J2255,Parametros!$C$28:$C$43,$C2255,Parametros!$D$28:$D$43,$D2255),2)</f>
        <v>81.44</v>
      </c>
      <c r="U2255" s="65" t="n">
        <f aca="false">$R2255-$S2255-$T2255</f>
        <v>633.04</v>
      </c>
      <c r="V2255" s="66" t="n">
        <f aca="false">IFERROR($U2255/$R2255,0)</f>
        <v>0.40421170926691</v>
      </c>
      <c r="W2255" s="67" t="str">
        <f aca="false">IF(AND($V2255&gt;=Parametros!$C$8,$R2255&gt;=Parametros!$C$12),"Alta rentabilidad",IF(OR($V2255&lt;Parametros!$C$11,$R2255&lt;Parametros!$C$13),"Revisar","Estandar"))</f>
        <v>Estandar</v>
      </c>
      <c r="X2255" s="67" t="str">
        <f aca="false">IF(AND($J2255="E-commerce",IFERROR($T2255/$R2255,0)&gt;Parametros!$C$14),"Alerta","OK")</f>
        <v>Alerta</v>
      </c>
      <c r="Y2255" s="61" t="str">
        <f aca="false">IF($R2255&gt;=Parametros!$C$12,"Alto",IF($R2255&lt;Parametros!$C$13,"Bajo","Medio"))</f>
        <v>Medio</v>
      </c>
      <c r="Z2255" s="61" t="n">
        <v>150</v>
      </c>
      <c r="AA2255" s="61" t="str">
        <f aca="false">IF(MATCH($A2255,Datos_Origen!$A$2:$A$2459,0)=$Z2255,"OK","REVISAR")</f>
        <v>OK</v>
      </c>
      <c r="AB2255" s="61" t="str">
        <f aca="false">INDEX(Datos_Origen!$B$2:$B$2459,$Z2255)</f>
        <v>2025-11-11</v>
      </c>
      <c r="AC2255" s="61" t="n">
        <f aca="false">INDEX(Datos_Origen!$H$2:$H$2459,$Z2255)</f>
        <v>13</v>
      </c>
      <c r="AD2255" s="61" t="str">
        <f aca="false">INDEX(Datos_Origen!$D$2:$D$2459,$Z2255)&amp;""</f>
        <v>Rosario</v>
      </c>
    </row>
    <row r="2256" customFormat="false" ht="15" hidden="false" customHeight="false" outlineLevel="0" collapsed="false">
      <c r="A2256" s="61" t="n">
        <f aca="false">INDEX(Datos_Origen!$A$2:$A$2459,$Z2256)</f>
        <v>2255</v>
      </c>
      <c r="B2256" s="62" t="n">
        <f aca="false">IF(ISNUMBER($AB2256),$AB2256,IF(MID($AB2256,5,1)="-",DATE(VALUE(LEFT($AB2256,4)),VALUE(MID($AB2256,6,2)),VALUE(RIGHT($AB2256,2))),DATE(VALUE(RIGHT($AB2256,4)),VALUE(MID($AB2256,4,2)),VALUE(LEFT($AB2256,2)))))</f>
        <v>45979</v>
      </c>
      <c r="C2256" s="61" t="n">
        <f aca="false">YEAR($B2256)</f>
        <v>2025</v>
      </c>
      <c r="D2256" s="61" t="str">
        <f aca="false">"Q"&amp;ROUNDUP(MONTH($B2256)/3,0)</f>
        <v>Q4</v>
      </c>
      <c r="E2256" s="61" t="n">
        <f aca="false">MONTH($B2256)</f>
        <v>11</v>
      </c>
      <c r="F2256" s="61" t="str">
        <f aca="false">INDEX(Parametros!$I$5:$I$16,$E2256)</f>
        <v>Nov</v>
      </c>
      <c r="G2256" s="61" t="str">
        <f aca="false">TEXT($C2256,"0000")&amp;"-"&amp;TEXT($E2256,"00")</f>
        <v>2025-11</v>
      </c>
      <c r="H2256" s="61" t="str">
        <f aca="false">INDEX(Parametros!$C$71:$C$91,MATCH(TRIM(INDEX(Datos_Origen!$C$2:$C$2459,$Z2256)),Parametros!$B$71:$B$91,0))</f>
        <v>Litoral</v>
      </c>
      <c r="I2256" s="61" t="str">
        <f aca="false">IF(TRIM($AD2256)="",INDEX(Parametros!$I$20:$I$24,MATCH($H2256,Parametros!$H$20:$H$24,0)),TRIM($AD2256))</f>
        <v>Rosario</v>
      </c>
      <c r="J2256" s="61" t="str">
        <f aca="false">INDEX(Parametros!$C$95:$C$106,MATCH(TRIM(INDEX(Datos_Origen!$E$2:$E$2459,$Z2256)),Parametros!$B$95:$B$106,0))</f>
        <v>Tienda fisica</v>
      </c>
      <c r="K2256" s="61" t="str">
        <f aca="false">INDEX(Parametros!$C$48:$C$67,MATCH(TRIM(INDEX(Datos_Origen!$F$2:$F$2459,$Z2256)),Parametros!$B$48:$B$67,0))</f>
        <v>Audio</v>
      </c>
      <c r="L2256" s="61" t="str">
        <f aca="false">$K2256&amp;" "&amp;$C2256</f>
        <v>Audio 2025</v>
      </c>
      <c r="M2256" s="61" t="str">
        <f aca="false">TRIM(INDEX(Datos_Origen!$G$2:$G$2459,$Z2256))</f>
        <v>Parlante Bluetooth</v>
      </c>
      <c r="N2256" s="61" t="str">
        <f aca="false">$M2256&amp;" "&amp;$C2256</f>
        <v>Parlante Bluetooth 2025</v>
      </c>
      <c r="O2256" s="63" t="n">
        <f aca="false">IF(ISTEXT($AC2256),VALUE($AC2256),$AC2256)</f>
        <v>21</v>
      </c>
      <c r="P2256" s="64" t="n">
        <f aca="false">INDEX(Datos_Origen!$I$2:$I$2459,$Z2256)</f>
        <v>85.34</v>
      </c>
      <c r="Q2256" s="64" t="n">
        <f aca="false">INDEX(Datos_Origen!$J$2:$J$2459,$Z2256)</f>
        <v>49.47</v>
      </c>
      <c r="R2256" s="65" t="n">
        <f aca="false">ROUND($O2256*$P2256,2)</f>
        <v>1792.14</v>
      </c>
      <c r="S2256" s="65" t="n">
        <f aca="false">ROUND($O2256*$Q2256,2)</f>
        <v>1038.87</v>
      </c>
      <c r="T2256" s="65" t="n">
        <f aca="false">ROUND($R2256*SUMIFS(Parametros!$E$28:$E$43,Parametros!$B$28:$B$43,$J2256,Parametros!$C$28:$C$43,$C2256,Parametros!$D$28:$D$43,$D2256),2)</f>
        <v>23.3</v>
      </c>
      <c r="U2256" s="65" t="n">
        <f aca="false">$R2256-$S2256-$T2256</f>
        <v>729.97</v>
      </c>
      <c r="V2256" s="66" t="n">
        <f aca="false">IFERROR($U2256/$R2256,0)</f>
        <v>0.407317508676778</v>
      </c>
      <c r="W2256" s="67" t="str">
        <f aca="false">IF(AND($V2256&gt;=Parametros!$C$8,$R2256&gt;=Parametros!$C$12),"Alta rentabilidad",IF(OR($V2256&lt;Parametros!$C$11,$R2256&lt;Parametros!$C$13),"Revisar","Estandar"))</f>
        <v>Estandar</v>
      </c>
      <c r="X2256" s="67" t="str">
        <f aca="false">IF(AND($J2256="E-commerce",IFERROR($T2256/$R2256,0)&gt;Parametros!$C$14),"Alerta","OK")</f>
        <v>OK</v>
      </c>
      <c r="Y2256" s="61" t="str">
        <f aca="false">IF($R2256&gt;=Parametros!$C$12,"Alto",IF($R2256&lt;Parametros!$C$13,"Bajo","Medio"))</f>
        <v>Medio</v>
      </c>
      <c r="Z2256" s="61" t="n">
        <v>2290</v>
      </c>
      <c r="AA2256" s="61" t="str">
        <f aca="false">IF(MATCH($A2256,Datos_Origen!$A$2:$A$2459,0)=$Z2256,"OK","REVISAR")</f>
        <v>OK</v>
      </c>
      <c r="AB2256" s="62" t="n">
        <f aca="false">INDEX(Datos_Origen!$B$2:$B$2459,$Z2256)</f>
        <v>45979</v>
      </c>
      <c r="AC2256" s="61" t="n">
        <f aca="false">INDEX(Datos_Origen!$H$2:$H$2459,$Z2256)</f>
        <v>21</v>
      </c>
      <c r="AD2256" s="61" t="str">
        <f aca="false">INDEX(Datos_Origen!$D$2:$D$2459,$Z2256)&amp;""</f>
        <v>Rosario</v>
      </c>
    </row>
    <row r="2257" customFormat="false" ht="15" hidden="false" customHeight="false" outlineLevel="0" collapsed="false">
      <c r="A2257" s="61" t="n">
        <f aca="false">INDEX(Datos_Origen!$A$2:$A$2459,$Z2257)</f>
        <v>2256</v>
      </c>
      <c r="B2257" s="62" t="n">
        <f aca="false">IF(ISNUMBER($AB2257),$AB2257,IF(MID($AB2257,5,1)="-",DATE(VALUE(LEFT($AB2257,4)),VALUE(MID($AB2257,6,2)),VALUE(RIGHT($AB2257,2))),DATE(VALUE(RIGHT($AB2257,4)),VALUE(MID($AB2257,4,2)),VALUE(LEFT($AB2257,2)))))</f>
        <v>45986</v>
      </c>
      <c r="C2257" s="61" t="n">
        <f aca="false">YEAR($B2257)</f>
        <v>2025</v>
      </c>
      <c r="D2257" s="61" t="str">
        <f aca="false">"Q"&amp;ROUNDUP(MONTH($B2257)/3,0)</f>
        <v>Q4</v>
      </c>
      <c r="E2257" s="61" t="n">
        <f aca="false">MONTH($B2257)</f>
        <v>11</v>
      </c>
      <c r="F2257" s="61" t="str">
        <f aca="false">INDEX(Parametros!$I$5:$I$16,$E2257)</f>
        <v>Nov</v>
      </c>
      <c r="G2257" s="61" t="str">
        <f aca="false">TEXT($C2257,"0000")&amp;"-"&amp;TEXT($E2257,"00")</f>
        <v>2025-11</v>
      </c>
      <c r="H2257" s="61" t="str">
        <f aca="false">INDEX(Parametros!$C$71:$C$91,MATCH(TRIM(INDEX(Datos_Origen!$C$2:$C$2459,$Z2257)),Parametros!$B$71:$B$91,0))</f>
        <v>Litoral</v>
      </c>
      <c r="I2257" s="61" t="str">
        <f aca="false">IF(TRIM($AD2257)="",INDEX(Parametros!$I$20:$I$24,MATCH($H2257,Parametros!$H$20:$H$24,0)),TRIM($AD2257))</f>
        <v>Rosario</v>
      </c>
      <c r="J2257" s="61" t="str">
        <f aca="false">INDEX(Parametros!$C$95:$C$106,MATCH(TRIM(INDEX(Datos_Origen!$E$2:$E$2459,$Z2257)),Parametros!$B$95:$B$106,0))</f>
        <v>E-commerce</v>
      </c>
      <c r="K2257" s="61" t="str">
        <f aca="false">INDEX(Parametros!$C$48:$C$67,MATCH(TRIM(INDEX(Datos_Origen!$F$2:$F$2459,$Z2257)),Parametros!$B$48:$B$67,0))</f>
        <v>Audio</v>
      </c>
      <c r="L2257" s="61" t="str">
        <f aca="false">$K2257&amp;" "&amp;$C2257</f>
        <v>Audio 2025</v>
      </c>
      <c r="M2257" s="61" t="str">
        <f aca="false">TRIM(INDEX(Datos_Origen!$G$2:$G$2459,$Z2257))</f>
        <v>Parlante Bluetooth</v>
      </c>
      <c r="N2257" s="61" t="str">
        <f aca="false">$M2257&amp;" "&amp;$C2257</f>
        <v>Parlante Bluetooth 2025</v>
      </c>
      <c r="O2257" s="63" t="n">
        <f aca="false">IF(ISTEXT($AC2257),VALUE($AC2257),$AC2257)</f>
        <v>18</v>
      </c>
      <c r="P2257" s="64" t="n">
        <f aca="false">INDEX(Datos_Origen!$I$2:$I$2459,$Z2257)</f>
        <v>85.34</v>
      </c>
      <c r="Q2257" s="64" t="n">
        <f aca="false">INDEX(Datos_Origen!$J$2:$J$2459,$Z2257)</f>
        <v>49.47</v>
      </c>
      <c r="R2257" s="65" t="n">
        <f aca="false">ROUND($O2257*$P2257,2)</f>
        <v>1536.12</v>
      </c>
      <c r="S2257" s="65" t="n">
        <f aca="false">ROUND($O2257*$Q2257,2)</f>
        <v>890.46</v>
      </c>
      <c r="T2257" s="65" t="n">
        <f aca="false">ROUND($R2257*SUMIFS(Parametros!$E$28:$E$43,Parametros!$B$28:$B$43,$J2257,Parametros!$C$28:$C$43,$C2257,Parametros!$D$28:$D$43,$D2257),2)</f>
        <v>79.88</v>
      </c>
      <c r="U2257" s="65" t="n">
        <f aca="false">$R2257-$S2257-$T2257</f>
        <v>565.78</v>
      </c>
      <c r="V2257" s="66" t="n">
        <f aca="false">IFERROR($U2257/$R2257,0)</f>
        <v>0.368317579355779</v>
      </c>
      <c r="W2257" s="67" t="str">
        <f aca="false">IF(AND($V2257&gt;=Parametros!$C$8,$R2257&gt;=Parametros!$C$12),"Alta rentabilidad",IF(OR($V2257&lt;Parametros!$C$11,$R2257&lt;Parametros!$C$13),"Revisar","Estandar"))</f>
        <v>Estandar</v>
      </c>
      <c r="X2257" s="67" t="str">
        <f aca="false">IF(AND($J2257="E-commerce",IFERROR($T2257/$R2257,0)&gt;Parametros!$C$14),"Alerta","OK")</f>
        <v>Alerta</v>
      </c>
      <c r="Y2257" s="61" t="str">
        <f aca="false">IF($R2257&gt;=Parametros!$C$12,"Alto",IF($R2257&lt;Parametros!$C$13,"Bajo","Medio"))</f>
        <v>Medio</v>
      </c>
      <c r="Z2257" s="61" t="n">
        <v>548</v>
      </c>
      <c r="AA2257" s="61" t="str">
        <f aca="false">IF(MATCH($A2257,Datos_Origen!$A$2:$A$2459,0)=$Z2257,"OK","REVISAR")</f>
        <v>OK</v>
      </c>
      <c r="AB2257" s="61" t="str">
        <f aca="false">INDEX(Datos_Origen!$B$2:$B$2459,$Z2257)</f>
        <v>25/11/2025</v>
      </c>
      <c r="AC2257" s="61" t="n">
        <f aca="false">INDEX(Datos_Origen!$H$2:$H$2459,$Z2257)</f>
        <v>18</v>
      </c>
      <c r="AD2257" s="61" t="str">
        <f aca="false">INDEX(Datos_Origen!$D$2:$D$2459,$Z2257)&amp;""</f>
        <v>Rosario</v>
      </c>
    </row>
    <row r="2258" customFormat="false" ht="15" hidden="false" customHeight="false" outlineLevel="0" collapsed="false">
      <c r="A2258" s="61" t="n">
        <f aca="false">INDEX(Datos_Origen!$A$2:$A$2459,$Z2258)</f>
        <v>2257</v>
      </c>
      <c r="B2258" s="62" t="n">
        <f aca="false">IF(ISNUMBER($AB2258),$AB2258,IF(MID($AB2258,5,1)="-",DATE(VALUE(LEFT($AB2258,4)),VALUE(MID($AB2258,6,2)),VALUE(RIGHT($AB2258,2))),DATE(VALUE(RIGHT($AB2258,4)),VALUE(MID($AB2258,4,2)),VALUE(LEFT($AB2258,2)))))</f>
        <v>45966</v>
      </c>
      <c r="C2258" s="61" t="n">
        <f aca="false">YEAR($B2258)</f>
        <v>2025</v>
      </c>
      <c r="D2258" s="61" t="str">
        <f aca="false">"Q"&amp;ROUNDUP(MONTH($B2258)/3,0)</f>
        <v>Q4</v>
      </c>
      <c r="E2258" s="61" t="n">
        <f aca="false">MONTH($B2258)</f>
        <v>11</v>
      </c>
      <c r="F2258" s="61" t="str">
        <f aca="false">INDEX(Parametros!$I$5:$I$16,$E2258)</f>
        <v>Nov</v>
      </c>
      <c r="G2258" s="61" t="str">
        <f aca="false">TEXT($C2258,"0000")&amp;"-"&amp;TEXT($E2258,"00")</f>
        <v>2025-11</v>
      </c>
      <c r="H2258" s="61" t="str">
        <f aca="false">INDEX(Parametros!$C$71:$C$91,MATCH(TRIM(INDEX(Datos_Origen!$C$2:$C$2459,$Z2258)),Parametros!$B$71:$B$91,0))</f>
        <v>Litoral</v>
      </c>
      <c r="I2258" s="61" t="str">
        <f aca="false">IF(TRIM($AD2258)="",INDEX(Parametros!$I$20:$I$24,MATCH($H2258,Parametros!$H$20:$H$24,0)),TRIM($AD2258))</f>
        <v>Rosario</v>
      </c>
      <c r="J2258" s="61" t="str">
        <f aca="false">INDEX(Parametros!$C$95:$C$106,MATCH(TRIM(INDEX(Datos_Origen!$E$2:$E$2459,$Z2258)),Parametros!$B$95:$B$106,0))</f>
        <v>Tienda fisica</v>
      </c>
      <c r="K2258" s="61" t="str">
        <f aca="false">INDEX(Parametros!$C$48:$C$67,MATCH(TRIM(INDEX(Datos_Origen!$F$2:$F$2459,$Z2258)),Parametros!$B$48:$B$67,0))</f>
        <v>Almacenamiento</v>
      </c>
      <c r="L2258" s="61" t="str">
        <f aca="false">$K2258&amp;" "&amp;$C2258</f>
        <v>Almacenamiento 2025</v>
      </c>
      <c r="M2258" s="61" t="str">
        <f aca="false">TRIM(INDEX(Datos_Origen!$G$2:$G$2459,$Z2258))</f>
        <v>SSD Externo 1TB</v>
      </c>
      <c r="N2258" s="61" t="str">
        <f aca="false">$M2258&amp;" "&amp;$C2258</f>
        <v>SSD Externo 1TB 2025</v>
      </c>
      <c r="O2258" s="63" t="n">
        <f aca="false">IF(ISTEXT($AC2258),VALUE($AC2258),$AC2258)</f>
        <v>27</v>
      </c>
      <c r="P2258" s="64" t="n">
        <f aca="false">INDEX(Datos_Origen!$I$2:$I$2459,$Z2258)</f>
        <v>130.51</v>
      </c>
      <c r="Q2258" s="64" t="n">
        <f aca="false">INDEX(Datos_Origen!$J$2:$J$2459,$Z2258)</f>
        <v>78.33</v>
      </c>
      <c r="R2258" s="65" t="n">
        <f aca="false">ROUND($O2258*$P2258,2)</f>
        <v>3523.77</v>
      </c>
      <c r="S2258" s="65" t="n">
        <f aca="false">ROUND($O2258*$Q2258,2)</f>
        <v>2114.91</v>
      </c>
      <c r="T2258" s="65" t="n">
        <f aca="false">ROUND($R2258*SUMIFS(Parametros!$E$28:$E$43,Parametros!$B$28:$B$43,$J2258,Parametros!$C$28:$C$43,$C2258,Parametros!$D$28:$D$43,$D2258),2)</f>
        <v>45.81</v>
      </c>
      <c r="U2258" s="65" t="n">
        <f aca="false">$R2258-$S2258-$T2258</f>
        <v>1363.05</v>
      </c>
      <c r="V2258" s="66" t="n">
        <f aca="false">IFERROR($U2258/$R2258,0)</f>
        <v>0.386815825096417</v>
      </c>
      <c r="W2258" s="67" t="str">
        <f aca="false">IF(AND($V2258&gt;=Parametros!$C$8,$R2258&gt;=Parametros!$C$12),"Alta rentabilidad",IF(OR($V2258&lt;Parametros!$C$11,$R2258&lt;Parametros!$C$13),"Revisar","Estandar"))</f>
        <v>Alta rentabilidad</v>
      </c>
      <c r="X2258" s="67" t="str">
        <f aca="false">IF(AND($J2258="E-commerce",IFERROR($T2258/$R2258,0)&gt;Parametros!$C$14),"Alerta","OK")</f>
        <v>OK</v>
      </c>
      <c r="Y2258" s="61" t="str">
        <f aca="false">IF($R2258&gt;=Parametros!$C$12,"Alto",IF($R2258&lt;Parametros!$C$13,"Bajo","Medio"))</f>
        <v>Alto</v>
      </c>
      <c r="Z2258" s="61" t="n">
        <v>2430</v>
      </c>
      <c r="AA2258" s="61" t="str">
        <f aca="false">IF(MATCH($A2258,Datos_Origen!$A$2:$A$2459,0)=$Z2258,"OK","REVISAR")</f>
        <v>OK</v>
      </c>
      <c r="AB2258" s="62" t="n">
        <f aca="false">INDEX(Datos_Origen!$B$2:$B$2459,$Z2258)</f>
        <v>45966</v>
      </c>
      <c r="AC2258" s="61" t="n">
        <f aca="false">INDEX(Datos_Origen!$H$2:$H$2459,$Z2258)</f>
        <v>27</v>
      </c>
      <c r="AD2258" s="61" t="str">
        <f aca="false">INDEX(Datos_Origen!$D$2:$D$2459,$Z2258)&amp;""</f>
        <v>Rosario</v>
      </c>
    </row>
    <row r="2259" customFormat="false" ht="15" hidden="false" customHeight="false" outlineLevel="0" collapsed="false">
      <c r="A2259" s="61" t="n">
        <f aca="false">INDEX(Datos_Origen!$A$2:$A$2459,$Z2259)</f>
        <v>2258</v>
      </c>
      <c r="B2259" s="62" t="n">
        <f aca="false">IF(ISNUMBER($AB2259),$AB2259,IF(MID($AB2259,5,1)="-",DATE(VALUE(LEFT($AB2259,4)),VALUE(MID($AB2259,6,2)),VALUE(RIGHT($AB2259,2))),DATE(VALUE(RIGHT($AB2259,4)),VALUE(MID($AB2259,4,2)),VALUE(LEFT($AB2259,2)))))</f>
        <v>45973</v>
      </c>
      <c r="C2259" s="61" t="n">
        <f aca="false">YEAR($B2259)</f>
        <v>2025</v>
      </c>
      <c r="D2259" s="61" t="str">
        <f aca="false">"Q"&amp;ROUNDUP(MONTH($B2259)/3,0)</f>
        <v>Q4</v>
      </c>
      <c r="E2259" s="61" t="n">
        <f aca="false">MONTH($B2259)</f>
        <v>11</v>
      </c>
      <c r="F2259" s="61" t="str">
        <f aca="false">INDEX(Parametros!$I$5:$I$16,$E2259)</f>
        <v>Nov</v>
      </c>
      <c r="G2259" s="61" t="str">
        <f aca="false">TEXT($C2259,"0000")&amp;"-"&amp;TEXT($E2259,"00")</f>
        <v>2025-11</v>
      </c>
      <c r="H2259" s="61" t="str">
        <f aca="false">INDEX(Parametros!$C$71:$C$91,MATCH(TRIM(INDEX(Datos_Origen!$C$2:$C$2459,$Z2259)),Parametros!$B$71:$B$91,0))</f>
        <v>Litoral</v>
      </c>
      <c r="I2259" s="61" t="str">
        <f aca="false">IF(TRIM($AD2259)="",INDEX(Parametros!$I$20:$I$24,MATCH($H2259,Parametros!$H$20:$H$24,0)),TRIM($AD2259))</f>
        <v>Rosario</v>
      </c>
      <c r="J2259" s="61" t="str">
        <f aca="false">INDEX(Parametros!$C$95:$C$106,MATCH(TRIM(INDEX(Datos_Origen!$E$2:$E$2459,$Z2259)),Parametros!$B$95:$B$106,0))</f>
        <v>E-commerce</v>
      </c>
      <c r="K2259" s="61" t="str">
        <f aca="false">INDEX(Parametros!$C$48:$C$67,MATCH(TRIM(INDEX(Datos_Origen!$F$2:$F$2459,$Z2259)),Parametros!$B$48:$B$67,0))</f>
        <v>Almacenamiento</v>
      </c>
      <c r="L2259" s="61" t="str">
        <f aca="false">$K2259&amp;" "&amp;$C2259</f>
        <v>Almacenamiento 2025</v>
      </c>
      <c r="M2259" s="61" t="str">
        <f aca="false">TRIM(INDEX(Datos_Origen!$G$2:$G$2459,$Z2259))</f>
        <v>SSD Externo 1TB</v>
      </c>
      <c r="N2259" s="61" t="str">
        <f aca="false">$M2259&amp;" "&amp;$C2259</f>
        <v>SSD Externo 1TB 2025</v>
      </c>
      <c r="O2259" s="63" t="n">
        <f aca="false">IF(ISTEXT($AC2259),VALUE($AC2259),$AC2259)</f>
        <v>18</v>
      </c>
      <c r="P2259" s="64" t="n">
        <f aca="false">INDEX(Datos_Origen!$I$2:$I$2459,$Z2259)</f>
        <v>130.51</v>
      </c>
      <c r="Q2259" s="64" t="n">
        <f aca="false">INDEX(Datos_Origen!$J$2:$J$2459,$Z2259)</f>
        <v>78.33</v>
      </c>
      <c r="R2259" s="65" t="n">
        <f aca="false">ROUND($O2259*$P2259,2)</f>
        <v>2349.18</v>
      </c>
      <c r="S2259" s="65" t="n">
        <f aca="false">ROUND($O2259*$Q2259,2)</f>
        <v>1409.94</v>
      </c>
      <c r="T2259" s="65" t="n">
        <f aca="false">ROUND($R2259*SUMIFS(Parametros!$E$28:$E$43,Parametros!$B$28:$B$43,$J2259,Parametros!$C$28:$C$43,$C2259,Parametros!$D$28:$D$43,$D2259),2)</f>
        <v>122.16</v>
      </c>
      <c r="U2259" s="65" t="n">
        <f aca="false">$R2259-$S2259-$T2259</f>
        <v>817.08</v>
      </c>
      <c r="V2259" s="66" t="n">
        <f aca="false">IFERROR($U2259/$R2259,0)</f>
        <v>0.347814982249125</v>
      </c>
      <c r="W2259" s="67" t="str">
        <f aca="false">IF(AND($V2259&gt;=Parametros!$C$8,$R2259&gt;=Parametros!$C$12),"Alta rentabilidad",IF(OR($V2259&lt;Parametros!$C$11,$R2259&lt;Parametros!$C$13),"Revisar","Estandar"))</f>
        <v>Estandar</v>
      </c>
      <c r="X2259" s="67" t="str">
        <f aca="false">IF(AND($J2259="E-commerce",IFERROR($T2259/$R2259,0)&gt;Parametros!$C$14),"Alerta","OK")</f>
        <v>Alerta</v>
      </c>
      <c r="Y2259" s="61" t="str">
        <f aca="false">IF($R2259&gt;=Parametros!$C$12,"Alto",IF($R2259&lt;Parametros!$C$13,"Bajo","Medio"))</f>
        <v>Medio</v>
      </c>
      <c r="Z2259" s="61" t="n">
        <v>285</v>
      </c>
      <c r="AA2259" s="61" t="str">
        <f aca="false">IF(MATCH($A2259,Datos_Origen!$A$2:$A$2459,0)=$Z2259,"OK","REVISAR")</f>
        <v>OK</v>
      </c>
      <c r="AB2259" s="62" t="n">
        <f aca="false">INDEX(Datos_Origen!$B$2:$B$2459,$Z2259)</f>
        <v>45973</v>
      </c>
      <c r="AC2259" s="61" t="n">
        <f aca="false">INDEX(Datos_Origen!$H$2:$H$2459,$Z2259)</f>
        <v>18</v>
      </c>
      <c r="AD2259" s="61" t="str">
        <f aca="false">INDEX(Datos_Origen!$D$2:$D$2459,$Z2259)&amp;""</f>
        <v>Rosario</v>
      </c>
    </row>
    <row r="2260" customFormat="false" ht="15" hidden="false" customHeight="false" outlineLevel="0" collapsed="false">
      <c r="A2260" s="61" t="n">
        <f aca="false">INDEX(Datos_Origen!$A$2:$A$2459,$Z2260)</f>
        <v>2259</v>
      </c>
      <c r="B2260" s="62" t="n">
        <f aca="false">IF(ISNUMBER($AB2260),$AB2260,IF(MID($AB2260,5,1)="-",DATE(VALUE(LEFT($AB2260,4)),VALUE(MID($AB2260,6,2)),VALUE(RIGHT($AB2260,2))),DATE(VALUE(RIGHT($AB2260,4)),VALUE(MID($AB2260,4,2)),VALUE(LEFT($AB2260,2)))))</f>
        <v>45980</v>
      </c>
      <c r="C2260" s="61" t="n">
        <f aca="false">YEAR($B2260)</f>
        <v>2025</v>
      </c>
      <c r="D2260" s="61" t="str">
        <f aca="false">"Q"&amp;ROUNDUP(MONTH($B2260)/3,0)</f>
        <v>Q4</v>
      </c>
      <c r="E2260" s="61" t="n">
        <f aca="false">MONTH($B2260)</f>
        <v>11</v>
      </c>
      <c r="F2260" s="61" t="str">
        <f aca="false">INDEX(Parametros!$I$5:$I$16,$E2260)</f>
        <v>Nov</v>
      </c>
      <c r="G2260" s="61" t="str">
        <f aca="false">TEXT($C2260,"0000")&amp;"-"&amp;TEXT($E2260,"00")</f>
        <v>2025-11</v>
      </c>
      <c r="H2260" s="61" t="str">
        <f aca="false">INDEX(Parametros!$C$71:$C$91,MATCH(TRIM(INDEX(Datos_Origen!$C$2:$C$2459,$Z2260)),Parametros!$B$71:$B$91,0))</f>
        <v>Litoral</v>
      </c>
      <c r="I2260" s="61" t="str">
        <f aca="false">IF(TRIM($AD2260)="",INDEX(Parametros!$I$20:$I$24,MATCH($H2260,Parametros!$H$20:$H$24,0)),TRIM($AD2260))</f>
        <v>Rosario</v>
      </c>
      <c r="J2260" s="61" t="str">
        <f aca="false">INDEX(Parametros!$C$95:$C$106,MATCH(TRIM(INDEX(Datos_Origen!$E$2:$E$2459,$Z2260)),Parametros!$B$95:$B$106,0))</f>
        <v>Tienda fisica</v>
      </c>
      <c r="K2260" s="61" t="str">
        <f aca="false">INDEX(Parametros!$C$48:$C$67,MATCH(TRIM(INDEX(Datos_Origen!$F$2:$F$2459,$Z2260)),Parametros!$B$48:$B$67,0))</f>
        <v>Almacenamiento</v>
      </c>
      <c r="L2260" s="61" t="str">
        <f aca="false">$K2260&amp;" "&amp;$C2260</f>
        <v>Almacenamiento 2025</v>
      </c>
      <c r="M2260" s="61" t="str">
        <f aca="false">TRIM(INDEX(Datos_Origen!$G$2:$G$2459,$Z2260))</f>
        <v>Pendrive 256GB</v>
      </c>
      <c r="N2260" s="61" t="str">
        <f aca="false">$M2260&amp;" "&amp;$C2260</f>
        <v>Pendrive 256GB 2025</v>
      </c>
      <c r="O2260" s="63" t="n">
        <f aca="false">IF(ISTEXT($AC2260),VALUE($AC2260),$AC2260)</f>
        <v>27</v>
      </c>
      <c r="P2260" s="64" t="n">
        <f aca="false">INDEX(Datos_Origen!$I$2:$I$2459,$Z2260)</f>
        <v>35.14</v>
      </c>
      <c r="Q2260" s="64" t="n">
        <f aca="false">INDEX(Datos_Origen!$J$2:$J$2459,$Z2260)</f>
        <v>18.39</v>
      </c>
      <c r="R2260" s="65" t="n">
        <f aca="false">ROUND($O2260*$P2260,2)</f>
        <v>948.78</v>
      </c>
      <c r="S2260" s="65" t="n">
        <f aca="false">ROUND($O2260*$Q2260,2)</f>
        <v>496.53</v>
      </c>
      <c r="T2260" s="65" t="n">
        <f aca="false">ROUND($R2260*SUMIFS(Parametros!$E$28:$E$43,Parametros!$B$28:$B$43,$J2260,Parametros!$C$28:$C$43,$C2260,Parametros!$D$28:$D$43,$D2260),2)</f>
        <v>12.33</v>
      </c>
      <c r="U2260" s="65" t="n">
        <f aca="false">$R2260-$S2260-$T2260</f>
        <v>439.92</v>
      </c>
      <c r="V2260" s="66" t="n">
        <f aca="false">IFERROR($U2260/$R2260,0)</f>
        <v>0.463669132991842</v>
      </c>
      <c r="W2260" s="67" t="str">
        <f aca="false">IF(AND($V2260&gt;=Parametros!$C$8,$R2260&gt;=Parametros!$C$12),"Alta rentabilidad",IF(OR($V2260&lt;Parametros!$C$11,$R2260&lt;Parametros!$C$13),"Revisar","Estandar"))</f>
        <v>Estandar</v>
      </c>
      <c r="X2260" s="67" t="str">
        <f aca="false">IF(AND($J2260="E-commerce",IFERROR($T2260/$R2260,0)&gt;Parametros!$C$14),"Alerta","OK")</f>
        <v>OK</v>
      </c>
      <c r="Y2260" s="61" t="str">
        <f aca="false">IF($R2260&gt;=Parametros!$C$12,"Alto",IF($R2260&lt;Parametros!$C$13,"Bajo","Medio"))</f>
        <v>Medio</v>
      </c>
      <c r="Z2260" s="61" t="n">
        <v>1319</v>
      </c>
      <c r="AA2260" s="61" t="str">
        <f aca="false">IF(MATCH($A2260,Datos_Origen!$A$2:$A$2459,0)=$Z2260,"OK","REVISAR")</f>
        <v>OK</v>
      </c>
      <c r="AB2260" s="61" t="str">
        <f aca="false">INDEX(Datos_Origen!$B$2:$B$2459,$Z2260)</f>
        <v>2025-11-19</v>
      </c>
      <c r="AC2260" s="61" t="n">
        <f aca="false">INDEX(Datos_Origen!$H$2:$H$2459,$Z2260)</f>
        <v>27</v>
      </c>
      <c r="AD2260" s="61" t="str">
        <f aca="false">INDEX(Datos_Origen!$D$2:$D$2459,$Z2260)&amp;""</f>
        <v>Rosario</v>
      </c>
    </row>
    <row r="2261" customFormat="false" ht="15" hidden="false" customHeight="false" outlineLevel="0" collapsed="false">
      <c r="A2261" s="61" t="n">
        <f aca="false">INDEX(Datos_Origen!$A$2:$A$2459,$Z2261)</f>
        <v>2260</v>
      </c>
      <c r="B2261" s="62" t="n">
        <f aca="false">IF(ISNUMBER($AB2261),$AB2261,IF(MID($AB2261,5,1)="-",DATE(VALUE(LEFT($AB2261,4)),VALUE(MID($AB2261,6,2)),VALUE(RIGHT($AB2261,2))),DATE(VALUE(RIGHT($AB2261,4)),VALUE(MID($AB2261,4,2)),VALUE(LEFT($AB2261,2)))))</f>
        <v>45987</v>
      </c>
      <c r="C2261" s="61" t="n">
        <f aca="false">YEAR($B2261)</f>
        <v>2025</v>
      </c>
      <c r="D2261" s="61" t="str">
        <f aca="false">"Q"&amp;ROUNDUP(MONTH($B2261)/3,0)</f>
        <v>Q4</v>
      </c>
      <c r="E2261" s="61" t="n">
        <f aca="false">MONTH($B2261)</f>
        <v>11</v>
      </c>
      <c r="F2261" s="61" t="str">
        <f aca="false">INDEX(Parametros!$I$5:$I$16,$E2261)</f>
        <v>Nov</v>
      </c>
      <c r="G2261" s="61" t="str">
        <f aca="false">TEXT($C2261,"0000")&amp;"-"&amp;TEXT($E2261,"00")</f>
        <v>2025-11</v>
      </c>
      <c r="H2261" s="61" t="str">
        <f aca="false">INDEX(Parametros!$C$71:$C$91,MATCH(TRIM(INDEX(Datos_Origen!$C$2:$C$2459,$Z2261)),Parametros!$B$71:$B$91,0))</f>
        <v>Litoral</v>
      </c>
      <c r="I2261" s="61" t="str">
        <f aca="false">IF(TRIM($AD2261)="",INDEX(Parametros!$I$20:$I$24,MATCH($H2261,Parametros!$H$20:$H$24,0)),TRIM($AD2261))</f>
        <v>Rosario</v>
      </c>
      <c r="J2261" s="61" t="str">
        <f aca="false">INDEX(Parametros!$C$95:$C$106,MATCH(TRIM(INDEX(Datos_Origen!$E$2:$E$2459,$Z2261)),Parametros!$B$95:$B$106,0))</f>
        <v>E-commerce</v>
      </c>
      <c r="K2261" s="61" t="str">
        <f aca="false">INDEX(Parametros!$C$48:$C$67,MATCH(TRIM(INDEX(Datos_Origen!$F$2:$F$2459,$Z2261)),Parametros!$B$48:$B$67,0))</f>
        <v>Almacenamiento</v>
      </c>
      <c r="L2261" s="61" t="str">
        <f aca="false">$K2261&amp;" "&amp;$C2261</f>
        <v>Almacenamiento 2025</v>
      </c>
      <c r="M2261" s="61" t="str">
        <f aca="false">TRIM(INDEX(Datos_Origen!$G$2:$G$2459,$Z2261))</f>
        <v>Pendrive 256GB</v>
      </c>
      <c r="N2261" s="61" t="str">
        <f aca="false">$M2261&amp;" "&amp;$C2261</f>
        <v>Pendrive 256GB 2025</v>
      </c>
      <c r="O2261" s="63" t="n">
        <f aca="false">IF(ISTEXT($AC2261),VALUE($AC2261),$AC2261)</f>
        <v>21</v>
      </c>
      <c r="P2261" s="64" t="n">
        <f aca="false">INDEX(Datos_Origen!$I$2:$I$2459,$Z2261)</f>
        <v>35.14</v>
      </c>
      <c r="Q2261" s="64" t="n">
        <f aca="false">INDEX(Datos_Origen!$J$2:$J$2459,$Z2261)</f>
        <v>18.39</v>
      </c>
      <c r="R2261" s="65" t="n">
        <f aca="false">ROUND($O2261*$P2261,2)</f>
        <v>737.94</v>
      </c>
      <c r="S2261" s="65" t="n">
        <f aca="false">ROUND($O2261*$Q2261,2)</f>
        <v>386.19</v>
      </c>
      <c r="T2261" s="65" t="n">
        <f aca="false">ROUND($R2261*SUMIFS(Parametros!$E$28:$E$43,Parametros!$B$28:$B$43,$J2261,Parametros!$C$28:$C$43,$C2261,Parametros!$D$28:$D$43,$D2261),2)</f>
        <v>38.37</v>
      </c>
      <c r="U2261" s="65" t="n">
        <f aca="false">$R2261-$S2261-$T2261</f>
        <v>313.38</v>
      </c>
      <c r="V2261" s="66" t="n">
        <f aca="false">IFERROR($U2261/$R2261,0)</f>
        <v>0.424668672249776</v>
      </c>
      <c r="W2261" s="67" t="str">
        <f aca="false">IF(AND($V2261&gt;=Parametros!$C$8,$R2261&gt;=Parametros!$C$12),"Alta rentabilidad",IF(OR($V2261&lt;Parametros!$C$11,$R2261&lt;Parametros!$C$13),"Revisar","Estandar"))</f>
        <v>Estandar</v>
      </c>
      <c r="X2261" s="67" t="str">
        <f aca="false">IF(AND($J2261="E-commerce",IFERROR($T2261/$R2261,0)&gt;Parametros!$C$14),"Alerta","OK")</f>
        <v>Alerta</v>
      </c>
      <c r="Y2261" s="61" t="str">
        <f aca="false">IF($R2261&gt;=Parametros!$C$12,"Alto",IF($R2261&lt;Parametros!$C$13,"Bajo","Medio"))</f>
        <v>Medio</v>
      </c>
      <c r="Z2261" s="61" t="n">
        <v>1208</v>
      </c>
      <c r="AA2261" s="61" t="str">
        <f aca="false">IF(MATCH($A2261,Datos_Origen!$A$2:$A$2459,0)=$Z2261,"OK","REVISAR")</f>
        <v>OK</v>
      </c>
      <c r="AB2261" s="61" t="str">
        <f aca="false">INDEX(Datos_Origen!$B$2:$B$2459,$Z2261)</f>
        <v>26/11/2025</v>
      </c>
      <c r="AC2261" s="61" t="n">
        <f aca="false">INDEX(Datos_Origen!$H$2:$H$2459,$Z2261)</f>
        <v>21</v>
      </c>
      <c r="AD2261" s="61" t="str">
        <f aca="false">INDEX(Datos_Origen!$D$2:$D$2459,$Z2261)&amp;""</f>
        <v>Rosario</v>
      </c>
    </row>
    <row r="2262" customFormat="false" ht="15" hidden="false" customHeight="false" outlineLevel="0" collapsed="false">
      <c r="A2262" s="61" t="n">
        <f aca="false">INDEX(Datos_Origen!$A$2:$A$2459,$Z2262)</f>
        <v>2261</v>
      </c>
      <c r="B2262" s="62" t="n">
        <f aca="false">IF(ISNUMBER($AB2262),$AB2262,IF(MID($AB2262,5,1)="-",DATE(VALUE(LEFT($AB2262,4)),VALUE(MID($AB2262,6,2)),VALUE(RIGHT($AB2262,2))),DATE(VALUE(RIGHT($AB2262,4)),VALUE(MID($AB2262,4,2)),VALUE(LEFT($AB2262,2)))))</f>
        <v>45967</v>
      </c>
      <c r="C2262" s="61" t="n">
        <f aca="false">YEAR($B2262)</f>
        <v>2025</v>
      </c>
      <c r="D2262" s="61" t="str">
        <f aca="false">"Q"&amp;ROUNDUP(MONTH($B2262)/3,0)</f>
        <v>Q4</v>
      </c>
      <c r="E2262" s="61" t="n">
        <f aca="false">MONTH($B2262)</f>
        <v>11</v>
      </c>
      <c r="F2262" s="61" t="str">
        <f aca="false">INDEX(Parametros!$I$5:$I$16,$E2262)</f>
        <v>Nov</v>
      </c>
      <c r="G2262" s="61" t="str">
        <f aca="false">TEXT($C2262,"0000")&amp;"-"&amp;TEXT($E2262,"00")</f>
        <v>2025-11</v>
      </c>
      <c r="H2262" s="61" t="str">
        <f aca="false">INDEX(Parametros!$C$71:$C$91,MATCH(TRIM(INDEX(Datos_Origen!$C$2:$C$2459,$Z2262)),Parametros!$B$71:$B$91,0))</f>
        <v>Cuyo</v>
      </c>
      <c r="I2262" s="61" t="str">
        <f aca="false">IF(TRIM($AD2262)="",INDEX(Parametros!$I$20:$I$24,MATCH($H2262,Parametros!$H$20:$H$24,0)),TRIM($AD2262))</f>
        <v>Mendoza</v>
      </c>
      <c r="J2262" s="61" t="str">
        <f aca="false">INDEX(Parametros!$C$95:$C$106,MATCH(TRIM(INDEX(Datos_Origen!$E$2:$E$2459,$Z2262)),Parametros!$B$95:$B$106,0))</f>
        <v>Tienda fisica</v>
      </c>
      <c r="K2262" s="61" t="str">
        <f aca="false">INDEX(Parametros!$C$48:$C$67,MATCH(TRIM(INDEX(Datos_Origen!$F$2:$F$2459,$Z2262)),Parametros!$B$48:$B$67,0))</f>
        <v>Computacion</v>
      </c>
      <c r="L2262" s="61" t="str">
        <f aca="false">$K2262&amp;" "&amp;$C2262</f>
        <v>Computacion 2025</v>
      </c>
      <c r="M2262" s="61" t="str">
        <f aca="false">TRIM(INDEX(Datos_Origen!$G$2:$G$2459,$Z2262))</f>
        <v>Laptop Pro 15</v>
      </c>
      <c r="N2262" s="61" t="str">
        <f aca="false">$M2262&amp;" "&amp;$C2262</f>
        <v>Laptop Pro 15 2025</v>
      </c>
      <c r="O2262" s="63" t="n">
        <f aca="false">IF(ISTEXT($AC2262),VALUE($AC2262),$AC2262)</f>
        <v>7</v>
      </c>
      <c r="P2262" s="64" t="n">
        <f aca="false">INDEX(Datos_Origen!$I$2:$I$2459,$Z2262)</f>
        <v>1204.74</v>
      </c>
      <c r="Q2262" s="64" t="n">
        <f aca="false">INDEX(Datos_Origen!$J$2:$J$2459,$Z2262)</f>
        <v>766.32</v>
      </c>
      <c r="R2262" s="65" t="n">
        <f aca="false">ROUND($O2262*$P2262,2)</f>
        <v>8433.18</v>
      </c>
      <c r="S2262" s="65" t="n">
        <f aca="false">ROUND($O2262*$Q2262,2)</f>
        <v>5364.24</v>
      </c>
      <c r="T2262" s="65" t="n">
        <f aca="false">ROUND($R2262*SUMIFS(Parametros!$E$28:$E$43,Parametros!$B$28:$B$43,$J2262,Parametros!$C$28:$C$43,$C2262,Parametros!$D$28:$D$43,$D2262),2)</f>
        <v>109.63</v>
      </c>
      <c r="U2262" s="65" t="n">
        <f aca="false">$R2262-$S2262-$T2262</f>
        <v>2959.31</v>
      </c>
      <c r="V2262" s="66" t="n">
        <f aca="false">IFERROR($U2262/$R2262,0)</f>
        <v>0.35091270434166</v>
      </c>
      <c r="W2262" s="67" t="str">
        <f aca="false">IF(AND($V2262&gt;=Parametros!$C$8,$R2262&gt;=Parametros!$C$12),"Alta rentabilidad",IF(OR($V2262&lt;Parametros!$C$11,$R2262&lt;Parametros!$C$13),"Revisar","Estandar"))</f>
        <v>Alta rentabilidad</v>
      </c>
      <c r="X2262" s="67" t="str">
        <f aca="false">IF(AND($J2262="E-commerce",IFERROR($T2262/$R2262,0)&gt;Parametros!$C$14),"Alerta","OK")</f>
        <v>OK</v>
      </c>
      <c r="Y2262" s="61" t="str">
        <f aca="false">IF($R2262&gt;=Parametros!$C$12,"Alto",IF($R2262&lt;Parametros!$C$13,"Bajo","Medio"))</f>
        <v>Alto</v>
      </c>
      <c r="Z2262" s="61" t="n">
        <v>296</v>
      </c>
      <c r="AA2262" s="61" t="str">
        <f aca="false">IF(MATCH($A2262,Datos_Origen!$A$2:$A$2459,0)=$Z2262,"OK","REVISAR")</f>
        <v>OK</v>
      </c>
      <c r="AB2262" s="62" t="n">
        <f aca="false">INDEX(Datos_Origen!$B$2:$B$2459,$Z2262)</f>
        <v>45967</v>
      </c>
      <c r="AC2262" s="61" t="n">
        <f aca="false">INDEX(Datos_Origen!$H$2:$H$2459,$Z2262)</f>
        <v>7</v>
      </c>
      <c r="AD2262" s="61" t="str">
        <f aca="false">INDEX(Datos_Origen!$D$2:$D$2459,$Z2262)&amp;""</f>
        <v>Mendoza</v>
      </c>
    </row>
    <row r="2263" customFormat="false" ht="15" hidden="false" customHeight="false" outlineLevel="0" collapsed="false">
      <c r="A2263" s="61" t="n">
        <f aca="false">INDEX(Datos_Origen!$A$2:$A$2459,$Z2263)</f>
        <v>2262</v>
      </c>
      <c r="B2263" s="62" t="n">
        <f aca="false">IF(ISNUMBER($AB2263),$AB2263,IF(MID($AB2263,5,1)="-",DATE(VALUE(LEFT($AB2263,4)),VALUE(MID($AB2263,6,2)),VALUE(RIGHT($AB2263,2))),DATE(VALUE(RIGHT($AB2263,4)),VALUE(MID($AB2263,4,2)),VALUE(LEFT($AB2263,2)))))</f>
        <v>45974</v>
      </c>
      <c r="C2263" s="61" t="n">
        <f aca="false">YEAR($B2263)</f>
        <v>2025</v>
      </c>
      <c r="D2263" s="61" t="str">
        <f aca="false">"Q"&amp;ROUNDUP(MONTH($B2263)/3,0)</f>
        <v>Q4</v>
      </c>
      <c r="E2263" s="61" t="n">
        <f aca="false">MONTH($B2263)</f>
        <v>11</v>
      </c>
      <c r="F2263" s="61" t="str">
        <f aca="false">INDEX(Parametros!$I$5:$I$16,$E2263)</f>
        <v>Nov</v>
      </c>
      <c r="G2263" s="61" t="str">
        <f aca="false">TEXT($C2263,"0000")&amp;"-"&amp;TEXT($E2263,"00")</f>
        <v>2025-11</v>
      </c>
      <c r="H2263" s="61" t="str">
        <f aca="false">INDEX(Parametros!$C$71:$C$91,MATCH(TRIM(INDEX(Datos_Origen!$C$2:$C$2459,$Z2263)),Parametros!$B$71:$B$91,0))</f>
        <v>Cuyo</v>
      </c>
      <c r="I2263" s="61" t="str">
        <f aca="false">IF(TRIM($AD2263)="",INDEX(Parametros!$I$20:$I$24,MATCH($H2263,Parametros!$H$20:$H$24,0)),TRIM($AD2263))</f>
        <v>Mendoza</v>
      </c>
      <c r="J2263" s="61" t="str">
        <f aca="false">INDEX(Parametros!$C$95:$C$106,MATCH(TRIM(INDEX(Datos_Origen!$E$2:$E$2459,$Z2263)),Parametros!$B$95:$B$106,0))</f>
        <v>E-commerce</v>
      </c>
      <c r="K2263" s="61" t="str">
        <f aca="false">INDEX(Parametros!$C$48:$C$67,MATCH(TRIM(INDEX(Datos_Origen!$F$2:$F$2459,$Z2263)),Parametros!$B$48:$B$67,0))</f>
        <v>Computacion</v>
      </c>
      <c r="L2263" s="61" t="str">
        <f aca="false">$K2263&amp;" "&amp;$C2263</f>
        <v>Computacion 2025</v>
      </c>
      <c r="M2263" s="61" t="str">
        <f aca="false">TRIM(INDEX(Datos_Origen!$G$2:$G$2459,$Z2263))</f>
        <v>Laptop Pro 15</v>
      </c>
      <c r="N2263" s="61" t="str">
        <f aca="false">$M2263&amp;" "&amp;$C2263</f>
        <v>Laptop Pro 15 2025</v>
      </c>
      <c r="O2263" s="63" t="n">
        <f aca="false">IF(ISTEXT($AC2263),VALUE($AC2263),$AC2263)</f>
        <v>6</v>
      </c>
      <c r="P2263" s="64" t="n">
        <f aca="false">INDEX(Datos_Origen!$I$2:$I$2459,$Z2263)</f>
        <v>1204.74</v>
      </c>
      <c r="Q2263" s="64" t="n">
        <f aca="false">INDEX(Datos_Origen!$J$2:$J$2459,$Z2263)</f>
        <v>766.32</v>
      </c>
      <c r="R2263" s="65" t="n">
        <f aca="false">ROUND($O2263*$P2263,2)</f>
        <v>7228.44</v>
      </c>
      <c r="S2263" s="65" t="n">
        <f aca="false">ROUND($O2263*$Q2263,2)</f>
        <v>4597.92</v>
      </c>
      <c r="T2263" s="65" t="n">
        <f aca="false">ROUND($R2263*SUMIFS(Parametros!$E$28:$E$43,Parametros!$B$28:$B$43,$J2263,Parametros!$C$28:$C$43,$C2263,Parametros!$D$28:$D$43,$D2263),2)</f>
        <v>375.88</v>
      </c>
      <c r="U2263" s="65" t="n">
        <f aca="false">$R2263-$S2263-$T2263</f>
        <v>2254.64</v>
      </c>
      <c r="V2263" s="66" t="n">
        <f aca="false">IFERROR($U2263/$R2263,0)</f>
        <v>0.311912390501962</v>
      </c>
      <c r="W2263" s="67" t="str">
        <f aca="false">IF(AND($V2263&gt;=Parametros!$C$8,$R2263&gt;=Parametros!$C$12),"Alta rentabilidad",IF(OR($V2263&lt;Parametros!$C$11,$R2263&lt;Parametros!$C$13),"Revisar","Estandar"))</f>
        <v>Estandar</v>
      </c>
      <c r="X2263" s="67" t="str">
        <f aca="false">IF(AND($J2263="E-commerce",IFERROR($T2263/$R2263,0)&gt;Parametros!$C$14),"Alerta","OK")</f>
        <v>Alerta</v>
      </c>
      <c r="Y2263" s="61" t="str">
        <f aca="false">IF($R2263&gt;=Parametros!$C$12,"Alto",IF($R2263&lt;Parametros!$C$13,"Bajo","Medio"))</f>
        <v>Alto</v>
      </c>
      <c r="Z2263" s="61" t="n">
        <v>1800</v>
      </c>
      <c r="AA2263" s="61" t="str">
        <f aca="false">IF(MATCH($A2263,Datos_Origen!$A$2:$A$2459,0)=$Z2263,"OK","REVISAR")</f>
        <v>OK</v>
      </c>
      <c r="AB2263" s="61" t="str">
        <f aca="false">INDEX(Datos_Origen!$B$2:$B$2459,$Z2263)</f>
        <v>2025-11-13</v>
      </c>
      <c r="AC2263" s="61" t="n">
        <f aca="false">INDEX(Datos_Origen!$H$2:$H$2459,$Z2263)</f>
        <v>6</v>
      </c>
      <c r="AD2263" s="61" t="str">
        <f aca="false">INDEX(Datos_Origen!$D$2:$D$2459,$Z2263)&amp;""</f>
        <v>Mendoza</v>
      </c>
    </row>
    <row r="2264" customFormat="false" ht="15" hidden="false" customHeight="false" outlineLevel="0" collapsed="false">
      <c r="A2264" s="61" t="n">
        <f aca="false">INDEX(Datos_Origen!$A$2:$A$2459,$Z2264)</f>
        <v>2263</v>
      </c>
      <c r="B2264" s="62" t="n">
        <f aca="false">IF(ISNUMBER($AB2264),$AB2264,IF(MID($AB2264,5,1)="-",DATE(VALUE(LEFT($AB2264,4)),VALUE(MID($AB2264,6,2)),VALUE(RIGHT($AB2264,2))),DATE(VALUE(RIGHT($AB2264,4)),VALUE(MID($AB2264,4,2)),VALUE(LEFT($AB2264,2)))))</f>
        <v>45981</v>
      </c>
      <c r="C2264" s="61" t="n">
        <f aca="false">YEAR($B2264)</f>
        <v>2025</v>
      </c>
      <c r="D2264" s="61" t="str">
        <f aca="false">"Q"&amp;ROUNDUP(MONTH($B2264)/3,0)</f>
        <v>Q4</v>
      </c>
      <c r="E2264" s="61" t="n">
        <f aca="false">MONTH($B2264)</f>
        <v>11</v>
      </c>
      <c r="F2264" s="61" t="str">
        <f aca="false">INDEX(Parametros!$I$5:$I$16,$E2264)</f>
        <v>Nov</v>
      </c>
      <c r="G2264" s="61" t="str">
        <f aca="false">TEXT($C2264,"0000")&amp;"-"&amp;TEXT($E2264,"00")</f>
        <v>2025-11</v>
      </c>
      <c r="H2264" s="61" t="str">
        <f aca="false">INDEX(Parametros!$C$71:$C$91,MATCH(TRIM(INDEX(Datos_Origen!$C$2:$C$2459,$Z2264)),Parametros!$B$71:$B$91,0))</f>
        <v>Cuyo</v>
      </c>
      <c r="I2264" s="61" t="str">
        <f aca="false">IF(TRIM($AD2264)="",INDEX(Parametros!$I$20:$I$24,MATCH($H2264,Parametros!$H$20:$H$24,0)),TRIM($AD2264))</f>
        <v>Mendoza</v>
      </c>
      <c r="J2264" s="61" t="str">
        <f aca="false">INDEX(Parametros!$C$95:$C$106,MATCH(TRIM(INDEX(Datos_Origen!$E$2:$E$2459,$Z2264)),Parametros!$B$95:$B$106,0))</f>
        <v>Tienda fisica</v>
      </c>
      <c r="K2264" s="61" t="str">
        <f aca="false">INDEX(Parametros!$C$48:$C$67,MATCH(TRIM(INDEX(Datos_Origen!$F$2:$F$2459,$Z2264)),Parametros!$B$48:$B$67,0))</f>
        <v>Computacion</v>
      </c>
      <c r="L2264" s="61" t="str">
        <f aca="false">$K2264&amp;" "&amp;$C2264</f>
        <v>Computacion 2025</v>
      </c>
      <c r="M2264" s="61" t="str">
        <f aca="false">TRIM(INDEX(Datos_Origen!$G$2:$G$2459,$Z2264))</f>
        <v>Monitor 4K 27</v>
      </c>
      <c r="N2264" s="61" t="str">
        <f aca="false">$M2264&amp;" "&amp;$C2264</f>
        <v>Monitor 4K 27 2025</v>
      </c>
      <c r="O2264" s="63" t="n">
        <f aca="false">IF(ISTEXT($AC2264),VALUE($AC2264),$AC2264)</f>
        <v>9</v>
      </c>
      <c r="P2264" s="64" t="n">
        <f aca="false">INDEX(Datos_Origen!$I$2:$I$2459,$Z2264)</f>
        <v>451.78</v>
      </c>
      <c r="Q2264" s="64" t="n">
        <f aca="false">INDEX(Datos_Origen!$J$2:$J$2459,$Z2264)</f>
        <v>280.42</v>
      </c>
      <c r="R2264" s="65" t="n">
        <f aca="false">ROUND($O2264*$P2264,2)</f>
        <v>4066.02</v>
      </c>
      <c r="S2264" s="65" t="n">
        <f aca="false">ROUND($O2264*$Q2264,2)</f>
        <v>2523.78</v>
      </c>
      <c r="T2264" s="65" t="n">
        <f aca="false">ROUND($R2264*SUMIFS(Parametros!$E$28:$E$43,Parametros!$B$28:$B$43,$J2264,Parametros!$C$28:$C$43,$C2264,Parametros!$D$28:$D$43,$D2264),2)</f>
        <v>52.86</v>
      </c>
      <c r="U2264" s="65" t="n">
        <f aca="false">$R2264-$S2264-$T2264</f>
        <v>1489.38</v>
      </c>
      <c r="V2264" s="66" t="n">
        <f aca="false">IFERROR($U2264/$R2264,0)</f>
        <v>0.366299231189222</v>
      </c>
      <c r="W2264" s="67" t="str">
        <f aca="false">IF(AND($V2264&gt;=Parametros!$C$8,$R2264&gt;=Parametros!$C$12),"Alta rentabilidad",IF(OR($V2264&lt;Parametros!$C$11,$R2264&lt;Parametros!$C$13),"Revisar","Estandar"))</f>
        <v>Alta rentabilidad</v>
      </c>
      <c r="X2264" s="67" t="str">
        <f aca="false">IF(AND($J2264="E-commerce",IFERROR($T2264/$R2264,0)&gt;Parametros!$C$14),"Alerta","OK")</f>
        <v>OK</v>
      </c>
      <c r="Y2264" s="61" t="str">
        <f aca="false">IF($R2264&gt;=Parametros!$C$12,"Alto",IF($R2264&lt;Parametros!$C$13,"Bajo","Medio"))</f>
        <v>Alto</v>
      </c>
      <c r="Z2264" s="61" t="n">
        <v>907</v>
      </c>
      <c r="AA2264" s="61" t="str">
        <f aca="false">IF(MATCH($A2264,Datos_Origen!$A$2:$A$2459,0)=$Z2264,"OK","REVISAR")</f>
        <v>OK</v>
      </c>
      <c r="AB2264" s="62" t="n">
        <f aca="false">INDEX(Datos_Origen!$B$2:$B$2459,$Z2264)</f>
        <v>45981</v>
      </c>
      <c r="AC2264" s="61" t="n">
        <f aca="false">INDEX(Datos_Origen!$H$2:$H$2459,$Z2264)</f>
        <v>9</v>
      </c>
      <c r="AD2264" s="61" t="str">
        <f aca="false">INDEX(Datos_Origen!$D$2:$D$2459,$Z2264)&amp;""</f>
        <v>Mendoza</v>
      </c>
    </row>
    <row r="2265" customFormat="false" ht="15" hidden="false" customHeight="false" outlineLevel="0" collapsed="false">
      <c r="A2265" s="61" t="n">
        <f aca="false">INDEX(Datos_Origen!$A$2:$A$2459,$Z2265)</f>
        <v>2264</v>
      </c>
      <c r="B2265" s="62" t="n">
        <f aca="false">IF(ISNUMBER($AB2265),$AB2265,IF(MID($AB2265,5,1)="-",DATE(VALUE(LEFT($AB2265,4)),VALUE(MID($AB2265,6,2)),VALUE(RIGHT($AB2265,2))),DATE(VALUE(RIGHT($AB2265,4)),VALUE(MID($AB2265,4,2)),VALUE(LEFT($AB2265,2)))))</f>
        <v>45988</v>
      </c>
      <c r="C2265" s="61" t="n">
        <f aca="false">YEAR($B2265)</f>
        <v>2025</v>
      </c>
      <c r="D2265" s="61" t="str">
        <f aca="false">"Q"&amp;ROUNDUP(MONTH($B2265)/3,0)</f>
        <v>Q4</v>
      </c>
      <c r="E2265" s="61" t="n">
        <f aca="false">MONTH($B2265)</f>
        <v>11</v>
      </c>
      <c r="F2265" s="61" t="str">
        <f aca="false">INDEX(Parametros!$I$5:$I$16,$E2265)</f>
        <v>Nov</v>
      </c>
      <c r="G2265" s="61" t="str">
        <f aca="false">TEXT($C2265,"0000")&amp;"-"&amp;TEXT($E2265,"00")</f>
        <v>2025-11</v>
      </c>
      <c r="H2265" s="61" t="str">
        <f aca="false">INDEX(Parametros!$C$71:$C$91,MATCH(TRIM(INDEX(Datos_Origen!$C$2:$C$2459,$Z2265)),Parametros!$B$71:$B$91,0))</f>
        <v>Cuyo</v>
      </c>
      <c r="I2265" s="61" t="str">
        <f aca="false">IF(TRIM($AD2265)="",INDEX(Parametros!$I$20:$I$24,MATCH($H2265,Parametros!$H$20:$H$24,0)),TRIM($AD2265))</f>
        <v>Mendoza</v>
      </c>
      <c r="J2265" s="61" t="str">
        <f aca="false">INDEX(Parametros!$C$95:$C$106,MATCH(TRIM(INDEX(Datos_Origen!$E$2:$E$2459,$Z2265)),Parametros!$B$95:$B$106,0))</f>
        <v>E-commerce</v>
      </c>
      <c r="K2265" s="61" t="str">
        <f aca="false">INDEX(Parametros!$C$48:$C$67,MATCH(TRIM(INDEX(Datos_Origen!$F$2:$F$2459,$Z2265)),Parametros!$B$48:$B$67,0))</f>
        <v>Computacion</v>
      </c>
      <c r="L2265" s="61" t="str">
        <f aca="false">$K2265&amp;" "&amp;$C2265</f>
        <v>Computacion 2025</v>
      </c>
      <c r="M2265" s="61" t="str">
        <f aca="false">TRIM(INDEX(Datos_Origen!$G$2:$G$2459,$Z2265))</f>
        <v>Monitor 4K 27</v>
      </c>
      <c r="N2265" s="61" t="str">
        <f aca="false">$M2265&amp;" "&amp;$C2265</f>
        <v>Monitor 4K 27 2025</v>
      </c>
      <c r="O2265" s="63" t="n">
        <f aca="false">IF(ISTEXT($AC2265),VALUE($AC2265),$AC2265)</f>
        <v>6</v>
      </c>
      <c r="P2265" s="64" t="n">
        <f aca="false">INDEX(Datos_Origen!$I$2:$I$2459,$Z2265)</f>
        <v>451.78</v>
      </c>
      <c r="Q2265" s="64" t="n">
        <f aca="false">INDEX(Datos_Origen!$J$2:$J$2459,$Z2265)</f>
        <v>280.42</v>
      </c>
      <c r="R2265" s="65" t="n">
        <f aca="false">ROUND($O2265*$P2265,2)</f>
        <v>2710.68</v>
      </c>
      <c r="S2265" s="65" t="n">
        <f aca="false">ROUND($O2265*$Q2265,2)</f>
        <v>1682.52</v>
      </c>
      <c r="T2265" s="65" t="n">
        <f aca="false">ROUND($R2265*SUMIFS(Parametros!$E$28:$E$43,Parametros!$B$28:$B$43,$J2265,Parametros!$C$28:$C$43,$C2265,Parametros!$D$28:$D$43,$D2265),2)</f>
        <v>140.96</v>
      </c>
      <c r="U2265" s="65" t="n">
        <f aca="false">$R2265-$S2265-$T2265</f>
        <v>887.2</v>
      </c>
      <c r="V2265" s="66" t="n">
        <f aca="false">IFERROR($U2265/$R2265,0)</f>
        <v>0.327297947378518</v>
      </c>
      <c r="W2265" s="67" t="str">
        <f aca="false">IF(AND($V2265&gt;=Parametros!$C$8,$R2265&gt;=Parametros!$C$12),"Alta rentabilidad",IF(OR($V2265&lt;Parametros!$C$11,$R2265&lt;Parametros!$C$13),"Revisar","Estandar"))</f>
        <v>Estandar</v>
      </c>
      <c r="X2265" s="67" t="str">
        <f aca="false">IF(AND($J2265="E-commerce",IFERROR($T2265/$R2265,0)&gt;Parametros!$C$14),"Alerta","OK")</f>
        <v>Alerta</v>
      </c>
      <c r="Y2265" s="61" t="str">
        <f aca="false">IF($R2265&gt;=Parametros!$C$12,"Alto",IF($R2265&lt;Parametros!$C$13,"Bajo","Medio"))</f>
        <v>Medio</v>
      </c>
      <c r="Z2265" s="61" t="n">
        <v>458</v>
      </c>
      <c r="AA2265" s="61" t="str">
        <f aca="false">IF(MATCH($A2265,Datos_Origen!$A$2:$A$2459,0)=$Z2265,"OK","REVISAR")</f>
        <v>OK</v>
      </c>
      <c r="AB2265" s="62" t="n">
        <f aca="false">INDEX(Datos_Origen!$B$2:$B$2459,$Z2265)</f>
        <v>45988</v>
      </c>
      <c r="AC2265" s="61" t="n">
        <f aca="false">INDEX(Datos_Origen!$H$2:$H$2459,$Z2265)</f>
        <v>6</v>
      </c>
      <c r="AD2265" s="61" t="str">
        <f aca="false">INDEX(Datos_Origen!$D$2:$D$2459,$Z2265)&amp;""</f>
        <v>Mendoza</v>
      </c>
    </row>
    <row r="2266" customFormat="false" ht="15" hidden="false" customHeight="false" outlineLevel="0" collapsed="false">
      <c r="A2266" s="61" t="n">
        <f aca="false">INDEX(Datos_Origen!$A$2:$A$2459,$Z2266)</f>
        <v>2265</v>
      </c>
      <c r="B2266" s="62" t="n">
        <f aca="false">IF(ISNUMBER($AB2266),$AB2266,IF(MID($AB2266,5,1)="-",DATE(VALUE(LEFT($AB2266,4)),VALUE(MID($AB2266,6,2)),VALUE(RIGHT($AB2266,2))),DATE(VALUE(RIGHT($AB2266,4)),VALUE(MID($AB2266,4,2)),VALUE(LEFT($AB2266,2)))))</f>
        <v>45968</v>
      </c>
      <c r="C2266" s="61" t="n">
        <f aca="false">YEAR($B2266)</f>
        <v>2025</v>
      </c>
      <c r="D2266" s="61" t="str">
        <f aca="false">"Q"&amp;ROUNDUP(MONTH($B2266)/3,0)</f>
        <v>Q4</v>
      </c>
      <c r="E2266" s="61" t="n">
        <f aca="false">MONTH($B2266)</f>
        <v>11</v>
      </c>
      <c r="F2266" s="61" t="str">
        <f aca="false">INDEX(Parametros!$I$5:$I$16,$E2266)</f>
        <v>Nov</v>
      </c>
      <c r="G2266" s="61" t="str">
        <f aca="false">TEXT($C2266,"0000")&amp;"-"&amp;TEXT($E2266,"00")</f>
        <v>2025-11</v>
      </c>
      <c r="H2266" s="61" t="str">
        <f aca="false">INDEX(Parametros!$C$71:$C$91,MATCH(TRIM(INDEX(Datos_Origen!$C$2:$C$2459,$Z2266)),Parametros!$B$71:$B$91,0))</f>
        <v>Cuyo</v>
      </c>
      <c r="I2266" s="61" t="str">
        <f aca="false">IF(TRIM($AD2266)="",INDEX(Parametros!$I$20:$I$24,MATCH($H2266,Parametros!$H$20:$H$24,0)),TRIM($AD2266))</f>
        <v>Mendoza</v>
      </c>
      <c r="J2266" s="61" t="str">
        <f aca="false">INDEX(Parametros!$C$95:$C$106,MATCH(TRIM(INDEX(Datos_Origen!$E$2:$E$2459,$Z2266)),Parametros!$B$95:$B$106,0))</f>
        <v>Tienda fisica</v>
      </c>
      <c r="K2266" s="61" t="str">
        <f aca="false">INDEX(Parametros!$C$48:$C$67,MATCH(TRIM(INDEX(Datos_Origen!$F$2:$F$2459,$Z2266)),Parametros!$B$48:$B$67,0))</f>
        <v>Computacion</v>
      </c>
      <c r="L2266" s="61" t="str">
        <f aca="false">$K2266&amp;" "&amp;$C2266</f>
        <v>Computacion 2025</v>
      </c>
      <c r="M2266" s="61" t="str">
        <f aca="false">TRIM(INDEX(Datos_Origen!$G$2:$G$2459,$Z2266))</f>
        <v>PC Gamer Ryzen</v>
      </c>
      <c r="N2266" s="61" t="str">
        <f aca="false">$M2266&amp;" "&amp;$C2266</f>
        <v>PC Gamer Ryzen 2025</v>
      </c>
      <c r="O2266" s="63" t="n">
        <f aca="false">IF(ISTEXT($AC2266),VALUE($AC2266),$AC2266)</f>
        <v>9</v>
      </c>
      <c r="P2266" s="64" t="n">
        <f aca="false">INDEX(Datos_Origen!$I$2:$I$2459,$Z2266)</f>
        <v>1656.52</v>
      </c>
      <c r="Q2266" s="64" t="n">
        <f aca="false">INDEX(Datos_Origen!$J$2:$J$2459,$Z2266)</f>
        <v>1155.66</v>
      </c>
      <c r="R2266" s="65" t="n">
        <f aca="false">ROUND($O2266*$P2266,2)</f>
        <v>14908.68</v>
      </c>
      <c r="S2266" s="65" t="n">
        <f aca="false">ROUND($O2266*$Q2266,2)</f>
        <v>10400.94</v>
      </c>
      <c r="T2266" s="65" t="n">
        <f aca="false">ROUND($R2266*SUMIFS(Parametros!$E$28:$E$43,Parametros!$B$28:$B$43,$J2266,Parametros!$C$28:$C$43,$C2266,Parametros!$D$28:$D$43,$D2266),2)</f>
        <v>193.81</v>
      </c>
      <c r="U2266" s="65" t="n">
        <f aca="false">$R2266-$S2266-$T2266</f>
        <v>4313.93</v>
      </c>
      <c r="V2266" s="66" t="n">
        <f aca="false">IFERROR($U2266/$R2266,0)</f>
        <v>0.289356938374155</v>
      </c>
      <c r="W2266" s="67" t="str">
        <f aca="false">IF(AND($V2266&gt;=Parametros!$C$8,$R2266&gt;=Parametros!$C$12),"Alta rentabilidad",IF(OR($V2266&lt;Parametros!$C$11,$R2266&lt;Parametros!$C$13),"Revisar","Estandar"))</f>
        <v>Estandar</v>
      </c>
      <c r="X2266" s="67" t="str">
        <f aca="false">IF(AND($J2266="E-commerce",IFERROR($T2266/$R2266,0)&gt;Parametros!$C$14),"Alerta","OK")</f>
        <v>OK</v>
      </c>
      <c r="Y2266" s="61" t="str">
        <f aca="false">IF($R2266&gt;=Parametros!$C$12,"Alto",IF($R2266&lt;Parametros!$C$13,"Bajo","Medio"))</f>
        <v>Alto</v>
      </c>
      <c r="Z2266" s="61" t="n">
        <v>566</v>
      </c>
      <c r="AA2266" s="61" t="str">
        <f aca="false">IF(MATCH($A2266,Datos_Origen!$A$2:$A$2459,0)=$Z2266,"OK","REVISAR")</f>
        <v>OK</v>
      </c>
      <c r="AB2266" s="62" t="n">
        <f aca="false">INDEX(Datos_Origen!$B$2:$B$2459,$Z2266)</f>
        <v>45968</v>
      </c>
      <c r="AC2266" s="61" t="n">
        <f aca="false">INDEX(Datos_Origen!$H$2:$H$2459,$Z2266)</f>
        <v>9</v>
      </c>
      <c r="AD2266" s="61" t="str">
        <f aca="false">INDEX(Datos_Origen!$D$2:$D$2459,$Z2266)&amp;""</f>
        <v>Mendoza</v>
      </c>
    </row>
    <row r="2267" customFormat="false" ht="15" hidden="false" customHeight="false" outlineLevel="0" collapsed="false">
      <c r="A2267" s="61" t="n">
        <f aca="false">INDEX(Datos_Origen!$A$2:$A$2459,$Z2267)</f>
        <v>2266</v>
      </c>
      <c r="B2267" s="62" t="n">
        <f aca="false">IF(ISNUMBER($AB2267),$AB2267,IF(MID($AB2267,5,1)="-",DATE(VALUE(LEFT($AB2267,4)),VALUE(MID($AB2267,6,2)),VALUE(RIGHT($AB2267,2))),DATE(VALUE(RIGHT($AB2267,4)),VALUE(MID($AB2267,4,2)),VALUE(LEFT($AB2267,2)))))</f>
        <v>45975</v>
      </c>
      <c r="C2267" s="61" t="n">
        <f aca="false">YEAR($B2267)</f>
        <v>2025</v>
      </c>
      <c r="D2267" s="61" t="str">
        <f aca="false">"Q"&amp;ROUNDUP(MONTH($B2267)/3,0)</f>
        <v>Q4</v>
      </c>
      <c r="E2267" s="61" t="n">
        <f aca="false">MONTH($B2267)</f>
        <v>11</v>
      </c>
      <c r="F2267" s="61" t="str">
        <f aca="false">INDEX(Parametros!$I$5:$I$16,$E2267)</f>
        <v>Nov</v>
      </c>
      <c r="G2267" s="61" t="str">
        <f aca="false">TEXT($C2267,"0000")&amp;"-"&amp;TEXT($E2267,"00")</f>
        <v>2025-11</v>
      </c>
      <c r="H2267" s="61" t="str">
        <f aca="false">INDEX(Parametros!$C$71:$C$91,MATCH(TRIM(INDEX(Datos_Origen!$C$2:$C$2459,$Z2267)),Parametros!$B$71:$B$91,0))</f>
        <v>Cuyo</v>
      </c>
      <c r="I2267" s="61" t="str">
        <f aca="false">IF(TRIM($AD2267)="",INDEX(Parametros!$I$20:$I$24,MATCH($H2267,Parametros!$H$20:$H$24,0)),TRIM($AD2267))</f>
        <v>Mendoza</v>
      </c>
      <c r="J2267" s="61" t="str">
        <f aca="false">INDEX(Parametros!$C$95:$C$106,MATCH(TRIM(INDEX(Datos_Origen!$E$2:$E$2459,$Z2267)),Parametros!$B$95:$B$106,0))</f>
        <v>E-commerce</v>
      </c>
      <c r="K2267" s="61" t="str">
        <f aca="false">INDEX(Parametros!$C$48:$C$67,MATCH(TRIM(INDEX(Datos_Origen!$F$2:$F$2459,$Z2267)),Parametros!$B$48:$B$67,0))</f>
        <v>Computacion</v>
      </c>
      <c r="L2267" s="61" t="str">
        <f aca="false">$K2267&amp;" "&amp;$C2267</f>
        <v>Computacion 2025</v>
      </c>
      <c r="M2267" s="61" t="str">
        <f aca="false">TRIM(INDEX(Datos_Origen!$G$2:$G$2459,$Z2267))</f>
        <v>PC Gamer Ryzen</v>
      </c>
      <c r="N2267" s="61" t="str">
        <f aca="false">$M2267&amp;" "&amp;$C2267</f>
        <v>PC Gamer Ryzen 2025</v>
      </c>
      <c r="O2267" s="63" t="n">
        <f aca="false">IF(ISTEXT($AC2267),VALUE($AC2267),$AC2267)</f>
        <v>6</v>
      </c>
      <c r="P2267" s="64" t="n">
        <f aca="false">INDEX(Datos_Origen!$I$2:$I$2459,$Z2267)</f>
        <v>1656.52</v>
      </c>
      <c r="Q2267" s="64" t="n">
        <f aca="false">INDEX(Datos_Origen!$J$2:$J$2459,$Z2267)</f>
        <v>1155.66</v>
      </c>
      <c r="R2267" s="65" t="n">
        <f aca="false">ROUND($O2267*$P2267,2)</f>
        <v>9939.12</v>
      </c>
      <c r="S2267" s="65" t="n">
        <f aca="false">ROUND($O2267*$Q2267,2)</f>
        <v>6933.96</v>
      </c>
      <c r="T2267" s="65" t="n">
        <f aca="false">ROUND($R2267*SUMIFS(Parametros!$E$28:$E$43,Parametros!$B$28:$B$43,$J2267,Parametros!$C$28:$C$43,$C2267,Parametros!$D$28:$D$43,$D2267),2)</f>
        <v>516.83</v>
      </c>
      <c r="U2267" s="65" t="n">
        <f aca="false">$R2267-$S2267-$T2267</f>
        <v>2488.33</v>
      </c>
      <c r="V2267" s="66" t="n">
        <f aca="false">IFERROR($U2267/$R2267,0)</f>
        <v>0.250357174478224</v>
      </c>
      <c r="W2267" s="67" t="str">
        <f aca="false">IF(AND($V2267&gt;=Parametros!$C$8,$R2267&gt;=Parametros!$C$12),"Alta rentabilidad",IF(OR($V2267&lt;Parametros!$C$11,$R2267&lt;Parametros!$C$13),"Revisar","Estandar"))</f>
        <v>Revisar</v>
      </c>
      <c r="X2267" s="67" t="str">
        <f aca="false">IF(AND($J2267="E-commerce",IFERROR($T2267/$R2267,0)&gt;Parametros!$C$14),"Alerta","OK")</f>
        <v>Alerta</v>
      </c>
      <c r="Y2267" s="61" t="str">
        <f aca="false">IF($R2267&gt;=Parametros!$C$12,"Alto",IF($R2267&lt;Parametros!$C$13,"Bajo","Medio"))</f>
        <v>Alto</v>
      </c>
      <c r="Z2267" s="61" t="n">
        <v>1934</v>
      </c>
      <c r="AA2267" s="61" t="str">
        <f aca="false">IF(MATCH($A2267,Datos_Origen!$A$2:$A$2459,0)=$Z2267,"OK","REVISAR")</f>
        <v>OK</v>
      </c>
      <c r="AB2267" s="61" t="str">
        <f aca="false">INDEX(Datos_Origen!$B$2:$B$2459,$Z2267)</f>
        <v>2025-11-14</v>
      </c>
      <c r="AC2267" s="61" t="n">
        <f aca="false">INDEX(Datos_Origen!$H$2:$H$2459,$Z2267)</f>
        <v>6</v>
      </c>
      <c r="AD2267" s="61" t="str">
        <f aca="false">INDEX(Datos_Origen!$D$2:$D$2459,$Z2267)&amp;""</f>
        <v>Mendoza</v>
      </c>
    </row>
    <row r="2268" customFormat="false" ht="15" hidden="false" customHeight="false" outlineLevel="0" collapsed="false">
      <c r="A2268" s="61" t="n">
        <f aca="false">INDEX(Datos_Origen!$A$2:$A$2459,$Z2268)</f>
        <v>2267</v>
      </c>
      <c r="B2268" s="62" t="n">
        <f aca="false">IF(ISNUMBER($AB2268),$AB2268,IF(MID($AB2268,5,1)="-",DATE(VALUE(LEFT($AB2268,4)),VALUE(MID($AB2268,6,2)),VALUE(RIGHT($AB2268,2))),DATE(VALUE(RIGHT($AB2268,4)),VALUE(MID($AB2268,4,2)),VALUE(LEFT($AB2268,2)))))</f>
        <v>45982</v>
      </c>
      <c r="C2268" s="61" t="n">
        <f aca="false">YEAR($B2268)</f>
        <v>2025</v>
      </c>
      <c r="D2268" s="61" t="str">
        <f aca="false">"Q"&amp;ROUNDUP(MONTH($B2268)/3,0)</f>
        <v>Q4</v>
      </c>
      <c r="E2268" s="61" t="n">
        <f aca="false">MONTH($B2268)</f>
        <v>11</v>
      </c>
      <c r="F2268" s="61" t="str">
        <f aca="false">INDEX(Parametros!$I$5:$I$16,$E2268)</f>
        <v>Nov</v>
      </c>
      <c r="G2268" s="61" t="str">
        <f aca="false">TEXT($C2268,"0000")&amp;"-"&amp;TEXT($E2268,"00")</f>
        <v>2025-11</v>
      </c>
      <c r="H2268" s="61" t="str">
        <f aca="false">INDEX(Parametros!$C$71:$C$91,MATCH(TRIM(INDEX(Datos_Origen!$C$2:$C$2459,$Z2268)),Parametros!$B$71:$B$91,0))</f>
        <v>Cuyo</v>
      </c>
      <c r="I2268" s="61" t="str">
        <f aca="false">IF(TRIM($AD2268)="",INDEX(Parametros!$I$20:$I$24,MATCH($H2268,Parametros!$H$20:$H$24,0)),TRIM($AD2268))</f>
        <v>Mendoza</v>
      </c>
      <c r="J2268" s="61" t="str">
        <f aca="false">INDEX(Parametros!$C$95:$C$106,MATCH(TRIM(INDEX(Datos_Origen!$E$2:$E$2459,$Z2268)),Parametros!$B$95:$B$106,0))</f>
        <v>Tienda fisica</v>
      </c>
      <c r="K2268" s="61" t="str">
        <f aca="false">INDEX(Parametros!$C$48:$C$67,MATCH(TRIM(INDEX(Datos_Origen!$F$2:$F$2459,$Z2268)),Parametros!$B$48:$B$67,0))</f>
        <v>Accesorios</v>
      </c>
      <c r="L2268" s="61" t="str">
        <f aca="false">$K2268&amp;" "&amp;$C2268</f>
        <v>Accesorios 2025</v>
      </c>
      <c r="M2268" s="61" t="str">
        <f aca="false">TRIM(INDEX(Datos_Origen!$G$2:$G$2459,$Z2268))</f>
        <v>Mouse Inalambrico</v>
      </c>
      <c r="N2268" s="61" t="str">
        <f aca="false">$M2268&amp;" "&amp;$C2268</f>
        <v>Mouse Inalambrico 2025</v>
      </c>
      <c r="O2268" s="63" t="n">
        <f aca="false">IF(ISTEXT($AC2268),VALUE($AC2268),$AC2268)</f>
        <v>41</v>
      </c>
      <c r="P2268" s="64" t="n">
        <f aca="false">INDEX(Datos_Origen!$I$2:$I$2459,$Z2268)</f>
        <v>28.11</v>
      </c>
      <c r="Q2268" s="64" t="n">
        <f aca="false">INDEX(Datos_Origen!$J$2:$J$2459,$Z2268)</f>
        <v>13.84</v>
      </c>
      <c r="R2268" s="65" t="n">
        <f aca="false">ROUND($O2268*$P2268,2)</f>
        <v>1152.51</v>
      </c>
      <c r="S2268" s="65" t="n">
        <f aca="false">ROUND($O2268*$Q2268,2)</f>
        <v>567.44</v>
      </c>
      <c r="T2268" s="65" t="n">
        <f aca="false">ROUND($R2268*SUMIFS(Parametros!$E$28:$E$43,Parametros!$B$28:$B$43,$J2268,Parametros!$C$28:$C$43,$C2268,Parametros!$D$28:$D$43,$D2268),2)</f>
        <v>14.98</v>
      </c>
      <c r="U2268" s="65" t="n">
        <f aca="false">$R2268-$S2268-$T2268</f>
        <v>570.09</v>
      </c>
      <c r="V2268" s="66" t="n">
        <f aca="false">IFERROR($U2268/$R2268,0)</f>
        <v>0.494650805632923</v>
      </c>
      <c r="W2268" s="67" t="str">
        <f aca="false">IF(AND($V2268&gt;=Parametros!$C$8,$R2268&gt;=Parametros!$C$12),"Alta rentabilidad",IF(OR($V2268&lt;Parametros!$C$11,$R2268&lt;Parametros!$C$13),"Revisar","Estandar"))</f>
        <v>Estandar</v>
      </c>
      <c r="X2268" s="67" t="str">
        <f aca="false">IF(AND($J2268="E-commerce",IFERROR($T2268/$R2268,0)&gt;Parametros!$C$14),"Alerta","OK")</f>
        <v>OK</v>
      </c>
      <c r="Y2268" s="61" t="str">
        <f aca="false">IF($R2268&gt;=Parametros!$C$12,"Alto",IF($R2268&lt;Parametros!$C$13,"Bajo","Medio"))</f>
        <v>Medio</v>
      </c>
      <c r="Z2268" s="61" t="n">
        <v>2032</v>
      </c>
      <c r="AA2268" s="61" t="str">
        <f aca="false">IF(MATCH($A2268,Datos_Origen!$A$2:$A$2459,0)=$Z2268,"OK","REVISAR")</f>
        <v>OK</v>
      </c>
      <c r="AB2268" s="62" t="n">
        <f aca="false">INDEX(Datos_Origen!$B$2:$B$2459,$Z2268)</f>
        <v>45982</v>
      </c>
      <c r="AC2268" s="61" t="n">
        <f aca="false">INDEX(Datos_Origen!$H$2:$H$2459,$Z2268)</f>
        <v>41</v>
      </c>
      <c r="AD2268" s="61" t="str">
        <f aca="false">INDEX(Datos_Origen!$D$2:$D$2459,$Z2268)&amp;""</f>
        <v/>
      </c>
    </row>
    <row r="2269" customFormat="false" ht="15" hidden="false" customHeight="false" outlineLevel="0" collapsed="false">
      <c r="A2269" s="61" t="n">
        <f aca="false">INDEX(Datos_Origen!$A$2:$A$2459,$Z2269)</f>
        <v>2268</v>
      </c>
      <c r="B2269" s="62" t="n">
        <f aca="false">IF(ISNUMBER($AB2269),$AB2269,IF(MID($AB2269,5,1)="-",DATE(VALUE(LEFT($AB2269,4)),VALUE(MID($AB2269,6,2)),VALUE(RIGHT($AB2269,2))),DATE(VALUE(RIGHT($AB2269,4)),VALUE(MID($AB2269,4,2)),VALUE(LEFT($AB2269,2)))))</f>
        <v>45962</v>
      </c>
      <c r="C2269" s="61" t="n">
        <f aca="false">YEAR($B2269)</f>
        <v>2025</v>
      </c>
      <c r="D2269" s="61" t="str">
        <f aca="false">"Q"&amp;ROUNDUP(MONTH($B2269)/3,0)</f>
        <v>Q4</v>
      </c>
      <c r="E2269" s="61" t="n">
        <f aca="false">MONTH($B2269)</f>
        <v>11</v>
      </c>
      <c r="F2269" s="61" t="str">
        <f aca="false">INDEX(Parametros!$I$5:$I$16,$E2269)</f>
        <v>Nov</v>
      </c>
      <c r="G2269" s="61" t="str">
        <f aca="false">TEXT($C2269,"0000")&amp;"-"&amp;TEXT($E2269,"00")</f>
        <v>2025-11</v>
      </c>
      <c r="H2269" s="61" t="str">
        <f aca="false">INDEX(Parametros!$C$71:$C$91,MATCH(TRIM(INDEX(Datos_Origen!$C$2:$C$2459,$Z2269)),Parametros!$B$71:$B$91,0))</f>
        <v>Cuyo</v>
      </c>
      <c r="I2269" s="61" t="str">
        <f aca="false">IF(TRIM($AD2269)="",INDEX(Parametros!$I$20:$I$24,MATCH($H2269,Parametros!$H$20:$H$24,0)),TRIM($AD2269))</f>
        <v>Mendoza</v>
      </c>
      <c r="J2269" s="61" t="str">
        <f aca="false">INDEX(Parametros!$C$95:$C$106,MATCH(TRIM(INDEX(Datos_Origen!$E$2:$E$2459,$Z2269)),Parametros!$B$95:$B$106,0))</f>
        <v>E-commerce</v>
      </c>
      <c r="K2269" s="61" t="str">
        <f aca="false">INDEX(Parametros!$C$48:$C$67,MATCH(TRIM(INDEX(Datos_Origen!$F$2:$F$2459,$Z2269)),Parametros!$B$48:$B$67,0))</f>
        <v>Accesorios</v>
      </c>
      <c r="L2269" s="61" t="str">
        <f aca="false">$K2269&amp;" "&amp;$C2269</f>
        <v>Accesorios 2025</v>
      </c>
      <c r="M2269" s="61" t="str">
        <f aca="false">TRIM(INDEX(Datos_Origen!$G$2:$G$2459,$Z2269))</f>
        <v>Mouse Inalambrico</v>
      </c>
      <c r="N2269" s="61" t="str">
        <f aca="false">$M2269&amp;" "&amp;$C2269</f>
        <v>Mouse Inalambrico 2025</v>
      </c>
      <c r="O2269" s="63" t="n">
        <f aca="false">IF(ISTEXT($AC2269),VALUE($AC2269),$AC2269)</f>
        <v>21</v>
      </c>
      <c r="P2269" s="64" t="n">
        <f aca="false">INDEX(Datos_Origen!$I$2:$I$2459,$Z2269)</f>
        <v>28.11</v>
      </c>
      <c r="Q2269" s="64" t="n">
        <f aca="false">INDEX(Datos_Origen!$J$2:$J$2459,$Z2269)</f>
        <v>13.84</v>
      </c>
      <c r="R2269" s="65" t="n">
        <f aca="false">ROUND($O2269*$P2269,2)</f>
        <v>590.31</v>
      </c>
      <c r="S2269" s="65" t="n">
        <f aca="false">ROUND($O2269*$Q2269,2)</f>
        <v>290.64</v>
      </c>
      <c r="T2269" s="65" t="n">
        <f aca="false">ROUND($R2269*SUMIFS(Parametros!$E$28:$E$43,Parametros!$B$28:$B$43,$J2269,Parametros!$C$28:$C$43,$C2269,Parametros!$D$28:$D$43,$D2269),2)</f>
        <v>30.7</v>
      </c>
      <c r="U2269" s="65" t="n">
        <f aca="false">$R2269-$S2269-$T2269</f>
        <v>268.97</v>
      </c>
      <c r="V2269" s="66" t="n">
        <f aca="false">IFERROR($U2269/$R2269,0)</f>
        <v>0.455641950839389</v>
      </c>
      <c r="W2269" s="67" t="str">
        <f aca="false">IF(AND($V2269&gt;=Parametros!$C$8,$R2269&gt;=Parametros!$C$12),"Alta rentabilidad",IF(OR($V2269&lt;Parametros!$C$11,$R2269&lt;Parametros!$C$13),"Revisar","Estandar"))</f>
        <v>Estandar</v>
      </c>
      <c r="X2269" s="67" t="str">
        <f aca="false">IF(AND($J2269="E-commerce",IFERROR($T2269/$R2269,0)&gt;Parametros!$C$14),"Alerta","OK")</f>
        <v>Alerta</v>
      </c>
      <c r="Y2269" s="61" t="str">
        <f aca="false">IF($R2269&gt;=Parametros!$C$12,"Alto",IF($R2269&lt;Parametros!$C$13,"Bajo","Medio"))</f>
        <v>Medio</v>
      </c>
      <c r="Z2269" s="61" t="n">
        <v>2017</v>
      </c>
      <c r="AA2269" s="61" t="str">
        <f aca="false">IF(MATCH($A2269,Datos_Origen!$A$2:$A$2459,0)=$Z2269,"OK","REVISAR")</f>
        <v>OK</v>
      </c>
      <c r="AB2269" s="62" t="n">
        <f aca="false">INDEX(Datos_Origen!$B$2:$B$2459,$Z2269)</f>
        <v>45962</v>
      </c>
      <c r="AC2269" s="61" t="n">
        <f aca="false">INDEX(Datos_Origen!$H$2:$H$2459,$Z2269)</f>
        <v>21</v>
      </c>
      <c r="AD2269" s="61" t="str">
        <f aca="false">INDEX(Datos_Origen!$D$2:$D$2459,$Z2269)&amp;""</f>
        <v>Mendoza</v>
      </c>
    </row>
    <row r="2270" customFormat="false" ht="15" hidden="false" customHeight="false" outlineLevel="0" collapsed="false">
      <c r="A2270" s="61" t="n">
        <f aca="false">INDEX(Datos_Origen!$A$2:$A$2459,$Z2270)</f>
        <v>2269</v>
      </c>
      <c r="B2270" s="62" t="n">
        <f aca="false">IF(ISNUMBER($AB2270),$AB2270,IF(MID($AB2270,5,1)="-",DATE(VALUE(LEFT($AB2270,4)),VALUE(MID($AB2270,6,2)),VALUE(RIGHT($AB2270,2))),DATE(VALUE(RIGHT($AB2270,4)),VALUE(MID($AB2270,4,2)),VALUE(LEFT($AB2270,2)))))</f>
        <v>45969</v>
      </c>
      <c r="C2270" s="61" t="n">
        <f aca="false">YEAR($B2270)</f>
        <v>2025</v>
      </c>
      <c r="D2270" s="61" t="str">
        <f aca="false">"Q"&amp;ROUNDUP(MONTH($B2270)/3,0)</f>
        <v>Q4</v>
      </c>
      <c r="E2270" s="61" t="n">
        <f aca="false">MONTH($B2270)</f>
        <v>11</v>
      </c>
      <c r="F2270" s="61" t="str">
        <f aca="false">INDEX(Parametros!$I$5:$I$16,$E2270)</f>
        <v>Nov</v>
      </c>
      <c r="G2270" s="61" t="str">
        <f aca="false">TEXT($C2270,"0000")&amp;"-"&amp;TEXT($E2270,"00")</f>
        <v>2025-11</v>
      </c>
      <c r="H2270" s="61" t="str">
        <f aca="false">INDEX(Parametros!$C$71:$C$91,MATCH(TRIM(INDEX(Datos_Origen!$C$2:$C$2459,$Z2270)),Parametros!$B$71:$B$91,0))</f>
        <v>Cuyo</v>
      </c>
      <c r="I2270" s="61" t="str">
        <f aca="false">IF(TRIM($AD2270)="",INDEX(Parametros!$I$20:$I$24,MATCH($H2270,Parametros!$H$20:$H$24,0)),TRIM($AD2270))</f>
        <v>Mendoza</v>
      </c>
      <c r="J2270" s="61" t="str">
        <f aca="false">INDEX(Parametros!$C$95:$C$106,MATCH(TRIM(INDEX(Datos_Origen!$E$2:$E$2459,$Z2270)),Parametros!$B$95:$B$106,0))</f>
        <v>Tienda fisica</v>
      </c>
      <c r="K2270" s="61" t="str">
        <f aca="false">INDEX(Parametros!$C$48:$C$67,MATCH(TRIM(INDEX(Datos_Origen!$F$2:$F$2459,$Z2270)),Parametros!$B$48:$B$67,0))</f>
        <v>Accesorios</v>
      </c>
      <c r="L2270" s="61" t="str">
        <f aca="false">$K2270&amp;" "&amp;$C2270</f>
        <v>Accesorios 2025</v>
      </c>
      <c r="M2270" s="61" t="str">
        <f aca="false">TRIM(INDEX(Datos_Origen!$G$2:$G$2459,$Z2270))</f>
        <v>Teclado Mecanico</v>
      </c>
      <c r="N2270" s="61" t="str">
        <f aca="false">$M2270&amp;" "&amp;$C2270</f>
        <v>Teclado Mecanico 2025</v>
      </c>
      <c r="O2270" s="63" t="n">
        <f aca="false">IF(ISTEXT($AC2270),VALUE($AC2270),$AC2270)</f>
        <v>37</v>
      </c>
      <c r="P2270" s="64" t="n">
        <f aca="false">INDEX(Datos_Origen!$I$2:$I$2459,$Z2270)</f>
        <v>95.38</v>
      </c>
      <c r="Q2270" s="64" t="n">
        <f aca="false">INDEX(Datos_Origen!$J$2:$J$2459,$Z2270)</f>
        <v>49.41</v>
      </c>
      <c r="R2270" s="65" t="n">
        <f aca="false">ROUND($O2270*$P2270,2)</f>
        <v>3529.06</v>
      </c>
      <c r="S2270" s="65" t="n">
        <f aca="false">ROUND($O2270*$Q2270,2)</f>
        <v>1828.17</v>
      </c>
      <c r="T2270" s="65" t="n">
        <f aca="false">ROUND($R2270*SUMIFS(Parametros!$E$28:$E$43,Parametros!$B$28:$B$43,$J2270,Parametros!$C$28:$C$43,$C2270,Parametros!$D$28:$D$43,$D2270),2)</f>
        <v>45.88</v>
      </c>
      <c r="U2270" s="65" t="n">
        <f aca="false">$R2270-$S2270-$T2270</f>
        <v>1655.01</v>
      </c>
      <c r="V2270" s="66" t="n">
        <f aca="false">IFERROR($U2270/$R2270,0)</f>
        <v>0.46896624030195</v>
      </c>
      <c r="W2270" s="67" t="str">
        <f aca="false">IF(AND($V2270&gt;=Parametros!$C$8,$R2270&gt;=Parametros!$C$12),"Alta rentabilidad",IF(OR($V2270&lt;Parametros!$C$11,$R2270&lt;Parametros!$C$13),"Revisar","Estandar"))</f>
        <v>Alta rentabilidad</v>
      </c>
      <c r="X2270" s="67" t="str">
        <f aca="false">IF(AND($J2270="E-commerce",IFERROR($T2270/$R2270,0)&gt;Parametros!$C$14),"Alerta","OK")</f>
        <v>OK</v>
      </c>
      <c r="Y2270" s="61" t="str">
        <f aca="false">IF($R2270&gt;=Parametros!$C$12,"Alto",IF($R2270&lt;Parametros!$C$13,"Bajo","Medio"))</f>
        <v>Alto</v>
      </c>
      <c r="Z2270" s="61" t="n">
        <v>1947</v>
      </c>
      <c r="AA2270" s="61" t="str">
        <f aca="false">IF(MATCH($A2270,Datos_Origen!$A$2:$A$2459,0)=$Z2270,"OK","REVISAR")</f>
        <v>OK</v>
      </c>
      <c r="AB2270" s="61" t="str">
        <f aca="false">INDEX(Datos_Origen!$B$2:$B$2459,$Z2270)</f>
        <v>08/11/2025</v>
      </c>
      <c r="AC2270" s="61" t="n">
        <f aca="false">INDEX(Datos_Origen!$H$2:$H$2459,$Z2270)</f>
        <v>37</v>
      </c>
      <c r="AD2270" s="61" t="str">
        <f aca="false">INDEX(Datos_Origen!$D$2:$D$2459,$Z2270)&amp;""</f>
        <v>Mendoza</v>
      </c>
    </row>
    <row r="2271" customFormat="false" ht="15" hidden="false" customHeight="false" outlineLevel="0" collapsed="false">
      <c r="A2271" s="61" t="n">
        <f aca="false">INDEX(Datos_Origen!$A$2:$A$2459,$Z2271)</f>
        <v>2270</v>
      </c>
      <c r="B2271" s="62" t="n">
        <f aca="false">IF(ISNUMBER($AB2271),$AB2271,IF(MID($AB2271,5,1)="-",DATE(VALUE(LEFT($AB2271,4)),VALUE(MID($AB2271,6,2)),VALUE(RIGHT($AB2271,2))),DATE(VALUE(RIGHT($AB2271,4)),VALUE(MID($AB2271,4,2)),VALUE(LEFT($AB2271,2)))))</f>
        <v>45976</v>
      </c>
      <c r="C2271" s="61" t="n">
        <f aca="false">YEAR($B2271)</f>
        <v>2025</v>
      </c>
      <c r="D2271" s="61" t="str">
        <f aca="false">"Q"&amp;ROUNDUP(MONTH($B2271)/3,0)</f>
        <v>Q4</v>
      </c>
      <c r="E2271" s="61" t="n">
        <f aca="false">MONTH($B2271)</f>
        <v>11</v>
      </c>
      <c r="F2271" s="61" t="str">
        <f aca="false">INDEX(Parametros!$I$5:$I$16,$E2271)</f>
        <v>Nov</v>
      </c>
      <c r="G2271" s="61" t="str">
        <f aca="false">TEXT($C2271,"0000")&amp;"-"&amp;TEXT($E2271,"00")</f>
        <v>2025-11</v>
      </c>
      <c r="H2271" s="61" t="str">
        <f aca="false">INDEX(Parametros!$C$71:$C$91,MATCH(TRIM(INDEX(Datos_Origen!$C$2:$C$2459,$Z2271)),Parametros!$B$71:$B$91,0))</f>
        <v>Cuyo</v>
      </c>
      <c r="I2271" s="61" t="str">
        <f aca="false">IF(TRIM($AD2271)="",INDEX(Parametros!$I$20:$I$24,MATCH($H2271,Parametros!$H$20:$H$24,0)),TRIM($AD2271))</f>
        <v>Mendoza</v>
      </c>
      <c r="J2271" s="61" t="str">
        <f aca="false">INDEX(Parametros!$C$95:$C$106,MATCH(TRIM(INDEX(Datos_Origen!$E$2:$E$2459,$Z2271)),Parametros!$B$95:$B$106,0))</f>
        <v>E-commerce</v>
      </c>
      <c r="K2271" s="61" t="str">
        <f aca="false">INDEX(Parametros!$C$48:$C$67,MATCH(TRIM(INDEX(Datos_Origen!$F$2:$F$2459,$Z2271)),Parametros!$B$48:$B$67,0))</f>
        <v>Accesorios</v>
      </c>
      <c r="L2271" s="61" t="str">
        <f aca="false">$K2271&amp;" "&amp;$C2271</f>
        <v>Accesorios 2025</v>
      </c>
      <c r="M2271" s="61" t="str">
        <f aca="false">TRIM(INDEX(Datos_Origen!$G$2:$G$2459,$Z2271))</f>
        <v>Teclado Mecanico</v>
      </c>
      <c r="N2271" s="61" t="str">
        <f aca="false">$M2271&amp;" "&amp;$C2271</f>
        <v>Teclado Mecanico 2025</v>
      </c>
      <c r="O2271" s="63" t="n">
        <f aca="false">IF(ISTEXT($AC2271),VALUE($AC2271),$AC2271)</f>
        <v>23</v>
      </c>
      <c r="P2271" s="64" t="n">
        <f aca="false">INDEX(Datos_Origen!$I$2:$I$2459,$Z2271)</f>
        <v>95.38</v>
      </c>
      <c r="Q2271" s="64" t="n">
        <f aca="false">INDEX(Datos_Origen!$J$2:$J$2459,$Z2271)</f>
        <v>49.41</v>
      </c>
      <c r="R2271" s="65" t="n">
        <f aca="false">ROUND($O2271*$P2271,2)</f>
        <v>2193.74</v>
      </c>
      <c r="S2271" s="65" t="n">
        <f aca="false">ROUND($O2271*$Q2271,2)</f>
        <v>1136.43</v>
      </c>
      <c r="T2271" s="65" t="n">
        <f aca="false">ROUND($R2271*SUMIFS(Parametros!$E$28:$E$43,Parametros!$B$28:$B$43,$J2271,Parametros!$C$28:$C$43,$C2271,Parametros!$D$28:$D$43,$D2271),2)</f>
        <v>114.07</v>
      </c>
      <c r="U2271" s="65" t="n">
        <f aca="false">$R2271-$S2271-$T2271</f>
        <v>943.24</v>
      </c>
      <c r="V2271" s="66" t="n">
        <f aca="false">IFERROR($U2271/$R2271,0)</f>
        <v>0.429968911539198</v>
      </c>
      <c r="W2271" s="67" t="str">
        <f aca="false">IF(AND($V2271&gt;=Parametros!$C$8,$R2271&gt;=Parametros!$C$12),"Alta rentabilidad",IF(OR($V2271&lt;Parametros!$C$11,$R2271&lt;Parametros!$C$13),"Revisar","Estandar"))</f>
        <v>Estandar</v>
      </c>
      <c r="X2271" s="67" t="str">
        <f aca="false">IF(AND($J2271="E-commerce",IFERROR($T2271/$R2271,0)&gt;Parametros!$C$14),"Alerta","OK")</f>
        <v>Alerta</v>
      </c>
      <c r="Y2271" s="61" t="str">
        <f aca="false">IF($R2271&gt;=Parametros!$C$12,"Alto",IF($R2271&lt;Parametros!$C$13,"Bajo","Medio"))</f>
        <v>Medio</v>
      </c>
      <c r="Z2271" s="61" t="n">
        <v>2374</v>
      </c>
      <c r="AA2271" s="61" t="str">
        <f aca="false">IF(MATCH($A2271,Datos_Origen!$A$2:$A$2459,0)=$Z2271,"OK","REVISAR")</f>
        <v>OK</v>
      </c>
      <c r="AB2271" s="61" t="str">
        <f aca="false">INDEX(Datos_Origen!$B$2:$B$2459,$Z2271)</f>
        <v>15/11/2025</v>
      </c>
      <c r="AC2271" s="61" t="n">
        <f aca="false">INDEX(Datos_Origen!$H$2:$H$2459,$Z2271)</f>
        <v>23</v>
      </c>
      <c r="AD2271" s="61" t="str">
        <f aca="false">INDEX(Datos_Origen!$D$2:$D$2459,$Z2271)&amp;""</f>
        <v>Mendoza</v>
      </c>
    </row>
    <row r="2272" customFormat="false" ht="15" hidden="false" customHeight="false" outlineLevel="0" collapsed="false">
      <c r="A2272" s="61" t="n">
        <f aca="false">INDEX(Datos_Origen!$A$2:$A$2459,$Z2272)</f>
        <v>2271</v>
      </c>
      <c r="B2272" s="62" t="n">
        <f aca="false">IF(ISNUMBER($AB2272),$AB2272,IF(MID($AB2272,5,1)="-",DATE(VALUE(LEFT($AB2272,4)),VALUE(MID($AB2272,6,2)),VALUE(RIGHT($AB2272,2))),DATE(VALUE(RIGHT($AB2272,4)),VALUE(MID($AB2272,4,2)),VALUE(LEFT($AB2272,2)))))</f>
        <v>45983</v>
      </c>
      <c r="C2272" s="61" t="n">
        <f aca="false">YEAR($B2272)</f>
        <v>2025</v>
      </c>
      <c r="D2272" s="61" t="str">
        <f aca="false">"Q"&amp;ROUNDUP(MONTH($B2272)/3,0)</f>
        <v>Q4</v>
      </c>
      <c r="E2272" s="61" t="n">
        <f aca="false">MONTH($B2272)</f>
        <v>11</v>
      </c>
      <c r="F2272" s="61" t="str">
        <f aca="false">INDEX(Parametros!$I$5:$I$16,$E2272)</f>
        <v>Nov</v>
      </c>
      <c r="G2272" s="61" t="str">
        <f aca="false">TEXT($C2272,"0000")&amp;"-"&amp;TEXT($E2272,"00")</f>
        <v>2025-11</v>
      </c>
      <c r="H2272" s="61" t="str">
        <f aca="false">INDEX(Parametros!$C$71:$C$91,MATCH(TRIM(INDEX(Datos_Origen!$C$2:$C$2459,$Z2272)),Parametros!$B$71:$B$91,0))</f>
        <v>Cuyo</v>
      </c>
      <c r="I2272" s="61" t="str">
        <f aca="false">IF(TRIM($AD2272)="",INDEX(Parametros!$I$20:$I$24,MATCH($H2272,Parametros!$H$20:$H$24,0)),TRIM($AD2272))</f>
        <v>Mendoza</v>
      </c>
      <c r="J2272" s="61" t="str">
        <f aca="false">INDEX(Parametros!$C$95:$C$106,MATCH(TRIM(INDEX(Datos_Origen!$E$2:$E$2459,$Z2272)),Parametros!$B$95:$B$106,0))</f>
        <v>Tienda fisica</v>
      </c>
      <c r="K2272" s="61" t="str">
        <f aca="false">INDEX(Parametros!$C$48:$C$67,MATCH(TRIM(INDEX(Datos_Origen!$F$2:$F$2459,$Z2272)),Parametros!$B$48:$B$67,0))</f>
        <v>Accesorios</v>
      </c>
      <c r="L2272" s="61" t="str">
        <f aca="false">$K2272&amp;" "&amp;$C2272</f>
        <v>Accesorios 2025</v>
      </c>
      <c r="M2272" s="61" t="str">
        <f aca="false">TRIM(INDEX(Datos_Origen!$G$2:$G$2459,$Z2272))</f>
        <v>Webcam Full HD</v>
      </c>
      <c r="N2272" s="61" t="str">
        <f aca="false">$M2272&amp;" "&amp;$C2272</f>
        <v>Webcam Full HD 2025</v>
      </c>
      <c r="O2272" s="63" t="n">
        <f aca="false">IF(ISTEXT($AC2272),VALUE($AC2272),$AC2272)</f>
        <v>31</v>
      </c>
      <c r="P2272" s="64" t="n">
        <f aca="false">INDEX(Datos_Origen!$I$2:$I$2459,$Z2272)</f>
        <v>65.26</v>
      </c>
      <c r="Q2272" s="64" t="n">
        <f aca="false">INDEX(Datos_Origen!$J$2:$J$2459,$Z2272)</f>
        <v>36.49</v>
      </c>
      <c r="R2272" s="65" t="n">
        <f aca="false">ROUND($O2272*$P2272,2)</f>
        <v>2023.06</v>
      </c>
      <c r="S2272" s="65" t="n">
        <f aca="false">ROUND($O2272*$Q2272,2)</f>
        <v>1131.19</v>
      </c>
      <c r="T2272" s="65" t="n">
        <f aca="false">ROUND($R2272*SUMIFS(Parametros!$E$28:$E$43,Parametros!$B$28:$B$43,$J2272,Parametros!$C$28:$C$43,$C2272,Parametros!$D$28:$D$43,$D2272),2)</f>
        <v>26.3</v>
      </c>
      <c r="U2272" s="65" t="n">
        <f aca="false">$R2272-$S2272-$T2272</f>
        <v>865.57</v>
      </c>
      <c r="V2272" s="66" t="n">
        <f aca="false">IFERROR($U2272/$R2272,0)</f>
        <v>0.427851867962394</v>
      </c>
      <c r="W2272" s="67" t="str">
        <f aca="false">IF(AND($V2272&gt;=Parametros!$C$8,$R2272&gt;=Parametros!$C$12),"Alta rentabilidad",IF(OR($V2272&lt;Parametros!$C$11,$R2272&lt;Parametros!$C$13),"Revisar","Estandar"))</f>
        <v>Estandar</v>
      </c>
      <c r="X2272" s="67" t="str">
        <f aca="false">IF(AND($J2272="E-commerce",IFERROR($T2272/$R2272,0)&gt;Parametros!$C$14),"Alerta","OK")</f>
        <v>OK</v>
      </c>
      <c r="Y2272" s="61" t="str">
        <f aca="false">IF($R2272&gt;=Parametros!$C$12,"Alto",IF($R2272&lt;Parametros!$C$13,"Bajo","Medio"))</f>
        <v>Medio</v>
      </c>
      <c r="Z2272" s="61" t="n">
        <v>1725</v>
      </c>
      <c r="AA2272" s="61" t="str">
        <f aca="false">IF(MATCH($A2272,Datos_Origen!$A$2:$A$2459,0)=$Z2272,"OK","REVISAR")</f>
        <v>OK</v>
      </c>
      <c r="AB2272" s="61" t="str">
        <f aca="false">INDEX(Datos_Origen!$B$2:$B$2459,$Z2272)</f>
        <v>2025-11-22</v>
      </c>
      <c r="AC2272" s="61" t="n">
        <f aca="false">INDEX(Datos_Origen!$H$2:$H$2459,$Z2272)</f>
        <v>31</v>
      </c>
      <c r="AD2272" s="61" t="str">
        <f aca="false">INDEX(Datos_Origen!$D$2:$D$2459,$Z2272)&amp;""</f>
        <v>Mendoza</v>
      </c>
    </row>
    <row r="2273" customFormat="false" ht="15" hidden="false" customHeight="false" outlineLevel="0" collapsed="false">
      <c r="A2273" s="61" t="n">
        <f aca="false">INDEX(Datos_Origen!$A$2:$A$2459,$Z2273)</f>
        <v>2272</v>
      </c>
      <c r="B2273" s="62" t="n">
        <f aca="false">IF(ISNUMBER($AB2273),$AB2273,IF(MID($AB2273,5,1)="-",DATE(VALUE(LEFT($AB2273,4)),VALUE(MID($AB2273,6,2)),VALUE(RIGHT($AB2273,2))),DATE(VALUE(RIGHT($AB2273,4)),VALUE(MID($AB2273,4,2)),VALUE(LEFT($AB2273,2)))))</f>
        <v>45963</v>
      </c>
      <c r="C2273" s="61" t="n">
        <f aca="false">YEAR($B2273)</f>
        <v>2025</v>
      </c>
      <c r="D2273" s="61" t="str">
        <f aca="false">"Q"&amp;ROUNDUP(MONTH($B2273)/3,0)</f>
        <v>Q4</v>
      </c>
      <c r="E2273" s="61" t="n">
        <f aca="false">MONTH($B2273)</f>
        <v>11</v>
      </c>
      <c r="F2273" s="61" t="str">
        <f aca="false">INDEX(Parametros!$I$5:$I$16,$E2273)</f>
        <v>Nov</v>
      </c>
      <c r="G2273" s="61" t="str">
        <f aca="false">TEXT($C2273,"0000")&amp;"-"&amp;TEXT($E2273,"00")</f>
        <v>2025-11</v>
      </c>
      <c r="H2273" s="61" t="str">
        <f aca="false">INDEX(Parametros!$C$71:$C$91,MATCH(TRIM(INDEX(Datos_Origen!$C$2:$C$2459,$Z2273)),Parametros!$B$71:$B$91,0))</f>
        <v>Cuyo</v>
      </c>
      <c r="I2273" s="61" t="str">
        <f aca="false">IF(TRIM($AD2273)="",INDEX(Parametros!$I$20:$I$24,MATCH($H2273,Parametros!$H$20:$H$24,0)),TRIM($AD2273))</f>
        <v>Mendoza</v>
      </c>
      <c r="J2273" s="61" t="str">
        <f aca="false">INDEX(Parametros!$C$95:$C$106,MATCH(TRIM(INDEX(Datos_Origen!$E$2:$E$2459,$Z2273)),Parametros!$B$95:$B$106,0))</f>
        <v>E-commerce</v>
      </c>
      <c r="K2273" s="61" t="str">
        <f aca="false">INDEX(Parametros!$C$48:$C$67,MATCH(TRIM(INDEX(Datos_Origen!$F$2:$F$2459,$Z2273)),Parametros!$B$48:$B$67,0))</f>
        <v>Accesorios</v>
      </c>
      <c r="L2273" s="61" t="str">
        <f aca="false">$K2273&amp;" "&amp;$C2273</f>
        <v>Accesorios 2025</v>
      </c>
      <c r="M2273" s="61" t="str">
        <f aca="false">TRIM(INDEX(Datos_Origen!$G$2:$G$2459,$Z2273))</f>
        <v>Webcam Full HD</v>
      </c>
      <c r="N2273" s="61" t="str">
        <f aca="false">$M2273&amp;" "&amp;$C2273</f>
        <v>Webcam Full HD 2025</v>
      </c>
      <c r="O2273" s="63" t="n">
        <f aca="false">IF(ISTEXT($AC2273),VALUE($AC2273),$AC2273)</f>
        <v>28</v>
      </c>
      <c r="P2273" s="64" t="n">
        <f aca="false">INDEX(Datos_Origen!$I$2:$I$2459,$Z2273)</f>
        <v>65.26</v>
      </c>
      <c r="Q2273" s="64" t="n">
        <f aca="false">INDEX(Datos_Origen!$J$2:$J$2459,$Z2273)</f>
        <v>36.49</v>
      </c>
      <c r="R2273" s="65" t="n">
        <f aca="false">ROUND($O2273*$P2273,2)</f>
        <v>1827.28</v>
      </c>
      <c r="S2273" s="65" t="n">
        <f aca="false">ROUND($O2273*$Q2273,2)</f>
        <v>1021.72</v>
      </c>
      <c r="T2273" s="65" t="n">
        <f aca="false">ROUND($R2273*SUMIFS(Parametros!$E$28:$E$43,Parametros!$B$28:$B$43,$J2273,Parametros!$C$28:$C$43,$C2273,Parametros!$D$28:$D$43,$D2273),2)</f>
        <v>95.02</v>
      </c>
      <c r="U2273" s="65" t="n">
        <f aca="false">$R2273-$S2273-$T2273</f>
        <v>710.54</v>
      </c>
      <c r="V2273" s="66" t="n">
        <f aca="false">IFERROR($U2273/$R2273,0)</f>
        <v>0.388851188651985</v>
      </c>
      <c r="W2273" s="67" t="str">
        <f aca="false">IF(AND($V2273&gt;=Parametros!$C$8,$R2273&gt;=Parametros!$C$12),"Alta rentabilidad",IF(OR($V2273&lt;Parametros!$C$11,$R2273&lt;Parametros!$C$13),"Revisar","Estandar"))</f>
        <v>Estandar</v>
      </c>
      <c r="X2273" s="67" t="str">
        <f aca="false">IF(AND($J2273="E-commerce",IFERROR($T2273/$R2273,0)&gt;Parametros!$C$14),"Alerta","OK")</f>
        <v>Alerta</v>
      </c>
      <c r="Y2273" s="61" t="str">
        <f aca="false">IF($R2273&gt;=Parametros!$C$12,"Alto",IF($R2273&lt;Parametros!$C$13,"Bajo","Medio"))</f>
        <v>Medio</v>
      </c>
      <c r="Z2273" s="61" t="n">
        <v>1323</v>
      </c>
      <c r="AA2273" s="61" t="str">
        <f aca="false">IF(MATCH($A2273,Datos_Origen!$A$2:$A$2459,0)=$Z2273,"OK","REVISAR")</f>
        <v>OK</v>
      </c>
      <c r="AB2273" s="61" t="str">
        <f aca="false">INDEX(Datos_Origen!$B$2:$B$2459,$Z2273)</f>
        <v>2025-11-02</v>
      </c>
      <c r="AC2273" s="61" t="str">
        <f aca="false">INDEX(Datos_Origen!$H$2:$H$2459,$Z2273)</f>
        <v>28</v>
      </c>
      <c r="AD2273" s="61" t="str">
        <f aca="false">INDEX(Datos_Origen!$D$2:$D$2459,$Z2273)&amp;""</f>
        <v>Mendoza</v>
      </c>
    </row>
    <row r="2274" customFormat="false" ht="15" hidden="false" customHeight="false" outlineLevel="0" collapsed="false">
      <c r="A2274" s="61" t="n">
        <f aca="false">INDEX(Datos_Origen!$A$2:$A$2459,$Z2274)</f>
        <v>2273</v>
      </c>
      <c r="B2274" s="62" t="n">
        <f aca="false">IF(ISNUMBER($AB2274),$AB2274,IF(MID($AB2274,5,1)="-",DATE(VALUE(LEFT($AB2274,4)),VALUE(MID($AB2274,6,2)),VALUE(RIGHT($AB2274,2))),DATE(VALUE(RIGHT($AB2274,4)),VALUE(MID($AB2274,4,2)),VALUE(LEFT($AB2274,2)))))</f>
        <v>45970</v>
      </c>
      <c r="C2274" s="61" t="n">
        <f aca="false">YEAR($B2274)</f>
        <v>2025</v>
      </c>
      <c r="D2274" s="61" t="str">
        <f aca="false">"Q"&amp;ROUNDUP(MONTH($B2274)/3,0)</f>
        <v>Q4</v>
      </c>
      <c r="E2274" s="61" t="n">
        <f aca="false">MONTH($B2274)</f>
        <v>11</v>
      </c>
      <c r="F2274" s="61" t="str">
        <f aca="false">INDEX(Parametros!$I$5:$I$16,$E2274)</f>
        <v>Nov</v>
      </c>
      <c r="G2274" s="61" t="str">
        <f aca="false">TEXT($C2274,"0000")&amp;"-"&amp;TEXT($E2274,"00")</f>
        <v>2025-11</v>
      </c>
      <c r="H2274" s="61" t="str">
        <f aca="false">INDEX(Parametros!$C$71:$C$91,MATCH(TRIM(INDEX(Datos_Origen!$C$2:$C$2459,$Z2274)),Parametros!$B$71:$B$91,0))</f>
        <v>Cuyo</v>
      </c>
      <c r="I2274" s="61" t="str">
        <f aca="false">IF(TRIM($AD2274)="",INDEX(Parametros!$I$20:$I$24,MATCH($H2274,Parametros!$H$20:$H$24,0)),TRIM($AD2274))</f>
        <v>Mendoza</v>
      </c>
      <c r="J2274" s="61" t="str">
        <f aca="false">INDEX(Parametros!$C$95:$C$106,MATCH(TRIM(INDEX(Datos_Origen!$E$2:$E$2459,$Z2274)),Parametros!$B$95:$B$106,0))</f>
        <v>Tienda fisica</v>
      </c>
      <c r="K2274" s="61" t="str">
        <f aca="false">INDEX(Parametros!$C$48:$C$67,MATCH(TRIM(INDEX(Datos_Origen!$F$2:$F$2459,$Z2274)),Parametros!$B$48:$B$67,0))</f>
        <v>Audio</v>
      </c>
      <c r="L2274" s="61" t="str">
        <f aca="false">$K2274&amp;" "&amp;$C2274</f>
        <v>Audio 2025</v>
      </c>
      <c r="M2274" s="61" t="str">
        <f aca="false">TRIM(INDEX(Datos_Origen!$G$2:$G$2459,$Z2274))</f>
        <v>Auriculares BT Pro</v>
      </c>
      <c r="N2274" s="61" t="str">
        <f aca="false">$M2274&amp;" "&amp;$C2274</f>
        <v>Auriculares BT Pro 2025</v>
      </c>
      <c r="O2274" s="63" t="n">
        <f aca="false">IF(ISTEXT($AC2274),VALUE($AC2274),$AC2274)</f>
        <v>15</v>
      </c>
      <c r="P2274" s="64" t="n">
        <f aca="false">INDEX(Datos_Origen!$I$2:$I$2459,$Z2274)</f>
        <v>120.47</v>
      </c>
      <c r="Q2274" s="64" t="n">
        <f aca="false">INDEX(Datos_Origen!$J$2:$J$2459,$Z2274)</f>
        <v>65.51</v>
      </c>
      <c r="R2274" s="65" t="n">
        <f aca="false">ROUND($O2274*$P2274,2)</f>
        <v>1807.05</v>
      </c>
      <c r="S2274" s="65" t="n">
        <f aca="false">ROUND($O2274*$Q2274,2)</f>
        <v>982.65</v>
      </c>
      <c r="T2274" s="65" t="n">
        <f aca="false">ROUND($R2274*SUMIFS(Parametros!$E$28:$E$43,Parametros!$B$28:$B$43,$J2274,Parametros!$C$28:$C$43,$C2274,Parametros!$D$28:$D$43,$D2274),2)</f>
        <v>23.49</v>
      </c>
      <c r="U2274" s="65" t="n">
        <f aca="false">$R2274-$S2274-$T2274</f>
        <v>800.91</v>
      </c>
      <c r="V2274" s="66" t="n">
        <f aca="false">IFERROR($U2274/$R2274,0)</f>
        <v>0.443214078193741</v>
      </c>
      <c r="W2274" s="67" t="str">
        <f aca="false">IF(AND($V2274&gt;=Parametros!$C$8,$R2274&gt;=Parametros!$C$12),"Alta rentabilidad",IF(OR($V2274&lt;Parametros!$C$11,$R2274&lt;Parametros!$C$13),"Revisar","Estandar"))</f>
        <v>Estandar</v>
      </c>
      <c r="X2274" s="67" t="str">
        <f aca="false">IF(AND($J2274="E-commerce",IFERROR($T2274/$R2274,0)&gt;Parametros!$C$14),"Alerta","OK")</f>
        <v>OK</v>
      </c>
      <c r="Y2274" s="61" t="str">
        <f aca="false">IF($R2274&gt;=Parametros!$C$12,"Alto",IF($R2274&lt;Parametros!$C$13,"Bajo","Medio"))</f>
        <v>Medio</v>
      </c>
      <c r="Z2274" s="61" t="n">
        <v>2301</v>
      </c>
      <c r="AA2274" s="61" t="str">
        <f aca="false">IF(MATCH($A2274,Datos_Origen!$A$2:$A$2459,0)=$Z2274,"OK","REVISAR")</f>
        <v>OK</v>
      </c>
      <c r="AB2274" s="61" t="str">
        <f aca="false">INDEX(Datos_Origen!$B$2:$B$2459,$Z2274)</f>
        <v>2025-11-09</v>
      </c>
      <c r="AC2274" s="61" t="n">
        <f aca="false">INDEX(Datos_Origen!$H$2:$H$2459,$Z2274)</f>
        <v>15</v>
      </c>
      <c r="AD2274" s="61" t="str">
        <f aca="false">INDEX(Datos_Origen!$D$2:$D$2459,$Z2274)&amp;""</f>
        <v>Mendoza</v>
      </c>
    </row>
    <row r="2275" customFormat="false" ht="15" hidden="false" customHeight="false" outlineLevel="0" collapsed="false">
      <c r="A2275" s="61" t="n">
        <f aca="false">INDEX(Datos_Origen!$A$2:$A$2459,$Z2275)</f>
        <v>2274</v>
      </c>
      <c r="B2275" s="62" t="n">
        <f aca="false">IF(ISNUMBER($AB2275),$AB2275,IF(MID($AB2275,5,1)="-",DATE(VALUE(LEFT($AB2275,4)),VALUE(MID($AB2275,6,2)),VALUE(RIGHT($AB2275,2))),DATE(VALUE(RIGHT($AB2275,4)),VALUE(MID($AB2275,4,2)),VALUE(LEFT($AB2275,2)))))</f>
        <v>45977</v>
      </c>
      <c r="C2275" s="61" t="n">
        <f aca="false">YEAR($B2275)</f>
        <v>2025</v>
      </c>
      <c r="D2275" s="61" t="str">
        <f aca="false">"Q"&amp;ROUNDUP(MONTH($B2275)/3,0)</f>
        <v>Q4</v>
      </c>
      <c r="E2275" s="61" t="n">
        <f aca="false">MONTH($B2275)</f>
        <v>11</v>
      </c>
      <c r="F2275" s="61" t="str">
        <f aca="false">INDEX(Parametros!$I$5:$I$16,$E2275)</f>
        <v>Nov</v>
      </c>
      <c r="G2275" s="61" t="str">
        <f aca="false">TEXT($C2275,"0000")&amp;"-"&amp;TEXT($E2275,"00")</f>
        <v>2025-11</v>
      </c>
      <c r="H2275" s="61" t="str">
        <f aca="false">INDEX(Parametros!$C$71:$C$91,MATCH(TRIM(INDEX(Datos_Origen!$C$2:$C$2459,$Z2275)),Parametros!$B$71:$B$91,0))</f>
        <v>Cuyo</v>
      </c>
      <c r="I2275" s="61" t="str">
        <f aca="false">IF(TRIM($AD2275)="",INDEX(Parametros!$I$20:$I$24,MATCH($H2275,Parametros!$H$20:$H$24,0)),TRIM($AD2275))</f>
        <v>Mendoza</v>
      </c>
      <c r="J2275" s="61" t="str">
        <f aca="false">INDEX(Parametros!$C$95:$C$106,MATCH(TRIM(INDEX(Datos_Origen!$E$2:$E$2459,$Z2275)),Parametros!$B$95:$B$106,0))</f>
        <v>E-commerce</v>
      </c>
      <c r="K2275" s="61" t="str">
        <f aca="false">INDEX(Parametros!$C$48:$C$67,MATCH(TRIM(INDEX(Datos_Origen!$F$2:$F$2459,$Z2275)),Parametros!$B$48:$B$67,0))</f>
        <v>Audio</v>
      </c>
      <c r="L2275" s="61" t="str">
        <f aca="false">$K2275&amp;" "&amp;$C2275</f>
        <v>Audio 2025</v>
      </c>
      <c r="M2275" s="61" t="str">
        <f aca="false">TRIM(INDEX(Datos_Origen!$G$2:$G$2459,$Z2275))</f>
        <v>Auriculares BT Pro</v>
      </c>
      <c r="N2275" s="61" t="str">
        <f aca="false">$M2275&amp;" "&amp;$C2275</f>
        <v>Auriculares BT Pro 2025</v>
      </c>
      <c r="O2275" s="63" t="n">
        <f aca="false">IF(ISTEXT($AC2275),VALUE($AC2275),$AC2275)</f>
        <v>13</v>
      </c>
      <c r="P2275" s="64" t="n">
        <f aca="false">INDEX(Datos_Origen!$I$2:$I$2459,$Z2275)</f>
        <v>120.47</v>
      </c>
      <c r="Q2275" s="64" t="n">
        <f aca="false">INDEX(Datos_Origen!$J$2:$J$2459,$Z2275)</f>
        <v>65.51</v>
      </c>
      <c r="R2275" s="65" t="n">
        <f aca="false">ROUND($O2275*$P2275,2)</f>
        <v>1566.11</v>
      </c>
      <c r="S2275" s="65" t="n">
        <f aca="false">ROUND($O2275*$Q2275,2)</f>
        <v>851.63</v>
      </c>
      <c r="T2275" s="65" t="n">
        <f aca="false">ROUND($R2275*SUMIFS(Parametros!$E$28:$E$43,Parametros!$B$28:$B$43,$J2275,Parametros!$C$28:$C$43,$C2275,Parametros!$D$28:$D$43,$D2275),2)</f>
        <v>81.44</v>
      </c>
      <c r="U2275" s="65" t="n">
        <f aca="false">$R2275-$S2275-$T2275</f>
        <v>633.04</v>
      </c>
      <c r="V2275" s="66" t="n">
        <f aca="false">IFERROR($U2275/$R2275,0)</f>
        <v>0.40421170926691</v>
      </c>
      <c r="W2275" s="67" t="str">
        <f aca="false">IF(AND($V2275&gt;=Parametros!$C$8,$R2275&gt;=Parametros!$C$12),"Alta rentabilidad",IF(OR($V2275&lt;Parametros!$C$11,$R2275&lt;Parametros!$C$13),"Revisar","Estandar"))</f>
        <v>Estandar</v>
      </c>
      <c r="X2275" s="67" t="str">
        <f aca="false">IF(AND($J2275="E-commerce",IFERROR($T2275/$R2275,0)&gt;Parametros!$C$14),"Alerta","OK")</f>
        <v>Alerta</v>
      </c>
      <c r="Y2275" s="61" t="str">
        <f aca="false">IF($R2275&gt;=Parametros!$C$12,"Alto",IF($R2275&lt;Parametros!$C$13,"Bajo","Medio"))</f>
        <v>Medio</v>
      </c>
      <c r="Z2275" s="61" t="n">
        <v>284</v>
      </c>
      <c r="AA2275" s="61" t="str">
        <f aca="false">IF(MATCH($A2275,Datos_Origen!$A$2:$A$2459,0)=$Z2275,"OK","REVISAR")</f>
        <v>OK</v>
      </c>
      <c r="AB2275" s="61" t="str">
        <f aca="false">INDEX(Datos_Origen!$B$2:$B$2459,$Z2275)</f>
        <v>2025-11-16</v>
      </c>
      <c r="AC2275" s="61" t="n">
        <f aca="false">INDEX(Datos_Origen!$H$2:$H$2459,$Z2275)</f>
        <v>13</v>
      </c>
      <c r="AD2275" s="61" t="str">
        <f aca="false">INDEX(Datos_Origen!$D$2:$D$2459,$Z2275)&amp;""</f>
        <v>Mendoza</v>
      </c>
    </row>
    <row r="2276" customFormat="false" ht="15" hidden="false" customHeight="false" outlineLevel="0" collapsed="false">
      <c r="A2276" s="61" t="n">
        <f aca="false">INDEX(Datos_Origen!$A$2:$A$2459,$Z2276)</f>
        <v>2275</v>
      </c>
      <c r="B2276" s="62" t="n">
        <f aca="false">IF(ISNUMBER($AB2276),$AB2276,IF(MID($AB2276,5,1)="-",DATE(VALUE(LEFT($AB2276,4)),VALUE(MID($AB2276,6,2)),VALUE(RIGHT($AB2276,2))),DATE(VALUE(RIGHT($AB2276,4)),VALUE(MID($AB2276,4,2)),VALUE(LEFT($AB2276,2)))))</f>
        <v>45984</v>
      </c>
      <c r="C2276" s="61" t="n">
        <f aca="false">YEAR($B2276)</f>
        <v>2025</v>
      </c>
      <c r="D2276" s="61" t="str">
        <f aca="false">"Q"&amp;ROUNDUP(MONTH($B2276)/3,0)</f>
        <v>Q4</v>
      </c>
      <c r="E2276" s="61" t="n">
        <f aca="false">MONTH($B2276)</f>
        <v>11</v>
      </c>
      <c r="F2276" s="61" t="str">
        <f aca="false">INDEX(Parametros!$I$5:$I$16,$E2276)</f>
        <v>Nov</v>
      </c>
      <c r="G2276" s="61" t="str">
        <f aca="false">TEXT($C2276,"0000")&amp;"-"&amp;TEXT($E2276,"00")</f>
        <v>2025-11</v>
      </c>
      <c r="H2276" s="61" t="str">
        <f aca="false">INDEX(Parametros!$C$71:$C$91,MATCH(TRIM(INDEX(Datos_Origen!$C$2:$C$2459,$Z2276)),Parametros!$B$71:$B$91,0))</f>
        <v>Cuyo</v>
      </c>
      <c r="I2276" s="61" t="str">
        <f aca="false">IF(TRIM($AD2276)="",INDEX(Parametros!$I$20:$I$24,MATCH($H2276,Parametros!$H$20:$H$24,0)),TRIM($AD2276))</f>
        <v>Mendoza</v>
      </c>
      <c r="J2276" s="61" t="str">
        <f aca="false">INDEX(Parametros!$C$95:$C$106,MATCH(TRIM(INDEX(Datos_Origen!$E$2:$E$2459,$Z2276)),Parametros!$B$95:$B$106,0))</f>
        <v>Tienda fisica</v>
      </c>
      <c r="K2276" s="61" t="str">
        <f aca="false">INDEX(Parametros!$C$48:$C$67,MATCH(TRIM(INDEX(Datos_Origen!$F$2:$F$2459,$Z2276)),Parametros!$B$48:$B$67,0))</f>
        <v>Audio</v>
      </c>
      <c r="L2276" s="61" t="str">
        <f aca="false">$K2276&amp;" "&amp;$C2276</f>
        <v>Audio 2025</v>
      </c>
      <c r="M2276" s="61" t="str">
        <f aca="false">TRIM(INDEX(Datos_Origen!$G$2:$G$2459,$Z2276))</f>
        <v>Parlante Bluetooth</v>
      </c>
      <c r="N2276" s="61" t="str">
        <f aca="false">$M2276&amp;" "&amp;$C2276</f>
        <v>Parlante Bluetooth 2025</v>
      </c>
      <c r="O2276" s="63" t="n">
        <f aca="false">IF(ISTEXT($AC2276),VALUE($AC2276),$AC2276)</f>
        <v>18</v>
      </c>
      <c r="P2276" s="64" t="n">
        <f aca="false">INDEX(Datos_Origen!$I$2:$I$2459,$Z2276)</f>
        <v>85.34</v>
      </c>
      <c r="Q2276" s="64" t="n">
        <f aca="false">INDEX(Datos_Origen!$J$2:$J$2459,$Z2276)</f>
        <v>49.47</v>
      </c>
      <c r="R2276" s="65" t="n">
        <f aca="false">ROUND($O2276*$P2276,2)</f>
        <v>1536.12</v>
      </c>
      <c r="S2276" s="65" t="n">
        <f aca="false">ROUND($O2276*$Q2276,2)</f>
        <v>890.46</v>
      </c>
      <c r="T2276" s="65" t="n">
        <f aca="false">ROUND($R2276*SUMIFS(Parametros!$E$28:$E$43,Parametros!$B$28:$B$43,$J2276,Parametros!$C$28:$C$43,$C2276,Parametros!$D$28:$D$43,$D2276),2)</f>
        <v>19.97</v>
      </c>
      <c r="U2276" s="65" t="n">
        <f aca="false">$R2276-$S2276-$T2276</f>
        <v>625.69</v>
      </c>
      <c r="V2276" s="66" t="n">
        <f aca="false">IFERROR($U2276/$R2276,0)</f>
        <v>0.407318438663646</v>
      </c>
      <c r="W2276" s="67" t="str">
        <f aca="false">IF(AND($V2276&gt;=Parametros!$C$8,$R2276&gt;=Parametros!$C$12),"Alta rentabilidad",IF(OR($V2276&lt;Parametros!$C$11,$R2276&lt;Parametros!$C$13),"Revisar","Estandar"))</f>
        <v>Estandar</v>
      </c>
      <c r="X2276" s="67" t="str">
        <f aca="false">IF(AND($J2276="E-commerce",IFERROR($T2276/$R2276,0)&gt;Parametros!$C$14),"Alerta","OK")</f>
        <v>OK</v>
      </c>
      <c r="Y2276" s="61" t="str">
        <f aca="false">IF($R2276&gt;=Parametros!$C$12,"Alto",IF($R2276&lt;Parametros!$C$13,"Bajo","Medio"))</f>
        <v>Medio</v>
      </c>
      <c r="Z2276" s="61" t="n">
        <v>2269</v>
      </c>
      <c r="AA2276" s="61" t="str">
        <f aca="false">IF(MATCH($A2276,Datos_Origen!$A$2:$A$2459,0)=$Z2276,"OK","REVISAR")</f>
        <v>OK</v>
      </c>
      <c r="AB2276" s="62" t="n">
        <f aca="false">INDEX(Datos_Origen!$B$2:$B$2459,$Z2276)</f>
        <v>45984</v>
      </c>
      <c r="AC2276" s="61" t="n">
        <f aca="false">INDEX(Datos_Origen!$H$2:$H$2459,$Z2276)</f>
        <v>18</v>
      </c>
      <c r="AD2276" s="61" t="str">
        <f aca="false">INDEX(Datos_Origen!$D$2:$D$2459,$Z2276)&amp;""</f>
        <v>Mendoza</v>
      </c>
    </row>
    <row r="2277" customFormat="false" ht="15" hidden="false" customHeight="false" outlineLevel="0" collapsed="false">
      <c r="A2277" s="61" t="n">
        <f aca="false">INDEX(Datos_Origen!$A$2:$A$2459,$Z2277)</f>
        <v>2276</v>
      </c>
      <c r="B2277" s="62" t="n">
        <f aca="false">IF(ISNUMBER($AB2277),$AB2277,IF(MID($AB2277,5,1)="-",DATE(VALUE(LEFT($AB2277,4)),VALUE(MID($AB2277,6,2)),VALUE(RIGHT($AB2277,2))),DATE(VALUE(RIGHT($AB2277,4)),VALUE(MID($AB2277,4,2)),VALUE(LEFT($AB2277,2)))))</f>
        <v>45964</v>
      </c>
      <c r="C2277" s="61" t="n">
        <f aca="false">YEAR($B2277)</f>
        <v>2025</v>
      </c>
      <c r="D2277" s="61" t="str">
        <f aca="false">"Q"&amp;ROUNDUP(MONTH($B2277)/3,0)</f>
        <v>Q4</v>
      </c>
      <c r="E2277" s="61" t="n">
        <f aca="false">MONTH($B2277)</f>
        <v>11</v>
      </c>
      <c r="F2277" s="61" t="str">
        <f aca="false">INDEX(Parametros!$I$5:$I$16,$E2277)</f>
        <v>Nov</v>
      </c>
      <c r="G2277" s="61" t="str">
        <f aca="false">TEXT($C2277,"0000")&amp;"-"&amp;TEXT($E2277,"00")</f>
        <v>2025-11</v>
      </c>
      <c r="H2277" s="61" t="str">
        <f aca="false">INDEX(Parametros!$C$71:$C$91,MATCH(TRIM(INDEX(Datos_Origen!$C$2:$C$2459,$Z2277)),Parametros!$B$71:$B$91,0))</f>
        <v>Cuyo</v>
      </c>
      <c r="I2277" s="61" t="str">
        <f aca="false">IF(TRIM($AD2277)="",INDEX(Parametros!$I$20:$I$24,MATCH($H2277,Parametros!$H$20:$H$24,0)),TRIM($AD2277))</f>
        <v>Mendoza</v>
      </c>
      <c r="J2277" s="61" t="str">
        <f aca="false">INDEX(Parametros!$C$95:$C$106,MATCH(TRIM(INDEX(Datos_Origen!$E$2:$E$2459,$Z2277)),Parametros!$B$95:$B$106,0))</f>
        <v>E-commerce</v>
      </c>
      <c r="K2277" s="61" t="str">
        <f aca="false">INDEX(Parametros!$C$48:$C$67,MATCH(TRIM(INDEX(Datos_Origen!$F$2:$F$2459,$Z2277)),Parametros!$B$48:$B$67,0))</f>
        <v>Audio</v>
      </c>
      <c r="L2277" s="61" t="str">
        <f aca="false">$K2277&amp;" "&amp;$C2277</f>
        <v>Audio 2025</v>
      </c>
      <c r="M2277" s="61" t="str">
        <f aca="false">TRIM(INDEX(Datos_Origen!$G$2:$G$2459,$Z2277))</f>
        <v>Parlante Bluetooth</v>
      </c>
      <c r="N2277" s="61" t="str">
        <f aca="false">$M2277&amp;" "&amp;$C2277</f>
        <v>Parlante Bluetooth 2025</v>
      </c>
      <c r="O2277" s="63" t="n">
        <f aca="false">IF(ISTEXT($AC2277),VALUE($AC2277),$AC2277)</f>
        <v>11</v>
      </c>
      <c r="P2277" s="64" t="n">
        <f aca="false">INDEX(Datos_Origen!$I$2:$I$2459,$Z2277)</f>
        <v>85.34</v>
      </c>
      <c r="Q2277" s="64" t="n">
        <f aca="false">INDEX(Datos_Origen!$J$2:$J$2459,$Z2277)</f>
        <v>49.47</v>
      </c>
      <c r="R2277" s="65" t="n">
        <f aca="false">ROUND($O2277*$P2277,2)</f>
        <v>938.74</v>
      </c>
      <c r="S2277" s="65" t="n">
        <f aca="false">ROUND($O2277*$Q2277,2)</f>
        <v>544.17</v>
      </c>
      <c r="T2277" s="65" t="n">
        <f aca="false">ROUND($R2277*SUMIFS(Parametros!$E$28:$E$43,Parametros!$B$28:$B$43,$J2277,Parametros!$C$28:$C$43,$C2277,Parametros!$D$28:$D$43,$D2277),2)</f>
        <v>48.81</v>
      </c>
      <c r="U2277" s="65" t="n">
        <f aca="false">$R2277-$S2277-$T2277</f>
        <v>345.76</v>
      </c>
      <c r="V2277" s="66" t="n">
        <f aca="false">IFERROR($U2277/$R2277,0)</f>
        <v>0.368323497454034</v>
      </c>
      <c r="W2277" s="67" t="str">
        <f aca="false">IF(AND($V2277&gt;=Parametros!$C$8,$R2277&gt;=Parametros!$C$12),"Alta rentabilidad",IF(OR($V2277&lt;Parametros!$C$11,$R2277&lt;Parametros!$C$13),"Revisar","Estandar"))</f>
        <v>Estandar</v>
      </c>
      <c r="X2277" s="67" t="str">
        <f aca="false">IF(AND($J2277="E-commerce",IFERROR($T2277/$R2277,0)&gt;Parametros!$C$14),"Alerta","OK")</f>
        <v>Alerta</v>
      </c>
      <c r="Y2277" s="61" t="str">
        <f aca="false">IF($R2277&gt;=Parametros!$C$12,"Alto",IF($R2277&lt;Parametros!$C$13,"Bajo","Medio"))</f>
        <v>Medio</v>
      </c>
      <c r="Z2277" s="61" t="n">
        <v>1108</v>
      </c>
      <c r="AA2277" s="61" t="str">
        <f aca="false">IF(MATCH($A2277,Datos_Origen!$A$2:$A$2459,0)=$Z2277,"OK","REVISAR")</f>
        <v>OK</v>
      </c>
      <c r="AB2277" s="62" t="n">
        <f aca="false">INDEX(Datos_Origen!$B$2:$B$2459,$Z2277)</f>
        <v>45964</v>
      </c>
      <c r="AC2277" s="61" t="n">
        <f aca="false">INDEX(Datos_Origen!$H$2:$H$2459,$Z2277)</f>
        <v>11</v>
      </c>
      <c r="AD2277" s="61" t="str">
        <f aca="false">INDEX(Datos_Origen!$D$2:$D$2459,$Z2277)&amp;""</f>
        <v>Mendoza</v>
      </c>
    </row>
    <row r="2278" customFormat="false" ht="15" hidden="false" customHeight="false" outlineLevel="0" collapsed="false">
      <c r="A2278" s="61" t="n">
        <f aca="false">INDEX(Datos_Origen!$A$2:$A$2459,$Z2278)</f>
        <v>2277</v>
      </c>
      <c r="B2278" s="62" t="n">
        <f aca="false">IF(ISNUMBER($AB2278),$AB2278,IF(MID($AB2278,5,1)="-",DATE(VALUE(LEFT($AB2278,4)),VALUE(MID($AB2278,6,2)),VALUE(RIGHT($AB2278,2))),DATE(VALUE(RIGHT($AB2278,4)),VALUE(MID($AB2278,4,2)),VALUE(LEFT($AB2278,2)))))</f>
        <v>45971</v>
      </c>
      <c r="C2278" s="61" t="n">
        <f aca="false">YEAR($B2278)</f>
        <v>2025</v>
      </c>
      <c r="D2278" s="61" t="str">
        <f aca="false">"Q"&amp;ROUNDUP(MONTH($B2278)/3,0)</f>
        <v>Q4</v>
      </c>
      <c r="E2278" s="61" t="n">
        <f aca="false">MONTH($B2278)</f>
        <v>11</v>
      </c>
      <c r="F2278" s="61" t="str">
        <f aca="false">INDEX(Parametros!$I$5:$I$16,$E2278)</f>
        <v>Nov</v>
      </c>
      <c r="G2278" s="61" t="str">
        <f aca="false">TEXT($C2278,"0000")&amp;"-"&amp;TEXT($E2278,"00")</f>
        <v>2025-11</v>
      </c>
      <c r="H2278" s="61" t="str">
        <f aca="false">INDEX(Parametros!$C$71:$C$91,MATCH(TRIM(INDEX(Datos_Origen!$C$2:$C$2459,$Z2278)),Parametros!$B$71:$B$91,0))</f>
        <v>Cuyo</v>
      </c>
      <c r="I2278" s="61" t="str">
        <f aca="false">IF(TRIM($AD2278)="",INDEX(Parametros!$I$20:$I$24,MATCH($H2278,Parametros!$H$20:$H$24,0)),TRIM($AD2278))</f>
        <v>Mendoza</v>
      </c>
      <c r="J2278" s="61" t="str">
        <f aca="false">INDEX(Parametros!$C$95:$C$106,MATCH(TRIM(INDEX(Datos_Origen!$E$2:$E$2459,$Z2278)),Parametros!$B$95:$B$106,0))</f>
        <v>Tienda fisica</v>
      </c>
      <c r="K2278" s="61" t="str">
        <f aca="false">INDEX(Parametros!$C$48:$C$67,MATCH(TRIM(INDEX(Datos_Origen!$F$2:$F$2459,$Z2278)),Parametros!$B$48:$B$67,0))</f>
        <v>Almacenamiento</v>
      </c>
      <c r="L2278" s="61" t="str">
        <f aca="false">$K2278&amp;" "&amp;$C2278</f>
        <v>Almacenamiento 2025</v>
      </c>
      <c r="M2278" s="61" t="str">
        <f aca="false">TRIM(INDEX(Datos_Origen!$G$2:$G$2459,$Z2278))</f>
        <v>SSD Externo 1TB</v>
      </c>
      <c r="N2278" s="61" t="str">
        <f aca="false">$M2278&amp;" "&amp;$C2278</f>
        <v>SSD Externo 1TB 2025</v>
      </c>
      <c r="O2278" s="63" t="n">
        <f aca="false">IF(ISTEXT($AC2278),VALUE($AC2278),$AC2278)</f>
        <v>21</v>
      </c>
      <c r="P2278" s="64" t="n">
        <f aca="false">INDEX(Datos_Origen!$I$2:$I$2459,$Z2278)</f>
        <v>130.51</v>
      </c>
      <c r="Q2278" s="64" t="n">
        <f aca="false">INDEX(Datos_Origen!$J$2:$J$2459,$Z2278)</f>
        <v>78.33</v>
      </c>
      <c r="R2278" s="65" t="n">
        <f aca="false">ROUND($O2278*$P2278,2)</f>
        <v>2740.71</v>
      </c>
      <c r="S2278" s="65" t="n">
        <f aca="false">ROUND($O2278*$Q2278,2)</f>
        <v>1644.93</v>
      </c>
      <c r="T2278" s="65" t="n">
        <f aca="false">ROUND($R2278*SUMIFS(Parametros!$E$28:$E$43,Parametros!$B$28:$B$43,$J2278,Parametros!$C$28:$C$43,$C2278,Parametros!$D$28:$D$43,$D2278),2)</f>
        <v>35.63</v>
      </c>
      <c r="U2278" s="65" t="n">
        <f aca="false">$R2278-$S2278-$T2278</f>
        <v>1060.15</v>
      </c>
      <c r="V2278" s="66" t="n">
        <f aca="false">IFERROR($U2278/$R2278,0)</f>
        <v>0.386815825096417</v>
      </c>
      <c r="W2278" s="67" t="str">
        <f aca="false">IF(AND($V2278&gt;=Parametros!$C$8,$R2278&gt;=Parametros!$C$12),"Alta rentabilidad",IF(OR($V2278&lt;Parametros!$C$11,$R2278&lt;Parametros!$C$13),"Revisar","Estandar"))</f>
        <v>Estandar</v>
      </c>
      <c r="X2278" s="67" t="str">
        <f aca="false">IF(AND($J2278="E-commerce",IFERROR($T2278/$R2278,0)&gt;Parametros!$C$14),"Alerta","OK")</f>
        <v>OK</v>
      </c>
      <c r="Y2278" s="61" t="str">
        <f aca="false">IF($R2278&gt;=Parametros!$C$12,"Alto",IF($R2278&lt;Parametros!$C$13,"Bajo","Medio"))</f>
        <v>Medio</v>
      </c>
      <c r="Z2278" s="61" t="n">
        <v>1063</v>
      </c>
      <c r="AA2278" s="61" t="str">
        <f aca="false">IF(MATCH($A2278,Datos_Origen!$A$2:$A$2459,0)=$Z2278,"OK","REVISAR")</f>
        <v>OK</v>
      </c>
      <c r="AB2278" s="61" t="str">
        <f aca="false">INDEX(Datos_Origen!$B$2:$B$2459,$Z2278)</f>
        <v>10/11/2025</v>
      </c>
      <c r="AC2278" s="61" t="n">
        <f aca="false">INDEX(Datos_Origen!$H$2:$H$2459,$Z2278)</f>
        <v>21</v>
      </c>
      <c r="AD2278" s="61" t="str">
        <f aca="false">INDEX(Datos_Origen!$D$2:$D$2459,$Z2278)&amp;""</f>
        <v>Mendoza</v>
      </c>
    </row>
    <row r="2279" customFormat="false" ht="15" hidden="false" customHeight="false" outlineLevel="0" collapsed="false">
      <c r="A2279" s="61" t="n">
        <f aca="false">INDEX(Datos_Origen!$A$2:$A$2459,$Z2279)</f>
        <v>2278</v>
      </c>
      <c r="B2279" s="62" t="n">
        <f aca="false">IF(ISNUMBER($AB2279),$AB2279,IF(MID($AB2279,5,1)="-",DATE(VALUE(LEFT($AB2279,4)),VALUE(MID($AB2279,6,2)),VALUE(RIGHT($AB2279,2))),DATE(VALUE(RIGHT($AB2279,4)),VALUE(MID($AB2279,4,2)),VALUE(LEFT($AB2279,2)))))</f>
        <v>45978</v>
      </c>
      <c r="C2279" s="61" t="n">
        <f aca="false">YEAR($B2279)</f>
        <v>2025</v>
      </c>
      <c r="D2279" s="61" t="str">
        <f aca="false">"Q"&amp;ROUNDUP(MONTH($B2279)/3,0)</f>
        <v>Q4</v>
      </c>
      <c r="E2279" s="61" t="n">
        <f aca="false">MONTH($B2279)</f>
        <v>11</v>
      </c>
      <c r="F2279" s="61" t="str">
        <f aca="false">INDEX(Parametros!$I$5:$I$16,$E2279)</f>
        <v>Nov</v>
      </c>
      <c r="G2279" s="61" t="str">
        <f aca="false">TEXT($C2279,"0000")&amp;"-"&amp;TEXT($E2279,"00")</f>
        <v>2025-11</v>
      </c>
      <c r="H2279" s="61" t="str">
        <f aca="false">INDEX(Parametros!$C$71:$C$91,MATCH(TRIM(INDEX(Datos_Origen!$C$2:$C$2459,$Z2279)),Parametros!$B$71:$B$91,0))</f>
        <v>Cuyo</v>
      </c>
      <c r="I2279" s="61" t="str">
        <f aca="false">IF(TRIM($AD2279)="",INDEX(Parametros!$I$20:$I$24,MATCH($H2279,Parametros!$H$20:$H$24,0)),TRIM($AD2279))</f>
        <v>Mendoza</v>
      </c>
      <c r="J2279" s="61" t="str">
        <f aca="false">INDEX(Parametros!$C$95:$C$106,MATCH(TRIM(INDEX(Datos_Origen!$E$2:$E$2459,$Z2279)),Parametros!$B$95:$B$106,0))</f>
        <v>E-commerce</v>
      </c>
      <c r="K2279" s="61" t="str">
        <f aca="false">INDEX(Parametros!$C$48:$C$67,MATCH(TRIM(INDEX(Datos_Origen!$F$2:$F$2459,$Z2279)),Parametros!$B$48:$B$67,0))</f>
        <v>Almacenamiento</v>
      </c>
      <c r="L2279" s="61" t="str">
        <f aca="false">$K2279&amp;" "&amp;$C2279</f>
        <v>Almacenamiento 2025</v>
      </c>
      <c r="M2279" s="61" t="str">
        <f aca="false">TRIM(INDEX(Datos_Origen!$G$2:$G$2459,$Z2279))</f>
        <v>SSD Externo 1TB</v>
      </c>
      <c r="N2279" s="61" t="str">
        <f aca="false">$M2279&amp;" "&amp;$C2279</f>
        <v>SSD Externo 1TB 2025</v>
      </c>
      <c r="O2279" s="63" t="n">
        <f aca="false">IF(ISTEXT($AC2279),VALUE($AC2279),$AC2279)</f>
        <v>14</v>
      </c>
      <c r="P2279" s="64" t="n">
        <f aca="false">INDEX(Datos_Origen!$I$2:$I$2459,$Z2279)</f>
        <v>130.51</v>
      </c>
      <c r="Q2279" s="64" t="n">
        <f aca="false">INDEX(Datos_Origen!$J$2:$J$2459,$Z2279)</f>
        <v>78.33</v>
      </c>
      <c r="R2279" s="65" t="n">
        <f aca="false">ROUND($O2279*$P2279,2)</f>
        <v>1827.14</v>
      </c>
      <c r="S2279" s="65" t="n">
        <f aca="false">ROUND($O2279*$Q2279,2)</f>
        <v>1096.62</v>
      </c>
      <c r="T2279" s="65" t="n">
        <f aca="false">ROUND($R2279*SUMIFS(Parametros!$E$28:$E$43,Parametros!$B$28:$B$43,$J2279,Parametros!$C$28:$C$43,$C2279,Parametros!$D$28:$D$43,$D2279),2)</f>
        <v>95.01</v>
      </c>
      <c r="U2279" s="65" t="n">
        <f aca="false">$R2279-$S2279-$T2279</f>
        <v>635.51</v>
      </c>
      <c r="V2279" s="66" t="n">
        <f aca="false">IFERROR($U2279/$R2279,0)</f>
        <v>0.347816806593912</v>
      </c>
      <c r="W2279" s="67" t="str">
        <f aca="false">IF(AND($V2279&gt;=Parametros!$C$8,$R2279&gt;=Parametros!$C$12),"Alta rentabilidad",IF(OR($V2279&lt;Parametros!$C$11,$R2279&lt;Parametros!$C$13),"Revisar","Estandar"))</f>
        <v>Estandar</v>
      </c>
      <c r="X2279" s="67" t="str">
        <f aca="false">IF(AND($J2279="E-commerce",IFERROR($T2279/$R2279,0)&gt;Parametros!$C$14),"Alerta","OK")</f>
        <v>Alerta</v>
      </c>
      <c r="Y2279" s="61" t="str">
        <f aca="false">IF($R2279&gt;=Parametros!$C$12,"Alto",IF($R2279&lt;Parametros!$C$13,"Bajo","Medio"))</f>
        <v>Medio</v>
      </c>
      <c r="Z2279" s="61" t="n">
        <v>1958</v>
      </c>
      <c r="AA2279" s="61" t="str">
        <f aca="false">IF(MATCH($A2279,Datos_Origen!$A$2:$A$2459,0)=$Z2279,"OK","REVISAR")</f>
        <v>OK</v>
      </c>
      <c r="AB2279" s="62" t="n">
        <f aca="false">INDEX(Datos_Origen!$B$2:$B$2459,$Z2279)</f>
        <v>45978</v>
      </c>
      <c r="AC2279" s="61" t="n">
        <f aca="false">INDEX(Datos_Origen!$H$2:$H$2459,$Z2279)</f>
        <v>14</v>
      </c>
      <c r="AD2279" s="61" t="str">
        <f aca="false">INDEX(Datos_Origen!$D$2:$D$2459,$Z2279)&amp;""</f>
        <v/>
      </c>
    </row>
    <row r="2280" customFormat="false" ht="15" hidden="false" customHeight="false" outlineLevel="0" collapsed="false">
      <c r="A2280" s="61" t="n">
        <f aca="false">INDEX(Datos_Origen!$A$2:$A$2459,$Z2280)</f>
        <v>2279</v>
      </c>
      <c r="B2280" s="62" t="n">
        <f aca="false">IF(ISNUMBER($AB2280),$AB2280,IF(MID($AB2280,5,1)="-",DATE(VALUE(LEFT($AB2280,4)),VALUE(MID($AB2280,6,2)),VALUE(RIGHT($AB2280,2))),DATE(VALUE(RIGHT($AB2280,4)),VALUE(MID($AB2280,4,2)),VALUE(LEFT($AB2280,2)))))</f>
        <v>45985</v>
      </c>
      <c r="C2280" s="61" t="n">
        <f aca="false">YEAR($B2280)</f>
        <v>2025</v>
      </c>
      <c r="D2280" s="61" t="str">
        <f aca="false">"Q"&amp;ROUNDUP(MONTH($B2280)/3,0)</f>
        <v>Q4</v>
      </c>
      <c r="E2280" s="61" t="n">
        <f aca="false">MONTH($B2280)</f>
        <v>11</v>
      </c>
      <c r="F2280" s="61" t="str">
        <f aca="false">INDEX(Parametros!$I$5:$I$16,$E2280)</f>
        <v>Nov</v>
      </c>
      <c r="G2280" s="61" t="str">
        <f aca="false">TEXT($C2280,"0000")&amp;"-"&amp;TEXT($E2280,"00")</f>
        <v>2025-11</v>
      </c>
      <c r="H2280" s="61" t="str">
        <f aca="false">INDEX(Parametros!$C$71:$C$91,MATCH(TRIM(INDEX(Datos_Origen!$C$2:$C$2459,$Z2280)),Parametros!$B$71:$B$91,0))</f>
        <v>Cuyo</v>
      </c>
      <c r="I2280" s="61" t="str">
        <f aca="false">IF(TRIM($AD2280)="",INDEX(Parametros!$I$20:$I$24,MATCH($H2280,Parametros!$H$20:$H$24,0)),TRIM($AD2280))</f>
        <v>Mendoza</v>
      </c>
      <c r="J2280" s="61" t="str">
        <f aca="false">INDEX(Parametros!$C$95:$C$106,MATCH(TRIM(INDEX(Datos_Origen!$E$2:$E$2459,$Z2280)),Parametros!$B$95:$B$106,0))</f>
        <v>Tienda fisica</v>
      </c>
      <c r="K2280" s="61" t="str">
        <f aca="false">INDEX(Parametros!$C$48:$C$67,MATCH(TRIM(INDEX(Datos_Origen!$F$2:$F$2459,$Z2280)),Parametros!$B$48:$B$67,0))</f>
        <v>Almacenamiento</v>
      </c>
      <c r="L2280" s="61" t="str">
        <f aca="false">$K2280&amp;" "&amp;$C2280</f>
        <v>Almacenamiento 2025</v>
      </c>
      <c r="M2280" s="61" t="str">
        <f aca="false">TRIM(INDEX(Datos_Origen!$G$2:$G$2459,$Z2280))</f>
        <v>Pendrive 256GB</v>
      </c>
      <c r="N2280" s="61" t="str">
        <f aca="false">$M2280&amp;" "&amp;$C2280</f>
        <v>Pendrive 256GB 2025</v>
      </c>
      <c r="O2280" s="63" t="n">
        <f aca="false">IF(ISTEXT($AC2280),VALUE($AC2280),$AC2280)</f>
        <v>25</v>
      </c>
      <c r="P2280" s="64" t="n">
        <f aca="false">INDEX(Datos_Origen!$I$2:$I$2459,$Z2280)</f>
        <v>35.14</v>
      </c>
      <c r="Q2280" s="64" t="n">
        <f aca="false">INDEX(Datos_Origen!$J$2:$J$2459,$Z2280)</f>
        <v>18.39</v>
      </c>
      <c r="R2280" s="65" t="n">
        <f aca="false">ROUND($O2280*$P2280,2)</f>
        <v>878.5</v>
      </c>
      <c r="S2280" s="65" t="n">
        <f aca="false">ROUND($O2280*$Q2280,2)</f>
        <v>459.75</v>
      </c>
      <c r="T2280" s="65" t="n">
        <f aca="false">ROUND($R2280*SUMIFS(Parametros!$E$28:$E$43,Parametros!$B$28:$B$43,$J2280,Parametros!$C$28:$C$43,$C2280,Parametros!$D$28:$D$43,$D2280),2)</f>
        <v>11.42</v>
      </c>
      <c r="U2280" s="65" t="n">
        <f aca="false">$R2280-$S2280-$T2280</f>
        <v>407.33</v>
      </c>
      <c r="V2280" s="66" t="n">
        <f aca="false">IFERROR($U2280/$R2280,0)</f>
        <v>0.463665338645418</v>
      </c>
      <c r="W2280" s="67" t="str">
        <f aca="false">IF(AND($V2280&gt;=Parametros!$C$8,$R2280&gt;=Parametros!$C$12),"Alta rentabilidad",IF(OR($V2280&lt;Parametros!$C$11,$R2280&lt;Parametros!$C$13),"Revisar","Estandar"))</f>
        <v>Estandar</v>
      </c>
      <c r="X2280" s="67" t="str">
        <f aca="false">IF(AND($J2280="E-commerce",IFERROR($T2280/$R2280,0)&gt;Parametros!$C$14),"Alerta","OK")</f>
        <v>OK</v>
      </c>
      <c r="Y2280" s="61" t="str">
        <f aca="false">IF($R2280&gt;=Parametros!$C$12,"Alto",IF($R2280&lt;Parametros!$C$13,"Bajo","Medio"))</f>
        <v>Medio</v>
      </c>
      <c r="Z2280" s="61" t="n">
        <v>550</v>
      </c>
      <c r="AA2280" s="61" t="str">
        <f aca="false">IF(MATCH($A2280,Datos_Origen!$A$2:$A$2459,0)=$Z2280,"OK","REVISAR")</f>
        <v>OK</v>
      </c>
      <c r="AB2280" s="61" t="str">
        <f aca="false">INDEX(Datos_Origen!$B$2:$B$2459,$Z2280)</f>
        <v>24/11/2025</v>
      </c>
      <c r="AC2280" s="61" t="n">
        <f aca="false">INDEX(Datos_Origen!$H$2:$H$2459,$Z2280)</f>
        <v>25</v>
      </c>
      <c r="AD2280" s="61" t="str">
        <f aca="false">INDEX(Datos_Origen!$D$2:$D$2459,$Z2280)&amp;""</f>
        <v>Mendoza</v>
      </c>
    </row>
    <row r="2281" customFormat="false" ht="15" hidden="false" customHeight="false" outlineLevel="0" collapsed="false">
      <c r="A2281" s="61" t="n">
        <f aca="false">INDEX(Datos_Origen!$A$2:$A$2459,$Z2281)</f>
        <v>2280</v>
      </c>
      <c r="B2281" s="62" t="n">
        <f aca="false">IF(ISNUMBER($AB2281),$AB2281,IF(MID($AB2281,5,1)="-",DATE(VALUE(LEFT($AB2281,4)),VALUE(MID($AB2281,6,2)),VALUE(RIGHT($AB2281,2))),DATE(VALUE(RIGHT($AB2281,4)),VALUE(MID($AB2281,4,2)),VALUE(LEFT($AB2281,2)))))</f>
        <v>45965</v>
      </c>
      <c r="C2281" s="61" t="n">
        <f aca="false">YEAR($B2281)</f>
        <v>2025</v>
      </c>
      <c r="D2281" s="61" t="str">
        <f aca="false">"Q"&amp;ROUNDUP(MONTH($B2281)/3,0)</f>
        <v>Q4</v>
      </c>
      <c r="E2281" s="61" t="n">
        <f aca="false">MONTH($B2281)</f>
        <v>11</v>
      </c>
      <c r="F2281" s="61" t="str">
        <f aca="false">INDEX(Parametros!$I$5:$I$16,$E2281)</f>
        <v>Nov</v>
      </c>
      <c r="G2281" s="61" t="str">
        <f aca="false">TEXT($C2281,"0000")&amp;"-"&amp;TEXT($E2281,"00")</f>
        <v>2025-11</v>
      </c>
      <c r="H2281" s="61" t="str">
        <f aca="false">INDEX(Parametros!$C$71:$C$91,MATCH(TRIM(INDEX(Datos_Origen!$C$2:$C$2459,$Z2281)),Parametros!$B$71:$B$91,0))</f>
        <v>Cuyo</v>
      </c>
      <c r="I2281" s="61" t="str">
        <f aca="false">IF(TRIM($AD2281)="",INDEX(Parametros!$I$20:$I$24,MATCH($H2281,Parametros!$H$20:$H$24,0)),TRIM($AD2281))</f>
        <v>Mendoza</v>
      </c>
      <c r="J2281" s="61" t="str">
        <f aca="false">INDEX(Parametros!$C$95:$C$106,MATCH(TRIM(INDEX(Datos_Origen!$E$2:$E$2459,$Z2281)),Parametros!$B$95:$B$106,0))</f>
        <v>E-commerce</v>
      </c>
      <c r="K2281" s="61" t="str">
        <f aca="false">INDEX(Parametros!$C$48:$C$67,MATCH(TRIM(INDEX(Datos_Origen!$F$2:$F$2459,$Z2281)),Parametros!$B$48:$B$67,0))</f>
        <v>Almacenamiento</v>
      </c>
      <c r="L2281" s="61" t="str">
        <f aca="false">$K2281&amp;" "&amp;$C2281</f>
        <v>Almacenamiento 2025</v>
      </c>
      <c r="M2281" s="61" t="str">
        <f aca="false">TRIM(INDEX(Datos_Origen!$G$2:$G$2459,$Z2281))</f>
        <v>Pendrive 256GB</v>
      </c>
      <c r="N2281" s="61" t="str">
        <f aca="false">$M2281&amp;" "&amp;$C2281</f>
        <v>Pendrive 256GB 2025</v>
      </c>
      <c r="O2281" s="63" t="n">
        <f aca="false">IF(ISTEXT($AC2281),VALUE($AC2281),$AC2281)</f>
        <v>13</v>
      </c>
      <c r="P2281" s="64" t="n">
        <f aca="false">INDEX(Datos_Origen!$I$2:$I$2459,$Z2281)</f>
        <v>35.14</v>
      </c>
      <c r="Q2281" s="64" t="n">
        <f aca="false">INDEX(Datos_Origen!$J$2:$J$2459,$Z2281)</f>
        <v>18.39</v>
      </c>
      <c r="R2281" s="65" t="n">
        <f aca="false">ROUND($O2281*$P2281,2)</f>
        <v>456.82</v>
      </c>
      <c r="S2281" s="65" t="n">
        <f aca="false">ROUND($O2281*$Q2281,2)</f>
        <v>239.07</v>
      </c>
      <c r="T2281" s="65" t="n">
        <f aca="false">ROUND($R2281*SUMIFS(Parametros!$E$28:$E$43,Parametros!$B$28:$B$43,$J2281,Parametros!$C$28:$C$43,$C2281,Parametros!$D$28:$D$43,$D2281),2)</f>
        <v>23.75</v>
      </c>
      <c r="U2281" s="65" t="n">
        <f aca="false">$R2281-$S2281-$T2281</f>
        <v>194</v>
      </c>
      <c r="V2281" s="66" t="n">
        <f aca="false">IFERROR($U2281/$R2281,0)</f>
        <v>0.424674926666959</v>
      </c>
      <c r="W2281" s="67" t="str">
        <f aca="false">IF(AND($V2281&gt;=Parametros!$C$8,$R2281&gt;=Parametros!$C$12),"Alta rentabilidad",IF(OR($V2281&lt;Parametros!$C$11,$R2281&lt;Parametros!$C$13),"Revisar","Estandar"))</f>
        <v>Estandar</v>
      </c>
      <c r="X2281" s="67" t="str">
        <f aca="false">IF(AND($J2281="E-commerce",IFERROR($T2281/$R2281,0)&gt;Parametros!$C$14),"Alerta","OK")</f>
        <v>Alerta</v>
      </c>
      <c r="Y2281" s="61" t="str">
        <f aca="false">IF($R2281&gt;=Parametros!$C$12,"Alto",IF($R2281&lt;Parametros!$C$13,"Bajo","Medio"))</f>
        <v>Medio</v>
      </c>
      <c r="Z2281" s="61" t="n">
        <v>1757</v>
      </c>
      <c r="AA2281" s="61" t="str">
        <f aca="false">IF(MATCH($A2281,Datos_Origen!$A$2:$A$2459,0)=$Z2281,"OK","REVISAR")</f>
        <v>OK</v>
      </c>
      <c r="AB2281" s="62" t="n">
        <f aca="false">INDEX(Datos_Origen!$B$2:$B$2459,$Z2281)</f>
        <v>45965</v>
      </c>
      <c r="AC2281" s="61" t="n">
        <f aca="false">INDEX(Datos_Origen!$H$2:$H$2459,$Z2281)</f>
        <v>13</v>
      </c>
      <c r="AD2281" s="61" t="str">
        <f aca="false">INDEX(Datos_Origen!$D$2:$D$2459,$Z2281)&amp;""</f>
        <v>Mendoza</v>
      </c>
    </row>
    <row r="2282" customFormat="false" ht="15" hidden="false" customHeight="false" outlineLevel="0" collapsed="false">
      <c r="A2282" s="61" t="n">
        <f aca="false">INDEX(Datos_Origen!$A$2:$A$2459,$Z2282)</f>
        <v>2281</v>
      </c>
      <c r="B2282" s="62" t="n">
        <f aca="false">IF(ISNUMBER($AB2282),$AB2282,IF(MID($AB2282,5,1)="-",DATE(VALUE(LEFT($AB2282,4)),VALUE(MID($AB2282,6,2)),VALUE(RIGHT($AB2282,2))),DATE(VALUE(RIGHT($AB2282,4)),VALUE(MID($AB2282,4,2)),VALUE(LEFT($AB2282,2)))))</f>
        <v>45972</v>
      </c>
      <c r="C2282" s="61" t="n">
        <f aca="false">YEAR($B2282)</f>
        <v>2025</v>
      </c>
      <c r="D2282" s="61" t="str">
        <f aca="false">"Q"&amp;ROUNDUP(MONTH($B2282)/3,0)</f>
        <v>Q4</v>
      </c>
      <c r="E2282" s="61" t="n">
        <f aca="false">MONTH($B2282)</f>
        <v>11</v>
      </c>
      <c r="F2282" s="61" t="str">
        <f aca="false">INDEX(Parametros!$I$5:$I$16,$E2282)</f>
        <v>Nov</v>
      </c>
      <c r="G2282" s="61" t="str">
        <f aca="false">TEXT($C2282,"0000")&amp;"-"&amp;TEXT($E2282,"00")</f>
        <v>2025-11</v>
      </c>
      <c r="H2282" s="61" t="str">
        <f aca="false">INDEX(Parametros!$C$71:$C$91,MATCH(TRIM(INDEX(Datos_Origen!$C$2:$C$2459,$Z2282)),Parametros!$B$71:$B$91,0))</f>
        <v>NOA</v>
      </c>
      <c r="I2282" s="61" t="str">
        <f aca="false">IF(TRIM($AD2282)="",INDEX(Parametros!$I$20:$I$24,MATCH($H2282,Parametros!$H$20:$H$24,0)),TRIM($AD2282))</f>
        <v>Tucuman</v>
      </c>
      <c r="J2282" s="61" t="str">
        <f aca="false">INDEX(Parametros!$C$95:$C$106,MATCH(TRIM(INDEX(Datos_Origen!$E$2:$E$2459,$Z2282)),Parametros!$B$95:$B$106,0))</f>
        <v>Tienda fisica</v>
      </c>
      <c r="K2282" s="61" t="str">
        <f aca="false">INDEX(Parametros!$C$48:$C$67,MATCH(TRIM(INDEX(Datos_Origen!$F$2:$F$2459,$Z2282)),Parametros!$B$48:$B$67,0))</f>
        <v>Computacion</v>
      </c>
      <c r="L2282" s="61" t="str">
        <f aca="false">$K2282&amp;" "&amp;$C2282</f>
        <v>Computacion 2025</v>
      </c>
      <c r="M2282" s="61" t="str">
        <f aca="false">TRIM(INDEX(Datos_Origen!$G$2:$G$2459,$Z2282))</f>
        <v>Laptop Pro 15</v>
      </c>
      <c r="N2282" s="61" t="str">
        <f aca="false">$M2282&amp;" "&amp;$C2282</f>
        <v>Laptop Pro 15 2025</v>
      </c>
      <c r="O2282" s="63" t="n">
        <f aca="false">IF(ISTEXT($AC2282),VALUE($AC2282),$AC2282)</f>
        <v>9</v>
      </c>
      <c r="P2282" s="64" t="n">
        <f aca="false">INDEX(Datos_Origen!$I$2:$I$2459,$Z2282)</f>
        <v>1204.74</v>
      </c>
      <c r="Q2282" s="64" t="n">
        <f aca="false">INDEX(Datos_Origen!$J$2:$J$2459,$Z2282)</f>
        <v>766.32</v>
      </c>
      <c r="R2282" s="65" t="n">
        <f aca="false">ROUND($O2282*$P2282,2)</f>
        <v>10842.66</v>
      </c>
      <c r="S2282" s="65" t="n">
        <f aca="false">ROUND($O2282*$Q2282,2)</f>
        <v>6896.88</v>
      </c>
      <c r="T2282" s="65" t="n">
        <f aca="false">ROUND($R2282*SUMIFS(Parametros!$E$28:$E$43,Parametros!$B$28:$B$43,$J2282,Parametros!$C$28:$C$43,$C2282,Parametros!$D$28:$D$43,$D2282),2)</f>
        <v>140.95</v>
      </c>
      <c r="U2282" s="65" t="n">
        <f aca="false">$R2282-$S2282-$T2282</f>
        <v>3804.83</v>
      </c>
      <c r="V2282" s="66" t="n">
        <f aca="false">IFERROR($U2282/$R2282,0)</f>
        <v>0.350912967851062</v>
      </c>
      <c r="W2282" s="67" t="str">
        <f aca="false">IF(AND($V2282&gt;=Parametros!$C$8,$R2282&gt;=Parametros!$C$12),"Alta rentabilidad",IF(OR($V2282&lt;Parametros!$C$11,$R2282&lt;Parametros!$C$13),"Revisar","Estandar"))</f>
        <v>Alta rentabilidad</v>
      </c>
      <c r="X2282" s="67" t="str">
        <f aca="false">IF(AND($J2282="E-commerce",IFERROR($T2282/$R2282,0)&gt;Parametros!$C$14),"Alerta","OK")</f>
        <v>OK</v>
      </c>
      <c r="Y2282" s="61" t="str">
        <f aca="false">IF($R2282&gt;=Parametros!$C$12,"Alto",IF($R2282&lt;Parametros!$C$13,"Bajo","Medio"))</f>
        <v>Alto</v>
      </c>
      <c r="Z2282" s="61" t="n">
        <v>1966</v>
      </c>
      <c r="AA2282" s="61" t="str">
        <f aca="false">IF(MATCH($A2282,Datos_Origen!$A$2:$A$2459,0)=$Z2282,"OK","REVISAR")</f>
        <v>OK</v>
      </c>
      <c r="AB2282" s="62" t="n">
        <f aca="false">INDEX(Datos_Origen!$B$2:$B$2459,$Z2282)</f>
        <v>45972</v>
      </c>
      <c r="AC2282" s="61" t="n">
        <f aca="false">INDEX(Datos_Origen!$H$2:$H$2459,$Z2282)</f>
        <v>9</v>
      </c>
      <c r="AD2282" s="61" t="str">
        <f aca="false">INDEX(Datos_Origen!$D$2:$D$2459,$Z2282)&amp;""</f>
        <v>Tucuman</v>
      </c>
    </row>
    <row r="2283" customFormat="false" ht="15" hidden="false" customHeight="false" outlineLevel="0" collapsed="false">
      <c r="A2283" s="61" t="n">
        <f aca="false">INDEX(Datos_Origen!$A$2:$A$2459,$Z2283)</f>
        <v>2282</v>
      </c>
      <c r="B2283" s="62" t="n">
        <f aca="false">IF(ISNUMBER($AB2283),$AB2283,IF(MID($AB2283,5,1)="-",DATE(VALUE(LEFT($AB2283,4)),VALUE(MID($AB2283,6,2)),VALUE(RIGHT($AB2283,2))),DATE(VALUE(RIGHT($AB2283,4)),VALUE(MID($AB2283,4,2)),VALUE(LEFT($AB2283,2)))))</f>
        <v>45979</v>
      </c>
      <c r="C2283" s="61" t="n">
        <f aca="false">YEAR($B2283)</f>
        <v>2025</v>
      </c>
      <c r="D2283" s="61" t="str">
        <f aca="false">"Q"&amp;ROUNDUP(MONTH($B2283)/3,0)</f>
        <v>Q4</v>
      </c>
      <c r="E2283" s="61" t="n">
        <f aca="false">MONTH($B2283)</f>
        <v>11</v>
      </c>
      <c r="F2283" s="61" t="str">
        <f aca="false">INDEX(Parametros!$I$5:$I$16,$E2283)</f>
        <v>Nov</v>
      </c>
      <c r="G2283" s="61" t="str">
        <f aca="false">TEXT($C2283,"0000")&amp;"-"&amp;TEXT($E2283,"00")</f>
        <v>2025-11</v>
      </c>
      <c r="H2283" s="61" t="str">
        <f aca="false">INDEX(Parametros!$C$71:$C$91,MATCH(TRIM(INDEX(Datos_Origen!$C$2:$C$2459,$Z2283)),Parametros!$B$71:$B$91,0))</f>
        <v>NOA</v>
      </c>
      <c r="I2283" s="61" t="str">
        <f aca="false">IF(TRIM($AD2283)="",INDEX(Parametros!$I$20:$I$24,MATCH($H2283,Parametros!$H$20:$H$24,0)),TRIM($AD2283))</f>
        <v>Tucuman</v>
      </c>
      <c r="J2283" s="61" t="str">
        <f aca="false">INDEX(Parametros!$C$95:$C$106,MATCH(TRIM(INDEX(Datos_Origen!$E$2:$E$2459,$Z2283)),Parametros!$B$95:$B$106,0))</f>
        <v>E-commerce</v>
      </c>
      <c r="K2283" s="61" t="str">
        <f aca="false">INDEX(Parametros!$C$48:$C$67,MATCH(TRIM(INDEX(Datos_Origen!$F$2:$F$2459,$Z2283)),Parametros!$B$48:$B$67,0))</f>
        <v>Computacion</v>
      </c>
      <c r="L2283" s="61" t="str">
        <f aca="false">$K2283&amp;" "&amp;$C2283</f>
        <v>Computacion 2025</v>
      </c>
      <c r="M2283" s="61" t="str">
        <f aca="false">TRIM(INDEX(Datos_Origen!$G$2:$G$2459,$Z2283))</f>
        <v>Laptop Pro 15</v>
      </c>
      <c r="N2283" s="61" t="str">
        <f aca="false">$M2283&amp;" "&amp;$C2283</f>
        <v>Laptop Pro 15 2025</v>
      </c>
      <c r="O2283" s="63" t="n">
        <f aca="false">IF(ISTEXT($AC2283),VALUE($AC2283),$AC2283)</f>
        <v>6</v>
      </c>
      <c r="P2283" s="64" t="n">
        <f aca="false">INDEX(Datos_Origen!$I$2:$I$2459,$Z2283)</f>
        <v>1204.74</v>
      </c>
      <c r="Q2283" s="64" t="n">
        <f aca="false">INDEX(Datos_Origen!$J$2:$J$2459,$Z2283)</f>
        <v>766.32</v>
      </c>
      <c r="R2283" s="65" t="n">
        <f aca="false">ROUND($O2283*$P2283,2)</f>
        <v>7228.44</v>
      </c>
      <c r="S2283" s="65" t="n">
        <f aca="false">ROUND($O2283*$Q2283,2)</f>
        <v>4597.92</v>
      </c>
      <c r="T2283" s="65" t="n">
        <f aca="false">ROUND($R2283*SUMIFS(Parametros!$E$28:$E$43,Parametros!$B$28:$B$43,$J2283,Parametros!$C$28:$C$43,$C2283,Parametros!$D$28:$D$43,$D2283),2)</f>
        <v>375.88</v>
      </c>
      <c r="U2283" s="65" t="n">
        <f aca="false">$R2283-$S2283-$T2283</f>
        <v>2254.64</v>
      </c>
      <c r="V2283" s="66" t="n">
        <f aca="false">IFERROR($U2283/$R2283,0)</f>
        <v>0.311912390501962</v>
      </c>
      <c r="W2283" s="67" t="str">
        <f aca="false">IF(AND($V2283&gt;=Parametros!$C$8,$R2283&gt;=Parametros!$C$12),"Alta rentabilidad",IF(OR($V2283&lt;Parametros!$C$11,$R2283&lt;Parametros!$C$13),"Revisar","Estandar"))</f>
        <v>Estandar</v>
      </c>
      <c r="X2283" s="67" t="str">
        <f aca="false">IF(AND($J2283="E-commerce",IFERROR($T2283/$R2283,0)&gt;Parametros!$C$14),"Alerta","OK")</f>
        <v>Alerta</v>
      </c>
      <c r="Y2283" s="61" t="str">
        <f aca="false">IF($R2283&gt;=Parametros!$C$12,"Alto",IF($R2283&lt;Parametros!$C$13,"Bajo","Medio"))</f>
        <v>Alto</v>
      </c>
      <c r="Z2283" s="61" t="n">
        <v>1081</v>
      </c>
      <c r="AA2283" s="61" t="str">
        <f aca="false">IF(MATCH($A2283,Datos_Origen!$A$2:$A$2459,0)=$Z2283,"OK","REVISAR")</f>
        <v>OK</v>
      </c>
      <c r="AB2283" s="62" t="n">
        <f aca="false">INDEX(Datos_Origen!$B$2:$B$2459,$Z2283)</f>
        <v>45979</v>
      </c>
      <c r="AC2283" s="61" t="n">
        <f aca="false">INDEX(Datos_Origen!$H$2:$H$2459,$Z2283)</f>
        <v>6</v>
      </c>
      <c r="AD2283" s="61" t="str">
        <f aca="false">INDEX(Datos_Origen!$D$2:$D$2459,$Z2283)&amp;""</f>
        <v>Tucuman</v>
      </c>
    </row>
    <row r="2284" customFormat="false" ht="15" hidden="false" customHeight="false" outlineLevel="0" collapsed="false">
      <c r="A2284" s="61" t="n">
        <f aca="false">INDEX(Datos_Origen!$A$2:$A$2459,$Z2284)</f>
        <v>2283</v>
      </c>
      <c r="B2284" s="62" t="n">
        <f aca="false">IF(ISNUMBER($AB2284),$AB2284,IF(MID($AB2284,5,1)="-",DATE(VALUE(LEFT($AB2284,4)),VALUE(MID($AB2284,6,2)),VALUE(RIGHT($AB2284,2))),DATE(VALUE(RIGHT($AB2284,4)),VALUE(MID($AB2284,4,2)),VALUE(LEFT($AB2284,2)))))</f>
        <v>45986</v>
      </c>
      <c r="C2284" s="61" t="n">
        <f aca="false">YEAR($B2284)</f>
        <v>2025</v>
      </c>
      <c r="D2284" s="61" t="str">
        <f aca="false">"Q"&amp;ROUNDUP(MONTH($B2284)/3,0)</f>
        <v>Q4</v>
      </c>
      <c r="E2284" s="61" t="n">
        <f aca="false">MONTH($B2284)</f>
        <v>11</v>
      </c>
      <c r="F2284" s="61" t="str">
        <f aca="false">INDEX(Parametros!$I$5:$I$16,$E2284)</f>
        <v>Nov</v>
      </c>
      <c r="G2284" s="61" t="str">
        <f aca="false">TEXT($C2284,"0000")&amp;"-"&amp;TEXT($E2284,"00")</f>
        <v>2025-11</v>
      </c>
      <c r="H2284" s="61" t="str">
        <f aca="false">INDEX(Parametros!$C$71:$C$91,MATCH(TRIM(INDEX(Datos_Origen!$C$2:$C$2459,$Z2284)),Parametros!$B$71:$B$91,0))</f>
        <v>NOA</v>
      </c>
      <c r="I2284" s="61" t="str">
        <f aca="false">IF(TRIM($AD2284)="",INDEX(Parametros!$I$20:$I$24,MATCH($H2284,Parametros!$H$20:$H$24,0)),TRIM($AD2284))</f>
        <v>Tucuman</v>
      </c>
      <c r="J2284" s="61" t="str">
        <f aca="false">INDEX(Parametros!$C$95:$C$106,MATCH(TRIM(INDEX(Datos_Origen!$E$2:$E$2459,$Z2284)),Parametros!$B$95:$B$106,0))</f>
        <v>Tienda fisica</v>
      </c>
      <c r="K2284" s="61" t="str">
        <f aca="false">INDEX(Parametros!$C$48:$C$67,MATCH(TRIM(INDEX(Datos_Origen!$F$2:$F$2459,$Z2284)),Parametros!$B$48:$B$67,0))</f>
        <v>Computacion</v>
      </c>
      <c r="L2284" s="61" t="str">
        <f aca="false">$K2284&amp;" "&amp;$C2284</f>
        <v>Computacion 2025</v>
      </c>
      <c r="M2284" s="61" t="str">
        <f aca="false">TRIM(INDEX(Datos_Origen!$G$2:$G$2459,$Z2284))</f>
        <v>Monitor 4K 27</v>
      </c>
      <c r="N2284" s="61" t="str">
        <f aca="false">$M2284&amp;" "&amp;$C2284</f>
        <v>Monitor 4K 27 2025</v>
      </c>
      <c r="O2284" s="63" t="n">
        <f aca="false">IF(ISTEXT($AC2284),VALUE($AC2284),$AC2284)</f>
        <v>8</v>
      </c>
      <c r="P2284" s="64" t="n">
        <f aca="false">INDEX(Datos_Origen!$I$2:$I$2459,$Z2284)</f>
        <v>451.78</v>
      </c>
      <c r="Q2284" s="64" t="n">
        <f aca="false">INDEX(Datos_Origen!$J$2:$J$2459,$Z2284)</f>
        <v>280.42</v>
      </c>
      <c r="R2284" s="65" t="n">
        <f aca="false">ROUND($O2284*$P2284,2)</f>
        <v>3614.24</v>
      </c>
      <c r="S2284" s="65" t="n">
        <f aca="false">ROUND($O2284*$Q2284,2)</f>
        <v>2243.36</v>
      </c>
      <c r="T2284" s="65" t="n">
        <f aca="false">ROUND($R2284*SUMIFS(Parametros!$E$28:$E$43,Parametros!$B$28:$B$43,$J2284,Parametros!$C$28:$C$43,$C2284,Parametros!$D$28:$D$43,$D2284),2)</f>
        <v>46.99</v>
      </c>
      <c r="U2284" s="65" t="n">
        <f aca="false">$R2284-$S2284-$T2284</f>
        <v>1323.89</v>
      </c>
      <c r="V2284" s="66" t="n">
        <f aca="false">IFERROR($U2284/$R2284,0)</f>
        <v>0.366298308911417</v>
      </c>
      <c r="W2284" s="67" t="str">
        <f aca="false">IF(AND($V2284&gt;=Parametros!$C$8,$R2284&gt;=Parametros!$C$12),"Alta rentabilidad",IF(OR($V2284&lt;Parametros!$C$11,$R2284&lt;Parametros!$C$13),"Revisar","Estandar"))</f>
        <v>Alta rentabilidad</v>
      </c>
      <c r="X2284" s="67" t="str">
        <f aca="false">IF(AND($J2284="E-commerce",IFERROR($T2284/$R2284,0)&gt;Parametros!$C$14),"Alerta","OK")</f>
        <v>OK</v>
      </c>
      <c r="Y2284" s="61" t="str">
        <f aca="false">IF($R2284&gt;=Parametros!$C$12,"Alto",IF($R2284&lt;Parametros!$C$13,"Bajo","Medio"))</f>
        <v>Alto</v>
      </c>
      <c r="Z2284" s="61" t="n">
        <v>2449</v>
      </c>
      <c r="AA2284" s="61" t="str">
        <f aca="false">IF(MATCH($A2284,Datos_Origen!$A$2:$A$2459,0)=$Z2284,"OK","REVISAR")</f>
        <v>OK</v>
      </c>
      <c r="AB2284" s="62" t="n">
        <f aca="false">INDEX(Datos_Origen!$B$2:$B$2459,$Z2284)</f>
        <v>45986</v>
      </c>
      <c r="AC2284" s="61" t="n">
        <f aca="false">INDEX(Datos_Origen!$H$2:$H$2459,$Z2284)</f>
        <v>8</v>
      </c>
      <c r="AD2284" s="61" t="str">
        <f aca="false">INDEX(Datos_Origen!$D$2:$D$2459,$Z2284)&amp;""</f>
        <v>Tucuman</v>
      </c>
    </row>
    <row r="2285" customFormat="false" ht="15" hidden="false" customHeight="false" outlineLevel="0" collapsed="false">
      <c r="A2285" s="61" t="n">
        <f aca="false">INDEX(Datos_Origen!$A$2:$A$2459,$Z2285)</f>
        <v>2284</v>
      </c>
      <c r="B2285" s="62" t="n">
        <f aca="false">IF(ISNUMBER($AB2285),$AB2285,IF(MID($AB2285,5,1)="-",DATE(VALUE(LEFT($AB2285,4)),VALUE(MID($AB2285,6,2)),VALUE(RIGHT($AB2285,2))),DATE(VALUE(RIGHT($AB2285,4)),VALUE(MID($AB2285,4,2)),VALUE(LEFT($AB2285,2)))))</f>
        <v>45966</v>
      </c>
      <c r="C2285" s="61" t="n">
        <f aca="false">YEAR($B2285)</f>
        <v>2025</v>
      </c>
      <c r="D2285" s="61" t="str">
        <f aca="false">"Q"&amp;ROUNDUP(MONTH($B2285)/3,0)</f>
        <v>Q4</v>
      </c>
      <c r="E2285" s="61" t="n">
        <f aca="false">MONTH($B2285)</f>
        <v>11</v>
      </c>
      <c r="F2285" s="61" t="str">
        <f aca="false">INDEX(Parametros!$I$5:$I$16,$E2285)</f>
        <v>Nov</v>
      </c>
      <c r="G2285" s="61" t="str">
        <f aca="false">TEXT($C2285,"0000")&amp;"-"&amp;TEXT($E2285,"00")</f>
        <v>2025-11</v>
      </c>
      <c r="H2285" s="61" t="str">
        <f aca="false">INDEX(Parametros!$C$71:$C$91,MATCH(TRIM(INDEX(Datos_Origen!$C$2:$C$2459,$Z2285)),Parametros!$B$71:$B$91,0))</f>
        <v>NOA</v>
      </c>
      <c r="I2285" s="61" t="str">
        <f aca="false">IF(TRIM($AD2285)="",INDEX(Parametros!$I$20:$I$24,MATCH($H2285,Parametros!$H$20:$H$24,0)),TRIM($AD2285))</f>
        <v>Tucuman</v>
      </c>
      <c r="J2285" s="61" t="str">
        <f aca="false">INDEX(Parametros!$C$95:$C$106,MATCH(TRIM(INDEX(Datos_Origen!$E$2:$E$2459,$Z2285)),Parametros!$B$95:$B$106,0))</f>
        <v>E-commerce</v>
      </c>
      <c r="K2285" s="61" t="str">
        <f aca="false">INDEX(Parametros!$C$48:$C$67,MATCH(TRIM(INDEX(Datos_Origen!$F$2:$F$2459,$Z2285)),Parametros!$B$48:$B$67,0))</f>
        <v>Computacion</v>
      </c>
      <c r="L2285" s="61" t="str">
        <f aca="false">$K2285&amp;" "&amp;$C2285</f>
        <v>Computacion 2025</v>
      </c>
      <c r="M2285" s="61" t="str">
        <f aca="false">TRIM(INDEX(Datos_Origen!$G$2:$G$2459,$Z2285))</f>
        <v>Monitor 4K 27</v>
      </c>
      <c r="N2285" s="61" t="str">
        <f aca="false">$M2285&amp;" "&amp;$C2285</f>
        <v>Monitor 4K 27 2025</v>
      </c>
      <c r="O2285" s="63" t="n">
        <f aca="false">IF(ISTEXT($AC2285),VALUE($AC2285),$AC2285)</f>
        <v>5</v>
      </c>
      <c r="P2285" s="64" t="n">
        <f aca="false">INDEX(Datos_Origen!$I$2:$I$2459,$Z2285)</f>
        <v>451.78</v>
      </c>
      <c r="Q2285" s="64" t="n">
        <f aca="false">INDEX(Datos_Origen!$J$2:$J$2459,$Z2285)</f>
        <v>280.42</v>
      </c>
      <c r="R2285" s="65" t="n">
        <f aca="false">ROUND($O2285*$P2285,2)</f>
        <v>2258.9</v>
      </c>
      <c r="S2285" s="65" t="n">
        <f aca="false">ROUND($O2285*$Q2285,2)</f>
        <v>1402.1</v>
      </c>
      <c r="T2285" s="65" t="n">
        <f aca="false">ROUND($R2285*SUMIFS(Parametros!$E$28:$E$43,Parametros!$B$28:$B$43,$J2285,Parametros!$C$28:$C$43,$C2285,Parametros!$D$28:$D$43,$D2285),2)</f>
        <v>117.46</v>
      </c>
      <c r="U2285" s="65" t="n">
        <f aca="false">$R2285-$S2285-$T2285</f>
        <v>739.34</v>
      </c>
      <c r="V2285" s="66" t="n">
        <f aca="false">IFERROR($U2285/$R2285,0)</f>
        <v>0.327300898667493</v>
      </c>
      <c r="W2285" s="67" t="str">
        <f aca="false">IF(AND($V2285&gt;=Parametros!$C$8,$R2285&gt;=Parametros!$C$12),"Alta rentabilidad",IF(OR($V2285&lt;Parametros!$C$11,$R2285&lt;Parametros!$C$13),"Revisar","Estandar"))</f>
        <v>Estandar</v>
      </c>
      <c r="X2285" s="67" t="str">
        <f aca="false">IF(AND($J2285="E-commerce",IFERROR($T2285/$R2285,0)&gt;Parametros!$C$14),"Alerta","OK")</f>
        <v>Alerta</v>
      </c>
      <c r="Y2285" s="61" t="str">
        <f aca="false">IF($R2285&gt;=Parametros!$C$12,"Alto",IF($R2285&lt;Parametros!$C$13,"Bajo","Medio"))</f>
        <v>Medio</v>
      </c>
      <c r="Z2285" s="61" t="n">
        <v>1656</v>
      </c>
      <c r="AA2285" s="61" t="str">
        <f aca="false">IF(MATCH($A2285,Datos_Origen!$A$2:$A$2459,0)=$Z2285,"OK","REVISAR")</f>
        <v>OK</v>
      </c>
      <c r="AB2285" s="61" t="str">
        <f aca="false">INDEX(Datos_Origen!$B$2:$B$2459,$Z2285)</f>
        <v>05/11/2025</v>
      </c>
      <c r="AC2285" s="61" t="n">
        <f aca="false">INDEX(Datos_Origen!$H$2:$H$2459,$Z2285)</f>
        <v>5</v>
      </c>
      <c r="AD2285" s="61" t="str">
        <f aca="false">INDEX(Datos_Origen!$D$2:$D$2459,$Z2285)&amp;""</f>
        <v>Tucuman</v>
      </c>
    </row>
    <row r="2286" customFormat="false" ht="15" hidden="false" customHeight="false" outlineLevel="0" collapsed="false">
      <c r="A2286" s="61" t="n">
        <f aca="false">INDEX(Datos_Origen!$A$2:$A$2459,$Z2286)</f>
        <v>2285</v>
      </c>
      <c r="B2286" s="62" t="n">
        <f aca="false">IF(ISNUMBER($AB2286),$AB2286,IF(MID($AB2286,5,1)="-",DATE(VALUE(LEFT($AB2286,4)),VALUE(MID($AB2286,6,2)),VALUE(RIGHT($AB2286,2))),DATE(VALUE(RIGHT($AB2286,4)),VALUE(MID($AB2286,4,2)),VALUE(LEFT($AB2286,2)))))</f>
        <v>45973</v>
      </c>
      <c r="C2286" s="61" t="n">
        <f aca="false">YEAR($B2286)</f>
        <v>2025</v>
      </c>
      <c r="D2286" s="61" t="str">
        <f aca="false">"Q"&amp;ROUNDUP(MONTH($B2286)/3,0)</f>
        <v>Q4</v>
      </c>
      <c r="E2286" s="61" t="n">
        <f aca="false">MONTH($B2286)</f>
        <v>11</v>
      </c>
      <c r="F2286" s="61" t="str">
        <f aca="false">INDEX(Parametros!$I$5:$I$16,$E2286)</f>
        <v>Nov</v>
      </c>
      <c r="G2286" s="61" t="str">
        <f aca="false">TEXT($C2286,"0000")&amp;"-"&amp;TEXT($E2286,"00")</f>
        <v>2025-11</v>
      </c>
      <c r="H2286" s="61" t="str">
        <f aca="false">INDEX(Parametros!$C$71:$C$91,MATCH(TRIM(INDEX(Datos_Origen!$C$2:$C$2459,$Z2286)),Parametros!$B$71:$B$91,0))</f>
        <v>NOA</v>
      </c>
      <c r="I2286" s="61" t="str">
        <f aca="false">IF(TRIM($AD2286)="",INDEX(Parametros!$I$20:$I$24,MATCH($H2286,Parametros!$H$20:$H$24,0)),TRIM($AD2286))</f>
        <v>Tucuman</v>
      </c>
      <c r="J2286" s="61" t="str">
        <f aca="false">INDEX(Parametros!$C$95:$C$106,MATCH(TRIM(INDEX(Datos_Origen!$E$2:$E$2459,$Z2286)),Parametros!$B$95:$B$106,0))</f>
        <v>Tienda fisica</v>
      </c>
      <c r="K2286" s="61" t="str">
        <f aca="false">INDEX(Parametros!$C$48:$C$67,MATCH(TRIM(INDEX(Datos_Origen!$F$2:$F$2459,$Z2286)),Parametros!$B$48:$B$67,0))</f>
        <v>Computacion</v>
      </c>
      <c r="L2286" s="61" t="str">
        <f aca="false">$K2286&amp;" "&amp;$C2286</f>
        <v>Computacion 2025</v>
      </c>
      <c r="M2286" s="61" t="str">
        <f aca="false">TRIM(INDEX(Datos_Origen!$G$2:$G$2459,$Z2286))</f>
        <v>PC Gamer Ryzen</v>
      </c>
      <c r="N2286" s="61" t="str">
        <f aca="false">$M2286&amp;" "&amp;$C2286</f>
        <v>PC Gamer Ryzen 2025</v>
      </c>
      <c r="O2286" s="63" t="n">
        <f aca="false">IF(ISTEXT($AC2286),VALUE($AC2286),$AC2286)</f>
        <v>7</v>
      </c>
      <c r="P2286" s="64" t="n">
        <f aca="false">INDEX(Datos_Origen!$I$2:$I$2459,$Z2286)</f>
        <v>1656.52</v>
      </c>
      <c r="Q2286" s="64" t="n">
        <f aca="false">INDEX(Datos_Origen!$J$2:$J$2459,$Z2286)</f>
        <v>1155.66</v>
      </c>
      <c r="R2286" s="65" t="n">
        <f aca="false">ROUND($O2286*$P2286,2)</f>
        <v>11595.64</v>
      </c>
      <c r="S2286" s="65" t="n">
        <f aca="false">ROUND($O2286*$Q2286,2)</f>
        <v>8089.62</v>
      </c>
      <c r="T2286" s="65" t="n">
        <f aca="false">ROUND($R2286*SUMIFS(Parametros!$E$28:$E$43,Parametros!$B$28:$B$43,$J2286,Parametros!$C$28:$C$43,$C2286,Parametros!$D$28:$D$43,$D2286),2)</f>
        <v>150.74</v>
      </c>
      <c r="U2286" s="65" t="n">
        <f aca="false">$R2286-$S2286-$T2286</f>
        <v>3355.28</v>
      </c>
      <c r="V2286" s="66" t="n">
        <f aca="false">IFERROR($U2286/$R2286,0)</f>
        <v>0.289357034195611</v>
      </c>
      <c r="W2286" s="67" t="str">
        <f aca="false">IF(AND($V2286&gt;=Parametros!$C$8,$R2286&gt;=Parametros!$C$12),"Alta rentabilidad",IF(OR($V2286&lt;Parametros!$C$11,$R2286&lt;Parametros!$C$13),"Revisar","Estandar"))</f>
        <v>Estandar</v>
      </c>
      <c r="X2286" s="67" t="str">
        <f aca="false">IF(AND($J2286="E-commerce",IFERROR($T2286/$R2286,0)&gt;Parametros!$C$14),"Alerta","OK")</f>
        <v>OK</v>
      </c>
      <c r="Y2286" s="61" t="str">
        <f aca="false">IF($R2286&gt;=Parametros!$C$12,"Alto",IF($R2286&lt;Parametros!$C$13,"Bajo","Medio"))</f>
        <v>Alto</v>
      </c>
      <c r="Z2286" s="61" t="n">
        <v>1175</v>
      </c>
      <c r="AA2286" s="61" t="str">
        <f aca="false">IF(MATCH($A2286,Datos_Origen!$A$2:$A$2459,0)=$Z2286,"OK","REVISAR")</f>
        <v>OK</v>
      </c>
      <c r="AB2286" s="62" t="n">
        <f aca="false">INDEX(Datos_Origen!$B$2:$B$2459,$Z2286)</f>
        <v>45973</v>
      </c>
      <c r="AC2286" s="61" t="n">
        <f aca="false">INDEX(Datos_Origen!$H$2:$H$2459,$Z2286)</f>
        <v>7</v>
      </c>
      <c r="AD2286" s="61" t="str">
        <f aca="false">INDEX(Datos_Origen!$D$2:$D$2459,$Z2286)&amp;""</f>
        <v>Tucuman</v>
      </c>
    </row>
    <row r="2287" customFormat="false" ht="15" hidden="false" customHeight="false" outlineLevel="0" collapsed="false">
      <c r="A2287" s="61" t="n">
        <f aca="false">INDEX(Datos_Origen!$A$2:$A$2459,$Z2287)</f>
        <v>2286</v>
      </c>
      <c r="B2287" s="62" t="n">
        <f aca="false">IF(ISNUMBER($AB2287),$AB2287,IF(MID($AB2287,5,1)="-",DATE(VALUE(LEFT($AB2287,4)),VALUE(MID($AB2287,6,2)),VALUE(RIGHT($AB2287,2))),DATE(VALUE(RIGHT($AB2287,4)),VALUE(MID($AB2287,4,2)),VALUE(LEFT($AB2287,2)))))</f>
        <v>45980</v>
      </c>
      <c r="C2287" s="61" t="n">
        <f aca="false">YEAR($B2287)</f>
        <v>2025</v>
      </c>
      <c r="D2287" s="61" t="str">
        <f aca="false">"Q"&amp;ROUNDUP(MONTH($B2287)/3,0)</f>
        <v>Q4</v>
      </c>
      <c r="E2287" s="61" t="n">
        <f aca="false">MONTH($B2287)</f>
        <v>11</v>
      </c>
      <c r="F2287" s="61" t="str">
        <f aca="false">INDEX(Parametros!$I$5:$I$16,$E2287)</f>
        <v>Nov</v>
      </c>
      <c r="G2287" s="61" t="str">
        <f aca="false">TEXT($C2287,"0000")&amp;"-"&amp;TEXT($E2287,"00")</f>
        <v>2025-11</v>
      </c>
      <c r="H2287" s="61" t="str">
        <f aca="false">INDEX(Parametros!$C$71:$C$91,MATCH(TRIM(INDEX(Datos_Origen!$C$2:$C$2459,$Z2287)),Parametros!$B$71:$B$91,0))</f>
        <v>NOA</v>
      </c>
      <c r="I2287" s="61" t="str">
        <f aca="false">IF(TRIM($AD2287)="",INDEX(Parametros!$I$20:$I$24,MATCH($H2287,Parametros!$H$20:$H$24,0)),TRIM($AD2287))</f>
        <v>Tucuman</v>
      </c>
      <c r="J2287" s="61" t="str">
        <f aca="false">INDEX(Parametros!$C$95:$C$106,MATCH(TRIM(INDEX(Datos_Origen!$E$2:$E$2459,$Z2287)),Parametros!$B$95:$B$106,0))</f>
        <v>E-commerce</v>
      </c>
      <c r="K2287" s="61" t="str">
        <f aca="false">INDEX(Parametros!$C$48:$C$67,MATCH(TRIM(INDEX(Datos_Origen!$F$2:$F$2459,$Z2287)),Parametros!$B$48:$B$67,0))</f>
        <v>Computacion</v>
      </c>
      <c r="L2287" s="61" t="str">
        <f aca="false">$K2287&amp;" "&amp;$C2287</f>
        <v>Computacion 2025</v>
      </c>
      <c r="M2287" s="61" t="str">
        <f aca="false">TRIM(INDEX(Datos_Origen!$G$2:$G$2459,$Z2287))</f>
        <v>PC Gamer Ryzen</v>
      </c>
      <c r="N2287" s="61" t="str">
        <f aca="false">$M2287&amp;" "&amp;$C2287</f>
        <v>PC Gamer Ryzen 2025</v>
      </c>
      <c r="O2287" s="63" t="n">
        <f aca="false">IF(ISTEXT($AC2287),VALUE($AC2287),$AC2287)</f>
        <v>6</v>
      </c>
      <c r="P2287" s="64" t="n">
        <f aca="false">INDEX(Datos_Origen!$I$2:$I$2459,$Z2287)</f>
        <v>1656.52</v>
      </c>
      <c r="Q2287" s="64" t="n">
        <f aca="false">INDEX(Datos_Origen!$J$2:$J$2459,$Z2287)</f>
        <v>1155.66</v>
      </c>
      <c r="R2287" s="65" t="n">
        <f aca="false">ROUND($O2287*$P2287,2)</f>
        <v>9939.12</v>
      </c>
      <c r="S2287" s="65" t="n">
        <f aca="false">ROUND($O2287*$Q2287,2)</f>
        <v>6933.96</v>
      </c>
      <c r="T2287" s="65" t="n">
        <f aca="false">ROUND($R2287*SUMIFS(Parametros!$E$28:$E$43,Parametros!$B$28:$B$43,$J2287,Parametros!$C$28:$C$43,$C2287,Parametros!$D$28:$D$43,$D2287),2)</f>
        <v>516.83</v>
      </c>
      <c r="U2287" s="65" t="n">
        <f aca="false">$R2287-$S2287-$T2287</f>
        <v>2488.33</v>
      </c>
      <c r="V2287" s="66" t="n">
        <f aca="false">IFERROR($U2287/$R2287,0)</f>
        <v>0.250357174478224</v>
      </c>
      <c r="W2287" s="67" t="str">
        <f aca="false">IF(AND($V2287&gt;=Parametros!$C$8,$R2287&gt;=Parametros!$C$12),"Alta rentabilidad",IF(OR($V2287&lt;Parametros!$C$11,$R2287&lt;Parametros!$C$13),"Revisar","Estandar"))</f>
        <v>Revisar</v>
      </c>
      <c r="X2287" s="67" t="str">
        <f aca="false">IF(AND($J2287="E-commerce",IFERROR($T2287/$R2287,0)&gt;Parametros!$C$14),"Alerta","OK")</f>
        <v>Alerta</v>
      </c>
      <c r="Y2287" s="61" t="str">
        <f aca="false">IF($R2287&gt;=Parametros!$C$12,"Alto",IF($R2287&lt;Parametros!$C$13,"Bajo","Medio"))</f>
        <v>Alto</v>
      </c>
      <c r="Z2287" s="61" t="n">
        <v>1092</v>
      </c>
      <c r="AA2287" s="61" t="str">
        <f aca="false">IF(MATCH($A2287,Datos_Origen!$A$2:$A$2459,0)=$Z2287,"OK","REVISAR")</f>
        <v>OK</v>
      </c>
      <c r="AB2287" s="62" t="n">
        <f aca="false">INDEX(Datos_Origen!$B$2:$B$2459,$Z2287)</f>
        <v>45980</v>
      </c>
      <c r="AC2287" s="61" t="n">
        <f aca="false">INDEX(Datos_Origen!$H$2:$H$2459,$Z2287)</f>
        <v>6</v>
      </c>
      <c r="AD2287" s="61" t="str">
        <f aca="false">INDEX(Datos_Origen!$D$2:$D$2459,$Z2287)&amp;""</f>
        <v>Tucuman</v>
      </c>
    </row>
    <row r="2288" customFormat="false" ht="15" hidden="false" customHeight="false" outlineLevel="0" collapsed="false">
      <c r="A2288" s="61" t="n">
        <f aca="false">INDEX(Datos_Origen!$A$2:$A$2459,$Z2288)</f>
        <v>2287</v>
      </c>
      <c r="B2288" s="62" t="n">
        <f aca="false">IF(ISNUMBER($AB2288),$AB2288,IF(MID($AB2288,5,1)="-",DATE(VALUE(LEFT($AB2288,4)),VALUE(MID($AB2288,6,2)),VALUE(RIGHT($AB2288,2))),DATE(VALUE(RIGHT($AB2288,4)),VALUE(MID($AB2288,4,2)),VALUE(LEFT($AB2288,2)))))</f>
        <v>45987</v>
      </c>
      <c r="C2288" s="61" t="n">
        <f aca="false">YEAR($B2288)</f>
        <v>2025</v>
      </c>
      <c r="D2288" s="61" t="str">
        <f aca="false">"Q"&amp;ROUNDUP(MONTH($B2288)/3,0)</f>
        <v>Q4</v>
      </c>
      <c r="E2288" s="61" t="n">
        <f aca="false">MONTH($B2288)</f>
        <v>11</v>
      </c>
      <c r="F2288" s="61" t="str">
        <f aca="false">INDEX(Parametros!$I$5:$I$16,$E2288)</f>
        <v>Nov</v>
      </c>
      <c r="G2288" s="61" t="str">
        <f aca="false">TEXT($C2288,"0000")&amp;"-"&amp;TEXT($E2288,"00")</f>
        <v>2025-11</v>
      </c>
      <c r="H2288" s="61" t="str">
        <f aca="false">INDEX(Parametros!$C$71:$C$91,MATCH(TRIM(INDEX(Datos_Origen!$C$2:$C$2459,$Z2288)),Parametros!$B$71:$B$91,0))</f>
        <v>NOA</v>
      </c>
      <c r="I2288" s="61" t="str">
        <f aca="false">IF(TRIM($AD2288)="",INDEX(Parametros!$I$20:$I$24,MATCH($H2288,Parametros!$H$20:$H$24,0)),TRIM($AD2288))</f>
        <v>Tucuman</v>
      </c>
      <c r="J2288" s="61" t="str">
        <f aca="false">INDEX(Parametros!$C$95:$C$106,MATCH(TRIM(INDEX(Datos_Origen!$E$2:$E$2459,$Z2288)),Parametros!$B$95:$B$106,0))</f>
        <v>Tienda fisica</v>
      </c>
      <c r="K2288" s="61" t="str">
        <f aca="false">INDEX(Parametros!$C$48:$C$67,MATCH(TRIM(INDEX(Datos_Origen!$F$2:$F$2459,$Z2288)),Parametros!$B$48:$B$67,0))</f>
        <v>Accesorios</v>
      </c>
      <c r="L2288" s="61" t="str">
        <f aca="false">$K2288&amp;" "&amp;$C2288</f>
        <v>Accesorios 2025</v>
      </c>
      <c r="M2288" s="61" t="str">
        <f aca="false">TRIM(INDEX(Datos_Origen!$G$2:$G$2459,$Z2288))</f>
        <v>Mouse Inalambrico</v>
      </c>
      <c r="N2288" s="61" t="str">
        <f aca="false">$M2288&amp;" "&amp;$C2288</f>
        <v>Mouse Inalambrico 2025</v>
      </c>
      <c r="O2288" s="63" t="n">
        <f aca="false">IF(ISTEXT($AC2288),VALUE($AC2288),$AC2288)</f>
        <v>38</v>
      </c>
      <c r="P2288" s="64" t="n">
        <f aca="false">INDEX(Datos_Origen!$I$2:$I$2459,$Z2288)</f>
        <v>28.11</v>
      </c>
      <c r="Q2288" s="64" t="n">
        <f aca="false">INDEX(Datos_Origen!$J$2:$J$2459,$Z2288)</f>
        <v>13.84</v>
      </c>
      <c r="R2288" s="65" t="n">
        <f aca="false">ROUND($O2288*$P2288,2)</f>
        <v>1068.18</v>
      </c>
      <c r="S2288" s="65" t="n">
        <f aca="false">ROUND($O2288*$Q2288,2)</f>
        <v>525.92</v>
      </c>
      <c r="T2288" s="65" t="n">
        <f aca="false">ROUND($R2288*SUMIFS(Parametros!$E$28:$E$43,Parametros!$B$28:$B$43,$J2288,Parametros!$C$28:$C$43,$C2288,Parametros!$D$28:$D$43,$D2288),2)</f>
        <v>13.89</v>
      </c>
      <c r="U2288" s="65" t="n">
        <f aca="false">$R2288-$S2288-$T2288</f>
        <v>528.37</v>
      </c>
      <c r="V2288" s="66" t="n">
        <f aca="false">IFERROR($U2288/$R2288,0)</f>
        <v>0.494645097268251</v>
      </c>
      <c r="W2288" s="67" t="str">
        <f aca="false">IF(AND($V2288&gt;=Parametros!$C$8,$R2288&gt;=Parametros!$C$12),"Alta rentabilidad",IF(OR($V2288&lt;Parametros!$C$11,$R2288&lt;Parametros!$C$13),"Revisar","Estandar"))</f>
        <v>Estandar</v>
      </c>
      <c r="X2288" s="67" t="str">
        <f aca="false">IF(AND($J2288="E-commerce",IFERROR($T2288/$R2288,0)&gt;Parametros!$C$14),"Alerta","OK")</f>
        <v>OK</v>
      </c>
      <c r="Y2288" s="61" t="str">
        <f aca="false">IF($R2288&gt;=Parametros!$C$12,"Alto",IF($R2288&lt;Parametros!$C$13,"Bajo","Medio"))</f>
        <v>Medio</v>
      </c>
      <c r="Z2288" s="61" t="n">
        <v>2239</v>
      </c>
      <c r="AA2288" s="61" t="str">
        <f aca="false">IF(MATCH($A2288,Datos_Origen!$A$2:$A$2459,0)=$Z2288,"OK","REVISAR")</f>
        <v>OK</v>
      </c>
      <c r="AB2288" s="61" t="str">
        <f aca="false">INDEX(Datos_Origen!$B$2:$B$2459,$Z2288)</f>
        <v>2025-11-26</v>
      </c>
      <c r="AC2288" s="61" t="n">
        <f aca="false">INDEX(Datos_Origen!$H$2:$H$2459,$Z2288)</f>
        <v>38</v>
      </c>
      <c r="AD2288" s="61" t="str">
        <f aca="false">INDEX(Datos_Origen!$D$2:$D$2459,$Z2288)&amp;""</f>
        <v>Tucuman</v>
      </c>
    </row>
    <row r="2289" customFormat="false" ht="15" hidden="false" customHeight="false" outlineLevel="0" collapsed="false">
      <c r="A2289" s="61" t="n">
        <f aca="false">INDEX(Datos_Origen!$A$2:$A$2459,$Z2289)</f>
        <v>2288</v>
      </c>
      <c r="B2289" s="62" t="n">
        <f aca="false">IF(ISNUMBER($AB2289),$AB2289,IF(MID($AB2289,5,1)="-",DATE(VALUE(LEFT($AB2289,4)),VALUE(MID($AB2289,6,2)),VALUE(RIGHT($AB2289,2))),DATE(VALUE(RIGHT($AB2289,4)),VALUE(MID($AB2289,4,2)),VALUE(LEFT($AB2289,2)))))</f>
        <v>45967</v>
      </c>
      <c r="C2289" s="61" t="n">
        <f aca="false">YEAR($B2289)</f>
        <v>2025</v>
      </c>
      <c r="D2289" s="61" t="str">
        <f aca="false">"Q"&amp;ROUNDUP(MONTH($B2289)/3,0)</f>
        <v>Q4</v>
      </c>
      <c r="E2289" s="61" t="n">
        <f aca="false">MONTH($B2289)</f>
        <v>11</v>
      </c>
      <c r="F2289" s="61" t="str">
        <f aca="false">INDEX(Parametros!$I$5:$I$16,$E2289)</f>
        <v>Nov</v>
      </c>
      <c r="G2289" s="61" t="str">
        <f aca="false">TEXT($C2289,"0000")&amp;"-"&amp;TEXT($E2289,"00")</f>
        <v>2025-11</v>
      </c>
      <c r="H2289" s="61" t="str">
        <f aca="false">INDEX(Parametros!$C$71:$C$91,MATCH(TRIM(INDEX(Datos_Origen!$C$2:$C$2459,$Z2289)),Parametros!$B$71:$B$91,0))</f>
        <v>NOA</v>
      </c>
      <c r="I2289" s="61" t="str">
        <f aca="false">IF(TRIM($AD2289)="",INDEX(Parametros!$I$20:$I$24,MATCH($H2289,Parametros!$H$20:$H$24,0)),TRIM($AD2289))</f>
        <v>Tucuman</v>
      </c>
      <c r="J2289" s="61" t="str">
        <f aca="false">INDEX(Parametros!$C$95:$C$106,MATCH(TRIM(INDEX(Datos_Origen!$E$2:$E$2459,$Z2289)),Parametros!$B$95:$B$106,0))</f>
        <v>E-commerce</v>
      </c>
      <c r="K2289" s="61" t="str">
        <f aca="false">INDEX(Parametros!$C$48:$C$67,MATCH(TRIM(INDEX(Datos_Origen!$F$2:$F$2459,$Z2289)),Parametros!$B$48:$B$67,0))</f>
        <v>Accesorios</v>
      </c>
      <c r="L2289" s="61" t="str">
        <f aca="false">$K2289&amp;" "&amp;$C2289</f>
        <v>Accesorios 2025</v>
      </c>
      <c r="M2289" s="61" t="str">
        <f aca="false">TRIM(INDEX(Datos_Origen!$G$2:$G$2459,$Z2289))</f>
        <v>Mouse Inalambrico</v>
      </c>
      <c r="N2289" s="61" t="str">
        <f aca="false">$M2289&amp;" "&amp;$C2289</f>
        <v>Mouse Inalambrico 2025</v>
      </c>
      <c r="O2289" s="63" t="n">
        <f aca="false">IF(ISTEXT($AC2289),VALUE($AC2289),$AC2289)</f>
        <v>26</v>
      </c>
      <c r="P2289" s="64" t="n">
        <f aca="false">INDEX(Datos_Origen!$I$2:$I$2459,$Z2289)</f>
        <v>28.11</v>
      </c>
      <c r="Q2289" s="64" t="n">
        <f aca="false">INDEX(Datos_Origen!$J$2:$J$2459,$Z2289)</f>
        <v>13.84</v>
      </c>
      <c r="R2289" s="65" t="n">
        <f aca="false">ROUND($O2289*$P2289,2)</f>
        <v>730.86</v>
      </c>
      <c r="S2289" s="65" t="n">
        <f aca="false">ROUND($O2289*$Q2289,2)</f>
        <v>359.84</v>
      </c>
      <c r="T2289" s="65" t="n">
        <f aca="false">ROUND($R2289*SUMIFS(Parametros!$E$28:$E$43,Parametros!$B$28:$B$43,$J2289,Parametros!$C$28:$C$43,$C2289,Parametros!$D$28:$D$43,$D2289),2)</f>
        <v>38</v>
      </c>
      <c r="U2289" s="65" t="n">
        <f aca="false">$R2289-$S2289-$T2289</f>
        <v>333.02</v>
      </c>
      <c r="V2289" s="66" t="n">
        <f aca="false">IFERROR($U2289/$R2289,0)</f>
        <v>0.45565498180226</v>
      </c>
      <c r="W2289" s="67" t="str">
        <f aca="false">IF(AND($V2289&gt;=Parametros!$C$8,$R2289&gt;=Parametros!$C$12),"Alta rentabilidad",IF(OR($V2289&lt;Parametros!$C$11,$R2289&lt;Parametros!$C$13),"Revisar","Estandar"))</f>
        <v>Estandar</v>
      </c>
      <c r="X2289" s="67" t="str">
        <f aca="false">IF(AND($J2289="E-commerce",IFERROR($T2289/$R2289,0)&gt;Parametros!$C$14),"Alerta","OK")</f>
        <v>Alerta</v>
      </c>
      <c r="Y2289" s="61" t="str">
        <f aca="false">IF($R2289&gt;=Parametros!$C$12,"Alto",IF($R2289&lt;Parametros!$C$13,"Bajo","Medio"))</f>
        <v>Medio</v>
      </c>
      <c r="Z2289" s="61" t="n">
        <v>1099</v>
      </c>
      <c r="AA2289" s="61" t="str">
        <f aca="false">IF(MATCH($A2289,Datos_Origen!$A$2:$A$2459,0)=$Z2289,"OK","REVISAR")</f>
        <v>OK</v>
      </c>
      <c r="AB2289" s="62" t="n">
        <f aca="false">INDEX(Datos_Origen!$B$2:$B$2459,$Z2289)</f>
        <v>45967</v>
      </c>
      <c r="AC2289" s="61" t="n">
        <f aca="false">INDEX(Datos_Origen!$H$2:$H$2459,$Z2289)</f>
        <v>26</v>
      </c>
      <c r="AD2289" s="61" t="str">
        <f aca="false">INDEX(Datos_Origen!$D$2:$D$2459,$Z2289)&amp;""</f>
        <v>Tucuman</v>
      </c>
    </row>
    <row r="2290" customFormat="false" ht="15" hidden="false" customHeight="false" outlineLevel="0" collapsed="false">
      <c r="A2290" s="61" t="n">
        <f aca="false">INDEX(Datos_Origen!$A$2:$A$2459,$Z2290)</f>
        <v>2289</v>
      </c>
      <c r="B2290" s="62" t="n">
        <f aca="false">IF(ISNUMBER($AB2290),$AB2290,IF(MID($AB2290,5,1)="-",DATE(VALUE(LEFT($AB2290,4)),VALUE(MID($AB2290,6,2)),VALUE(RIGHT($AB2290,2))),DATE(VALUE(RIGHT($AB2290,4)),VALUE(MID($AB2290,4,2)),VALUE(LEFT($AB2290,2)))))</f>
        <v>45974</v>
      </c>
      <c r="C2290" s="61" t="n">
        <f aca="false">YEAR($B2290)</f>
        <v>2025</v>
      </c>
      <c r="D2290" s="61" t="str">
        <f aca="false">"Q"&amp;ROUNDUP(MONTH($B2290)/3,0)</f>
        <v>Q4</v>
      </c>
      <c r="E2290" s="61" t="n">
        <f aca="false">MONTH($B2290)</f>
        <v>11</v>
      </c>
      <c r="F2290" s="61" t="str">
        <f aca="false">INDEX(Parametros!$I$5:$I$16,$E2290)</f>
        <v>Nov</v>
      </c>
      <c r="G2290" s="61" t="str">
        <f aca="false">TEXT($C2290,"0000")&amp;"-"&amp;TEXT($E2290,"00")</f>
        <v>2025-11</v>
      </c>
      <c r="H2290" s="61" t="str">
        <f aca="false">INDEX(Parametros!$C$71:$C$91,MATCH(TRIM(INDEX(Datos_Origen!$C$2:$C$2459,$Z2290)),Parametros!$B$71:$B$91,0))</f>
        <v>NOA</v>
      </c>
      <c r="I2290" s="61" t="str">
        <f aca="false">IF(TRIM($AD2290)="",INDEX(Parametros!$I$20:$I$24,MATCH($H2290,Parametros!$H$20:$H$24,0)),TRIM($AD2290))</f>
        <v>Tucuman</v>
      </c>
      <c r="J2290" s="61" t="str">
        <f aca="false">INDEX(Parametros!$C$95:$C$106,MATCH(TRIM(INDEX(Datos_Origen!$E$2:$E$2459,$Z2290)),Parametros!$B$95:$B$106,0))</f>
        <v>Tienda fisica</v>
      </c>
      <c r="K2290" s="61" t="str">
        <f aca="false">INDEX(Parametros!$C$48:$C$67,MATCH(TRIM(INDEX(Datos_Origen!$F$2:$F$2459,$Z2290)),Parametros!$B$48:$B$67,0))</f>
        <v>Accesorios</v>
      </c>
      <c r="L2290" s="61" t="str">
        <f aca="false">$K2290&amp;" "&amp;$C2290</f>
        <v>Accesorios 2025</v>
      </c>
      <c r="M2290" s="61" t="str">
        <f aca="false">TRIM(INDEX(Datos_Origen!$G$2:$G$2459,$Z2290))</f>
        <v>Teclado Mecanico</v>
      </c>
      <c r="N2290" s="61" t="str">
        <f aca="false">$M2290&amp;" "&amp;$C2290</f>
        <v>Teclado Mecanico 2025</v>
      </c>
      <c r="O2290" s="63" t="n">
        <f aca="false">IF(ISTEXT($AC2290),VALUE($AC2290),$AC2290)</f>
        <v>32</v>
      </c>
      <c r="P2290" s="64" t="n">
        <f aca="false">INDEX(Datos_Origen!$I$2:$I$2459,$Z2290)</f>
        <v>95.38</v>
      </c>
      <c r="Q2290" s="64" t="n">
        <f aca="false">INDEX(Datos_Origen!$J$2:$J$2459,$Z2290)</f>
        <v>49.41</v>
      </c>
      <c r="R2290" s="65" t="n">
        <f aca="false">ROUND($O2290*$P2290,2)</f>
        <v>3052.16</v>
      </c>
      <c r="S2290" s="65" t="n">
        <f aca="false">ROUND($O2290*$Q2290,2)</f>
        <v>1581.12</v>
      </c>
      <c r="T2290" s="65" t="n">
        <f aca="false">ROUND($R2290*SUMIFS(Parametros!$E$28:$E$43,Parametros!$B$28:$B$43,$J2290,Parametros!$C$28:$C$43,$C2290,Parametros!$D$28:$D$43,$D2290),2)</f>
        <v>39.68</v>
      </c>
      <c r="U2290" s="65" t="n">
        <f aca="false">$R2290-$S2290-$T2290</f>
        <v>1431.36</v>
      </c>
      <c r="V2290" s="66" t="n">
        <f aca="false">IFERROR($U2290/$R2290,0)</f>
        <v>0.46896624030195</v>
      </c>
      <c r="W2290" s="67" t="str">
        <f aca="false">IF(AND($V2290&gt;=Parametros!$C$8,$R2290&gt;=Parametros!$C$12),"Alta rentabilidad",IF(OR($V2290&lt;Parametros!$C$11,$R2290&lt;Parametros!$C$13),"Revisar","Estandar"))</f>
        <v>Alta rentabilidad</v>
      </c>
      <c r="X2290" s="67" t="str">
        <f aca="false">IF(AND($J2290="E-commerce",IFERROR($T2290/$R2290,0)&gt;Parametros!$C$14),"Alerta","OK")</f>
        <v>OK</v>
      </c>
      <c r="Y2290" s="61" t="str">
        <f aca="false">IF($R2290&gt;=Parametros!$C$12,"Alto",IF($R2290&lt;Parametros!$C$13,"Bajo","Medio"))</f>
        <v>Alto</v>
      </c>
      <c r="Z2290" s="61" t="n">
        <v>1246</v>
      </c>
      <c r="AA2290" s="61" t="str">
        <f aca="false">IF(MATCH($A2290,Datos_Origen!$A$2:$A$2459,0)=$Z2290,"OK","REVISAR")</f>
        <v>OK</v>
      </c>
      <c r="AB2290" s="62" t="n">
        <f aca="false">INDEX(Datos_Origen!$B$2:$B$2459,$Z2290)</f>
        <v>45974</v>
      </c>
      <c r="AC2290" s="61" t="n">
        <f aca="false">INDEX(Datos_Origen!$H$2:$H$2459,$Z2290)</f>
        <v>32</v>
      </c>
      <c r="AD2290" s="61" t="str">
        <f aca="false">INDEX(Datos_Origen!$D$2:$D$2459,$Z2290)&amp;""</f>
        <v>Tucuman</v>
      </c>
    </row>
    <row r="2291" customFormat="false" ht="15" hidden="false" customHeight="false" outlineLevel="0" collapsed="false">
      <c r="A2291" s="61" t="n">
        <f aca="false">INDEX(Datos_Origen!$A$2:$A$2459,$Z2291)</f>
        <v>2290</v>
      </c>
      <c r="B2291" s="62" t="n">
        <f aca="false">IF(ISNUMBER($AB2291),$AB2291,IF(MID($AB2291,5,1)="-",DATE(VALUE(LEFT($AB2291,4)),VALUE(MID($AB2291,6,2)),VALUE(RIGHT($AB2291,2))),DATE(VALUE(RIGHT($AB2291,4)),VALUE(MID($AB2291,4,2)),VALUE(LEFT($AB2291,2)))))</f>
        <v>45981</v>
      </c>
      <c r="C2291" s="61" t="n">
        <f aca="false">YEAR($B2291)</f>
        <v>2025</v>
      </c>
      <c r="D2291" s="61" t="str">
        <f aca="false">"Q"&amp;ROUNDUP(MONTH($B2291)/3,0)</f>
        <v>Q4</v>
      </c>
      <c r="E2291" s="61" t="n">
        <f aca="false">MONTH($B2291)</f>
        <v>11</v>
      </c>
      <c r="F2291" s="61" t="str">
        <f aca="false">INDEX(Parametros!$I$5:$I$16,$E2291)</f>
        <v>Nov</v>
      </c>
      <c r="G2291" s="61" t="str">
        <f aca="false">TEXT($C2291,"0000")&amp;"-"&amp;TEXT($E2291,"00")</f>
        <v>2025-11</v>
      </c>
      <c r="H2291" s="61" t="str">
        <f aca="false">INDEX(Parametros!$C$71:$C$91,MATCH(TRIM(INDEX(Datos_Origen!$C$2:$C$2459,$Z2291)),Parametros!$B$71:$B$91,0))</f>
        <v>NOA</v>
      </c>
      <c r="I2291" s="61" t="str">
        <f aca="false">IF(TRIM($AD2291)="",INDEX(Parametros!$I$20:$I$24,MATCH($H2291,Parametros!$H$20:$H$24,0)),TRIM($AD2291))</f>
        <v>Tucuman</v>
      </c>
      <c r="J2291" s="61" t="str">
        <f aca="false">INDEX(Parametros!$C$95:$C$106,MATCH(TRIM(INDEX(Datos_Origen!$E$2:$E$2459,$Z2291)),Parametros!$B$95:$B$106,0))</f>
        <v>E-commerce</v>
      </c>
      <c r="K2291" s="61" t="str">
        <f aca="false">INDEX(Parametros!$C$48:$C$67,MATCH(TRIM(INDEX(Datos_Origen!$F$2:$F$2459,$Z2291)),Parametros!$B$48:$B$67,0))</f>
        <v>Accesorios</v>
      </c>
      <c r="L2291" s="61" t="str">
        <f aca="false">$K2291&amp;" "&amp;$C2291</f>
        <v>Accesorios 2025</v>
      </c>
      <c r="M2291" s="61" t="str">
        <f aca="false">TRIM(INDEX(Datos_Origen!$G$2:$G$2459,$Z2291))</f>
        <v>Teclado Mecanico</v>
      </c>
      <c r="N2291" s="61" t="str">
        <f aca="false">$M2291&amp;" "&amp;$C2291</f>
        <v>Teclado Mecanico 2025</v>
      </c>
      <c r="O2291" s="63" t="n">
        <f aca="false">IF(ISTEXT($AC2291),VALUE($AC2291),$AC2291)</f>
        <v>23</v>
      </c>
      <c r="P2291" s="64" t="n">
        <f aca="false">INDEX(Datos_Origen!$I$2:$I$2459,$Z2291)</f>
        <v>95.38</v>
      </c>
      <c r="Q2291" s="64" t="n">
        <f aca="false">INDEX(Datos_Origen!$J$2:$J$2459,$Z2291)</f>
        <v>49.41</v>
      </c>
      <c r="R2291" s="65" t="n">
        <f aca="false">ROUND($O2291*$P2291,2)</f>
        <v>2193.74</v>
      </c>
      <c r="S2291" s="65" t="n">
        <f aca="false">ROUND($O2291*$Q2291,2)</f>
        <v>1136.43</v>
      </c>
      <c r="T2291" s="65" t="n">
        <f aca="false">ROUND($R2291*SUMIFS(Parametros!$E$28:$E$43,Parametros!$B$28:$B$43,$J2291,Parametros!$C$28:$C$43,$C2291,Parametros!$D$28:$D$43,$D2291),2)</f>
        <v>114.07</v>
      </c>
      <c r="U2291" s="65" t="n">
        <f aca="false">$R2291-$S2291-$T2291</f>
        <v>943.24</v>
      </c>
      <c r="V2291" s="66" t="n">
        <f aca="false">IFERROR($U2291/$R2291,0)</f>
        <v>0.429968911539198</v>
      </c>
      <c r="W2291" s="67" t="str">
        <f aca="false">IF(AND($V2291&gt;=Parametros!$C$8,$R2291&gt;=Parametros!$C$12),"Alta rentabilidad",IF(OR($V2291&lt;Parametros!$C$11,$R2291&lt;Parametros!$C$13),"Revisar","Estandar"))</f>
        <v>Estandar</v>
      </c>
      <c r="X2291" s="67" t="str">
        <f aca="false">IF(AND($J2291="E-commerce",IFERROR($T2291/$R2291,0)&gt;Parametros!$C$14),"Alerta","OK")</f>
        <v>Alerta</v>
      </c>
      <c r="Y2291" s="61" t="str">
        <f aca="false">IF($R2291&gt;=Parametros!$C$12,"Alto",IF($R2291&lt;Parametros!$C$13,"Bajo","Medio"))</f>
        <v>Medio</v>
      </c>
      <c r="Z2291" s="61" t="n">
        <v>1742</v>
      </c>
      <c r="AA2291" s="61" t="str">
        <f aca="false">IF(MATCH($A2291,Datos_Origen!$A$2:$A$2459,0)=$Z2291,"OK","REVISAR")</f>
        <v>OK</v>
      </c>
      <c r="AB2291" s="62" t="n">
        <f aca="false">INDEX(Datos_Origen!$B$2:$B$2459,$Z2291)</f>
        <v>45981</v>
      </c>
      <c r="AC2291" s="61" t="n">
        <f aca="false">INDEX(Datos_Origen!$H$2:$H$2459,$Z2291)</f>
        <v>23</v>
      </c>
      <c r="AD2291" s="61" t="str">
        <f aca="false">INDEX(Datos_Origen!$D$2:$D$2459,$Z2291)&amp;""</f>
        <v>Tucuman</v>
      </c>
    </row>
    <row r="2292" customFormat="false" ht="15" hidden="false" customHeight="false" outlineLevel="0" collapsed="false">
      <c r="A2292" s="61" t="n">
        <f aca="false">INDEX(Datos_Origen!$A$2:$A$2459,$Z2292)</f>
        <v>2291</v>
      </c>
      <c r="B2292" s="62" t="n">
        <f aca="false">IF(ISNUMBER($AB2292),$AB2292,IF(MID($AB2292,5,1)="-",DATE(VALUE(LEFT($AB2292,4)),VALUE(MID($AB2292,6,2)),VALUE(RIGHT($AB2292,2))),DATE(VALUE(RIGHT($AB2292,4)),VALUE(MID($AB2292,4,2)),VALUE(LEFT($AB2292,2)))))</f>
        <v>45988</v>
      </c>
      <c r="C2292" s="61" t="n">
        <f aca="false">YEAR($B2292)</f>
        <v>2025</v>
      </c>
      <c r="D2292" s="61" t="str">
        <f aca="false">"Q"&amp;ROUNDUP(MONTH($B2292)/3,0)</f>
        <v>Q4</v>
      </c>
      <c r="E2292" s="61" t="n">
        <f aca="false">MONTH($B2292)</f>
        <v>11</v>
      </c>
      <c r="F2292" s="61" t="str">
        <f aca="false">INDEX(Parametros!$I$5:$I$16,$E2292)</f>
        <v>Nov</v>
      </c>
      <c r="G2292" s="61" t="str">
        <f aca="false">TEXT($C2292,"0000")&amp;"-"&amp;TEXT($E2292,"00")</f>
        <v>2025-11</v>
      </c>
      <c r="H2292" s="61" t="str">
        <f aca="false">INDEX(Parametros!$C$71:$C$91,MATCH(TRIM(INDEX(Datos_Origen!$C$2:$C$2459,$Z2292)),Parametros!$B$71:$B$91,0))</f>
        <v>NOA</v>
      </c>
      <c r="I2292" s="61" t="str">
        <f aca="false">IF(TRIM($AD2292)="",INDEX(Parametros!$I$20:$I$24,MATCH($H2292,Parametros!$H$20:$H$24,0)),TRIM($AD2292))</f>
        <v>Tucuman</v>
      </c>
      <c r="J2292" s="61" t="str">
        <f aca="false">INDEX(Parametros!$C$95:$C$106,MATCH(TRIM(INDEX(Datos_Origen!$E$2:$E$2459,$Z2292)),Parametros!$B$95:$B$106,0))</f>
        <v>Tienda fisica</v>
      </c>
      <c r="K2292" s="61" t="str">
        <f aca="false">INDEX(Parametros!$C$48:$C$67,MATCH(TRIM(INDEX(Datos_Origen!$F$2:$F$2459,$Z2292)),Parametros!$B$48:$B$67,0))</f>
        <v>Accesorios</v>
      </c>
      <c r="L2292" s="61" t="str">
        <f aca="false">$K2292&amp;" "&amp;$C2292</f>
        <v>Accesorios 2025</v>
      </c>
      <c r="M2292" s="61" t="str">
        <f aca="false">TRIM(INDEX(Datos_Origen!$G$2:$G$2459,$Z2292))</f>
        <v>Webcam Full HD</v>
      </c>
      <c r="N2292" s="61" t="str">
        <f aca="false">$M2292&amp;" "&amp;$C2292</f>
        <v>Webcam Full HD 2025</v>
      </c>
      <c r="O2292" s="63" t="n">
        <f aca="false">IF(ISTEXT($AC2292),VALUE($AC2292),$AC2292)</f>
        <v>41</v>
      </c>
      <c r="P2292" s="64" t="n">
        <f aca="false">INDEX(Datos_Origen!$I$2:$I$2459,$Z2292)</f>
        <v>65.26</v>
      </c>
      <c r="Q2292" s="64" t="n">
        <f aca="false">INDEX(Datos_Origen!$J$2:$J$2459,$Z2292)</f>
        <v>36.49</v>
      </c>
      <c r="R2292" s="65" t="n">
        <f aca="false">ROUND($O2292*$P2292,2)</f>
        <v>2675.66</v>
      </c>
      <c r="S2292" s="65" t="n">
        <f aca="false">ROUND($O2292*$Q2292,2)</f>
        <v>1496.09</v>
      </c>
      <c r="T2292" s="65" t="n">
        <f aca="false">ROUND($R2292*SUMIFS(Parametros!$E$28:$E$43,Parametros!$B$28:$B$43,$J2292,Parametros!$C$28:$C$43,$C2292,Parametros!$D$28:$D$43,$D2292),2)</f>
        <v>34.78</v>
      </c>
      <c r="U2292" s="65" t="n">
        <f aca="false">$R2292-$S2292-$T2292</f>
        <v>1144.79</v>
      </c>
      <c r="V2292" s="66" t="n">
        <f aca="false">IFERROR($U2292/$R2292,0)</f>
        <v>0.427853314696187</v>
      </c>
      <c r="W2292" s="67" t="str">
        <f aca="false">IF(AND($V2292&gt;=Parametros!$C$8,$R2292&gt;=Parametros!$C$12),"Alta rentabilidad",IF(OR($V2292&lt;Parametros!$C$11,$R2292&lt;Parametros!$C$13),"Revisar","Estandar"))</f>
        <v>Estandar</v>
      </c>
      <c r="X2292" s="67" t="str">
        <f aca="false">IF(AND($J2292="E-commerce",IFERROR($T2292/$R2292,0)&gt;Parametros!$C$14),"Alerta","OK")</f>
        <v>OK</v>
      </c>
      <c r="Y2292" s="61" t="str">
        <f aca="false">IF($R2292&gt;=Parametros!$C$12,"Alto",IF($R2292&lt;Parametros!$C$13,"Bajo","Medio"))</f>
        <v>Medio</v>
      </c>
      <c r="Z2292" s="61" t="n">
        <v>657</v>
      </c>
      <c r="AA2292" s="61" t="str">
        <f aca="false">IF(MATCH($A2292,Datos_Origen!$A$2:$A$2459,0)=$Z2292,"OK","REVISAR")</f>
        <v>OK</v>
      </c>
      <c r="AB2292" s="61" t="str">
        <f aca="false">INDEX(Datos_Origen!$B$2:$B$2459,$Z2292)</f>
        <v>27/11/2025</v>
      </c>
      <c r="AC2292" s="61" t="n">
        <f aca="false">INDEX(Datos_Origen!$H$2:$H$2459,$Z2292)</f>
        <v>41</v>
      </c>
      <c r="AD2292" s="61" t="str">
        <f aca="false">INDEX(Datos_Origen!$D$2:$D$2459,$Z2292)&amp;""</f>
        <v>Tucuman</v>
      </c>
    </row>
    <row r="2293" customFormat="false" ht="15" hidden="false" customHeight="false" outlineLevel="0" collapsed="false">
      <c r="A2293" s="61" t="n">
        <f aca="false">INDEX(Datos_Origen!$A$2:$A$2459,$Z2293)</f>
        <v>2292</v>
      </c>
      <c r="B2293" s="62" t="n">
        <f aca="false">IF(ISNUMBER($AB2293),$AB2293,IF(MID($AB2293,5,1)="-",DATE(VALUE(LEFT($AB2293,4)),VALUE(MID($AB2293,6,2)),VALUE(RIGHT($AB2293,2))),DATE(VALUE(RIGHT($AB2293,4)),VALUE(MID($AB2293,4,2)),VALUE(LEFT($AB2293,2)))))</f>
        <v>45968</v>
      </c>
      <c r="C2293" s="61" t="n">
        <f aca="false">YEAR($B2293)</f>
        <v>2025</v>
      </c>
      <c r="D2293" s="61" t="str">
        <f aca="false">"Q"&amp;ROUNDUP(MONTH($B2293)/3,0)</f>
        <v>Q4</v>
      </c>
      <c r="E2293" s="61" t="n">
        <f aca="false">MONTH($B2293)</f>
        <v>11</v>
      </c>
      <c r="F2293" s="61" t="str">
        <f aca="false">INDEX(Parametros!$I$5:$I$16,$E2293)</f>
        <v>Nov</v>
      </c>
      <c r="G2293" s="61" t="str">
        <f aca="false">TEXT($C2293,"0000")&amp;"-"&amp;TEXT($E2293,"00")</f>
        <v>2025-11</v>
      </c>
      <c r="H2293" s="61" t="str">
        <f aca="false">INDEX(Parametros!$C$71:$C$91,MATCH(TRIM(INDEX(Datos_Origen!$C$2:$C$2459,$Z2293)),Parametros!$B$71:$B$91,0))</f>
        <v>NOA</v>
      </c>
      <c r="I2293" s="61" t="str">
        <f aca="false">IF(TRIM($AD2293)="",INDEX(Parametros!$I$20:$I$24,MATCH($H2293,Parametros!$H$20:$H$24,0)),TRIM($AD2293))</f>
        <v>Tucuman</v>
      </c>
      <c r="J2293" s="61" t="str">
        <f aca="false">INDEX(Parametros!$C$95:$C$106,MATCH(TRIM(INDEX(Datos_Origen!$E$2:$E$2459,$Z2293)),Parametros!$B$95:$B$106,0))</f>
        <v>E-commerce</v>
      </c>
      <c r="K2293" s="61" t="str">
        <f aca="false">INDEX(Parametros!$C$48:$C$67,MATCH(TRIM(INDEX(Datos_Origen!$F$2:$F$2459,$Z2293)),Parametros!$B$48:$B$67,0))</f>
        <v>Accesorios</v>
      </c>
      <c r="L2293" s="61" t="str">
        <f aca="false">$K2293&amp;" "&amp;$C2293</f>
        <v>Accesorios 2025</v>
      </c>
      <c r="M2293" s="61" t="str">
        <f aca="false">TRIM(INDEX(Datos_Origen!$G$2:$G$2459,$Z2293))</f>
        <v>Webcam Full HD</v>
      </c>
      <c r="N2293" s="61" t="str">
        <f aca="false">$M2293&amp;" "&amp;$C2293</f>
        <v>Webcam Full HD 2025</v>
      </c>
      <c r="O2293" s="63" t="n">
        <f aca="false">IF(ISTEXT($AC2293),VALUE($AC2293),$AC2293)</f>
        <v>24</v>
      </c>
      <c r="P2293" s="64" t="n">
        <f aca="false">INDEX(Datos_Origen!$I$2:$I$2459,$Z2293)</f>
        <v>65.26</v>
      </c>
      <c r="Q2293" s="64" t="n">
        <f aca="false">INDEX(Datos_Origen!$J$2:$J$2459,$Z2293)</f>
        <v>36.49</v>
      </c>
      <c r="R2293" s="65" t="n">
        <f aca="false">ROUND($O2293*$P2293,2)</f>
        <v>1566.24</v>
      </c>
      <c r="S2293" s="65" t="n">
        <f aca="false">ROUND($O2293*$Q2293,2)</f>
        <v>875.76</v>
      </c>
      <c r="T2293" s="65" t="n">
        <f aca="false">ROUND($R2293*SUMIFS(Parametros!$E$28:$E$43,Parametros!$B$28:$B$43,$J2293,Parametros!$C$28:$C$43,$C2293,Parametros!$D$28:$D$43,$D2293),2)</f>
        <v>81.44</v>
      </c>
      <c r="U2293" s="65" t="n">
        <f aca="false">$R2293-$S2293-$T2293</f>
        <v>609.04</v>
      </c>
      <c r="V2293" s="66" t="n">
        <f aca="false">IFERROR($U2293/$R2293,0)</f>
        <v>0.388854837062008</v>
      </c>
      <c r="W2293" s="67" t="str">
        <f aca="false">IF(AND($V2293&gt;=Parametros!$C$8,$R2293&gt;=Parametros!$C$12),"Alta rentabilidad",IF(OR($V2293&lt;Parametros!$C$11,$R2293&lt;Parametros!$C$13),"Revisar","Estandar"))</f>
        <v>Estandar</v>
      </c>
      <c r="X2293" s="67" t="str">
        <f aca="false">IF(AND($J2293="E-commerce",IFERROR($T2293/$R2293,0)&gt;Parametros!$C$14),"Alerta","OK")</f>
        <v>Alerta</v>
      </c>
      <c r="Y2293" s="61" t="str">
        <f aca="false">IF($R2293&gt;=Parametros!$C$12,"Alto",IF($R2293&lt;Parametros!$C$13,"Bajo","Medio"))</f>
        <v>Medio</v>
      </c>
      <c r="Z2293" s="61" t="n">
        <v>1620</v>
      </c>
      <c r="AA2293" s="61" t="str">
        <f aca="false">IF(MATCH($A2293,Datos_Origen!$A$2:$A$2459,0)=$Z2293,"OK","REVISAR")</f>
        <v>OK</v>
      </c>
      <c r="AB2293" s="61" t="str">
        <f aca="false">INDEX(Datos_Origen!$B$2:$B$2459,$Z2293)</f>
        <v>2025-11-07</v>
      </c>
      <c r="AC2293" s="61" t="n">
        <f aca="false">INDEX(Datos_Origen!$H$2:$H$2459,$Z2293)</f>
        <v>24</v>
      </c>
      <c r="AD2293" s="61" t="str">
        <f aca="false">INDEX(Datos_Origen!$D$2:$D$2459,$Z2293)&amp;""</f>
        <v>Tucuman</v>
      </c>
    </row>
    <row r="2294" customFormat="false" ht="15" hidden="false" customHeight="false" outlineLevel="0" collapsed="false">
      <c r="A2294" s="61" t="n">
        <f aca="false">INDEX(Datos_Origen!$A$2:$A$2459,$Z2294)</f>
        <v>2293</v>
      </c>
      <c r="B2294" s="62" t="n">
        <f aca="false">IF(ISNUMBER($AB2294),$AB2294,IF(MID($AB2294,5,1)="-",DATE(VALUE(LEFT($AB2294,4)),VALUE(MID($AB2294,6,2)),VALUE(RIGHT($AB2294,2))),DATE(VALUE(RIGHT($AB2294,4)),VALUE(MID($AB2294,4,2)),VALUE(LEFT($AB2294,2)))))</f>
        <v>45975</v>
      </c>
      <c r="C2294" s="61" t="n">
        <f aca="false">YEAR($B2294)</f>
        <v>2025</v>
      </c>
      <c r="D2294" s="61" t="str">
        <f aca="false">"Q"&amp;ROUNDUP(MONTH($B2294)/3,0)</f>
        <v>Q4</v>
      </c>
      <c r="E2294" s="61" t="n">
        <f aca="false">MONTH($B2294)</f>
        <v>11</v>
      </c>
      <c r="F2294" s="61" t="str">
        <f aca="false">INDEX(Parametros!$I$5:$I$16,$E2294)</f>
        <v>Nov</v>
      </c>
      <c r="G2294" s="61" t="str">
        <f aca="false">TEXT($C2294,"0000")&amp;"-"&amp;TEXT($E2294,"00")</f>
        <v>2025-11</v>
      </c>
      <c r="H2294" s="61" t="str">
        <f aca="false">INDEX(Parametros!$C$71:$C$91,MATCH(TRIM(INDEX(Datos_Origen!$C$2:$C$2459,$Z2294)),Parametros!$B$71:$B$91,0))</f>
        <v>NOA</v>
      </c>
      <c r="I2294" s="61" t="str">
        <f aca="false">IF(TRIM($AD2294)="",INDEX(Parametros!$I$20:$I$24,MATCH($H2294,Parametros!$H$20:$H$24,0)),TRIM($AD2294))</f>
        <v>Tucuman</v>
      </c>
      <c r="J2294" s="61" t="str">
        <f aca="false">INDEX(Parametros!$C$95:$C$106,MATCH(TRIM(INDEX(Datos_Origen!$E$2:$E$2459,$Z2294)),Parametros!$B$95:$B$106,0))</f>
        <v>Tienda fisica</v>
      </c>
      <c r="K2294" s="61" t="str">
        <f aca="false">INDEX(Parametros!$C$48:$C$67,MATCH(TRIM(INDEX(Datos_Origen!$F$2:$F$2459,$Z2294)),Parametros!$B$48:$B$67,0))</f>
        <v>Audio</v>
      </c>
      <c r="L2294" s="61" t="str">
        <f aca="false">$K2294&amp;" "&amp;$C2294</f>
        <v>Audio 2025</v>
      </c>
      <c r="M2294" s="61" t="str">
        <f aca="false">TRIM(INDEX(Datos_Origen!$G$2:$G$2459,$Z2294))</f>
        <v>Auriculares BT Pro</v>
      </c>
      <c r="N2294" s="61" t="str">
        <f aca="false">$M2294&amp;" "&amp;$C2294</f>
        <v>Auriculares BT Pro 2025</v>
      </c>
      <c r="O2294" s="63" t="n">
        <f aca="false">IF(ISTEXT($AC2294),VALUE($AC2294),$AC2294)</f>
        <v>18</v>
      </c>
      <c r="P2294" s="64" t="n">
        <f aca="false">INDEX(Datos_Origen!$I$2:$I$2459,$Z2294)</f>
        <v>120.47</v>
      </c>
      <c r="Q2294" s="64" t="n">
        <f aca="false">INDEX(Datos_Origen!$J$2:$J$2459,$Z2294)</f>
        <v>65.51</v>
      </c>
      <c r="R2294" s="65" t="n">
        <f aca="false">ROUND($O2294*$P2294,2)</f>
        <v>2168.46</v>
      </c>
      <c r="S2294" s="65" t="n">
        <f aca="false">ROUND($O2294*$Q2294,2)</f>
        <v>1179.18</v>
      </c>
      <c r="T2294" s="65" t="n">
        <f aca="false">ROUND($R2294*SUMIFS(Parametros!$E$28:$E$43,Parametros!$B$28:$B$43,$J2294,Parametros!$C$28:$C$43,$C2294,Parametros!$D$28:$D$43,$D2294),2)</f>
        <v>28.19</v>
      </c>
      <c r="U2294" s="65" t="n">
        <f aca="false">$R2294-$S2294-$T2294</f>
        <v>961.09</v>
      </c>
      <c r="V2294" s="66" t="n">
        <f aca="false">IFERROR($U2294/$R2294,0)</f>
        <v>0.44321315588021</v>
      </c>
      <c r="W2294" s="67" t="str">
        <f aca="false">IF(AND($V2294&gt;=Parametros!$C$8,$R2294&gt;=Parametros!$C$12),"Alta rentabilidad",IF(OR($V2294&lt;Parametros!$C$11,$R2294&lt;Parametros!$C$13),"Revisar","Estandar"))</f>
        <v>Estandar</v>
      </c>
      <c r="X2294" s="67" t="str">
        <f aca="false">IF(AND($J2294="E-commerce",IFERROR($T2294/$R2294,0)&gt;Parametros!$C$14),"Alerta","OK")</f>
        <v>OK</v>
      </c>
      <c r="Y2294" s="61" t="str">
        <f aca="false">IF($R2294&gt;=Parametros!$C$12,"Alto",IF($R2294&lt;Parametros!$C$13,"Bajo","Medio"))</f>
        <v>Medio</v>
      </c>
      <c r="Z2294" s="61" t="n">
        <v>1362</v>
      </c>
      <c r="AA2294" s="61" t="str">
        <f aca="false">IF(MATCH($A2294,Datos_Origen!$A$2:$A$2459,0)=$Z2294,"OK","REVISAR")</f>
        <v>OK</v>
      </c>
      <c r="AB2294" s="61" t="str">
        <f aca="false">INDEX(Datos_Origen!$B$2:$B$2459,$Z2294)</f>
        <v>14/11/2025</v>
      </c>
      <c r="AC2294" s="61" t="str">
        <f aca="false">INDEX(Datos_Origen!$H$2:$H$2459,$Z2294)</f>
        <v>18</v>
      </c>
      <c r="AD2294" s="61" t="str">
        <f aca="false">INDEX(Datos_Origen!$D$2:$D$2459,$Z2294)&amp;""</f>
        <v>Tucuman</v>
      </c>
    </row>
    <row r="2295" customFormat="false" ht="15" hidden="false" customHeight="false" outlineLevel="0" collapsed="false">
      <c r="A2295" s="61" t="n">
        <f aca="false">INDEX(Datos_Origen!$A$2:$A$2459,$Z2295)</f>
        <v>2294</v>
      </c>
      <c r="B2295" s="62" t="n">
        <f aca="false">IF(ISNUMBER($AB2295),$AB2295,IF(MID($AB2295,5,1)="-",DATE(VALUE(LEFT($AB2295,4)),VALUE(MID($AB2295,6,2)),VALUE(RIGHT($AB2295,2))),DATE(VALUE(RIGHT($AB2295,4)),VALUE(MID($AB2295,4,2)),VALUE(LEFT($AB2295,2)))))</f>
        <v>45982</v>
      </c>
      <c r="C2295" s="61" t="n">
        <f aca="false">YEAR($B2295)</f>
        <v>2025</v>
      </c>
      <c r="D2295" s="61" t="str">
        <f aca="false">"Q"&amp;ROUNDUP(MONTH($B2295)/3,0)</f>
        <v>Q4</v>
      </c>
      <c r="E2295" s="61" t="n">
        <f aca="false">MONTH($B2295)</f>
        <v>11</v>
      </c>
      <c r="F2295" s="61" t="str">
        <f aca="false">INDEX(Parametros!$I$5:$I$16,$E2295)</f>
        <v>Nov</v>
      </c>
      <c r="G2295" s="61" t="str">
        <f aca="false">TEXT($C2295,"0000")&amp;"-"&amp;TEXT($E2295,"00")</f>
        <v>2025-11</v>
      </c>
      <c r="H2295" s="61" t="str">
        <f aca="false">INDEX(Parametros!$C$71:$C$91,MATCH(TRIM(INDEX(Datos_Origen!$C$2:$C$2459,$Z2295)),Parametros!$B$71:$B$91,0))</f>
        <v>NOA</v>
      </c>
      <c r="I2295" s="61" t="str">
        <f aca="false">IF(TRIM($AD2295)="",INDEX(Parametros!$I$20:$I$24,MATCH($H2295,Parametros!$H$20:$H$24,0)),TRIM($AD2295))</f>
        <v>Tucuman</v>
      </c>
      <c r="J2295" s="61" t="str">
        <f aca="false">INDEX(Parametros!$C$95:$C$106,MATCH(TRIM(INDEX(Datos_Origen!$E$2:$E$2459,$Z2295)),Parametros!$B$95:$B$106,0))</f>
        <v>E-commerce</v>
      </c>
      <c r="K2295" s="61" t="str">
        <f aca="false">INDEX(Parametros!$C$48:$C$67,MATCH(TRIM(INDEX(Datos_Origen!$F$2:$F$2459,$Z2295)),Parametros!$B$48:$B$67,0))</f>
        <v>Audio</v>
      </c>
      <c r="L2295" s="61" t="str">
        <f aca="false">$K2295&amp;" "&amp;$C2295</f>
        <v>Audio 2025</v>
      </c>
      <c r="M2295" s="61" t="str">
        <f aca="false">TRIM(INDEX(Datos_Origen!$G$2:$G$2459,$Z2295))</f>
        <v>Auriculares BT Pro</v>
      </c>
      <c r="N2295" s="61" t="str">
        <f aca="false">$M2295&amp;" "&amp;$C2295</f>
        <v>Auriculares BT Pro 2025</v>
      </c>
      <c r="O2295" s="63" t="n">
        <f aca="false">IF(ISTEXT($AC2295),VALUE($AC2295),$AC2295)</f>
        <v>11</v>
      </c>
      <c r="P2295" s="64" t="n">
        <f aca="false">INDEX(Datos_Origen!$I$2:$I$2459,$Z2295)</f>
        <v>120.47</v>
      </c>
      <c r="Q2295" s="64" t="n">
        <f aca="false">INDEX(Datos_Origen!$J$2:$J$2459,$Z2295)</f>
        <v>65.51</v>
      </c>
      <c r="R2295" s="65" t="n">
        <f aca="false">ROUND($O2295*$P2295,2)</f>
        <v>1325.17</v>
      </c>
      <c r="S2295" s="65" t="n">
        <f aca="false">ROUND($O2295*$Q2295,2)</f>
        <v>720.61</v>
      </c>
      <c r="T2295" s="65" t="n">
        <f aca="false">ROUND($R2295*SUMIFS(Parametros!$E$28:$E$43,Parametros!$B$28:$B$43,$J2295,Parametros!$C$28:$C$43,$C2295,Parametros!$D$28:$D$43,$D2295),2)</f>
        <v>68.91</v>
      </c>
      <c r="U2295" s="65" t="n">
        <f aca="false">$R2295-$S2295-$T2295</f>
        <v>535.65</v>
      </c>
      <c r="V2295" s="66" t="n">
        <f aca="false">IFERROR($U2295/$R2295,0)</f>
        <v>0.404212289743957</v>
      </c>
      <c r="W2295" s="67" t="str">
        <f aca="false">IF(AND($V2295&gt;=Parametros!$C$8,$R2295&gt;=Parametros!$C$12),"Alta rentabilidad",IF(OR($V2295&lt;Parametros!$C$11,$R2295&lt;Parametros!$C$13),"Revisar","Estandar"))</f>
        <v>Estandar</v>
      </c>
      <c r="X2295" s="67" t="str">
        <f aca="false">IF(AND($J2295="E-commerce",IFERROR($T2295/$R2295,0)&gt;Parametros!$C$14),"Alerta","OK")</f>
        <v>Alerta</v>
      </c>
      <c r="Y2295" s="61" t="str">
        <f aca="false">IF($R2295&gt;=Parametros!$C$12,"Alto",IF($R2295&lt;Parametros!$C$13,"Bajo","Medio"))</f>
        <v>Medio</v>
      </c>
      <c r="Z2295" s="61" t="n">
        <v>2012</v>
      </c>
      <c r="AA2295" s="61" t="str">
        <f aca="false">IF(MATCH($A2295,Datos_Origen!$A$2:$A$2459,0)=$Z2295,"OK","REVISAR")</f>
        <v>OK</v>
      </c>
      <c r="AB2295" s="62" t="n">
        <f aca="false">INDEX(Datos_Origen!$B$2:$B$2459,$Z2295)</f>
        <v>45982</v>
      </c>
      <c r="AC2295" s="61" t="n">
        <f aca="false">INDEX(Datos_Origen!$H$2:$H$2459,$Z2295)</f>
        <v>11</v>
      </c>
      <c r="AD2295" s="61" t="str">
        <f aca="false">INDEX(Datos_Origen!$D$2:$D$2459,$Z2295)&amp;""</f>
        <v>Tucuman</v>
      </c>
    </row>
    <row r="2296" customFormat="false" ht="15" hidden="false" customHeight="false" outlineLevel="0" collapsed="false">
      <c r="A2296" s="61" t="n">
        <f aca="false">INDEX(Datos_Origen!$A$2:$A$2459,$Z2296)</f>
        <v>2295</v>
      </c>
      <c r="B2296" s="62" t="n">
        <f aca="false">IF(ISNUMBER($AB2296),$AB2296,IF(MID($AB2296,5,1)="-",DATE(VALUE(LEFT($AB2296,4)),VALUE(MID($AB2296,6,2)),VALUE(RIGHT($AB2296,2))),DATE(VALUE(RIGHT($AB2296,4)),VALUE(MID($AB2296,4,2)),VALUE(LEFT($AB2296,2)))))</f>
        <v>45962</v>
      </c>
      <c r="C2296" s="61" t="n">
        <f aca="false">YEAR($B2296)</f>
        <v>2025</v>
      </c>
      <c r="D2296" s="61" t="str">
        <f aca="false">"Q"&amp;ROUNDUP(MONTH($B2296)/3,0)</f>
        <v>Q4</v>
      </c>
      <c r="E2296" s="61" t="n">
        <f aca="false">MONTH($B2296)</f>
        <v>11</v>
      </c>
      <c r="F2296" s="61" t="str">
        <f aca="false">INDEX(Parametros!$I$5:$I$16,$E2296)</f>
        <v>Nov</v>
      </c>
      <c r="G2296" s="61" t="str">
        <f aca="false">TEXT($C2296,"0000")&amp;"-"&amp;TEXT($E2296,"00")</f>
        <v>2025-11</v>
      </c>
      <c r="H2296" s="61" t="str">
        <f aca="false">INDEX(Parametros!$C$71:$C$91,MATCH(TRIM(INDEX(Datos_Origen!$C$2:$C$2459,$Z2296)),Parametros!$B$71:$B$91,0))</f>
        <v>NOA</v>
      </c>
      <c r="I2296" s="61" t="str">
        <f aca="false">IF(TRIM($AD2296)="",INDEX(Parametros!$I$20:$I$24,MATCH($H2296,Parametros!$H$20:$H$24,0)),TRIM($AD2296))</f>
        <v>Tucuman</v>
      </c>
      <c r="J2296" s="61" t="str">
        <f aca="false">INDEX(Parametros!$C$95:$C$106,MATCH(TRIM(INDEX(Datos_Origen!$E$2:$E$2459,$Z2296)),Parametros!$B$95:$B$106,0))</f>
        <v>Tienda fisica</v>
      </c>
      <c r="K2296" s="61" t="str">
        <f aca="false">INDEX(Parametros!$C$48:$C$67,MATCH(TRIM(INDEX(Datos_Origen!$F$2:$F$2459,$Z2296)),Parametros!$B$48:$B$67,0))</f>
        <v>Audio</v>
      </c>
      <c r="L2296" s="61" t="str">
        <f aca="false">$K2296&amp;" "&amp;$C2296</f>
        <v>Audio 2025</v>
      </c>
      <c r="M2296" s="61" t="str">
        <f aca="false">TRIM(INDEX(Datos_Origen!$G$2:$G$2459,$Z2296))</f>
        <v>Parlante Bluetooth</v>
      </c>
      <c r="N2296" s="61" t="str">
        <f aca="false">$M2296&amp;" "&amp;$C2296</f>
        <v>Parlante Bluetooth 2025</v>
      </c>
      <c r="O2296" s="63" t="n">
        <f aca="false">IF(ISTEXT($AC2296),VALUE($AC2296),$AC2296)</f>
        <v>17</v>
      </c>
      <c r="P2296" s="64" t="n">
        <f aca="false">INDEX(Datos_Origen!$I$2:$I$2459,$Z2296)</f>
        <v>85.34</v>
      </c>
      <c r="Q2296" s="64" t="n">
        <f aca="false">INDEX(Datos_Origen!$J$2:$J$2459,$Z2296)</f>
        <v>49.47</v>
      </c>
      <c r="R2296" s="65" t="n">
        <f aca="false">ROUND($O2296*$P2296,2)</f>
        <v>1450.78</v>
      </c>
      <c r="S2296" s="65" t="n">
        <f aca="false">ROUND($O2296*$Q2296,2)</f>
        <v>840.99</v>
      </c>
      <c r="T2296" s="65" t="n">
        <f aca="false">ROUND($R2296*SUMIFS(Parametros!$E$28:$E$43,Parametros!$B$28:$B$43,$J2296,Parametros!$C$28:$C$43,$C2296,Parametros!$D$28:$D$43,$D2296),2)</f>
        <v>18.86</v>
      </c>
      <c r="U2296" s="65" t="n">
        <f aca="false">$R2296-$S2296-$T2296</f>
        <v>590.93</v>
      </c>
      <c r="V2296" s="66" t="n">
        <f aca="false">IFERROR($U2296/$R2296,0)</f>
        <v>0.407318821599415</v>
      </c>
      <c r="W2296" s="67" t="str">
        <f aca="false">IF(AND($V2296&gt;=Parametros!$C$8,$R2296&gt;=Parametros!$C$12),"Alta rentabilidad",IF(OR($V2296&lt;Parametros!$C$11,$R2296&lt;Parametros!$C$13),"Revisar","Estandar"))</f>
        <v>Estandar</v>
      </c>
      <c r="X2296" s="67" t="str">
        <f aca="false">IF(AND($J2296="E-commerce",IFERROR($T2296/$R2296,0)&gt;Parametros!$C$14),"Alerta","OK")</f>
        <v>OK</v>
      </c>
      <c r="Y2296" s="61" t="str">
        <f aca="false">IF($R2296&gt;=Parametros!$C$12,"Alto",IF($R2296&lt;Parametros!$C$13,"Bajo","Medio"))</f>
        <v>Medio</v>
      </c>
      <c r="Z2296" s="61" t="n">
        <v>1825</v>
      </c>
      <c r="AA2296" s="61" t="str">
        <f aca="false">IF(MATCH($A2296,Datos_Origen!$A$2:$A$2459,0)=$Z2296,"OK","REVISAR")</f>
        <v>OK</v>
      </c>
      <c r="AB2296" s="62" t="n">
        <f aca="false">INDEX(Datos_Origen!$B$2:$B$2459,$Z2296)</f>
        <v>45962</v>
      </c>
      <c r="AC2296" s="61" t="str">
        <f aca="false">INDEX(Datos_Origen!$H$2:$H$2459,$Z2296)</f>
        <v>17</v>
      </c>
      <c r="AD2296" s="61" t="str">
        <f aca="false">INDEX(Datos_Origen!$D$2:$D$2459,$Z2296)&amp;""</f>
        <v>Tucuman</v>
      </c>
    </row>
    <row r="2297" customFormat="false" ht="15" hidden="false" customHeight="false" outlineLevel="0" collapsed="false">
      <c r="A2297" s="61" t="n">
        <f aca="false">INDEX(Datos_Origen!$A$2:$A$2459,$Z2297)</f>
        <v>2296</v>
      </c>
      <c r="B2297" s="62" t="n">
        <f aca="false">IF(ISNUMBER($AB2297),$AB2297,IF(MID($AB2297,5,1)="-",DATE(VALUE(LEFT($AB2297,4)),VALUE(MID($AB2297,6,2)),VALUE(RIGHT($AB2297,2))),DATE(VALUE(RIGHT($AB2297,4)),VALUE(MID($AB2297,4,2)),VALUE(LEFT($AB2297,2)))))</f>
        <v>45969</v>
      </c>
      <c r="C2297" s="61" t="n">
        <f aca="false">YEAR($B2297)</f>
        <v>2025</v>
      </c>
      <c r="D2297" s="61" t="str">
        <f aca="false">"Q"&amp;ROUNDUP(MONTH($B2297)/3,0)</f>
        <v>Q4</v>
      </c>
      <c r="E2297" s="61" t="n">
        <f aca="false">MONTH($B2297)</f>
        <v>11</v>
      </c>
      <c r="F2297" s="61" t="str">
        <f aca="false">INDEX(Parametros!$I$5:$I$16,$E2297)</f>
        <v>Nov</v>
      </c>
      <c r="G2297" s="61" t="str">
        <f aca="false">TEXT($C2297,"0000")&amp;"-"&amp;TEXT($E2297,"00")</f>
        <v>2025-11</v>
      </c>
      <c r="H2297" s="61" t="str">
        <f aca="false">INDEX(Parametros!$C$71:$C$91,MATCH(TRIM(INDEX(Datos_Origen!$C$2:$C$2459,$Z2297)),Parametros!$B$71:$B$91,0))</f>
        <v>NOA</v>
      </c>
      <c r="I2297" s="61" t="str">
        <f aca="false">IF(TRIM($AD2297)="",INDEX(Parametros!$I$20:$I$24,MATCH($H2297,Parametros!$H$20:$H$24,0)),TRIM($AD2297))</f>
        <v>Tucuman</v>
      </c>
      <c r="J2297" s="61" t="str">
        <f aca="false">INDEX(Parametros!$C$95:$C$106,MATCH(TRIM(INDEX(Datos_Origen!$E$2:$E$2459,$Z2297)),Parametros!$B$95:$B$106,0))</f>
        <v>E-commerce</v>
      </c>
      <c r="K2297" s="61" t="str">
        <f aca="false">INDEX(Parametros!$C$48:$C$67,MATCH(TRIM(INDEX(Datos_Origen!$F$2:$F$2459,$Z2297)),Parametros!$B$48:$B$67,0))</f>
        <v>Audio</v>
      </c>
      <c r="L2297" s="61" t="str">
        <f aca="false">$K2297&amp;" "&amp;$C2297</f>
        <v>Audio 2025</v>
      </c>
      <c r="M2297" s="61" t="str">
        <f aca="false">TRIM(INDEX(Datos_Origen!$G$2:$G$2459,$Z2297))</f>
        <v>Parlante Bluetooth</v>
      </c>
      <c r="N2297" s="61" t="str">
        <f aca="false">$M2297&amp;" "&amp;$C2297</f>
        <v>Parlante Bluetooth 2025</v>
      </c>
      <c r="O2297" s="63" t="n">
        <f aca="false">IF(ISTEXT($AC2297),VALUE($AC2297),$AC2297)</f>
        <v>12</v>
      </c>
      <c r="P2297" s="64" t="n">
        <f aca="false">INDEX(Datos_Origen!$I$2:$I$2459,$Z2297)</f>
        <v>85.34</v>
      </c>
      <c r="Q2297" s="64" t="n">
        <f aca="false">INDEX(Datos_Origen!$J$2:$J$2459,$Z2297)</f>
        <v>49.47</v>
      </c>
      <c r="R2297" s="65" t="n">
        <f aca="false">ROUND($O2297*$P2297,2)</f>
        <v>1024.08</v>
      </c>
      <c r="S2297" s="65" t="n">
        <f aca="false">ROUND($O2297*$Q2297,2)</f>
        <v>593.64</v>
      </c>
      <c r="T2297" s="65" t="n">
        <f aca="false">ROUND($R2297*SUMIFS(Parametros!$E$28:$E$43,Parametros!$B$28:$B$43,$J2297,Parametros!$C$28:$C$43,$C2297,Parametros!$D$28:$D$43,$D2297),2)</f>
        <v>53.25</v>
      </c>
      <c r="U2297" s="65" t="n">
        <f aca="false">$R2297-$S2297-$T2297</f>
        <v>377.19</v>
      </c>
      <c r="V2297" s="66" t="n">
        <f aca="false">IFERROR($U2297/$R2297,0)</f>
        <v>0.36832083430982</v>
      </c>
      <c r="W2297" s="67" t="str">
        <f aca="false">IF(AND($V2297&gt;=Parametros!$C$8,$R2297&gt;=Parametros!$C$12),"Alta rentabilidad",IF(OR($V2297&lt;Parametros!$C$11,$R2297&lt;Parametros!$C$13),"Revisar","Estandar"))</f>
        <v>Estandar</v>
      </c>
      <c r="X2297" s="67" t="str">
        <f aca="false">IF(AND($J2297="E-commerce",IFERROR($T2297/$R2297,0)&gt;Parametros!$C$14),"Alerta","OK")</f>
        <v>Alerta</v>
      </c>
      <c r="Y2297" s="61" t="str">
        <f aca="false">IF($R2297&gt;=Parametros!$C$12,"Alto",IF($R2297&lt;Parametros!$C$13,"Bajo","Medio"))</f>
        <v>Medio</v>
      </c>
      <c r="Z2297" s="61" t="n">
        <v>1005</v>
      </c>
      <c r="AA2297" s="61" t="str">
        <f aca="false">IF(MATCH($A2297,Datos_Origen!$A$2:$A$2459,0)=$Z2297,"OK","REVISAR")</f>
        <v>OK</v>
      </c>
      <c r="AB2297" s="62" t="n">
        <f aca="false">INDEX(Datos_Origen!$B$2:$B$2459,$Z2297)</f>
        <v>45969</v>
      </c>
      <c r="AC2297" s="61" t="n">
        <f aca="false">INDEX(Datos_Origen!$H$2:$H$2459,$Z2297)</f>
        <v>12</v>
      </c>
      <c r="AD2297" s="61" t="str">
        <f aca="false">INDEX(Datos_Origen!$D$2:$D$2459,$Z2297)&amp;""</f>
        <v>Tucuman</v>
      </c>
    </row>
    <row r="2298" customFormat="false" ht="15" hidden="false" customHeight="false" outlineLevel="0" collapsed="false">
      <c r="A2298" s="61" t="n">
        <f aca="false">INDEX(Datos_Origen!$A$2:$A$2459,$Z2298)</f>
        <v>2297</v>
      </c>
      <c r="B2298" s="62" t="n">
        <f aca="false">IF(ISNUMBER($AB2298),$AB2298,IF(MID($AB2298,5,1)="-",DATE(VALUE(LEFT($AB2298,4)),VALUE(MID($AB2298,6,2)),VALUE(RIGHT($AB2298,2))),DATE(VALUE(RIGHT($AB2298,4)),VALUE(MID($AB2298,4,2)),VALUE(LEFT($AB2298,2)))))</f>
        <v>45976</v>
      </c>
      <c r="C2298" s="61" t="n">
        <f aca="false">YEAR($B2298)</f>
        <v>2025</v>
      </c>
      <c r="D2298" s="61" t="str">
        <f aca="false">"Q"&amp;ROUNDUP(MONTH($B2298)/3,0)</f>
        <v>Q4</v>
      </c>
      <c r="E2298" s="61" t="n">
        <f aca="false">MONTH($B2298)</f>
        <v>11</v>
      </c>
      <c r="F2298" s="61" t="str">
        <f aca="false">INDEX(Parametros!$I$5:$I$16,$E2298)</f>
        <v>Nov</v>
      </c>
      <c r="G2298" s="61" t="str">
        <f aca="false">TEXT($C2298,"0000")&amp;"-"&amp;TEXT($E2298,"00")</f>
        <v>2025-11</v>
      </c>
      <c r="H2298" s="61" t="str">
        <f aca="false">INDEX(Parametros!$C$71:$C$91,MATCH(TRIM(INDEX(Datos_Origen!$C$2:$C$2459,$Z2298)),Parametros!$B$71:$B$91,0))</f>
        <v>NOA</v>
      </c>
      <c r="I2298" s="61" t="str">
        <f aca="false">IF(TRIM($AD2298)="",INDEX(Parametros!$I$20:$I$24,MATCH($H2298,Parametros!$H$20:$H$24,0)),TRIM($AD2298))</f>
        <v>Tucuman</v>
      </c>
      <c r="J2298" s="61" t="str">
        <f aca="false">INDEX(Parametros!$C$95:$C$106,MATCH(TRIM(INDEX(Datos_Origen!$E$2:$E$2459,$Z2298)),Parametros!$B$95:$B$106,0))</f>
        <v>Tienda fisica</v>
      </c>
      <c r="K2298" s="61" t="str">
        <f aca="false">INDEX(Parametros!$C$48:$C$67,MATCH(TRIM(INDEX(Datos_Origen!$F$2:$F$2459,$Z2298)),Parametros!$B$48:$B$67,0))</f>
        <v>Almacenamiento</v>
      </c>
      <c r="L2298" s="61" t="str">
        <f aca="false">$K2298&amp;" "&amp;$C2298</f>
        <v>Almacenamiento 2025</v>
      </c>
      <c r="M2298" s="61" t="str">
        <f aca="false">TRIM(INDEX(Datos_Origen!$G$2:$G$2459,$Z2298))</f>
        <v>SSD Externo 1TB</v>
      </c>
      <c r="N2298" s="61" t="str">
        <f aca="false">$M2298&amp;" "&amp;$C2298</f>
        <v>SSD Externo 1TB 2025</v>
      </c>
      <c r="O2298" s="63" t="n">
        <f aca="false">IF(ISTEXT($AC2298),VALUE($AC2298),$AC2298)</f>
        <v>24</v>
      </c>
      <c r="P2298" s="64" t="n">
        <f aca="false">INDEX(Datos_Origen!$I$2:$I$2459,$Z2298)</f>
        <v>130.51</v>
      </c>
      <c r="Q2298" s="64" t="n">
        <f aca="false">INDEX(Datos_Origen!$J$2:$J$2459,$Z2298)</f>
        <v>78.33</v>
      </c>
      <c r="R2298" s="65" t="n">
        <f aca="false">ROUND($O2298*$P2298,2)</f>
        <v>3132.24</v>
      </c>
      <c r="S2298" s="65" t="n">
        <f aca="false">ROUND($O2298*$Q2298,2)</f>
        <v>1879.92</v>
      </c>
      <c r="T2298" s="65" t="n">
        <f aca="false">ROUND($R2298*SUMIFS(Parametros!$E$28:$E$43,Parametros!$B$28:$B$43,$J2298,Parametros!$C$28:$C$43,$C2298,Parametros!$D$28:$D$43,$D2298),2)</f>
        <v>40.72</v>
      </c>
      <c r="U2298" s="65" t="n">
        <f aca="false">$R2298-$S2298-$T2298</f>
        <v>1211.6</v>
      </c>
      <c r="V2298" s="66" t="n">
        <f aca="false">IFERROR($U2298/$R2298,0)</f>
        <v>0.386815825096417</v>
      </c>
      <c r="W2298" s="67" t="str">
        <f aca="false">IF(AND($V2298&gt;=Parametros!$C$8,$R2298&gt;=Parametros!$C$12),"Alta rentabilidad",IF(OR($V2298&lt;Parametros!$C$11,$R2298&lt;Parametros!$C$13),"Revisar","Estandar"))</f>
        <v>Alta rentabilidad</v>
      </c>
      <c r="X2298" s="67" t="str">
        <f aca="false">IF(AND($J2298="E-commerce",IFERROR($T2298/$R2298,0)&gt;Parametros!$C$14),"Alerta","OK")</f>
        <v>OK</v>
      </c>
      <c r="Y2298" s="61" t="str">
        <f aca="false">IF($R2298&gt;=Parametros!$C$12,"Alto",IF($R2298&lt;Parametros!$C$13,"Bajo","Medio"))</f>
        <v>Alto</v>
      </c>
      <c r="Z2298" s="61" t="n">
        <v>1544</v>
      </c>
      <c r="AA2298" s="61" t="str">
        <f aca="false">IF(MATCH($A2298,Datos_Origen!$A$2:$A$2459,0)=$Z2298,"OK","REVISAR")</f>
        <v>OK</v>
      </c>
      <c r="AB2298" s="62" t="n">
        <f aca="false">INDEX(Datos_Origen!$B$2:$B$2459,$Z2298)</f>
        <v>45976</v>
      </c>
      <c r="AC2298" s="61" t="n">
        <f aca="false">INDEX(Datos_Origen!$H$2:$H$2459,$Z2298)</f>
        <v>24</v>
      </c>
      <c r="AD2298" s="61" t="str">
        <f aca="false">INDEX(Datos_Origen!$D$2:$D$2459,$Z2298)&amp;""</f>
        <v>Tucuman</v>
      </c>
    </row>
    <row r="2299" customFormat="false" ht="15" hidden="false" customHeight="false" outlineLevel="0" collapsed="false">
      <c r="A2299" s="61" t="n">
        <f aca="false">INDEX(Datos_Origen!$A$2:$A$2459,$Z2299)</f>
        <v>2298</v>
      </c>
      <c r="B2299" s="62" t="n">
        <f aca="false">IF(ISNUMBER($AB2299),$AB2299,IF(MID($AB2299,5,1)="-",DATE(VALUE(LEFT($AB2299,4)),VALUE(MID($AB2299,6,2)),VALUE(RIGHT($AB2299,2))),DATE(VALUE(RIGHT($AB2299,4)),VALUE(MID($AB2299,4,2)),VALUE(LEFT($AB2299,2)))))</f>
        <v>45983</v>
      </c>
      <c r="C2299" s="61" t="n">
        <f aca="false">YEAR($B2299)</f>
        <v>2025</v>
      </c>
      <c r="D2299" s="61" t="str">
        <f aca="false">"Q"&amp;ROUNDUP(MONTH($B2299)/3,0)</f>
        <v>Q4</v>
      </c>
      <c r="E2299" s="61" t="n">
        <f aca="false">MONTH($B2299)</f>
        <v>11</v>
      </c>
      <c r="F2299" s="61" t="str">
        <f aca="false">INDEX(Parametros!$I$5:$I$16,$E2299)</f>
        <v>Nov</v>
      </c>
      <c r="G2299" s="61" t="str">
        <f aca="false">TEXT($C2299,"0000")&amp;"-"&amp;TEXT($E2299,"00")</f>
        <v>2025-11</v>
      </c>
      <c r="H2299" s="61" t="str">
        <f aca="false">INDEX(Parametros!$C$71:$C$91,MATCH(TRIM(INDEX(Datos_Origen!$C$2:$C$2459,$Z2299)),Parametros!$B$71:$B$91,0))</f>
        <v>NOA</v>
      </c>
      <c r="I2299" s="61" t="str">
        <f aca="false">IF(TRIM($AD2299)="",INDEX(Parametros!$I$20:$I$24,MATCH($H2299,Parametros!$H$20:$H$24,0)),TRIM($AD2299))</f>
        <v>Tucuman</v>
      </c>
      <c r="J2299" s="61" t="str">
        <f aca="false">INDEX(Parametros!$C$95:$C$106,MATCH(TRIM(INDEX(Datos_Origen!$E$2:$E$2459,$Z2299)),Parametros!$B$95:$B$106,0))</f>
        <v>E-commerce</v>
      </c>
      <c r="K2299" s="61" t="str">
        <f aca="false">INDEX(Parametros!$C$48:$C$67,MATCH(TRIM(INDEX(Datos_Origen!$F$2:$F$2459,$Z2299)),Parametros!$B$48:$B$67,0))</f>
        <v>Almacenamiento</v>
      </c>
      <c r="L2299" s="61" t="str">
        <f aca="false">$K2299&amp;" "&amp;$C2299</f>
        <v>Almacenamiento 2025</v>
      </c>
      <c r="M2299" s="61" t="str">
        <f aca="false">TRIM(INDEX(Datos_Origen!$G$2:$G$2459,$Z2299))</f>
        <v>SSD Externo 1TB</v>
      </c>
      <c r="N2299" s="61" t="str">
        <f aca="false">$M2299&amp;" "&amp;$C2299</f>
        <v>SSD Externo 1TB 2025</v>
      </c>
      <c r="O2299" s="63" t="n">
        <f aca="false">IF(ISTEXT($AC2299),VALUE($AC2299),$AC2299)</f>
        <v>12</v>
      </c>
      <c r="P2299" s="64" t="n">
        <f aca="false">INDEX(Datos_Origen!$I$2:$I$2459,$Z2299)</f>
        <v>130.51</v>
      </c>
      <c r="Q2299" s="64" t="n">
        <f aca="false">INDEX(Datos_Origen!$J$2:$J$2459,$Z2299)</f>
        <v>78.33</v>
      </c>
      <c r="R2299" s="65" t="n">
        <f aca="false">ROUND($O2299*$P2299,2)</f>
        <v>1566.12</v>
      </c>
      <c r="S2299" s="65" t="n">
        <f aca="false">ROUND($O2299*$Q2299,2)</f>
        <v>939.96</v>
      </c>
      <c r="T2299" s="65" t="n">
        <f aca="false">ROUND($R2299*SUMIFS(Parametros!$E$28:$E$43,Parametros!$B$28:$B$43,$J2299,Parametros!$C$28:$C$43,$C2299,Parametros!$D$28:$D$43,$D2299),2)</f>
        <v>81.44</v>
      </c>
      <c r="U2299" s="65" t="n">
        <f aca="false">$R2299-$S2299-$T2299</f>
        <v>544.72</v>
      </c>
      <c r="V2299" s="66" t="n">
        <f aca="false">IFERROR($U2299/$R2299,0)</f>
        <v>0.347814982249125</v>
      </c>
      <c r="W2299" s="67" t="str">
        <f aca="false">IF(AND($V2299&gt;=Parametros!$C$8,$R2299&gt;=Parametros!$C$12),"Alta rentabilidad",IF(OR($V2299&lt;Parametros!$C$11,$R2299&lt;Parametros!$C$13),"Revisar","Estandar"))</f>
        <v>Estandar</v>
      </c>
      <c r="X2299" s="67" t="str">
        <f aca="false">IF(AND($J2299="E-commerce",IFERROR($T2299/$R2299,0)&gt;Parametros!$C$14),"Alerta","OK")</f>
        <v>Alerta</v>
      </c>
      <c r="Y2299" s="61" t="str">
        <f aca="false">IF($R2299&gt;=Parametros!$C$12,"Alto",IF($R2299&lt;Parametros!$C$13,"Bajo","Medio"))</f>
        <v>Medio</v>
      </c>
      <c r="Z2299" s="61" t="n">
        <v>2151</v>
      </c>
      <c r="AA2299" s="61" t="str">
        <f aca="false">IF(MATCH($A2299,Datos_Origen!$A$2:$A$2459,0)=$Z2299,"OK","REVISAR")</f>
        <v>OK</v>
      </c>
      <c r="AB2299" s="62" t="n">
        <f aca="false">INDEX(Datos_Origen!$B$2:$B$2459,$Z2299)</f>
        <v>45983</v>
      </c>
      <c r="AC2299" s="61" t="n">
        <f aca="false">INDEX(Datos_Origen!$H$2:$H$2459,$Z2299)</f>
        <v>12</v>
      </c>
      <c r="AD2299" s="61" t="str">
        <f aca="false">INDEX(Datos_Origen!$D$2:$D$2459,$Z2299)&amp;""</f>
        <v>Tucuman</v>
      </c>
    </row>
    <row r="2300" customFormat="false" ht="15" hidden="false" customHeight="false" outlineLevel="0" collapsed="false">
      <c r="A2300" s="61" t="n">
        <f aca="false">INDEX(Datos_Origen!$A$2:$A$2459,$Z2300)</f>
        <v>2299</v>
      </c>
      <c r="B2300" s="62" t="n">
        <f aca="false">IF(ISNUMBER($AB2300),$AB2300,IF(MID($AB2300,5,1)="-",DATE(VALUE(LEFT($AB2300,4)),VALUE(MID($AB2300,6,2)),VALUE(RIGHT($AB2300,2))),DATE(VALUE(RIGHT($AB2300,4)),VALUE(MID($AB2300,4,2)),VALUE(LEFT($AB2300,2)))))</f>
        <v>45963</v>
      </c>
      <c r="C2300" s="61" t="n">
        <f aca="false">YEAR($B2300)</f>
        <v>2025</v>
      </c>
      <c r="D2300" s="61" t="str">
        <f aca="false">"Q"&amp;ROUNDUP(MONTH($B2300)/3,0)</f>
        <v>Q4</v>
      </c>
      <c r="E2300" s="61" t="n">
        <f aca="false">MONTH($B2300)</f>
        <v>11</v>
      </c>
      <c r="F2300" s="61" t="str">
        <f aca="false">INDEX(Parametros!$I$5:$I$16,$E2300)</f>
        <v>Nov</v>
      </c>
      <c r="G2300" s="61" t="str">
        <f aca="false">TEXT($C2300,"0000")&amp;"-"&amp;TEXT($E2300,"00")</f>
        <v>2025-11</v>
      </c>
      <c r="H2300" s="61" t="str">
        <f aca="false">INDEX(Parametros!$C$71:$C$91,MATCH(TRIM(INDEX(Datos_Origen!$C$2:$C$2459,$Z2300)),Parametros!$B$71:$B$91,0))</f>
        <v>NOA</v>
      </c>
      <c r="I2300" s="61" t="str">
        <f aca="false">IF(TRIM($AD2300)="",INDEX(Parametros!$I$20:$I$24,MATCH($H2300,Parametros!$H$20:$H$24,0)),TRIM($AD2300))</f>
        <v>Tucuman</v>
      </c>
      <c r="J2300" s="61" t="str">
        <f aca="false">INDEX(Parametros!$C$95:$C$106,MATCH(TRIM(INDEX(Datos_Origen!$E$2:$E$2459,$Z2300)),Parametros!$B$95:$B$106,0))</f>
        <v>Tienda fisica</v>
      </c>
      <c r="K2300" s="61" t="str">
        <f aca="false">INDEX(Parametros!$C$48:$C$67,MATCH(TRIM(INDEX(Datos_Origen!$F$2:$F$2459,$Z2300)),Parametros!$B$48:$B$67,0))</f>
        <v>Almacenamiento</v>
      </c>
      <c r="L2300" s="61" t="str">
        <f aca="false">$K2300&amp;" "&amp;$C2300</f>
        <v>Almacenamiento 2025</v>
      </c>
      <c r="M2300" s="61" t="str">
        <f aca="false">TRIM(INDEX(Datos_Origen!$G$2:$G$2459,$Z2300))</f>
        <v>Pendrive 256GB</v>
      </c>
      <c r="N2300" s="61" t="str">
        <f aca="false">$M2300&amp;" "&amp;$C2300</f>
        <v>Pendrive 256GB 2025</v>
      </c>
      <c r="O2300" s="63" t="n">
        <f aca="false">IF(ISTEXT($AC2300),VALUE($AC2300),$AC2300)</f>
        <v>19</v>
      </c>
      <c r="P2300" s="64" t="n">
        <f aca="false">INDEX(Datos_Origen!$I$2:$I$2459,$Z2300)</f>
        <v>35.14</v>
      </c>
      <c r="Q2300" s="64" t="n">
        <f aca="false">INDEX(Datos_Origen!$J$2:$J$2459,$Z2300)</f>
        <v>18.39</v>
      </c>
      <c r="R2300" s="65" t="n">
        <f aca="false">ROUND($O2300*$P2300,2)</f>
        <v>667.66</v>
      </c>
      <c r="S2300" s="65" t="n">
        <f aca="false">ROUND($O2300*$Q2300,2)</f>
        <v>349.41</v>
      </c>
      <c r="T2300" s="65" t="n">
        <f aca="false">ROUND($R2300*SUMIFS(Parametros!$E$28:$E$43,Parametros!$B$28:$B$43,$J2300,Parametros!$C$28:$C$43,$C2300,Parametros!$D$28:$D$43,$D2300),2)</f>
        <v>8.68</v>
      </c>
      <c r="U2300" s="65" t="n">
        <f aca="false">$R2300-$S2300-$T2300</f>
        <v>309.57</v>
      </c>
      <c r="V2300" s="66" t="n">
        <f aca="false">IFERROR($U2300/$R2300,0)</f>
        <v>0.463664140430758</v>
      </c>
      <c r="W2300" s="67" t="str">
        <f aca="false">IF(AND($V2300&gt;=Parametros!$C$8,$R2300&gt;=Parametros!$C$12),"Alta rentabilidad",IF(OR($V2300&lt;Parametros!$C$11,$R2300&lt;Parametros!$C$13),"Revisar","Estandar"))</f>
        <v>Estandar</v>
      </c>
      <c r="X2300" s="67" t="str">
        <f aca="false">IF(AND($J2300="E-commerce",IFERROR($T2300/$R2300,0)&gt;Parametros!$C$14),"Alerta","OK")</f>
        <v>OK</v>
      </c>
      <c r="Y2300" s="61" t="str">
        <f aca="false">IF($R2300&gt;=Parametros!$C$12,"Alto",IF($R2300&lt;Parametros!$C$13,"Bajo","Medio"))</f>
        <v>Medio</v>
      </c>
      <c r="Z2300" s="61" t="n">
        <v>538</v>
      </c>
      <c r="AA2300" s="61" t="str">
        <f aca="false">IF(MATCH($A2300,Datos_Origen!$A$2:$A$2459,0)=$Z2300,"OK","REVISAR")</f>
        <v>OK</v>
      </c>
      <c r="AB2300" s="62" t="n">
        <f aca="false">INDEX(Datos_Origen!$B$2:$B$2459,$Z2300)</f>
        <v>45963</v>
      </c>
      <c r="AC2300" s="61" t="n">
        <f aca="false">INDEX(Datos_Origen!$H$2:$H$2459,$Z2300)</f>
        <v>19</v>
      </c>
      <c r="AD2300" s="61" t="str">
        <f aca="false">INDEX(Datos_Origen!$D$2:$D$2459,$Z2300)&amp;""</f>
        <v>Tucuman</v>
      </c>
    </row>
    <row r="2301" customFormat="false" ht="15" hidden="false" customHeight="false" outlineLevel="0" collapsed="false">
      <c r="A2301" s="61" t="n">
        <f aca="false">INDEX(Datos_Origen!$A$2:$A$2459,$Z2301)</f>
        <v>2300</v>
      </c>
      <c r="B2301" s="62" t="n">
        <f aca="false">IF(ISNUMBER($AB2301),$AB2301,IF(MID($AB2301,5,1)="-",DATE(VALUE(LEFT($AB2301,4)),VALUE(MID($AB2301,6,2)),VALUE(RIGHT($AB2301,2))),DATE(VALUE(RIGHT($AB2301,4)),VALUE(MID($AB2301,4,2)),VALUE(LEFT($AB2301,2)))))</f>
        <v>45970</v>
      </c>
      <c r="C2301" s="61" t="n">
        <f aca="false">YEAR($B2301)</f>
        <v>2025</v>
      </c>
      <c r="D2301" s="61" t="str">
        <f aca="false">"Q"&amp;ROUNDUP(MONTH($B2301)/3,0)</f>
        <v>Q4</v>
      </c>
      <c r="E2301" s="61" t="n">
        <f aca="false">MONTH($B2301)</f>
        <v>11</v>
      </c>
      <c r="F2301" s="61" t="str">
        <f aca="false">INDEX(Parametros!$I$5:$I$16,$E2301)</f>
        <v>Nov</v>
      </c>
      <c r="G2301" s="61" t="str">
        <f aca="false">TEXT($C2301,"0000")&amp;"-"&amp;TEXT($E2301,"00")</f>
        <v>2025-11</v>
      </c>
      <c r="H2301" s="61" t="str">
        <f aca="false">INDEX(Parametros!$C$71:$C$91,MATCH(TRIM(INDEX(Datos_Origen!$C$2:$C$2459,$Z2301)),Parametros!$B$71:$B$91,0))</f>
        <v>NOA</v>
      </c>
      <c r="I2301" s="61" t="str">
        <f aca="false">IF(TRIM($AD2301)="",INDEX(Parametros!$I$20:$I$24,MATCH($H2301,Parametros!$H$20:$H$24,0)),TRIM($AD2301))</f>
        <v>Tucuman</v>
      </c>
      <c r="J2301" s="61" t="str">
        <f aca="false">INDEX(Parametros!$C$95:$C$106,MATCH(TRIM(INDEX(Datos_Origen!$E$2:$E$2459,$Z2301)),Parametros!$B$95:$B$106,0))</f>
        <v>E-commerce</v>
      </c>
      <c r="K2301" s="61" t="str">
        <f aca="false">INDEX(Parametros!$C$48:$C$67,MATCH(TRIM(INDEX(Datos_Origen!$F$2:$F$2459,$Z2301)),Parametros!$B$48:$B$67,0))</f>
        <v>Almacenamiento</v>
      </c>
      <c r="L2301" s="61" t="str">
        <f aca="false">$K2301&amp;" "&amp;$C2301</f>
        <v>Almacenamiento 2025</v>
      </c>
      <c r="M2301" s="61" t="str">
        <f aca="false">TRIM(INDEX(Datos_Origen!$G$2:$G$2459,$Z2301))</f>
        <v>Pendrive 256GB</v>
      </c>
      <c r="N2301" s="61" t="str">
        <f aca="false">$M2301&amp;" "&amp;$C2301</f>
        <v>Pendrive 256GB 2025</v>
      </c>
      <c r="O2301" s="63" t="n">
        <f aca="false">IF(ISTEXT($AC2301),VALUE($AC2301),$AC2301)</f>
        <v>14</v>
      </c>
      <c r="P2301" s="64" t="n">
        <f aca="false">INDEX(Datos_Origen!$I$2:$I$2459,$Z2301)</f>
        <v>35.14</v>
      </c>
      <c r="Q2301" s="64" t="n">
        <f aca="false">INDEX(Datos_Origen!$J$2:$J$2459,$Z2301)</f>
        <v>18.39</v>
      </c>
      <c r="R2301" s="65" t="n">
        <f aca="false">ROUND($O2301*$P2301,2)</f>
        <v>491.96</v>
      </c>
      <c r="S2301" s="65" t="n">
        <f aca="false">ROUND($O2301*$Q2301,2)</f>
        <v>257.46</v>
      </c>
      <c r="T2301" s="65" t="n">
        <f aca="false">ROUND($R2301*SUMIFS(Parametros!$E$28:$E$43,Parametros!$B$28:$B$43,$J2301,Parametros!$C$28:$C$43,$C2301,Parametros!$D$28:$D$43,$D2301),2)</f>
        <v>25.58</v>
      </c>
      <c r="U2301" s="65" t="n">
        <f aca="false">$R2301-$S2301-$T2301</f>
        <v>208.92</v>
      </c>
      <c r="V2301" s="66" t="n">
        <f aca="false">IFERROR($U2301/$R2301,0)</f>
        <v>0.424668672249776</v>
      </c>
      <c r="W2301" s="67" t="str">
        <f aca="false">IF(AND($V2301&gt;=Parametros!$C$8,$R2301&gt;=Parametros!$C$12),"Alta rentabilidad",IF(OR($V2301&lt;Parametros!$C$11,$R2301&lt;Parametros!$C$13),"Revisar","Estandar"))</f>
        <v>Estandar</v>
      </c>
      <c r="X2301" s="67" t="str">
        <f aca="false">IF(AND($J2301="E-commerce",IFERROR($T2301/$R2301,0)&gt;Parametros!$C$14),"Alerta","OK")</f>
        <v>Alerta</v>
      </c>
      <c r="Y2301" s="61" t="str">
        <f aca="false">IF($R2301&gt;=Parametros!$C$12,"Alto",IF($R2301&lt;Parametros!$C$13,"Bajo","Medio"))</f>
        <v>Medio</v>
      </c>
      <c r="Z2301" s="61" t="n">
        <v>911</v>
      </c>
      <c r="AA2301" s="61" t="str">
        <f aca="false">IF(MATCH($A2301,Datos_Origen!$A$2:$A$2459,0)=$Z2301,"OK","REVISAR")</f>
        <v>OK</v>
      </c>
      <c r="AB2301" s="61" t="str">
        <f aca="false">INDEX(Datos_Origen!$B$2:$B$2459,$Z2301)</f>
        <v>09/11/2025</v>
      </c>
      <c r="AC2301" s="61" t="n">
        <f aca="false">INDEX(Datos_Origen!$H$2:$H$2459,$Z2301)</f>
        <v>14</v>
      </c>
      <c r="AD2301" s="61" t="str">
        <f aca="false">INDEX(Datos_Origen!$D$2:$D$2459,$Z2301)&amp;""</f>
        <v>Tucuman</v>
      </c>
    </row>
    <row r="2302" customFormat="false" ht="15" hidden="false" customHeight="false" outlineLevel="0" collapsed="false">
      <c r="A2302" s="61" t="n">
        <f aca="false">INDEX(Datos_Origen!$A$2:$A$2459,$Z2302)</f>
        <v>2301</v>
      </c>
      <c r="B2302" s="62" t="n">
        <f aca="false">IF(ISNUMBER($AB2302),$AB2302,IF(MID($AB2302,5,1)="-",DATE(VALUE(LEFT($AB2302,4)),VALUE(MID($AB2302,6,2)),VALUE(RIGHT($AB2302,2))),DATE(VALUE(RIGHT($AB2302,4)),VALUE(MID($AB2302,4,2)),VALUE(LEFT($AB2302,2)))))</f>
        <v>46007</v>
      </c>
      <c r="C2302" s="61" t="n">
        <f aca="false">YEAR($B2302)</f>
        <v>2025</v>
      </c>
      <c r="D2302" s="61" t="str">
        <f aca="false">"Q"&amp;ROUNDUP(MONTH($B2302)/3,0)</f>
        <v>Q4</v>
      </c>
      <c r="E2302" s="61" t="n">
        <f aca="false">MONTH($B2302)</f>
        <v>12</v>
      </c>
      <c r="F2302" s="61" t="str">
        <f aca="false">INDEX(Parametros!$I$5:$I$16,$E2302)</f>
        <v>Dic</v>
      </c>
      <c r="G2302" s="61" t="str">
        <f aca="false">TEXT($C2302,"0000")&amp;"-"&amp;TEXT($E2302,"00")</f>
        <v>2025-12</v>
      </c>
      <c r="H2302" s="61" t="str">
        <f aca="false">INDEX(Parametros!$C$71:$C$91,MATCH(TRIM(INDEX(Datos_Origen!$C$2:$C$2459,$Z2302)),Parametros!$B$71:$B$91,0))</f>
        <v>AMBA</v>
      </c>
      <c r="I2302" s="61" t="str">
        <f aca="false">IF(TRIM($AD2302)="",INDEX(Parametros!$I$20:$I$24,MATCH($H2302,Parametros!$H$20:$H$24,0)),TRIM($AD2302))</f>
        <v>Buenos Aires</v>
      </c>
      <c r="J2302" s="61" t="str">
        <f aca="false">INDEX(Parametros!$C$95:$C$106,MATCH(TRIM(INDEX(Datos_Origen!$E$2:$E$2459,$Z2302)),Parametros!$B$95:$B$106,0))</f>
        <v>Tienda fisica</v>
      </c>
      <c r="K2302" s="61" t="str">
        <f aca="false">INDEX(Parametros!$C$48:$C$67,MATCH(TRIM(INDEX(Datos_Origen!$F$2:$F$2459,$Z2302)),Parametros!$B$48:$B$67,0))</f>
        <v>Computacion</v>
      </c>
      <c r="L2302" s="61" t="str">
        <f aca="false">$K2302&amp;" "&amp;$C2302</f>
        <v>Computacion 2025</v>
      </c>
      <c r="M2302" s="61" t="str">
        <f aca="false">TRIM(INDEX(Datos_Origen!$G$2:$G$2459,$Z2302))</f>
        <v>Laptop Pro 15</v>
      </c>
      <c r="N2302" s="61" t="str">
        <f aca="false">$M2302&amp;" "&amp;$C2302</f>
        <v>Laptop Pro 15 2025</v>
      </c>
      <c r="O2302" s="63" t="n">
        <f aca="false">IF(ISTEXT($AC2302),VALUE($AC2302),$AC2302)</f>
        <v>31</v>
      </c>
      <c r="P2302" s="64" t="n">
        <f aca="false">INDEX(Datos_Origen!$I$2:$I$2459,$Z2302)</f>
        <v>1204.74</v>
      </c>
      <c r="Q2302" s="64" t="n">
        <f aca="false">INDEX(Datos_Origen!$J$2:$J$2459,$Z2302)</f>
        <v>766.32</v>
      </c>
      <c r="R2302" s="65" t="n">
        <f aca="false">ROUND($O2302*$P2302,2)</f>
        <v>37346.94</v>
      </c>
      <c r="S2302" s="65" t="n">
        <f aca="false">ROUND($O2302*$Q2302,2)</f>
        <v>23755.92</v>
      </c>
      <c r="T2302" s="65" t="n">
        <f aca="false">ROUND($R2302*SUMIFS(Parametros!$E$28:$E$43,Parametros!$B$28:$B$43,$J2302,Parametros!$C$28:$C$43,$C2302,Parametros!$D$28:$D$43,$D2302),2)</f>
        <v>485.51</v>
      </c>
      <c r="U2302" s="65" t="n">
        <f aca="false">$R2302-$S2302-$T2302</f>
        <v>13105.51</v>
      </c>
      <c r="V2302" s="66" t="n">
        <f aca="false">IFERROR($U2302/$R2302,0)</f>
        <v>0.350912551336201</v>
      </c>
      <c r="W2302" s="67" t="str">
        <f aca="false">IF(AND($V2302&gt;=Parametros!$C$8,$R2302&gt;=Parametros!$C$12),"Alta rentabilidad",IF(OR($V2302&lt;Parametros!$C$11,$R2302&lt;Parametros!$C$13),"Revisar","Estandar"))</f>
        <v>Alta rentabilidad</v>
      </c>
      <c r="X2302" s="67" t="str">
        <f aca="false">IF(AND($J2302="E-commerce",IFERROR($T2302/$R2302,0)&gt;Parametros!$C$14),"Alerta","OK")</f>
        <v>OK</v>
      </c>
      <c r="Y2302" s="61" t="str">
        <f aca="false">IF($R2302&gt;=Parametros!$C$12,"Alto",IF($R2302&lt;Parametros!$C$13,"Bajo","Medio"))</f>
        <v>Alto</v>
      </c>
      <c r="Z2302" s="61" t="n">
        <v>778</v>
      </c>
      <c r="AA2302" s="61" t="str">
        <f aca="false">IF(MATCH($A2302,Datos_Origen!$A$2:$A$2459,0)=$Z2302,"OK","REVISAR")</f>
        <v>OK</v>
      </c>
      <c r="AB2302" s="62" t="n">
        <f aca="false">INDEX(Datos_Origen!$B$2:$B$2459,$Z2302)</f>
        <v>46007</v>
      </c>
      <c r="AC2302" s="61" t="n">
        <f aca="false">INDEX(Datos_Origen!$H$2:$H$2459,$Z2302)</f>
        <v>31</v>
      </c>
      <c r="AD2302" s="61" t="str">
        <f aca="false">INDEX(Datos_Origen!$D$2:$D$2459,$Z2302)&amp;""</f>
        <v>Buenos Aires</v>
      </c>
    </row>
    <row r="2303" customFormat="false" ht="15" hidden="false" customHeight="false" outlineLevel="0" collapsed="false">
      <c r="A2303" s="61" t="n">
        <f aca="false">INDEX(Datos_Origen!$A$2:$A$2459,$Z2303)</f>
        <v>2302</v>
      </c>
      <c r="B2303" s="62" t="n">
        <f aca="false">IF(ISNUMBER($AB2303),$AB2303,IF(MID($AB2303,5,1)="-",DATE(VALUE(LEFT($AB2303,4)),VALUE(MID($AB2303,6,2)),VALUE(RIGHT($AB2303,2))),DATE(VALUE(RIGHT($AB2303,4)),VALUE(MID($AB2303,4,2)),VALUE(LEFT($AB2303,2)))))</f>
        <v>46014</v>
      </c>
      <c r="C2303" s="61" t="n">
        <f aca="false">YEAR($B2303)</f>
        <v>2025</v>
      </c>
      <c r="D2303" s="61" t="str">
        <f aca="false">"Q"&amp;ROUNDUP(MONTH($B2303)/3,0)</f>
        <v>Q4</v>
      </c>
      <c r="E2303" s="61" t="n">
        <f aca="false">MONTH($B2303)</f>
        <v>12</v>
      </c>
      <c r="F2303" s="61" t="str">
        <f aca="false">INDEX(Parametros!$I$5:$I$16,$E2303)</f>
        <v>Dic</v>
      </c>
      <c r="G2303" s="61" t="str">
        <f aca="false">TEXT($C2303,"0000")&amp;"-"&amp;TEXT($E2303,"00")</f>
        <v>2025-12</v>
      </c>
      <c r="H2303" s="61" t="str">
        <f aca="false">INDEX(Parametros!$C$71:$C$91,MATCH(TRIM(INDEX(Datos_Origen!$C$2:$C$2459,$Z2303)),Parametros!$B$71:$B$91,0))</f>
        <v>AMBA</v>
      </c>
      <c r="I2303" s="61" t="str">
        <f aca="false">IF(TRIM($AD2303)="",INDEX(Parametros!$I$20:$I$24,MATCH($H2303,Parametros!$H$20:$H$24,0)),TRIM($AD2303))</f>
        <v>Buenos Aires</v>
      </c>
      <c r="J2303" s="61" t="str">
        <f aca="false">INDEX(Parametros!$C$95:$C$106,MATCH(TRIM(INDEX(Datos_Origen!$E$2:$E$2459,$Z2303)),Parametros!$B$95:$B$106,0))</f>
        <v>E-commerce</v>
      </c>
      <c r="K2303" s="61" t="str">
        <f aca="false">INDEX(Parametros!$C$48:$C$67,MATCH(TRIM(INDEX(Datos_Origen!$F$2:$F$2459,$Z2303)),Parametros!$B$48:$B$67,0))</f>
        <v>Computacion</v>
      </c>
      <c r="L2303" s="61" t="str">
        <f aca="false">$K2303&amp;" "&amp;$C2303</f>
        <v>Computacion 2025</v>
      </c>
      <c r="M2303" s="61" t="str">
        <f aca="false">TRIM(INDEX(Datos_Origen!$G$2:$G$2459,$Z2303))</f>
        <v>Laptop Pro 15</v>
      </c>
      <c r="N2303" s="61" t="str">
        <f aca="false">$M2303&amp;" "&amp;$C2303</f>
        <v>Laptop Pro 15 2025</v>
      </c>
      <c r="O2303" s="63" t="n">
        <f aca="false">IF(ISTEXT($AC2303),VALUE($AC2303),$AC2303)</f>
        <v>19</v>
      </c>
      <c r="P2303" s="64" t="n">
        <f aca="false">INDEX(Datos_Origen!$I$2:$I$2459,$Z2303)</f>
        <v>1204.74</v>
      </c>
      <c r="Q2303" s="64" t="n">
        <f aca="false">INDEX(Datos_Origen!$J$2:$J$2459,$Z2303)</f>
        <v>766.32</v>
      </c>
      <c r="R2303" s="65" t="n">
        <f aca="false">ROUND($O2303*$P2303,2)</f>
        <v>22890.06</v>
      </c>
      <c r="S2303" s="65" t="n">
        <f aca="false">ROUND($O2303*$Q2303,2)</f>
        <v>14560.08</v>
      </c>
      <c r="T2303" s="65" t="n">
        <f aca="false">ROUND($R2303*SUMIFS(Parametros!$E$28:$E$43,Parametros!$B$28:$B$43,$J2303,Parametros!$C$28:$C$43,$C2303,Parametros!$D$28:$D$43,$D2303),2)</f>
        <v>1190.28</v>
      </c>
      <c r="U2303" s="65" t="n">
        <f aca="false">$R2303-$S2303-$T2303</f>
        <v>7139.7</v>
      </c>
      <c r="V2303" s="66" t="n">
        <f aca="false">IFERROR($U2303/$R2303,0)</f>
        <v>0.311912681749196</v>
      </c>
      <c r="W2303" s="67" t="str">
        <f aca="false">IF(AND($V2303&gt;=Parametros!$C$8,$R2303&gt;=Parametros!$C$12),"Alta rentabilidad",IF(OR($V2303&lt;Parametros!$C$11,$R2303&lt;Parametros!$C$13),"Revisar","Estandar"))</f>
        <v>Estandar</v>
      </c>
      <c r="X2303" s="67" t="str">
        <f aca="false">IF(AND($J2303="E-commerce",IFERROR($T2303/$R2303,0)&gt;Parametros!$C$14),"Alerta","OK")</f>
        <v>Alerta</v>
      </c>
      <c r="Y2303" s="61" t="str">
        <f aca="false">IF($R2303&gt;=Parametros!$C$12,"Alto",IF($R2303&lt;Parametros!$C$13,"Bajo","Medio"))</f>
        <v>Alto</v>
      </c>
      <c r="Z2303" s="61" t="n">
        <v>185</v>
      </c>
      <c r="AA2303" s="61" t="str">
        <f aca="false">IF(MATCH($A2303,Datos_Origen!$A$2:$A$2459,0)=$Z2303,"OK","REVISAR")</f>
        <v>OK</v>
      </c>
      <c r="AB2303" s="62" t="n">
        <f aca="false">INDEX(Datos_Origen!$B$2:$B$2459,$Z2303)</f>
        <v>46014</v>
      </c>
      <c r="AC2303" s="61" t="n">
        <f aca="false">INDEX(Datos_Origen!$H$2:$H$2459,$Z2303)</f>
        <v>19</v>
      </c>
      <c r="AD2303" s="61" t="str">
        <f aca="false">INDEX(Datos_Origen!$D$2:$D$2459,$Z2303)&amp;""</f>
        <v>Buenos Aires</v>
      </c>
    </row>
    <row r="2304" customFormat="false" ht="15" hidden="false" customHeight="false" outlineLevel="0" collapsed="false">
      <c r="A2304" s="61" t="n">
        <f aca="false">INDEX(Datos_Origen!$A$2:$A$2459,$Z2304)</f>
        <v>2303</v>
      </c>
      <c r="B2304" s="62" t="n">
        <f aca="false">IF(ISNUMBER($AB2304),$AB2304,IF(MID($AB2304,5,1)="-",DATE(VALUE(LEFT($AB2304,4)),VALUE(MID($AB2304,6,2)),VALUE(RIGHT($AB2304,2))),DATE(VALUE(RIGHT($AB2304,4)),VALUE(MID($AB2304,4,2)),VALUE(LEFT($AB2304,2)))))</f>
        <v>45994</v>
      </c>
      <c r="C2304" s="61" t="n">
        <f aca="false">YEAR($B2304)</f>
        <v>2025</v>
      </c>
      <c r="D2304" s="61" t="str">
        <f aca="false">"Q"&amp;ROUNDUP(MONTH($B2304)/3,0)</f>
        <v>Q4</v>
      </c>
      <c r="E2304" s="61" t="n">
        <f aca="false">MONTH($B2304)</f>
        <v>12</v>
      </c>
      <c r="F2304" s="61" t="str">
        <f aca="false">INDEX(Parametros!$I$5:$I$16,$E2304)</f>
        <v>Dic</v>
      </c>
      <c r="G2304" s="61" t="str">
        <f aca="false">TEXT($C2304,"0000")&amp;"-"&amp;TEXT($E2304,"00")</f>
        <v>2025-12</v>
      </c>
      <c r="H2304" s="61" t="str">
        <f aca="false">INDEX(Parametros!$C$71:$C$91,MATCH(TRIM(INDEX(Datos_Origen!$C$2:$C$2459,$Z2304)),Parametros!$B$71:$B$91,0))</f>
        <v>AMBA</v>
      </c>
      <c r="I2304" s="61" t="str">
        <f aca="false">IF(TRIM($AD2304)="",INDEX(Parametros!$I$20:$I$24,MATCH($H2304,Parametros!$H$20:$H$24,0)),TRIM($AD2304))</f>
        <v>Buenos Aires</v>
      </c>
      <c r="J2304" s="61" t="str">
        <f aca="false">INDEX(Parametros!$C$95:$C$106,MATCH(TRIM(INDEX(Datos_Origen!$E$2:$E$2459,$Z2304)),Parametros!$B$95:$B$106,0))</f>
        <v>Tienda fisica</v>
      </c>
      <c r="K2304" s="61" t="str">
        <f aca="false">INDEX(Parametros!$C$48:$C$67,MATCH(TRIM(INDEX(Datos_Origen!$F$2:$F$2459,$Z2304)),Parametros!$B$48:$B$67,0))</f>
        <v>Computacion</v>
      </c>
      <c r="L2304" s="61" t="str">
        <f aca="false">$K2304&amp;" "&amp;$C2304</f>
        <v>Computacion 2025</v>
      </c>
      <c r="M2304" s="61" t="str">
        <f aca="false">TRIM(INDEX(Datos_Origen!$G$2:$G$2459,$Z2304))</f>
        <v>Monitor 4K 27</v>
      </c>
      <c r="N2304" s="61" t="str">
        <f aca="false">$M2304&amp;" "&amp;$C2304</f>
        <v>Monitor 4K 27 2025</v>
      </c>
      <c r="O2304" s="63" t="n">
        <f aca="false">IF(ISTEXT($AC2304),VALUE($AC2304),$AC2304)</f>
        <v>31</v>
      </c>
      <c r="P2304" s="64" t="n">
        <f aca="false">INDEX(Datos_Origen!$I$2:$I$2459,$Z2304)</f>
        <v>451.78</v>
      </c>
      <c r="Q2304" s="64" t="n">
        <f aca="false">INDEX(Datos_Origen!$J$2:$J$2459,$Z2304)</f>
        <v>280.42</v>
      </c>
      <c r="R2304" s="65" t="n">
        <f aca="false">ROUND($O2304*$P2304,2)</f>
        <v>14005.18</v>
      </c>
      <c r="S2304" s="65" t="n">
        <f aca="false">ROUND($O2304*$Q2304,2)</f>
        <v>8693.02</v>
      </c>
      <c r="T2304" s="65" t="n">
        <f aca="false">ROUND($R2304*SUMIFS(Parametros!$E$28:$E$43,Parametros!$B$28:$B$43,$J2304,Parametros!$C$28:$C$43,$C2304,Parametros!$D$28:$D$43,$D2304),2)</f>
        <v>182.07</v>
      </c>
      <c r="U2304" s="65" t="n">
        <f aca="false">$R2304-$S2304-$T2304</f>
        <v>5130.09</v>
      </c>
      <c r="V2304" s="66" t="n">
        <f aca="false">IFERROR($U2304/$R2304,0)</f>
        <v>0.366299469196397</v>
      </c>
      <c r="W2304" s="67" t="str">
        <f aca="false">IF(AND($V2304&gt;=Parametros!$C$8,$R2304&gt;=Parametros!$C$12),"Alta rentabilidad",IF(OR($V2304&lt;Parametros!$C$11,$R2304&lt;Parametros!$C$13),"Revisar","Estandar"))</f>
        <v>Alta rentabilidad</v>
      </c>
      <c r="X2304" s="67" t="str">
        <f aca="false">IF(AND($J2304="E-commerce",IFERROR($T2304/$R2304,0)&gt;Parametros!$C$14),"Alerta","OK")</f>
        <v>OK</v>
      </c>
      <c r="Y2304" s="61" t="str">
        <f aca="false">IF($R2304&gt;=Parametros!$C$12,"Alto",IF($R2304&lt;Parametros!$C$13,"Bajo","Medio"))</f>
        <v>Alto</v>
      </c>
      <c r="Z2304" s="61" t="n">
        <v>1952</v>
      </c>
      <c r="AA2304" s="61" t="str">
        <f aca="false">IF(MATCH($A2304,Datos_Origen!$A$2:$A$2459,0)=$Z2304,"OK","REVISAR")</f>
        <v>OK</v>
      </c>
      <c r="AB2304" s="62" t="n">
        <f aca="false">INDEX(Datos_Origen!$B$2:$B$2459,$Z2304)</f>
        <v>45994</v>
      </c>
      <c r="AC2304" s="61" t="n">
        <f aca="false">INDEX(Datos_Origen!$H$2:$H$2459,$Z2304)</f>
        <v>31</v>
      </c>
      <c r="AD2304" s="61" t="str">
        <f aca="false">INDEX(Datos_Origen!$D$2:$D$2459,$Z2304)&amp;""</f>
        <v>Buenos Aires</v>
      </c>
    </row>
    <row r="2305" customFormat="false" ht="15" hidden="false" customHeight="false" outlineLevel="0" collapsed="false">
      <c r="A2305" s="61" t="n">
        <f aca="false">INDEX(Datos_Origen!$A$2:$A$2459,$Z2305)</f>
        <v>2304</v>
      </c>
      <c r="B2305" s="62" t="n">
        <f aca="false">IF(ISNUMBER($AB2305),$AB2305,IF(MID($AB2305,5,1)="-",DATE(VALUE(LEFT($AB2305,4)),VALUE(MID($AB2305,6,2)),VALUE(RIGHT($AB2305,2))),DATE(VALUE(RIGHT($AB2305,4)),VALUE(MID($AB2305,4,2)),VALUE(LEFT($AB2305,2)))))</f>
        <v>46001</v>
      </c>
      <c r="C2305" s="61" t="n">
        <f aca="false">YEAR($B2305)</f>
        <v>2025</v>
      </c>
      <c r="D2305" s="61" t="str">
        <f aca="false">"Q"&amp;ROUNDUP(MONTH($B2305)/3,0)</f>
        <v>Q4</v>
      </c>
      <c r="E2305" s="61" t="n">
        <f aca="false">MONTH($B2305)</f>
        <v>12</v>
      </c>
      <c r="F2305" s="61" t="str">
        <f aca="false">INDEX(Parametros!$I$5:$I$16,$E2305)</f>
        <v>Dic</v>
      </c>
      <c r="G2305" s="61" t="str">
        <f aca="false">TEXT($C2305,"0000")&amp;"-"&amp;TEXT($E2305,"00")</f>
        <v>2025-12</v>
      </c>
      <c r="H2305" s="61" t="str">
        <f aca="false">INDEX(Parametros!$C$71:$C$91,MATCH(TRIM(INDEX(Datos_Origen!$C$2:$C$2459,$Z2305)),Parametros!$B$71:$B$91,0))</f>
        <v>AMBA</v>
      </c>
      <c r="I2305" s="61" t="str">
        <f aca="false">IF(TRIM($AD2305)="",INDEX(Parametros!$I$20:$I$24,MATCH($H2305,Parametros!$H$20:$H$24,0)),TRIM($AD2305))</f>
        <v>Buenos Aires</v>
      </c>
      <c r="J2305" s="61" t="str">
        <f aca="false">INDEX(Parametros!$C$95:$C$106,MATCH(TRIM(INDEX(Datos_Origen!$E$2:$E$2459,$Z2305)),Parametros!$B$95:$B$106,0))</f>
        <v>E-commerce</v>
      </c>
      <c r="K2305" s="61" t="str">
        <f aca="false">INDEX(Parametros!$C$48:$C$67,MATCH(TRIM(INDEX(Datos_Origen!$F$2:$F$2459,$Z2305)),Parametros!$B$48:$B$67,0))</f>
        <v>Computacion</v>
      </c>
      <c r="L2305" s="61" t="str">
        <f aca="false">$K2305&amp;" "&amp;$C2305</f>
        <v>Computacion 2025</v>
      </c>
      <c r="M2305" s="61" t="str">
        <f aca="false">TRIM(INDEX(Datos_Origen!$G$2:$G$2459,$Z2305))</f>
        <v>Monitor 4K 27</v>
      </c>
      <c r="N2305" s="61" t="str">
        <f aca="false">$M2305&amp;" "&amp;$C2305</f>
        <v>Monitor 4K 27 2025</v>
      </c>
      <c r="O2305" s="63" t="n">
        <f aca="false">IF(ISTEXT($AC2305),VALUE($AC2305),$AC2305)</f>
        <v>24</v>
      </c>
      <c r="P2305" s="64" t="n">
        <f aca="false">INDEX(Datos_Origen!$I$2:$I$2459,$Z2305)</f>
        <v>451.78</v>
      </c>
      <c r="Q2305" s="64" t="n">
        <f aca="false">INDEX(Datos_Origen!$J$2:$J$2459,$Z2305)</f>
        <v>280.42</v>
      </c>
      <c r="R2305" s="65" t="n">
        <f aca="false">ROUND($O2305*$P2305,2)</f>
        <v>10842.72</v>
      </c>
      <c r="S2305" s="65" t="n">
        <f aca="false">ROUND($O2305*$Q2305,2)</f>
        <v>6730.08</v>
      </c>
      <c r="T2305" s="65" t="n">
        <f aca="false">ROUND($R2305*SUMIFS(Parametros!$E$28:$E$43,Parametros!$B$28:$B$43,$J2305,Parametros!$C$28:$C$43,$C2305,Parametros!$D$28:$D$43,$D2305),2)</f>
        <v>563.82</v>
      </c>
      <c r="U2305" s="65" t="n">
        <f aca="false">$R2305-$S2305-$T2305</f>
        <v>3548.82</v>
      </c>
      <c r="V2305" s="66" t="n">
        <f aca="false">IFERROR($U2305/$R2305,0)</f>
        <v>0.327299791934127</v>
      </c>
      <c r="W2305" s="67" t="str">
        <f aca="false">IF(AND($V2305&gt;=Parametros!$C$8,$R2305&gt;=Parametros!$C$12),"Alta rentabilidad",IF(OR($V2305&lt;Parametros!$C$11,$R2305&lt;Parametros!$C$13),"Revisar","Estandar"))</f>
        <v>Estandar</v>
      </c>
      <c r="X2305" s="67" t="str">
        <f aca="false">IF(AND($J2305="E-commerce",IFERROR($T2305/$R2305,0)&gt;Parametros!$C$14),"Alerta","OK")</f>
        <v>Alerta</v>
      </c>
      <c r="Y2305" s="61" t="str">
        <f aca="false">IF($R2305&gt;=Parametros!$C$12,"Alto",IF($R2305&lt;Parametros!$C$13,"Bajo","Medio"))</f>
        <v>Alto</v>
      </c>
      <c r="Z2305" s="61" t="n">
        <v>119</v>
      </c>
      <c r="AA2305" s="61" t="str">
        <f aca="false">IF(MATCH($A2305,Datos_Origen!$A$2:$A$2459,0)=$Z2305,"OK","REVISAR")</f>
        <v>OK</v>
      </c>
      <c r="AB2305" s="62" t="n">
        <f aca="false">INDEX(Datos_Origen!$B$2:$B$2459,$Z2305)</f>
        <v>46001</v>
      </c>
      <c r="AC2305" s="61" t="n">
        <f aca="false">INDEX(Datos_Origen!$H$2:$H$2459,$Z2305)</f>
        <v>24</v>
      </c>
      <c r="AD2305" s="61" t="str">
        <f aca="false">INDEX(Datos_Origen!$D$2:$D$2459,$Z2305)&amp;""</f>
        <v>Buenos Aires</v>
      </c>
    </row>
    <row r="2306" customFormat="false" ht="15" hidden="false" customHeight="false" outlineLevel="0" collapsed="false">
      <c r="A2306" s="61" t="n">
        <f aca="false">INDEX(Datos_Origen!$A$2:$A$2459,$Z2306)</f>
        <v>2305</v>
      </c>
      <c r="B2306" s="62" t="n">
        <f aca="false">IF(ISNUMBER($AB2306),$AB2306,IF(MID($AB2306,5,1)="-",DATE(VALUE(LEFT($AB2306,4)),VALUE(MID($AB2306,6,2)),VALUE(RIGHT($AB2306,2))),DATE(VALUE(RIGHT($AB2306,4)),VALUE(MID($AB2306,4,2)),VALUE(LEFT($AB2306,2)))))</f>
        <v>46008</v>
      </c>
      <c r="C2306" s="61" t="n">
        <f aca="false">YEAR($B2306)</f>
        <v>2025</v>
      </c>
      <c r="D2306" s="61" t="str">
        <f aca="false">"Q"&amp;ROUNDUP(MONTH($B2306)/3,0)</f>
        <v>Q4</v>
      </c>
      <c r="E2306" s="61" t="n">
        <f aca="false">MONTH($B2306)</f>
        <v>12</v>
      </c>
      <c r="F2306" s="61" t="str">
        <f aca="false">INDEX(Parametros!$I$5:$I$16,$E2306)</f>
        <v>Dic</v>
      </c>
      <c r="G2306" s="61" t="str">
        <f aca="false">TEXT($C2306,"0000")&amp;"-"&amp;TEXT($E2306,"00")</f>
        <v>2025-12</v>
      </c>
      <c r="H2306" s="61" t="str">
        <f aca="false">INDEX(Parametros!$C$71:$C$91,MATCH(TRIM(INDEX(Datos_Origen!$C$2:$C$2459,$Z2306)),Parametros!$B$71:$B$91,0))</f>
        <v>AMBA</v>
      </c>
      <c r="I2306" s="61" t="str">
        <f aca="false">IF(TRIM($AD2306)="",INDEX(Parametros!$I$20:$I$24,MATCH($H2306,Parametros!$H$20:$H$24,0)),TRIM($AD2306))</f>
        <v>Buenos Aires</v>
      </c>
      <c r="J2306" s="61" t="str">
        <f aca="false">INDEX(Parametros!$C$95:$C$106,MATCH(TRIM(INDEX(Datos_Origen!$E$2:$E$2459,$Z2306)),Parametros!$B$95:$B$106,0))</f>
        <v>Tienda fisica</v>
      </c>
      <c r="K2306" s="61" t="str">
        <f aca="false">INDEX(Parametros!$C$48:$C$67,MATCH(TRIM(INDEX(Datos_Origen!$F$2:$F$2459,$Z2306)),Parametros!$B$48:$B$67,0))</f>
        <v>Computacion</v>
      </c>
      <c r="L2306" s="61" t="str">
        <f aca="false">$K2306&amp;" "&amp;$C2306</f>
        <v>Computacion 2025</v>
      </c>
      <c r="M2306" s="61" t="str">
        <f aca="false">TRIM(INDEX(Datos_Origen!$G$2:$G$2459,$Z2306))</f>
        <v>PC Gamer Ryzen</v>
      </c>
      <c r="N2306" s="61" t="str">
        <f aca="false">$M2306&amp;" "&amp;$C2306</f>
        <v>PC Gamer Ryzen 2025</v>
      </c>
      <c r="O2306" s="63" t="n">
        <f aca="false">IF(ISTEXT($AC2306),VALUE($AC2306),$AC2306)</f>
        <v>34</v>
      </c>
      <c r="P2306" s="64" t="n">
        <f aca="false">INDEX(Datos_Origen!$I$2:$I$2459,$Z2306)</f>
        <v>1656.52</v>
      </c>
      <c r="Q2306" s="64" t="n">
        <f aca="false">INDEX(Datos_Origen!$J$2:$J$2459,$Z2306)</f>
        <v>1155.66</v>
      </c>
      <c r="R2306" s="65" t="n">
        <f aca="false">ROUND($O2306*$P2306,2)</f>
        <v>56321.68</v>
      </c>
      <c r="S2306" s="65" t="n">
        <f aca="false">ROUND($O2306*$Q2306,2)</f>
        <v>39292.44</v>
      </c>
      <c r="T2306" s="65" t="n">
        <f aca="false">ROUND($R2306*SUMIFS(Parametros!$E$28:$E$43,Parametros!$B$28:$B$43,$J2306,Parametros!$C$28:$C$43,$C2306,Parametros!$D$28:$D$43,$D2306),2)</f>
        <v>732.18</v>
      </c>
      <c r="U2306" s="65" t="n">
        <f aca="false">$R2306-$S2306-$T2306</f>
        <v>16297.06</v>
      </c>
      <c r="V2306" s="66" t="n">
        <f aca="false">IFERROR($U2306/$R2306,0)</f>
        <v>0.28935678055058</v>
      </c>
      <c r="W2306" s="67" t="str">
        <f aca="false">IF(AND($V2306&gt;=Parametros!$C$8,$R2306&gt;=Parametros!$C$12),"Alta rentabilidad",IF(OR($V2306&lt;Parametros!$C$11,$R2306&lt;Parametros!$C$13),"Revisar","Estandar"))</f>
        <v>Estandar</v>
      </c>
      <c r="X2306" s="67" t="str">
        <f aca="false">IF(AND($J2306="E-commerce",IFERROR($T2306/$R2306,0)&gt;Parametros!$C$14),"Alerta","OK")</f>
        <v>OK</v>
      </c>
      <c r="Y2306" s="61" t="str">
        <f aca="false">IF($R2306&gt;=Parametros!$C$12,"Alto",IF($R2306&lt;Parametros!$C$13,"Bajo","Medio"))</f>
        <v>Alto</v>
      </c>
      <c r="Z2306" s="61" t="n">
        <v>1337</v>
      </c>
      <c r="AA2306" s="61" t="str">
        <f aca="false">IF(MATCH($A2306,Datos_Origen!$A$2:$A$2459,0)=$Z2306,"OK","REVISAR")</f>
        <v>OK</v>
      </c>
      <c r="AB2306" s="61" t="str">
        <f aca="false">INDEX(Datos_Origen!$B$2:$B$2459,$Z2306)</f>
        <v>2025-12-17</v>
      </c>
      <c r="AC2306" s="61" t="n">
        <f aca="false">INDEX(Datos_Origen!$H$2:$H$2459,$Z2306)</f>
        <v>34</v>
      </c>
      <c r="AD2306" s="61" t="str">
        <f aca="false">INDEX(Datos_Origen!$D$2:$D$2459,$Z2306)&amp;""</f>
        <v>Buenos Aires</v>
      </c>
    </row>
    <row r="2307" customFormat="false" ht="15" hidden="false" customHeight="false" outlineLevel="0" collapsed="false">
      <c r="A2307" s="61" t="n">
        <f aca="false">INDEX(Datos_Origen!$A$2:$A$2459,$Z2307)</f>
        <v>2306</v>
      </c>
      <c r="B2307" s="62" t="n">
        <f aca="false">IF(ISNUMBER($AB2307),$AB2307,IF(MID($AB2307,5,1)="-",DATE(VALUE(LEFT($AB2307,4)),VALUE(MID($AB2307,6,2)),VALUE(RIGHT($AB2307,2))),DATE(VALUE(RIGHT($AB2307,4)),VALUE(MID($AB2307,4,2)),VALUE(LEFT($AB2307,2)))))</f>
        <v>46015</v>
      </c>
      <c r="C2307" s="61" t="n">
        <f aca="false">YEAR($B2307)</f>
        <v>2025</v>
      </c>
      <c r="D2307" s="61" t="str">
        <f aca="false">"Q"&amp;ROUNDUP(MONTH($B2307)/3,0)</f>
        <v>Q4</v>
      </c>
      <c r="E2307" s="61" t="n">
        <f aca="false">MONTH($B2307)</f>
        <v>12</v>
      </c>
      <c r="F2307" s="61" t="str">
        <f aca="false">INDEX(Parametros!$I$5:$I$16,$E2307)</f>
        <v>Dic</v>
      </c>
      <c r="G2307" s="61" t="str">
        <f aca="false">TEXT($C2307,"0000")&amp;"-"&amp;TEXT($E2307,"00")</f>
        <v>2025-12</v>
      </c>
      <c r="H2307" s="61" t="str">
        <f aca="false">INDEX(Parametros!$C$71:$C$91,MATCH(TRIM(INDEX(Datos_Origen!$C$2:$C$2459,$Z2307)),Parametros!$B$71:$B$91,0))</f>
        <v>AMBA</v>
      </c>
      <c r="I2307" s="61" t="str">
        <f aca="false">IF(TRIM($AD2307)="",INDEX(Parametros!$I$20:$I$24,MATCH($H2307,Parametros!$H$20:$H$24,0)),TRIM($AD2307))</f>
        <v>Buenos Aires</v>
      </c>
      <c r="J2307" s="61" t="str">
        <f aca="false">INDEX(Parametros!$C$95:$C$106,MATCH(TRIM(INDEX(Datos_Origen!$E$2:$E$2459,$Z2307)),Parametros!$B$95:$B$106,0))</f>
        <v>E-commerce</v>
      </c>
      <c r="K2307" s="61" t="str">
        <f aca="false">INDEX(Parametros!$C$48:$C$67,MATCH(TRIM(INDEX(Datos_Origen!$F$2:$F$2459,$Z2307)),Parametros!$B$48:$B$67,0))</f>
        <v>Computacion</v>
      </c>
      <c r="L2307" s="61" t="str">
        <f aca="false">$K2307&amp;" "&amp;$C2307</f>
        <v>Computacion 2025</v>
      </c>
      <c r="M2307" s="61" t="str">
        <f aca="false">TRIM(INDEX(Datos_Origen!$G$2:$G$2459,$Z2307))</f>
        <v>PC Gamer Ryzen</v>
      </c>
      <c r="N2307" s="61" t="str">
        <f aca="false">$M2307&amp;" "&amp;$C2307</f>
        <v>PC Gamer Ryzen 2025</v>
      </c>
      <c r="O2307" s="63" t="n">
        <f aca="false">IF(ISTEXT($AC2307),VALUE($AC2307),$AC2307)</f>
        <v>21</v>
      </c>
      <c r="P2307" s="64" t="n">
        <f aca="false">INDEX(Datos_Origen!$I$2:$I$2459,$Z2307)</f>
        <v>1656.52</v>
      </c>
      <c r="Q2307" s="64" t="n">
        <f aca="false">INDEX(Datos_Origen!$J$2:$J$2459,$Z2307)</f>
        <v>1155.66</v>
      </c>
      <c r="R2307" s="65" t="n">
        <f aca="false">ROUND($O2307*$P2307,2)</f>
        <v>34786.92</v>
      </c>
      <c r="S2307" s="65" t="n">
        <f aca="false">ROUND($O2307*$Q2307,2)</f>
        <v>24268.86</v>
      </c>
      <c r="T2307" s="65" t="n">
        <f aca="false">ROUND($R2307*SUMIFS(Parametros!$E$28:$E$43,Parametros!$B$28:$B$43,$J2307,Parametros!$C$28:$C$43,$C2307,Parametros!$D$28:$D$43,$D2307),2)</f>
        <v>1808.92</v>
      </c>
      <c r="U2307" s="65" t="n">
        <f aca="false">$R2307-$S2307-$T2307</f>
        <v>8709.14</v>
      </c>
      <c r="V2307" s="66" t="n">
        <f aca="false">IFERROR($U2307/$R2307,0)</f>
        <v>0.25035674328167</v>
      </c>
      <c r="W2307" s="67" t="str">
        <f aca="false">IF(AND($V2307&gt;=Parametros!$C$8,$R2307&gt;=Parametros!$C$12),"Alta rentabilidad",IF(OR($V2307&lt;Parametros!$C$11,$R2307&lt;Parametros!$C$13),"Revisar","Estandar"))</f>
        <v>Revisar</v>
      </c>
      <c r="X2307" s="67" t="str">
        <f aca="false">IF(AND($J2307="E-commerce",IFERROR($T2307/$R2307,0)&gt;Parametros!$C$14),"Alerta","OK")</f>
        <v>Alerta</v>
      </c>
      <c r="Y2307" s="61" t="str">
        <f aca="false">IF($R2307&gt;=Parametros!$C$12,"Alto",IF($R2307&lt;Parametros!$C$13,"Bajo","Medio"))</f>
        <v>Alto</v>
      </c>
      <c r="Z2307" s="61" t="n">
        <v>26</v>
      </c>
      <c r="AA2307" s="61" t="str">
        <f aca="false">IF(MATCH($A2307,Datos_Origen!$A$2:$A$2459,0)=$Z2307,"OK","REVISAR")</f>
        <v>OK</v>
      </c>
      <c r="AB2307" s="62" t="n">
        <f aca="false">INDEX(Datos_Origen!$B$2:$B$2459,$Z2307)</f>
        <v>46015</v>
      </c>
      <c r="AC2307" s="61" t="n">
        <f aca="false">INDEX(Datos_Origen!$H$2:$H$2459,$Z2307)</f>
        <v>21</v>
      </c>
      <c r="AD2307" s="61" t="str">
        <f aca="false">INDEX(Datos_Origen!$D$2:$D$2459,$Z2307)&amp;""</f>
        <v>Buenos Aires</v>
      </c>
    </row>
    <row r="2308" customFormat="false" ht="15" hidden="false" customHeight="false" outlineLevel="0" collapsed="false">
      <c r="A2308" s="61" t="n">
        <f aca="false">INDEX(Datos_Origen!$A$2:$A$2459,$Z2308)</f>
        <v>2307</v>
      </c>
      <c r="B2308" s="62" t="n">
        <f aca="false">IF(ISNUMBER($AB2308),$AB2308,IF(MID($AB2308,5,1)="-",DATE(VALUE(LEFT($AB2308,4)),VALUE(MID($AB2308,6,2)),VALUE(RIGHT($AB2308,2))),DATE(VALUE(RIGHT($AB2308,4)),VALUE(MID($AB2308,4,2)),VALUE(LEFT($AB2308,2)))))</f>
        <v>45995</v>
      </c>
      <c r="C2308" s="61" t="n">
        <f aca="false">YEAR($B2308)</f>
        <v>2025</v>
      </c>
      <c r="D2308" s="61" t="str">
        <f aca="false">"Q"&amp;ROUNDUP(MONTH($B2308)/3,0)</f>
        <v>Q4</v>
      </c>
      <c r="E2308" s="61" t="n">
        <f aca="false">MONTH($B2308)</f>
        <v>12</v>
      </c>
      <c r="F2308" s="61" t="str">
        <f aca="false">INDEX(Parametros!$I$5:$I$16,$E2308)</f>
        <v>Dic</v>
      </c>
      <c r="G2308" s="61" t="str">
        <f aca="false">TEXT($C2308,"0000")&amp;"-"&amp;TEXT($E2308,"00")</f>
        <v>2025-12</v>
      </c>
      <c r="H2308" s="61" t="str">
        <f aca="false">INDEX(Parametros!$C$71:$C$91,MATCH(TRIM(INDEX(Datos_Origen!$C$2:$C$2459,$Z2308)),Parametros!$B$71:$B$91,0))</f>
        <v>AMBA</v>
      </c>
      <c r="I2308" s="61" t="str">
        <f aca="false">IF(TRIM($AD2308)="",INDEX(Parametros!$I$20:$I$24,MATCH($H2308,Parametros!$H$20:$H$24,0)),TRIM($AD2308))</f>
        <v>Buenos Aires</v>
      </c>
      <c r="J2308" s="61" t="str">
        <f aca="false">INDEX(Parametros!$C$95:$C$106,MATCH(TRIM(INDEX(Datos_Origen!$E$2:$E$2459,$Z2308)),Parametros!$B$95:$B$106,0))</f>
        <v>Tienda fisica</v>
      </c>
      <c r="K2308" s="61" t="str">
        <f aca="false">INDEX(Parametros!$C$48:$C$67,MATCH(TRIM(INDEX(Datos_Origen!$F$2:$F$2459,$Z2308)),Parametros!$B$48:$B$67,0))</f>
        <v>Accesorios</v>
      </c>
      <c r="L2308" s="61" t="str">
        <f aca="false">$K2308&amp;" "&amp;$C2308</f>
        <v>Accesorios 2025</v>
      </c>
      <c r="M2308" s="61" t="str">
        <f aca="false">TRIM(INDEX(Datos_Origen!$G$2:$G$2459,$Z2308))</f>
        <v>Mouse Inalambrico</v>
      </c>
      <c r="N2308" s="61" t="str">
        <f aca="false">$M2308&amp;" "&amp;$C2308</f>
        <v>Mouse Inalambrico 2025</v>
      </c>
      <c r="O2308" s="63" t="n">
        <f aca="false">IF(ISTEXT($AC2308),VALUE($AC2308),$AC2308)</f>
        <v>119</v>
      </c>
      <c r="P2308" s="64" t="n">
        <f aca="false">INDEX(Datos_Origen!$I$2:$I$2459,$Z2308)</f>
        <v>28.11</v>
      </c>
      <c r="Q2308" s="64" t="n">
        <f aca="false">INDEX(Datos_Origen!$J$2:$J$2459,$Z2308)</f>
        <v>13.84</v>
      </c>
      <c r="R2308" s="65" t="n">
        <f aca="false">ROUND($O2308*$P2308,2)</f>
        <v>3345.09</v>
      </c>
      <c r="S2308" s="65" t="n">
        <f aca="false">ROUND($O2308*$Q2308,2)</f>
        <v>1646.96</v>
      </c>
      <c r="T2308" s="65" t="n">
        <f aca="false">ROUND($R2308*SUMIFS(Parametros!$E$28:$E$43,Parametros!$B$28:$B$43,$J2308,Parametros!$C$28:$C$43,$C2308,Parametros!$D$28:$D$43,$D2308),2)</f>
        <v>43.49</v>
      </c>
      <c r="U2308" s="65" t="n">
        <f aca="false">$R2308-$S2308-$T2308</f>
        <v>1654.64</v>
      </c>
      <c r="V2308" s="66" t="n">
        <f aca="false">IFERROR($U2308/$R2308,0)</f>
        <v>0.494647378695342</v>
      </c>
      <c r="W2308" s="67" t="str">
        <f aca="false">IF(AND($V2308&gt;=Parametros!$C$8,$R2308&gt;=Parametros!$C$12),"Alta rentabilidad",IF(OR($V2308&lt;Parametros!$C$11,$R2308&lt;Parametros!$C$13),"Revisar","Estandar"))</f>
        <v>Alta rentabilidad</v>
      </c>
      <c r="X2308" s="67" t="str">
        <f aca="false">IF(AND($J2308="E-commerce",IFERROR($T2308/$R2308,0)&gt;Parametros!$C$14),"Alerta","OK")</f>
        <v>OK</v>
      </c>
      <c r="Y2308" s="61" t="str">
        <f aca="false">IF($R2308&gt;=Parametros!$C$12,"Alto",IF($R2308&lt;Parametros!$C$13,"Bajo","Medio"))</f>
        <v>Alto</v>
      </c>
      <c r="Z2308" s="61" t="n">
        <v>793</v>
      </c>
      <c r="AA2308" s="61" t="str">
        <f aca="false">IF(MATCH($A2308,Datos_Origen!$A$2:$A$2459,0)=$Z2308,"OK","REVISAR")</f>
        <v>OK</v>
      </c>
      <c r="AB2308" s="61" t="str">
        <f aca="false">INDEX(Datos_Origen!$B$2:$B$2459,$Z2308)</f>
        <v>04/12/2025</v>
      </c>
      <c r="AC2308" s="61" t="n">
        <f aca="false">INDEX(Datos_Origen!$H$2:$H$2459,$Z2308)</f>
        <v>119</v>
      </c>
      <c r="AD2308" s="61" t="str">
        <f aca="false">INDEX(Datos_Origen!$D$2:$D$2459,$Z2308)&amp;""</f>
        <v>Buenos Aires</v>
      </c>
    </row>
    <row r="2309" customFormat="false" ht="15" hidden="false" customHeight="false" outlineLevel="0" collapsed="false">
      <c r="A2309" s="61" t="n">
        <f aca="false">INDEX(Datos_Origen!$A$2:$A$2459,$Z2309)</f>
        <v>2308</v>
      </c>
      <c r="B2309" s="62" t="n">
        <f aca="false">IF(ISNUMBER($AB2309),$AB2309,IF(MID($AB2309,5,1)="-",DATE(VALUE(LEFT($AB2309,4)),VALUE(MID($AB2309,6,2)),VALUE(RIGHT($AB2309,2))),DATE(VALUE(RIGHT($AB2309,4)),VALUE(MID($AB2309,4,2)),VALUE(LEFT($AB2309,2)))))</f>
        <v>46002</v>
      </c>
      <c r="C2309" s="61" t="n">
        <f aca="false">YEAR($B2309)</f>
        <v>2025</v>
      </c>
      <c r="D2309" s="61" t="str">
        <f aca="false">"Q"&amp;ROUNDUP(MONTH($B2309)/3,0)</f>
        <v>Q4</v>
      </c>
      <c r="E2309" s="61" t="n">
        <f aca="false">MONTH($B2309)</f>
        <v>12</v>
      </c>
      <c r="F2309" s="61" t="str">
        <f aca="false">INDEX(Parametros!$I$5:$I$16,$E2309)</f>
        <v>Dic</v>
      </c>
      <c r="G2309" s="61" t="str">
        <f aca="false">TEXT($C2309,"0000")&amp;"-"&amp;TEXT($E2309,"00")</f>
        <v>2025-12</v>
      </c>
      <c r="H2309" s="61" t="str">
        <f aca="false">INDEX(Parametros!$C$71:$C$91,MATCH(TRIM(INDEX(Datos_Origen!$C$2:$C$2459,$Z2309)),Parametros!$B$71:$B$91,0))</f>
        <v>AMBA</v>
      </c>
      <c r="I2309" s="61" t="str">
        <f aca="false">IF(TRIM($AD2309)="",INDEX(Parametros!$I$20:$I$24,MATCH($H2309,Parametros!$H$20:$H$24,0)),TRIM($AD2309))</f>
        <v>Buenos Aires</v>
      </c>
      <c r="J2309" s="61" t="str">
        <f aca="false">INDEX(Parametros!$C$95:$C$106,MATCH(TRIM(INDEX(Datos_Origen!$E$2:$E$2459,$Z2309)),Parametros!$B$95:$B$106,0))</f>
        <v>E-commerce</v>
      </c>
      <c r="K2309" s="61" t="str">
        <f aca="false">INDEX(Parametros!$C$48:$C$67,MATCH(TRIM(INDEX(Datos_Origen!$F$2:$F$2459,$Z2309)),Parametros!$B$48:$B$67,0))</f>
        <v>Accesorios</v>
      </c>
      <c r="L2309" s="61" t="str">
        <f aca="false">$K2309&amp;" "&amp;$C2309</f>
        <v>Accesorios 2025</v>
      </c>
      <c r="M2309" s="61" t="str">
        <f aca="false">TRIM(INDEX(Datos_Origen!$G$2:$G$2459,$Z2309))</f>
        <v>Mouse Inalambrico</v>
      </c>
      <c r="N2309" s="61" t="str">
        <f aca="false">$M2309&amp;" "&amp;$C2309</f>
        <v>Mouse Inalambrico 2025</v>
      </c>
      <c r="O2309" s="63" t="n">
        <f aca="false">IF(ISTEXT($AC2309),VALUE($AC2309),$AC2309)</f>
        <v>93</v>
      </c>
      <c r="P2309" s="64" t="n">
        <f aca="false">INDEX(Datos_Origen!$I$2:$I$2459,$Z2309)</f>
        <v>28.11</v>
      </c>
      <c r="Q2309" s="64" t="n">
        <f aca="false">INDEX(Datos_Origen!$J$2:$J$2459,$Z2309)</f>
        <v>13.84</v>
      </c>
      <c r="R2309" s="65" t="n">
        <f aca="false">ROUND($O2309*$P2309,2)</f>
        <v>2614.23</v>
      </c>
      <c r="S2309" s="65" t="n">
        <f aca="false">ROUND($O2309*$Q2309,2)</f>
        <v>1287.12</v>
      </c>
      <c r="T2309" s="65" t="n">
        <f aca="false">ROUND($R2309*SUMIFS(Parametros!$E$28:$E$43,Parametros!$B$28:$B$43,$J2309,Parametros!$C$28:$C$43,$C2309,Parametros!$D$28:$D$43,$D2309),2)</f>
        <v>135.94</v>
      </c>
      <c r="U2309" s="65" t="n">
        <f aca="false">$R2309-$S2309-$T2309</f>
        <v>1191.17</v>
      </c>
      <c r="V2309" s="66" t="n">
        <f aca="false">IFERROR($U2309/$R2309,0)</f>
        <v>0.455648508356189</v>
      </c>
      <c r="W2309" s="67" t="str">
        <f aca="false">IF(AND($V2309&gt;=Parametros!$C$8,$R2309&gt;=Parametros!$C$12),"Alta rentabilidad",IF(OR($V2309&lt;Parametros!$C$11,$R2309&lt;Parametros!$C$13),"Revisar","Estandar"))</f>
        <v>Estandar</v>
      </c>
      <c r="X2309" s="67" t="str">
        <f aca="false">IF(AND($J2309="E-commerce",IFERROR($T2309/$R2309,0)&gt;Parametros!$C$14),"Alerta","OK")</f>
        <v>Alerta</v>
      </c>
      <c r="Y2309" s="61" t="str">
        <f aca="false">IF($R2309&gt;=Parametros!$C$12,"Alto",IF($R2309&lt;Parametros!$C$13,"Bajo","Medio"))</f>
        <v>Medio</v>
      </c>
      <c r="Z2309" s="61" t="n">
        <v>672</v>
      </c>
      <c r="AA2309" s="61" t="str">
        <f aca="false">IF(MATCH($A2309,Datos_Origen!$A$2:$A$2459,0)=$Z2309,"OK","REVISAR")</f>
        <v>OK</v>
      </c>
      <c r="AB2309" s="62" t="n">
        <f aca="false">INDEX(Datos_Origen!$B$2:$B$2459,$Z2309)</f>
        <v>46002</v>
      </c>
      <c r="AC2309" s="61" t="n">
        <f aca="false">INDEX(Datos_Origen!$H$2:$H$2459,$Z2309)</f>
        <v>93</v>
      </c>
      <c r="AD2309" s="61" t="str">
        <f aca="false">INDEX(Datos_Origen!$D$2:$D$2459,$Z2309)&amp;""</f>
        <v>Buenos Aires</v>
      </c>
    </row>
    <row r="2310" customFormat="false" ht="15" hidden="false" customHeight="false" outlineLevel="0" collapsed="false">
      <c r="A2310" s="61" t="n">
        <f aca="false">INDEX(Datos_Origen!$A$2:$A$2459,$Z2310)</f>
        <v>2309</v>
      </c>
      <c r="B2310" s="62" t="n">
        <f aca="false">IF(ISNUMBER($AB2310),$AB2310,IF(MID($AB2310,5,1)="-",DATE(VALUE(LEFT($AB2310,4)),VALUE(MID($AB2310,6,2)),VALUE(RIGHT($AB2310,2))),DATE(VALUE(RIGHT($AB2310,4)),VALUE(MID($AB2310,4,2)),VALUE(LEFT($AB2310,2)))))</f>
        <v>46009</v>
      </c>
      <c r="C2310" s="61" t="n">
        <f aca="false">YEAR($B2310)</f>
        <v>2025</v>
      </c>
      <c r="D2310" s="61" t="str">
        <f aca="false">"Q"&amp;ROUNDUP(MONTH($B2310)/3,0)</f>
        <v>Q4</v>
      </c>
      <c r="E2310" s="61" t="n">
        <f aca="false">MONTH($B2310)</f>
        <v>12</v>
      </c>
      <c r="F2310" s="61" t="str">
        <f aca="false">INDEX(Parametros!$I$5:$I$16,$E2310)</f>
        <v>Dic</v>
      </c>
      <c r="G2310" s="61" t="str">
        <f aca="false">TEXT($C2310,"0000")&amp;"-"&amp;TEXT($E2310,"00")</f>
        <v>2025-12</v>
      </c>
      <c r="H2310" s="61" t="str">
        <f aca="false">INDEX(Parametros!$C$71:$C$91,MATCH(TRIM(INDEX(Datos_Origen!$C$2:$C$2459,$Z2310)),Parametros!$B$71:$B$91,0))</f>
        <v>AMBA</v>
      </c>
      <c r="I2310" s="61" t="str">
        <f aca="false">IF(TRIM($AD2310)="",INDEX(Parametros!$I$20:$I$24,MATCH($H2310,Parametros!$H$20:$H$24,0)),TRIM($AD2310))</f>
        <v>Buenos Aires</v>
      </c>
      <c r="J2310" s="61" t="str">
        <f aca="false">INDEX(Parametros!$C$95:$C$106,MATCH(TRIM(INDEX(Datos_Origen!$E$2:$E$2459,$Z2310)),Parametros!$B$95:$B$106,0))</f>
        <v>Tienda fisica</v>
      </c>
      <c r="K2310" s="61" t="str">
        <f aca="false">INDEX(Parametros!$C$48:$C$67,MATCH(TRIM(INDEX(Datos_Origen!$F$2:$F$2459,$Z2310)),Parametros!$B$48:$B$67,0))</f>
        <v>Accesorios</v>
      </c>
      <c r="L2310" s="61" t="str">
        <f aca="false">$K2310&amp;" "&amp;$C2310</f>
        <v>Accesorios 2025</v>
      </c>
      <c r="M2310" s="61" t="str">
        <f aca="false">TRIM(INDEX(Datos_Origen!$G$2:$G$2459,$Z2310))</f>
        <v>Teclado Mecanico</v>
      </c>
      <c r="N2310" s="61" t="str">
        <f aca="false">$M2310&amp;" "&amp;$C2310</f>
        <v>Teclado Mecanico 2025</v>
      </c>
      <c r="O2310" s="63" t="n">
        <f aca="false">IF(ISTEXT($AC2310),VALUE($AC2310),$AC2310)</f>
        <v>136</v>
      </c>
      <c r="P2310" s="64" t="n">
        <f aca="false">INDEX(Datos_Origen!$I$2:$I$2459,$Z2310)</f>
        <v>95.38</v>
      </c>
      <c r="Q2310" s="64" t="n">
        <f aca="false">INDEX(Datos_Origen!$J$2:$J$2459,$Z2310)</f>
        <v>49.41</v>
      </c>
      <c r="R2310" s="65" t="n">
        <f aca="false">ROUND($O2310*$P2310,2)</f>
        <v>12971.68</v>
      </c>
      <c r="S2310" s="65" t="n">
        <f aca="false">ROUND($O2310*$Q2310,2)</f>
        <v>6719.76</v>
      </c>
      <c r="T2310" s="65" t="n">
        <f aca="false">ROUND($R2310*SUMIFS(Parametros!$E$28:$E$43,Parametros!$B$28:$B$43,$J2310,Parametros!$C$28:$C$43,$C2310,Parametros!$D$28:$D$43,$D2310),2)</f>
        <v>168.63</v>
      </c>
      <c r="U2310" s="65" t="n">
        <f aca="false">$R2310-$S2310-$T2310</f>
        <v>6083.29</v>
      </c>
      <c r="V2310" s="66" t="n">
        <f aca="false">IFERROR($U2310/$R2310,0)</f>
        <v>0.468967011212118</v>
      </c>
      <c r="W2310" s="67" t="str">
        <f aca="false">IF(AND($V2310&gt;=Parametros!$C$8,$R2310&gt;=Parametros!$C$12),"Alta rentabilidad",IF(OR($V2310&lt;Parametros!$C$11,$R2310&lt;Parametros!$C$13),"Revisar","Estandar"))</f>
        <v>Alta rentabilidad</v>
      </c>
      <c r="X2310" s="67" t="str">
        <f aca="false">IF(AND($J2310="E-commerce",IFERROR($T2310/$R2310,0)&gt;Parametros!$C$14),"Alerta","OK")</f>
        <v>OK</v>
      </c>
      <c r="Y2310" s="61" t="str">
        <f aca="false">IF($R2310&gt;=Parametros!$C$12,"Alto",IF($R2310&lt;Parametros!$C$13,"Bajo","Medio"))</f>
        <v>Alto</v>
      </c>
      <c r="Z2310" s="61" t="n">
        <v>286</v>
      </c>
      <c r="AA2310" s="61" t="str">
        <f aca="false">IF(MATCH($A2310,Datos_Origen!$A$2:$A$2459,0)=$Z2310,"OK","REVISAR")</f>
        <v>OK</v>
      </c>
      <c r="AB2310" s="61" t="str">
        <f aca="false">INDEX(Datos_Origen!$B$2:$B$2459,$Z2310)</f>
        <v>2025-12-18</v>
      </c>
      <c r="AC2310" s="61" t="n">
        <f aca="false">INDEX(Datos_Origen!$H$2:$H$2459,$Z2310)</f>
        <v>136</v>
      </c>
      <c r="AD2310" s="61" t="str">
        <f aca="false">INDEX(Datos_Origen!$D$2:$D$2459,$Z2310)&amp;""</f>
        <v>Buenos Aires</v>
      </c>
    </row>
    <row r="2311" customFormat="false" ht="15" hidden="false" customHeight="false" outlineLevel="0" collapsed="false">
      <c r="A2311" s="61" t="n">
        <f aca="false">INDEX(Datos_Origen!$A$2:$A$2459,$Z2311)</f>
        <v>2310</v>
      </c>
      <c r="B2311" s="62" t="n">
        <f aca="false">IF(ISNUMBER($AB2311),$AB2311,IF(MID($AB2311,5,1)="-",DATE(VALUE(LEFT($AB2311,4)),VALUE(MID($AB2311,6,2)),VALUE(RIGHT($AB2311,2))),DATE(VALUE(RIGHT($AB2311,4)),VALUE(MID($AB2311,4,2)),VALUE(LEFT($AB2311,2)))))</f>
        <v>46016</v>
      </c>
      <c r="C2311" s="61" t="n">
        <f aca="false">YEAR($B2311)</f>
        <v>2025</v>
      </c>
      <c r="D2311" s="61" t="str">
        <f aca="false">"Q"&amp;ROUNDUP(MONTH($B2311)/3,0)</f>
        <v>Q4</v>
      </c>
      <c r="E2311" s="61" t="n">
        <f aca="false">MONTH($B2311)</f>
        <v>12</v>
      </c>
      <c r="F2311" s="61" t="str">
        <f aca="false">INDEX(Parametros!$I$5:$I$16,$E2311)</f>
        <v>Dic</v>
      </c>
      <c r="G2311" s="61" t="str">
        <f aca="false">TEXT($C2311,"0000")&amp;"-"&amp;TEXT($E2311,"00")</f>
        <v>2025-12</v>
      </c>
      <c r="H2311" s="61" t="str">
        <f aca="false">INDEX(Parametros!$C$71:$C$91,MATCH(TRIM(INDEX(Datos_Origen!$C$2:$C$2459,$Z2311)),Parametros!$B$71:$B$91,0))</f>
        <v>AMBA</v>
      </c>
      <c r="I2311" s="61" t="str">
        <f aca="false">IF(TRIM($AD2311)="",INDEX(Parametros!$I$20:$I$24,MATCH($H2311,Parametros!$H$20:$H$24,0)),TRIM($AD2311))</f>
        <v>Buenos Aires</v>
      </c>
      <c r="J2311" s="61" t="str">
        <f aca="false">INDEX(Parametros!$C$95:$C$106,MATCH(TRIM(INDEX(Datos_Origen!$E$2:$E$2459,$Z2311)),Parametros!$B$95:$B$106,0))</f>
        <v>E-commerce</v>
      </c>
      <c r="K2311" s="61" t="str">
        <f aca="false">INDEX(Parametros!$C$48:$C$67,MATCH(TRIM(INDEX(Datos_Origen!$F$2:$F$2459,$Z2311)),Parametros!$B$48:$B$67,0))</f>
        <v>Accesorios</v>
      </c>
      <c r="L2311" s="61" t="str">
        <f aca="false">$K2311&amp;" "&amp;$C2311</f>
        <v>Accesorios 2025</v>
      </c>
      <c r="M2311" s="61" t="str">
        <f aca="false">TRIM(INDEX(Datos_Origen!$G$2:$G$2459,$Z2311))</f>
        <v>Teclado Mecanico</v>
      </c>
      <c r="N2311" s="61" t="str">
        <f aca="false">$M2311&amp;" "&amp;$C2311</f>
        <v>Teclado Mecanico 2025</v>
      </c>
      <c r="O2311" s="63" t="n">
        <f aca="false">IF(ISTEXT($AC2311),VALUE($AC2311),$AC2311)</f>
        <v>103</v>
      </c>
      <c r="P2311" s="64" t="n">
        <f aca="false">INDEX(Datos_Origen!$I$2:$I$2459,$Z2311)</f>
        <v>95.38</v>
      </c>
      <c r="Q2311" s="64" t="n">
        <f aca="false">INDEX(Datos_Origen!$J$2:$J$2459,$Z2311)</f>
        <v>49.41</v>
      </c>
      <c r="R2311" s="65" t="n">
        <f aca="false">ROUND($O2311*$P2311,2)</f>
        <v>9824.14</v>
      </c>
      <c r="S2311" s="65" t="n">
        <f aca="false">ROUND($O2311*$Q2311,2)</f>
        <v>5089.23</v>
      </c>
      <c r="T2311" s="65" t="n">
        <f aca="false">ROUND($R2311*SUMIFS(Parametros!$E$28:$E$43,Parametros!$B$28:$B$43,$J2311,Parametros!$C$28:$C$43,$C2311,Parametros!$D$28:$D$43,$D2311),2)</f>
        <v>510.86</v>
      </c>
      <c r="U2311" s="65" t="n">
        <f aca="false">$R2311-$S2311-$T2311</f>
        <v>4224.05</v>
      </c>
      <c r="V2311" s="66" t="n">
        <f aca="false">IFERROR($U2311/$R2311,0)</f>
        <v>0.429966388915467</v>
      </c>
      <c r="W2311" s="67" t="str">
        <f aca="false">IF(AND($V2311&gt;=Parametros!$C$8,$R2311&gt;=Parametros!$C$12),"Alta rentabilidad",IF(OR($V2311&lt;Parametros!$C$11,$R2311&lt;Parametros!$C$13),"Revisar","Estandar"))</f>
        <v>Alta rentabilidad</v>
      </c>
      <c r="X2311" s="67" t="str">
        <f aca="false">IF(AND($J2311="E-commerce",IFERROR($T2311/$R2311,0)&gt;Parametros!$C$14),"Alerta","OK")</f>
        <v>Alerta</v>
      </c>
      <c r="Y2311" s="61" t="str">
        <f aca="false">IF($R2311&gt;=Parametros!$C$12,"Alto",IF($R2311&lt;Parametros!$C$13,"Bajo","Medio"))</f>
        <v>Alto</v>
      </c>
      <c r="Z2311" s="61" t="n">
        <v>2263</v>
      </c>
      <c r="AA2311" s="61" t="str">
        <f aca="false">IF(MATCH($A2311,Datos_Origen!$A$2:$A$2459,0)=$Z2311,"OK","REVISAR")</f>
        <v>OK</v>
      </c>
      <c r="AB2311" s="62" t="n">
        <f aca="false">INDEX(Datos_Origen!$B$2:$B$2459,$Z2311)</f>
        <v>46016</v>
      </c>
      <c r="AC2311" s="61" t="n">
        <f aca="false">INDEX(Datos_Origen!$H$2:$H$2459,$Z2311)</f>
        <v>103</v>
      </c>
      <c r="AD2311" s="61" t="str">
        <f aca="false">INDEX(Datos_Origen!$D$2:$D$2459,$Z2311)&amp;""</f>
        <v>Buenos Aires</v>
      </c>
    </row>
    <row r="2312" customFormat="false" ht="15" hidden="false" customHeight="false" outlineLevel="0" collapsed="false">
      <c r="A2312" s="61" t="n">
        <f aca="false">INDEX(Datos_Origen!$A$2:$A$2459,$Z2312)</f>
        <v>2311</v>
      </c>
      <c r="B2312" s="62" t="n">
        <f aca="false">IF(ISNUMBER($AB2312),$AB2312,IF(MID($AB2312,5,1)="-",DATE(VALUE(LEFT($AB2312,4)),VALUE(MID($AB2312,6,2)),VALUE(RIGHT($AB2312,2))),DATE(VALUE(RIGHT($AB2312,4)),VALUE(MID($AB2312,4,2)),VALUE(LEFT($AB2312,2)))))</f>
        <v>45996</v>
      </c>
      <c r="C2312" s="61" t="n">
        <f aca="false">YEAR($B2312)</f>
        <v>2025</v>
      </c>
      <c r="D2312" s="61" t="str">
        <f aca="false">"Q"&amp;ROUNDUP(MONTH($B2312)/3,0)</f>
        <v>Q4</v>
      </c>
      <c r="E2312" s="61" t="n">
        <f aca="false">MONTH($B2312)</f>
        <v>12</v>
      </c>
      <c r="F2312" s="61" t="str">
        <f aca="false">INDEX(Parametros!$I$5:$I$16,$E2312)</f>
        <v>Dic</v>
      </c>
      <c r="G2312" s="61" t="str">
        <f aca="false">TEXT($C2312,"0000")&amp;"-"&amp;TEXT($E2312,"00")</f>
        <v>2025-12</v>
      </c>
      <c r="H2312" s="61" t="str">
        <f aca="false">INDEX(Parametros!$C$71:$C$91,MATCH(TRIM(INDEX(Datos_Origen!$C$2:$C$2459,$Z2312)),Parametros!$B$71:$B$91,0))</f>
        <v>AMBA</v>
      </c>
      <c r="I2312" s="61" t="str">
        <f aca="false">IF(TRIM($AD2312)="",INDEX(Parametros!$I$20:$I$24,MATCH($H2312,Parametros!$H$20:$H$24,0)),TRIM($AD2312))</f>
        <v>Buenos Aires</v>
      </c>
      <c r="J2312" s="61" t="str">
        <f aca="false">INDEX(Parametros!$C$95:$C$106,MATCH(TRIM(INDEX(Datos_Origen!$E$2:$E$2459,$Z2312)),Parametros!$B$95:$B$106,0))</f>
        <v>Tienda fisica</v>
      </c>
      <c r="K2312" s="61" t="str">
        <f aca="false">INDEX(Parametros!$C$48:$C$67,MATCH(TRIM(INDEX(Datos_Origen!$F$2:$F$2459,$Z2312)),Parametros!$B$48:$B$67,0))</f>
        <v>Accesorios</v>
      </c>
      <c r="L2312" s="61" t="str">
        <f aca="false">$K2312&amp;" "&amp;$C2312</f>
        <v>Accesorios 2025</v>
      </c>
      <c r="M2312" s="61" t="str">
        <f aca="false">TRIM(INDEX(Datos_Origen!$G$2:$G$2459,$Z2312))</f>
        <v>Webcam Full HD</v>
      </c>
      <c r="N2312" s="61" t="str">
        <f aca="false">$M2312&amp;" "&amp;$C2312</f>
        <v>Webcam Full HD 2025</v>
      </c>
      <c r="O2312" s="63" t="n">
        <f aca="false">IF(ISTEXT($AC2312),VALUE($AC2312),$AC2312)</f>
        <v>132</v>
      </c>
      <c r="P2312" s="64" t="n">
        <f aca="false">INDEX(Datos_Origen!$I$2:$I$2459,$Z2312)</f>
        <v>65.26</v>
      </c>
      <c r="Q2312" s="64" t="n">
        <f aca="false">INDEX(Datos_Origen!$J$2:$J$2459,$Z2312)</f>
        <v>36.49</v>
      </c>
      <c r="R2312" s="65" t="n">
        <f aca="false">ROUND($O2312*$P2312,2)</f>
        <v>8614.32</v>
      </c>
      <c r="S2312" s="65" t="n">
        <f aca="false">ROUND($O2312*$Q2312,2)</f>
        <v>4816.68</v>
      </c>
      <c r="T2312" s="65" t="n">
        <f aca="false">ROUND($R2312*SUMIFS(Parametros!$E$28:$E$43,Parametros!$B$28:$B$43,$J2312,Parametros!$C$28:$C$43,$C2312,Parametros!$D$28:$D$43,$D2312),2)</f>
        <v>111.99</v>
      </c>
      <c r="U2312" s="65" t="n">
        <f aca="false">$R2312-$S2312-$T2312</f>
        <v>3685.65</v>
      </c>
      <c r="V2312" s="66" t="n">
        <f aca="false">IFERROR($U2312/$R2312,0)</f>
        <v>0.42785153093918</v>
      </c>
      <c r="W2312" s="67" t="str">
        <f aca="false">IF(AND($V2312&gt;=Parametros!$C$8,$R2312&gt;=Parametros!$C$12),"Alta rentabilidad",IF(OR($V2312&lt;Parametros!$C$11,$R2312&lt;Parametros!$C$13),"Revisar","Estandar"))</f>
        <v>Alta rentabilidad</v>
      </c>
      <c r="X2312" s="67" t="str">
        <f aca="false">IF(AND($J2312="E-commerce",IFERROR($T2312/$R2312,0)&gt;Parametros!$C$14),"Alerta","OK")</f>
        <v>OK</v>
      </c>
      <c r="Y2312" s="61" t="str">
        <f aca="false">IF($R2312&gt;=Parametros!$C$12,"Alto",IF($R2312&lt;Parametros!$C$13,"Bajo","Medio"))</f>
        <v>Alto</v>
      </c>
      <c r="Z2312" s="61" t="n">
        <v>1462</v>
      </c>
      <c r="AA2312" s="61" t="str">
        <f aca="false">IF(MATCH($A2312,Datos_Origen!$A$2:$A$2459,0)=$Z2312,"OK","REVISAR")</f>
        <v>OK</v>
      </c>
      <c r="AB2312" s="61" t="str">
        <f aca="false">INDEX(Datos_Origen!$B$2:$B$2459,$Z2312)</f>
        <v>2025-12-05</v>
      </c>
      <c r="AC2312" s="61" t="n">
        <f aca="false">INDEX(Datos_Origen!$H$2:$H$2459,$Z2312)</f>
        <v>132</v>
      </c>
      <c r="AD2312" s="61" t="str">
        <f aca="false">INDEX(Datos_Origen!$D$2:$D$2459,$Z2312)&amp;""</f>
        <v>Buenos Aires</v>
      </c>
    </row>
    <row r="2313" customFormat="false" ht="15" hidden="false" customHeight="false" outlineLevel="0" collapsed="false">
      <c r="A2313" s="61" t="n">
        <f aca="false">INDEX(Datos_Origen!$A$2:$A$2459,$Z2313)</f>
        <v>2312</v>
      </c>
      <c r="B2313" s="62" t="n">
        <f aca="false">IF(ISNUMBER($AB2313),$AB2313,IF(MID($AB2313,5,1)="-",DATE(VALUE(LEFT($AB2313,4)),VALUE(MID($AB2313,6,2)),VALUE(RIGHT($AB2313,2))),DATE(VALUE(RIGHT($AB2313,4)),VALUE(MID($AB2313,4,2)),VALUE(LEFT($AB2313,2)))))</f>
        <v>46003</v>
      </c>
      <c r="C2313" s="61" t="n">
        <f aca="false">YEAR($B2313)</f>
        <v>2025</v>
      </c>
      <c r="D2313" s="61" t="str">
        <f aca="false">"Q"&amp;ROUNDUP(MONTH($B2313)/3,0)</f>
        <v>Q4</v>
      </c>
      <c r="E2313" s="61" t="n">
        <f aca="false">MONTH($B2313)</f>
        <v>12</v>
      </c>
      <c r="F2313" s="61" t="str">
        <f aca="false">INDEX(Parametros!$I$5:$I$16,$E2313)</f>
        <v>Dic</v>
      </c>
      <c r="G2313" s="61" t="str">
        <f aca="false">TEXT($C2313,"0000")&amp;"-"&amp;TEXT($E2313,"00")</f>
        <v>2025-12</v>
      </c>
      <c r="H2313" s="61" t="str">
        <f aca="false">INDEX(Parametros!$C$71:$C$91,MATCH(TRIM(INDEX(Datos_Origen!$C$2:$C$2459,$Z2313)),Parametros!$B$71:$B$91,0))</f>
        <v>AMBA</v>
      </c>
      <c r="I2313" s="61" t="str">
        <f aca="false">IF(TRIM($AD2313)="",INDEX(Parametros!$I$20:$I$24,MATCH($H2313,Parametros!$H$20:$H$24,0)),TRIM($AD2313))</f>
        <v>Buenos Aires</v>
      </c>
      <c r="J2313" s="61" t="str">
        <f aca="false">INDEX(Parametros!$C$95:$C$106,MATCH(TRIM(INDEX(Datos_Origen!$E$2:$E$2459,$Z2313)),Parametros!$B$95:$B$106,0))</f>
        <v>E-commerce</v>
      </c>
      <c r="K2313" s="61" t="str">
        <f aca="false">INDEX(Parametros!$C$48:$C$67,MATCH(TRIM(INDEX(Datos_Origen!$F$2:$F$2459,$Z2313)),Parametros!$B$48:$B$67,0))</f>
        <v>Accesorios</v>
      </c>
      <c r="L2313" s="61" t="str">
        <f aca="false">$K2313&amp;" "&amp;$C2313</f>
        <v>Accesorios 2025</v>
      </c>
      <c r="M2313" s="61" t="str">
        <f aca="false">TRIM(INDEX(Datos_Origen!$G$2:$G$2459,$Z2313))</f>
        <v>Webcam Full HD</v>
      </c>
      <c r="N2313" s="61" t="str">
        <f aca="false">$M2313&amp;" "&amp;$C2313</f>
        <v>Webcam Full HD 2025</v>
      </c>
      <c r="O2313" s="63" t="n">
        <f aca="false">IF(ISTEXT($AC2313),VALUE($AC2313),$AC2313)</f>
        <v>83</v>
      </c>
      <c r="P2313" s="64" t="n">
        <f aca="false">INDEX(Datos_Origen!$I$2:$I$2459,$Z2313)</f>
        <v>65.26</v>
      </c>
      <c r="Q2313" s="64" t="n">
        <f aca="false">INDEX(Datos_Origen!$J$2:$J$2459,$Z2313)</f>
        <v>36.49</v>
      </c>
      <c r="R2313" s="65" t="n">
        <f aca="false">ROUND($O2313*$P2313,2)</f>
        <v>5416.58</v>
      </c>
      <c r="S2313" s="65" t="n">
        <f aca="false">ROUND($O2313*$Q2313,2)</f>
        <v>3028.67</v>
      </c>
      <c r="T2313" s="65" t="n">
        <f aca="false">ROUND($R2313*SUMIFS(Parametros!$E$28:$E$43,Parametros!$B$28:$B$43,$J2313,Parametros!$C$28:$C$43,$C2313,Parametros!$D$28:$D$43,$D2313),2)</f>
        <v>281.66</v>
      </c>
      <c r="U2313" s="65" t="n">
        <f aca="false">$R2313-$S2313-$T2313</f>
        <v>2106.25</v>
      </c>
      <c r="V2313" s="66" t="n">
        <f aca="false">IFERROR($U2313/$R2313,0)</f>
        <v>0.388852375484162</v>
      </c>
      <c r="W2313" s="67" t="str">
        <f aca="false">IF(AND($V2313&gt;=Parametros!$C$8,$R2313&gt;=Parametros!$C$12),"Alta rentabilidad",IF(OR($V2313&lt;Parametros!$C$11,$R2313&lt;Parametros!$C$13),"Revisar","Estandar"))</f>
        <v>Alta rentabilidad</v>
      </c>
      <c r="X2313" s="67" t="str">
        <f aca="false">IF(AND($J2313="E-commerce",IFERROR($T2313/$R2313,0)&gt;Parametros!$C$14),"Alerta","OK")</f>
        <v>Alerta</v>
      </c>
      <c r="Y2313" s="61" t="str">
        <f aca="false">IF($R2313&gt;=Parametros!$C$12,"Alto",IF($R2313&lt;Parametros!$C$13,"Bajo","Medio"))</f>
        <v>Alto</v>
      </c>
      <c r="Z2313" s="61" t="n">
        <v>1786</v>
      </c>
      <c r="AA2313" s="61" t="str">
        <f aca="false">IF(MATCH($A2313,Datos_Origen!$A$2:$A$2459,0)=$Z2313,"OK","REVISAR")</f>
        <v>OK</v>
      </c>
      <c r="AB2313" s="62" t="n">
        <f aca="false">INDEX(Datos_Origen!$B$2:$B$2459,$Z2313)</f>
        <v>46003</v>
      </c>
      <c r="AC2313" s="61" t="n">
        <f aca="false">INDEX(Datos_Origen!$H$2:$H$2459,$Z2313)</f>
        <v>83</v>
      </c>
      <c r="AD2313" s="61" t="str">
        <f aca="false">INDEX(Datos_Origen!$D$2:$D$2459,$Z2313)&amp;""</f>
        <v>Buenos Aires</v>
      </c>
    </row>
    <row r="2314" customFormat="false" ht="15" hidden="false" customHeight="false" outlineLevel="0" collapsed="false">
      <c r="A2314" s="61" t="n">
        <f aca="false">INDEX(Datos_Origen!$A$2:$A$2459,$Z2314)</f>
        <v>2313</v>
      </c>
      <c r="B2314" s="62" t="n">
        <f aca="false">IF(ISNUMBER($AB2314),$AB2314,IF(MID($AB2314,5,1)="-",DATE(VALUE(LEFT($AB2314,4)),VALUE(MID($AB2314,6,2)),VALUE(RIGHT($AB2314,2))),DATE(VALUE(RIGHT($AB2314,4)),VALUE(MID($AB2314,4,2)),VALUE(LEFT($AB2314,2)))))</f>
        <v>46010</v>
      </c>
      <c r="C2314" s="61" t="n">
        <f aca="false">YEAR($B2314)</f>
        <v>2025</v>
      </c>
      <c r="D2314" s="61" t="str">
        <f aca="false">"Q"&amp;ROUNDUP(MONTH($B2314)/3,0)</f>
        <v>Q4</v>
      </c>
      <c r="E2314" s="61" t="n">
        <f aca="false">MONTH($B2314)</f>
        <v>12</v>
      </c>
      <c r="F2314" s="61" t="str">
        <f aca="false">INDEX(Parametros!$I$5:$I$16,$E2314)</f>
        <v>Dic</v>
      </c>
      <c r="G2314" s="61" t="str">
        <f aca="false">TEXT($C2314,"0000")&amp;"-"&amp;TEXT($E2314,"00")</f>
        <v>2025-12</v>
      </c>
      <c r="H2314" s="61" t="str">
        <f aca="false">INDEX(Parametros!$C$71:$C$91,MATCH(TRIM(INDEX(Datos_Origen!$C$2:$C$2459,$Z2314)),Parametros!$B$71:$B$91,0))</f>
        <v>AMBA</v>
      </c>
      <c r="I2314" s="61" t="str">
        <f aca="false">IF(TRIM($AD2314)="",INDEX(Parametros!$I$20:$I$24,MATCH($H2314,Parametros!$H$20:$H$24,0)),TRIM($AD2314))</f>
        <v>Buenos Aires</v>
      </c>
      <c r="J2314" s="61" t="str">
        <f aca="false">INDEX(Parametros!$C$95:$C$106,MATCH(TRIM(INDEX(Datos_Origen!$E$2:$E$2459,$Z2314)),Parametros!$B$95:$B$106,0))</f>
        <v>Tienda fisica</v>
      </c>
      <c r="K2314" s="61" t="str">
        <f aca="false">INDEX(Parametros!$C$48:$C$67,MATCH(TRIM(INDEX(Datos_Origen!$F$2:$F$2459,$Z2314)),Parametros!$B$48:$B$67,0))</f>
        <v>Audio</v>
      </c>
      <c r="L2314" s="61" t="str">
        <f aca="false">$K2314&amp;" "&amp;$C2314</f>
        <v>Audio 2025</v>
      </c>
      <c r="M2314" s="61" t="str">
        <f aca="false">TRIM(INDEX(Datos_Origen!$G$2:$G$2459,$Z2314))</f>
        <v>Auriculares BT Pro</v>
      </c>
      <c r="N2314" s="61" t="str">
        <f aca="false">$M2314&amp;" "&amp;$C2314</f>
        <v>Auriculares BT Pro 2025</v>
      </c>
      <c r="O2314" s="63" t="n">
        <f aca="false">IF(ISTEXT($AC2314),VALUE($AC2314),$AC2314)</f>
        <v>56</v>
      </c>
      <c r="P2314" s="64" t="n">
        <f aca="false">INDEX(Datos_Origen!$I$2:$I$2459,$Z2314)</f>
        <v>120.47</v>
      </c>
      <c r="Q2314" s="64" t="n">
        <f aca="false">INDEX(Datos_Origen!$J$2:$J$2459,$Z2314)</f>
        <v>65.51</v>
      </c>
      <c r="R2314" s="65" t="n">
        <f aca="false">ROUND($O2314*$P2314,2)</f>
        <v>6746.32</v>
      </c>
      <c r="S2314" s="65" t="n">
        <f aca="false">ROUND($O2314*$Q2314,2)</f>
        <v>3668.56</v>
      </c>
      <c r="T2314" s="65" t="n">
        <f aca="false">ROUND($R2314*SUMIFS(Parametros!$E$28:$E$43,Parametros!$B$28:$B$43,$J2314,Parametros!$C$28:$C$43,$C2314,Parametros!$D$28:$D$43,$D2314),2)</f>
        <v>87.7</v>
      </c>
      <c r="U2314" s="65" t="n">
        <f aca="false">$R2314-$S2314-$T2314</f>
        <v>2990.06</v>
      </c>
      <c r="V2314" s="66" t="n">
        <f aca="false">IFERROR($U2314/$R2314,0)</f>
        <v>0.4432134852779</v>
      </c>
      <c r="W2314" s="67" t="str">
        <f aca="false">IF(AND($V2314&gt;=Parametros!$C$8,$R2314&gt;=Parametros!$C$12),"Alta rentabilidad",IF(OR($V2314&lt;Parametros!$C$11,$R2314&lt;Parametros!$C$13),"Revisar","Estandar"))</f>
        <v>Alta rentabilidad</v>
      </c>
      <c r="X2314" s="67" t="str">
        <f aca="false">IF(AND($J2314="E-commerce",IFERROR($T2314/$R2314,0)&gt;Parametros!$C$14),"Alerta","OK")</f>
        <v>OK</v>
      </c>
      <c r="Y2314" s="61" t="str">
        <f aca="false">IF($R2314&gt;=Parametros!$C$12,"Alto",IF($R2314&lt;Parametros!$C$13,"Bajo","Medio"))</f>
        <v>Alto</v>
      </c>
      <c r="Z2314" s="61" t="n">
        <v>1624</v>
      </c>
      <c r="AA2314" s="61" t="str">
        <f aca="false">IF(MATCH($A2314,Datos_Origen!$A$2:$A$2459,0)=$Z2314,"OK","REVISAR")</f>
        <v>OK</v>
      </c>
      <c r="AB2314" s="62" t="n">
        <f aca="false">INDEX(Datos_Origen!$B$2:$B$2459,$Z2314)</f>
        <v>46010</v>
      </c>
      <c r="AC2314" s="61" t="n">
        <f aca="false">INDEX(Datos_Origen!$H$2:$H$2459,$Z2314)</f>
        <v>56</v>
      </c>
      <c r="AD2314" s="61" t="str">
        <f aca="false">INDEX(Datos_Origen!$D$2:$D$2459,$Z2314)&amp;""</f>
        <v/>
      </c>
    </row>
    <row r="2315" customFormat="false" ht="15" hidden="false" customHeight="false" outlineLevel="0" collapsed="false">
      <c r="A2315" s="61" t="n">
        <f aca="false">INDEX(Datos_Origen!$A$2:$A$2459,$Z2315)</f>
        <v>2314</v>
      </c>
      <c r="B2315" s="62" t="n">
        <f aca="false">IF(ISNUMBER($AB2315),$AB2315,IF(MID($AB2315,5,1)="-",DATE(VALUE(LEFT($AB2315,4)),VALUE(MID($AB2315,6,2)),VALUE(RIGHT($AB2315,2))),DATE(VALUE(RIGHT($AB2315,4)),VALUE(MID($AB2315,4,2)),VALUE(LEFT($AB2315,2)))))</f>
        <v>46017</v>
      </c>
      <c r="C2315" s="61" t="n">
        <f aca="false">YEAR($B2315)</f>
        <v>2025</v>
      </c>
      <c r="D2315" s="61" t="str">
        <f aca="false">"Q"&amp;ROUNDUP(MONTH($B2315)/3,0)</f>
        <v>Q4</v>
      </c>
      <c r="E2315" s="61" t="n">
        <f aca="false">MONTH($B2315)</f>
        <v>12</v>
      </c>
      <c r="F2315" s="61" t="str">
        <f aca="false">INDEX(Parametros!$I$5:$I$16,$E2315)</f>
        <v>Dic</v>
      </c>
      <c r="G2315" s="61" t="str">
        <f aca="false">TEXT($C2315,"0000")&amp;"-"&amp;TEXT($E2315,"00")</f>
        <v>2025-12</v>
      </c>
      <c r="H2315" s="61" t="str">
        <f aca="false">INDEX(Parametros!$C$71:$C$91,MATCH(TRIM(INDEX(Datos_Origen!$C$2:$C$2459,$Z2315)),Parametros!$B$71:$B$91,0))</f>
        <v>AMBA</v>
      </c>
      <c r="I2315" s="61" t="str">
        <f aca="false">IF(TRIM($AD2315)="",INDEX(Parametros!$I$20:$I$24,MATCH($H2315,Parametros!$H$20:$H$24,0)),TRIM($AD2315))</f>
        <v>Buenos Aires</v>
      </c>
      <c r="J2315" s="61" t="str">
        <f aca="false">INDEX(Parametros!$C$95:$C$106,MATCH(TRIM(INDEX(Datos_Origen!$E$2:$E$2459,$Z2315)),Parametros!$B$95:$B$106,0))</f>
        <v>E-commerce</v>
      </c>
      <c r="K2315" s="61" t="str">
        <f aca="false">INDEX(Parametros!$C$48:$C$67,MATCH(TRIM(INDEX(Datos_Origen!$F$2:$F$2459,$Z2315)),Parametros!$B$48:$B$67,0))</f>
        <v>Audio</v>
      </c>
      <c r="L2315" s="61" t="str">
        <f aca="false">$K2315&amp;" "&amp;$C2315</f>
        <v>Audio 2025</v>
      </c>
      <c r="M2315" s="61" t="str">
        <f aca="false">TRIM(INDEX(Datos_Origen!$G$2:$G$2459,$Z2315))</f>
        <v>Auriculares BT Pro</v>
      </c>
      <c r="N2315" s="61" t="str">
        <f aca="false">$M2315&amp;" "&amp;$C2315</f>
        <v>Auriculares BT Pro 2025</v>
      </c>
      <c r="O2315" s="63" t="n">
        <f aca="false">IF(ISTEXT($AC2315),VALUE($AC2315),$AC2315)</f>
        <v>47</v>
      </c>
      <c r="P2315" s="64" t="n">
        <f aca="false">INDEX(Datos_Origen!$I$2:$I$2459,$Z2315)</f>
        <v>120.47</v>
      </c>
      <c r="Q2315" s="64" t="n">
        <f aca="false">INDEX(Datos_Origen!$J$2:$J$2459,$Z2315)</f>
        <v>65.51</v>
      </c>
      <c r="R2315" s="65" t="n">
        <f aca="false">ROUND($O2315*$P2315,2)</f>
        <v>5662.09</v>
      </c>
      <c r="S2315" s="65" t="n">
        <f aca="false">ROUND($O2315*$Q2315,2)</f>
        <v>3078.97</v>
      </c>
      <c r="T2315" s="65" t="n">
        <f aca="false">ROUND($R2315*SUMIFS(Parametros!$E$28:$E$43,Parametros!$B$28:$B$43,$J2315,Parametros!$C$28:$C$43,$C2315,Parametros!$D$28:$D$43,$D2315),2)</f>
        <v>294.43</v>
      </c>
      <c r="U2315" s="65" t="n">
        <f aca="false">$R2315-$S2315-$T2315</f>
        <v>2288.69</v>
      </c>
      <c r="V2315" s="66" t="n">
        <f aca="false">IFERROR($U2315/$R2315,0)</f>
        <v>0.404212931973883</v>
      </c>
      <c r="W2315" s="67" t="str">
        <f aca="false">IF(AND($V2315&gt;=Parametros!$C$8,$R2315&gt;=Parametros!$C$12),"Alta rentabilidad",IF(OR($V2315&lt;Parametros!$C$11,$R2315&lt;Parametros!$C$13),"Revisar","Estandar"))</f>
        <v>Alta rentabilidad</v>
      </c>
      <c r="X2315" s="67" t="str">
        <f aca="false">IF(AND($J2315="E-commerce",IFERROR($T2315/$R2315,0)&gt;Parametros!$C$14),"Alerta","OK")</f>
        <v>Alerta</v>
      </c>
      <c r="Y2315" s="61" t="str">
        <f aca="false">IF($R2315&gt;=Parametros!$C$12,"Alto",IF($R2315&lt;Parametros!$C$13,"Bajo","Medio"))</f>
        <v>Alto</v>
      </c>
      <c r="Z2315" s="61" t="n">
        <v>2092</v>
      </c>
      <c r="AA2315" s="61" t="str">
        <f aca="false">IF(MATCH($A2315,Datos_Origen!$A$2:$A$2459,0)=$Z2315,"OK","REVISAR")</f>
        <v>OK</v>
      </c>
      <c r="AB2315" s="62" t="n">
        <f aca="false">INDEX(Datos_Origen!$B$2:$B$2459,$Z2315)</f>
        <v>46017</v>
      </c>
      <c r="AC2315" s="61" t="n">
        <f aca="false">INDEX(Datos_Origen!$H$2:$H$2459,$Z2315)</f>
        <v>47</v>
      </c>
      <c r="AD2315" s="61" t="str">
        <f aca="false">INDEX(Datos_Origen!$D$2:$D$2459,$Z2315)&amp;""</f>
        <v>Buenos Aires</v>
      </c>
    </row>
    <row r="2316" customFormat="false" ht="15" hidden="false" customHeight="false" outlineLevel="0" collapsed="false">
      <c r="A2316" s="61" t="n">
        <f aca="false">INDEX(Datos_Origen!$A$2:$A$2459,$Z2316)</f>
        <v>2315</v>
      </c>
      <c r="B2316" s="62" t="n">
        <f aca="false">IF(ISNUMBER($AB2316),$AB2316,IF(MID($AB2316,5,1)="-",DATE(VALUE(LEFT($AB2316,4)),VALUE(MID($AB2316,6,2)),VALUE(RIGHT($AB2316,2))),DATE(VALUE(RIGHT($AB2316,4)),VALUE(MID($AB2316,4,2)),VALUE(LEFT($AB2316,2)))))</f>
        <v>45997</v>
      </c>
      <c r="C2316" s="61" t="n">
        <f aca="false">YEAR($B2316)</f>
        <v>2025</v>
      </c>
      <c r="D2316" s="61" t="str">
        <f aca="false">"Q"&amp;ROUNDUP(MONTH($B2316)/3,0)</f>
        <v>Q4</v>
      </c>
      <c r="E2316" s="61" t="n">
        <f aca="false">MONTH($B2316)</f>
        <v>12</v>
      </c>
      <c r="F2316" s="61" t="str">
        <f aca="false">INDEX(Parametros!$I$5:$I$16,$E2316)</f>
        <v>Dic</v>
      </c>
      <c r="G2316" s="61" t="str">
        <f aca="false">TEXT($C2316,"0000")&amp;"-"&amp;TEXT($E2316,"00")</f>
        <v>2025-12</v>
      </c>
      <c r="H2316" s="61" t="str">
        <f aca="false">INDEX(Parametros!$C$71:$C$91,MATCH(TRIM(INDEX(Datos_Origen!$C$2:$C$2459,$Z2316)),Parametros!$B$71:$B$91,0))</f>
        <v>AMBA</v>
      </c>
      <c r="I2316" s="61" t="str">
        <f aca="false">IF(TRIM($AD2316)="",INDEX(Parametros!$I$20:$I$24,MATCH($H2316,Parametros!$H$20:$H$24,0)),TRIM($AD2316))</f>
        <v>Buenos Aires</v>
      </c>
      <c r="J2316" s="61" t="str">
        <f aca="false">INDEX(Parametros!$C$95:$C$106,MATCH(TRIM(INDEX(Datos_Origen!$E$2:$E$2459,$Z2316)),Parametros!$B$95:$B$106,0))</f>
        <v>Tienda fisica</v>
      </c>
      <c r="K2316" s="61" t="str">
        <f aca="false">INDEX(Parametros!$C$48:$C$67,MATCH(TRIM(INDEX(Datos_Origen!$F$2:$F$2459,$Z2316)),Parametros!$B$48:$B$67,0))</f>
        <v>Audio</v>
      </c>
      <c r="L2316" s="61" t="str">
        <f aca="false">$K2316&amp;" "&amp;$C2316</f>
        <v>Audio 2025</v>
      </c>
      <c r="M2316" s="61" t="str">
        <f aca="false">TRIM(INDEX(Datos_Origen!$G$2:$G$2459,$Z2316))</f>
        <v>Parlante Bluetooth</v>
      </c>
      <c r="N2316" s="61" t="str">
        <f aca="false">$M2316&amp;" "&amp;$C2316</f>
        <v>Parlante Bluetooth 2025</v>
      </c>
      <c r="O2316" s="63" t="n">
        <f aca="false">IF(ISTEXT($AC2316),VALUE($AC2316),$AC2316)</f>
        <v>68</v>
      </c>
      <c r="P2316" s="64" t="n">
        <f aca="false">INDEX(Datos_Origen!$I$2:$I$2459,$Z2316)</f>
        <v>85.34</v>
      </c>
      <c r="Q2316" s="64" t="n">
        <f aca="false">INDEX(Datos_Origen!$J$2:$J$2459,$Z2316)</f>
        <v>49.47</v>
      </c>
      <c r="R2316" s="65" t="n">
        <f aca="false">ROUND($O2316*$P2316,2)</f>
        <v>5803.12</v>
      </c>
      <c r="S2316" s="65" t="n">
        <f aca="false">ROUND($O2316*$Q2316,2)</f>
        <v>3363.96</v>
      </c>
      <c r="T2316" s="65" t="n">
        <f aca="false">ROUND($R2316*SUMIFS(Parametros!$E$28:$E$43,Parametros!$B$28:$B$43,$J2316,Parametros!$C$28:$C$43,$C2316,Parametros!$D$28:$D$43,$D2316),2)</f>
        <v>75.44</v>
      </c>
      <c r="U2316" s="65" t="n">
        <f aca="false">$R2316-$S2316-$T2316</f>
        <v>2363.72</v>
      </c>
      <c r="V2316" s="66" t="n">
        <f aca="false">IFERROR($U2316/$R2316,0)</f>
        <v>0.407318821599415</v>
      </c>
      <c r="W2316" s="67" t="str">
        <f aca="false">IF(AND($V2316&gt;=Parametros!$C$8,$R2316&gt;=Parametros!$C$12),"Alta rentabilidad",IF(OR($V2316&lt;Parametros!$C$11,$R2316&lt;Parametros!$C$13),"Revisar","Estandar"))</f>
        <v>Alta rentabilidad</v>
      </c>
      <c r="X2316" s="67" t="str">
        <f aca="false">IF(AND($J2316="E-commerce",IFERROR($T2316/$R2316,0)&gt;Parametros!$C$14),"Alerta","OK")</f>
        <v>OK</v>
      </c>
      <c r="Y2316" s="61" t="str">
        <f aca="false">IF($R2316&gt;=Parametros!$C$12,"Alto",IF($R2316&lt;Parametros!$C$13,"Bajo","Medio"))</f>
        <v>Alto</v>
      </c>
      <c r="Z2316" s="61" t="n">
        <v>1527</v>
      </c>
      <c r="AA2316" s="61" t="str">
        <f aca="false">IF(MATCH($A2316,Datos_Origen!$A$2:$A$2459,0)=$Z2316,"OK","REVISAR")</f>
        <v>OK</v>
      </c>
      <c r="AB2316" s="62" t="n">
        <f aca="false">INDEX(Datos_Origen!$B$2:$B$2459,$Z2316)</f>
        <v>45997</v>
      </c>
      <c r="AC2316" s="61" t="n">
        <f aca="false">INDEX(Datos_Origen!$H$2:$H$2459,$Z2316)</f>
        <v>68</v>
      </c>
      <c r="AD2316" s="61" t="str">
        <f aca="false">INDEX(Datos_Origen!$D$2:$D$2459,$Z2316)&amp;""</f>
        <v>Buenos Aires</v>
      </c>
    </row>
    <row r="2317" customFormat="false" ht="15" hidden="false" customHeight="false" outlineLevel="0" collapsed="false">
      <c r="A2317" s="61" t="n">
        <f aca="false">INDEX(Datos_Origen!$A$2:$A$2459,$Z2317)</f>
        <v>2316</v>
      </c>
      <c r="B2317" s="62" t="n">
        <f aca="false">IF(ISNUMBER($AB2317),$AB2317,IF(MID($AB2317,5,1)="-",DATE(VALUE(LEFT($AB2317,4)),VALUE(MID($AB2317,6,2)),VALUE(RIGHT($AB2317,2))),DATE(VALUE(RIGHT($AB2317,4)),VALUE(MID($AB2317,4,2)),VALUE(LEFT($AB2317,2)))))</f>
        <v>46004</v>
      </c>
      <c r="C2317" s="61" t="n">
        <f aca="false">YEAR($B2317)</f>
        <v>2025</v>
      </c>
      <c r="D2317" s="61" t="str">
        <f aca="false">"Q"&amp;ROUNDUP(MONTH($B2317)/3,0)</f>
        <v>Q4</v>
      </c>
      <c r="E2317" s="61" t="n">
        <f aca="false">MONTH($B2317)</f>
        <v>12</v>
      </c>
      <c r="F2317" s="61" t="str">
        <f aca="false">INDEX(Parametros!$I$5:$I$16,$E2317)</f>
        <v>Dic</v>
      </c>
      <c r="G2317" s="61" t="str">
        <f aca="false">TEXT($C2317,"0000")&amp;"-"&amp;TEXT($E2317,"00")</f>
        <v>2025-12</v>
      </c>
      <c r="H2317" s="61" t="str">
        <f aca="false">INDEX(Parametros!$C$71:$C$91,MATCH(TRIM(INDEX(Datos_Origen!$C$2:$C$2459,$Z2317)),Parametros!$B$71:$B$91,0))</f>
        <v>AMBA</v>
      </c>
      <c r="I2317" s="61" t="str">
        <f aca="false">IF(TRIM($AD2317)="",INDEX(Parametros!$I$20:$I$24,MATCH($H2317,Parametros!$H$20:$H$24,0)),TRIM($AD2317))</f>
        <v>Buenos Aires</v>
      </c>
      <c r="J2317" s="61" t="str">
        <f aca="false">INDEX(Parametros!$C$95:$C$106,MATCH(TRIM(INDEX(Datos_Origen!$E$2:$E$2459,$Z2317)),Parametros!$B$95:$B$106,0))</f>
        <v>E-commerce</v>
      </c>
      <c r="K2317" s="61" t="str">
        <f aca="false">INDEX(Parametros!$C$48:$C$67,MATCH(TRIM(INDEX(Datos_Origen!$F$2:$F$2459,$Z2317)),Parametros!$B$48:$B$67,0))</f>
        <v>Audio</v>
      </c>
      <c r="L2317" s="61" t="str">
        <f aca="false">$K2317&amp;" "&amp;$C2317</f>
        <v>Audio 2025</v>
      </c>
      <c r="M2317" s="61" t="str">
        <f aca="false">TRIM(INDEX(Datos_Origen!$G$2:$G$2459,$Z2317))</f>
        <v>Parlante Bluetooth</v>
      </c>
      <c r="N2317" s="61" t="str">
        <f aca="false">$M2317&amp;" "&amp;$C2317</f>
        <v>Parlante Bluetooth 2025</v>
      </c>
      <c r="O2317" s="63" t="n">
        <f aca="false">IF(ISTEXT($AC2317),VALUE($AC2317),$AC2317)</f>
        <v>50</v>
      </c>
      <c r="P2317" s="64" t="n">
        <f aca="false">INDEX(Datos_Origen!$I$2:$I$2459,$Z2317)</f>
        <v>85.34</v>
      </c>
      <c r="Q2317" s="64" t="n">
        <f aca="false">INDEX(Datos_Origen!$J$2:$J$2459,$Z2317)</f>
        <v>49.47</v>
      </c>
      <c r="R2317" s="65" t="n">
        <f aca="false">ROUND($O2317*$P2317,2)</f>
        <v>4267</v>
      </c>
      <c r="S2317" s="65" t="n">
        <f aca="false">ROUND($O2317*$Q2317,2)</f>
        <v>2473.5</v>
      </c>
      <c r="T2317" s="65" t="n">
        <f aca="false">ROUND($R2317*SUMIFS(Parametros!$E$28:$E$43,Parametros!$B$28:$B$43,$J2317,Parametros!$C$28:$C$43,$C2317,Parametros!$D$28:$D$43,$D2317),2)</f>
        <v>221.88</v>
      </c>
      <c r="U2317" s="65" t="n">
        <f aca="false">$R2317-$S2317-$T2317</f>
        <v>1571.62</v>
      </c>
      <c r="V2317" s="66" t="n">
        <f aca="false">IFERROR($U2317/$R2317,0)</f>
        <v>0.368319662526365</v>
      </c>
      <c r="W2317" s="67" t="str">
        <f aca="false">IF(AND($V2317&gt;=Parametros!$C$8,$R2317&gt;=Parametros!$C$12),"Alta rentabilidad",IF(OR($V2317&lt;Parametros!$C$11,$R2317&lt;Parametros!$C$13),"Revisar","Estandar"))</f>
        <v>Alta rentabilidad</v>
      </c>
      <c r="X2317" s="67" t="str">
        <f aca="false">IF(AND($J2317="E-commerce",IFERROR($T2317/$R2317,0)&gt;Parametros!$C$14),"Alerta","OK")</f>
        <v>Alerta</v>
      </c>
      <c r="Y2317" s="61" t="str">
        <f aca="false">IF($R2317&gt;=Parametros!$C$12,"Alto",IF($R2317&lt;Parametros!$C$13,"Bajo","Medio"))</f>
        <v>Alto</v>
      </c>
      <c r="Z2317" s="61" t="n">
        <v>2257</v>
      </c>
      <c r="AA2317" s="61" t="str">
        <f aca="false">IF(MATCH($A2317,Datos_Origen!$A$2:$A$2459,0)=$Z2317,"OK","REVISAR")</f>
        <v>OK</v>
      </c>
      <c r="AB2317" s="61" t="str">
        <f aca="false">INDEX(Datos_Origen!$B$2:$B$2459,$Z2317)</f>
        <v>13/12/2025</v>
      </c>
      <c r="AC2317" s="61" t="n">
        <f aca="false">INDEX(Datos_Origen!$H$2:$H$2459,$Z2317)</f>
        <v>50</v>
      </c>
      <c r="AD2317" s="61" t="str">
        <f aca="false">INDEX(Datos_Origen!$D$2:$D$2459,$Z2317)&amp;""</f>
        <v>Buenos Aires</v>
      </c>
    </row>
    <row r="2318" customFormat="false" ht="15" hidden="false" customHeight="false" outlineLevel="0" collapsed="false">
      <c r="A2318" s="61" t="n">
        <f aca="false">INDEX(Datos_Origen!$A$2:$A$2459,$Z2318)</f>
        <v>2317</v>
      </c>
      <c r="B2318" s="62" t="n">
        <f aca="false">IF(ISNUMBER($AB2318),$AB2318,IF(MID($AB2318,5,1)="-",DATE(VALUE(LEFT($AB2318,4)),VALUE(MID($AB2318,6,2)),VALUE(RIGHT($AB2318,2))),DATE(VALUE(RIGHT($AB2318,4)),VALUE(MID($AB2318,4,2)),VALUE(LEFT($AB2318,2)))))</f>
        <v>46011</v>
      </c>
      <c r="C2318" s="61" t="n">
        <f aca="false">YEAR($B2318)</f>
        <v>2025</v>
      </c>
      <c r="D2318" s="61" t="str">
        <f aca="false">"Q"&amp;ROUNDUP(MONTH($B2318)/3,0)</f>
        <v>Q4</v>
      </c>
      <c r="E2318" s="61" t="n">
        <f aca="false">MONTH($B2318)</f>
        <v>12</v>
      </c>
      <c r="F2318" s="61" t="str">
        <f aca="false">INDEX(Parametros!$I$5:$I$16,$E2318)</f>
        <v>Dic</v>
      </c>
      <c r="G2318" s="61" t="str">
        <f aca="false">TEXT($C2318,"0000")&amp;"-"&amp;TEXT($E2318,"00")</f>
        <v>2025-12</v>
      </c>
      <c r="H2318" s="61" t="str">
        <f aca="false">INDEX(Parametros!$C$71:$C$91,MATCH(TRIM(INDEX(Datos_Origen!$C$2:$C$2459,$Z2318)),Parametros!$B$71:$B$91,0))</f>
        <v>AMBA</v>
      </c>
      <c r="I2318" s="61" t="str">
        <f aca="false">IF(TRIM($AD2318)="",INDEX(Parametros!$I$20:$I$24,MATCH($H2318,Parametros!$H$20:$H$24,0)),TRIM($AD2318))</f>
        <v>Buenos Aires</v>
      </c>
      <c r="J2318" s="61" t="str">
        <f aca="false">INDEX(Parametros!$C$95:$C$106,MATCH(TRIM(INDEX(Datos_Origen!$E$2:$E$2459,$Z2318)),Parametros!$B$95:$B$106,0))</f>
        <v>Tienda fisica</v>
      </c>
      <c r="K2318" s="61" t="str">
        <f aca="false">INDEX(Parametros!$C$48:$C$67,MATCH(TRIM(INDEX(Datos_Origen!$F$2:$F$2459,$Z2318)),Parametros!$B$48:$B$67,0))</f>
        <v>Almacenamiento</v>
      </c>
      <c r="L2318" s="61" t="str">
        <f aca="false">$K2318&amp;" "&amp;$C2318</f>
        <v>Almacenamiento 2025</v>
      </c>
      <c r="M2318" s="61" t="str">
        <f aca="false">TRIM(INDEX(Datos_Origen!$G$2:$G$2459,$Z2318))</f>
        <v>SSD Externo 1TB</v>
      </c>
      <c r="N2318" s="61" t="str">
        <f aca="false">$M2318&amp;" "&amp;$C2318</f>
        <v>SSD Externo 1TB 2025</v>
      </c>
      <c r="O2318" s="63" t="n">
        <f aca="false">IF(ISTEXT($AC2318),VALUE($AC2318),$AC2318)</f>
        <v>71</v>
      </c>
      <c r="P2318" s="64" t="n">
        <f aca="false">INDEX(Datos_Origen!$I$2:$I$2459,$Z2318)</f>
        <v>130.51</v>
      </c>
      <c r="Q2318" s="64" t="n">
        <f aca="false">INDEX(Datos_Origen!$J$2:$J$2459,$Z2318)</f>
        <v>78.33</v>
      </c>
      <c r="R2318" s="65" t="n">
        <f aca="false">ROUND($O2318*$P2318,2)</f>
        <v>9266.21</v>
      </c>
      <c r="S2318" s="65" t="n">
        <f aca="false">ROUND($O2318*$Q2318,2)</f>
        <v>5561.43</v>
      </c>
      <c r="T2318" s="65" t="n">
        <f aca="false">ROUND($R2318*SUMIFS(Parametros!$E$28:$E$43,Parametros!$B$28:$B$43,$J2318,Parametros!$C$28:$C$43,$C2318,Parametros!$D$28:$D$43,$D2318),2)</f>
        <v>120.46</v>
      </c>
      <c r="U2318" s="65" t="n">
        <f aca="false">$R2318-$S2318-$T2318</f>
        <v>3584.32</v>
      </c>
      <c r="V2318" s="66" t="n">
        <f aca="false">IFERROR($U2318/$R2318,0)</f>
        <v>0.386816184826374</v>
      </c>
      <c r="W2318" s="67" t="str">
        <f aca="false">IF(AND($V2318&gt;=Parametros!$C$8,$R2318&gt;=Parametros!$C$12),"Alta rentabilidad",IF(OR($V2318&lt;Parametros!$C$11,$R2318&lt;Parametros!$C$13),"Revisar","Estandar"))</f>
        <v>Alta rentabilidad</v>
      </c>
      <c r="X2318" s="67" t="str">
        <f aca="false">IF(AND($J2318="E-commerce",IFERROR($T2318/$R2318,0)&gt;Parametros!$C$14),"Alerta","OK")</f>
        <v>OK</v>
      </c>
      <c r="Y2318" s="61" t="str">
        <f aca="false">IF($R2318&gt;=Parametros!$C$12,"Alto",IF($R2318&lt;Parametros!$C$13,"Bajo","Medio"))</f>
        <v>Alto</v>
      </c>
      <c r="Z2318" s="61" t="n">
        <v>489</v>
      </c>
      <c r="AA2318" s="61" t="str">
        <f aca="false">IF(MATCH($A2318,Datos_Origen!$A$2:$A$2459,0)=$Z2318,"OK","REVISAR")</f>
        <v>OK</v>
      </c>
      <c r="AB2318" s="62" t="n">
        <f aca="false">INDEX(Datos_Origen!$B$2:$B$2459,$Z2318)</f>
        <v>46011</v>
      </c>
      <c r="AC2318" s="61" t="n">
        <f aca="false">INDEX(Datos_Origen!$H$2:$H$2459,$Z2318)</f>
        <v>71</v>
      </c>
      <c r="AD2318" s="61" t="str">
        <f aca="false">INDEX(Datos_Origen!$D$2:$D$2459,$Z2318)&amp;""</f>
        <v>Buenos Aires</v>
      </c>
    </row>
    <row r="2319" customFormat="false" ht="15" hidden="false" customHeight="false" outlineLevel="0" collapsed="false">
      <c r="A2319" s="61" t="n">
        <f aca="false">INDEX(Datos_Origen!$A$2:$A$2459,$Z2319)</f>
        <v>2318</v>
      </c>
      <c r="B2319" s="62" t="n">
        <f aca="false">IF(ISNUMBER($AB2319),$AB2319,IF(MID($AB2319,5,1)="-",DATE(VALUE(LEFT($AB2319,4)),VALUE(MID($AB2319,6,2)),VALUE(RIGHT($AB2319,2))),DATE(VALUE(RIGHT($AB2319,4)),VALUE(MID($AB2319,4,2)),VALUE(LEFT($AB2319,2)))))</f>
        <v>46018</v>
      </c>
      <c r="C2319" s="61" t="n">
        <f aca="false">YEAR($B2319)</f>
        <v>2025</v>
      </c>
      <c r="D2319" s="61" t="str">
        <f aca="false">"Q"&amp;ROUNDUP(MONTH($B2319)/3,0)</f>
        <v>Q4</v>
      </c>
      <c r="E2319" s="61" t="n">
        <f aca="false">MONTH($B2319)</f>
        <v>12</v>
      </c>
      <c r="F2319" s="61" t="str">
        <f aca="false">INDEX(Parametros!$I$5:$I$16,$E2319)</f>
        <v>Dic</v>
      </c>
      <c r="G2319" s="61" t="str">
        <f aca="false">TEXT($C2319,"0000")&amp;"-"&amp;TEXT($E2319,"00")</f>
        <v>2025-12</v>
      </c>
      <c r="H2319" s="61" t="str">
        <f aca="false">INDEX(Parametros!$C$71:$C$91,MATCH(TRIM(INDEX(Datos_Origen!$C$2:$C$2459,$Z2319)),Parametros!$B$71:$B$91,0))</f>
        <v>AMBA</v>
      </c>
      <c r="I2319" s="61" t="str">
        <f aca="false">IF(TRIM($AD2319)="",INDEX(Parametros!$I$20:$I$24,MATCH($H2319,Parametros!$H$20:$H$24,0)),TRIM($AD2319))</f>
        <v>Buenos Aires</v>
      </c>
      <c r="J2319" s="61" t="str">
        <f aca="false">INDEX(Parametros!$C$95:$C$106,MATCH(TRIM(INDEX(Datos_Origen!$E$2:$E$2459,$Z2319)),Parametros!$B$95:$B$106,0))</f>
        <v>E-commerce</v>
      </c>
      <c r="K2319" s="61" t="str">
        <f aca="false">INDEX(Parametros!$C$48:$C$67,MATCH(TRIM(INDEX(Datos_Origen!$F$2:$F$2459,$Z2319)),Parametros!$B$48:$B$67,0))</f>
        <v>Almacenamiento</v>
      </c>
      <c r="L2319" s="61" t="str">
        <f aca="false">$K2319&amp;" "&amp;$C2319</f>
        <v>Almacenamiento 2025</v>
      </c>
      <c r="M2319" s="61" t="str">
        <f aca="false">TRIM(INDEX(Datos_Origen!$G$2:$G$2459,$Z2319))</f>
        <v>SSD Externo 1TB</v>
      </c>
      <c r="N2319" s="61" t="str">
        <f aca="false">$M2319&amp;" "&amp;$C2319</f>
        <v>SSD Externo 1TB 2025</v>
      </c>
      <c r="O2319" s="63" t="n">
        <f aca="false">IF(ISTEXT($AC2319),VALUE($AC2319),$AC2319)</f>
        <v>59</v>
      </c>
      <c r="P2319" s="64" t="n">
        <f aca="false">INDEX(Datos_Origen!$I$2:$I$2459,$Z2319)</f>
        <v>130.51</v>
      </c>
      <c r="Q2319" s="64" t="n">
        <f aca="false">INDEX(Datos_Origen!$J$2:$J$2459,$Z2319)</f>
        <v>78.33</v>
      </c>
      <c r="R2319" s="65" t="n">
        <f aca="false">ROUND($O2319*$P2319,2)</f>
        <v>7700.09</v>
      </c>
      <c r="S2319" s="65" t="n">
        <f aca="false">ROUND($O2319*$Q2319,2)</f>
        <v>4621.47</v>
      </c>
      <c r="T2319" s="65" t="n">
        <f aca="false">ROUND($R2319*SUMIFS(Parametros!$E$28:$E$43,Parametros!$B$28:$B$43,$J2319,Parametros!$C$28:$C$43,$C2319,Parametros!$D$28:$D$43,$D2319),2)</f>
        <v>400.4</v>
      </c>
      <c r="U2319" s="65" t="n">
        <f aca="false">$R2319-$S2319-$T2319</f>
        <v>2678.22</v>
      </c>
      <c r="V2319" s="66" t="n">
        <f aca="false">IFERROR($U2319/$R2319,0)</f>
        <v>0.347816713830618</v>
      </c>
      <c r="W2319" s="67" t="str">
        <f aca="false">IF(AND($V2319&gt;=Parametros!$C$8,$R2319&gt;=Parametros!$C$12),"Alta rentabilidad",IF(OR($V2319&lt;Parametros!$C$11,$R2319&lt;Parametros!$C$13),"Revisar","Estandar"))</f>
        <v>Alta rentabilidad</v>
      </c>
      <c r="X2319" s="67" t="str">
        <f aca="false">IF(AND($J2319="E-commerce",IFERROR($T2319/$R2319,0)&gt;Parametros!$C$14),"Alerta","OK")</f>
        <v>Alerta</v>
      </c>
      <c r="Y2319" s="61" t="str">
        <f aca="false">IF($R2319&gt;=Parametros!$C$12,"Alto",IF($R2319&lt;Parametros!$C$13,"Bajo","Medio"))</f>
        <v>Alto</v>
      </c>
      <c r="Z2319" s="61" t="n">
        <v>1202</v>
      </c>
      <c r="AA2319" s="61" t="str">
        <f aca="false">IF(MATCH($A2319,Datos_Origen!$A$2:$A$2459,0)=$Z2319,"OK","REVISAR")</f>
        <v>OK</v>
      </c>
      <c r="AB2319" s="61" t="str">
        <f aca="false">INDEX(Datos_Origen!$B$2:$B$2459,$Z2319)</f>
        <v>27/12/2025</v>
      </c>
      <c r="AC2319" s="61" t="n">
        <f aca="false">INDEX(Datos_Origen!$H$2:$H$2459,$Z2319)</f>
        <v>59</v>
      </c>
      <c r="AD2319" s="61" t="str">
        <f aca="false">INDEX(Datos_Origen!$D$2:$D$2459,$Z2319)&amp;""</f>
        <v>Buenos Aires</v>
      </c>
    </row>
    <row r="2320" customFormat="false" ht="15" hidden="false" customHeight="false" outlineLevel="0" collapsed="false">
      <c r="A2320" s="61" t="n">
        <f aca="false">INDEX(Datos_Origen!$A$2:$A$2459,$Z2320)</f>
        <v>2319</v>
      </c>
      <c r="B2320" s="62" t="n">
        <f aca="false">IF(ISNUMBER($AB2320),$AB2320,IF(MID($AB2320,5,1)="-",DATE(VALUE(LEFT($AB2320,4)),VALUE(MID($AB2320,6,2)),VALUE(RIGHT($AB2320,2))),DATE(VALUE(RIGHT($AB2320,4)),VALUE(MID($AB2320,4,2)),VALUE(LEFT($AB2320,2)))))</f>
        <v>45998</v>
      </c>
      <c r="C2320" s="61" t="n">
        <f aca="false">YEAR($B2320)</f>
        <v>2025</v>
      </c>
      <c r="D2320" s="61" t="str">
        <f aca="false">"Q"&amp;ROUNDUP(MONTH($B2320)/3,0)</f>
        <v>Q4</v>
      </c>
      <c r="E2320" s="61" t="n">
        <f aca="false">MONTH($B2320)</f>
        <v>12</v>
      </c>
      <c r="F2320" s="61" t="str">
        <f aca="false">INDEX(Parametros!$I$5:$I$16,$E2320)</f>
        <v>Dic</v>
      </c>
      <c r="G2320" s="61" t="str">
        <f aca="false">TEXT($C2320,"0000")&amp;"-"&amp;TEXT($E2320,"00")</f>
        <v>2025-12</v>
      </c>
      <c r="H2320" s="61" t="str">
        <f aca="false">INDEX(Parametros!$C$71:$C$91,MATCH(TRIM(INDEX(Datos_Origen!$C$2:$C$2459,$Z2320)),Parametros!$B$71:$B$91,0))</f>
        <v>AMBA</v>
      </c>
      <c r="I2320" s="61" t="str">
        <f aca="false">IF(TRIM($AD2320)="",INDEX(Parametros!$I$20:$I$24,MATCH($H2320,Parametros!$H$20:$H$24,0)),TRIM($AD2320))</f>
        <v>Buenos Aires</v>
      </c>
      <c r="J2320" s="61" t="str">
        <f aca="false">INDEX(Parametros!$C$95:$C$106,MATCH(TRIM(INDEX(Datos_Origen!$E$2:$E$2459,$Z2320)),Parametros!$B$95:$B$106,0))</f>
        <v>Tienda fisica</v>
      </c>
      <c r="K2320" s="61" t="str">
        <f aca="false">INDEX(Parametros!$C$48:$C$67,MATCH(TRIM(INDEX(Datos_Origen!$F$2:$F$2459,$Z2320)),Parametros!$B$48:$B$67,0))</f>
        <v>Almacenamiento</v>
      </c>
      <c r="L2320" s="61" t="str">
        <f aca="false">$K2320&amp;" "&amp;$C2320</f>
        <v>Almacenamiento 2025</v>
      </c>
      <c r="M2320" s="61" t="str">
        <f aca="false">TRIM(INDEX(Datos_Origen!$G$2:$G$2459,$Z2320))</f>
        <v>Pendrive 256GB</v>
      </c>
      <c r="N2320" s="61" t="str">
        <f aca="false">$M2320&amp;" "&amp;$C2320</f>
        <v>Pendrive 256GB 2025</v>
      </c>
      <c r="O2320" s="63" t="n">
        <f aca="false">IF(ISTEXT($AC2320),VALUE($AC2320),$AC2320)</f>
        <v>88</v>
      </c>
      <c r="P2320" s="64" t="n">
        <f aca="false">INDEX(Datos_Origen!$I$2:$I$2459,$Z2320)</f>
        <v>35.14</v>
      </c>
      <c r="Q2320" s="64" t="n">
        <f aca="false">INDEX(Datos_Origen!$J$2:$J$2459,$Z2320)</f>
        <v>18.39</v>
      </c>
      <c r="R2320" s="65" t="n">
        <f aca="false">ROUND($O2320*$P2320,2)</f>
        <v>3092.32</v>
      </c>
      <c r="S2320" s="65" t="n">
        <f aca="false">ROUND($O2320*$Q2320,2)</f>
        <v>1618.32</v>
      </c>
      <c r="T2320" s="65" t="n">
        <f aca="false">ROUND($R2320*SUMIFS(Parametros!$E$28:$E$43,Parametros!$B$28:$B$43,$J2320,Parametros!$C$28:$C$43,$C2320,Parametros!$D$28:$D$43,$D2320),2)</f>
        <v>40.2</v>
      </c>
      <c r="U2320" s="65" t="n">
        <f aca="false">$R2320-$S2320-$T2320</f>
        <v>1433.8</v>
      </c>
      <c r="V2320" s="66" t="n">
        <f aca="false">IFERROR($U2320/$R2320,0)</f>
        <v>0.463664821234542</v>
      </c>
      <c r="W2320" s="67" t="str">
        <f aca="false">IF(AND($V2320&gt;=Parametros!$C$8,$R2320&gt;=Parametros!$C$12),"Alta rentabilidad",IF(OR($V2320&lt;Parametros!$C$11,$R2320&lt;Parametros!$C$13),"Revisar","Estandar"))</f>
        <v>Alta rentabilidad</v>
      </c>
      <c r="X2320" s="67" t="str">
        <f aca="false">IF(AND($J2320="E-commerce",IFERROR($T2320/$R2320,0)&gt;Parametros!$C$14),"Alerta","OK")</f>
        <v>OK</v>
      </c>
      <c r="Y2320" s="61" t="str">
        <f aca="false">IF($R2320&gt;=Parametros!$C$12,"Alto",IF($R2320&lt;Parametros!$C$13,"Bajo","Medio"))</f>
        <v>Alto</v>
      </c>
      <c r="Z2320" s="61" t="n">
        <v>724</v>
      </c>
      <c r="AA2320" s="61" t="str">
        <f aca="false">IF(MATCH($A2320,Datos_Origen!$A$2:$A$2459,0)=$Z2320,"OK","REVISAR")</f>
        <v>OK</v>
      </c>
      <c r="AB2320" s="62" t="n">
        <f aca="false">INDEX(Datos_Origen!$B$2:$B$2459,$Z2320)</f>
        <v>45998</v>
      </c>
      <c r="AC2320" s="61" t="n">
        <f aca="false">INDEX(Datos_Origen!$H$2:$H$2459,$Z2320)</f>
        <v>88</v>
      </c>
      <c r="AD2320" s="61" t="str">
        <f aca="false">INDEX(Datos_Origen!$D$2:$D$2459,$Z2320)&amp;""</f>
        <v>Buenos Aires</v>
      </c>
    </row>
    <row r="2321" customFormat="false" ht="15" hidden="false" customHeight="false" outlineLevel="0" collapsed="false">
      <c r="A2321" s="61" t="n">
        <f aca="false">INDEX(Datos_Origen!$A$2:$A$2459,$Z2321)</f>
        <v>2320</v>
      </c>
      <c r="B2321" s="62" t="n">
        <f aca="false">IF(ISNUMBER($AB2321),$AB2321,IF(MID($AB2321,5,1)="-",DATE(VALUE(LEFT($AB2321,4)),VALUE(MID($AB2321,6,2)),VALUE(RIGHT($AB2321,2))),DATE(VALUE(RIGHT($AB2321,4)),VALUE(MID($AB2321,4,2)),VALUE(LEFT($AB2321,2)))))</f>
        <v>46005</v>
      </c>
      <c r="C2321" s="61" t="n">
        <f aca="false">YEAR($B2321)</f>
        <v>2025</v>
      </c>
      <c r="D2321" s="61" t="str">
        <f aca="false">"Q"&amp;ROUNDUP(MONTH($B2321)/3,0)</f>
        <v>Q4</v>
      </c>
      <c r="E2321" s="61" t="n">
        <f aca="false">MONTH($B2321)</f>
        <v>12</v>
      </c>
      <c r="F2321" s="61" t="str">
        <f aca="false">INDEX(Parametros!$I$5:$I$16,$E2321)</f>
        <v>Dic</v>
      </c>
      <c r="G2321" s="61" t="str">
        <f aca="false">TEXT($C2321,"0000")&amp;"-"&amp;TEXT($E2321,"00")</f>
        <v>2025-12</v>
      </c>
      <c r="H2321" s="61" t="str">
        <f aca="false">INDEX(Parametros!$C$71:$C$91,MATCH(TRIM(INDEX(Datos_Origen!$C$2:$C$2459,$Z2321)),Parametros!$B$71:$B$91,0))</f>
        <v>AMBA</v>
      </c>
      <c r="I2321" s="61" t="str">
        <f aca="false">IF(TRIM($AD2321)="",INDEX(Parametros!$I$20:$I$24,MATCH($H2321,Parametros!$H$20:$H$24,0)),TRIM($AD2321))</f>
        <v>Buenos Aires</v>
      </c>
      <c r="J2321" s="61" t="str">
        <f aca="false">INDEX(Parametros!$C$95:$C$106,MATCH(TRIM(INDEX(Datos_Origen!$E$2:$E$2459,$Z2321)),Parametros!$B$95:$B$106,0))</f>
        <v>E-commerce</v>
      </c>
      <c r="K2321" s="61" t="str">
        <f aca="false">INDEX(Parametros!$C$48:$C$67,MATCH(TRIM(INDEX(Datos_Origen!$F$2:$F$2459,$Z2321)),Parametros!$B$48:$B$67,0))</f>
        <v>Almacenamiento</v>
      </c>
      <c r="L2321" s="61" t="str">
        <f aca="false">$K2321&amp;" "&amp;$C2321</f>
        <v>Almacenamiento 2025</v>
      </c>
      <c r="M2321" s="61" t="str">
        <f aca="false">TRIM(INDEX(Datos_Origen!$G$2:$G$2459,$Z2321))</f>
        <v>Pendrive 256GB</v>
      </c>
      <c r="N2321" s="61" t="str">
        <f aca="false">$M2321&amp;" "&amp;$C2321</f>
        <v>Pendrive 256GB 2025</v>
      </c>
      <c r="O2321" s="63" t="n">
        <f aca="false">IF(ISTEXT($AC2321),VALUE($AC2321),$AC2321)</f>
        <v>47</v>
      </c>
      <c r="P2321" s="64" t="n">
        <f aca="false">INDEX(Datos_Origen!$I$2:$I$2459,$Z2321)</f>
        <v>35.14</v>
      </c>
      <c r="Q2321" s="64" t="n">
        <f aca="false">INDEX(Datos_Origen!$J$2:$J$2459,$Z2321)</f>
        <v>18.39</v>
      </c>
      <c r="R2321" s="65" t="n">
        <f aca="false">ROUND($O2321*$P2321,2)</f>
        <v>1651.58</v>
      </c>
      <c r="S2321" s="65" t="n">
        <f aca="false">ROUND($O2321*$Q2321,2)</f>
        <v>864.33</v>
      </c>
      <c r="T2321" s="65" t="n">
        <f aca="false">ROUND($R2321*SUMIFS(Parametros!$E$28:$E$43,Parametros!$B$28:$B$43,$J2321,Parametros!$C$28:$C$43,$C2321,Parametros!$D$28:$D$43,$D2321),2)</f>
        <v>85.88</v>
      </c>
      <c r="U2321" s="65" t="n">
        <f aca="false">$R2321-$S2321-$T2321</f>
        <v>701.37</v>
      </c>
      <c r="V2321" s="66" t="n">
        <f aca="false">IFERROR($U2321/$R2321,0)</f>
        <v>0.424666077332009</v>
      </c>
      <c r="W2321" s="67" t="str">
        <f aca="false">IF(AND($V2321&gt;=Parametros!$C$8,$R2321&gt;=Parametros!$C$12),"Alta rentabilidad",IF(OR($V2321&lt;Parametros!$C$11,$R2321&lt;Parametros!$C$13),"Revisar","Estandar"))</f>
        <v>Estandar</v>
      </c>
      <c r="X2321" s="67" t="str">
        <f aca="false">IF(AND($J2321="E-commerce",IFERROR($T2321/$R2321,0)&gt;Parametros!$C$14),"Alerta","OK")</f>
        <v>Alerta</v>
      </c>
      <c r="Y2321" s="61" t="str">
        <f aca="false">IF($R2321&gt;=Parametros!$C$12,"Alto",IF($R2321&lt;Parametros!$C$13,"Bajo","Medio"))</f>
        <v>Medio</v>
      </c>
      <c r="Z2321" s="61" t="n">
        <v>849</v>
      </c>
      <c r="AA2321" s="61" t="str">
        <f aca="false">IF(MATCH($A2321,Datos_Origen!$A$2:$A$2459,0)=$Z2321,"OK","REVISAR")</f>
        <v>OK</v>
      </c>
      <c r="AB2321" s="61" t="str">
        <f aca="false">INDEX(Datos_Origen!$B$2:$B$2459,$Z2321)</f>
        <v>14/12/2025</v>
      </c>
      <c r="AC2321" s="61" t="n">
        <f aca="false">INDEX(Datos_Origen!$H$2:$H$2459,$Z2321)</f>
        <v>47</v>
      </c>
      <c r="AD2321" s="61" t="str">
        <f aca="false">INDEX(Datos_Origen!$D$2:$D$2459,$Z2321)&amp;""</f>
        <v>Buenos Aires</v>
      </c>
    </row>
    <row r="2322" customFormat="false" ht="15" hidden="false" customHeight="false" outlineLevel="0" collapsed="false">
      <c r="A2322" s="61" t="n">
        <f aca="false">INDEX(Datos_Origen!$A$2:$A$2459,$Z2322)</f>
        <v>2321</v>
      </c>
      <c r="B2322" s="62" t="n">
        <f aca="false">IF(ISNUMBER($AB2322),$AB2322,IF(MID($AB2322,5,1)="-",DATE(VALUE(LEFT($AB2322,4)),VALUE(MID($AB2322,6,2)),VALUE(RIGHT($AB2322,2))),DATE(VALUE(RIGHT($AB2322,4)),VALUE(MID($AB2322,4,2)),VALUE(LEFT($AB2322,2)))))</f>
        <v>46012</v>
      </c>
      <c r="C2322" s="61" t="n">
        <f aca="false">YEAR($B2322)</f>
        <v>2025</v>
      </c>
      <c r="D2322" s="61" t="str">
        <f aca="false">"Q"&amp;ROUNDUP(MONTH($B2322)/3,0)</f>
        <v>Q4</v>
      </c>
      <c r="E2322" s="61" t="n">
        <f aca="false">MONTH($B2322)</f>
        <v>12</v>
      </c>
      <c r="F2322" s="61" t="str">
        <f aca="false">INDEX(Parametros!$I$5:$I$16,$E2322)</f>
        <v>Dic</v>
      </c>
      <c r="G2322" s="61" t="str">
        <f aca="false">TEXT($C2322,"0000")&amp;"-"&amp;TEXT($E2322,"00")</f>
        <v>2025-12</v>
      </c>
      <c r="H2322" s="61" t="str">
        <f aca="false">INDEX(Parametros!$C$71:$C$91,MATCH(TRIM(INDEX(Datos_Origen!$C$2:$C$2459,$Z2322)),Parametros!$B$71:$B$91,0))</f>
        <v>Centro</v>
      </c>
      <c r="I2322" s="61" t="str">
        <f aca="false">IF(TRIM($AD2322)="",INDEX(Parametros!$I$20:$I$24,MATCH($H2322,Parametros!$H$20:$H$24,0)),TRIM($AD2322))</f>
        <v>Cordoba</v>
      </c>
      <c r="J2322" s="61" t="str">
        <f aca="false">INDEX(Parametros!$C$95:$C$106,MATCH(TRIM(INDEX(Datos_Origen!$E$2:$E$2459,$Z2322)),Parametros!$B$95:$B$106,0))</f>
        <v>Tienda fisica</v>
      </c>
      <c r="K2322" s="61" t="str">
        <f aca="false">INDEX(Parametros!$C$48:$C$67,MATCH(TRIM(INDEX(Datos_Origen!$F$2:$F$2459,$Z2322)),Parametros!$B$48:$B$67,0))</f>
        <v>Computacion</v>
      </c>
      <c r="L2322" s="61" t="str">
        <f aca="false">$K2322&amp;" "&amp;$C2322</f>
        <v>Computacion 2025</v>
      </c>
      <c r="M2322" s="61" t="str">
        <f aca="false">TRIM(INDEX(Datos_Origen!$G$2:$G$2459,$Z2322))</f>
        <v>Laptop Pro 15</v>
      </c>
      <c r="N2322" s="61" t="str">
        <f aca="false">$M2322&amp;" "&amp;$C2322</f>
        <v>Laptop Pro 15 2025</v>
      </c>
      <c r="O2322" s="63" t="n">
        <f aca="false">IF(ISTEXT($AC2322),VALUE($AC2322),$AC2322)</f>
        <v>15</v>
      </c>
      <c r="P2322" s="64" t="n">
        <f aca="false">INDEX(Datos_Origen!$I$2:$I$2459,$Z2322)</f>
        <v>1204.74</v>
      </c>
      <c r="Q2322" s="64" t="n">
        <f aca="false">INDEX(Datos_Origen!$J$2:$J$2459,$Z2322)</f>
        <v>766.32</v>
      </c>
      <c r="R2322" s="65" t="n">
        <f aca="false">ROUND($O2322*$P2322,2)</f>
        <v>18071.1</v>
      </c>
      <c r="S2322" s="65" t="n">
        <f aca="false">ROUND($O2322*$Q2322,2)</f>
        <v>11494.8</v>
      </c>
      <c r="T2322" s="65" t="n">
        <f aca="false">ROUND($R2322*SUMIFS(Parametros!$E$28:$E$43,Parametros!$B$28:$B$43,$J2322,Parametros!$C$28:$C$43,$C2322,Parametros!$D$28:$D$43,$D2322),2)</f>
        <v>234.92</v>
      </c>
      <c r="U2322" s="65" t="n">
        <f aca="false">$R2322-$S2322-$T2322</f>
        <v>6341.38</v>
      </c>
      <c r="V2322" s="66" t="n">
        <f aca="false">IFERROR($U2322/$R2322,0)</f>
        <v>0.350912783394481</v>
      </c>
      <c r="W2322" s="67" t="str">
        <f aca="false">IF(AND($V2322&gt;=Parametros!$C$8,$R2322&gt;=Parametros!$C$12),"Alta rentabilidad",IF(OR($V2322&lt;Parametros!$C$11,$R2322&lt;Parametros!$C$13),"Revisar","Estandar"))</f>
        <v>Alta rentabilidad</v>
      </c>
      <c r="X2322" s="67" t="str">
        <f aca="false">IF(AND($J2322="E-commerce",IFERROR($T2322/$R2322,0)&gt;Parametros!$C$14),"Alerta","OK")</f>
        <v>OK</v>
      </c>
      <c r="Y2322" s="61" t="str">
        <f aca="false">IF($R2322&gt;=Parametros!$C$12,"Alto",IF($R2322&lt;Parametros!$C$13,"Bajo","Medio"))</f>
        <v>Alto</v>
      </c>
      <c r="Z2322" s="61" t="n">
        <v>779</v>
      </c>
      <c r="AA2322" s="61" t="str">
        <f aca="false">IF(MATCH($A2322,Datos_Origen!$A$2:$A$2459,0)=$Z2322,"OK","REVISAR")</f>
        <v>OK</v>
      </c>
      <c r="AB2322" s="62" t="n">
        <f aca="false">INDEX(Datos_Origen!$B$2:$B$2459,$Z2322)</f>
        <v>46012</v>
      </c>
      <c r="AC2322" s="61" t="n">
        <f aca="false">INDEX(Datos_Origen!$H$2:$H$2459,$Z2322)</f>
        <v>15</v>
      </c>
      <c r="AD2322" s="61" t="str">
        <f aca="false">INDEX(Datos_Origen!$D$2:$D$2459,$Z2322)&amp;""</f>
        <v>Cordoba</v>
      </c>
    </row>
    <row r="2323" customFormat="false" ht="15" hidden="false" customHeight="false" outlineLevel="0" collapsed="false">
      <c r="A2323" s="61" t="n">
        <f aca="false">INDEX(Datos_Origen!$A$2:$A$2459,$Z2323)</f>
        <v>2322</v>
      </c>
      <c r="B2323" s="62" t="n">
        <f aca="false">IF(ISNUMBER($AB2323),$AB2323,IF(MID($AB2323,5,1)="-",DATE(VALUE(LEFT($AB2323,4)),VALUE(MID($AB2323,6,2)),VALUE(RIGHT($AB2323,2))),DATE(VALUE(RIGHT($AB2323,4)),VALUE(MID($AB2323,4,2)),VALUE(LEFT($AB2323,2)))))</f>
        <v>45992</v>
      </c>
      <c r="C2323" s="61" t="n">
        <f aca="false">YEAR($B2323)</f>
        <v>2025</v>
      </c>
      <c r="D2323" s="61" t="str">
        <f aca="false">"Q"&amp;ROUNDUP(MONTH($B2323)/3,0)</f>
        <v>Q4</v>
      </c>
      <c r="E2323" s="61" t="n">
        <f aca="false">MONTH($B2323)</f>
        <v>12</v>
      </c>
      <c r="F2323" s="61" t="str">
        <f aca="false">INDEX(Parametros!$I$5:$I$16,$E2323)</f>
        <v>Dic</v>
      </c>
      <c r="G2323" s="61" t="str">
        <f aca="false">TEXT($C2323,"0000")&amp;"-"&amp;TEXT($E2323,"00")</f>
        <v>2025-12</v>
      </c>
      <c r="H2323" s="61" t="str">
        <f aca="false">INDEX(Parametros!$C$71:$C$91,MATCH(TRIM(INDEX(Datos_Origen!$C$2:$C$2459,$Z2323)),Parametros!$B$71:$B$91,0))</f>
        <v>Centro</v>
      </c>
      <c r="I2323" s="61" t="str">
        <f aca="false">IF(TRIM($AD2323)="",INDEX(Parametros!$I$20:$I$24,MATCH($H2323,Parametros!$H$20:$H$24,0)),TRIM($AD2323))</f>
        <v>Cordoba</v>
      </c>
      <c r="J2323" s="61" t="str">
        <f aca="false">INDEX(Parametros!$C$95:$C$106,MATCH(TRIM(INDEX(Datos_Origen!$E$2:$E$2459,$Z2323)),Parametros!$B$95:$B$106,0))</f>
        <v>E-commerce</v>
      </c>
      <c r="K2323" s="61" t="str">
        <f aca="false">INDEX(Parametros!$C$48:$C$67,MATCH(TRIM(INDEX(Datos_Origen!$F$2:$F$2459,$Z2323)),Parametros!$B$48:$B$67,0))</f>
        <v>Computacion</v>
      </c>
      <c r="L2323" s="61" t="str">
        <f aca="false">$K2323&amp;" "&amp;$C2323</f>
        <v>Computacion 2025</v>
      </c>
      <c r="M2323" s="61" t="str">
        <f aca="false">TRIM(INDEX(Datos_Origen!$G$2:$G$2459,$Z2323))</f>
        <v>Laptop Pro 15</v>
      </c>
      <c r="N2323" s="61" t="str">
        <f aca="false">$M2323&amp;" "&amp;$C2323</f>
        <v>Laptop Pro 15 2025</v>
      </c>
      <c r="O2323" s="63" t="n">
        <f aca="false">IF(ISTEXT($AC2323),VALUE($AC2323),$AC2323)</f>
        <v>12</v>
      </c>
      <c r="P2323" s="64" t="n">
        <f aca="false">INDEX(Datos_Origen!$I$2:$I$2459,$Z2323)</f>
        <v>1204.74</v>
      </c>
      <c r="Q2323" s="64" t="n">
        <f aca="false">INDEX(Datos_Origen!$J$2:$J$2459,$Z2323)</f>
        <v>766.32</v>
      </c>
      <c r="R2323" s="65" t="n">
        <f aca="false">ROUND($O2323*$P2323,2)</f>
        <v>14456.88</v>
      </c>
      <c r="S2323" s="65" t="n">
        <f aca="false">ROUND($O2323*$Q2323,2)</f>
        <v>9195.84</v>
      </c>
      <c r="T2323" s="65" t="n">
        <f aca="false">ROUND($R2323*SUMIFS(Parametros!$E$28:$E$43,Parametros!$B$28:$B$43,$J2323,Parametros!$C$28:$C$43,$C2323,Parametros!$D$28:$D$43,$D2323),2)</f>
        <v>751.76</v>
      </c>
      <c r="U2323" s="65" t="n">
        <f aca="false">$R2323-$S2323-$T2323</f>
        <v>4509.28</v>
      </c>
      <c r="V2323" s="66" t="n">
        <f aca="false">IFERROR($U2323/$R2323,0)</f>
        <v>0.311912390501962</v>
      </c>
      <c r="W2323" s="67" t="str">
        <f aca="false">IF(AND($V2323&gt;=Parametros!$C$8,$R2323&gt;=Parametros!$C$12),"Alta rentabilidad",IF(OR($V2323&lt;Parametros!$C$11,$R2323&lt;Parametros!$C$13),"Revisar","Estandar"))</f>
        <v>Estandar</v>
      </c>
      <c r="X2323" s="67" t="str">
        <f aca="false">IF(AND($J2323="E-commerce",IFERROR($T2323/$R2323,0)&gt;Parametros!$C$14),"Alerta","OK")</f>
        <v>Alerta</v>
      </c>
      <c r="Y2323" s="61" t="str">
        <f aca="false">IF($R2323&gt;=Parametros!$C$12,"Alto",IF($R2323&lt;Parametros!$C$13,"Bajo","Medio"))</f>
        <v>Alto</v>
      </c>
      <c r="Z2323" s="61" t="n">
        <v>725</v>
      </c>
      <c r="AA2323" s="61" t="str">
        <f aca="false">IF(MATCH($A2323,Datos_Origen!$A$2:$A$2459,0)=$Z2323,"OK","REVISAR")</f>
        <v>OK</v>
      </c>
      <c r="AB2323" s="61" t="str">
        <f aca="false">INDEX(Datos_Origen!$B$2:$B$2459,$Z2323)</f>
        <v>01/12/2025</v>
      </c>
      <c r="AC2323" s="61" t="n">
        <f aca="false">INDEX(Datos_Origen!$H$2:$H$2459,$Z2323)</f>
        <v>12</v>
      </c>
      <c r="AD2323" s="61" t="str">
        <f aca="false">INDEX(Datos_Origen!$D$2:$D$2459,$Z2323)&amp;""</f>
        <v>Cordoba</v>
      </c>
    </row>
    <row r="2324" customFormat="false" ht="15" hidden="false" customHeight="false" outlineLevel="0" collapsed="false">
      <c r="A2324" s="61" t="n">
        <f aca="false">INDEX(Datos_Origen!$A$2:$A$2459,$Z2324)</f>
        <v>2323</v>
      </c>
      <c r="B2324" s="62" t="n">
        <f aca="false">IF(ISNUMBER($AB2324),$AB2324,IF(MID($AB2324,5,1)="-",DATE(VALUE(LEFT($AB2324,4)),VALUE(MID($AB2324,6,2)),VALUE(RIGHT($AB2324,2))),DATE(VALUE(RIGHT($AB2324,4)),VALUE(MID($AB2324,4,2)),VALUE(LEFT($AB2324,2)))))</f>
        <v>45999</v>
      </c>
      <c r="C2324" s="61" t="n">
        <f aca="false">YEAR($B2324)</f>
        <v>2025</v>
      </c>
      <c r="D2324" s="61" t="str">
        <f aca="false">"Q"&amp;ROUNDUP(MONTH($B2324)/3,0)</f>
        <v>Q4</v>
      </c>
      <c r="E2324" s="61" t="n">
        <f aca="false">MONTH($B2324)</f>
        <v>12</v>
      </c>
      <c r="F2324" s="61" t="str">
        <f aca="false">INDEX(Parametros!$I$5:$I$16,$E2324)</f>
        <v>Dic</v>
      </c>
      <c r="G2324" s="61" t="str">
        <f aca="false">TEXT($C2324,"0000")&amp;"-"&amp;TEXT($E2324,"00")</f>
        <v>2025-12</v>
      </c>
      <c r="H2324" s="61" t="str">
        <f aca="false">INDEX(Parametros!$C$71:$C$91,MATCH(TRIM(INDEX(Datos_Origen!$C$2:$C$2459,$Z2324)),Parametros!$B$71:$B$91,0))</f>
        <v>Centro</v>
      </c>
      <c r="I2324" s="61" t="str">
        <f aca="false">IF(TRIM($AD2324)="",INDEX(Parametros!$I$20:$I$24,MATCH($H2324,Parametros!$H$20:$H$24,0)),TRIM($AD2324))</f>
        <v>Cordoba</v>
      </c>
      <c r="J2324" s="61" t="str">
        <f aca="false">INDEX(Parametros!$C$95:$C$106,MATCH(TRIM(INDEX(Datos_Origen!$E$2:$E$2459,$Z2324)),Parametros!$B$95:$B$106,0))</f>
        <v>Tienda fisica</v>
      </c>
      <c r="K2324" s="61" t="str">
        <f aca="false">INDEX(Parametros!$C$48:$C$67,MATCH(TRIM(INDEX(Datos_Origen!$F$2:$F$2459,$Z2324)),Parametros!$B$48:$B$67,0))</f>
        <v>Computacion</v>
      </c>
      <c r="L2324" s="61" t="str">
        <f aca="false">$K2324&amp;" "&amp;$C2324</f>
        <v>Computacion 2025</v>
      </c>
      <c r="M2324" s="61" t="str">
        <f aca="false">TRIM(INDEX(Datos_Origen!$G$2:$G$2459,$Z2324))</f>
        <v>Monitor 4K 27</v>
      </c>
      <c r="N2324" s="61" t="str">
        <f aca="false">$M2324&amp;" "&amp;$C2324</f>
        <v>Monitor 4K 27 2025</v>
      </c>
      <c r="O2324" s="63" t="n">
        <f aca="false">IF(ISTEXT($AC2324),VALUE($AC2324),$AC2324)</f>
        <v>18</v>
      </c>
      <c r="P2324" s="64" t="n">
        <f aca="false">INDEX(Datos_Origen!$I$2:$I$2459,$Z2324)</f>
        <v>451.78</v>
      </c>
      <c r="Q2324" s="64" t="n">
        <f aca="false">INDEX(Datos_Origen!$J$2:$J$2459,$Z2324)</f>
        <v>280.42</v>
      </c>
      <c r="R2324" s="65" t="n">
        <f aca="false">ROUND($O2324*$P2324,2)</f>
        <v>8132.04</v>
      </c>
      <c r="S2324" s="65" t="n">
        <f aca="false">ROUND($O2324*$Q2324,2)</f>
        <v>5047.56</v>
      </c>
      <c r="T2324" s="65" t="n">
        <f aca="false">ROUND($R2324*SUMIFS(Parametros!$E$28:$E$43,Parametros!$B$28:$B$43,$J2324,Parametros!$C$28:$C$43,$C2324,Parametros!$D$28:$D$43,$D2324),2)</f>
        <v>105.72</v>
      </c>
      <c r="U2324" s="65" t="n">
        <f aca="false">$R2324-$S2324-$T2324</f>
        <v>2978.76</v>
      </c>
      <c r="V2324" s="66" t="n">
        <f aca="false">IFERROR($U2324/$R2324,0)</f>
        <v>0.366299231189222</v>
      </c>
      <c r="W2324" s="67" t="str">
        <f aca="false">IF(AND($V2324&gt;=Parametros!$C$8,$R2324&gt;=Parametros!$C$12),"Alta rentabilidad",IF(OR($V2324&lt;Parametros!$C$11,$R2324&lt;Parametros!$C$13),"Revisar","Estandar"))</f>
        <v>Alta rentabilidad</v>
      </c>
      <c r="X2324" s="67" t="str">
        <f aca="false">IF(AND($J2324="E-commerce",IFERROR($T2324/$R2324,0)&gt;Parametros!$C$14),"Alerta","OK")</f>
        <v>OK</v>
      </c>
      <c r="Y2324" s="61" t="str">
        <f aca="false">IF($R2324&gt;=Parametros!$C$12,"Alto",IF($R2324&lt;Parametros!$C$13,"Bajo","Medio"))</f>
        <v>Alto</v>
      </c>
      <c r="Z2324" s="61" t="n">
        <v>224</v>
      </c>
      <c r="AA2324" s="61" t="str">
        <f aca="false">IF(MATCH($A2324,Datos_Origen!$A$2:$A$2459,0)=$Z2324,"OK","REVISAR")</f>
        <v>OK</v>
      </c>
      <c r="AB2324" s="62" t="n">
        <f aca="false">INDEX(Datos_Origen!$B$2:$B$2459,$Z2324)</f>
        <v>45999</v>
      </c>
      <c r="AC2324" s="61" t="n">
        <f aca="false">INDEX(Datos_Origen!$H$2:$H$2459,$Z2324)</f>
        <v>18</v>
      </c>
      <c r="AD2324" s="61" t="str">
        <f aca="false">INDEX(Datos_Origen!$D$2:$D$2459,$Z2324)&amp;""</f>
        <v>Cordoba</v>
      </c>
    </row>
    <row r="2325" customFormat="false" ht="15" hidden="false" customHeight="false" outlineLevel="0" collapsed="false">
      <c r="A2325" s="61" t="n">
        <f aca="false">INDEX(Datos_Origen!$A$2:$A$2459,$Z2325)</f>
        <v>2324</v>
      </c>
      <c r="B2325" s="62" t="n">
        <f aca="false">IF(ISNUMBER($AB2325),$AB2325,IF(MID($AB2325,5,1)="-",DATE(VALUE(LEFT($AB2325,4)),VALUE(MID($AB2325,6,2)),VALUE(RIGHT($AB2325,2))),DATE(VALUE(RIGHT($AB2325,4)),VALUE(MID($AB2325,4,2)),VALUE(LEFT($AB2325,2)))))</f>
        <v>46006</v>
      </c>
      <c r="C2325" s="61" t="n">
        <f aca="false">YEAR($B2325)</f>
        <v>2025</v>
      </c>
      <c r="D2325" s="61" t="str">
        <f aca="false">"Q"&amp;ROUNDUP(MONTH($B2325)/3,0)</f>
        <v>Q4</v>
      </c>
      <c r="E2325" s="61" t="n">
        <f aca="false">MONTH($B2325)</f>
        <v>12</v>
      </c>
      <c r="F2325" s="61" t="str">
        <f aca="false">INDEX(Parametros!$I$5:$I$16,$E2325)</f>
        <v>Dic</v>
      </c>
      <c r="G2325" s="61" t="str">
        <f aca="false">TEXT($C2325,"0000")&amp;"-"&amp;TEXT($E2325,"00")</f>
        <v>2025-12</v>
      </c>
      <c r="H2325" s="61" t="str">
        <f aca="false">INDEX(Parametros!$C$71:$C$91,MATCH(TRIM(INDEX(Datos_Origen!$C$2:$C$2459,$Z2325)),Parametros!$B$71:$B$91,0))</f>
        <v>Centro</v>
      </c>
      <c r="I2325" s="61" t="str">
        <f aca="false">IF(TRIM($AD2325)="",INDEX(Parametros!$I$20:$I$24,MATCH($H2325,Parametros!$H$20:$H$24,0)),TRIM($AD2325))</f>
        <v>Cordoba</v>
      </c>
      <c r="J2325" s="61" t="str">
        <f aca="false">INDEX(Parametros!$C$95:$C$106,MATCH(TRIM(INDEX(Datos_Origen!$E$2:$E$2459,$Z2325)),Parametros!$B$95:$B$106,0))</f>
        <v>E-commerce</v>
      </c>
      <c r="K2325" s="61" t="str">
        <f aca="false">INDEX(Parametros!$C$48:$C$67,MATCH(TRIM(INDEX(Datos_Origen!$F$2:$F$2459,$Z2325)),Parametros!$B$48:$B$67,0))</f>
        <v>Computacion</v>
      </c>
      <c r="L2325" s="61" t="str">
        <f aca="false">$K2325&amp;" "&amp;$C2325</f>
        <v>Computacion 2025</v>
      </c>
      <c r="M2325" s="61" t="str">
        <f aca="false">TRIM(INDEX(Datos_Origen!$G$2:$G$2459,$Z2325))</f>
        <v>Monitor 4K 27</v>
      </c>
      <c r="N2325" s="61" t="str">
        <f aca="false">$M2325&amp;" "&amp;$C2325</f>
        <v>Monitor 4K 27 2025</v>
      </c>
      <c r="O2325" s="63" t="n">
        <f aca="false">IF(ISTEXT($AC2325),VALUE($AC2325),$AC2325)</f>
        <v>12</v>
      </c>
      <c r="P2325" s="64" t="n">
        <f aca="false">INDEX(Datos_Origen!$I$2:$I$2459,$Z2325)</f>
        <v>451.78</v>
      </c>
      <c r="Q2325" s="64" t="n">
        <f aca="false">INDEX(Datos_Origen!$J$2:$J$2459,$Z2325)</f>
        <v>280.42</v>
      </c>
      <c r="R2325" s="65" t="n">
        <f aca="false">ROUND($O2325*$P2325,2)</f>
        <v>5421.36</v>
      </c>
      <c r="S2325" s="65" t="n">
        <f aca="false">ROUND($O2325*$Q2325,2)</f>
        <v>3365.04</v>
      </c>
      <c r="T2325" s="65" t="n">
        <f aca="false">ROUND($R2325*SUMIFS(Parametros!$E$28:$E$43,Parametros!$B$28:$B$43,$J2325,Parametros!$C$28:$C$43,$C2325,Parametros!$D$28:$D$43,$D2325),2)</f>
        <v>281.91</v>
      </c>
      <c r="U2325" s="65" t="n">
        <f aca="false">$R2325-$S2325-$T2325</f>
        <v>1774.41</v>
      </c>
      <c r="V2325" s="66" t="n">
        <f aca="false">IFERROR($U2325/$R2325,0)</f>
        <v>0.327299791934127</v>
      </c>
      <c r="W2325" s="67" t="str">
        <f aca="false">IF(AND($V2325&gt;=Parametros!$C$8,$R2325&gt;=Parametros!$C$12),"Alta rentabilidad",IF(OR($V2325&lt;Parametros!$C$11,$R2325&lt;Parametros!$C$13),"Revisar","Estandar"))</f>
        <v>Estandar</v>
      </c>
      <c r="X2325" s="67" t="str">
        <f aca="false">IF(AND($J2325="E-commerce",IFERROR($T2325/$R2325,0)&gt;Parametros!$C$14),"Alerta","OK")</f>
        <v>Alerta</v>
      </c>
      <c r="Y2325" s="61" t="str">
        <f aca="false">IF($R2325&gt;=Parametros!$C$12,"Alto",IF($R2325&lt;Parametros!$C$13,"Bajo","Medio"))</f>
        <v>Alto</v>
      </c>
      <c r="Z2325" s="61" t="n">
        <v>2382</v>
      </c>
      <c r="AA2325" s="61" t="str">
        <f aca="false">IF(MATCH($A2325,Datos_Origen!$A$2:$A$2459,0)=$Z2325,"OK","REVISAR")</f>
        <v>OK</v>
      </c>
      <c r="AB2325" s="61" t="str">
        <f aca="false">INDEX(Datos_Origen!$B$2:$B$2459,$Z2325)</f>
        <v>15/12/2025</v>
      </c>
      <c r="AC2325" s="61" t="n">
        <f aca="false">INDEX(Datos_Origen!$H$2:$H$2459,$Z2325)</f>
        <v>12</v>
      </c>
      <c r="AD2325" s="61" t="str">
        <f aca="false">INDEX(Datos_Origen!$D$2:$D$2459,$Z2325)&amp;""</f>
        <v/>
      </c>
    </row>
    <row r="2326" customFormat="false" ht="15" hidden="false" customHeight="false" outlineLevel="0" collapsed="false">
      <c r="A2326" s="61" t="n">
        <f aca="false">INDEX(Datos_Origen!$A$2:$A$2459,$Z2326)</f>
        <v>2325</v>
      </c>
      <c r="B2326" s="62" t="n">
        <f aca="false">IF(ISNUMBER($AB2326),$AB2326,IF(MID($AB2326,5,1)="-",DATE(VALUE(LEFT($AB2326,4)),VALUE(MID($AB2326,6,2)),VALUE(RIGHT($AB2326,2))),DATE(VALUE(RIGHT($AB2326,4)),VALUE(MID($AB2326,4,2)),VALUE(LEFT($AB2326,2)))))</f>
        <v>46013</v>
      </c>
      <c r="C2326" s="61" t="n">
        <f aca="false">YEAR($B2326)</f>
        <v>2025</v>
      </c>
      <c r="D2326" s="61" t="str">
        <f aca="false">"Q"&amp;ROUNDUP(MONTH($B2326)/3,0)</f>
        <v>Q4</v>
      </c>
      <c r="E2326" s="61" t="n">
        <f aca="false">MONTH($B2326)</f>
        <v>12</v>
      </c>
      <c r="F2326" s="61" t="str">
        <f aca="false">INDEX(Parametros!$I$5:$I$16,$E2326)</f>
        <v>Dic</v>
      </c>
      <c r="G2326" s="61" t="str">
        <f aca="false">TEXT($C2326,"0000")&amp;"-"&amp;TEXT($E2326,"00")</f>
        <v>2025-12</v>
      </c>
      <c r="H2326" s="61" t="str">
        <f aca="false">INDEX(Parametros!$C$71:$C$91,MATCH(TRIM(INDEX(Datos_Origen!$C$2:$C$2459,$Z2326)),Parametros!$B$71:$B$91,0))</f>
        <v>Centro</v>
      </c>
      <c r="I2326" s="61" t="str">
        <f aca="false">IF(TRIM($AD2326)="",INDEX(Parametros!$I$20:$I$24,MATCH($H2326,Parametros!$H$20:$H$24,0)),TRIM($AD2326))</f>
        <v>Cordoba</v>
      </c>
      <c r="J2326" s="61" t="str">
        <f aca="false">INDEX(Parametros!$C$95:$C$106,MATCH(TRIM(INDEX(Datos_Origen!$E$2:$E$2459,$Z2326)),Parametros!$B$95:$B$106,0))</f>
        <v>Tienda fisica</v>
      </c>
      <c r="K2326" s="61" t="str">
        <f aca="false">INDEX(Parametros!$C$48:$C$67,MATCH(TRIM(INDEX(Datos_Origen!$F$2:$F$2459,$Z2326)),Parametros!$B$48:$B$67,0))</f>
        <v>Computacion</v>
      </c>
      <c r="L2326" s="61" t="str">
        <f aca="false">$K2326&amp;" "&amp;$C2326</f>
        <v>Computacion 2025</v>
      </c>
      <c r="M2326" s="61" t="str">
        <f aca="false">TRIM(INDEX(Datos_Origen!$G$2:$G$2459,$Z2326))</f>
        <v>PC Gamer Ryzen</v>
      </c>
      <c r="N2326" s="61" t="str">
        <f aca="false">$M2326&amp;" "&amp;$C2326</f>
        <v>PC Gamer Ryzen 2025</v>
      </c>
      <c r="O2326" s="63" t="n">
        <f aca="false">IF(ISTEXT($AC2326),VALUE($AC2326),$AC2326)</f>
        <v>19</v>
      </c>
      <c r="P2326" s="64" t="n">
        <f aca="false">INDEX(Datos_Origen!$I$2:$I$2459,$Z2326)</f>
        <v>1656.52</v>
      </c>
      <c r="Q2326" s="64" t="n">
        <f aca="false">INDEX(Datos_Origen!$J$2:$J$2459,$Z2326)</f>
        <v>1155.66</v>
      </c>
      <c r="R2326" s="65" t="n">
        <f aca="false">ROUND($O2326*$P2326,2)</f>
        <v>31473.88</v>
      </c>
      <c r="S2326" s="65" t="n">
        <f aca="false">ROUND($O2326*$Q2326,2)</f>
        <v>21957.54</v>
      </c>
      <c r="T2326" s="65" t="n">
        <f aca="false">ROUND($R2326*SUMIFS(Parametros!$E$28:$E$43,Parametros!$B$28:$B$43,$J2326,Parametros!$C$28:$C$43,$C2326,Parametros!$D$28:$D$43,$D2326),2)</f>
        <v>409.16</v>
      </c>
      <c r="U2326" s="65" t="n">
        <f aca="false">$R2326-$S2326-$T2326</f>
        <v>9107.18</v>
      </c>
      <c r="V2326" s="66" t="n">
        <f aca="false">IFERROR($U2326/$R2326,0)</f>
        <v>0.289356761860946</v>
      </c>
      <c r="W2326" s="67" t="str">
        <f aca="false">IF(AND($V2326&gt;=Parametros!$C$8,$R2326&gt;=Parametros!$C$12),"Alta rentabilidad",IF(OR($V2326&lt;Parametros!$C$11,$R2326&lt;Parametros!$C$13),"Revisar","Estandar"))</f>
        <v>Estandar</v>
      </c>
      <c r="X2326" s="67" t="str">
        <f aca="false">IF(AND($J2326="E-commerce",IFERROR($T2326/$R2326,0)&gt;Parametros!$C$14),"Alerta","OK")</f>
        <v>OK</v>
      </c>
      <c r="Y2326" s="61" t="str">
        <f aca="false">IF($R2326&gt;=Parametros!$C$12,"Alto",IF($R2326&lt;Parametros!$C$13,"Bajo","Medio"))</f>
        <v>Alto</v>
      </c>
      <c r="Z2326" s="61" t="n">
        <v>211</v>
      </c>
      <c r="AA2326" s="61" t="str">
        <f aca="false">IF(MATCH($A2326,Datos_Origen!$A$2:$A$2459,0)=$Z2326,"OK","REVISAR")</f>
        <v>OK</v>
      </c>
      <c r="AB2326" s="61" t="str">
        <f aca="false">INDEX(Datos_Origen!$B$2:$B$2459,$Z2326)</f>
        <v>22/12/2025</v>
      </c>
      <c r="AC2326" s="61" t="n">
        <f aca="false">INDEX(Datos_Origen!$H$2:$H$2459,$Z2326)</f>
        <v>19</v>
      </c>
      <c r="AD2326" s="61" t="str">
        <f aca="false">INDEX(Datos_Origen!$D$2:$D$2459,$Z2326)&amp;""</f>
        <v>Cordoba</v>
      </c>
    </row>
    <row r="2327" customFormat="false" ht="15" hidden="false" customHeight="false" outlineLevel="0" collapsed="false">
      <c r="A2327" s="61" t="n">
        <f aca="false">INDEX(Datos_Origen!$A$2:$A$2459,$Z2327)</f>
        <v>2326</v>
      </c>
      <c r="B2327" s="62" t="n">
        <f aca="false">IF(ISNUMBER($AB2327),$AB2327,IF(MID($AB2327,5,1)="-",DATE(VALUE(LEFT($AB2327,4)),VALUE(MID($AB2327,6,2)),VALUE(RIGHT($AB2327,2))),DATE(VALUE(RIGHT($AB2327,4)),VALUE(MID($AB2327,4,2)),VALUE(LEFT($AB2327,2)))))</f>
        <v>45993</v>
      </c>
      <c r="C2327" s="61" t="n">
        <f aca="false">YEAR($B2327)</f>
        <v>2025</v>
      </c>
      <c r="D2327" s="61" t="str">
        <f aca="false">"Q"&amp;ROUNDUP(MONTH($B2327)/3,0)</f>
        <v>Q4</v>
      </c>
      <c r="E2327" s="61" t="n">
        <f aca="false">MONTH($B2327)</f>
        <v>12</v>
      </c>
      <c r="F2327" s="61" t="str">
        <f aca="false">INDEX(Parametros!$I$5:$I$16,$E2327)</f>
        <v>Dic</v>
      </c>
      <c r="G2327" s="61" t="str">
        <f aca="false">TEXT($C2327,"0000")&amp;"-"&amp;TEXT($E2327,"00")</f>
        <v>2025-12</v>
      </c>
      <c r="H2327" s="61" t="str">
        <f aca="false">INDEX(Parametros!$C$71:$C$91,MATCH(TRIM(INDEX(Datos_Origen!$C$2:$C$2459,$Z2327)),Parametros!$B$71:$B$91,0))</f>
        <v>Centro</v>
      </c>
      <c r="I2327" s="61" t="str">
        <f aca="false">IF(TRIM($AD2327)="",INDEX(Parametros!$I$20:$I$24,MATCH($H2327,Parametros!$H$20:$H$24,0)),TRIM($AD2327))</f>
        <v>Cordoba</v>
      </c>
      <c r="J2327" s="61" t="str">
        <f aca="false">INDEX(Parametros!$C$95:$C$106,MATCH(TRIM(INDEX(Datos_Origen!$E$2:$E$2459,$Z2327)),Parametros!$B$95:$B$106,0))</f>
        <v>E-commerce</v>
      </c>
      <c r="K2327" s="61" t="str">
        <f aca="false">INDEX(Parametros!$C$48:$C$67,MATCH(TRIM(INDEX(Datos_Origen!$F$2:$F$2459,$Z2327)),Parametros!$B$48:$B$67,0))</f>
        <v>Computacion</v>
      </c>
      <c r="L2327" s="61" t="str">
        <f aca="false">$K2327&amp;" "&amp;$C2327</f>
        <v>Computacion 2025</v>
      </c>
      <c r="M2327" s="61" t="str">
        <f aca="false">TRIM(INDEX(Datos_Origen!$G$2:$G$2459,$Z2327))</f>
        <v>PC Gamer Ryzen</v>
      </c>
      <c r="N2327" s="61" t="str">
        <f aca="false">$M2327&amp;" "&amp;$C2327</f>
        <v>PC Gamer Ryzen 2025</v>
      </c>
      <c r="O2327" s="63" t="n">
        <f aca="false">IF(ISTEXT($AC2327),VALUE($AC2327),$AC2327)</f>
        <v>11</v>
      </c>
      <c r="P2327" s="64" t="n">
        <f aca="false">INDEX(Datos_Origen!$I$2:$I$2459,$Z2327)</f>
        <v>1656.52</v>
      </c>
      <c r="Q2327" s="64" t="n">
        <f aca="false">INDEX(Datos_Origen!$J$2:$J$2459,$Z2327)</f>
        <v>1155.66</v>
      </c>
      <c r="R2327" s="65" t="n">
        <f aca="false">ROUND($O2327*$P2327,2)</f>
        <v>18221.72</v>
      </c>
      <c r="S2327" s="65" t="n">
        <f aca="false">ROUND($O2327*$Q2327,2)</f>
        <v>12712.26</v>
      </c>
      <c r="T2327" s="65" t="n">
        <f aca="false">ROUND($R2327*SUMIFS(Parametros!$E$28:$E$43,Parametros!$B$28:$B$43,$J2327,Parametros!$C$28:$C$43,$C2327,Parametros!$D$28:$D$43,$D2327),2)</f>
        <v>947.53</v>
      </c>
      <c r="U2327" s="65" t="n">
        <f aca="false">$R2327-$S2327-$T2327</f>
        <v>4561.93</v>
      </c>
      <c r="V2327" s="66" t="n">
        <f aca="false">IFERROR($U2327/$R2327,0)</f>
        <v>0.250356717148546</v>
      </c>
      <c r="W2327" s="67" t="str">
        <f aca="false">IF(AND($V2327&gt;=Parametros!$C$8,$R2327&gt;=Parametros!$C$12),"Alta rentabilidad",IF(OR($V2327&lt;Parametros!$C$11,$R2327&lt;Parametros!$C$13),"Revisar","Estandar"))</f>
        <v>Revisar</v>
      </c>
      <c r="X2327" s="67" t="str">
        <f aca="false">IF(AND($J2327="E-commerce",IFERROR($T2327/$R2327,0)&gt;Parametros!$C$14),"Alerta","OK")</f>
        <v>Alerta</v>
      </c>
      <c r="Y2327" s="61" t="str">
        <f aca="false">IF($R2327&gt;=Parametros!$C$12,"Alto",IF($R2327&lt;Parametros!$C$13,"Bajo","Medio"))</f>
        <v>Alto</v>
      </c>
      <c r="Z2327" s="61" t="n">
        <v>594</v>
      </c>
      <c r="AA2327" s="61" t="str">
        <f aca="false">IF(MATCH($A2327,Datos_Origen!$A$2:$A$2459,0)=$Z2327,"OK","REVISAR")</f>
        <v>OK</v>
      </c>
      <c r="AB2327" s="61" t="str">
        <f aca="false">INDEX(Datos_Origen!$B$2:$B$2459,$Z2327)</f>
        <v>02/12/2025</v>
      </c>
      <c r="AC2327" s="61" t="n">
        <f aca="false">INDEX(Datos_Origen!$H$2:$H$2459,$Z2327)</f>
        <v>11</v>
      </c>
      <c r="AD2327" s="61" t="str">
        <f aca="false">INDEX(Datos_Origen!$D$2:$D$2459,$Z2327)&amp;""</f>
        <v>Cordoba</v>
      </c>
    </row>
    <row r="2328" customFormat="false" ht="15" hidden="false" customHeight="false" outlineLevel="0" collapsed="false">
      <c r="A2328" s="61" t="n">
        <f aca="false">INDEX(Datos_Origen!$A$2:$A$2459,$Z2328)</f>
        <v>2327</v>
      </c>
      <c r="B2328" s="62" t="n">
        <f aca="false">IF(ISNUMBER($AB2328),$AB2328,IF(MID($AB2328,5,1)="-",DATE(VALUE(LEFT($AB2328,4)),VALUE(MID($AB2328,6,2)),VALUE(RIGHT($AB2328,2))),DATE(VALUE(RIGHT($AB2328,4)),VALUE(MID($AB2328,4,2)),VALUE(LEFT($AB2328,2)))))</f>
        <v>46000</v>
      </c>
      <c r="C2328" s="61" t="n">
        <f aca="false">YEAR($B2328)</f>
        <v>2025</v>
      </c>
      <c r="D2328" s="61" t="str">
        <f aca="false">"Q"&amp;ROUNDUP(MONTH($B2328)/3,0)</f>
        <v>Q4</v>
      </c>
      <c r="E2328" s="61" t="n">
        <f aca="false">MONTH($B2328)</f>
        <v>12</v>
      </c>
      <c r="F2328" s="61" t="str">
        <f aca="false">INDEX(Parametros!$I$5:$I$16,$E2328)</f>
        <v>Dic</v>
      </c>
      <c r="G2328" s="61" t="str">
        <f aca="false">TEXT($C2328,"0000")&amp;"-"&amp;TEXT($E2328,"00")</f>
        <v>2025-12</v>
      </c>
      <c r="H2328" s="61" t="str">
        <f aca="false">INDEX(Parametros!$C$71:$C$91,MATCH(TRIM(INDEX(Datos_Origen!$C$2:$C$2459,$Z2328)),Parametros!$B$71:$B$91,0))</f>
        <v>Centro</v>
      </c>
      <c r="I2328" s="61" t="str">
        <f aca="false">IF(TRIM($AD2328)="",INDEX(Parametros!$I$20:$I$24,MATCH($H2328,Parametros!$H$20:$H$24,0)),TRIM($AD2328))</f>
        <v>Cordoba</v>
      </c>
      <c r="J2328" s="61" t="str">
        <f aca="false">INDEX(Parametros!$C$95:$C$106,MATCH(TRIM(INDEX(Datos_Origen!$E$2:$E$2459,$Z2328)),Parametros!$B$95:$B$106,0))</f>
        <v>Tienda fisica</v>
      </c>
      <c r="K2328" s="61" t="str">
        <f aca="false">INDEX(Parametros!$C$48:$C$67,MATCH(TRIM(INDEX(Datos_Origen!$F$2:$F$2459,$Z2328)),Parametros!$B$48:$B$67,0))</f>
        <v>Accesorios</v>
      </c>
      <c r="L2328" s="61" t="str">
        <f aca="false">$K2328&amp;" "&amp;$C2328</f>
        <v>Accesorios 2025</v>
      </c>
      <c r="M2328" s="61" t="str">
        <f aca="false">TRIM(INDEX(Datos_Origen!$G$2:$G$2459,$Z2328))</f>
        <v>Mouse Inalambrico</v>
      </c>
      <c r="N2328" s="61" t="str">
        <f aca="false">$M2328&amp;" "&amp;$C2328</f>
        <v>Mouse Inalambrico 2025</v>
      </c>
      <c r="O2328" s="63" t="n">
        <f aca="false">IF(ISTEXT($AC2328),VALUE($AC2328),$AC2328)</f>
        <v>89</v>
      </c>
      <c r="P2328" s="64" t="n">
        <f aca="false">INDEX(Datos_Origen!$I$2:$I$2459,$Z2328)</f>
        <v>28.11</v>
      </c>
      <c r="Q2328" s="64" t="n">
        <f aca="false">INDEX(Datos_Origen!$J$2:$J$2459,$Z2328)</f>
        <v>13.84</v>
      </c>
      <c r="R2328" s="65" t="n">
        <f aca="false">ROUND($O2328*$P2328,2)</f>
        <v>2501.79</v>
      </c>
      <c r="S2328" s="65" t="n">
        <f aca="false">ROUND($O2328*$Q2328,2)</f>
        <v>1231.76</v>
      </c>
      <c r="T2328" s="65" t="n">
        <f aca="false">ROUND($R2328*SUMIFS(Parametros!$E$28:$E$43,Parametros!$B$28:$B$43,$J2328,Parametros!$C$28:$C$43,$C2328,Parametros!$D$28:$D$43,$D2328),2)</f>
        <v>32.52</v>
      </c>
      <c r="U2328" s="65" t="n">
        <f aca="false">$R2328-$S2328-$T2328</f>
        <v>1237.51</v>
      </c>
      <c r="V2328" s="66" t="n">
        <f aca="false">IFERROR($U2328/$R2328,0)</f>
        <v>0.494649830721204</v>
      </c>
      <c r="W2328" s="67" t="str">
        <f aca="false">IF(AND($V2328&gt;=Parametros!$C$8,$R2328&gt;=Parametros!$C$12),"Alta rentabilidad",IF(OR($V2328&lt;Parametros!$C$11,$R2328&lt;Parametros!$C$13),"Revisar","Estandar"))</f>
        <v>Estandar</v>
      </c>
      <c r="X2328" s="67" t="str">
        <f aca="false">IF(AND($J2328="E-commerce",IFERROR($T2328/$R2328,0)&gt;Parametros!$C$14),"Alerta","OK")</f>
        <v>OK</v>
      </c>
      <c r="Y2328" s="61" t="str">
        <f aca="false">IF($R2328&gt;=Parametros!$C$12,"Alto",IF($R2328&lt;Parametros!$C$13,"Bajo","Medio"))</f>
        <v>Medio</v>
      </c>
      <c r="Z2328" s="61" t="n">
        <v>557</v>
      </c>
      <c r="AA2328" s="61" t="str">
        <f aca="false">IF(MATCH($A2328,Datos_Origen!$A$2:$A$2459,0)=$Z2328,"OK","REVISAR")</f>
        <v>OK</v>
      </c>
      <c r="AB2328" s="62" t="n">
        <f aca="false">INDEX(Datos_Origen!$B$2:$B$2459,$Z2328)</f>
        <v>46000</v>
      </c>
      <c r="AC2328" s="61" t="n">
        <f aca="false">INDEX(Datos_Origen!$H$2:$H$2459,$Z2328)</f>
        <v>89</v>
      </c>
      <c r="AD2328" s="61" t="str">
        <f aca="false">INDEX(Datos_Origen!$D$2:$D$2459,$Z2328)&amp;""</f>
        <v>Cordoba</v>
      </c>
    </row>
    <row r="2329" customFormat="false" ht="15" hidden="false" customHeight="false" outlineLevel="0" collapsed="false">
      <c r="A2329" s="61" t="n">
        <f aca="false">INDEX(Datos_Origen!$A$2:$A$2459,$Z2329)</f>
        <v>2328</v>
      </c>
      <c r="B2329" s="62" t="n">
        <f aca="false">IF(ISNUMBER($AB2329),$AB2329,IF(MID($AB2329,5,1)="-",DATE(VALUE(LEFT($AB2329,4)),VALUE(MID($AB2329,6,2)),VALUE(RIGHT($AB2329,2))),DATE(VALUE(RIGHT($AB2329,4)),VALUE(MID($AB2329,4,2)),VALUE(LEFT($AB2329,2)))))</f>
        <v>46007</v>
      </c>
      <c r="C2329" s="61" t="n">
        <f aca="false">YEAR($B2329)</f>
        <v>2025</v>
      </c>
      <c r="D2329" s="61" t="str">
        <f aca="false">"Q"&amp;ROUNDUP(MONTH($B2329)/3,0)</f>
        <v>Q4</v>
      </c>
      <c r="E2329" s="61" t="n">
        <f aca="false">MONTH($B2329)</f>
        <v>12</v>
      </c>
      <c r="F2329" s="61" t="str">
        <f aca="false">INDEX(Parametros!$I$5:$I$16,$E2329)</f>
        <v>Dic</v>
      </c>
      <c r="G2329" s="61" t="str">
        <f aca="false">TEXT($C2329,"0000")&amp;"-"&amp;TEXT($E2329,"00")</f>
        <v>2025-12</v>
      </c>
      <c r="H2329" s="61" t="str">
        <f aca="false">INDEX(Parametros!$C$71:$C$91,MATCH(TRIM(INDEX(Datos_Origen!$C$2:$C$2459,$Z2329)),Parametros!$B$71:$B$91,0))</f>
        <v>Centro</v>
      </c>
      <c r="I2329" s="61" t="str">
        <f aca="false">IF(TRIM($AD2329)="",INDEX(Parametros!$I$20:$I$24,MATCH($H2329,Parametros!$H$20:$H$24,0)),TRIM($AD2329))</f>
        <v>Cordoba</v>
      </c>
      <c r="J2329" s="61" t="str">
        <f aca="false">INDEX(Parametros!$C$95:$C$106,MATCH(TRIM(INDEX(Datos_Origen!$E$2:$E$2459,$Z2329)),Parametros!$B$95:$B$106,0))</f>
        <v>E-commerce</v>
      </c>
      <c r="K2329" s="61" t="str">
        <f aca="false">INDEX(Parametros!$C$48:$C$67,MATCH(TRIM(INDEX(Datos_Origen!$F$2:$F$2459,$Z2329)),Parametros!$B$48:$B$67,0))</f>
        <v>Accesorios</v>
      </c>
      <c r="L2329" s="61" t="str">
        <f aca="false">$K2329&amp;" "&amp;$C2329</f>
        <v>Accesorios 2025</v>
      </c>
      <c r="M2329" s="61" t="str">
        <f aca="false">TRIM(INDEX(Datos_Origen!$G$2:$G$2459,$Z2329))</f>
        <v>Mouse Inalambrico</v>
      </c>
      <c r="N2329" s="61" t="str">
        <f aca="false">$M2329&amp;" "&amp;$C2329</f>
        <v>Mouse Inalambrico 2025</v>
      </c>
      <c r="O2329" s="63" t="n">
        <f aca="false">IF(ISTEXT($AC2329),VALUE($AC2329),$AC2329)</f>
        <v>57</v>
      </c>
      <c r="P2329" s="64" t="n">
        <f aca="false">INDEX(Datos_Origen!$I$2:$I$2459,$Z2329)</f>
        <v>28.11</v>
      </c>
      <c r="Q2329" s="64" t="n">
        <f aca="false">INDEX(Datos_Origen!$J$2:$J$2459,$Z2329)</f>
        <v>13.84</v>
      </c>
      <c r="R2329" s="65" t="n">
        <f aca="false">ROUND($O2329*$P2329,2)</f>
        <v>1602.27</v>
      </c>
      <c r="S2329" s="65" t="n">
        <f aca="false">ROUND($O2329*$Q2329,2)</f>
        <v>788.88</v>
      </c>
      <c r="T2329" s="65" t="n">
        <f aca="false">ROUND($R2329*SUMIFS(Parametros!$E$28:$E$43,Parametros!$B$28:$B$43,$J2329,Parametros!$C$28:$C$43,$C2329,Parametros!$D$28:$D$43,$D2329),2)</f>
        <v>83.32</v>
      </c>
      <c r="U2329" s="65" t="n">
        <f aca="false">$R2329-$S2329-$T2329</f>
        <v>730.07</v>
      </c>
      <c r="V2329" s="66" t="n">
        <f aca="false">IFERROR($U2329/$R2329,0)</f>
        <v>0.455647300392568</v>
      </c>
      <c r="W2329" s="67" t="str">
        <f aca="false">IF(AND($V2329&gt;=Parametros!$C$8,$R2329&gt;=Parametros!$C$12),"Alta rentabilidad",IF(OR($V2329&lt;Parametros!$C$11,$R2329&lt;Parametros!$C$13),"Revisar","Estandar"))</f>
        <v>Estandar</v>
      </c>
      <c r="X2329" s="67" t="str">
        <f aca="false">IF(AND($J2329="E-commerce",IFERROR($T2329/$R2329,0)&gt;Parametros!$C$14),"Alerta","OK")</f>
        <v>Alerta</v>
      </c>
      <c r="Y2329" s="61" t="str">
        <f aca="false">IF($R2329&gt;=Parametros!$C$12,"Alto",IF($R2329&lt;Parametros!$C$13,"Bajo","Medio"))</f>
        <v>Medio</v>
      </c>
      <c r="Z2329" s="61" t="n">
        <v>2073</v>
      </c>
      <c r="AA2329" s="61" t="str">
        <f aca="false">IF(MATCH($A2329,Datos_Origen!$A$2:$A$2459,0)=$Z2329,"OK","REVISAR")</f>
        <v>OK</v>
      </c>
      <c r="AB2329" s="61" t="str">
        <f aca="false">INDEX(Datos_Origen!$B$2:$B$2459,$Z2329)</f>
        <v>16/12/2025</v>
      </c>
      <c r="AC2329" s="61" t="n">
        <f aca="false">INDEX(Datos_Origen!$H$2:$H$2459,$Z2329)</f>
        <v>57</v>
      </c>
      <c r="AD2329" s="61" t="str">
        <f aca="false">INDEX(Datos_Origen!$D$2:$D$2459,$Z2329)&amp;""</f>
        <v>Cordoba</v>
      </c>
    </row>
    <row r="2330" customFormat="false" ht="15" hidden="false" customHeight="false" outlineLevel="0" collapsed="false">
      <c r="A2330" s="61" t="n">
        <f aca="false">INDEX(Datos_Origen!$A$2:$A$2459,$Z2330)</f>
        <v>2329</v>
      </c>
      <c r="B2330" s="62" t="n">
        <f aca="false">IF(ISNUMBER($AB2330),$AB2330,IF(MID($AB2330,5,1)="-",DATE(VALUE(LEFT($AB2330,4)),VALUE(MID($AB2330,6,2)),VALUE(RIGHT($AB2330,2))),DATE(VALUE(RIGHT($AB2330,4)),VALUE(MID($AB2330,4,2)),VALUE(LEFT($AB2330,2)))))</f>
        <v>46014</v>
      </c>
      <c r="C2330" s="61" t="n">
        <f aca="false">YEAR($B2330)</f>
        <v>2025</v>
      </c>
      <c r="D2330" s="61" t="str">
        <f aca="false">"Q"&amp;ROUNDUP(MONTH($B2330)/3,0)</f>
        <v>Q4</v>
      </c>
      <c r="E2330" s="61" t="n">
        <f aca="false">MONTH($B2330)</f>
        <v>12</v>
      </c>
      <c r="F2330" s="61" t="str">
        <f aca="false">INDEX(Parametros!$I$5:$I$16,$E2330)</f>
        <v>Dic</v>
      </c>
      <c r="G2330" s="61" t="str">
        <f aca="false">TEXT($C2330,"0000")&amp;"-"&amp;TEXT($E2330,"00")</f>
        <v>2025-12</v>
      </c>
      <c r="H2330" s="61" t="str">
        <f aca="false">INDEX(Parametros!$C$71:$C$91,MATCH(TRIM(INDEX(Datos_Origen!$C$2:$C$2459,$Z2330)),Parametros!$B$71:$B$91,0))</f>
        <v>Centro</v>
      </c>
      <c r="I2330" s="61" t="str">
        <f aca="false">IF(TRIM($AD2330)="",INDEX(Parametros!$I$20:$I$24,MATCH($H2330,Parametros!$H$20:$H$24,0)),TRIM($AD2330))</f>
        <v>Cordoba</v>
      </c>
      <c r="J2330" s="61" t="str">
        <f aca="false">INDEX(Parametros!$C$95:$C$106,MATCH(TRIM(INDEX(Datos_Origen!$E$2:$E$2459,$Z2330)),Parametros!$B$95:$B$106,0))</f>
        <v>Tienda fisica</v>
      </c>
      <c r="K2330" s="61" t="str">
        <f aca="false">INDEX(Parametros!$C$48:$C$67,MATCH(TRIM(INDEX(Datos_Origen!$F$2:$F$2459,$Z2330)),Parametros!$B$48:$B$67,0))</f>
        <v>Accesorios</v>
      </c>
      <c r="L2330" s="61" t="str">
        <f aca="false">$K2330&amp;" "&amp;$C2330</f>
        <v>Accesorios 2025</v>
      </c>
      <c r="M2330" s="61" t="str">
        <f aca="false">TRIM(INDEX(Datos_Origen!$G$2:$G$2459,$Z2330))</f>
        <v>Teclado Mecanico</v>
      </c>
      <c r="N2330" s="61" t="str">
        <f aca="false">$M2330&amp;" "&amp;$C2330</f>
        <v>Teclado Mecanico 2025</v>
      </c>
      <c r="O2330" s="63" t="n">
        <f aca="false">IF(ISTEXT($AC2330),VALUE($AC2330),$AC2330)</f>
        <v>73</v>
      </c>
      <c r="P2330" s="64" t="n">
        <f aca="false">INDEX(Datos_Origen!$I$2:$I$2459,$Z2330)</f>
        <v>95.38</v>
      </c>
      <c r="Q2330" s="64" t="n">
        <f aca="false">INDEX(Datos_Origen!$J$2:$J$2459,$Z2330)</f>
        <v>49.41</v>
      </c>
      <c r="R2330" s="65" t="n">
        <f aca="false">ROUND($O2330*$P2330,2)</f>
        <v>6962.74</v>
      </c>
      <c r="S2330" s="65" t="n">
        <f aca="false">ROUND($O2330*$Q2330,2)</f>
        <v>3606.93</v>
      </c>
      <c r="T2330" s="65" t="n">
        <f aca="false">ROUND($R2330*SUMIFS(Parametros!$E$28:$E$43,Parametros!$B$28:$B$43,$J2330,Parametros!$C$28:$C$43,$C2330,Parametros!$D$28:$D$43,$D2330),2)</f>
        <v>90.52</v>
      </c>
      <c r="U2330" s="65" t="n">
        <f aca="false">$R2330-$S2330-$T2330</f>
        <v>3265.29</v>
      </c>
      <c r="V2330" s="66" t="n">
        <f aca="false">IFERROR($U2330/$R2330,0)</f>
        <v>0.46896624030195</v>
      </c>
      <c r="W2330" s="67" t="str">
        <f aca="false">IF(AND($V2330&gt;=Parametros!$C$8,$R2330&gt;=Parametros!$C$12),"Alta rentabilidad",IF(OR($V2330&lt;Parametros!$C$11,$R2330&lt;Parametros!$C$13),"Revisar","Estandar"))</f>
        <v>Alta rentabilidad</v>
      </c>
      <c r="X2330" s="67" t="str">
        <f aca="false">IF(AND($J2330="E-commerce",IFERROR($T2330/$R2330,0)&gt;Parametros!$C$14),"Alerta","OK")</f>
        <v>OK</v>
      </c>
      <c r="Y2330" s="61" t="str">
        <f aca="false">IF($R2330&gt;=Parametros!$C$12,"Alto",IF($R2330&lt;Parametros!$C$13,"Bajo","Medio"))</f>
        <v>Alto</v>
      </c>
      <c r="Z2330" s="61" t="n">
        <v>1899</v>
      </c>
      <c r="AA2330" s="61" t="str">
        <f aca="false">IF(MATCH($A2330,Datos_Origen!$A$2:$A$2459,0)=$Z2330,"OK","REVISAR")</f>
        <v>OK</v>
      </c>
      <c r="AB2330" s="62" t="n">
        <f aca="false">INDEX(Datos_Origen!$B$2:$B$2459,$Z2330)</f>
        <v>46014</v>
      </c>
      <c r="AC2330" s="61" t="n">
        <f aca="false">INDEX(Datos_Origen!$H$2:$H$2459,$Z2330)</f>
        <v>73</v>
      </c>
      <c r="AD2330" s="61" t="str">
        <f aca="false">INDEX(Datos_Origen!$D$2:$D$2459,$Z2330)&amp;""</f>
        <v>Cordoba</v>
      </c>
    </row>
    <row r="2331" customFormat="false" ht="15" hidden="false" customHeight="false" outlineLevel="0" collapsed="false">
      <c r="A2331" s="61" t="n">
        <f aca="false">INDEX(Datos_Origen!$A$2:$A$2459,$Z2331)</f>
        <v>2330</v>
      </c>
      <c r="B2331" s="62" t="n">
        <f aca="false">IF(ISNUMBER($AB2331),$AB2331,IF(MID($AB2331,5,1)="-",DATE(VALUE(LEFT($AB2331,4)),VALUE(MID($AB2331,6,2)),VALUE(RIGHT($AB2331,2))),DATE(VALUE(RIGHT($AB2331,4)),VALUE(MID($AB2331,4,2)),VALUE(LEFT($AB2331,2)))))</f>
        <v>45994</v>
      </c>
      <c r="C2331" s="61" t="n">
        <f aca="false">YEAR($B2331)</f>
        <v>2025</v>
      </c>
      <c r="D2331" s="61" t="str">
        <f aca="false">"Q"&amp;ROUNDUP(MONTH($B2331)/3,0)</f>
        <v>Q4</v>
      </c>
      <c r="E2331" s="61" t="n">
        <f aca="false">MONTH($B2331)</f>
        <v>12</v>
      </c>
      <c r="F2331" s="61" t="str">
        <f aca="false">INDEX(Parametros!$I$5:$I$16,$E2331)</f>
        <v>Dic</v>
      </c>
      <c r="G2331" s="61" t="str">
        <f aca="false">TEXT($C2331,"0000")&amp;"-"&amp;TEXT($E2331,"00")</f>
        <v>2025-12</v>
      </c>
      <c r="H2331" s="61" t="str">
        <f aca="false">INDEX(Parametros!$C$71:$C$91,MATCH(TRIM(INDEX(Datos_Origen!$C$2:$C$2459,$Z2331)),Parametros!$B$71:$B$91,0))</f>
        <v>Centro</v>
      </c>
      <c r="I2331" s="61" t="str">
        <f aca="false">IF(TRIM($AD2331)="",INDEX(Parametros!$I$20:$I$24,MATCH($H2331,Parametros!$H$20:$H$24,0)),TRIM($AD2331))</f>
        <v>Cordoba</v>
      </c>
      <c r="J2331" s="61" t="str">
        <f aca="false">INDEX(Parametros!$C$95:$C$106,MATCH(TRIM(INDEX(Datos_Origen!$E$2:$E$2459,$Z2331)),Parametros!$B$95:$B$106,0))</f>
        <v>E-commerce</v>
      </c>
      <c r="K2331" s="61" t="str">
        <f aca="false">INDEX(Parametros!$C$48:$C$67,MATCH(TRIM(INDEX(Datos_Origen!$F$2:$F$2459,$Z2331)),Parametros!$B$48:$B$67,0))</f>
        <v>Accesorios</v>
      </c>
      <c r="L2331" s="61" t="str">
        <f aca="false">$K2331&amp;" "&amp;$C2331</f>
        <v>Accesorios 2025</v>
      </c>
      <c r="M2331" s="61" t="str">
        <f aca="false">TRIM(INDEX(Datos_Origen!$G$2:$G$2459,$Z2331))</f>
        <v>Teclado Mecanico</v>
      </c>
      <c r="N2331" s="61" t="str">
        <f aca="false">$M2331&amp;" "&amp;$C2331</f>
        <v>Teclado Mecanico 2025</v>
      </c>
      <c r="O2331" s="63" t="n">
        <f aca="false">IF(ISTEXT($AC2331),VALUE($AC2331),$AC2331)</f>
        <v>58</v>
      </c>
      <c r="P2331" s="64" t="n">
        <f aca="false">INDEX(Datos_Origen!$I$2:$I$2459,$Z2331)</f>
        <v>95.38</v>
      </c>
      <c r="Q2331" s="64" t="n">
        <f aca="false">INDEX(Datos_Origen!$J$2:$J$2459,$Z2331)</f>
        <v>49.41</v>
      </c>
      <c r="R2331" s="65" t="n">
        <f aca="false">ROUND($O2331*$P2331,2)</f>
        <v>5532.04</v>
      </c>
      <c r="S2331" s="65" t="n">
        <f aca="false">ROUND($O2331*$Q2331,2)</f>
        <v>2865.78</v>
      </c>
      <c r="T2331" s="65" t="n">
        <f aca="false">ROUND($R2331*SUMIFS(Parametros!$E$28:$E$43,Parametros!$B$28:$B$43,$J2331,Parametros!$C$28:$C$43,$C2331,Parametros!$D$28:$D$43,$D2331),2)</f>
        <v>287.67</v>
      </c>
      <c r="U2331" s="65" t="n">
        <f aca="false">$R2331-$S2331-$T2331</f>
        <v>2378.59</v>
      </c>
      <c r="V2331" s="66" t="n">
        <f aca="false">IFERROR($U2331/$R2331,0)</f>
        <v>0.429966160765287</v>
      </c>
      <c r="W2331" s="67" t="str">
        <f aca="false">IF(AND($V2331&gt;=Parametros!$C$8,$R2331&gt;=Parametros!$C$12),"Alta rentabilidad",IF(OR($V2331&lt;Parametros!$C$11,$R2331&lt;Parametros!$C$13),"Revisar","Estandar"))</f>
        <v>Alta rentabilidad</v>
      </c>
      <c r="X2331" s="67" t="str">
        <f aca="false">IF(AND($J2331="E-commerce",IFERROR($T2331/$R2331,0)&gt;Parametros!$C$14),"Alerta","OK")</f>
        <v>Alerta</v>
      </c>
      <c r="Y2331" s="61" t="str">
        <f aca="false">IF($R2331&gt;=Parametros!$C$12,"Alto",IF($R2331&lt;Parametros!$C$13,"Bajo","Medio"))</f>
        <v>Alto</v>
      </c>
      <c r="Z2331" s="61" t="n">
        <v>834</v>
      </c>
      <c r="AA2331" s="61" t="str">
        <f aca="false">IF(MATCH($A2331,Datos_Origen!$A$2:$A$2459,0)=$Z2331,"OK","REVISAR")</f>
        <v>OK</v>
      </c>
      <c r="AB2331" s="61" t="str">
        <f aca="false">INDEX(Datos_Origen!$B$2:$B$2459,$Z2331)</f>
        <v>2025-12-03</v>
      </c>
      <c r="AC2331" s="61" t="n">
        <f aca="false">INDEX(Datos_Origen!$H$2:$H$2459,$Z2331)</f>
        <v>58</v>
      </c>
      <c r="AD2331" s="61" t="str">
        <f aca="false">INDEX(Datos_Origen!$D$2:$D$2459,$Z2331)&amp;""</f>
        <v>Cordoba</v>
      </c>
    </row>
    <row r="2332" customFormat="false" ht="15" hidden="false" customHeight="false" outlineLevel="0" collapsed="false">
      <c r="A2332" s="61" t="n">
        <f aca="false">INDEX(Datos_Origen!$A$2:$A$2459,$Z2332)</f>
        <v>2331</v>
      </c>
      <c r="B2332" s="62" t="n">
        <f aca="false">IF(ISNUMBER($AB2332),$AB2332,IF(MID($AB2332,5,1)="-",DATE(VALUE(LEFT($AB2332,4)),VALUE(MID($AB2332,6,2)),VALUE(RIGHT($AB2332,2))),DATE(VALUE(RIGHT($AB2332,4)),VALUE(MID($AB2332,4,2)),VALUE(LEFT($AB2332,2)))))</f>
        <v>46001</v>
      </c>
      <c r="C2332" s="61" t="n">
        <f aca="false">YEAR($B2332)</f>
        <v>2025</v>
      </c>
      <c r="D2332" s="61" t="str">
        <f aca="false">"Q"&amp;ROUNDUP(MONTH($B2332)/3,0)</f>
        <v>Q4</v>
      </c>
      <c r="E2332" s="61" t="n">
        <f aca="false">MONTH($B2332)</f>
        <v>12</v>
      </c>
      <c r="F2332" s="61" t="str">
        <f aca="false">INDEX(Parametros!$I$5:$I$16,$E2332)</f>
        <v>Dic</v>
      </c>
      <c r="G2332" s="61" t="str">
        <f aca="false">TEXT($C2332,"0000")&amp;"-"&amp;TEXT($E2332,"00")</f>
        <v>2025-12</v>
      </c>
      <c r="H2332" s="61" t="str">
        <f aca="false">INDEX(Parametros!$C$71:$C$91,MATCH(TRIM(INDEX(Datos_Origen!$C$2:$C$2459,$Z2332)),Parametros!$B$71:$B$91,0))</f>
        <v>Centro</v>
      </c>
      <c r="I2332" s="61" t="str">
        <f aca="false">IF(TRIM($AD2332)="",INDEX(Parametros!$I$20:$I$24,MATCH($H2332,Parametros!$H$20:$H$24,0)),TRIM($AD2332))</f>
        <v>Cordoba</v>
      </c>
      <c r="J2332" s="61" t="str">
        <f aca="false">INDEX(Parametros!$C$95:$C$106,MATCH(TRIM(INDEX(Datos_Origen!$E$2:$E$2459,$Z2332)),Parametros!$B$95:$B$106,0))</f>
        <v>Tienda fisica</v>
      </c>
      <c r="K2332" s="61" t="str">
        <f aca="false">INDEX(Parametros!$C$48:$C$67,MATCH(TRIM(INDEX(Datos_Origen!$F$2:$F$2459,$Z2332)),Parametros!$B$48:$B$67,0))</f>
        <v>Accesorios</v>
      </c>
      <c r="L2332" s="61" t="str">
        <f aca="false">$K2332&amp;" "&amp;$C2332</f>
        <v>Accesorios 2025</v>
      </c>
      <c r="M2332" s="61" t="str">
        <f aca="false">TRIM(INDEX(Datos_Origen!$G$2:$G$2459,$Z2332))</f>
        <v>Webcam Full HD</v>
      </c>
      <c r="N2332" s="61" t="str">
        <f aca="false">$M2332&amp;" "&amp;$C2332</f>
        <v>Webcam Full HD 2025</v>
      </c>
      <c r="O2332" s="63" t="n">
        <f aca="false">IF(ISTEXT($AC2332),VALUE($AC2332),$AC2332)</f>
        <v>72</v>
      </c>
      <c r="P2332" s="64" t="n">
        <f aca="false">INDEX(Datos_Origen!$I$2:$I$2459,$Z2332)</f>
        <v>65.26</v>
      </c>
      <c r="Q2332" s="64" t="n">
        <f aca="false">INDEX(Datos_Origen!$J$2:$J$2459,$Z2332)</f>
        <v>36.49</v>
      </c>
      <c r="R2332" s="65" t="n">
        <f aca="false">ROUND($O2332*$P2332,2)</f>
        <v>4698.72</v>
      </c>
      <c r="S2332" s="65" t="n">
        <f aca="false">ROUND($O2332*$Q2332,2)</f>
        <v>2627.28</v>
      </c>
      <c r="T2332" s="65" t="n">
        <f aca="false">ROUND($R2332*SUMIFS(Parametros!$E$28:$E$43,Parametros!$B$28:$B$43,$J2332,Parametros!$C$28:$C$43,$C2332,Parametros!$D$28:$D$43,$D2332),2)</f>
        <v>61.08</v>
      </c>
      <c r="U2332" s="65" t="n">
        <f aca="false">$R2332-$S2332-$T2332</f>
        <v>2010.36</v>
      </c>
      <c r="V2332" s="66" t="n">
        <f aca="false">IFERROR($U2332/$R2332,0)</f>
        <v>0.427852691796915</v>
      </c>
      <c r="W2332" s="67" t="str">
        <f aca="false">IF(AND($V2332&gt;=Parametros!$C$8,$R2332&gt;=Parametros!$C$12),"Alta rentabilidad",IF(OR($V2332&lt;Parametros!$C$11,$R2332&lt;Parametros!$C$13),"Revisar","Estandar"))</f>
        <v>Alta rentabilidad</v>
      </c>
      <c r="X2332" s="67" t="str">
        <f aca="false">IF(AND($J2332="E-commerce",IFERROR($T2332/$R2332,0)&gt;Parametros!$C$14),"Alerta","OK")</f>
        <v>OK</v>
      </c>
      <c r="Y2332" s="61" t="str">
        <f aca="false">IF($R2332&gt;=Parametros!$C$12,"Alto",IF($R2332&lt;Parametros!$C$13,"Bajo","Medio"))</f>
        <v>Alto</v>
      </c>
      <c r="Z2332" s="61" t="n">
        <v>2118</v>
      </c>
      <c r="AA2332" s="61" t="str">
        <f aca="false">IF(MATCH($A2332,Datos_Origen!$A$2:$A$2459,0)=$Z2332,"OK","REVISAR")</f>
        <v>OK</v>
      </c>
      <c r="AB2332" s="62" t="n">
        <f aca="false">INDEX(Datos_Origen!$B$2:$B$2459,$Z2332)</f>
        <v>46001</v>
      </c>
      <c r="AC2332" s="61" t="n">
        <f aca="false">INDEX(Datos_Origen!$H$2:$H$2459,$Z2332)</f>
        <v>72</v>
      </c>
      <c r="AD2332" s="61" t="str">
        <f aca="false">INDEX(Datos_Origen!$D$2:$D$2459,$Z2332)&amp;""</f>
        <v>Cordoba</v>
      </c>
    </row>
    <row r="2333" customFormat="false" ht="15" hidden="false" customHeight="false" outlineLevel="0" collapsed="false">
      <c r="A2333" s="61" t="n">
        <f aca="false">INDEX(Datos_Origen!$A$2:$A$2459,$Z2333)</f>
        <v>2332</v>
      </c>
      <c r="B2333" s="62" t="n">
        <f aca="false">IF(ISNUMBER($AB2333),$AB2333,IF(MID($AB2333,5,1)="-",DATE(VALUE(LEFT($AB2333,4)),VALUE(MID($AB2333,6,2)),VALUE(RIGHT($AB2333,2))),DATE(VALUE(RIGHT($AB2333,4)),VALUE(MID($AB2333,4,2)),VALUE(LEFT($AB2333,2)))))</f>
        <v>46008</v>
      </c>
      <c r="C2333" s="61" t="n">
        <f aca="false">YEAR($B2333)</f>
        <v>2025</v>
      </c>
      <c r="D2333" s="61" t="str">
        <f aca="false">"Q"&amp;ROUNDUP(MONTH($B2333)/3,0)</f>
        <v>Q4</v>
      </c>
      <c r="E2333" s="61" t="n">
        <f aca="false">MONTH($B2333)</f>
        <v>12</v>
      </c>
      <c r="F2333" s="61" t="str">
        <f aca="false">INDEX(Parametros!$I$5:$I$16,$E2333)</f>
        <v>Dic</v>
      </c>
      <c r="G2333" s="61" t="str">
        <f aca="false">TEXT($C2333,"0000")&amp;"-"&amp;TEXT($E2333,"00")</f>
        <v>2025-12</v>
      </c>
      <c r="H2333" s="61" t="str">
        <f aca="false">INDEX(Parametros!$C$71:$C$91,MATCH(TRIM(INDEX(Datos_Origen!$C$2:$C$2459,$Z2333)),Parametros!$B$71:$B$91,0))</f>
        <v>Centro</v>
      </c>
      <c r="I2333" s="61" t="str">
        <f aca="false">IF(TRIM($AD2333)="",INDEX(Parametros!$I$20:$I$24,MATCH($H2333,Parametros!$H$20:$H$24,0)),TRIM($AD2333))</f>
        <v>Cordoba</v>
      </c>
      <c r="J2333" s="61" t="str">
        <f aca="false">INDEX(Parametros!$C$95:$C$106,MATCH(TRIM(INDEX(Datos_Origen!$E$2:$E$2459,$Z2333)),Parametros!$B$95:$B$106,0))</f>
        <v>E-commerce</v>
      </c>
      <c r="K2333" s="61" t="str">
        <f aca="false">INDEX(Parametros!$C$48:$C$67,MATCH(TRIM(INDEX(Datos_Origen!$F$2:$F$2459,$Z2333)),Parametros!$B$48:$B$67,0))</f>
        <v>Accesorios</v>
      </c>
      <c r="L2333" s="61" t="str">
        <f aca="false">$K2333&amp;" "&amp;$C2333</f>
        <v>Accesorios 2025</v>
      </c>
      <c r="M2333" s="61" t="str">
        <f aca="false">TRIM(INDEX(Datos_Origen!$G$2:$G$2459,$Z2333))</f>
        <v>Webcam Full HD</v>
      </c>
      <c r="N2333" s="61" t="str">
        <f aca="false">$M2333&amp;" "&amp;$C2333</f>
        <v>Webcam Full HD 2025</v>
      </c>
      <c r="O2333" s="63" t="n">
        <f aca="false">IF(ISTEXT($AC2333),VALUE($AC2333),$AC2333)</f>
        <v>50</v>
      </c>
      <c r="P2333" s="64" t="n">
        <f aca="false">INDEX(Datos_Origen!$I$2:$I$2459,$Z2333)</f>
        <v>65.26</v>
      </c>
      <c r="Q2333" s="64" t="n">
        <f aca="false">INDEX(Datos_Origen!$J$2:$J$2459,$Z2333)</f>
        <v>36.49</v>
      </c>
      <c r="R2333" s="65" t="n">
        <f aca="false">ROUND($O2333*$P2333,2)</f>
        <v>3263</v>
      </c>
      <c r="S2333" s="65" t="n">
        <f aca="false">ROUND($O2333*$Q2333,2)</f>
        <v>1824.5</v>
      </c>
      <c r="T2333" s="65" t="n">
        <f aca="false">ROUND($R2333*SUMIFS(Parametros!$E$28:$E$43,Parametros!$B$28:$B$43,$J2333,Parametros!$C$28:$C$43,$C2333,Parametros!$D$28:$D$43,$D2333),2)</f>
        <v>169.68</v>
      </c>
      <c r="U2333" s="65" t="n">
        <f aca="false">$R2333-$S2333-$T2333</f>
        <v>1268.82</v>
      </c>
      <c r="V2333" s="66" t="n">
        <f aca="false">IFERROR($U2333/$R2333,0)</f>
        <v>0.388850750842783</v>
      </c>
      <c r="W2333" s="67" t="str">
        <f aca="false">IF(AND($V2333&gt;=Parametros!$C$8,$R2333&gt;=Parametros!$C$12),"Alta rentabilidad",IF(OR($V2333&lt;Parametros!$C$11,$R2333&lt;Parametros!$C$13),"Revisar","Estandar"))</f>
        <v>Alta rentabilidad</v>
      </c>
      <c r="X2333" s="67" t="str">
        <f aca="false">IF(AND($J2333="E-commerce",IFERROR($T2333/$R2333,0)&gt;Parametros!$C$14),"Alerta","OK")</f>
        <v>Alerta</v>
      </c>
      <c r="Y2333" s="61" t="str">
        <f aca="false">IF($R2333&gt;=Parametros!$C$12,"Alto",IF($R2333&lt;Parametros!$C$13,"Bajo","Medio"))</f>
        <v>Alto</v>
      </c>
      <c r="Z2333" s="61" t="n">
        <v>1340</v>
      </c>
      <c r="AA2333" s="61" t="str">
        <f aca="false">IF(MATCH($A2333,Datos_Origen!$A$2:$A$2459,0)=$Z2333,"OK","REVISAR")</f>
        <v>OK</v>
      </c>
      <c r="AB2333" s="61" t="str">
        <f aca="false">INDEX(Datos_Origen!$B$2:$B$2459,$Z2333)</f>
        <v>17/12/2025</v>
      </c>
      <c r="AC2333" s="61" t="n">
        <f aca="false">INDEX(Datos_Origen!$H$2:$H$2459,$Z2333)</f>
        <v>50</v>
      </c>
      <c r="AD2333" s="61" t="str">
        <f aca="false">INDEX(Datos_Origen!$D$2:$D$2459,$Z2333)&amp;""</f>
        <v>Cordoba</v>
      </c>
    </row>
    <row r="2334" customFormat="false" ht="15" hidden="false" customHeight="false" outlineLevel="0" collapsed="false">
      <c r="A2334" s="61" t="n">
        <f aca="false">INDEX(Datos_Origen!$A$2:$A$2459,$Z2334)</f>
        <v>2333</v>
      </c>
      <c r="B2334" s="62" t="n">
        <f aca="false">IF(ISNUMBER($AB2334),$AB2334,IF(MID($AB2334,5,1)="-",DATE(VALUE(LEFT($AB2334,4)),VALUE(MID($AB2334,6,2)),VALUE(RIGHT($AB2334,2))),DATE(VALUE(RIGHT($AB2334,4)),VALUE(MID($AB2334,4,2)),VALUE(LEFT($AB2334,2)))))</f>
        <v>46015</v>
      </c>
      <c r="C2334" s="61" t="n">
        <f aca="false">YEAR($B2334)</f>
        <v>2025</v>
      </c>
      <c r="D2334" s="61" t="str">
        <f aca="false">"Q"&amp;ROUNDUP(MONTH($B2334)/3,0)</f>
        <v>Q4</v>
      </c>
      <c r="E2334" s="61" t="n">
        <f aca="false">MONTH($B2334)</f>
        <v>12</v>
      </c>
      <c r="F2334" s="61" t="str">
        <f aca="false">INDEX(Parametros!$I$5:$I$16,$E2334)</f>
        <v>Dic</v>
      </c>
      <c r="G2334" s="61" t="str">
        <f aca="false">TEXT($C2334,"0000")&amp;"-"&amp;TEXT($E2334,"00")</f>
        <v>2025-12</v>
      </c>
      <c r="H2334" s="61" t="str">
        <f aca="false">INDEX(Parametros!$C$71:$C$91,MATCH(TRIM(INDEX(Datos_Origen!$C$2:$C$2459,$Z2334)),Parametros!$B$71:$B$91,0))</f>
        <v>Centro</v>
      </c>
      <c r="I2334" s="61" t="str">
        <f aca="false">IF(TRIM($AD2334)="",INDEX(Parametros!$I$20:$I$24,MATCH($H2334,Parametros!$H$20:$H$24,0)),TRIM($AD2334))</f>
        <v>Cordoba</v>
      </c>
      <c r="J2334" s="61" t="str">
        <f aca="false">INDEX(Parametros!$C$95:$C$106,MATCH(TRIM(INDEX(Datos_Origen!$E$2:$E$2459,$Z2334)),Parametros!$B$95:$B$106,0))</f>
        <v>Tienda fisica</v>
      </c>
      <c r="K2334" s="61" t="str">
        <f aca="false">INDEX(Parametros!$C$48:$C$67,MATCH(TRIM(INDEX(Datos_Origen!$F$2:$F$2459,$Z2334)),Parametros!$B$48:$B$67,0))</f>
        <v>Audio</v>
      </c>
      <c r="L2334" s="61" t="str">
        <f aca="false">$K2334&amp;" "&amp;$C2334</f>
        <v>Audio 2025</v>
      </c>
      <c r="M2334" s="61" t="str">
        <f aca="false">TRIM(INDEX(Datos_Origen!$G$2:$G$2459,$Z2334))</f>
        <v>Auriculares BT Pro</v>
      </c>
      <c r="N2334" s="61" t="str">
        <f aca="false">$M2334&amp;" "&amp;$C2334</f>
        <v>Auriculares BT Pro 2025</v>
      </c>
      <c r="O2334" s="63" t="n">
        <f aca="false">IF(ISTEXT($AC2334),VALUE($AC2334),$AC2334)</f>
        <v>41</v>
      </c>
      <c r="P2334" s="64" t="n">
        <f aca="false">INDEX(Datos_Origen!$I$2:$I$2459,$Z2334)</f>
        <v>120.47</v>
      </c>
      <c r="Q2334" s="64" t="n">
        <f aca="false">INDEX(Datos_Origen!$J$2:$J$2459,$Z2334)</f>
        <v>65.51</v>
      </c>
      <c r="R2334" s="65" t="n">
        <f aca="false">ROUND($O2334*$P2334,2)</f>
        <v>4939.27</v>
      </c>
      <c r="S2334" s="65" t="n">
        <f aca="false">ROUND($O2334*$Q2334,2)</f>
        <v>2685.91</v>
      </c>
      <c r="T2334" s="65" t="n">
        <f aca="false">ROUND($R2334*SUMIFS(Parametros!$E$28:$E$43,Parametros!$B$28:$B$43,$J2334,Parametros!$C$28:$C$43,$C2334,Parametros!$D$28:$D$43,$D2334),2)</f>
        <v>64.21</v>
      </c>
      <c r="U2334" s="65" t="n">
        <f aca="false">$R2334-$S2334-$T2334</f>
        <v>2189.15</v>
      </c>
      <c r="V2334" s="66" t="n">
        <f aca="false">IFERROR($U2334/$R2334,0)</f>
        <v>0.44321326835747</v>
      </c>
      <c r="W2334" s="67" t="str">
        <f aca="false">IF(AND($V2334&gt;=Parametros!$C$8,$R2334&gt;=Parametros!$C$12),"Alta rentabilidad",IF(OR($V2334&lt;Parametros!$C$11,$R2334&lt;Parametros!$C$13),"Revisar","Estandar"))</f>
        <v>Alta rentabilidad</v>
      </c>
      <c r="X2334" s="67" t="str">
        <f aca="false">IF(AND($J2334="E-commerce",IFERROR($T2334/$R2334,0)&gt;Parametros!$C$14),"Alerta","OK")</f>
        <v>OK</v>
      </c>
      <c r="Y2334" s="61" t="str">
        <f aca="false">IF($R2334&gt;=Parametros!$C$12,"Alto",IF($R2334&lt;Parametros!$C$13,"Bajo","Medio"))</f>
        <v>Alto</v>
      </c>
      <c r="Z2334" s="61" t="n">
        <v>331</v>
      </c>
      <c r="AA2334" s="61" t="str">
        <f aca="false">IF(MATCH($A2334,Datos_Origen!$A$2:$A$2459,0)=$Z2334,"OK","REVISAR")</f>
        <v>OK</v>
      </c>
      <c r="AB2334" s="62" t="n">
        <f aca="false">INDEX(Datos_Origen!$B$2:$B$2459,$Z2334)</f>
        <v>46015</v>
      </c>
      <c r="AC2334" s="61" t="n">
        <f aca="false">INDEX(Datos_Origen!$H$2:$H$2459,$Z2334)</f>
        <v>41</v>
      </c>
      <c r="AD2334" s="61" t="str">
        <f aca="false">INDEX(Datos_Origen!$D$2:$D$2459,$Z2334)&amp;""</f>
        <v>Cordoba</v>
      </c>
    </row>
    <row r="2335" customFormat="false" ht="15" hidden="false" customHeight="false" outlineLevel="0" collapsed="false">
      <c r="A2335" s="61" t="n">
        <f aca="false">INDEX(Datos_Origen!$A$2:$A$2459,$Z2335)</f>
        <v>2334</v>
      </c>
      <c r="B2335" s="62" t="n">
        <f aca="false">IF(ISNUMBER($AB2335),$AB2335,IF(MID($AB2335,5,1)="-",DATE(VALUE(LEFT($AB2335,4)),VALUE(MID($AB2335,6,2)),VALUE(RIGHT($AB2335,2))),DATE(VALUE(RIGHT($AB2335,4)),VALUE(MID($AB2335,4,2)),VALUE(LEFT($AB2335,2)))))</f>
        <v>45995</v>
      </c>
      <c r="C2335" s="61" t="n">
        <f aca="false">YEAR($B2335)</f>
        <v>2025</v>
      </c>
      <c r="D2335" s="61" t="str">
        <f aca="false">"Q"&amp;ROUNDUP(MONTH($B2335)/3,0)</f>
        <v>Q4</v>
      </c>
      <c r="E2335" s="61" t="n">
        <f aca="false">MONTH($B2335)</f>
        <v>12</v>
      </c>
      <c r="F2335" s="61" t="str">
        <f aca="false">INDEX(Parametros!$I$5:$I$16,$E2335)</f>
        <v>Dic</v>
      </c>
      <c r="G2335" s="61" t="str">
        <f aca="false">TEXT($C2335,"0000")&amp;"-"&amp;TEXT($E2335,"00")</f>
        <v>2025-12</v>
      </c>
      <c r="H2335" s="61" t="str">
        <f aca="false">INDEX(Parametros!$C$71:$C$91,MATCH(TRIM(INDEX(Datos_Origen!$C$2:$C$2459,$Z2335)),Parametros!$B$71:$B$91,0))</f>
        <v>Centro</v>
      </c>
      <c r="I2335" s="61" t="str">
        <f aca="false">IF(TRIM($AD2335)="",INDEX(Parametros!$I$20:$I$24,MATCH($H2335,Parametros!$H$20:$H$24,0)),TRIM($AD2335))</f>
        <v>Cordoba</v>
      </c>
      <c r="J2335" s="61" t="str">
        <f aca="false">INDEX(Parametros!$C$95:$C$106,MATCH(TRIM(INDEX(Datos_Origen!$E$2:$E$2459,$Z2335)),Parametros!$B$95:$B$106,0))</f>
        <v>E-commerce</v>
      </c>
      <c r="K2335" s="61" t="str">
        <f aca="false">INDEX(Parametros!$C$48:$C$67,MATCH(TRIM(INDEX(Datos_Origen!$F$2:$F$2459,$Z2335)),Parametros!$B$48:$B$67,0))</f>
        <v>Audio</v>
      </c>
      <c r="L2335" s="61" t="str">
        <f aca="false">$K2335&amp;" "&amp;$C2335</f>
        <v>Audio 2025</v>
      </c>
      <c r="M2335" s="61" t="str">
        <f aca="false">TRIM(INDEX(Datos_Origen!$G$2:$G$2459,$Z2335))</f>
        <v>Auriculares BT Pro</v>
      </c>
      <c r="N2335" s="61" t="str">
        <f aca="false">$M2335&amp;" "&amp;$C2335</f>
        <v>Auriculares BT Pro 2025</v>
      </c>
      <c r="O2335" s="63" t="n">
        <f aca="false">IF(ISTEXT($AC2335),VALUE($AC2335),$AC2335)</f>
        <v>26</v>
      </c>
      <c r="P2335" s="64" t="n">
        <f aca="false">INDEX(Datos_Origen!$I$2:$I$2459,$Z2335)</f>
        <v>120.47</v>
      </c>
      <c r="Q2335" s="64" t="n">
        <f aca="false">INDEX(Datos_Origen!$J$2:$J$2459,$Z2335)</f>
        <v>65.51</v>
      </c>
      <c r="R2335" s="65" t="n">
        <f aca="false">ROUND($O2335*$P2335,2)</f>
        <v>3132.22</v>
      </c>
      <c r="S2335" s="65" t="n">
        <f aca="false">ROUND($O2335*$Q2335,2)</f>
        <v>1703.26</v>
      </c>
      <c r="T2335" s="65" t="n">
        <f aca="false">ROUND($R2335*SUMIFS(Parametros!$E$28:$E$43,Parametros!$B$28:$B$43,$J2335,Parametros!$C$28:$C$43,$C2335,Parametros!$D$28:$D$43,$D2335),2)</f>
        <v>162.88</v>
      </c>
      <c r="U2335" s="65" t="n">
        <f aca="false">$R2335-$S2335-$T2335</f>
        <v>1266.08</v>
      </c>
      <c r="V2335" s="66" t="n">
        <f aca="false">IFERROR($U2335/$R2335,0)</f>
        <v>0.40421170926691</v>
      </c>
      <c r="W2335" s="67" t="str">
        <f aca="false">IF(AND($V2335&gt;=Parametros!$C$8,$R2335&gt;=Parametros!$C$12),"Alta rentabilidad",IF(OR($V2335&lt;Parametros!$C$11,$R2335&lt;Parametros!$C$13),"Revisar","Estandar"))</f>
        <v>Alta rentabilidad</v>
      </c>
      <c r="X2335" s="67" t="str">
        <f aca="false">IF(AND($J2335="E-commerce",IFERROR($T2335/$R2335,0)&gt;Parametros!$C$14),"Alerta","OK")</f>
        <v>Alerta</v>
      </c>
      <c r="Y2335" s="61" t="str">
        <f aca="false">IF($R2335&gt;=Parametros!$C$12,"Alto",IF($R2335&lt;Parametros!$C$13,"Bajo","Medio"))</f>
        <v>Alto</v>
      </c>
      <c r="Z2335" s="61" t="n">
        <v>603</v>
      </c>
      <c r="AA2335" s="61" t="str">
        <f aca="false">IF(MATCH($A2335,Datos_Origen!$A$2:$A$2459,0)=$Z2335,"OK","REVISAR")</f>
        <v>OK</v>
      </c>
      <c r="AB2335" s="62" t="n">
        <f aca="false">INDEX(Datos_Origen!$B$2:$B$2459,$Z2335)</f>
        <v>45995</v>
      </c>
      <c r="AC2335" s="61" t="n">
        <f aca="false">INDEX(Datos_Origen!$H$2:$H$2459,$Z2335)</f>
        <v>26</v>
      </c>
      <c r="AD2335" s="61" t="str">
        <f aca="false">INDEX(Datos_Origen!$D$2:$D$2459,$Z2335)&amp;""</f>
        <v/>
      </c>
    </row>
    <row r="2336" customFormat="false" ht="15" hidden="false" customHeight="false" outlineLevel="0" collapsed="false">
      <c r="A2336" s="61" t="n">
        <f aca="false">INDEX(Datos_Origen!$A$2:$A$2459,$Z2336)</f>
        <v>2335</v>
      </c>
      <c r="B2336" s="62" t="n">
        <f aca="false">IF(ISNUMBER($AB2336),$AB2336,IF(MID($AB2336,5,1)="-",DATE(VALUE(LEFT($AB2336,4)),VALUE(MID($AB2336,6,2)),VALUE(RIGHT($AB2336,2))),DATE(VALUE(RIGHT($AB2336,4)),VALUE(MID($AB2336,4,2)),VALUE(LEFT($AB2336,2)))))</f>
        <v>46002</v>
      </c>
      <c r="C2336" s="61" t="n">
        <f aca="false">YEAR($B2336)</f>
        <v>2025</v>
      </c>
      <c r="D2336" s="61" t="str">
        <f aca="false">"Q"&amp;ROUNDUP(MONTH($B2336)/3,0)</f>
        <v>Q4</v>
      </c>
      <c r="E2336" s="61" t="n">
        <f aca="false">MONTH($B2336)</f>
        <v>12</v>
      </c>
      <c r="F2336" s="61" t="str">
        <f aca="false">INDEX(Parametros!$I$5:$I$16,$E2336)</f>
        <v>Dic</v>
      </c>
      <c r="G2336" s="61" t="str">
        <f aca="false">TEXT($C2336,"0000")&amp;"-"&amp;TEXT($E2336,"00")</f>
        <v>2025-12</v>
      </c>
      <c r="H2336" s="61" t="str">
        <f aca="false">INDEX(Parametros!$C$71:$C$91,MATCH(TRIM(INDEX(Datos_Origen!$C$2:$C$2459,$Z2336)),Parametros!$B$71:$B$91,0))</f>
        <v>Centro</v>
      </c>
      <c r="I2336" s="61" t="str">
        <f aca="false">IF(TRIM($AD2336)="",INDEX(Parametros!$I$20:$I$24,MATCH($H2336,Parametros!$H$20:$H$24,0)),TRIM($AD2336))</f>
        <v>Cordoba</v>
      </c>
      <c r="J2336" s="61" t="str">
        <f aca="false">INDEX(Parametros!$C$95:$C$106,MATCH(TRIM(INDEX(Datos_Origen!$E$2:$E$2459,$Z2336)),Parametros!$B$95:$B$106,0))</f>
        <v>Tienda fisica</v>
      </c>
      <c r="K2336" s="61" t="str">
        <f aca="false">INDEX(Parametros!$C$48:$C$67,MATCH(TRIM(INDEX(Datos_Origen!$F$2:$F$2459,$Z2336)),Parametros!$B$48:$B$67,0))</f>
        <v>Audio</v>
      </c>
      <c r="L2336" s="61" t="str">
        <f aca="false">$K2336&amp;" "&amp;$C2336</f>
        <v>Audio 2025</v>
      </c>
      <c r="M2336" s="61" t="str">
        <f aca="false">TRIM(INDEX(Datos_Origen!$G$2:$G$2459,$Z2336))</f>
        <v>Parlante Bluetooth</v>
      </c>
      <c r="N2336" s="61" t="str">
        <f aca="false">$M2336&amp;" "&amp;$C2336</f>
        <v>Parlante Bluetooth 2025</v>
      </c>
      <c r="O2336" s="63" t="n">
        <f aca="false">IF(ISTEXT($AC2336),VALUE($AC2336),$AC2336)</f>
        <v>39</v>
      </c>
      <c r="P2336" s="64" t="n">
        <f aca="false">INDEX(Datos_Origen!$I$2:$I$2459,$Z2336)</f>
        <v>85.34</v>
      </c>
      <c r="Q2336" s="64" t="n">
        <f aca="false">INDEX(Datos_Origen!$J$2:$J$2459,$Z2336)</f>
        <v>49.47</v>
      </c>
      <c r="R2336" s="65" t="n">
        <f aca="false">ROUND($O2336*$P2336,2)</f>
        <v>3328.26</v>
      </c>
      <c r="S2336" s="65" t="n">
        <f aca="false">ROUND($O2336*$Q2336,2)</f>
        <v>1929.33</v>
      </c>
      <c r="T2336" s="65" t="n">
        <f aca="false">ROUND($R2336*SUMIFS(Parametros!$E$28:$E$43,Parametros!$B$28:$B$43,$J2336,Parametros!$C$28:$C$43,$C2336,Parametros!$D$28:$D$43,$D2336),2)</f>
        <v>43.27</v>
      </c>
      <c r="U2336" s="65" t="n">
        <f aca="false">$R2336-$S2336-$T2336</f>
        <v>1355.66</v>
      </c>
      <c r="V2336" s="66" t="n">
        <f aca="false">IFERROR($U2336/$R2336,0)</f>
        <v>0.407317937901486</v>
      </c>
      <c r="W2336" s="67" t="str">
        <f aca="false">IF(AND($V2336&gt;=Parametros!$C$8,$R2336&gt;=Parametros!$C$12),"Alta rentabilidad",IF(OR($V2336&lt;Parametros!$C$11,$R2336&lt;Parametros!$C$13),"Revisar","Estandar"))</f>
        <v>Alta rentabilidad</v>
      </c>
      <c r="X2336" s="67" t="str">
        <f aca="false">IF(AND($J2336="E-commerce",IFERROR($T2336/$R2336,0)&gt;Parametros!$C$14),"Alerta","OK")</f>
        <v>OK</v>
      </c>
      <c r="Y2336" s="61" t="str">
        <f aca="false">IF($R2336&gt;=Parametros!$C$12,"Alto",IF($R2336&lt;Parametros!$C$13,"Bajo","Medio"))</f>
        <v>Alto</v>
      </c>
      <c r="Z2336" s="61" t="n">
        <v>1590</v>
      </c>
      <c r="AA2336" s="61" t="str">
        <f aca="false">IF(MATCH($A2336,Datos_Origen!$A$2:$A$2459,0)=$Z2336,"OK","REVISAR")</f>
        <v>OK</v>
      </c>
      <c r="AB2336" s="62" t="n">
        <f aca="false">INDEX(Datos_Origen!$B$2:$B$2459,$Z2336)</f>
        <v>46002</v>
      </c>
      <c r="AC2336" s="61" t="n">
        <f aca="false">INDEX(Datos_Origen!$H$2:$H$2459,$Z2336)</f>
        <v>39</v>
      </c>
      <c r="AD2336" s="61" t="str">
        <f aca="false">INDEX(Datos_Origen!$D$2:$D$2459,$Z2336)&amp;""</f>
        <v>Cordoba</v>
      </c>
    </row>
    <row r="2337" customFormat="false" ht="15" hidden="false" customHeight="false" outlineLevel="0" collapsed="false">
      <c r="A2337" s="61" t="n">
        <f aca="false">INDEX(Datos_Origen!$A$2:$A$2459,$Z2337)</f>
        <v>2336</v>
      </c>
      <c r="B2337" s="62" t="n">
        <f aca="false">IF(ISNUMBER($AB2337),$AB2337,IF(MID($AB2337,5,1)="-",DATE(VALUE(LEFT($AB2337,4)),VALUE(MID($AB2337,6,2)),VALUE(RIGHT($AB2337,2))),DATE(VALUE(RIGHT($AB2337,4)),VALUE(MID($AB2337,4,2)),VALUE(LEFT($AB2337,2)))))</f>
        <v>46009</v>
      </c>
      <c r="C2337" s="61" t="n">
        <f aca="false">YEAR($B2337)</f>
        <v>2025</v>
      </c>
      <c r="D2337" s="61" t="str">
        <f aca="false">"Q"&amp;ROUNDUP(MONTH($B2337)/3,0)</f>
        <v>Q4</v>
      </c>
      <c r="E2337" s="61" t="n">
        <f aca="false">MONTH($B2337)</f>
        <v>12</v>
      </c>
      <c r="F2337" s="61" t="str">
        <f aca="false">INDEX(Parametros!$I$5:$I$16,$E2337)</f>
        <v>Dic</v>
      </c>
      <c r="G2337" s="61" t="str">
        <f aca="false">TEXT($C2337,"0000")&amp;"-"&amp;TEXT($E2337,"00")</f>
        <v>2025-12</v>
      </c>
      <c r="H2337" s="61" t="str">
        <f aca="false">INDEX(Parametros!$C$71:$C$91,MATCH(TRIM(INDEX(Datos_Origen!$C$2:$C$2459,$Z2337)),Parametros!$B$71:$B$91,0))</f>
        <v>Centro</v>
      </c>
      <c r="I2337" s="61" t="str">
        <f aca="false">IF(TRIM($AD2337)="",INDEX(Parametros!$I$20:$I$24,MATCH($H2337,Parametros!$H$20:$H$24,0)),TRIM($AD2337))</f>
        <v>Cordoba</v>
      </c>
      <c r="J2337" s="61" t="str">
        <f aca="false">INDEX(Parametros!$C$95:$C$106,MATCH(TRIM(INDEX(Datos_Origen!$E$2:$E$2459,$Z2337)),Parametros!$B$95:$B$106,0))</f>
        <v>E-commerce</v>
      </c>
      <c r="K2337" s="61" t="str">
        <f aca="false">INDEX(Parametros!$C$48:$C$67,MATCH(TRIM(INDEX(Datos_Origen!$F$2:$F$2459,$Z2337)),Parametros!$B$48:$B$67,0))</f>
        <v>Audio</v>
      </c>
      <c r="L2337" s="61" t="str">
        <f aca="false">$K2337&amp;" "&amp;$C2337</f>
        <v>Audio 2025</v>
      </c>
      <c r="M2337" s="61" t="str">
        <f aca="false">TRIM(INDEX(Datos_Origen!$G$2:$G$2459,$Z2337))</f>
        <v>Parlante Bluetooth</v>
      </c>
      <c r="N2337" s="61" t="str">
        <f aca="false">$M2337&amp;" "&amp;$C2337</f>
        <v>Parlante Bluetooth 2025</v>
      </c>
      <c r="O2337" s="63" t="n">
        <f aca="false">IF(ISTEXT($AC2337),VALUE($AC2337),$AC2337)</f>
        <v>22</v>
      </c>
      <c r="P2337" s="64" t="n">
        <f aca="false">INDEX(Datos_Origen!$I$2:$I$2459,$Z2337)</f>
        <v>85.34</v>
      </c>
      <c r="Q2337" s="64" t="n">
        <f aca="false">INDEX(Datos_Origen!$J$2:$J$2459,$Z2337)</f>
        <v>49.47</v>
      </c>
      <c r="R2337" s="65" t="n">
        <f aca="false">ROUND($O2337*$P2337,2)</f>
        <v>1877.48</v>
      </c>
      <c r="S2337" s="65" t="n">
        <f aca="false">ROUND($O2337*$Q2337,2)</f>
        <v>1088.34</v>
      </c>
      <c r="T2337" s="65" t="n">
        <f aca="false">ROUND($R2337*SUMIFS(Parametros!$E$28:$E$43,Parametros!$B$28:$B$43,$J2337,Parametros!$C$28:$C$43,$C2337,Parametros!$D$28:$D$43,$D2337),2)</f>
        <v>97.63</v>
      </c>
      <c r="U2337" s="65" t="n">
        <f aca="false">$R2337-$S2337-$T2337</f>
        <v>691.51</v>
      </c>
      <c r="V2337" s="66" t="n">
        <f aca="false">IFERROR($U2337/$R2337,0)</f>
        <v>0.368318171165605</v>
      </c>
      <c r="W2337" s="67" t="str">
        <f aca="false">IF(AND($V2337&gt;=Parametros!$C$8,$R2337&gt;=Parametros!$C$12),"Alta rentabilidad",IF(OR($V2337&lt;Parametros!$C$11,$R2337&lt;Parametros!$C$13),"Revisar","Estandar"))</f>
        <v>Estandar</v>
      </c>
      <c r="X2337" s="67" t="str">
        <f aca="false">IF(AND($J2337="E-commerce",IFERROR($T2337/$R2337,0)&gt;Parametros!$C$14),"Alerta","OK")</f>
        <v>Alerta</v>
      </c>
      <c r="Y2337" s="61" t="str">
        <f aca="false">IF($R2337&gt;=Parametros!$C$12,"Alto",IF($R2337&lt;Parametros!$C$13,"Bajo","Medio"))</f>
        <v>Medio</v>
      </c>
      <c r="Z2337" s="61" t="n">
        <v>1879</v>
      </c>
      <c r="AA2337" s="61" t="str">
        <f aca="false">IF(MATCH($A2337,Datos_Origen!$A$2:$A$2459,0)=$Z2337,"OK","REVISAR")</f>
        <v>OK</v>
      </c>
      <c r="AB2337" s="62" t="n">
        <f aca="false">INDEX(Datos_Origen!$B$2:$B$2459,$Z2337)</f>
        <v>46009</v>
      </c>
      <c r="AC2337" s="61" t="n">
        <f aca="false">INDEX(Datos_Origen!$H$2:$H$2459,$Z2337)</f>
        <v>22</v>
      </c>
      <c r="AD2337" s="61" t="str">
        <f aca="false">INDEX(Datos_Origen!$D$2:$D$2459,$Z2337)&amp;""</f>
        <v>Cordoba</v>
      </c>
    </row>
    <row r="2338" customFormat="false" ht="15" hidden="false" customHeight="false" outlineLevel="0" collapsed="false">
      <c r="A2338" s="61" t="n">
        <f aca="false">INDEX(Datos_Origen!$A$2:$A$2459,$Z2338)</f>
        <v>2337</v>
      </c>
      <c r="B2338" s="62" t="n">
        <f aca="false">IF(ISNUMBER($AB2338),$AB2338,IF(MID($AB2338,5,1)="-",DATE(VALUE(LEFT($AB2338,4)),VALUE(MID($AB2338,6,2)),VALUE(RIGHT($AB2338,2))),DATE(VALUE(RIGHT($AB2338,4)),VALUE(MID($AB2338,4,2)),VALUE(LEFT($AB2338,2)))))</f>
        <v>46016</v>
      </c>
      <c r="C2338" s="61" t="n">
        <f aca="false">YEAR($B2338)</f>
        <v>2025</v>
      </c>
      <c r="D2338" s="61" t="str">
        <f aca="false">"Q"&amp;ROUNDUP(MONTH($B2338)/3,0)</f>
        <v>Q4</v>
      </c>
      <c r="E2338" s="61" t="n">
        <f aca="false">MONTH($B2338)</f>
        <v>12</v>
      </c>
      <c r="F2338" s="61" t="str">
        <f aca="false">INDEX(Parametros!$I$5:$I$16,$E2338)</f>
        <v>Dic</v>
      </c>
      <c r="G2338" s="61" t="str">
        <f aca="false">TEXT($C2338,"0000")&amp;"-"&amp;TEXT($E2338,"00")</f>
        <v>2025-12</v>
      </c>
      <c r="H2338" s="61" t="str">
        <f aca="false">INDEX(Parametros!$C$71:$C$91,MATCH(TRIM(INDEX(Datos_Origen!$C$2:$C$2459,$Z2338)),Parametros!$B$71:$B$91,0))</f>
        <v>Centro</v>
      </c>
      <c r="I2338" s="61" t="str">
        <f aca="false">IF(TRIM($AD2338)="",INDEX(Parametros!$I$20:$I$24,MATCH($H2338,Parametros!$H$20:$H$24,0)),TRIM($AD2338))</f>
        <v>Cordoba</v>
      </c>
      <c r="J2338" s="61" t="str">
        <f aca="false">INDEX(Parametros!$C$95:$C$106,MATCH(TRIM(INDEX(Datos_Origen!$E$2:$E$2459,$Z2338)),Parametros!$B$95:$B$106,0))</f>
        <v>Tienda fisica</v>
      </c>
      <c r="K2338" s="61" t="str">
        <f aca="false">INDEX(Parametros!$C$48:$C$67,MATCH(TRIM(INDEX(Datos_Origen!$F$2:$F$2459,$Z2338)),Parametros!$B$48:$B$67,0))</f>
        <v>Almacenamiento</v>
      </c>
      <c r="L2338" s="61" t="str">
        <f aca="false">$K2338&amp;" "&amp;$C2338</f>
        <v>Almacenamiento 2025</v>
      </c>
      <c r="M2338" s="61" t="str">
        <f aca="false">TRIM(INDEX(Datos_Origen!$G$2:$G$2459,$Z2338))</f>
        <v>SSD Externo 1TB</v>
      </c>
      <c r="N2338" s="61" t="str">
        <f aca="false">$M2338&amp;" "&amp;$C2338</f>
        <v>SSD Externo 1TB 2025</v>
      </c>
      <c r="O2338" s="63" t="n">
        <f aca="false">IF(ISTEXT($AC2338),VALUE($AC2338),$AC2338)</f>
        <v>49</v>
      </c>
      <c r="P2338" s="64" t="n">
        <f aca="false">INDEX(Datos_Origen!$I$2:$I$2459,$Z2338)</f>
        <v>130.51</v>
      </c>
      <c r="Q2338" s="64" t="n">
        <f aca="false">INDEX(Datos_Origen!$J$2:$J$2459,$Z2338)</f>
        <v>78.33</v>
      </c>
      <c r="R2338" s="65" t="n">
        <f aca="false">ROUND($O2338*$P2338,2)</f>
        <v>6394.99</v>
      </c>
      <c r="S2338" s="65" t="n">
        <f aca="false">ROUND($O2338*$Q2338,2)</f>
        <v>3838.17</v>
      </c>
      <c r="T2338" s="65" t="n">
        <f aca="false">ROUND($R2338*SUMIFS(Parametros!$E$28:$E$43,Parametros!$B$28:$B$43,$J2338,Parametros!$C$28:$C$43,$C2338,Parametros!$D$28:$D$43,$D2338),2)</f>
        <v>83.13</v>
      </c>
      <c r="U2338" s="65" t="n">
        <f aca="false">$R2338-$S2338-$T2338</f>
        <v>2473.69</v>
      </c>
      <c r="V2338" s="66" t="n">
        <f aca="false">IFERROR($U2338/$R2338,0)</f>
        <v>0.386816867579152</v>
      </c>
      <c r="W2338" s="67" t="str">
        <f aca="false">IF(AND($V2338&gt;=Parametros!$C$8,$R2338&gt;=Parametros!$C$12),"Alta rentabilidad",IF(OR($V2338&lt;Parametros!$C$11,$R2338&lt;Parametros!$C$13),"Revisar","Estandar"))</f>
        <v>Alta rentabilidad</v>
      </c>
      <c r="X2338" s="67" t="str">
        <f aca="false">IF(AND($J2338="E-commerce",IFERROR($T2338/$R2338,0)&gt;Parametros!$C$14),"Alerta","OK")</f>
        <v>OK</v>
      </c>
      <c r="Y2338" s="61" t="str">
        <f aca="false">IF($R2338&gt;=Parametros!$C$12,"Alto",IF($R2338&lt;Parametros!$C$13,"Bajo","Medio"))</f>
        <v>Alto</v>
      </c>
      <c r="Z2338" s="61" t="n">
        <v>204</v>
      </c>
      <c r="AA2338" s="61" t="str">
        <f aca="false">IF(MATCH($A2338,Datos_Origen!$A$2:$A$2459,0)=$Z2338,"OK","REVISAR")</f>
        <v>OK</v>
      </c>
      <c r="AB2338" s="62" t="n">
        <f aca="false">INDEX(Datos_Origen!$B$2:$B$2459,$Z2338)</f>
        <v>46016</v>
      </c>
      <c r="AC2338" s="61" t="n">
        <f aca="false">INDEX(Datos_Origen!$H$2:$H$2459,$Z2338)</f>
        <v>49</v>
      </c>
      <c r="AD2338" s="61" t="str">
        <f aca="false">INDEX(Datos_Origen!$D$2:$D$2459,$Z2338)&amp;""</f>
        <v>Cordoba</v>
      </c>
    </row>
    <row r="2339" customFormat="false" ht="15" hidden="false" customHeight="false" outlineLevel="0" collapsed="false">
      <c r="A2339" s="61" t="n">
        <f aca="false">INDEX(Datos_Origen!$A$2:$A$2459,$Z2339)</f>
        <v>2338</v>
      </c>
      <c r="B2339" s="62" t="n">
        <f aca="false">IF(ISNUMBER($AB2339),$AB2339,IF(MID($AB2339,5,1)="-",DATE(VALUE(LEFT($AB2339,4)),VALUE(MID($AB2339,6,2)),VALUE(RIGHT($AB2339,2))),DATE(VALUE(RIGHT($AB2339,4)),VALUE(MID($AB2339,4,2)),VALUE(LEFT($AB2339,2)))))</f>
        <v>45996</v>
      </c>
      <c r="C2339" s="61" t="n">
        <f aca="false">YEAR($B2339)</f>
        <v>2025</v>
      </c>
      <c r="D2339" s="61" t="str">
        <f aca="false">"Q"&amp;ROUNDUP(MONTH($B2339)/3,0)</f>
        <v>Q4</v>
      </c>
      <c r="E2339" s="61" t="n">
        <f aca="false">MONTH($B2339)</f>
        <v>12</v>
      </c>
      <c r="F2339" s="61" t="str">
        <f aca="false">INDEX(Parametros!$I$5:$I$16,$E2339)</f>
        <v>Dic</v>
      </c>
      <c r="G2339" s="61" t="str">
        <f aca="false">TEXT($C2339,"0000")&amp;"-"&amp;TEXT($E2339,"00")</f>
        <v>2025-12</v>
      </c>
      <c r="H2339" s="61" t="str">
        <f aca="false">INDEX(Parametros!$C$71:$C$91,MATCH(TRIM(INDEX(Datos_Origen!$C$2:$C$2459,$Z2339)),Parametros!$B$71:$B$91,0))</f>
        <v>Centro</v>
      </c>
      <c r="I2339" s="61" t="str">
        <f aca="false">IF(TRIM($AD2339)="",INDEX(Parametros!$I$20:$I$24,MATCH($H2339,Parametros!$H$20:$H$24,0)),TRIM($AD2339))</f>
        <v>Cordoba</v>
      </c>
      <c r="J2339" s="61" t="str">
        <f aca="false">INDEX(Parametros!$C$95:$C$106,MATCH(TRIM(INDEX(Datos_Origen!$E$2:$E$2459,$Z2339)),Parametros!$B$95:$B$106,0))</f>
        <v>E-commerce</v>
      </c>
      <c r="K2339" s="61" t="str">
        <f aca="false">INDEX(Parametros!$C$48:$C$67,MATCH(TRIM(INDEX(Datos_Origen!$F$2:$F$2459,$Z2339)),Parametros!$B$48:$B$67,0))</f>
        <v>Almacenamiento</v>
      </c>
      <c r="L2339" s="61" t="str">
        <f aca="false">$K2339&amp;" "&amp;$C2339</f>
        <v>Almacenamiento 2025</v>
      </c>
      <c r="M2339" s="61" t="str">
        <f aca="false">TRIM(INDEX(Datos_Origen!$G$2:$G$2459,$Z2339))</f>
        <v>SSD Externo 1TB</v>
      </c>
      <c r="N2339" s="61" t="str">
        <f aca="false">$M2339&amp;" "&amp;$C2339</f>
        <v>SSD Externo 1TB 2025</v>
      </c>
      <c r="O2339" s="63" t="n">
        <f aca="false">IF(ISTEXT($AC2339),VALUE($AC2339),$AC2339)</f>
        <v>32</v>
      </c>
      <c r="P2339" s="64" t="n">
        <f aca="false">INDEX(Datos_Origen!$I$2:$I$2459,$Z2339)</f>
        <v>130.51</v>
      </c>
      <c r="Q2339" s="64" t="n">
        <f aca="false">INDEX(Datos_Origen!$J$2:$J$2459,$Z2339)</f>
        <v>78.33</v>
      </c>
      <c r="R2339" s="65" t="n">
        <f aca="false">ROUND($O2339*$P2339,2)</f>
        <v>4176.32</v>
      </c>
      <c r="S2339" s="65" t="n">
        <f aca="false">ROUND($O2339*$Q2339,2)</f>
        <v>2506.56</v>
      </c>
      <c r="T2339" s="65" t="n">
        <f aca="false">ROUND($R2339*SUMIFS(Parametros!$E$28:$E$43,Parametros!$B$28:$B$43,$J2339,Parametros!$C$28:$C$43,$C2339,Parametros!$D$28:$D$43,$D2339),2)</f>
        <v>217.17</v>
      </c>
      <c r="U2339" s="65" t="n">
        <f aca="false">$R2339-$S2339-$T2339</f>
        <v>1452.59</v>
      </c>
      <c r="V2339" s="66" t="n">
        <f aca="false">IFERROR($U2339/$R2339,0)</f>
        <v>0.347815780399969</v>
      </c>
      <c r="W2339" s="67" t="str">
        <f aca="false">IF(AND($V2339&gt;=Parametros!$C$8,$R2339&gt;=Parametros!$C$12),"Alta rentabilidad",IF(OR($V2339&lt;Parametros!$C$11,$R2339&lt;Parametros!$C$13),"Revisar","Estandar"))</f>
        <v>Alta rentabilidad</v>
      </c>
      <c r="X2339" s="67" t="str">
        <f aca="false">IF(AND($J2339="E-commerce",IFERROR($T2339/$R2339,0)&gt;Parametros!$C$14),"Alerta","OK")</f>
        <v>Alerta</v>
      </c>
      <c r="Y2339" s="61" t="str">
        <f aca="false">IF($R2339&gt;=Parametros!$C$12,"Alto",IF($R2339&lt;Parametros!$C$13,"Bajo","Medio"))</f>
        <v>Alto</v>
      </c>
      <c r="Z2339" s="61" t="n">
        <v>1756</v>
      </c>
      <c r="AA2339" s="61" t="str">
        <f aca="false">IF(MATCH($A2339,Datos_Origen!$A$2:$A$2459,0)=$Z2339,"OK","REVISAR")</f>
        <v>OK</v>
      </c>
      <c r="AB2339" s="62" t="n">
        <f aca="false">INDEX(Datos_Origen!$B$2:$B$2459,$Z2339)</f>
        <v>45996</v>
      </c>
      <c r="AC2339" s="61" t="n">
        <f aca="false">INDEX(Datos_Origen!$H$2:$H$2459,$Z2339)</f>
        <v>32</v>
      </c>
      <c r="AD2339" s="61" t="str">
        <f aca="false">INDEX(Datos_Origen!$D$2:$D$2459,$Z2339)&amp;""</f>
        <v>Cordoba</v>
      </c>
    </row>
    <row r="2340" customFormat="false" ht="15" hidden="false" customHeight="false" outlineLevel="0" collapsed="false">
      <c r="A2340" s="61" t="n">
        <f aca="false">INDEX(Datos_Origen!$A$2:$A$2459,$Z2340)</f>
        <v>2339</v>
      </c>
      <c r="B2340" s="62" t="n">
        <f aca="false">IF(ISNUMBER($AB2340),$AB2340,IF(MID($AB2340,5,1)="-",DATE(VALUE(LEFT($AB2340,4)),VALUE(MID($AB2340,6,2)),VALUE(RIGHT($AB2340,2))),DATE(VALUE(RIGHT($AB2340,4)),VALUE(MID($AB2340,4,2)),VALUE(LEFT($AB2340,2)))))</f>
        <v>46003</v>
      </c>
      <c r="C2340" s="61" t="n">
        <f aca="false">YEAR($B2340)</f>
        <v>2025</v>
      </c>
      <c r="D2340" s="61" t="str">
        <f aca="false">"Q"&amp;ROUNDUP(MONTH($B2340)/3,0)</f>
        <v>Q4</v>
      </c>
      <c r="E2340" s="61" t="n">
        <f aca="false">MONTH($B2340)</f>
        <v>12</v>
      </c>
      <c r="F2340" s="61" t="str">
        <f aca="false">INDEX(Parametros!$I$5:$I$16,$E2340)</f>
        <v>Dic</v>
      </c>
      <c r="G2340" s="61" t="str">
        <f aca="false">TEXT($C2340,"0000")&amp;"-"&amp;TEXT($E2340,"00")</f>
        <v>2025-12</v>
      </c>
      <c r="H2340" s="61" t="str">
        <f aca="false">INDEX(Parametros!$C$71:$C$91,MATCH(TRIM(INDEX(Datos_Origen!$C$2:$C$2459,$Z2340)),Parametros!$B$71:$B$91,0))</f>
        <v>Centro</v>
      </c>
      <c r="I2340" s="61" t="str">
        <f aca="false">IF(TRIM($AD2340)="",INDEX(Parametros!$I$20:$I$24,MATCH($H2340,Parametros!$H$20:$H$24,0)),TRIM($AD2340))</f>
        <v>Cordoba</v>
      </c>
      <c r="J2340" s="61" t="str">
        <f aca="false">INDEX(Parametros!$C$95:$C$106,MATCH(TRIM(INDEX(Datos_Origen!$E$2:$E$2459,$Z2340)),Parametros!$B$95:$B$106,0))</f>
        <v>Tienda fisica</v>
      </c>
      <c r="K2340" s="61" t="str">
        <f aca="false">INDEX(Parametros!$C$48:$C$67,MATCH(TRIM(INDEX(Datos_Origen!$F$2:$F$2459,$Z2340)),Parametros!$B$48:$B$67,0))</f>
        <v>Almacenamiento</v>
      </c>
      <c r="L2340" s="61" t="str">
        <f aca="false">$K2340&amp;" "&amp;$C2340</f>
        <v>Almacenamiento 2025</v>
      </c>
      <c r="M2340" s="61" t="str">
        <f aca="false">TRIM(INDEX(Datos_Origen!$G$2:$G$2459,$Z2340))</f>
        <v>Pendrive 256GB</v>
      </c>
      <c r="N2340" s="61" t="str">
        <f aca="false">$M2340&amp;" "&amp;$C2340</f>
        <v>Pendrive 256GB 2025</v>
      </c>
      <c r="O2340" s="63" t="n">
        <f aca="false">IF(ISTEXT($AC2340),VALUE($AC2340),$AC2340)</f>
        <v>42</v>
      </c>
      <c r="P2340" s="64" t="n">
        <f aca="false">INDEX(Datos_Origen!$I$2:$I$2459,$Z2340)</f>
        <v>35.14</v>
      </c>
      <c r="Q2340" s="64" t="n">
        <f aca="false">INDEX(Datos_Origen!$J$2:$J$2459,$Z2340)</f>
        <v>18.39</v>
      </c>
      <c r="R2340" s="65" t="n">
        <f aca="false">ROUND($O2340*$P2340,2)</f>
        <v>1475.88</v>
      </c>
      <c r="S2340" s="65" t="n">
        <f aca="false">ROUND($O2340*$Q2340,2)</f>
        <v>772.38</v>
      </c>
      <c r="T2340" s="65" t="n">
        <f aca="false">ROUND($R2340*SUMIFS(Parametros!$E$28:$E$43,Parametros!$B$28:$B$43,$J2340,Parametros!$C$28:$C$43,$C2340,Parametros!$D$28:$D$43,$D2340),2)</f>
        <v>19.19</v>
      </c>
      <c r="U2340" s="65" t="n">
        <f aca="false">$R2340-$S2340-$T2340</f>
        <v>684.31</v>
      </c>
      <c r="V2340" s="66" t="n">
        <f aca="false">IFERROR($U2340/$R2340,0)</f>
        <v>0.463662357373228</v>
      </c>
      <c r="W2340" s="67" t="str">
        <f aca="false">IF(AND($V2340&gt;=Parametros!$C$8,$R2340&gt;=Parametros!$C$12),"Alta rentabilidad",IF(OR($V2340&lt;Parametros!$C$11,$R2340&lt;Parametros!$C$13),"Revisar","Estandar"))</f>
        <v>Estandar</v>
      </c>
      <c r="X2340" s="67" t="str">
        <f aca="false">IF(AND($J2340="E-commerce",IFERROR($T2340/$R2340,0)&gt;Parametros!$C$14),"Alerta","OK")</f>
        <v>OK</v>
      </c>
      <c r="Y2340" s="61" t="str">
        <f aca="false">IF($R2340&gt;=Parametros!$C$12,"Alto",IF($R2340&lt;Parametros!$C$13,"Bajo","Medio"))</f>
        <v>Medio</v>
      </c>
      <c r="Z2340" s="61" t="n">
        <v>1046</v>
      </c>
      <c r="AA2340" s="61" t="str">
        <f aca="false">IF(MATCH($A2340,Datos_Origen!$A$2:$A$2459,0)=$Z2340,"OK","REVISAR")</f>
        <v>OK</v>
      </c>
      <c r="AB2340" s="62" t="n">
        <f aca="false">INDEX(Datos_Origen!$B$2:$B$2459,$Z2340)</f>
        <v>46003</v>
      </c>
      <c r="AC2340" s="61" t="n">
        <f aca="false">INDEX(Datos_Origen!$H$2:$H$2459,$Z2340)</f>
        <v>42</v>
      </c>
      <c r="AD2340" s="61" t="str">
        <f aca="false">INDEX(Datos_Origen!$D$2:$D$2459,$Z2340)&amp;""</f>
        <v>Cordoba</v>
      </c>
    </row>
    <row r="2341" customFormat="false" ht="15" hidden="false" customHeight="false" outlineLevel="0" collapsed="false">
      <c r="A2341" s="61" t="n">
        <f aca="false">INDEX(Datos_Origen!$A$2:$A$2459,$Z2341)</f>
        <v>2340</v>
      </c>
      <c r="B2341" s="62" t="n">
        <f aca="false">IF(ISNUMBER($AB2341),$AB2341,IF(MID($AB2341,5,1)="-",DATE(VALUE(LEFT($AB2341,4)),VALUE(MID($AB2341,6,2)),VALUE(RIGHT($AB2341,2))),DATE(VALUE(RIGHT($AB2341,4)),VALUE(MID($AB2341,4,2)),VALUE(LEFT($AB2341,2)))))</f>
        <v>46010</v>
      </c>
      <c r="C2341" s="61" t="n">
        <f aca="false">YEAR($B2341)</f>
        <v>2025</v>
      </c>
      <c r="D2341" s="61" t="str">
        <f aca="false">"Q"&amp;ROUNDUP(MONTH($B2341)/3,0)</f>
        <v>Q4</v>
      </c>
      <c r="E2341" s="61" t="n">
        <f aca="false">MONTH($B2341)</f>
        <v>12</v>
      </c>
      <c r="F2341" s="61" t="str">
        <f aca="false">INDEX(Parametros!$I$5:$I$16,$E2341)</f>
        <v>Dic</v>
      </c>
      <c r="G2341" s="61" t="str">
        <f aca="false">TEXT($C2341,"0000")&amp;"-"&amp;TEXT($E2341,"00")</f>
        <v>2025-12</v>
      </c>
      <c r="H2341" s="61" t="str">
        <f aca="false">INDEX(Parametros!$C$71:$C$91,MATCH(TRIM(INDEX(Datos_Origen!$C$2:$C$2459,$Z2341)),Parametros!$B$71:$B$91,0))</f>
        <v>Centro</v>
      </c>
      <c r="I2341" s="61" t="str">
        <f aca="false">IF(TRIM($AD2341)="",INDEX(Parametros!$I$20:$I$24,MATCH($H2341,Parametros!$H$20:$H$24,0)),TRIM($AD2341))</f>
        <v>Cordoba</v>
      </c>
      <c r="J2341" s="61" t="str">
        <f aca="false">INDEX(Parametros!$C$95:$C$106,MATCH(TRIM(INDEX(Datos_Origen!$E$2:$E$2459,$Z2341)),Parametros!$B$95:$B$106,0))</f>
        <v>E-commerce</v>
      </c>
      <c r="K2341" s="61" t="str">
        <f aca="false">INDEX(Parametros!$C$48:$C$67,MATCH(TRIM(INDEX(Datos_Origen!$F$2:$F$2459,$Z2341)),Parametros!$B$48:$B$67,0))</f>
        <v>Almacenamiento</v>
      </c>
      <c r="L2341" s="61" t="str">
        <f aca="false">$K2341&amp;" "&amp;$C2341</f>
        <v>Almacenamiento 2025</v>
      </c>
      <c r="M2341" s="61" t="str">
        <f aca="false">TRIM(INDEX(Datos_Origen!$G$2:$G$2459,$Z2341))</f>
        <v>Pendrive 256GB</v>
      </c>
      <c r="N2341" s="61" t="str">
        <f aca="false">$M2341&amp;" "&amp;$C2341</f>
        <v>Pendrive 256GB 2025</v>
      </c>
      <c r="O2341" s="63" t="n">
        <f aca="false">IF(ISTEXT($AC2341),VALUE($AC2341),$AC2341)</f>
        <v>33</v>
      </c>
      <c r="P2341" s="64" t="n">
        <f aca="false">INDEX(Datos_Origen!$I$2:$I$2459,$Z2341)</f>
        <v>35.14</v>
      </c>
      <c r="Q2341" s="64" t="n">
        <f aca="false">INDEX(Datos_Origen!$J$2:$J$2459,$Z2341)</f>
        <v>18.39</v>
      </c>
      <c r="R2341" s="65" t="n">
        <f aca="false">ROUND($O2341*$P2341,2)</f>
        <v>1159.62</v>
      </c>
      <c r="S2341" s="65" t="n">
        <f aca="false">ROUND($O2341*$Q2341,2)</f>
        <v>606.87</v>
      </c>
      <c r="T2341" s="65" t="n">
        <f aca="false">ROUND($R2341*SUMIFS(Parametros!$E$28:$E$43,Parametros!$B$28:$B$43,$J2341,Parametros!$C$28:$C$43,$C2341,Parametros!$D$28:$D$43,$D2341),2)</f>
        <v>60.3</v>
      </c>
      <c r="U2341" s="65" t="n">
        <f aca="false">$R2341-$S2341-$T2341</f>
        <v>492.45</v>
      </c>
      <c r="V2341" s="66" t="n">
        <f aca="false">IFERROR($U2341/$R2341,0)</f>
        <v>0.424664976457805</v>
      </c>
      <c r="W2341" s="67" t="str">
        <f aca="false">IF(AND($V2341&gt;=Parametros!$C$8,$R2341&gt;=Parametros!$C$12),"Alta rentabilidad",IF(OR($V2341&lt;Parametros!$C$11,$R2341&lt;Parametros!$C$13),"Revisar","Estandar"))</f>
        <v>Estandar</v>
      </c>
      <c r="X2341" s="67" t="str">
        <f aca="false">IF(AND($J2341="E-commerce",IFERROR($T2341/$R2341,0)&gt;Parametros!$C$14),"Alerta","OK")</f>
        <v>Alerta</v>
      </c>
      <c r="Y2341" s="61" t="str">
        <f aca="false">IF($R2341&gt;=Parametros!$C$12,"Alto",IF($R2341&lt;Parametros!$C$13,"Bajo","Medio"))</f>
        <v>Medio</v>
      </c>
      <c r="Z2341" s="61" t="n">
        <v>2363</v>
      </c>
      <c r="AA2341" s="61" t="str">
        <f aca="false">IF(MATCH($A2341,Datos_Origen!$A$2:$A$2459,0)=$Z2341,"OK","REVISAR")</f>
        <v>OK</v>
      </c>
      <c r="AB2341" s="61" t="str">
        <f aca="false">INDEX(Datos_Origen!$B$2:$B$2459,$Z2341)</f>
        <v>2025-12-19</v>
      </c>
      <c r="AC2341" s="61" t="n">
        <f aca="false">INDEX(Datos_Origen!$H$2:$H$2459,$Z2341)</f>
        <v>33</v>
      </c>
      <c r="AD2341" s="61" t="str">
        <f aca="false">INDEX(Datos_Origen!$D$2:$D$2459,$Z2341)&amp;""</f>
        <v>Cordoba</v>
      </c>
    </row>
    <row r="2342" customFormat="false" ht="15" hidden="false" customHeight="false" outlineLevel="0" collapsed="false">
      <c r="A2342" s="61" t="n">
        <f aca="false">INDEX(Datos_Origen!$A$2:$A$2459,$Z2342)</f>
        <v>2341</v>
      </c>
      <c r="B2342" s="62" t="n">
        <f aca="false">IF(ISNUMBER($AB2342),$AB2342,IF(MID($AB2342,5,1)="-",DATE(VALUE(LEFT($AB2342,4)),VALUE(MID($AB2342,6,2)),VALUE(RIGHT($AB2342,2))),DATE(VALUE(RIGHT($AB2342,4)),VALUE(MID($AB2342,4,2)),VALUE(LEFT($AB2342,2)))))</f>
        <v>46017</v>
      </c>
      <c r="C2342" s="61" t="n">
        <f aca="false">YEAR($B2342)</f>
        <v>2025</v>
      </c>
      <c r="D2342" s="61" t="str">
        <f aca="false">"Q"&amp;ROUNDUP(MONTH($B2342)/3,0)</f>
        <v>Q4</v>
      </c>
      <c r="E2342" s="61" t="n">
        <f aca="false">MONTH($B2342)</f>
        <v>12</v>
      </c>
      <c r="F2342" s="61" t="str">
        <f aca="false">INDEX(Parametros!$I$5:$I$16,$E2342)</f>
        <v>Dic</v>
      </c>
      <c r="G2342" s="61" t="str">
        <f aca="false">TEXT($C2342,"0000")&amp;"-"&amp;TEXT($E2342,"00")</f>
        <v>2025-12</v>
      </c>
      <c r="H2342" s="61" t="str">
        <f aca="false">INDEX(Parametros!$C$71:$C$91,MATCH(TRIM(INDEX(Datos_Origen!$C$2:$C$2459,$Z2342)),Parametros!$B$71:$B$91,0))</f>
        <v>Litoral</v>
      </c>
      <c r="I2342" s="61" t="str">
        <f aca="false">IF(TRIM($AD2342)="",INDEX(Parametros!$I$20:$I$24,MATCH($H2342,Parametros!$H$20:$H$24,0)),TRIM($AD2342))</f>
        <v>Rosario</v>
      </c>
      <c r="J2342" s="61" t="str">
        <f aca="false">INDEX(Parametros!$C$95:$C$106,MATCH(TRIM(INDEX(Datos_Origen!$E$2:$E$2459,$Z2342)),Parametros!$B$95:$B$106,0))</f>
        <v>Tienda fisica</v>
      </c>
      <c r="K2342" s="61" t="str">
        <f aca="false">INDEX(Parametros!$C$48:$C$67,MATCH(TRIM(INDEX(Datos_Origen!$F$2:$F$2459,$Z2342)),Parametros!$B$48:$B$67,0))</f>
        <v>Computacion</v>
      </c>
      <c r="L2342" s="61" t="str">
        <f aca="false">$K2342&amp;" "&amp;$C2342</f>
        <v>Computacion 2025</v>
      </c>
      <c r="M2342" s="61" t="str">
        <f aca="false">TRIM(INDEX(Datos_Origen!$G$2:$G$2459,$Z2342))</f>
        <v>Laptop Pro 15</v>
      </c>
      <c r="N2342" s="61" t="str">
        <f aca="false">$M2342&amp;" "&amp;$C2342</f>
        <v>Laptop Pro 15 2025</v>
      </c>
      <c r="O2342" s="63" t="n">
        <f aca="false">IF(ISTEXT($AC2342),VALUE($AC2342),$AC2342)</f>
        <v>14</v>
      </c>
      <c r="P2342" s="64" t="n">
        <f aca="false">INDEX(Datos_Origen!$I$2:$I$2459,$Z2342)</f>
        <v>1204.74</v>
      </c>
      <c r="Q2342" s="64" t="n">
        <f aca="false">INDEX(Datos_Origen!$J$2:$J$2459,$Z2342)</f>
        <v>766.32</v>
      </c>
      <c r="R2342" s="65" t="n">
        <f aca="false">ROUND($O2342*$P2342,2)</f>
        <v>16866.36</v>
      </c>
      <c r="S2342" s="65" t="n">
        <f aca="false">ROUND($O2342*$Q2342,2)</f>
        <v>10728.48</v>
      </c>
      <c r="T2342" s="65" t="n">
        <f aca="false">ROUND($R2342*SUMIFS(Parametros!$E$28:$E$43,Parametros!$B$28:$B$43,$J2342,Parametros!$C$28:$C$43,$C2342,Parametros!$D$28:$D$43,$D2342),2)</f>
        <v>219.26</v>
      </c>
      <c r="U2342" s="65" t="n">
        <f aca="false">$R2342-$S2342-$T2342</f>
        <v>5918.62</v>
      </c>
      <c r="V2342" s="66" t="n">
        <f aca="false">IFERROR($U2342/$R2342,0)</f>
        <v>0.35091270434166</v>
      </c>
      <c r="W2342" s="67" t="str">
        <f aca="false">IF(AND($V2342&gt;=Parametros!$C$8,$R2342&gt;=Parametros!$C$12),"Alta rentabilidad",IF(OR($V2342&lt;Parametros!$C$11,$R2342&lt;Parametros!$C$13),"Revisar","Estandar"))</f>
        <v>Alta rentabilidad</v>
      </c>
      <c r="X2342" s="67" t="str">
        <f aca="false">IF(AND($J2342="E-commerce",IFERROR($T2342/$R2342,0)&gt;Parametros!$C$14),"Alerta","OK")</f>
        <v>OK</v>
      </c>
      <c r="Y2342" s="61" t="str">
        <f aca="false">IF($R2342&gt;=Parametros!$C$12,"Alto",IF($R2342&lt;Parametros!$C$13,"Bajo","Medio"))</f>
        <v>Alto</v>
      </c>
      <c r="Z2342" s="61" t="n">
        <v>261</v>
      </c>
      <c r="AA2342" s="61" t="str">
        <f aca="false">IF(MATCH($A2342,Datos_Origen!$A$2:$A$2459,0)=$Z2342,"OK","REVISAR")</f>
        <v>OK</v>
      </c>
      <c r="AB2342" s="62" t="n">
        <f aca="false">INDEX(Datos_Origen!$B$2:$B$2459,$Z2342)</f>
        <v>46017</v>
      </c>
      <c r="AC2342" s="61" t="n">
        <f aca="false">INDEX(Datos_Origen!$H$2:$H$2459,$Z2342)</f>
        <v>14</v>
      </c>
      <c r="AD2342" s="61" t="str">
        <f aca="false">INDEX(Datos_Origen!$D$2:$D$2459,$Z2342)&amp;""</f>
        <v>Rosario</v>
      </c>
    </row>
    <row r="2343" customFormat="false" ht="15" hidden="false" customHeight="false" outlineLevel="0" collapsed="false">
      <c r="A2343" s="61" t="n">
        <f aca="false">INDEX(Datos_Origen!$A$2:$A$2459,$Z2343)</f>
        <v>2342</v>
      </c>
      <c r="B2343" s="62" t="n">
        <f aca="false">IF(ISNUMBER($AB2343),$AB2343,IF(MID($AB2343,5,1)="-",DATE(VALUE(LEFT($AB2343,4)),VALUE(MID($AB2343,6,2)),VALUE(RIGHT($AB2343,2))),DATE(VALUE(RIGHT($AB2343,4)),VALUE(MID($AB2343,4,2)),VALUE(LEFT($AB2343,2)))))</f>
        <v>45997</v>
      </c>
      <c r="C2343" s="61" t="n">
        <f aca="false">YEAR($B2343)</f>
        <v>2025</v>
      </c>
      <c r="D2343" s="61" t="str">
        <f aca="false">"Q"&amp;ROUNDUP(MONTH($B2343)/3,0)</f>
        <v>Q4</v>
      </c>
      <c r="E2343" s="61" t="n">
        <f aca="false">MONTH($B2343)</f>
        <v>12</v>
      </c>
      <c r="F2343" s="61" t="str">
        <f aca="false">INDEX(Parametros!$I$5:$I$16,$E2343)</f>
        <v>Dic</v>
      </c>
      <c r="G2343" s="61" t="str">
        <f aca="false">TEXT($C2343,"0000")&amp;"-"&amp;TEXT($E2343,"00")</f>
        <v>2025-12</v>
      </c>
      <c r="H2343" s="61" t="str">
        <f aca="false">INDEX(Parametros!$C$71:$C$91,MATCH(TRIM(INDEX(Datos_Origen!$C$2:$C$2459,$Z2343)),Parametros!$B$71:$B$91,0))</f>
        <v>Litoral</v>
      </c>
      <c r="I2343" s="61" t="str">
        <f aca="false">IF(TRIM($AD2343)="",INDEX(Parametros!$I$20:$I$24,MATCH($H2343,Parametros!$H$20:$H$24,0)),TRIM($AD2343))</f>
        <v>Rosario</v>
      </c>
      <c r="J2343" s="61" t="str">
        <f aca="false">INDEX(Parametros!$C$95:$C$106,MATCH(TRIM(INDEX(Datos_Origen!$E$2:$E$2459,$Z2343)),Parametros!$B$95:$B$106,0))</f>
        <v>E-commerce</v>
      </c>
      <c r="K2343" s="61" t="str">
        <f aca="false">INDEX(Parametros!$C$48:$C$67,MATCH(TRIM(INDEX(Datos_Origen!$F$2:$F$2459,$Z2343)),Parametros!$B$48:$B$67,0))</f>
        <v>Computacion</v>
      </c>
      <c r="L2343" s="61" t="str">
        <f aca="false">$K2343&amp;" "&amp;$C2343</f>
        <v>Computacion 2025</v>
      </c>
      <c r="M2343" s="61" t="str">
        <f aca="false">TRIM(INDEX(Datos_Origen!$G$2:$G$2459,$Z2343))</f>
        <v>Laptop Pro 15</v>
      </c>
      <c r="N2343" s="61" t="str">
        <f aca="false">$M2343&amp;" "&amp;$C2343</f>
        <v>Laptop Pro 15 2025</v>
      </c>
      <c r="O2343" s="63" t="n">
        <f aca="false">IF(ISTEXT($AC2343),VALUE($AC2343),$AC2343)</f>
        <v>9</v>
      </c>
      <c r="P2343" s="64" t="n">
        <f aca="false">INDEX(Datos_Origen!$I$2:$I$2459,$Z2343)</f>
        <v>1204.74</v>
      </c>
      <c r="Q2343" s="64" t="n">
        <f aca="false">INDEX(Datos_Origen!$J$2:$J$2459,$Z2343)</f>
        <v>766.32</v>
      </c>
      <c r="R2343" s="65" t="n">
        <f aca="false">ROUND($O2343*$P2343,2)</f>
        <v>10842.66</v>
      </c>
      <c r="S2343" s="65" t="n">
        <f aca="false">ROUND($O2343*$Q2343,2)</f>
        <v>6896.88</v>
      </c>
      <c r="T2343" s="65" t="n">
        <f aca="false">ROUND($R2343*SUMIFS(Parametros!$E$28:$E$43,Parametros!$B$28:$B$43,$J2343,Parametros!$C$28:$C$43,$C2343,Parametros!$D$28:$D$43,$D2343),2)</f>
        <v>563.82</v>
      </c>
      <c r="U2343" s="65" t="n">
        <f aca="false">$R2343-$S2343-$T2343</f>
        <v>3381.96</v>
      </c>
      <c r="V2343" s="66" t="n">
        <f aca="false">IFERROR($U2343/$R2343,0)</f>
        <v>0.311912390501962</v>
      </c>
      <c r="W2343" s="67" t="str">
        <f aca="false">IF(AND($V2343&gt;=Parametros!$C$8,$R2343&gt;=Parametros!$C$12),"Alta rentabilidad",IF(OR($V2343&lt;Parametros!$C$11,$R2343&lt;Parametros!$C$13),"Revisar","Estandar"))</f>
        <v>Estandar</v>
      </c>
      <c r="X2343" s="67" t="str">
        <f aca="false">IF(AND($J2343="E-commerce",IFERROR($T2343/$R2343,0)&gt;Parametros!$C$14),"Alerta","OK")</f>
        <v>Alerta</v>
      </c>
      <c r="Y2343" s="61" t="str">
        <f aca="false">IF($R2343&gt;=Parametros!$C$12,"Alto",IF($R2343&lt;Parametros!$C$13,"Bajo","Medio"))</f>
        <v>Alto</v>
      </c>
      <c r="Z2343" s="61" t="n">
        <v>1989</v>
      </c>
      <c r="AA2343" s="61" t="str">
        <f aca="false">IF(MATCH($A2343,Datos_Origen!$A$2:$A$2459,0)=$Z2343,"OK","REVISAR")</f>
        <v>OK</v>
      </c>
      <c r="AB2343" s="62" t="n">
        <f aca="false">INDEX(Datos_Origen!$B$2:$B$2459,$Z2343)</f>
        <v>45997</v>
      </c>
      <c r="AC2343" s="61" t="n">
        <f aca="false">INDEX(Datos_Origen!$H$2:$H$2459,$Z2343)</f>
        <v>9</v>
      </c>
      <c r="AD2343" s="61" t="str">
        <f aca="false">INDEX(Datos_Origen!$D$2:$D$2459,$Z2343)&amp;""</f>
        <v>Rosario</v>
      </c>
    </row>
    <row r="2344" customFormat="false" ht="15" hidden="false" customHeight="false" outlineLevel="0" collapsed="false">
      <c r="A2344" s="61" t="n">
        <f aca="false">INDEX(Datos_Origen!$A$2:$A$2459,$Z2344)</f>
        <v>2343</v>
      </c>
      <c r="B2344" s="62" t="n">
        <f aca="false">IF(ISNUMBER($AB2344),$AB2344,IF(MID($AB2344,5,1)="-",DATE(VALUE(LEFT($AB2344,4)),VALUE(MID($AB2344,6,2)),VALUE(RIGHT($AB2344,2))),DATE(VALUE(RIGHT($AB2344,4)),VALUE(MID($AB2344,4,2)),VALUE(LEFT($AB2344,2)))))</f>
        <v>46004</v>
      </c>
      <c r="C2344" s="61" t="n">
        <f aca="false">YEAR($B2344)</f>
        <v>2025</v>
      </c>
      <c r="D2344" s="61" t="str">
        <f aca="false">"Q"&amp;ROUNDUP(MONTH($B2344)/3,0)</f>
        <v>Q4</v>
      </c>
      <c r="E2344" s="61" t="n">
        <f aca="false">MONTH($B2344)</f>
        <v>12</v>
      </c>
      <c r="F2344" s="61" t="str">
        <f aca="false">INDEX(Parametros!$I$5:$I$16,$E2344)</f>
        <v>Dic</v>
      </c>
      <c r="G2344" s="61" t="str">
        <f aca="false">TEXT($C2344,"0000")&amp;"-"&amp;TEXT($E2344,"00")</f>
        <v>2025-12</v>
      </c>
      <c r="H2344" s="61" t="str">
        <f aca="false">INDEX(Parametros!$C$71:$C$91,MATCH(TRIM(INDEX(Datos_Origen!$C$2:$C$2459,$Z2344)),Parametros!$B$71:$B$91,0))</f>
        <v>Litoral</v>
      </c>
      <c r="I2344" s="61" t="str">
        <f aca="false">IF(TRIM($AD2344)="",INDEX(Parametros!$I$20:$I$24,MATCH($H2344,Parametros!$H$20:$H$24,0)),TRIM($AD2344))</f>
        <v>Rosario</v>
      </c>
      <c r="J2344" s="61" t="str">
        <f aca="false">INDEX(Parametros!$C$95:$C$106,MATCH(TRIM(INDEX(Datos_Origen!$E$2:$E$2459,$Z2344)),Parametros!$B$95:$B$106,0))</f>
        <v>Tienda fisica</v>
      </c>
      <c r="K2344" s="61" t="str">
        <f aca="false">INDEX(Parametros!$C$48:$C$67,MATCH(TRIM(INDEX(Datos_Origen!$F$2:$F$2459,$Z2344)),Parametros!$B$48:$B$67,0))</f>
        <v>Computacion</v>
      </c>
      <c r="L2344" s="61" t="str">
        <f aca="false">$K2344&amp;" "&amp;$C2344</f>
        <v>Computacion 2025</v>
      </c>
      <c r="M2344" s="61" t="str">
        <f aca="false">TRIM(INDEX(Datos_Origen!$G$2:$G$2459,$Z2344))</f>
        <v>Monitor 4K 27</v>
      </c>
      <c r="N2344" s="61" t="str">
        <f aca="false">$M2344&amp;" "&amp;$C2344</f>
        <v>Monitor 4K 27 2025</v>
      </c>
      <c r="O2344" s="63" t="n">
        <f aca="false">IF(ISTEXT($AC2344),VALUE($AC2344),$AC2344)</f>
        <v>11</v>
      </c>
      <c r="P2344" s="64" t="n">
        <f aca="false">INDEX(Datos_Origen!$I$2:$I$2459,$Z2344)</f>
        <v>451.78</v>
      </c>
      <c r="Q2344" s="64" t="n">
        <f aca="false">INDEX(Datos_Origen!$J$2:$J$2459,$Z2344)</f>
        <v>280.42</v>
      </c>
      <c r="R2344" s="65" t="n">
        <f aca="false">ROUND($O2344*$P2344,2)</f>
        <v>4969.58</v>
      </c>
      <c r="S2344" s="65" t="n">
        <f aca="false">ROUND($O2344*$Q2344,2)</f>
        <v>3084.62</v>
      </c>
      <c r="T2344" s="65" t="n">
        <f aca="false">ROUND($R2344*SUMIFS(Parametros!$E$28:$E$43,Parametros!$B$28:$B$43,$J2344,Parametros!$C$28:$C$43,$C2344,Parametros!$D$28:$D$43,$D2344),2)</f>
        <v>64.6</v>
      </c>
      <c r="U2344" s="65" t="n">
        <f aca="false">$R2344-$S2344-$T2344</f>
        <v>1820.36</v>
      </c>
      <c r="V2344" s="66" t="n">
        <f aca="false">IFERROR($U2344/$R2344,0)</f>
        <v>0.366300572684211</v>
      </c>
      <c r="W2344" s="67" t="str">
        <f aca="false">IF(AND($V2344&gt;=Parametros!$C$8,$R2344&gt;=Parametros!$C$12),"Alta rentabilidad",IF(OR($V2344&lt;Parametros!$C$11,$R2344&lt;Parametros!$C$13),"Revisar","Estandar"))</f>
        <v>Alta rentabilidad</v>
      </c>
      <c r="X2344" s="67" t="str">
        <f aca="false">IF(AND($J2344="E-commerce",IFERROR($T2344/$R2344,0)&gt;Parametros!$C$14),"Alerta","OK")</f>
        <v>OK</v>
      </c>
      <c r="Y2344" s="61" t="str">
        <f aca="false">IF($R2344&gt;=Parametros!$C$12,"Alto",IF($R2344&lt;Parametros!$C$13,"Bajo","Medio"))</f>
        <v>Alto</v>
      </c>
      <c r="Z2344" s="61" t="n">
        <v>1963</v>
      </c>
      <c r="AA2344" s="61" t="str">
        <f aca="false">IF(MATCH($A2344,Datos_Origen!$A$2:$A$2459,0)=$Z2344,"OK","REVISAR")</f>
        <v>OK</v>
      </c>
      <c r="AB2344" s="61" t="str">
        <f aca="false">INDEX(Datos_Origen!$B$2:$B$2459,$Z2344)</f>
        <v>2025-12-13</v>
      </c>
      <c r="AC2344" s="61" t="n">
        <f aca="false">INDEX(Datos_Origen!$H$2:$H$2459,$Z2344)</f>
        <v>11</v>
      </c>
      <c r="AD2344" s="61" t="str">
        <f aca="false">INDEX(Datos_Origen!$D$2:$D$2459,$Z2344)&amp;""</f>
        <v>Rosario</v>
      </c>
    </row>
    <row r="2345" customFormat="false" ht="15" hidden="false" customHeight="false" outlineLevel="0" collapsed="false">
      <c r="A2345" s="61" t="n">
        <f aca="false">INDEX(Datos_Origen!$A$2:$A$2459,$Z2345)</f>
        <v>2344</v>
      </c>
      <c r="B2345" s="62" t="n">
        <f aca="false">IF(ISNUMBER($AB2345),$AB2345,IF(MID($AB2345,5,1)="-",DATE(VALUE(LEFT($AB2345,4)),VALUE(MID($AB2345,6,2)),VALUE(RIGHT($AB2345,2))),DATE(VALUE(RIGHT($AB2345,4)),VALUE(MID($AB2345,4,2)),VALUE(LEFT($AB2345,2)))))</f>
        <v>46011</v>
      </c>
      <c r="C2345" s="61" t="n">
        <f aca="false">YEAR($B2345)</f>
        <v>2025</v>
      </c>
      <c r="D2345" s="61" t="str">
        <f aca="false">"Q"&amp;ROUNDUP(MONTH($B2345)/3,0)</f>
        <v>Q4</v>
      </c>
      <c r="E2345" s="61" t="n">
        <f aca="false">MONTH($B2345)</f>
        <v>12</v>
      </c>
      <c r="F2345" s="61" t="str">
        <f aca="false">INDEX(Parametros!$I$5:$I$16,$E2345)</f>
        <v>Dic</v>
      </c>
      <c r="G2345" s="61" t="str">
        <f aca="false">TEXT($C2345,"0000")&amp;"-"&amp;TEXT($E2345,"00")</f>
        <v>2025-12</v>
      </c>
      <c r="H2345" s="61" t="str">
        <f aca="false">INDEX(Parametros!$C$71:$C$91,MATCH(TRIM(INDEX(Datos_Origen!$C$2:$C$2459,$Z2345)),Parametros!$B$71:$B$91,0))</f>
        <v>Litoral</v>
      </c>
      <c r="I2345" s="61" t="str">
        <f aca="false">IF(TRIM($AD2345)="",INDEX(Parametros!$I$20:$I$24,MATCH($H2345,Parametros!$H$20:$H$24,0)),TRIM($AD2345))</f>
        <v>Rosario</v>
      </c>
      <c r="J2345" s="61" t="str">
        <f aca="false">INDEX(Parametros!$C$95:$C$106,MATCH(TRIM(INDEX(Datos_Origen!$E$2:$E$2459,$Z2345)),Parametros!$B$95:$B$106,0))</f>
        <v>E-commerce</v>
      </c>
      <c r="K2345" s="61" t="str">
        <f aca="false">INDEX(Parametros!$C$48:$C$67,MATCH(TRIM(INDEX(Datos_Origen!$F$2:$F$2459,$Z2345)),Parametros!$B$48:$B$67,0))</f>
        <v>Computacion</v>
      </c>
      <c r="L2345" s="61" t="str">
        <f aca="false">$K2345&amp;" "&amp;$C2345</f>
        <v>Computacion 2025</v>
      </c>
      <c r="M2345" s="61" t="str">
        <f aca="false">TRIM(INDEX(Datos_Origen!$G$2:$G$2459,$Z2345))</f>
        <v>Monitor 4K 27</v>
      </c>
      <c r="N2345" s="61" t="str">
        <f aca="false">$M2345&amp;" "&amp;$C2345</f>
        <v>Monitor 4K 27 2025</v>
      </c>
      <c r="O2345" s="63" t="n">
        <f aca="false">IF(ISTEXT($AC2345),VALUE($AC2345),$AC2345)</f>
        <v>8</v>
      </c>
      <c r="P2345" s="64" t="n">
        <f aca="false">INDEX(Datos_Origen!$I$2:$I$2459,$Z2345)</f>
        <v>451.78</v>
      </c>
      <c r="Q2345" s="64" t="n">
        <f aca="false">INDEX(Datos_Origen!$J$2:$J$2459,$Z2345)</f>
        <v>280.42</v>
      </c>
      <c r="R2345" s="65" t="n">
        <f aca="false">ROUND($O2345*$P2345,2)</f>
        <v>3614.24</v>
      </c>
      <c r="S2345" s="65" t="n">
        <f aca="false">ROUND($O2345*$Q2345,2)</f>
        <v>2243.36</v>
      </c>
      <c r="T2345" s="65" t="n">
        <f aca="false">ROUND($R2345*SUMIFS(Parametros!$E$28:$E$43,Parametros!$B$28:$B$43,$J2345,Parametros!$C$28:$C$43,$C2345,Parametros!$D$28:$D$43,$D2345),2)</f>
        <v>187.94</v>
      </c>
      <c r="U2345" s="65" t="n">
        <f aca="false">$R2345-$S2345-$T2345</f>
        <v>1182.94</v>
      </c>
      <c r="V2345" s="66" t="n">
        <f aca="false">IFERROR($U2345/$R2345,0)</f>
        <v>0.327299791934127</v>
      </c>
      <c r="W2345" s="67" t="str">
        <f aca="false">IF(AND($V2345&gt;=Parametros!$C$8,$R2345&gt;=Parametros!$C$12),"Alta rentabilidad",IF(OR($V2345&lt;Parametros!$C$11,$R2345&lt;Parametros!$C$13),"Revisar","Estandar"))</f>
        <v>Estandar</v>
      </c>
      <c r="X2345" s="67" t="str">
        <f aca="false">IF(AND($J2345="E-commerce",IFERROR($T2345/$R2345,0)&gt;Parametros!$C$14),"Alerta","OK")</f>
        <v>Alerta</v>
      </c>
      <c r="Y2345" s="61" t="str">
        <f aca="false">IF($R2345&gt;=Parametros!$C$12,"Alto",IF($R2345&lt;Parametros!$C$13,"Bajo","Medio"))</f>
        <v>Alto</v>
      </c>
      <c r="Z2345" s="61" t="n">
        <v>1635</v>
      </c>
      <c r="AA2345" s="61" t="str">
        <f aca="false">IF(MATCH($A2345,Datos_Origen!$A$2:$A$2459,0)=$Z2345,"OK","REVISAR")</f>
        <v>OK</v>
      </c>
      <c r="AB2345" s="61" t="str">
        <f aca="false">INDEX(Datos_Origen!$B$2:$B$2459,$Z2345)</f>
        <v>20/12/2025</v>
      </c>
      <c r="AC2345" s="61" t="n">
        <f aca="false">INDEX(Datos_Origen!$H$2:$H$2459,$Z2345)</f>
        <v>8</v>
      </c>
      <c r="AD2345" s="61" t="str">
        <f aca="false">INDEX(Datos_Origen!$D$2:$D$2459,$Z2345)&amp;""</f>
        <v>Rosario</v>
      </c>
    </row>
    <row r="2346" customFormat="false" ht="15" hidden="false" customHeight="false" outlineLevel="0" collapsed="false">
      <c r="A2346" s="61" t="n">
        <f aca="false">INDEX(Datos_Origen!$A$2:$A$2459,$Z2346)</f>
        <v>2345</v>
      </c>
      <c r="B2346" s="62" t="n">
        <f aca="false">IF(ISNUMBER($AB2346),$AB2346,IF(MID($AB2346,5,1)="-",DATE(VALUE(LEFT($AB2346,4)),VALUE(MID($AB2346,6,2)),VALUE(RIGHT($AB2346,2))),DATE(VALUE(RIGHT($AB2346,4)),VALUE(MID($AB2346,4,2)),VALUE(LEFT($AB2346,2)))))</f>
        <v>46018</v>
      </c>
      <c r="C2346" s="61" t="n">
        <f aca="false">YEAR($B2346)</f>
        <v>2025</v>
      </c>
      <c r="D2346" s="61" t="str">
        <f aca="false">"Q"&amp;ROUNDUP(MONTH($B2346)/3,0)</f>
        <v>Q4</v>
      </c>
      <c r="E2346" s="61" t="n">
        <f aca="false">MONTH($B2346)</f>
        <v>12</v>
      </c>
      <c r="F2346" s="61" t="str">
        <f aca="false">INDEX(Parametros!$I$5:$I$16,$E2346)</f>
        <v>Dic</v>
      </c>
      <c r="G2346" s="61" t="str">
        <f aca="false">TEXT($C2346,"0000")&amp;"-"&amp;TEXT($E2346,"00")</f>
        <v>2025-12</v>
      </c>
      <c r="H2346" s="61" t="str">
        <f aca="false">INDEX(Parametros!$C$71:$C$91,MATCH(TRIM(INDEX(Datos_Origen!$C$2:$C$2459,$Z2346)),Parametros!$B$71:$B$91,0))</f>
        <v>Litoral</v>
      </c>
      <c r="I2346" s="61" t="str">
        <f aca="false">IF(TRIM($AD2346)="",INDEX(Parametros!$I$20:$I$24,MATCH($H2346,Parametros!$H$20:$H$24,0)),TRIM($AD2346))</f>
        <v>Rosario</v>
      </c>
      <c r="J2346" s="61" t="str">
        <f aca="false">INDEX(Parametros!$C$95:$C$106,MATCH(TRIM(INDEX(Datos_Origen!$E$2:$E$2459,$Z2346)),Parametros!$B$95:$B$106,0))</f>
        <v>Tienda fisica</v>
      </c>
      <c r="K2346" s="61" t="str">
        <f aca="false">INDEX(Parametros!$C$48:$C$67,MATCH(TRIM(INDEX(Datos_Origen!$F$2:$F$2459,$Z2346)),Parametros!$B$48:$B$67,0))</f>
        <v>Computacion</v>
      </c>
      <c r="L2346" s="61" t="str">
        <f aca="false">$K2346&amp;" "&amp;$C2346</f>
        <v>Computacion 2025</v>
      </c>
      <c r="M2346" s="61" t="str">
        <f aca="false">TRIM(INDEX(Datos_Origen!$G$2:$G$2459,$Z2346))</f>
        <v>PC Gamer Ryzen</v>
      </c>
      <c r="N2346" s="61" t="str">
        <f aca="false">$M2346&amp;" "&amp;$C2346</f>
        <v>PC Gamer Ryzen 2025</v>
      </c>
      <c r="O2346" s="63" t="n">
        <f aca="false">IF(ISTEXT($AC2346),VALUE($AC2346),$AC2346)</f>
        <v>10</v>
      </c>
      <c r="P2346" s="64" t="n">
        <f aca="false">INDEX(Datos_Origen!$I$2:$I$2459,$Z2346)</f>
        <v>1656.52</v>
      </c>
      <c r="Q2346" s="64" t="n">
        <f aca="false">INDEX(Datos_Origen!$J$2:$J$2459,$Z2346)</f>
        <v>1155.66</v>
      </c>
      <c r="R2346" s="65" t="n">
        <f aca="false">ROUND($O2346*$P2346,2)</f>
        <v>16565.2</v>
      </c>
      <c r="S2346" s="65" t="n">
        <f aca="false">ROUND($O2346*$Q2346,2)</f>
        <v>11556.6</v>
      </c>
      <c r="T2346" s="65" t="n">
        <f aca="false">ROUND($R2346*SUMIFS(Parametros!$E$28:$E$43,Parametros!$B$28:$B$43,$J2346,Parametros!$C$28:$C$43,$C2346,Parametros!$D$28:$D$43,$D2346),2)</f>
        <v>215.35</v>
      </c>
      <c r="U2346" s="65" t="n">
        <f aca="false">$R2346-$S2346-$T2346</f>
        <v>4793.25</v>
      </c>
      <c r="V2346" s="66" t="n">
        <f aca="false">IFERROR($U2346/$R2346,0)</f>
        <v>0.289356602999058</v>
      </c>
      <c r="W2346" s="67" t="str">
        <f aca="false">IF(AND($V2346&gt;=Parametros!$C$8,$R2346&gt;=Parametros!$C$12),"Alta rentabilidad",IF(OR($V2346&lt;Parametros!$C$11,$R2346&lt;Parametros!$C$13),"Revisar","Estandar"))</f>
        <v>Estandar</v>
      </c>
      <c r="X2346" s="67" t="str">
        <f aca="false">IF(AND($J2346="E-commerce",IFERROR($T2346/$R2346,0)&gt;Parametros!$C$14),"Alerta","OK")</f>
        <v>OK</v>
      </c>
      <c r="Y2346" s="61" t="str">
        <f aca="false">IF($R2346&gt;=Parametros!$C$12,"Alto",IF($R2346&lt;Parametros!$C$13,"Bajo","Medio"))</f>
        <v>Alto</v>
      </c>
      <c r="Z2346" s="61" t="n">
        <v>1378</v>
      </c>
      <c r="AA2346" s="61" t="str">
        <f aca="false">IF(MATCH($A2346,Datos_Origen!$A$2:$A$2459,0)=$Z2346,"OK","REVISAR")</f>
        <v>OK</v>
      </c>
      <c r="AB2346" s="62" t="n">
        <f aca="false">INDEX(Datos_Origen!$B$2:$B$2459,$Z2346)</f>
        <v>46018</v>
      </c>
      <c r="AC2346" s="61" t="n">
        <f aca="false">INDEX(Datos_Origen!$H$2:$H$2459,$Z2346)</f>
        <v>10</v>
      </c>
      <c r="AD2346" s="61" t="str">
        <f aca="false">INDEX(Datos_Origen!$D$2:$D$2459,$Z2346)&amp;""</f>
        <v>Rosario</v>
      </c>
    </row>
    <row r="2347" customFormat="false" ht="15" hidden="false" customHeight="false" outlineLevel="0" collapsed="false">
      <c r="A2347" s="61" t="n">
        <f aca="false">INDEX(Datos_Origen!$A$2:$A$2459,$Z2347)</f>
        <v>2346</v>
      </c>
      <c r="B2347" s="62" t="n">
        <f aca="false">IF(ISNUMBER($AB2347),$AB2347,IF(MID($AB2347,5,1)="-",DATE(VALUE(LEFT($AB2347,4)),VALUE(MID($AB2347,6,2)),VALUE(RIGHT($AB2347,2))),DATE(VALUE(RIGHT($AB2347,4)),VALUE(MID($AB2347,4,2)),VALUE(LEFT($AB2347,2)))))</f>
        <v>45998</v>
      </c>
      <c r="C2347" s="61" t="n">
        <f aca="false">YEAR($B2347)</f>
        <v>2025</v>
      </c>
      <c r="D2347" s="61" t="str">
        <f aca="false">"Q"&amp;ROUNDUP(MONTH($B2347)/3,0)</f>
        <v>Q4</v>
      </c>
      <c r="E2347" s="61" t="n">
        <f aca="false">MONTH($B2347)</f>
        <v>12</v>
      </c>
      <c r="F2347" s="61" t="str">
        <f aca="false">INDEX(Parametros!$I$5:$I$16,$E2347)</f>
        <v>Dic</v>
      </c>
      <c r="G2347" s="61" t="str">
        <f aca="false">TEXT($C2347,"0000")&amp;"-"&amp;TEXT($E2347,"00")</f>
        <v>2025-12</v>
      </c>
      <c r="H2347" s="61" t="str">
        <f aca="false">INDEX(Parametros!$C$71:$C$91,MATCH(TRIM(INDEX(Datos_Origen!$C$2:$C$2459,$Z2347)),Parametros!$B$71:$B$91,0))</f>
        <v>Litoral</v>
      </c>
      <c r="I2347" s="61" t="str">
        <f aca="false">IF(TRIM($AD2347)="",INDEX(Parametros!$I$20:$I$24,MATCH($H2347,Parametros!$H$20:$H$24,0)),TRIM($AD2347))</f>
        <v>Rosario</v>
      </c>
      <c r="J2347" s="61" t="str">
        <f aca="false">INDEX(Parametros!$C$95:$C$106,MATCH(TRIM(INDEX(Datos_Origen!$E$2:$E$2459,$Z2347)),Parametros!$B$95:$B$106,0))</f>
        <v>E-commerce</v>
      </c>
      <c r="K2347" s="61" t="str">
        <f aca="false">INDEX(Parametros!$C$48:$C$67,MATCH(TRIM(INDEX(Datos_Origen!$F$2:$F$2459,$Z2347)),Parametros!$B$48:$B$67,0))</f>
        <v>Computacion</v>
      </c>
      <c r="L2347" s="61" t="str">
        <f aca="false">$K2347&amp;" "&amp;$C2347</f>
        <v>Computacion 2025</v>
      </c>
      <c r="M2347" s="61" t="str">
        <f aca="false">TRIM(INDEX(Datos_Origen!$G$2:$G$2459,$Z2347))</f>
        <v>PC Gamer Ryzen</v>
      </c>
      <c r="N2347" s="61" t="str">
        <f aca="false">$M2347&amp;" "&amp;$C2347</f>
        <v>PC Gamer Ryzen 2025</v>
      </c>
      <c r="O2347" s="63" t="n">
        <f aca="false">IF(ISTEXT($AC2347),VALUE($AC2347),$AC2347)</f>
        <v>8</v>
      </c>
      <c r="P2347" s="64" t="n">
        <f aca="false">INDEX(Datos_Origen!$I$2:$I$2459,$Z2347)</f>
        <v>1656.52</v>
      </c>
      <c r="Q2347" s="64" t="n">
        <f aca="false">INDEX(Datos_Origen!$J$2:$J$2459,$Z2347)</f>
        <v>1155.66</v>
      </c>
      <c r="R2347" s="65" t="n">
        <f aca="false">ROUND($O2347*$P2347,2)</f>
        <v>13252.16</v>
      </c>
      <c r="S2347" s="65" t="n">
        <f aca="false">ROUND($O2347*$Q2347,2)</f>
        <v>9245.28</v>
      </c>
      <c r="T2347" s="65" t="n">
        <f aca="false">ROUND($R2347*SUMIFS(Parametros!$E$28:$E$43,Parametros!$B$28:$B$43,$J2347,Parametros!$C$28:$C$43,$C2347,Parametros!$D$28:$D$43,$D2347),2)</f>
        <v>689.11</v>
      </c>
      <c r="U2347" s="65" t="n">
        <f aca="false">$R2347-$S2347-$T2347</f>
        <v>3317.77</v>
      </c>
      <c r="V2347" s="66" t="n">
        <f aca="false">IFERROR($U2347/$R2347,0)</f>
        <v>0.250356922946901</v>
      </c>
      <c r="W2347" s="67" t="str">
        <f aca="false">IF(AND($V2347&gt;=Parametros!$C$8,$R2347&gt;=Parametros!$C$12),"Alta rentabilidad",IF(OR($V2347&lt;Parametros!$C$11,$R2347&lt;Parametros!$C$13),"Revisar","Estandar"))</f>
        <v>Revisar</v>
      </c>
      <c r="X2347" s="67" t="str">
        <f aca="false">IF(AND($J2347="E-commerce",IFERROR($T2347/$R2347,0)&gt;Parametros!$C$14),"Alerta","OK")</f>
        <v>Alerta</v>
      </c>
      <c r="Y2347" s="61" t="str">
        <f aca="false">IF($R2347&gt;=Parametros!$C$12,"Alto",IF($R2347&lt;Parametros!$C$13,"Bajo","Medio"))</f>
        <v>Alto</v>
      </c>
      <c r="Z2347" s="61" t="n">
        <v>2266</v>
      </c>
      <c r="AA2347" s="61" t="str">
        <f aca="false">IF(MATCH($A2347,Datos_Origen!$A$2:$A$2459,0)=$Z2347,"OK","REVISAR")</f>
        <v>OK</v>
      </c>
      <c r="AB2347" s="62" t="n">
        <f aca="false">INDEX(Datos_Origen!$B$2:$B$2459,$Z2347)</f>
        <v>45998</v>
      </c>
      <c r="AC2347" s="61" t="n">
        <f aca="false">INDEX(Datos_Origen!$H$2:$H$2459,$Z2347)</f>
        <v>8</v>
      </c>
      <c r="AD2347" s="61" t="str">
        <f aca="false">INDEX(Datos_Origen!$D$2:$D$2459,$Z2347)&amp;""</f>
        <v/>
      </c>
    </row>
    <row r="2348" customFormat="false" ht="15" hidden="false" customHeight="false" outlineLevel="0" collapsed="false">
      <c r="A2348" s="61" t="n">
        <f aca="false">INDEX(Datos_Origen!$A$2:$A$2459,$Z2348)</f>
        <v>2347</v>
      </c>
      <c r="B2348" s="62" t="n">
        <f aca="false">IF(ISNUMBER($AB2348),$AB2348,IF(MID($AB2348,5,1)="-",DATE(VALUE(LEFT($AB2348,4)),VALUE(MID($AB2348,6,2)),VALUE(RIGHT($AB2348,2))),DATE(VALUE(RIGHT($AB2348,4)),VALUE(MID($AB2348,4,2)),VALUE(LEFT($AB2348,2)))))</f>
        <v>46005</v>
      </c>
      <c r="C2348" s="61" t="n">
        <f aca="false">YEAR($B2348)</f>
        <v>2025</v>
      </c>
      <c r="D2348" s="61" t="str">
        <f aca="false">"Q"&amp;ROUNDUP(MONTH($B2348)/3,0)</f>
        <v>Q4</v>
      </c>
      <c r="E2348" s="61" t="n">
        <f aca="false">MONTH($B2348)</f>
        <v>12</v>
      </c>
      <c r="F2348" s="61" t="str">
        <f aca="false">INDEX(Parametros!$I$5:$I$16,$E2348)</f>
        <v>Dic</v>
      </c>
      <c r="G2348" s="61" t="str">
        <f aca="false">TEXT($C2348,"0000")&amp;"-"&amp;TEXT($E2348,"00")</f>
        <v>2025-12</v>
      </c>
      <c r="H2348" s="61" t="str">
        <f aca="false">INDEX(Parametros!$C$71:$C$91,MATCH(TRIM(INDEX(Datos_Origen!$C$2:$C$2459,$Z2348)),Parametros!$B$71:$B$91,0))</f>
        <v>Litoral</v>
      </c>
      <c r="I2348" s="61" t="str">
        <f aca="false">IF(TRIM($AD2348)="",INDEX(Parametros!$I$20:$I$24,MATCH($H2348,Parametros!$H$20:$H$24,0)),TRIM($AD2348))</f>
        <v>Rosario</v>
      </c>
      <c r="J2348" s="61" t="str">
        <f aca="false">INDEX(Parametros!$C$95:$C$106,MATCH(TRIM(INDEX(Datos_Origen!$E$2:$E$2459,$Z2348)),Parametros!$B$95:$B$106,0))</f>
        <v>Tienda fisica</v>
      </c>
      <c r="K2348" s="61" t="str">
        <f aca="false">INDEX(Parametros!$C$48:$C$67,MATCH(TRIM(INDEX(Datos_Origen!$F$2:$F$2459,$Z2348)),Parametros!$B$48:$B$67,0))</f>
        <v>Accesorios</v>
      </c>
      <c r="L2348" s="61" t="str">
        <f aca="false">$K2348&amp;" "&amp;$C2348</f>
        <v>Accesorios 2025</v>
      </c>
      <c r="M2348" s="61" t="str">
        <f aca="false">TRIM(INDEX(Datos_Origen!$G$2:$G$2459,$Z2348))</f>
        <v>Mouse Inalambrico</v>
      </c>
      <c r="N2348" s="61" t="str">
        <f aca="false">$M2348&amp;" "&amp;$C2348</f>
        <v>Mouse Inalambrico 2025</v>
      </c>
      <c r="O2348" s="63" t="n">
        <f aca="false">IF(ISTEXT($AC2348),VALUE($AC2348),$AC2348)</f>
        <v>50</v>
      </c>
      <c r="P2348" s="64" t="n">
        <f aca="false">INDEX(Datos_Origen!$I$2:$I$2459,$Z2348)</f>
        <v>28.11</v>
      </c>
      <c r="Q2348" s="64" t="n">
        <f aca="false">INDEX(Datos_Origen!$J$2:$J$2459,$Z2348)</f>
        <v>13.84</v>
      </c>
      <c r="R2348" s="65" t="n">
        <f aca="false">ROUND($O2348*$P2348,2)</f>
        <v>1405.5</v>
      </c>
      <c r="S2348" s="65" t="n">
        <f aca="false">ROUND($O2348*$Q2348,2)</f>
        <v>692</v>
      </c>
      <c r="T2348" s="65" t="n">
        <f aca="false">ROUND($R2348*SUMIFS(Parametros!$E$28:$E$43,Parametros!$B$28:$B$43,$J2348,Parametros!$C$28:$C$43,$C2348,Parametros!$D$28:$D$43,$D2348),2)</f>
        <v>18.27</v>
      </c>
      <c r="U2348" s="65" t="n">
        <f aca="false">$R2348-$S2348-$T2348</f>
        <v>695.23</v>
      </c>
      <c r="V2348" s="66" t="n">
        <f aca="false">IFERROR($U2348/$R2348,0)</f>
        <v>0.494649590892921</v>
      </c>
      <c r="W2348" s="67" t="str">
        <f aca="false">IF(AND($V2348&gt;=Parametros!$C$8,$R2348&gt;=Parametros!$C$12),"Alta rentabilidad",IF(OR($V2348&lt;Parametros!$C$11,$R2348&lt;Parametros!$C$13),"Revisar","Estandar"))</f>
        <v>Estandar</v>
      </c>
      <c r="X2348" s="67" t="str">
        <f aca="false">IF(AND($J2348="E-commerce",IFERROR($T2348/$R2348,0)&gt;Parametros!$C$14),"Alerta","OK")</f>
        <v>OK</v>
      </c>
      <c r="Y2348" s="61" t="str">
        <f aca="false">IF($R2348&gt;=Parametros!$C$12,"Alto",IF($R2348&lt;Parametros!$C$13,"Bajo","Medio"))</f>
        <v>Medio</v>
      </c>
      <c r="Z2348" s="61" t="n">
        <v>122</v>
      </c>
      <c r="AA2348" s="61" t="str">
        <f aca="false">IF(MATCH($A2348,Datos_Origen!$A$2:$A$2459,0)=$Z2348,"OK","REVISAR")</f>
        <v>OK</v>
      </c>
      <c r="AB2348" s="62" t="n">
        <f aca="false">INDEX(Datos_Origen!$B$2:$B$2459,$Z2348)</f>
        <v>46005</v>
      </c>
      <c r="AC2348" s="61" t="n">
        <f aca="false">INDEX(Datos_Origen!$H$2:$H$2459,$Z2348)</f>
        <v>50</v>
      </c>
      <c r="AD2348" s="61" t="str">
        <f aca="false">INDEX(Datos_Origen!$D$2:$D$2459,$Z2348)&amp;""</f>
        <v>Rosario</v>
      </c>
    </row>
    <row r="2349" customFormat="false" ht="15" hidden="false" customHeight="false" outlineLevel="0" collapsed="false">
      <c r="A2349" s="61" t="n">
        <f aca="false">INDEX(Datos_Origen!$A$2:$A$2459,$Z2349)</f>
        <v>2348</v>
      </c>
      <c r="B2349" s="62" t="n">
        <f aca="false">IF(ISNUMBER($AB2349),$AB2349,IF(MID($AB2349,5,1)="-",DATE(VALUE(LEFT($AB2349,4)),VALUE(MID($AB2349,6,2)),VALUE(RIGHT($AB2349,2))),DATE(VALUE(RIGHT($AB2349,4)),VALUE(MID($AB2349,4,2)),VALUE(LEFT($AB2349,2)))))</f>
        <v>46012</v>
      </c>
      <c r="C2349" s="61" t="n">
        <f aca="false">YEAR($B2349)</f>
        <v>2025</v>
      </c>
      <c r="D2349" s="61" t="str">
        <f aca="false">"Q"&amp;ROUNDUP(MONTH($B2349)/3,0)</f>
        <v>Q4</v>
      </c>
      <c r="E2349" s="61" t="n">
        <f aca="false">MONTH($B2349)</f>
        <v>12</v>
      </c>
      <c r="F2349" s="61" t="str">
        <f aca="false">INDEX(Parametros!$I$5:$I$16,$E2349)</f>
        <v>Dic</v>
      </c>
      <c r="G2349" s="61" t="str">
        <f aca="false">TEXT($C2349,"0000")&amp;"-"&amp;TEXT($E2349,"00")</f>
        <v>2025-12</v>
      </c>
      <c r="H2349" s="61" t="str">
        <f aca="false">INDEX(Parametros!$C$71:$C$91,MATCH(TRIM(INDEX(Datos_Origen!$C$2:$C$2459,$Z2349)),Parametros!$B$71:$B$91,0))</f>
        <v>Litoral</v>
      </c>
      <c r="I2349" s="61" t="str">
        <f aca="false">IF(TRIM($AD2349)="",INDEX(Parametros!$I$20:$I$24,MATCH($H2349,Parametros!$H$20:$H$24,0)),TRIM($AD2349))</f>
        <v>Rosario</v>
      </c>
      <c r="J2349" s="61" t="str">
        <f aca="false">INDEX(Parametros!$C$95:$C$106,MATCH(TRIM(INDEX(Datos_Origen!$E$2:$E$2459,$Z2349)),Parametros!$B$95:$B$106,0))</f>
        <v>E-commerce</v>
      </c>
      <c r="K2349" s="61" t="str">
        <f aca="false">INDEX(Parametros!$C$48:$C$67,MATCH(TRIM(INDEX(Datos_Origen!$F$2:$F$2459,$Z2349)),Parametros!$B$48:$B$67,0))</f>
        <v>Accesorios</v>
      </c>
      <c r="L2349" s="61" t="str">
        <f aca="false">$K2349&amp;" "&amp;$C2349</f>
        <v>Accesorios 2025</v>
      </c>
      <c r="M2349" s="61" t="str">
        <f aca="false">TRIM(INDEX(Datos_Origen!$G$2:$G$2459,$Z2349))</f>
        <v>Mouse Inalambrico</v>
      </c>
      <c r="N2349" s="61" t="str">
        <f aca="false">$M2349&amp;" "&amp;$C2349</f>
        <v>Mouse Inalambrico 2025</v>
      </c>
      <c r="O2349" s="63" t="n">
        <f aca="false">IF(ISTEXT($AC2349),VALUE($AC2349),$AC2349)</f>
        <v>38</v>
      </c>
      <c r="P2349" s="64" t="n">
        <f aca="false">INDEX(Datos_Origen!$I$2:$I$2459,$Z2349)</f>
        <v>28.11</v>
      </c>
      <c r="Q2349" s="64" t="n">
        <f aca="false">INDEX(Datos_Origen!$J$2:$J$2459,$Z2349)</f>
        <v>13.84</v>
      </c>
      <c r="R2349" s="65" t="n">
        <f aca="false">ROUND($O2349*$P2349,2)</f>
        <v>1068.18</v>
      </c>
      <c r="S2349" s="65" t="n">
        <f aca="false">ROUND($O2349*$Q2349,2)</f>
        <v>525.92</v>
      </c>
      <c r="T2349" s="65" t="n">
        <f aca="false">ROUND($R2349*SUMIFS(Parametros!$E$28:$E$43,Parametros!$B$28:$B$43,$J2349,Parametros!$C$28:$C$43,$C2349,Parametros!$D$28:$D$43,$D2349),2)</f>
        <v>55.55</v>
      </c>
      <c r="U2349" s="65" t="n">
        <f aca="false">$R2349-$S2349-$T2349</f>
        <v>486.71</v>
      </c>
      <c r="V2349" s="66" t="n">
        <f aca="false">IFERROR($U2349/$R2349,0)</f>
        <v>0.455644179819881</v>
      </c>
      <c r="W2349" s="67" t="str">
        <f aca="false">IF(AND($V2349&gt;=Parametros!$C$8,$R2349&gt;=Parametros!$C$12),"Alta rentabilidad",IF(OR($V2349&lt;Parametros!$C$11,$R2349&lt;Parametros!$C$13),"Revisar","Estandar"))</f>
        <v>Estandar</v>
      </c>
      <c r="X2349" s="67" t="str">
        <f aca="false">IF(AND($J2349="E-commerce",IFERROR($T2349/$R2349,0)&gt;Parametros!$C$14),"Alerta","OK")</f>
        <v>Alerta</v>
      </c>
      <c r="Y2349" s="61" t="str">
        <f aca="false">IF($R2349&gt;=Parametros!$C$12,"Alto",IF($R2349&lt;Parametros!$C$13,"Bajo","Medio"))</f>
        <v>Medio</v>
      </c>
      <c r="Z2349" s="61" t="n">
        <v>1011</v>
      </c>
      <c r="AA2349" s="61" t="str">
        <f aca="false">IF(MATCH($A2349,Datos_Origen!$A$2:$A$2459,0)=$Z2349,"OK","REVISAR")</f>
        <v>OK</v>
      </c>
      <c r="AB2349" s="62" t="n">
        <f aca="false">INDEX(Datos_Origen!$B$2:$B$2459,$Z2349)</f>
        <v>46012</v>
      </c>
      <c r="AC2349" s="61" t="n">
        <f aca="false">INDEX(Datos_Origen!$H$2:$H$2459,$Z2349)</f>
        <v>38</v>
      </c>
      <c r="AD2349" s="61" t="str">
        <f aca="false">INDEX(Datos_Origen!$D$2:$D$2459,$Z2349)&amp;""</f>
        <v/>
      </c>
    </row>
    <row r="2350" customFormat="false" ht="15" hidden="false" customHeight="false" outlineLevel="0" collapsed="false">
      <c r="A2350" s="61" t="n">
        <f aca="false">INDEX(Datos_Origen!$A$2:$A$2459,$Z2350)</f>
        <v>2349</v>
      </c>
      <c r="B2350" s="62" t="n">
        <f aca="false">IF(ISNUMBER($AB2350),$AB2350,IF(MID($AB2350,5,1)="-",DATE(VALUE(LEFT($AB2350,4)),VALUE(MID($AB2350,6,2)),VALUE(RIGHT($AB2350,2))),DATE(VALUE(RIGHT($AB2350,4)),VALUE(MID($AB2350,4,2)),VALUE(LEFT($AB2350,2)))))</f>
        <v>45992</v>
      </c>
      <c r="C2350" s="61" t="n">
        <f aca="false">YEAR($B2350)</f>
        <v>2025</v>
      </c>
      <c r="D2350" s="61" t="str">
        <f aca="false">"Q"&amp;ROUNDUP(MONTH($B2350)/3,0)</f>
        <v>Q4</v>
      </c>
      <c r="E2350" s="61" t="n">
        <f aca="false">MONTH($B2350)</f>
        <v>12</v>
      </c>
      <c r="F2350" s="61" t="str">
        <f aca="false">INDEX(Parametros!$I$5:$I$16,$E2350)</f>
        <v>Dic</v>
      </c>
      <c r="G2350" s="61" t="str">
        <f aca="false">TEXT($C2350,"0000")&amp;"-"&amp;TEXT($E2350,"00")</f>
        <v>2025-12</v>
      </c>
      <c r="H2350" s="61" t="str">
        <f aca="false">INDEX(Parametros!$C$71:$C$91,MATCH(TRIM(INDEX(Datos_Origen!$C$2:$C$2459,$Z2350)),Parametros!$B$71:$B$91,0))</f>
        <v>Litoral</v>
      </c>
      <c r="I2350" s="61" t="str">
        <f aca="false">IF(TRIM($AD2350)="",INDEX(Parametros!$I$20:$I$24,MATCH($H2350,Parametros!$H$20:$H$24,0)),TRIM($AD2350))</f>
        <v>Rosario</v>
      </c>
      <c r="J2350" s="61" t="str">
        <f aca="false">INDEX(Parametros!$C$95:$C$106,MATCH(TRIM(INDEX(Datos_Origen!$E$2:$E$2459,$Z2350)),Parametros!$B$95:$B$106,0))</f>
        <v>Tienda fisica</v>
      </c>
      <c r="K2350" s="61" t="str">
        <f aca="false">INDEX(Parametros!$C$48:$C$67,MATCH(TRIM(INDEX(Datos_Origen!$F$2:$F$2459,$Z2350)),Parametros!$B$48:$B$67,0))</f>
        <v>Accesorios</v>
      </c>
      <c r="L2350" s="61" t="str">
        <f aca="false">$K2350&amp;" "&amp;$C2350</f>
        <v>Accesorios 2025</v>
      </c>
      <c r="M2350" s="61" t="str">
        <f aca="false">TRIM(INDEX(Datos_Origen!$G$2:$G$2459,$Z2350))</f>
        <v>Teclado Mecanico</v>
      </c>
      <c r="N2350" s="61" t="str">
        <f aca="false">$M2350&amp;" "&amp;$C2350</f>
        <v>Teclado Mecanico 2025</v>
      </c>
      <c r="O2350" s="63" t="n">
        <f aca="false">IF(ISTEXT($AC2350),VALUE($AC2350),$AC2350)</f>
        <v>58</v>
      </c>
      <c r="P2350" s="64" t="n">
        <f aca="false">INDEX(Datos_Origen!$I$2:$I$2459,$Z2350)</f>
        <v>95.38</v>
      </c>
      <c r="Q2350" s="64" t="n">
        <f aca="false">INDEX(Datos_Origen!$J$2:$J$2459,$Z2350)</f>
        <v>49.41</v>
      </c>
      <c r="R2350" s="65" t="n">
        <f aca="false">ROUND($O2350*$P2350,2)</f>
        <v>5532.04</v>
      </c>
      <c r="S2350" s="65" t="n">
        <f aca="false">ROUND($O2350*$Q2350,2)</f>
        <v>2865.78</v>
      </c>
      <c r="T2350" s="65" t="n">
        <f aca="false">ROUND($R2350*SUMIFS(Parametros!$E$28:$E$43,Parametros!$B$28:$B$43,$J2350,Parametros!$C$28:$C$43,$C2350,Parametros!$D$28:$D$43,$D2350),2)</f>
        <v>71.92</v>
      </c>
      <c r="U2350" s="65" t="n">
        <f aca="false">$R2350-$S2350-$T2350</f>
        <v>2594.34</v>
      </c>
      <c r="V2350" s="66" t="n">
        <f aca="false">IFERROR($U2350/$R2350,0)</f>
        <v>0.46896624030195</v>
      </c>
      <c r="W2350" s="67" t="str">
        <f aca="false">IF(AND($V2350&gt;=Parametros!$C$8,$R2350&gt;=Parametros!$C$12),"Alta rentabilidad",IF(OR($V2350&lt;Parametros!$C$11,$R2350&lt;Parametros!$C$13),"Revisar","Estandar"))</f>
        <v>Alta rentabilidad</v>
      </c>
      <c r="X2350" s="67" t="str">
        <f aca="false">IF(AND($J2350="E-commerce",IFERROR($T2350/$R2350,0)&gt;Parametros!$C$14),"Alerta","OK")</f>
        <v>OK</v>
      </c>
      <c r="Y2350" s="61" t="str">
        <f aca="false">IF($R2350&gt;=Parametros!$C$12,"Alto",IF($R2350&lt;Parametros!$C$13,"Bajo","Medio"))</f>
        <v>Alto</v>
      </c>
      <c r="Z2350" s="61" t="n">
        <v>398</v>
      </c>
      <c r="AA2350" s="61" t="str">
        <f aca="false">IF(MATCH($A2350,Datos_Origen!$A$2:$A$2459,0)=$Z2350,"OK","REVISAR")</f>
        <v>OK</v>
      </c>
      <c r="AB2350" s="62" t="n">
        <f aca="false">INDEX(Datos_Origen!$B$2:$B$2459,$Z2350)</f>
        <v>45992</v>
      </c>
      <c r="AC2350" s="61" t="n">
        <f aca="false">INDEX(Datos_Origen!$H$2:$H$2459,$Z2350)</f>
        <v>58</v>
      </c>
      <c r="AD2350" s="61" t="str">
        <f aca="false">INDEX(Datos_Origen!$D$2:$D$2459,$Z2350)&amp;""</f>
        <v>Rosario</v>
      </c>
    </row>
    <row r="2351" customFormat="false" ht="15" hidden="false" customHeight="false" outlineLevel="0" collapsed="false">
      <c r="A2351" s="61" t="n">
        <f aca="false">INDEX(Datos_Origen!$A$2:$A$2459,$Z2351)</f>
        <v>2350</v>
      </c>
      <c r="B2351" s="62" t="n">
        <f aca="false">IF(ISNUMBER($AB2351),$AB2351,IF(MID($AB2351,5,1)="-",DATE(VALUE(LEFT($AB2351,4)),VALUE(MID($AB2351,6,2)),VALUE(RIGHT($AB2351,2))),DATE(VALUE(RIGHT($AB2351,4)),VALUE(MID($AB2351,4,2)),VALUE(LEFT($AB2351,2)))))</f>
        <v>45999</v>
      </c>
      <c r="C2351" s="61" t="n">
        <f aca="false">YEAR($B2351)</f>
        <v>2025</v>
      </c>
      <c r="D2351" s="61" t="str">
        <f aca="false">"Q"&amp;ROUNDUP(MONTH($B2351)/3,0)</f>
        <v>Q4</v>
      </c>
      <c r="E2351" s="61" t="n">
        <f aca="false">MONTH($B2351)</f>
        <v>12</v>
      </c>
      <c r="F2351" s="61" t="str">
        <f aca="false">INDEX(Parametros!$I$5:$I$16,$E2351)</f>
        <v>Dic</v>
      </c>
      <c r="G2351" s="61" t="str">
        <f aca="false">TEXT($C2351,"0000")&amp;"-"&amp;TEXT($E2351,"00")</f>
        <v>2025-12</v>
      </c>
      <c r="H2351" s="61" t="str">
        <f aca="false">INDEX(Parametros!$C$71:$C$91,MATCH(TRIM(INDEX(Datos_Origen!$C$2:$C$2459,$Z2351)),Parametros!$B$71:$B$91,0))</f>
        <v>Litoral</v>
      </c>
      <c r="I2351" s="61" t="str">
        <f aca="false">IF(TRIM($AD2351)="",INDEX(Parametros!$I$20:$I$24,MATCH($H2351,Parametros!$H$20:$H$24,0)),TRIM($AD2351))</f>
        <v>Rosario</v>
      </c>
      <c r="J2351" s="61" t="str">
        <f aca="false">INDEX(Parametros!$C$95:$C$106,MATCH(TRIM(INDEX(Datos_Origen!$E$2:$E$2459,$Z2351)),Parametros!$B$95:$B$106,0))</f>
        <v>E-commerce</v>
      </c>
      <c r="K2351" s="61" t="str">
        <f aca="false">INDEX(Parametros!$C$48:$C$67,MATCH(TRIM(INDEX(Datos_Origen!$F$2:$F$2459,$Z2351)),Parametros!$B$48:$B$67,0))</f>
        <v>Accesorios</v>
      </c>
      <c r="L2351" s="61" t="str">
        <f aca="false">$K2351&amp;" "&amp;$C2351</f>
        <v>Accesorios 2025</v>
      </c>
      <c r="M2351" s="61" t="str">
        <f aca="false">TRIM(INDEX(Datos_Origen!$G$2:$G$2459,$Z2351))</f>
        <v>Teclado Mecanico</v>
      </c>
      <c r="N2351" s="61" t="str">
        <f aca="false">$M2351&amp;" "&amp;$C2351</f>
        <v>Teclado Mecanico 2025</v>
      </c>
      <c r="O2351" s="63" t="n">
        <f aca="false">IF(ISTEXT($AC2351),VALUE($AC2351),$AC2351)</f>
        <v>34</v>
      </c>
      <c r="P2351" s="64" t="n">
        <f aca="false">INDEX(Datos_Origen!$I$2:$I$2459,$Z2351)</f>
        <v>95.38</v>
      </c>
      <c r="Q2351" s="64" t="n">
        <f aca="false">INDEX(Datos_Origen!$J$2:$J$2459,$Z2351)</f>
        <v>49.41</v>
      </c>
      <c r="R2351" s="65" t="n">
        <f aca="false">ROUND($O2351*$P2351,2)</f>
        <v>3242.92</v>
      </c>
      <c r="S2351" s="65" t="n">
        <f aca="false">ROUND($O2351*$Q2351,2)</f>
        <v>1679.94</v>
      </c>
      <c r="T2351" s="65" t="n">
        <f aca="false">ROUND($R2351*SUMIFS(Parametros!$E$28:$E$43,Parametros!$B$28:$B$43,$J2351,Parametros!$C$28:$C$43,$C2351,Parametros!$D$28:$D$43,$D2351),2)</f>
        <v>168.63</v>
      </c>
      <c r="U2351" s="65" t="n">
        <f aca="false">$R2351-$S2351-$T2351</f>
        <v>1394.35</v>
      </c>
      <c r="V2351" s="66" t="n">
        <f aca="false">IFERROR($U2351/$R2351,0)</f>
        <v>0.42996743675453</v>
      </c>
      <c r="W2351" s="67" t="str">
        <f aca="false">IF(AND($V2351&gt;=Parametros!$C$8,$R2351&gt;=Parametros!$C$12),"Alta rentabilidad",IF(OR($V2351&lt;Parametros!$C$11,$R2351&lt;Parametros!$C$13),"Revisar","Estandar"))</f>
        <v>Alta rentabilidad</v>
      </c>
      <c r="X2351" s="67" t="str">
        <f aca="false">IF(AND($J2351="E-commerce",IFERROR($T2351/$R2351,0)&gt;Parametros!$C$14),"Alerta","OK")</f>
        <v>Alerta</v>
      </c>
      <c r="Y2351" s="61" t="str">
        <f aca="false">IF($R2351&gt;=Parametros!$C$12,"Alto",IF($R2351&lt;Parametros!$C$13,"Bajo","Medio"))</f>
        <v>Alto</v>
      </c>
      <c r="Z2351" s="61" t="n">
        <v>1811</v>
      </c>
      <c r="AA2351" s="61" t="str">
        <f aca="false">IF(MATCH($A2351,Datos_Origen!$A$2:$A$2459,0)=$Z2351,"OK","REVISAR")</f>
        <v>OK</v>
      </c>
      <c r="AB2351" s="62" t="n">
        <f aca="false">INDEX(Datos_Origen!$B$2:$B$2459,$Z2351)</f>
        <v>45999</v>
      </c>
      <c r="AC2351" s="61" t="n">
        <f aca="false">INDEX(Datos_Origen!$H$2:$H$2459,$Z2351)</f>
        <v>34</v>
      </c>
      <c r="AD2351" s="61" t="str">
        <f aca="false">INDEX(Datos_Origen!$D$2:$D$2459,$Z2351)&amp;""</f>
        <v>Rosario</v>
      </c>
    </row>
    <row r="2352" customFormat="false" ht="15" hidden="false" customHeight="false" outlineLevel="0" collapsed="false">
      <c r="A2352" s="61" t="n">
        <f aca="false">INDEX(Datos_Origen!$A$2:$A$2459,$Z2352)</f>
        <v>2351</v>
      </c>
      <c r="B2352" s="62" t="n">
        <f aca="false">IF(ISNUMBER($AB2352),$AB2352,IF(MID($AB2352,5,1)="-",DATE(VALUE(LEFT($AB2352,4)),VALUE(MID($AB2352,6,2)),VALUE(RIGHT($AB2352,2))),DATE(VALUE(RIGHT($AB2352,4)),VALUE(MID($AB2352,4,2)),VALUE(LEFT($AB2352,2)))))</f>
        <v>46006</v>
      </c>
      <c r="C2352" s="61" t="n">
        <f aca="false">YEAR($B2352)</f>
        <v>2025</v>
      </c>
      <c r="D2352" s="61" t="str">
        <f aca="false">"Q"&amp;ROUNDUP(MONTH($B2352)/3,0)</f>
        <v>Q4</v>
      </c>
      <c r="E2352" s="61" t="n">
        <f aca="false">MONTH($B2352)</f>
        <v>12</v>
      </c>
      <c r="F2352" s="61" t="str">
        <f aca="false">INDEX(Parametros!$I$5:$I$16,$E2352)</f>
        <v>Dic</v>
      </c>
      <c r="G2352" s="61" t="str">
        <f aca="false">TEXT($C2352,"0000")&amp;"-"&amp;TEXT($E2352,"00")</f>
        <v>2025-12</v>
      </c>
      <c r="H2352" s="61" t="str">
        <f aca="false">INDEX(Parametros!$C$71:$C$91,MATCH(TRIM(INDEX(Datos_Origen!$C$2:$C$2459,$Z2352)),Parametros!$B$71:$B$91,0))</f>
        <v>Litoral</v>
      </c>
      <c r="I2352" s="61" t="str">
        <f aca="false">IF(TRIM($AD2352)="",INDEX(Parametros!$I$20:$I$24,MATCH($H2352,Parametros!$H$20:$H$24,0)),TRIM($AD2352))</f>
        <v>Rosario</v>
      </c>
      <c r="J2352" s="61" t="str">
        <f aca="false">INDEX(Parametros!$C$95:$C$106,MATCH(TRIM(INDEX(Datos_Origen!$E$2:$E$2459,$Z2352)),Parametros!$B$95:$B$106,0))</f>
        <v>Tienda fisica</v>
      </c>
      <c r="K2352" s="61" t="str">
        <f aca="false">INDEX(Parametros!$C$48:$C$67,MATCH(TRIM(INDEX(Datos_Origen!$F$2:$F$2459,$Z2352)),Parametros!$B$48:$B$67,0))</f>
        <v>Accesorios</v>
      </c>
      <c r="L2352" s="61" t="str">
        <f aca="false">$K2352&amp;" "&amp;$C2352</f>
        <v>Accesorios 2025</v>
      </c>
      <c r="M2352" s="61" t="str">
        <f aca="false">TRIM(INDEX(Datos_Origen!$G$2:$G$2459,$Z2352))</f>
        <v>Webcam Full HD</v>
      </c>
      <c r="N2352" s="61" t="str">
        <f aca="false">$M2352&amp;" "&amp;$C2352</f>
        <v>Webcam Full HD 2025</v>
      </c>
      <c r="O2352" s="63" t="n">
        <f aca="false">IF(ISTEXT($AC2352),VALUE($AC2352),$AC2352)</f>
        <v>57</v>
      </c>
      <c r="P2352" s="64" t="n">
        <f aca="false">INDEX(Datos_Origen!$I$2:$I$2459,$Z2352)</f>
        <v>65.26</v>
      </c>
      <c r="Q2352" s="64" t="n">
        <f aca="false">INDEX(Datos_Origen!$J$2:$J$2459,$Z2352)</f>
        <v>36.49</v>
      </c>
      <c r="R2352" s="65" t="n">
        <f aca="false">ROUND($O2352*$P2352,2)</f>
        <v>3719.82</v>
      </c>
      <c r="S2352" s="65" t="n">
        <f aca="false">ROUND($O2352*$Q2352,2)</f>
        <v>2079.93</v>
      </c>
      <c r="T2352" s="65" t="n">
        <f aca="false">ROUND($R2352*SUMIFS(Parametros!$E$28:$E$43,Parametros!$B$28:$B$43,$J2352,Parametros!$C$28:$C$43,$C2352,Parametros!$D$28:$D$43,$D2352),2)</f>
        <v>48.36</v>
      </c>
      <c r="U2352" s="65" t="n">
        <f aca="false">$R2352-$S2352-$T2352</f>
        <v>1591.53</v>
      </c>
      <c r="V2352" s="66" t="n">
        <f aca="false">IFERROR($U2352/$R2352,0)</f>
        <v>0.427851347645854</v>
      </c>
      <c r="W2352" s="67" t="str">
        <f aca="false">IF(AND($V2352&gt;=Parametros!$C$8,$R2352&gt;=Parametros!$C$12),"Alta rentabilidad",IF(OR($V2352&lt;Parametros!$C$11,$R2352&lt;Parametros!$C$13),"Revisar","Estandar"))</f>
        <v>Alta rentabilidad</v>
      </c>
      <c r="X2352" s="67" t="str">
        <f aca="false">IF(AND($J2352="E-commerce",IFERROR($T2352/$R2352,0)&gt;Parametros!$C$14),"Alerta","OK")</f>
        <v>OK</v>
      </c>
      <c r="Y2352" s="61" t="str">
        <f aca="false">IF($R2352&gt;=Parametros!$C$12,"Alto",IF($R2352&lt;Parametros!$C$13,"Bajo","Medio"))</f>
        <v>Alto</v>
      </c>
      <c r="Z2352" s="61" t="n">
        <v>873</v>
      </c>
      <c r="AA2352" s="61" t="str">
        <f aca="false">IF(MATCH($A2352,Datos_Origen!$A$2:$A$2459,0)=$Z2352,"OK","REVISAR")</f>
        <v>OK</v>
      </c>
      <c r="AB2352" s="61" t="str">
        <f aca="false">INDEX(Datos_Origen!$B$2:$B$2459,$Z2352)</f>
        <v>15/12/2025</v>
      </c>
      <c r="AC2352" s="61" t="n">
        <f aca="false">INDEX(Datos_Origen!$H$2:$H$2459,$Z2352)</f>
        <v>57</v>
      </c>
      <c r="AD2352" s="61" t="str">
        <f aca="false">INDEX(Datos_Origen!$D$2:$D$2459,$Z2352)&amp;""</f>
        <v>Rosario</v>
      </c>
    </row>
    <row r="2353" customFormat="false" ht="15" hidden="false" customHeight="false" outlineLevel="0" collapsed="false">
      <c r="A2353" s="61" t="n">
        <f aca="false">INDEX(Datos_Origen!$A$2:$A$2459,$Z2353)</f>
        <v>2352</v>
      </c>
      <c r="B2353" s="62" t="n">
        <f aca="false">IF(ISNUMBER($AB2353),$AB2353,IF(MID($AB2353,5,1)="-",DATE(VALUE(LEFT($AB2353,4)),VALUE(MID($AB2353,6,2)),VALUE(RIGHT($AB2353,2))),DATE(VALUE(RIGHT($AB2353,4)),VALUE(MID($AB2353,4,2)),VALUE(LEFT($AB2353,2)))))</f>
        <v>46013</v>
      </c>
      <c r="C2353" s="61" t="n">
        <f aca="false">YEAR($B2353)</f>
        <v>2025</v>
      </c>
      <c r="D2353" s="61" t="str">
        <f aca="false">"Q"&amp;ROUNDUP(MONTH($B2353)/3,0)</f>
        <v>Q4</v>
      </c>
      <c r="E2353" s="61" t="n">
        <f aca="false">MONTH($B2353)</f>
        <v>12</v>
      </c>
      <c r="F2353" s="61" t="str">
        <f aca="false">INDEX(Parametros!$I$5:$I$16,$E2353)</f>
        <v>Dic</v>
      </c>
      <c r="G2353" s="61" t="str">
        <f aca="false">TEXT($C2353,"0000")&amp;"-"&amp;TEXT($E2353,"00")</f>
        <v>2025-12</v>
      </c>
      <c r="H2353" s="61" t="str">
        <f aca="false">INDEX(Parametros!$C$71:$C$91,MATCH(TRIM(INDEX(Datos_Origen!$C$2:$C$2459,$Z2353)),Parametros!$B$71:$B$91,0))</f>
        <v>Litoral</v>
      </c>
      <c r="I2353" s="61" t="str">
        <f aca="false">IF(TRIM($AD2353)="",INDEX(Parametros!$I$20:$I$24,MATCH($H2353,Parametros!$H$20:$H$24,0)),TRIM($AD2353))</f>
        <v>Rosario</v>
      </c>
      <c r="J2353" s="61" t="str">
        <f aca="false">INDEX(Parametros!$C$95:$C$106,MATCH(TRIM(INDEX(Datos_Origen!$E$2:$E$2459,$Z2353)),Parametros!$B$95:$B$106,0))</f>
        <v>E-commerce</v>
      </c>
      <c r="K2353" s="61" t="str">
        <f aca="false">INDEX(Parametros!$C$48:$C$67,MATCH(TRIM(INDEX(Datos_Origen!$F$2:$F$2459,$Z2353)),Parametros!$B$48:$B$67,0))</f>
        <v>Accesorios</v>
      </c>
      <c r="L2353" s="61" t="str">
        <f aca="false">$K2353&amp;" "&amp;$C2353</f>
        <v>Accesorios 2025</v>
      </c>
      <c r="M2353" s="61" t="str">
        <f aca="false">TRIM(INDEX(Datos_Origen!$G$2:$G$2459,$Z2353))</f>
        <v>Webcam Full HD</v>
      </c>
      <c r="N2353" s="61" t="str">
        <f aca="false">$M2353&amp;" "&amp;$C2353</f>
        <v>Webcam Full HD 2025</v>
      </c>
      <c r="O2353" s="63" t="n">
        <f aca="false">IF(ISTEXT($AC2353),VALUE($AC2353),$AC2353)</f>
        <v>44</v>
      </c>
      <c r="P2353" s="64" t="n">
        <f aca="false">INDEX(Datos_Origen!$I$2:$I$2459,$Z2353)</f>
        <v>65.26</v>
      </c>
      <c r="Q2353" s="64" t="n">
        <f aca="false">INDEX(Datos_Origen!$J$2:$J$2459,$Z2353)</f>
        <v>36.49</v>
      </c>
      <c r="R2353" s="65" t="n">
        <f aca="false">ROUND($O2353*$P2353,2)</f>
        <v>2871.44</v>
      </c>
      <c r="S2353" s="65" t="n">
        <f aca="false">ROUND($O2353*$Q2353,2)</f>
        <v>1605.56</v>
      </c>
      <c r="T2353" s="65" t="n">
        <f aca="false">ROUND($R2353*SUMIFS(Parametros!$E$28:$E$43,Parametros!$B$28:$B$43,$J2353,Parametros!$C$28:$C$43,$C2353,Parametros!$D$28:$D$43,$D2353),2)</f>
        <v>149.31</v>
      </c>
      <c r="U2353" s="65" t="n">
        <f aca="false">$R2353-$S2353-$T2353</f>
        <v>1116.57</v>
      </c>
      <c r="V2353" s="66" t="n">
        <f aca="false">IFERROR($U2353/$R2353,0)</f>
        <v>0.388853676204274</v>
      </c>
      <c r="W2353" s="67" t="str">
        <f aca="false">IF(AND($V2353&gt;=Parametros!$C$8,$R2353&gt;=Parametros!$C$12),"Alta rentabilidad",IF(OR($V2353&lt;Parametros!$C$11,$R2353&lt;Parametros!$C$13),"Revisar","Estandar"))</f>
        <v>Estandar</v>
      </c>
      <c r="X2353" s="67" t="str">
        <f aca="false">IF(AND($J2353="E-commerce",IFERROR($T2353/$R2353,0)&gt;Parametros!$C$14),"Alerta","OK")</f>
        <v>Alerta</v>
      </c>
      <c r="Y2353" s="61" t="str">
        <f aca="false">IF($R2353&gt;=Parametros!$C$12,"Alto",IF($R2353&lt;Parametros!$C$13,"Bajo","Medio"))</f>
        <v>Medio</v>
      </c>
      <c r="Z2353" s="61" t="n">
        <v>494</v>
      </c>
      <c r="AA2353" s="61" t="str">
        <f aca="false">IF(MATCH($A2353,Datos_Origen!$A$2:$A$2459,0)=$Z2353,"OK","REVISAR")</f>
        <v>OK</v>
      </c>
      <c r="AB2353" s="62" t="n">
        <f aca="false">INDEX(Datos_Origen!$B$2:$B$2459,$Z2353)</f>
        <v>46013</v>
      </c>
      <c r="AC2353" s="61" t="n">
        <f aca="false">INDEX(Datos_Origen!$H$2:$H$2459,$Z2353)</f>
        <v>44</v>
      </c>
      <c r="AD2353" s="61" t="str">
        <f aca="false">INDEX(Datos_Origen!$D$2:$D$2459,$Z2353)&amp;""</f>
        <v>Rosario</v>
      </c>
    </row>
    <row r="2354" customFormat="false" ht="15" hidden="false" customHeight="false" outlineLevel="0" collapsed="false">
      <c r="A2354" s="61" t="n">
        <f aca="false">INDEX(Datos_Origen!$A$2:$A$2459,$Z2354)</f>
        <v>2353</v>
      </c>
      <c r="B2354" s="62" t="n">
        <f aca="false">IF(ISNUMBER($AB2354),$AB2354,IF(MID($AB2354,5,1)="-",DATE(VALUE(LEFT($AB2354,4)),VALUE(MID($AB2354,6,2)),VALUE(RIGHT($AB2354,2))),DATE(VALUE(RIGHT($AB2354,4)),VALUE(MID($AB2354,4,2)),VALUE(LEFT($AB2354,2)))))</f>
        <v>45993</v>
      </c>
      <c r="C2354" s="61" t="n">
        <f aca="false">YEAR($B2354)</f>
        <v>2025</v>
      </c>
      <c r="D2354" s="61" t="str">
        <f aca="false">"Q"&amp;ROUNDUP(MONTH($B2354)/3,0)</f>
        <v>Q4</v>
      </c>
      <c r="E2354" s="61" t="n">
        <f aca="false">MONTH($B2354)</f>
        <v>12</v>
      </c>
      <c r="F2354" s="61" t="str">
        <f aca="false">INDEX(Parametros!$I$5:$I$16,$E2354)</f>
        <v>Dic</v>
      </c>
      <c r="G2354" s="61" t="str">
        <f aca="false">TEXT($C2354,"0000")&amp;"-"&amp;TEXT($E2354,"00")</f>
        <v>2025-12</v>
      </c>
      <c r="H2354" s="61" t="str">
        <f aca="false">INDEX(Parametros!$C$71:$C$91,MATCH(TRIM(INDEX(Datos_Origen!$C$2:$C$2459,$Z2354)),Parametros!$B$71:$B$91,0))</f>
        <v>Litoral</v>
      </c>
      <c r="I2354" s="61" t="str">
        <f aca="false">IF(TRIM($AD2354)="",INDEX(Parametros!$I$20:$I$24,MATCH($H2354,Parametros!$H$20:$H$24,0)),TRIM($AD2354))</f>
        <v>Rosario</v>
      </c>
      <c r="J2354" s="61" t="str">
        <f aca="false">INDEX(Parametros!$C$95:$C$106,MATCH(TRIM(INDEX(Datos_Origen!$E$2:$E$2459,$Z2354)),Parametros!$B$95:$B$106,0))</f>
        <v>Tienda fisica</v>
      </c>
      <c r="K2354" s="61" t="str">
        <f aca="false">INDEX(Parametros!$C$48:$C$67,MATCH(TRIM(INDEX(Datos_Origen!$F$2:$F$2459,$Z2354)),Parametros!$B$48:$B$67,0))</f>
        <v>Audio</v>
      </c>
      <c r="L2354" s="61" t="str">
        <f aca="false">$K2354&amp;" "&amp;$C2354</f>
        <v>Audio 2025</v>
      </c>
      <c r="M2354" s="61" t="str">
        <f aca="false">TRIM(INDEX(Datos_Origen!$G$2:$G$2459,$Z2354))</f>
        <v>Auriculares BT Pro</v>
      </c>
      <c r="N2354" s="61" t="str">
        <f aca="false">$M2354&amp;" "&amp;$C2354</f>
        <v>Auriculares BT Pro 2025</v>
      </c>
      <c r="O2354" s="63" t="n">
        <f aca="false">IF(ISTEXT($AC2354),VALUE($AC2354),$AC2354)</f>
        <v>22</v>
      </c>
      <c r="P2354" s="64" t="n">
        <f aca="false">INDEX(Datos_Origen!$I$2:$I$2459,$Z2354)</f>
        <v>120.47</v>
      </c>
      <c r="Q2354" s="64" t="n">
        <f aca="false">INDEX(Datos_Origen!$J$2:$J$2459,$Z2354)</f>
        <v>65.51</v>
      </c>
      <c r="R2354" s="65" t="n">
        <f aca="false">ROUND($O2354*$P2354,2)</f>
        <v>2650.34</v>
      </c>
      <c r="S2354" s="65" t="n">
        <f aca="false">ROUND($O2354*$Q2354,2)</f>
        <v>1441.22</v>
      </c>
      <c r="T2354" s="65" t="n">
        <f aca="false">ROUND($R2354*SUMIFS(Parametros!$E$28:$E$43,Parametros!$B$28:$B$43,$J2354,Parametros!$C$28:$C$43,$C2354,Parametros!$D$28:$D$43,$D2354),2)</f>
        <v>34.45</v>
      </c>
      <c r="U2354" s="65" t="n">
        <f aca="false">$R2354-$S2354-$T2354</f>
        <v>1174.67</v>
      </c>
      <c r="V2354" s="66" t="n">
        <f aca="false">IFERROR($U2354/$R2354,0)</f>
        <v>0.443214832813903</v>
      </c>
      <c r="W2354" s="67" t="str">
        <f aca="false">IF(AND($V2354&gt;=Parametros!$C$8,$R2354&gt;=Parametros!$C$12),"Alta rentabilidad",IF(OR($V2354&lt;Parametros!$C$11,$R2354&lt;Parametros!$C$13),"Revisar","Estandar"))</f>
        <v>Estandar</v>
      </c>
      <c r="X2354" s="67" t="str">
        <f aca="false">IF(AND($J2354="E-commerce",IFERROR($T2354/$R2354,0)&gt;Parametros!$C$14),"Alerta","OK")</f>
        <v>OK</v>
      </c>
      <c r="Y2354" s="61" t="str">
        <f aca="false">IF($R2354&gt;=Parametros!$C$12,"Alto",IF($R2354&lt;Parametros!$C$13,"Bajo","Medio"))</f>
        <v>Medio</v>
      </c>
      <c r="Z2354" s="61" t="n">
        <v>327</v>
      </c>
      <c r="AA2354" s="61" t="str">
        <f aca="false">IF(MATCH($A2354,Datos_Origen!$A$2:$A$2459,0)=$Z2354,"OK","REVISAR")</f>
        <v>OK</v>
      </c>
      <c r="AB2354" s="62" t="n">
        <f aca="false">INDEX(Datos_Origen!$B$2:$B$2459,$Z2354)</f>
        <v>45993</v>
      </c>
      <c r="AC2354" s="61" t="n">
        <f aca="false">INDEX(Datos_Origen!$H$2:$H$2459,$Z2354)</f>
        <v>22</v>
      </c>
      <c r="AD2354" s="61" t="str">
        <f aca="false">INDEX(Datos_Origen!$D$2:$D$2459,$Z2354)&amp;""</f>
        <v>Rosario</v>
      </c>
    </row>
    <row r="2355" customFormat="false" ht="15" hidden="false" customHeight="false" outlineLevel="0" collapsed="false">
      <c r="A2355" s="61" t="n">
        <f aca="false">INDEX(Datos_Origen!$A$2:$A$2459,$Z2355)</f>
        <v>2354</v>
      </c>
      <c r="B2355" s="62" t="n">
        <f aca="false">IF(ISNUMBER($AB2355),$AB2355,IF(MID($AB2355,5,1)="-",DATE(VALUE(LEFT($AB2355,4)),VALUE(MID($AB2355,6,2)),VALUE(RIGHT($AB2355,2))),DATE(VALUE(RIGHT($AB2355,4)),VALUE(MID($AB2355,4,2)),VALUE(LEFT($AB2355,2)))))</f>
        <v>46000</v>
      </c>
      <c r="C2355" s="61" t="n">
        <f aca="false">YEAR($B2355)</f>
        <v>2025</v>
      </c>
      <c r="D2355" s="61" t="str">
        <f aca="false">"Q"&amp;ROUNDUP(MONTH($B2355)/3,0)</f>
        <v>Q4</v>
      </c>
      <c r="E2355" s="61" t="n">
        <f aca="false">MONTH($B2355)</f>
        <v>12</v>
      </c>
      <c r="F2355" s="61" t="str">
        <f aca="false">INDEX(Parametros!$I$5:$I$16,$E2355)</f>
        <v>Dic</v>
      </c>
      <c r="G2355" s="61" t="str">
        <f aca="false">TEXT($C2355,"0000")&amp;"-"&amp;TEXT($E2355,"00")</f>
        <v>2025-12</v>
      </c>
      <c r="H2355" s="61" t="str">
        <f aca="false">INDEX(Parametros!$C$71:$C$91,MATCH(TRIM(INDEX(Datos_Origen!$C$2:$C$2459,$Z2355)),Parametros!$B$71:$B$91,0))</f>
        <v>Litoral</v>
      </c>
      <c r="I2355" s="61" t="str">
        <f aca="false">IF(TRIM($AD2355)="",INDEX(Parametros!$I$20:$I$24,MATCH($H2355,Parametros!$H$20:$H$24,0)),TRIM($AD2355))</f>
        <v>Rosario</v>
      </c>
      <c r="J2355" s="61" t="str">
        <f aca="false">INDEX(Parametros!$C$95:$C$106,MATCH(TRIM(INDEX(Datos_Origen!$E$2:$E$2459,$Z2355)),Parametros!$B$95:$B$106,0))</f>
        <v>E-commerce</v>
      </c>
      <c r="K2355" s="61" t="str">
        <f aca="false">INDEX(Parametros!$C$48:$C$67,MATCH(TRIM(INDEX(Datos_Origen!$F$2:$F$2459,$Z2355)),Parametros!$B$48:$B$67,0))</f>
        <v>Audio</v>
      </c>
      <c r="L2355" s="61" t="str">
        <f aca="false">$K2355&amp;" "&amp;$C2355</f>
        <v>Audio 2025</v>
      </c>
      <c r="M2355" s="61" t="str">
        <f aca="false">TRIM(INDEX(Datos_Origen!$G$2:$G$2459,$Z2355))</f>
        <v>Auriculares BT Pro</v>
      </c>
      <c r="N2355" s="61" t="str">
        <f aca="false">$M2355&amp;" "&amp;$C2355</f>
        <v>Auriculares BT Pro 2025</v>
      </c>
      <c r="O2355" s="63" t="n">
        <f aca="false">IF(ISTEXT($AC2355),VALUE($AC2355),$AC2355)</f>
        <v>19</v>
      </c>
      <c r="P2355" s="64" t="n">
        <f aca="false">INDEX(Datos_Origen!$I$2:$I$2459,$Z2355)</f>
        <v>120.47</v>
      </c>
      <c r="Q2355" s="64" t="n">
        <f aca="false">INDEX(Datos_Origen!$J$2:$J$2459,$Z2355)</f>
        <v>65.51</v>
      </c>
      <c r="R2355" s="65" t="n">
        <f aca="false">ROUND($O2355*$P2355,2)</f>
        <v>2288.93</v>
      </c>
      <c r="S2355" s="65" t="n">
        <f aca="false">ROUND($O2355*$Q2355,2)</f>
        <v>1244.69</v>
      </c>
      <c r="T2355" s="65" t="n">
        <f aca="false">ROUND($R2355*SUMIFS(Parametros!$E$28:$E$43,Parametros!$B$28:$B$43,$J2355,Parametros!$C$28:$C$43,$C2355,Parametros!$D$28:$D$43,$D2355),2)</f>
        <v>119.02</v>
      </c>
      <c r="U2355" s="65" t="n">
        <f aca="false">$R2355-$S2355-$T2355</f>
        <v>925.22</v>
      </c>
      <c r="V2355" s="66" t="n">
        <f aca="false">IFERROR($U2355/$R2355,0)</f>
        <v>0.404215069923501</v>
      </c>
      <c r="W2355" s="67" t="str">
        <f aca="false">IF(AND($V2355&gt;=Parametros!$C$8,$R2355&gt;=Parametros!$C$12),"Alta rentabilidad",IF(OR($V2355&lt;Parametros!$C$11,$R2355&lt;Parametros!$C$13),"Revisar","Estandar"))</f>
        <v>Estandar</v>
      </c>
      <c r="X2355" s="67" t="str">
        <f aca="false">IF(AND($J2355="E-commerce",IFERROR($T2355/$R2355,0)&gt;Parametros!$C$14),"Alerta","OK")</f>
        <v>Alerta</v>
      </c>
      <c r="Y2355" s="61" t="str">
        <f aca="false">IF($R2355&gt;=Parametros!$C$12,"Alto",IF($R2355&lt;Parametros!$C$13,"Bajo","Medio"))</f>
        <v>Medio</v>
      </c>
      <c r="Z2355" s="61" t="n">
        <v>1668</v>
      </c>
      <c r="AA2355" s="61" t="str">
        <f aca="false">IF(MATCH($A2355,Datos_Origen!$A$2:$A$2459,0)=$Z2355,"OK","REVISAR")</f>
        <v>OK</v>
      </c>
      <c r="AB2355" s="62" t="n">
        <f aca="false">INDEX(Datos_Origen!$B$2:$B$2459,$Z2355)</f>
        <v>46000</v>
      </c>
      <c r="AC2355" s="61" t="n">
        <f aca="false">INDEX(Datos_Origen!$H$2:$H$2459,$Z2355)</f>
        <v>19</v>
      </c>
      <c r="AD2355" s="61" t="str">
        <f aca="false">INDEX(Datos_Origen!$D$2:$D$2459,$Z2355)&amp;""</f>
        <v>Rosario</v>
      </c>
    </row>
    <row r="2356" customFormat="false" ht="15" hidden="false" customHeight="false" outlineLevel="0" collapsed="false">
      <c r="A2356" s="61" t="n">
        <f aca="false">INDEX(Datos_Origen!$A$2:$A$2459,$Z2356)</f>
        <v>2355</v>
      </c>
      <c r="B2356" s="62" t="n">
        <f aca="false">IF(ISNUMBER($AB2356),$AB2356,IF(MID($AB2356,5,1)="-",DATE(VALUE(LEFT($AB2356,4)),VALUE(MID($AB2356,6,2)),VALUE(RIGHT($AB2356,2))),DATE(VALUE(RIGHT($AB2356,4)),VALUE(MID($AB2356,4,2)),VALUE(LEFT($AB2356,2)))))</f>
        <v>46007</v>
      </c>
      <c r="C2356" s="61" t="n">
        <f aca="false">YEAR($B2356)</f>
        <v>2025</v>
      </c>
      <c r="D2356" s="61" t="str">
        <f aca="false">"Q"&amp;ROUNDUP(MONTH($B2356)/3,0)</f>
        <v>Q4</v>
      </c>
      <c r="E2356" s="61" t="n">
        <f aca="false">MONTH($B2356)</f>
        <v>12</v>
      </c>
      <c r="F2356" s="61" t="str">
        <f aca="false">INDEX(Parametros!$I$5:$I$16,$E2356)</f>
        <v>Dic</v>
      </c>
      <c r="G2356" s="61" t="str">
        <f aca="false">TEXT($C2356,"0000")&amp;"-"&amp;TEXT($E2356,"00")</f>
        <v>2025-12</v>
      </c>
      <c r="H2356" s="61" t="str">
        <f aca="false">INDEX(Parametros!$C$71:$C$91,MATCH(TRIM(INDEX(Datos_Origen!$C$2:$C$2459,$Z2356)),Parametros!$B$71:$B$91,0))</f>
        <v>Litoral</v>
      </c>
      <c r="I2356" s="61" t="str">
        <f aca="false">IF(TRIM($AD2356)="",INDEX(Parametros!$I$20:$I$24,MATCH($H2356,Parametros!$H$20:$H$24,0)),TRIM($AD2356))</f>
        <v>Rosario</v>
      </c>
      <c r="J2356" s="61" t="str">
        <f aca="false">INDEX(Parametros!$C$95:$C$106,MATCH(TRIM(INDEX(Datos_Origen!$E$2:$E$2459,$Z2356)),Parametros!$B$95:$B$106,0))</f>
        <v>Tienda fisica</v>
      </c>
      <c r="K2356" s="61" t="str">
        <f aca="false">INDEX(Parametros!$C$48:$C$67,MATCH(TRIM(INDEX(Datos_Origen!$F$2:$F$2459,$Z2356)),Parametros!$B$48:$B$67,0))</f>
        <v>Audio</v>
      </c>
      <c r="L2356" s="61" t="str">
        <f aca="false">$K2356&amp;" "&amp;$C2356</f>
        <v>Audio 2025</v>
      </c>
      <c r="M2356" s="61" t="str">
        <f aca="false">TRIM(INDEX(Datos_Origen!$G$2:$G$2459,$Z2356))</f>
        <v>Parlante Bluetooth</v>
      </c>
      <c r="N2356" s="61" t="str">
        <f aca="false">$M2356&amp;" "&amp;$C2356</f>
        <v>Parlante Bluetooth 2025</v>
      </c>
      <c r="O2356" s="63" t="n">
        <f aca="false">IF(ISTEXT($AC2356),VALUE($AC2356),$AC2356)</f>
        <v>24</v>
      </c>
      <c r="P2356" s="64" t="n">
        <f aca="false">INDEX(Datos_Origen!$I$2:$I$2459,$Z2356)</f>
        <v>85.34</v>
      </c>
      <c r="Q2356" s="64" t="n">
        <f aca="false">INDEX(Datos_Origen!$J$2:$J$2459,$Z2356)</f>
        <v>49.47</v>
      </c>
      <c r="R2356" s="65" t="n">
        <f aca="false">ROUND($O2356*$P2356,2)</f>
        <v>2048.16</v>
      </c>
      <c r="S2356" s="65" t="n">
        <f aca="false">ROUND($O2356*$Q2356,2)</f>
        <v>1187.28</v>
      </c>
      <c r="T2356" s="65" t="n">
        <f aca="false">ROUND($R2356*SUMIFS(Parametros!$E$28:$E$43,Parametros!$B$28:$B$43,$J2356,Parametros!$C$28:$C$43,$C2356,Parametros!$D$28:$D$43,$D2356),2)</f>
        <v>26.63</v>
      </c>
      <c r="U2356" s="65" t="n">
        <f aca="false">$R2356-$S2356-$T2356</f>
        <v>834.25</v>
      </c>
      <c r="V2356" s="66" t="n">
        <f aca="false">IFERROR($U2356/$R2356,0)</f>
        <v>0.407316811186626</v>
      </c>
      <c r="W2356" s="67" t="str">
        <f aca="false">IF(AND($V2356&gt;=Parametros!$C$8,$R2356&gt;=Parametros!$C$12),"Alta rentabilidad",IF(OR($V2356&lt;Parametros!$C$11,$R2356&lt;Parametros!$C$13),"Revisar","Estandar"))</f>
        <v>Estandar</v>
      </c>
      <c r="X2356" s="67" t="str">
        <f aca="false">IF(AND($J2356="E-commerce",IFERROR($T2356/$R2356,0)&gt;Parametros!$C$14),"Alerta","OK")</f>
        <v>OK</v>
      </c>
      <c r="Y2356" s="61" t="str">
        <f aca="false">IF($R2356&gt;=Parametros!$C$12,"Alto",IF($R2356&lt;Parametros!$C$13,"Bajo","Medio"))</f>
        <v>Medio</v>
      </c>
      <c r="Z2356" s="61" t="n">
        <v>1868</v>
      </c>
      <c r="AA2356" s="61" t="str">
        <f aca="false">IF(MATCH($A2356,Datos_Origen!$A$2:$A$2459,0)=$Z2356,"OK","REVISAR")</f>
        <v>OK</v>
      </c>
      <c r="AB2356" s="62" t="n">
        <f aca="false">INDEX(Datos_Origen!$B$2:$B$2459,$Z2356)</f>
        <v>46007</v>
      </c>
      <c r="AC2356" s="61" t="n">
        <f aca="false">INDEX(Datos_Origen!$H$2:$H$2459,$Z2356)</f>
        <v>24</v>
      </c>
      <c r="AD2356" s="61" t="str">
        <f aca="false">INDEX(Datos_Origen!$D$2:$D$2459,$Z2356)&amp;""</f>
        <v>Rosario</v>
      </c>
    </row>
    <row r="2357" customFormat="false" ht="15" hidden="false" customHeight="false" outlineLevel="0" collapsed="false">
      <c r="A2357" s="61" t="n">
        <f aca="false">INDEX(Datos_Origen!$A$2:$A$2459,$Z2357)</f>
        <v>2356</v>
      </c>
      <c r="B2357" s="62" t="n">
        <f aca="false">IF(ISNUMBER($AB2357),$AB2357,IF(MID($AB2357,5,1)="-",DATE(VALUE(LEFT($AB2357,4)),VALUE(MID($AB2357,6,2)),VALUE(RIGHT($AB2357,2))),DATE(VALUE(RIGHT($AB2357,4)),VALUE(MID($AB2357,4,2)),VALUE(LEFT($AB2357,2)))))</f>
        <v>46014</v>
      </c>
      <c r="C2357" s="61" t="n">
        <f aca="false">YEAR($B2357)</f>
        <v>2025</v>
      </c>
      <c r="D2357" s="61" t="str">
        <f aca="false">"Q"&amp;ROUNDUP(MONTH($B2357)/3,0)</f>
        <v>Q4</v>
      </c>
      <c r="E2357" s="61" t="n">
        <f aca="false">MONTH($B2357)</f>
        <v>12</v>
      </c>
      <c r="F2357" s="61" t="str">
        <f aca="false">INDEX(Parametros!$I$5:$I$16,$E2357)</f>
        <v>Dic</v>
      </c>
      <c r="G2357" s="61" t="str">
        <f aca="false">TEXT($C2357,"0000")&amp;"-"&amp;TEXT($E2357,"00")</f>
        <v>2025-12</v>
      </c>
      <c r="H2357" s="61" t="str">
        <f aca="false">INDEX(Parametros!$C$71:$C$91,MATCH(TRIM(INDEX(Datos_Origen!$C$2:$C$2459,$Z2357)),Parametros!$B$71:$B$91,0))</f>
        <v>Litoral</v>
      </c>
      <c r="I2357" s="61" t="str">
        <f aca="false">IF(TRIM($AD2357)="",INDEX(Parametros!$I$20:$I$24,MATCH($H2357,Parametros!$H$20:$H$24,0)),TRIM($AD2357))</f>
        <v>Rosario</v>
      </c>
      <c r="J2357" s="61" t="str">
        <f aca="false">INDEX(Parametros!$C$95:$C$106,MATCH(TRIM(INDEX(Datos_Origen!$E$2:$E$2459,$Z2357)),Parametros!$B$95:$B$106,0))</f>
        <v>E-commerce</v>
      </c>
      <c r="K2357" s="61" t="str">
        <f aca="false">INDEX(Parametros!$C$48:$C$67,MATCH(TRIM(INDEX(Datos_Origen!$F$2:$F$2459,$Z2357)),Parametros!$B$48:$B$67,0))</f>
        <v>Audio</v>
      </c>
      <c r="L2357" s="61" t="str">
        <f aca="false">$K2357&amp;" "&amp;$C2357</f>
        <v>Audio 2025</v>
      </c>
      <c r="M2357" s="61" t="str">
        <f aca="false">TRIM(INDEX(Datos_Origen!$G$2:$G$2459,$Z2357))</f>
        <v>Parlante Bluetooth</v>
      </c>
      <c r="N2357" s="61" t="str">
        <f aca="false">$M2357&amp;" "&amp;$C2357</f>
        <v>Parlante Bluetooth 2025</v>
      </c>
      <c r="O2357" s="63" t="n">
        <f aca="false">IF(ISTEXT($AC2357),VALUE($AC2357),$AC2357)</f>
        <v>16</v>
      </c>
      <c r="P2357" s="64" t="n">
        <f aca="false">INDEX(Datos_Origen!$I$2:$I$2459,$Z2357)</f>
        <v>85.34</v>
      </c>
      <c r="Q2357" s="64" t="n">
        <f aca="false">INDEX(Datos_Origen!$J$2:$J$2459,$Z2357)</f>
        <v>49.47</v>
      </c>
      <c r="R2357" s="65" t="n">
        <f aca="false">ROUND($O2357*$P2357,2)</f>
        <v>1365.44</v>
      </c>
      <c r="S2357" s="65" t="n">
        <f aca="false">ROUND($O2357*$Q2357,2)</f>
        <v>791.52</v>
      </c>
      <c r="T2357" s="65" t="n">
        <f aca="false">ROUND($R2357*SUMIFS(Parametros!$E$28:$E$43,Parametros!$B$28:$B$43,$J2357,Parametros!$C$28:$C$43,$C2357,Parametros!$D$28:$D$43,$D2357),2)</f>
        <v>71</v>
      </c>
      <c r="U2357" s="65" t="n">
        <f aca="false">$R2357-$S2357-$T2357</f>
        <v>502.92</v>
      </c>
      <c r="V2357" s="66" t="n">
        <f aca="false">IFERROR($U2357/$R2357,0)</f>
        <v>0.36832083430982</v>
      </c>
      <c r="W2357" s="67" t="str">
        <f aca="false">IF(AND($V2357&gt;=Parametros!$C$8,$R2357&gt;=Parametros!$C$12),"Alta rentabilidad",IF(OR($V2357&lt;Parametros!$C$11,$R2357&lt;Parametros!$C$13),"Revisar","Estandar"))</f>
        <v>Estandar</v>
      </c>
      <c r="X2357" s="67" t="str">
        <f aca="false">IF(AND($J2357="E-commerce",IFERROR($T2357/$R2357,0)&gt;Parametros!$C$14),"Alerta","OK")</f>
        <v>Alerta</v>
      </c>
      <c r="Y2357" s="61" t="str">
        <f aca="false">IF($R2357&gt;=Parametros!$C$12,"Alto",IF($R2357&lt;Parametros!$C$13,"Bajo","Medio"))</f>
        <v>Medio</v>
      </c>
      <c r="Z2357" s="61" t="n">
        <v>1054</v>
      </c>
      <c r="AA2357" s="61" t="str">
        <f aca="false">IF(MATCH($A2357,Datos_Origen!$A$2:$A$2459,0)=$Z2357,"OK","REVISAR")</f>
        <v>OK</v>
      </c>
      <c r="AB2357" s="62" t="n">
        <f aca="false">INDEX(Datos_Origen!$B$2:$B$2459,$Z2357)</f>
        <v>46014</v>
      </c>
      <c r="AC2357" s="61" t="n">
        <f aca="false">INDEX(Datos_Origen!$H$2:$H$2459,$Z2357)</f>
        <v>16</v>
      </c>
      <c r="AD2357" s="61" t="str">
        <f aca="false">INDEX(Datos_Origen!$D$2:$D$2459,$Z2357)&amp;""</f>
        <v>Rosario</v>
      </c>
    </row>
    <row r="2358" customFormat="false" ht="15" hidden="false" customHeight="false" outlineLevel="0" collapsed="false">
      <c r="A2358" s="61" t="n">
        <f aca="false">INDEX(Datos_Origen!$A$2:$A$2459,$Z2358)</f>
        <v>2357</v>
      </c>
      <c r="B2358" s="62" t="n">
        <f aca="false">IF(ISNUMBER($AB2358),$AB2358,IF(MID($AB2358,5,1)="-",DATE(VALUE(LEFT($AB2358,4)),VALUE(MID($AB2358,6,2)),VALUE(RIGHT($AB2358,2))),DATE(VALUE(RIGHT($AB2358,4)),VALUE(MID($AB2358,4,2)),VALUE(LEFT($AB2358,2)))))</f>
        <v>45994</v>
      </c>
      <c r="C2358" s="61" t="n">
        <f aca="false">YEAR($B2358)</f>
        <v>2025</v>
      </c>
      <c r="D2358" s="61" t="str">
        <f aca="false">"Q"&amp;ROUNDUP(MONTH($B2358)/3,0)</f>
        <v>Q4</v>
      </c>
      <c r="E2358" s="61" t="n">
        <f aca="false">MONTH($B2358)</f>
        <v>12</v>
      </c>
      <c r="F2358" s="61" t="str">
        <f aca="false">INDEX(Parametros!$I$5:$I$16,$E2358)</f>
        <v>Dic</v>
      </c>
      <c r="G2358" s="61" t="str">
        <f aca="false">TEXT($C2358,"0000")&amp;"-"&amp;TEXT($E2358,"00")</f>
        <v>2025-12</v>
      </c>
      <c r="H2358" s="61" t="str">
        <f aca="false">INDEX(Parametros!$C$71:$C$91,MATCH(TRIM(INDEX(Datos_Origen!$C$2:$C$2459,$Z2358)),Parametros!$B$71:$B$91,0))</f>
        <v>Litoral</v>
      </c>
      <c r="I2358" s="61" t="str">
        <f aca="false">IF(TRIM($AD2358)="",INDEX(Parametros!$I$20:$I$24,MATCH($H2358,Parametros!$H$20:$H$24,0)),TRIM($AD2358))</f>
        <v>Rosario</v>
      </c>
      <c r="J2358" s="61" t="str">
        <f aca="false">INDEX(Parametros!$C$95:$C$106,MATCH(TRIM(INDEX(Datos_Origen!$E$2:$E$2459,$Z2358)),Parametros!$B$95:$B$106,0))</f>
        <v>Tienda fisica</v>
      </c>
      <c r="K2358" s="61" t="str">
        <f aca="false">INDEX(Parametros!$C$48:$C$67,MATCH(TRIM(INDEX(Datos_Origen!$F$2:$F$2459,$Z2358)),Parametros!$B$48:$B$67,0))</f>
        <v>Almacenamiento</v>
      </c>
      <c r="L2358" s="61" t="str">
        <f aca="false">$K2358&amp;" "&amp;$C2358</f>
        <v>Almacenamiento 2025</v>
      </c>
      <c r="M2358" s="61" t="str">
        <f aca="false">TRIM(INDEX(Datos_Origen!$G$2:$G$2459,$Z2358))</f>
        <v>SSD Externo 1TB</v>
      </c>
      <c r="N2358" s="61" t="str">
        <f aca="false">$M2358&amp;" "&amp;$C2358</f>
        <v>SSD Externo 1TB 2025</v>
      </c>
      <c r="O2358" s="63" t="n">
        <f aca="false">IF(ISTEXT($AC2358),VALUE($AC2358),$AC2358)</f>
        <v>29</v>
      </c>
      <c r="P2358" s="64" t="n">
        <f aca="false">INDEX(Datos_Origen!$I$2:$I$2459,$Z2358)</f>
        <v>130.51</v>
      </c>
      <c r="Q2358" s="64" t="n">
        <f aca="false">INDEX(Datos_Origen!$J$2:$J$2459,$Z2358)</f>
        <v>78.33</v>
      </c>
      <c r="R2358" s="65" t="n">
        <f aca="false">ROUND($O2358*$P2358,2)</f>
        <v>3784.79</v>
      </c>
      <c r="S2358" s="65" t="n">
        <f aca="false">ROUND($O2358*$Q2358,2)</f>
        <v>2271.57</v>
      </c>
      <c r="T2358" s="65" t="n">
        <f aca="false">ROUND($R2358*SUMIFS(Parametros!$E$28:$E$43,Parametros!$B$28:$B$43,$J2358,Parametros!$C$28:$C$43,$C2358,Parametros!$D$28:$D$43,$D2358),2)</f>
        <v>49.2</v>
      </c>
      <c r="U2358" s="65" t="n">
        <f aca="false">$R2358-$S2358-$T2358</f>
        <v>1464.02</v>
      </c>
      <c r="V2358" s="66" t="n">
        <f aca="false">IFERROR($U2358/$R2358,0)</f>
        <v>0.386816705814589</v>
      </c>
      <c r="W2358" s="67" t="str">
        <f aca="false">IF(AND($V2358&gt;=Parametros!$C$8,$R2358&gt;=Parametros!$C$12),"Alta rentabilidad",IF(OR($V2358&lt;Parametros!$C$11,$R2358&lt;Parametros!$C$13),"Revisar","Estandar"))</f>
        <v>Alta rentabilidad</v>
      </c>
      <c r="X2358" s="67" t="str">
        <f aca="false">IF(AND($J2358="E-commerce",IFERROR($T2358/$R2358,0)&gt;Parametros!$C$14),"Alerta","OK")</f>
        <v>OK</v>
      </c>
      <c r="Y2358" s="61" t="str">
        <f aca="false">IF($R2358&gt;=Parametros!$C$12,"Alto",IF($R2358&lt;Parametros!$C$13,"Bajo","Medio"))</f>
        <v>Alto</v>
      </c>
      <c r="Z2358" s="61" t="n">
        <v>506</v>
      </c>
      <c r="AA2358" s="61" t="str">
        <f aca="false">IF(MATCH($A2358,Datos_Origen!$A$2:$A$2459,0)=$Z2358,"OK","REVISAR")</f>
        <v>OK</v>
      </c>
      <c r="AB2358" s="61" t="str">
        <f aca="false">INDEX(Datos_Origen!$B$2:$B$2459,$Z2358)</f>
        <v>03/12/2025</v>
      </c>
      <c r="AC2358" s="61" t="n">
        <f aca="false">INDEX(Datos_Origen!$H$2:$H$2459,$Z2358)</f>
        <v>29</v>
      </c>
      <c r="AD2358" s="61" t="str">
        <f aca="false">INDEX(Datos_Origen!$D$2:$D$2459,$Z2358)&amp;""</f>
        <v>Rosario</v>
      </c>
    </row>
    <row r="2359" customFormat="false" ht="15" hidden="false" customHeight="false" outlineLevel="0" collapsed="false">
      <c r="A2359" s="61" t="n">
        <f aca="false">INDEX(Datos_Origen!$A$2:$A$2459,$Z2359)</f>
        <v>2358</v>
      </c>
      <c r="B2359" s="62" t="n">
        <f aca="false">IF(ISNUMBER($AB2359),$AB2359,IF(MID($AB2359,5,1)="-",DATE(VALUE(LEFT($AB2359,4)),VALUE(MID($AB2359,6,2)),VALUE(RIGHT($AB2359,2))),DATE(VALUE(RIGHT($AB2359,4)),VALUE(MID($AB2359,4,2)),VALUE(LEFT($AB2359,2)))))</f>
        <v>46001</v>
      </c>
      <c r="C2359" s="61" t="n">
        <f aca="false">YEAR($B2359)</f>
        <v>2025</v>
      </c>
      <c r="D2359" s="61" t="str">
        <f aca="false">"Q"&amp;ROUNDUP(MONTH($B2359)/3,0)</f>
        <v>Q4</v>
      </c>
      <c r="E2359" s="61" t="n">
        <f aca="false">MONTH($B2359)</f>
        <v>12</v>
      </c>
      <c r="F2359" s="61" t="str">
        <f aca="false">INDEX(Parametros!$I$5:$I$16,$E2359)</f>
        <v>Dic</v>
      </c>
      <c r="G2359" s="61" t="str">
        <f aca="false">TEXT($C2359,"0000")&amp;"-"&amp;TEXT($E2359,"00")</f>
        <v>2025-12</v>
      </c>
      <c r="H2359" s="61" t="str">
        <f aca="false">INDEX(Parametros!$C$71:$C$91,MATCH(TRIM(INDEX(Datos_Origen!$C$2:$C$2459,$Z2359)),Parametros!$B$71:$B$91,0))</f>
        <v>Litoral</v>
      </c>
      <c r="I2359" s="61" t="str">
        <f aca="false">IF(TRIM($AD2359)="",INDEX(Parametros!$I$20:$I$24,MATCH($H2359,Parametros!$H$20:$H$24,0)),TRIM($AD2359))</f>
        <v>Rosario</v>
      </c>
      <c r="J2359" s="61" t="str">
        <f aca="false">INDEX(Parametros!$C$95:$C$106,MATCH(TRIM(INDEX(Datos_Origen!$E$2:$E$2459,$Z2359)),Parametros!$B$95:$B$106,0))</f>
        <v>E-commerce</v>
      </c>
      <c r="K2359" s="61" t="str">
        <f aca="false">INDEX(Parametros!$C$48:$C$67,MATCH(TRIM(INDEX(Datos_Origen!$F$2:$F$2459,$Z2359)),Parametros!$B$48:$B$67,0))</f>
        <v>Almacenamiento</v>
      </c>
      <c r="L2359" s="61" t="str">
        <f aca="false">$K2359&amp;" "&amp;$C2359</f>
        <v>Almacenamiento 2025</v>
      </c>
      <c r="M2359" s="61" t="str">
        <f aca="false">TRIM(INDEX(Datos_Origen!$G$2:$G$2459,$Z2359))</f>
        <v>SSD Externo 1TB</v>
      </c>
      <c r="N2359" s="61" t="str">
        <f aca="false">$M2359&amp;" "&amp;$C2359</f>
        <v>SSD Externo 1TB 2025</v>
      </c>
      <c r="O2359" s="63" t="n">
        <f aca="false">IF(ISTEXT($AC2359),VALUE($AC2359),$AC2359)</f>
        <v>22</v>
      </c>
      <c r="P2359" s="64" t="n">
        <f aca="false">INDEX(Datos_Origen!$I$2:$I$2459,$Z2359)</f>
        <v>130.51</v>
      </c>
      <c r="Q2359" s="64" t="n">
        <f aca="false">INDEX(Datos_Origen!$J$2:$J$2459,$Z2359)</f>
        <v>78.33</v>
      </c>
      <c r="R2359" s="65" t="n">
        <f aca="false">ROUND($O2359*$P2359,2)</f>
        <v>2871.22</v>
      </c>
      <c r="S2359" s="65" t="n">
        <f aca="false">ROUND($O2359*$Q2359,2)</f>
        <v>1723.26</v>
      </c>
      <c r="T2359" s="65" t="n">
        <f aca="false">ROUND($R2359*SUMIFS(Parametros!$E$28:$E$43,Parametros!$B$28:$B$43,$J2359,Parametros!$C$28:$C$43,$C2359,Parametros!$D$28:$D$43,$D2359),2)</f>
        <v>149.3</v>
      </c>
      <c r="U2359" s="65" t="n">
        <f aca="false">$R2359-$S2359-$T2359</f>
        <v>998.66</v>
      </c>
      <c r="V2359" s="66" t="n">
        <f aca="false">IFERROR($U2359/$R2359,0)</f>
        <v>0.34781730414249</v>
      </c>
      <c r="W2359" s="67" t="str">
        <f aca="false">IF(AND($V2359&gt;=Parametros!$C$8,$R2359&gt;=Parametros!$C$12),"Alta rentabilidad",IF(OR($V2359&lt;Parametros!$C$11,$R2359&lt;Parametros!$C$13),"Revisar","Estandar"))</f>
        <v>Estandar</v>
      </c>
      <c r="X2359" s="67" t="str">
        <f aca="false">IF(AND($J2359="E-commerce",IFERROR($T2359/$R2359,0)&gt;Parametros!$C$14),"Alerta","OK")</f>
        <v>Alerta</v>
      </c>
      <c r="Y2359" s="61" t="str">
        <f aca="false">IF($R2359&gt;=Parametros!$C$12,"Alto",IF($R2359&lt;Parametros!$C$13,"Bajo","Medio"))</f>
        <v>Medio</v>
      </c>
      <c r="Z2359" s="61" t="n">
        <v>1658</v>
      </c>
      <c r="AA2359" s="61" t="str">
        <f aca="false">IF(MATCH($A2359,Datos_Origen!$A$2:$A$2459,0)=$Z2359,"OK","REVISAR")</f>
        <v>OK</v>
      </c>
      <c r="AB2359" s="62" t="n">
        <f aca="false">INDEX(Datos_Origen!$B$2:$B$2459,$Z2359)</f>
        <v>46001</v>
      </c>
      <c r="AC2359" s="61" t="n">
        <f aca="false">INDEX(Datos_Origen!$H$2:$H$2459,$Z2359)</f>
        <v>22</v>
      </c>
      <c r="AD2359" s="61" t="str">
        <f aca="false">INDEX(Datos_Origen!$D$2:$D$2459,$Z2359)&amp;""</f>
        <v>Rosario</v>
      </c>
    </row>
    <row r="2360" customFormat="false" ht="15" hidden="false" customHeight="false" outlineLevel="0" collapsed="false">
      <c r="A2360" s="61" t="n">
        <f aca="false">INDEX(Datos_Origen!$A$2:$A$2459,$Z2360)</f>
        <v>2359</v>
      </c>
      <c r="B2360" s="62" t="n">
        <f aca="false">IF(ISNUMBER($AB2360),$AB2360,IF(MID($AB2360,5,1)="-",DATE(VALUE(LEFT($AB2360,4)),VALUE(MID($AB2360,6,2)),VALUE(RIGHT($AB2360,2))),DATE(VALUE(RIGHT($AB2360,4)),VALUE(MID($AB2360,4,2)),VALUE(LEFT($AB2360,2)))))</f>
        <v>46008</v>
      </c>
      <c r="C2360" s="61" t="n">
        <f aca="false">YEAR($B2360)</f>
        <v>2025</v>
      </c>
      <c r="D2360" s="61" t="str">
        <f aca="false">"Q"&amp;ROUNDUP(MONTH($B2360)/3,0)</f>
        <v>Q4</v>
      </c>
      <c r="E2360" s="61" t="n">
        <f aca="false">MONTH($B2360)</f>
        <v>12</v>
      </c>
      <c r="F2360" s="61" t="str">
        <f aca="false">INDEX(Parametros!$I$5:$I$16,$E2360)</f>
        <v>Dic</v>
      </c>
      <c r="G2360" s="61" t="str">
        <f aca="false">TEXT($C2360,"0000")&amp;"-"&amp;TEXT($E2360,"00")</f>
        <v>2025-12</v>
      </c>
      <c r="H2360" s="61" t="str">
        <f aca="false">INDEX(Parametros!$C$71:$C$91,MATCH(TRIM(INDEX(Datos_Origen!$C$2:$C$2459,$Z2360)),Parametros!$B$71:$B$91,0))</f>
        <v>Litoral</v>
      </c>
      <c r="I2360" s="61" t="str">
        <f aca="false">IF(TRIM($AD2360)="",INDEX(Parametros!$I$20:$I$24,MATCH($H2360,Parametros!$H$20:$H$24,0)),TRIM($AD2360))</f>
        <v>Rosario</v>
      </c>
      <c r="J2360" s="61" t="str">
        <f aca="false">INDEX(Parametros!$C$95:$C$106,MATCH(TRIM(INDEX(Datos_Origen!$E$2:$E$2459,$Z2360)),Parametros!$B$95:$B$106,0))</f>
        <v>Tienda fisica</v>
      </c>
      <c r="K2360" s="61" t="str">
        <f aca="false">INDEX(Parametros!$C$48:$C$67,MATCH(TRIM(INDEX(Datos_Origen!$F$2:$F$2459,$Z2360)),Parametros!$B$48:$B$67,0))</f>
        <v>Almacenamiento</v>
      </c>
      <c r="L2360" s="61" t="str">
        <f aca="false">$K2360&amp;" "&amp;$C2360</f>
        <v>Almacenamiento 2025</v>
      </c>
      <c r="M2360" s="61" t="str">
        <f aca="false">TRIM(INDEX(Datos_Origen!$G$2:$G$2459,$Z2360))</f>
        <v>Pendrive 256GB</v>
      </c>
      <c r="N2360" s="61" t="str">
        <f aca="false">$M2360&amp;" "&amp;$C2360</f>
        <v>Pendrive 256GB 2025</v>
      </c>
      <c r="O2360" s="63" t="n">
        <f aca="false">IF(ISTEXT($AC2360),VALUE($AC2360),$AC2360)</f>
        <v>39</v>
      </c>
      <c r="P2360" s="64" t="n">
        <f aca="false">INDEX(Datos_Origen!$I$2:$I$2459,$Z2360)</f>
        <v>35.14</v>
      </c>
      <c r="Q2360" s="64" t="n">
        <f aca="false">INDEX(Datos_Origen!$J$2:$J$2459,$Z2360)</f>
        <v>18.39</v>
      </c>
      <c r="R2360" s="65" t="n">
        <f aca="false">ROUND($O2360*$P2360,2)</f>
        <v>1370.46</v>
      </c>
      <c r="S2360" s="65" t="n">
        <f aca="false">ROUND($O2360*$Q2360,2)</f>
        <v>717.21</v>
      </c>
      <c r="T2360" s="65" t="n">
        <f aca="false">ROUND($R2360*SUMIFS(Parametros!$E$28:$E$43,Parametros!$B$28:$B$43,$J2360,Parametros!$C$28:$C$43,$C2360,Parametros!$D$28:$D$43,$D2360),2)</f>
        <v>17.82</v>
      </c>
      <c r="U2360" s="65" t="n">
        <f aca="false">$R2360-$S2360-$T2360</f>
        <v>635.43</v>
      </c>
      <c r="V2360" s="66" t="n">
        <f aca="false">IFERROR($U2360/$R2360,0)</f>
        <v>0.463661836171796</v>
      </c>
      <c r="W2360" s="67" t="str">
        <f aca="false">IF(AND($V2360&gt;=Parametros!$C$8,$R2360&gt;=Parametros!$C$12),"Alta rentabilidad",IF(OR($V2360&lt;Parametros!$C$11,$R2360&lt;Parametros!$C$13),"Revisar","Estandar"))</f>
        <v>Estandar</v>
      </c>
      <c r="X2360" s="67" t="str">
        <f aca="false">IF(AND($J2360="E-commerce",IFERROR($T2360/$R2360,0)&gt;Parametros!$C$14),"Alerta","OK")</f>
        <v>OK</v>
      </c>
      <c r="Y2360" s="61" t="str">
        <f aca="false">IF($R2360&gt;=Parametros!$C$12,"Alto",IF($R2360&lt;Parametros!$C$13,"Bajo","Medio"))</f>
        <v>Medio</v>
      </c>
      <c r="Z2360" s="61" t="n">
        <v>1939</v>
      </c>
      <c r="AA2360" s="61" t="str">
        <f aca="false">IF(MATCH($A2360,Datos_Origen!$A$2:$A$2459,0)=$Z2360,"OK","REVISAR")</f>
        <v>OK</v>
      </c>
      <c r="AB2360" s="62" t="n">
        <f aca="false">INDEX(Datos_Origen!$B$2:$B$2459,$Z2360)</f>
        <v>46008</v>
      </c>
      <c r="AC2360" s="61" t="n">
        <f aca="false">INDEX(Datos_Origen!$H$2:$H$2459,$Z2360)</f>
        <v>39</v>
      </c>
      <c r="AD2360" s="61" t="str">
        <f aca="false">INDEX(Datos_Origen!$D$2:$D$2459,$Z2360)&amp;""</f>
        <v>Rosario</v>
      </c>
    </row>
    <row r="2361" customFormat="false" ht="15" hidden="false" customHeight="false" outlineLevel="0" collapsed="false">
      <c r="A2361" s="61" t="n">
        <f aca="false">INDEX(Datos_Origen!$A$2:$A$2459,$Z2361)</f>
        <v>2360</v>
      </c>
      <c r="B2361" s="62" t="n">
        <f aca="false">IF(ISNUMBER($AB2361),$AB2361,IF(MID($AB2361,5,1)="-",DATE(VALUE(LEFT($AB2361,4)),VALUE(MID($AB2361,6,2)),VALUE(RIGHT($AB2361,2))),DATE(VALUE(RIGHT($AB2361,4)),VALUE(MID($AB2361,4,2)),VALUE(LEFT($AB2361,2)))))</f>
        <v>46015</v>
      </c>
      <c r="C2361" s="61" t="n">
        <f aca="false">YEAR($B2361)</f>
        <v>2025</v>
      </c>
      <c r="D2361" s="61" t="str">
        <f aca="false">"Q"&amp;ROUNDUP(MONTH($B2361)/3,0)</f>
        <v>Q4</v>
      </c>
      <c r="E2361" s="61" t="n">
        <f aca="false">MONTH($B2361)</f>
        <v>12</v>
      </c>
      <c r="F2361" s="61" t="str">
        <f aca="false">INDEX(Parametros!$I$5:$I$16,$E2361)</f>
        <v>Dic</v>
      </c>
      <c r="G2361" s="61" t="str">
        <f aca="false">TEXT($C2361,"0000")&amp;"-"&amp;TEXT($E2361,"00")</f>
        <v>2025-12</v>
      </c>
      <c r="H2361" s="61" t="str">
        <f aca="false">INDEX(Parametros!$C$71:$C$91,MATCH(TRIM(INDEX(Datos_Origen!$C$2:$C$2459,$Z2361)),Parametros!$B$71:$B$91,0))</f>
        <v>Litoral</v>
      </c>
      <c r="I2361" s="61" t="str">
        <f aca="false">IF(TRIM($AD2361)="",INDEX(Parametros!$I$20:$I$24,MATCH($H2361,Parametros!$H$20:$H$24,0)),TRIM($AD2361))</f>
        <v>Rosario</v>
      </c>
      <c r="J2361" s="61" t="str">
        <f aca="false">INDEX(Parametros!$C$95:$C$106,MATCH(TRIM(INDEX(Datos_Origen!$E$2:$E$2459,$Z2361)),Parametros!$B$95:$B$106,0))</f>
        <v>E-commerce</v>
      </c>
      <c r="K2361" s="61" t="str">
        <f aca="false">INDEX(Parametros!$C$48:$C$67,MATCH(TRIM(INDEX(Datos_Origen!$F$2:$F$2459,$Z2361)),Parametros!$B$48:$B$67,0))</f>
        <v>Almacenamiento</v>
      </c>
      <c r="L2361" s="61" t="str">
        <f aca="false">$K2361&amp;" "&amp;$C2361</f>
        <v>Almacenamiento 2025</v>
      </c>
      <c r="M2361" s="61" t="str">
        <f aca="false">TRIM(INDEX(Datos_Origen!$G$2:$G$2459,$Z2361))</f>
        <v>Pendrive 256GB</v>
      </c>
      <c r="N2361" s="61" t="str">
        <f aca="false">$M2361&amp;" "&amp;$C2361</f>
        <v>Pendrive 256GB 2025</v>
      </c>
      <c r="O2361" s="63" t="n">
        <f aca="false">IF(ISTEXT($AC2361),VALUE($AC2361),$AC2361)</f>
        <v>25</v>
      </c>
      <c r="P2361" s="64" t="n">
        <f aca="false">INDEX(Datos_Origen!$I$2:$I$2459,$Z2361)</f>
        <v>35.14</v>
      </c>
      <c r="Q2361" s="64" t="n">
        <f aca="false">INDEX(Datos_Origen!$J$2:$J$2459,$Z2361)</f>
        <v>18.39</v>
      </c>
      <c r="R2361" s="65" t="n">
        <f aca="false">ROUND($O2361*$P2361,2)</f>
        <v>878.5</v>
      </c>
      <c r="S2361" s="65" t="n">
        <f aca="false">ROUND($O2361*$Q2361,2)</f>
        <v>459.75</v>
      </c>
      <c r="T2361" s="65" t="n">
        <f aca="false">ROUND($R2361*SUMIFS(Parametros!$E$28:$E$43,Parametros!$B$28:$B$43,$J2361,Parametros!$C$28:$C$43,$C2361,Parametros!$D$28:$D$43,$D2361),2)</f>
        <v>45.68</v>
      </c>
      <c r="U2361" s="65" t="n">
        <f aca="false">$R2361-$S2361-$T2361</f>
        <v>373.07</v>
      </c>
      <c r="V2361" s="66" t="n">
        <f aca="false">IFERROR($U2361/$R2361,0)</f>
        <v>0.424667046101309</v>
      </c>
      <c r="W2361" s="67" t="str">
        <f aca="false">IF(AND($V2361&gt;=Parametros!$C$8,$R2361&gt;=Parametros!$C$12),"Alta rentabilidad",IF(OR($V2361&lt;Parametros!$C$11,$R2361&lt;Parametros!$C$13),"Revisar","Estandar"))</f>
        <v>Estandar</v>
      </c>
      <c r="X2361" s="67" t="str">
        <f aca="false">IF(AND($J2361="E-commerce",IFERROR($T2361/$R2361,0)&gt;Parametros!$C$14),"Alerta","OK")</f>
        <v>Alerta</v>
      </c>
      <c r="Y2361" s="61" t="str">
        <f aca="false">IF($R2361&gt;=Parametros!$C$12,"Alto",IF($R2361&lt;Parametros!$C$13,"Bajo","Medio"))</f>
        <v>Medio</v>
      </c>
      <c r="Z2361" s="61" t="n">
        <v>2077</v>
      </c>
      <c r="AA2361" s="61" t="str">
        <f aca="false">IF(MATCH($A2361,Datos_Origen!$A$2:$A$2459,0)=$Z2361,"OK","REVISAR")</f>
        <v>OK</v>
      </c>
      <c r="AB2361" s="62" t="n">
        <f aca="false">INDEX(Datos_Origen!$B$2:$B$2459,$Z2361)</f>
        <v>46015</v>
      </c>
      <c r="AC2361" s="61" t="n">
        <f aca="false">INDEX(Datos_Origen!$H$2:$H$2459,$Z2361)</f>
        <v>25</v>
      </c>
      <c r="AD2361" s="61" t="str">
        <f aca="false">INDEX(Datos_Origen!$D$2:$D$2459,$Z2361)&amp;""</f>
        <v>Rosario</v>
      </c>
    </row>
    <row r="2362" customFormat="false" ht="15" hidden="false" customHeight="false" outlineLevel="0" collapsed="false">
      <c r="A2362" s="61" t="n">
        <f aca="false">INDEX(Datos_Origen!$A$2:$A$2459,$Z2362)</f>
        <v>2361</v>
      </c>
      <c r="B2362" s="62" t="n">
        <f aca="false">IF(ISNUMBER($AB2362),$AB2362,IF(MID($AB2362,5,1)="-",DATE(VALUE(LEFT($AB2362,4)),VALUE(MID($AB2362,6,2)),VALUE(RIGHT($AB2362,2))),DATE(VALUE(RIGHT($AB2362,4)),VALUE(MID($AB2362,4,2)),VALUE(LEFT($AB2362,2)))))</f>
        <v>45995</v>
      </c>
      <c r="C2362" s="61" t="n">
        <f aca="false">YEAR($B2362)</f>
        <v>2025</v>
      </c>
      <c r="D2362" s="61" t="str">
        <f aca="false">"Q"&amp;ROUNDUP(MONTH($B2362)/3,0)</f>
        <v>Q4</v>
      </c>
      <c r="E2362" s="61" t="n">
        <f aca="false">MONTH($B2362)</f>
        <v>12</v>
      </c>
      <c r="F2362" s="61" t="str">
        <f aca="false">INDEX(Parametros!$I$5:$I$16,$E2362)</f>
        <v>Dic</v>
      </c>
      <c r="G2362" s="61" t="str">
        <f aca="false">TEXT($C2362,"0000")&amp;"-"&amp;TEXT($E2362,"00")</f>
        <v>2025-12</v>
      </c>
      <c r="H2362" s="61" t="str">
        <f aca="false">INDEX(Parametros!$C$71:$C$91,MATCH(TRIM(INDEX(Datos_Origen!$C$2:$C$2459,$Z2362)),Parametros!$B$71:$B$91,0))</f>
        <v>Cuyo</v>
      </c>
      <c r="I2362" s="61" t="str">
        <f aca="false">IF(TRIM($AD2362)="",INDEX(Parametros!$I$20:$I$24,MATCH($H2362,Parametros!$H$20:$H$24,0)),TRIM($AD2362))</f>
        <v>Mendoza</v>
      </c>
      <c r="J2362" s="61" t="str">
        <f aca="false">INDEX(Parametros!$C$95:$C$106,MATCH(TRIM(INDEX(Datos_Origen!$E$2:$E$2459,$Z2362)),Parametros!$B$95:$B$106,0))</f>
        <v>Tienda fisica</v>
      </c>
      <c r="K2362" s="61" t="str">
        <f aca="false">INDEX(Parametros!$C$48:$C$67,MATCH(TRIM(INDEX(Datos_Origen!$F$2:$F$2459,$Z2362)),Parametros!$B$48:$B$67,0))</f>
        <v>Computacion</v>
      </c>
      <c r="L2362" s="61" t="str">
        <f aca="false">$K2362&amp;" "&amp;$C2362</f>
        <v>Computacion 2025</v>
      </c>
      <c r="M2362" s="61" t="str">
        <f aca="false">TRIM(INDEX(Datos_Origen!$G$2:$G$2459,$Z2362))</f>
        <v>Laptop Pro 15</v>
      </c>
      <c r="N2362" s="61" t="str">
        <f aca="false">$M2362&amp;" "&amp;$C2362</f>
        <v>Laptop Pro 15 2025</v>
      </c>
      <c r="O2362" s="63" t="n">
        <f aca="false">IF(ISTEXT($AC2362),VALUE($AC2362),$AC2362)</f>
        <v>9</v>
      </c>
      <c r="P2362" s="64" t="n">
        <f aca="false">INDEX(Datos_Origen!$I$2:$I$2459,$Z2362)</f>
        <v>1204.74</v>
      </c>
      <c r="Q2362" s="64" t="n">
        <f aca="false">INDEX(Datos_Origen!$J$2:$J$2459,$Z2362)</f>
        <v>766.32</v>
      </c>
      <c r="R2362" s="65" t="n">
        <f aca="false">ROUND($O2362*$P2362,2)</f>
        <v>10842.66</v>
      </c>
      <c r="S2362" s="65" t="n">
        <f aca="false">ROUND($O2362*$Q2362,2)</f>
        <v>6896.88</v>
      </c>
      <c r="T2362" s="65" t="n">
        <f aca="false">ROUND($R2362*SUMIFS(Parametros!$E$28:$E$43,Parametros!$B$28:$B$43,$J2362,Parametros!$C$28:$C$43,$C2362,Parametros!$D$28:$D$43,$D2362),2)</f>
        <v>140.95</v>
      </c>
      <c r="U2362" s="65" t="n">
        <f aca="false">$R2362-$S2362-$T2362</f>
        <v>3804.83</v>
      </c>
      <c r="V2362" s="66" t="n">
        <f aca="false">IFERROR($U2362/$R2362,0)</f>
        <v>0.350912967851062</v>
      </c>
      <c r="W2362" s="67" t="str">
        <f aca="false">IF(AND($V2362&gt;=Parametros!$C$8,$R2362&gt;=Parametros!$C$12),"Alta rentabilidad",IF(OR($V2362&lt;Parametros!$C$11,$R2362&lt;Parametros!$C$13),"Revisar","Estandar"))</f>
        <v>Alta rentabilidad</v>
      </c>
      <c r="X2362" s="67" t="str">
        <f aca="false">IF(AND($J2362="E-commerce",IFERROR($T2362/$R2362,0)&gt;Parametros!$C$14),"Alerta","OK")</f>
        <v>OK</v>
      </c>
      <c r="Y2362" s="61" t="str">
        <f aca="false">IF($R2362&gt;=Parametros!$C$12,"Alto",IF($R2362&lt;Parametros!$C$13,"Bajo","Medio"))</f>
        <v>Alto</v>
      </c>
      <c r="Z2362" s="61" t="n">
        <v>1118</v>
      </c>
      <c r="AA2362" s="61" t="str">
        <f aca="false">IF(MATCH($A2362,Datos_Origen!$A$2:$A$2459,0)=$Z2362,"OK","REVISAR")</f>
        <v>OK</v>
      </c>
      <c r="AB2362" s="62" t="n">
        <f aca="false">INDEX(Datos_Origen!$B$2:$B$2459,$Z2362)</f>
        <v>45995</v>
      </c>
      <c r="AC2362" s="61" t="n">
        <f aca="false">INDEX(Datos_Origen!$H$2:$H$2459,$Z2362)</f>
        <v>9</v>
      </c>
      <c r="AD2362" s="61" t="str">
        <f aca="false">INDEX(Datos_Origen!$D$2:$D$2459,$Z2362)&amp;""</f>
        <v>Mendoza</v>
      </c>
    </row>
    <row r="2363" customFormat="false" ht="15" hidden="false" customHeight="false" outlineLevel="0" collapsed="false">
      <c r="A2363" s="61" t="n">
        <f aca="false">INDEX(Datos_Origen!$A$2:$A$2459,$Z2363)</f>
        <v>2362</v>
      </c>
      <c r="B2363" s="62" t="n">
        <f aca="false">IF(ISNUMBER($AB2363),$AB2363,IF(MID($AB2363,5,1)="-",DATE(VALUE(LEFT($AB2363,4)),VALUE(MID($AB2363,6,2)),VALUE(RIGHT($AB2363,2))),DATE(VALUE(RIGHT($AB2363,4)),VALUE(MID($AB2363,4,2)),VALUE(LEFT($AB2363,2)))))</f>
        <v>46002</v>
      </c>
      <c r="C2363" s="61" t="n">
        <f aca="false">YEAR($B2363)</f>
        <v>2025</v>
      </c>
      <c r="D2363" s="61" t="str">
        <f aca="false">"Q"&amp;ROUNDUP(MONTH($B2363)/3,0)</f>
        <v>Q4</v>
      </c>
      <c r="E2363" s="61" t="n">
        <f aca="false">MONTH($B2363)</f>
        <v>12</v>
      </c>
      <c r="F2363" s="61" t="str">
        <f aca="false">INDEX(Parametros!$I$5:$I$16,$E2363)</f>
        <v>Dic</v>
      </c>
      <c r="G2363" s="61" t="str">
        <f aca="false">TEXT($C2363,"0000")&amp;"-"&amp;TEXT($E2363,"00")</f>
        <v>2025-12</v>
      </c>
      <c r="H2363" s="61" t="str">
        <f aca="false">INDEX(Parametros!$C$71:$C$91,MATCH(TRIM(INDEX(Datos_Origen!$C$2:$C$2459,$Z2363)),Parametros!$B$71:$B$91,0))</f>
        <v>Cuyo</v>
      </c>
      <c r="I2363" s="61" t="str">
        <f aca="false">IF(TRIM($AD2363)="",INDEX(Parametros!$I$20:$I$24,MATCH($H2363,Parametros!$H$20:$H$24,0)),TRIM($AD2363))</f>
        <v>Mendoza</v>
      </c>
      <c r="J2363" s="61" t="str">
        <f aca="false">INDEX(Parametros!$C$95:$C$106,MATCH(TRIM(INDEX(Datos_Origen!$E$2:$E$2459,$Z2363)),Parametros!$B$95:$B$106,0))</f>
        <v>E-commerce</v>
      </c>
      <c r="K2363" s="61" t="str">
        <f aca="false">INDEX(Parametros!$C$48:$C$67,MATCH(TRIM(INDEX(Datos_Origen!$F$2:$F$2459,$Z2363)),Parametros!$B$48:$B$67,0))</f>
        <v>Computacion</v>
      </c>
      <c r="L2363" s="61" t="str">
        <f aca="false">$K2363&amp;" "&amp;$C2363</f>
        <v>Computacion 2025</v>
      </c>
      <c r="M2363" s="61" t="str">
        <f aca="false">TRIM(INDEX(Datos_Origen!$G$2:$G$2459,$Z2363))</f>
        <v>Laptop Pro 15</v>
      </c>
      <c r="N2363" s="61" t="str">
        <f aca="false">$M2363&amp;" "&amp;$C2363</f>
        <v>Laptop Pro 15 2025</v>
      </c>
      <c r="O2363" s="63" t="n">
        <f aca="false">IF(ISTEXT($AC2363),VALUE($AC2363),$AC2363)</f>
        <v>6</v>
      </c>
      <c r="P2363" s="64" t="n">
        <f aca="false">INDEX(Datos_Origen!$I$2:$I$2459,$Z2363)</f>
        <v>1204.74</v>
      </c>
      <c r="Q2363" s="64" t="n">
        <f aca="false">INDEX(Datos_Origen!$J$2:$J$2459,$Z2363)</f>
        <v>766.32</v>
      </c>
      <c r="R2363" s="65" t="n">
        <f aca="false">ROUND($O2363*$P2363,2)</f>
        <v>7228.44</v>
      </c>
      <c r="S2363" s="65" t="n">
        <f aca="false">ROUND($O2363*$Q2363,2)</f>
        <v>4597.92</v>
      </c>
      <c r="T2363" s="65" t="n">
        <f aca="false">ROUND($R2363*SUMIFS(Parametros!$E$28:$E$43,Parametros!$B$28:$B$43,$J2363,Parametros!$C$28:$C$43,$C2363,Parametros!$D$28:$D$43,$D2363),2)</f>
        <v>375.88</v>
      </c>
      <c r="U2363" s="65" t="n">
        <f aca="false">$R2363-$S2363-$T2363</f>
        <v>2254.64</v>
      </c>
      <c r="V2363" s="66" t="n">
        <f aca="false">IFERROR($U2363/$R2363,0)</f>
        <v>0.311912390501962</v>
      </c>
      <c r="W2363" s="67" t="str">
        <f aca="false">IF(AND($V2363&gt;=Parametros!$C$8,$R2363&gt;=Parametros!$C$12),"Alta rentabilidad",IF(OR($V2363&lt;Parametros!$C$11,$R2363&lt;Parametros!$C$13),"Revisar","Estandar"))</f>
        <v>Estandar</v>
      </c>
      <c r="X2363" s="67" t="str">
        <f aca="false">IF(AND($J2363="E-commerce",IFERROR($T2363/$R2363,0)&gt;Parametros!$C$14),"Alerta","OK")</f>
        <v>Alerta</v>
      </c>
      <c r="Y2363" s="61" t="str">
        <f aca="false">IF($R2363&gt;=Parametros!$C$12,"Alto",IF($R2363&lt;Parametros!$C$13,"Bajo","Medio"))</f>
        <v>Alto</v>
      </c>
      <c r="Z2363" s="61" t="n">
        <v>564</v>
      </c>
      <c r="AA2363" s="61" t="str">
        <f aca="false">IF(MATCH($A2363,Datos_Origen!$A$2:$A$2459,0)=$Z2363,"OK","REVISAR")</f>
        <v>OK</v>
      </c>
      <c r="AB2363" s="62" t="n">
        <f aca="false">INDEX(Datos_Origen!$B$2:$B$2459,$Z2363)</f>
        <v>46002</v>
      </c>
      <c r="AC2363" s="61" t="n">
        <f aca="false">INDEX(Datos_Origen!$H$2:$H$2459,$Z2363)</f>
        <v>6</v>
      </c>
      <c r="AD2363" s="61" t="str">
        <f aca="false">INDEX(Datos_Origen!$D$2:$D$2459,$Z2363)&amp;""</f>
        <v/>
      </c>
    </row>
    <row r="2364" customFormat="false" ht="15" hidden="false" customHeight="false" outlineLevel="0" collapsed="false">
      <c r="A2364" s="61" t="n">
        <f aca="false">INDEX(Datos_Origen!$A$2:$A$2459,$Z2364)</f>
        <v>2363</v>
      </c>
      <c r="B2364" s="62" t="n">
        <f aca="false">IF(ISNUMBER($AB2364),$AB2364,IF(MID($AB2364,5,1)="-",DATE(VALUE(LEFT($AB2364,4)),VALUE(MID($AB2364,6,2)),VALUE(RIGHT($AB2364,2))),DATE(VALUE(RIGHT($AB2364,4)),VALUE(MID($AB2364,4,2)),VALUE(LEFT($AB2364,2)))))</f>
        <v>46009</v>
      </c>
      <c r="C2364" s="61" t="n">
        <f aca="false">YEAR($B2364)</f>
        <v>2025</v>
      </c>
      <c r="D2364" s="61" t="str">
        <f aca="false">"Q"&amp;ROUNDUP(MONTH($B2364)/3,0)</f>
        <v>Q4</v>
      </c>
      <c r="E2364" s="61" t="n">
        <f aca="false">MONTH($B2364)</f>
        <v>12</v>
      </c>
      <c r="F2364" s="61" t="str">
        <f aca="false">INDEX(Parametros!$I$5:$I$16,$E2364)</f>
        <v>Dic</v>
      </c>
      <c r="G2364" s="61" t="str">
        <f aca="false">TEXT($C2364,"0000")&amp;"-"&amp;TEXT($E2364,"00")</f>
        <v>2025-12</v>
      </c>
      <c r="H2364" s="61" t="str">
        <f aca="false">INDEX(Parametros!$C$71:$C$91,MATCH(TRIM(INDEX(Datos_Origen!$C$2:$C$2459,$Z2364)),Parametros!$B$71:$B$91,0))</f>
        <v>Cuyo</v>
      </c>
      <c r="I2364" s="61" t="str">
        <f aca="false">IF(TRIM($AD2364)="",INDEX(Parametros!$I$20:$I$24,MATCH($H2364,Parametros!$H$20:$H$24,0)),TRIM($AD2364))</f>
        <v>Mendoza</v>
      </c>
      <c r="J2364" s="61" t="str">
        <f aca="false">INDEX(Parametros!$C$95:$C$106,MATCH(TRIM(INDEX(Datos_Origen!$E$2:$E$2459,$Z2364)),Parametros!$B$95:$B$106,0))</f>
        <v>Tienda fisica</v>
      </c>
      <c r="K2364" s="61" t="str">
        <f aca="false">INDEX(Parametros!$C$48:$C$67,MATCH(TRIM(INDEX(Datos_Origen!$F$2:$F$2459,$Z2364)),Parametros!$B$48:$B$67,0))</f>
        <v>Computacion</v>
      </c>
      <c r="L2364" s="61" t="str">
        <f aca="false">$K2364&amp;" "&amp;$C2364</f>
        <v>Computacion 2025</v>
      </c>
      <c r="M2364" s="61" t="str">
        <f aca="false">TRIM(INDEX(Datos_Origen!$G$2:$G$2459,$Z2364))</f>
        <v>Monitor 4K 27</v>
      </c>
      <c r="N2364" s="61" t="str">
        <f aca="false">$M2364&amp;" "&amp;$C2364</f>
        <v>Monitor 4K 27 2025</v>
      </c>
      <c r="O2364" s="63" t="n">
        <f aca="false">IF(ISTEXT($AC2364),VALUE($AC2364),$AC2364)</f>
        <v>9</v>
      </c>
      <c r="P2364" s="64" t="n">
        <f aca="false">INDEX(Datos_Origen!$I$2:$I$2459,$Z2364)</f>
        <v>451.78</v>
      </c>
      <c r="Q2364" s="64" t="n">
        <f aca="false">INDEX(Datos_Origen!$J$2:$J$2459,$Z2364)</f>
        <v>280.42</v>
      </c>
      <c r="R2364" s="65" t="n">
        <f aca="false">ROUND($O2364*$P2364,2)</f>
        <v>4066.02</v>
      </c>
      <c r="S2364" s="65" t="n">
        <f aca="false">ROUND($O2364*$Q2364,2)</f>
        <v>2523.78</v>
      </c>
      <c r="T2364" s="65" t="n">
        <f aca="false">ROUND($R2364*SUMIFS(Parametros!$E$28:$E$43,Parametros!$B$28:$B$43,$J2364,Parametros!$C$28:$C$43,$C2364,Parametros!$D$28:$D$43,$D2364),2)</f>
        <v>52.86</v>
      </c>
      <c r="U2364" s="65" t="n">
        <f aca="false">$R2364-$S2364-$T2364</f>
        <v>1489.38</v>
      </c>
      <c r="V2364" s="66" t="n">
        <f aca="false">IFERROR($U2364/$R2364,0)</f>
        <v>0.366299231189222</v>
      </c>
      <c r="W2364" s="67" t="str">
        <f aca="false">IF(AND($V2364&gt;=Parametros!$C$8,$R2364&gt;=Parametros!$C$12),"Alta rentabilidad",IF(OR($V2364&lt;Parametros!$C$11,$R2364&lt;Parametros!$C$13),"Revisar","Estandar"))</f>
        <v>Alta rentabilidad</v>
      </c>
      <c r="X2364" s="67" t="str">
        <f aca="false">IF(AND($J2364="E-commerce",IFERROR($T2364/$R2364,0)&gt;Parametros!$C$14),"Alerta","OK")</f>
        <v>OK</v>
      </c>
      <c r="Y2364" s="61" t="str">
        <f aca="false">IF($R2364&gt;=Parametros!$C$12,"Alto",IF($R2364&lt;Parametros!$C$13,"Bajo","Medio"))</f>
        <v>Alto</v>
      </c>
      <c r="Z2364" s="61" t="n">
        <v>1281</v>
      </c>
      <c r="AA2364" s="61" t="str">
        <f aca="false">IF(MATCH($A2364,Datos_Origen!$A$2:$A$2459,0)=$Z2364,"OK","REVISAR")</f>
        <v>OK</v>
      </c>
      <c r="AB2364" s="62" t="n">
        <f aca="false">INDEX(Datos_Origen!$B$2:$B$2459,$Z2364)</f>
        <v>46009</v>
      </c>
      <c r="AC2364" s="61" t="n">
        <f aca="false">INDEX(Datos_Origen!$H$2:$H$2459,$Z2364)</f>
        <v>9</v>
      </c>
      <c r="AD2364" s="61" t="str">
        <f aca="false">INDEX(Datos_Origen!$D$2:$D$2459,$Z2364)&amp;""</f>
        <v>Mendoza</v>
      </c>
    </row>
    <row r="2365" customFormat="false" ht="15" hidden="false" customHeight="false" outlineLevel="0" collapsed="false">
      <c r="A2365" s="61" t="n">
        <f aca="false">INDEX(Datos_Origen!$A$2:$A$2459,$Z2365)</f>
        <v>2364</v>
      </c>
      <c r="B2365" s="62" t="n">
        <f aca="false">IF(ISNUMBER($AB2365),$AB2365,IF(MID($AB2365,5,1)="-",DATE(VALUE(LEFT($AB2365,4)),VALUE(MID($AB2365,6,2)),VALUE(RIGHT($AB2365,2))),DATE(VALUE(RIGHT($AB2365,4)),VALUE(MID($AB2365,4,2)),VALUE(LEFT($AB2365,2)))))</f>
        <v>46016</v>
      </c>
      <c r="C2365" s="61" t="n">
        <f aca="false">YEAR($B2365)</f>
        <v>2025</v>
      </c>
      <c r="D2365" s="61" t="str">
        <f aca="false">"Q"&amp;ROUNDUP(MONTH($B2365)/3,0)</f>
        <v>Q4</v>
      </c>
      <c r="E2365" s="61" t="n">
        <f aca="false">MONTH($B2365)</f>
        <v>12</v>
      </c>
      <c r="F2365" s="61" t="str">
        <f aca="false">INDEX(Parametros!$I$5:$I$16,$E2365)</f>
        <v>Dic</v>
      </c>
      <c r="G2365" s="61" t="str">
        <f aca="false">TEXT($C2365,"0000")&amp;"-"&amp;TEXT($E2365,"00")</f>
        <v>2025-12</v>
      </c>
      <c r="H2365" s="61" t="str">
        <f aca="false">INDEX(Parametros!$C$71:$C$91,MATCH(TRIM(INDEX(Datos_Origen!$C$2:$C$2459,$Z2365)),Parametros!$B$71:$B$91,0))</f>
        <v>Cuyo</v>
      </c>
      <c r="I2365" s="61" t="str">
        <f aca="false">IF(TRIM($AD2365)="",INDEX(Parametros!$I$20:$I$24,MATCH($H2365,Parametros!$H$20:$H$24,0)),TRIM($AD2365))</f>
        <v>Mendoza</v>
      </c>
      <c r="J2365" s="61" t="str">
        <f aca="false">INDEX(Parametros!$C$95:$C$106,MATCH(TRIM(INDEX(Datos_Origen!$E$2:$E$2459,$Z2365)),Parametros!$B$95:$B$106,0))</f>
        <v>E-commerce</v>
      </c>
      <c r="K2365" s="61" t="str">
        <f aca="false">INDEX(Parametros!$C$48:$C$67,MATCH(TRIM(INDEX(Datos_Origen!$F$2:$F$2459,$Z2365)),Parametros!$B$48:$B$67,0))</f>
        <v>Computacion</v>
      </c>
      <c r="L2365" s="61" t="str">
        <f aca="false">$K2365&amp;" "&amp;$C2365</f>
        <v>Computacion 2025</v>
      </c>
      <c r="M2365" s="61" t="str">
        <f aca="false">TRIM(INDEX(Datos_Origen!$G$2:$G$2459,$Z2365))</f>
        <v>Monitor 4K 27</v>
      </c>
      <c r="N2365" s="61" t="str">
        <f aca="false">$M2365&amp;" "&amp;$C2365</f>
        <v>Monitor 4K 27 2025</v>
      </c>
      <c r="O2365" s="63" t="n">
        <f aca="false">IF(ISTEXT($AC2365),VALUE($AC2365),$AC2365)</f>
        <v>5</v>
      </c>
      <c r="P2365" s="64" t="n">
        <f aca="false">INDEX(Datos_Origen!$I$2:$I$2459,$Z2365)</f>
        <v>451.78</v>
      </c>
      <c r="Q2365" s="64" t="n">
        <f aca="false">INDEX(Datos_Origen!$J$2:$J$2459,$Z2365)</f>
        <v>280.42</v>
      </c>
      <c r="R2365" s="65" t="n">
        <f aca="false">ROUND($O2365*$P2365,2)</f>
        <v>2258.9</v>
      </c>
      <c r="S2365" s="65" t="n">
        <f aca="false">ROUND($O2365*$Q2365,2)</f>
        <v>1402.1</v>
      </c>
      <c r="T2365" s="65" t="n">
        <f aca="false">ROUND($R2365*SUMIFS(Parametros!$E$28:$E$43,Parametros!$B$28:$B$43,$J2365,Parametros!$C$28:$C$43,$C2365,Parametros!$D$28:$D$43,$D2365),2)</f>
        <v>117.46</v>
      </c>
      <c r="U2365" s="65" t="n">
        <f aca="false">$R2365-$S2365-$T2365</f>
        <v>739.34</v>
      </c>
      <c r="V2365" s="66" t="n">
        <f aca="false">IFERROR($U2365/$R2365,0)</f>
        <v>0.327300898667493</v>
      </c>
      <c r="W2365" s="67" t="str">
        <f aca="false">IF(AND($V2365&gt;=Parametros!$C$8,$R2365&gt;=Parametros!$C$12),"Alta rentabilidad",IF(OR($V2365&lt;Parametros!$C$11,$R2365&lt;Parametros!$C$13),"Revisar","Estandar"))</f>
        <v>Estandar</v>
      </c>
      <c r="X2365" s="67" t="str">
        <f aca="false">IF(AND($J2365="E-commerce",IFERROR($T2365/$R2365,0)&gt;Parametros!$C$14),"Alerta","OK")</f>
        <v>Alerta</v>
      </c>
      <c r="Y2365" s="61" t="str">
        <f aca="false">IF($R2365&gt;=Parametros!$C$12,"Alto",IF($R2365&lt;Parametros!$C$13,"Bajo","Medio"))</f>
        <v>Medio</v>
      </c>
      <c r="Z2365" s="61" t="n">
        <v>1400</v>
      </c>
      <c r="AA2365" s="61" t="str">
        <f aca="false">IF(MATCH($A2365,Datos_Origen!$A$2:$A$2459,0)=$Z2365,"OK","REVISAR")</f>
        <v>OK</v>
      </c>
      <c r="AB2365" s="62" t="n">
        <f aca="false">INDEX(Datos_Origen!$B$2:$B$2459,$Z2365)</f>
        <v>46016</v>
      </c>
      <c r="AC2365" s="61" t="str">
        <f aca="false">INDEX(Datos_Origen!$H$2:$H$2459,$Z2365)</f>
        <v>5</v>
      </c>
      <c r="AD2365" s="61" t="str">
        <f aca="false">INDEX(Datos_Origen!$D$2:$D$2459,$Z2365)&amp;""</f>
        <v>Mendoza</v>
      </c>
    </row>
    <row r="2366" customFormat="false" ht="15" hidden="false" customHeight="false" outlineLevel="0" collapsed="false">
      <c r="A2366" s="61" t="n">
        <f aca="false">INDEX(Datos_Origen!$A$2:$A$2459,$Z2366)</f>
        <v>2365</v>
      </c>
      <c r="B2366" s="62" t="n">
        <f aca="false">IF(ISNUMBER($AB2366),$AB2366,IF(MID($AB2366,5,1)="-",DATE(VALUE(LEFT($AB2366,4)),VALUE(MID($AB2366,6,2)),VALUE(RIGHT($AB2366,2))),DATE(VALUE(RIGHT($AB2366,4)),VALUE(MID($AB2366,4,2)),VALUE(LEFT($AB2366,2)))))</f>
        <v>45996</v>
      </c>
      <c r="C2366" s="61" t="n">
        <f aca="false">YEAR($B2366)</f>
        <v>2025</v>
      </c>
      <c r="D2366" s="61" t="str">
        <f aca="false">"Q"&amp;ROUNDUP(MONTH($B2366)/3,0)</f>
        <v>Q4</v>
      </c>
      <c r="E2366" s="61" t="n">
        <f aca="false">MONTH($B2366)</f>
        <v>12</v>
      </c>
      <c r="F2366" s="61" t="str">
        <f aca="false">INDEX(Parametros!$I$5:$I$16,$E2366)</f>
        <v>Dic</v>
      </c>
      <c r="G2366" s="61" t="str">
        <f aca="false">TEXT($C2366,"0000")&amp;"-"&amp;TEXT($E2366,"00")</f>
        <v>2025-12</v>
      </c>
      <c r="H2366" s="61" t="str">
        <f aca="false">INDEX(Parametros!$C$71:$C$91,MATCH(TRIM(INDEX(Datos_Origen!$C$2:$C$2459,$Z2366)),Parametros!$B$71:$B$91,0))</f>
        <v>Cuyo</v>
      </c>
      <c r="I2366" s="61" t="str">
        <f aca="false">IF(TRIM($AD2366)="",INDEX(Parametros!$I$20:$I$24,MATCH($H2366,Parametros!$H$20:$H$24,0)),TRIM($AD2366))</f>
        <v>Mendoza</v>
      </c>
      <c r="J2366" s="61" t="str">
        <f aca="false">INDEX(Parametros!$C$95:$C$106,MATCH(TRIM(INDEX(Datos_Origen!$E$2:$E$2459,$Z2366)),Parametros!$B$95:$B$106,0))</f>
        <v>Tienda fisica</v>
      </c>
      <c r="K2366" s="61" t="str">
        <f aca="false">INDEX(Parametros!$C$48:$C$67,MATCH(TRIM(INDEX(Datos_Origen!$F$2:$F$2459,$Z2366)),Parametros!$B$48:$B$67,0))</f>
        <v>Computacion</v>
      </c>
      <c r="L2366" s="61" t="str">
        <f aca="false">$K2366&amp;" "&amp;$C2366</f>
        <v>Computacion 2025</v>
      </c>
      <c r="M2366" s="61" t="str">
        <f aca="false">TRIM(INDEX(Datos_Origen!$G$2:$G$2459,$Z2366))</f>
        <v>PC Gamer Ryzen</v>
      </c>
      <c r="N2366" s="61" t="str">
        <f aca="false">$M2366&amp;" "&amp;$C2366</f>
        <v>PC Gamer Ryzen 2025</v>
      </c>
      <c r="O2366" s="63" t="n">
        <f aca="false">IF(ISTEXT($AC2366),VALUE($AC2366),$AC2366)</f>
        <v>11</v>
      </c>
      <c r="P2366" s="64" t="n">
        <f aca="false">INDEX(Datos_Origen!$I$2:$I$2459,$Z2366)</f>
        <v>1656.52</v>
      </c>
      <c r="Q2366" s="64" t="n">
        <f aca="false">INDEX(Datos_Origen!$J$2:$J$2459,$Z2366)</f>
        <v>1155.66</v>
      </c>
      <c r="R2366" s="65" t="n">
        <f aca="false">ROUND($O2366*$P2366,2)</f>
        <v>18221.72</v>
      </c>
      <c r="S2366" s="65" t="n">
        <f aca="false">ROUND($O2366*$Q2366,2)</f>
        <v>12712.26</v>
      </c>
      <c r="T2366" s="65" t="n">
        <f aca="false">ROUND($R2366*SUMIFS(Parametros!$E$28:$E$43,Parametros!$B$28:$B$43,$J2366,Parametros!$C$28:$C$43,$C2366,Parametros!$D$28:$D$43,$D2366),2)</f>
        <v>236.88</v>
      </c>
      <c r="U2366" s="65" t="n">
        <f aca="false">$R2366-$S2366-$T2366</f>
        <v>5272.58</v>
      </c>
      <c r="V2366" s="66" t="n">
        <f aca="false">IFERROR($U2366/$R2366,0)</f>
        <v>0.289356877396865</v>
      </c>
      <c r="W2366" s="67" t="str">
        <f aca="false">IF(AND($V2366&gt;=Parametros!$C$8,$R2366&gt;=Parametros!$C$12),"Alta rentabilidad",IF(OR($V2366&lt;Parametros!$C$11,$R2366&lt;Parametros!$C$13),"Revisar","Estandar"))</f>
        <v>Estandar</v>
      </c>
      <c r="X2366" s="67" t="str">
        <f aca="false">IF(AND($J2366="E-commerce",IFERROR($T2366/$R2366,0)&gt;Parametros!$C$14),"Alerta","OK")</f>
        <v>OK</v>
      </c>
      <c r="Y2366" s="61" t="str">
        <f aca="false">IF($R2366&gt;=Parametros!$C$12,"Alto",IF($R2366&lt;Parametros!$C$13,"Bajo","Medio"))</f>
        <v>Alto</v>
      </c>
      <c r="Z2366" s="61" t="n">
        <v>2333</v>
      </c>
      <c r="AA2366" s="61" t="str">
        <f aca="false">IF(MATCH($A2366,Datos_Origen!$A$2:$A$2459,0)=$Z2366,"OK","REVISAR")</f>
        <v>OK</v>
      </c>
      <c r="AB2366" s="62" t="n">
        <f aca="false">INDEX(Datos_Origen!$B$2:$B$2459,$Z2366)</f>
        <v>45996</v>
      </c>
      <c r="AC2366" s="61" t="n">
        <f aca="false">INDEX(Datos_Origen!$H$2:$H$2459,$Z2366)</f>
        <v>11</v>
      </c>
      <c r="AD2366" s="61" t="str">
        <f aca="false">INDEX(Datos_Origen!$D$2:$D$2459,$Z2366)&amp;""</f>
        <v>Mendoza</v>
      </c>
    </row>
    <row r="2367" customFormat="false" ht="15" hidden="false" customHeight="false" outlineLevel="0" collapsed="false">
      <c r="A2367" s="61" t="n">
        <f aca="false">INDEX(Datos_Origen!$A$2:$A$2459,$Z2367)</f>
        <v>2366</v>
      </c>
      <c r="B2367" s="62" t="n">
        <f aca="false">IF(ISNUMBER($AB2367),$AB2367,IF(MID($AB2367,5,1)="-",DATE(VALUE(LEFT($AB2367,4)),VALUE(MID($AB2367,6,2)),VALUE(RIGHT($AB2367,2))),DATE(VALUE(RIGHT($AB2367,4)),VALUE(MID($AB2367,4,2)),VALUE(LEFT($AB2367,2)))))</f>
        <v>46003</v>
      </c>
      <c r="C2367" s="61" t="n">
        <f aca="false">YEAR($B2367)</f>
        <v>2025</v>
      </c>
      <c r="D2367" s="61" t="str">
        <f aca="false">"Q"&amp;ROUNDUP(MONTH($B2367)/3,0)</f>
        <v>Q4</v>
      </c>
      <c r="E2367" s="61" t="n">
        <f aca="false">MONTH($B2367)</f>
        <v>12</v>
      </c>
      <c r="F2367" s="61" t="str">
        <f aca="false">INDEX(Parametros!$I$5:$I$16,$E2367)</f>
        <v>Dic</v>
      </c>
      <c r="G2367" s="61" t="str">
        <f aca="false">TEXT($C2367,"0000")&amp;"-"&amp;TEXT($E2367,"00")</f>
        <v>2025-12</v>
      </c>
      <c r="H2367" s="61" t="str">
        <f aca="false">INDEX(Parametros!$C$71:$C$91,MATCH(TRIM(INDEX(Datos_Origen!$C$2:$C$2459,$Z2367)),Parametros!$B$71:$B$91,0))</f>
        <v>Cuyo</v>
      </c>
      <c r="I2367" s="61" t="str">
        <f aca="false">IF(TRIM($AD2367)="",INDEX(Parametros!$I$20:$I$24,MATCH($H2367,Parametros!$H$20:$H$24,0)),TRIM($AD2367))</f>
        <v>Mendoza</v>
      </c>
      <c r="J2367" s="61" t="str">
        <f aca="false">INDEX(Parametros!$C$95:$C$106,MATCH(TRIM(INDEX(Datos_Origen!$E$2:$E$2459,$Z2367)),Parametros!$B$95:$B$106,0))</f>
        <v>E-commerce</v>
      </c>
      <c r="K2367" s="61" t="str">
        <f aca="false">INDEX(Parametros!$C$48:$C$67,MATCH(TRIM(INDEX(Datos_Origen!$F$2:$F$2459,$Z2367)),Parametros!$B$48:$B$67,0))</f>
        <v>Computacion</v>
      </c>
      <c r="L2367" s="61" t="str">
        <f aca="false">$K2367&amp;" "&amp;$C2367</f>
        <v>Computacion 2025</v>
      </c>
      <c r="M2367" s="61" t="str">
        <f aca="false">TRIM(INDEX(Datos_Origen!$G$2:$G$2459,$Z2367))</f>
        <v>PC Gamer Ryzen</v>
      </c>
      <c r="N2367" s="61" t="str">
        <f aca="false">$M2367&amp;" "&amp;$C2367</f>
        <v>PC Gamer Ryzen 2025</v>
      </c>
      <c r="O2367" s="63" t="n">
        <f aca="false">IF(ISTEXT($AC2367),VALUE($AC2367),$AC2367)</f>
        <v>7</v>
      </c>
      <c r="P2367" s="64" t="n">
        <f aca="false">INDEX(Datos_Origen!$I$2:$I$2459,$Z2367)</f>
        <v>1656.52</v>
      </c>
      <c r="Q2367" s="64" t="n">
        <f aca="false">INDEX(Datos_Origen!$J$2:$J$2459,$Z2367)</f>
        <v>1155.66</v>
      </c>
      <c r="R2367" s="65" t="n">
        <f aca="false">ROUND($O2367*$P2367,2)</f>
        <v>11595.64</v>
      </c>
      <c r="S2367" s="65" t="n">
        <f aca="false">ROUND($O2367*$Q2367,2)</f>
        <v>8089.62</v>
      </c>
      <c r="T2367" s="65" t="n">
        <f aca="false">ROUND($R2367*SUMIFS(Parametros!$E$28:$E$43,Parametros!$B$28:$B$43,$J2367,Parametros!$C$28:$C$43,$C2367,Parametros!$D$28:$D$43,$D2367),2)</f>
        <v>602.97</v>
      </c>
      <c r="U2367" s="65" t="n">
        <f aca="false">$R2367-$S2367-$T2367</f>
        <v>2903.05</v>
      </c>
      <c r="V2367" s="66" t="n">
        <f aca="false">IFERROR($U2367/$R2367,0)</f>
        <v>0.250357030746039</v>
      </c>
      <c r="W2367" s="67" t="str">
        <f aca="false">IF(AND($V2367&gt;=Parametros!$C$8,$R2367&gt;=Parametros!$C$12),"Alta rentabilidad",IF(OR($V2367&lt;Parametros!$C$11,$R2367&lt;Parametros!$C$13),"Revisar","Estandar"))</f>
        <v>Revisar</v>
      </c>
      <c r="X2367" s="67" t="str">
        <f aca="false">IF(AND($J2367="E-commerce",IFERROR($T2367/$R2367,0)&gt;Parametros!$C$14),"Alerta","OK")</f>
        <v>Alerta</v>
      </c>
      <c r="Y2367" s="61" t="str">
        <f aca="false">IF($R2367&gt;=Parametros!$C$12,"Alto",IF($R2367&lt;Parametros!$C$13,"Bajo","Medio"))</f>
        <v>Alto</v>
      </c>
      <c r="Z2367" s="61" t="n">
        <v>281</v>
      </c>
      <c r="AA2367" s="61" t="str">
        <f aca="false">IF(MATCH($A2367,Datos_Origen!$A$2:$A$2459,0)=$Z2367,"OK","REVISAR")</f>
        <v>OK</v>
      </c>
      <c r="AB2367" s="62" t="n">
        <f aca="false">INDEX(Datos_Origen!$B$2:$B$2459,$Z2367)</f>
        <v>46003</v>
      </c>
      <c r="AC2367" s="61" t="str">
        <f aca="false">INDEX(Datos_Origen!$H$2:$H$2459,$Z2367)</f>
        <v>7</v>
      </c>
      <c r="AD2367" s="61" t="str">
        <f aca="false">INDEX(Datos_Origen!$D$2:$D$2459,$Z2367)&amp;""</f>
        <v>Mendoza</v>
      </c>
    </row>
    <row r="2368" customFormat="false" ht="15" hidden="false" customHeight="false" outlineLevel="0" collapsed="false">
      <c r="A2368" s="61" t="n">
        <f aca="false">INDEX(Datos_Origen!$A$2:$A$2459,$Z2368)</f>
        <v>2367</v>
      </c>
      <c r="B2368" s="62" t="n">
        <f aca="false">IF(ISNUMBER($AB2368),$AB2368,IF(MID($AB2368,5,1)="-",DATE(VALUE(LEFT($AB2368,4)),VALUE(MID($AB2368,6,2)),VALUE(RIGHT($AB2368,2))),DATE(VALUE(RIGHT($AB2368,4)),VALUE(MID($AB2368,4,2)),VALUE(LEFT($AB2368,2)))))</f>
        <v>46010</v>
      </c>
      <c r="C2368" s="61" t="n">
        <f aca="false">YEAR($B2368)</f>
        <v>2025</v>
      </c>
      <c r="D2368" s="61" t="str">
        <f aca="false">"Q"&amp;ROUNDUP(MONTH($B2368)/3,0)</f>
        <v>Q4</v>
      </c>
      <c r="E2368" s="61" t="n">
        <f aca="false">MONTH($B2368)</f>
        <v>12</v>
      </c>
      <c r="F2368" s="61" t="str">
        <f aca="false">INDEX(Parametros!$I$5:$I$16,$E2368)</f>
        <v>Dic</v>
      </c>
      <c r="G2368" s="61" t="str">
        <f aca="false">TEXT($C2368,"0000")&amp;"-"&amp;TEXT($E2368,"00")</f>
        <v>2025-12</v>
      </c>
      <c r="H2368" s="61" t="str">
        <f aca="false">INDEX(Parametros!$C$71:$C$91,MATCH(TRIM(INDEX(Datos_Origen!$C$2:$C$2459,$Z2368)),Parametros!$B$71:$B$91,0))</f>
        <v>Cuyo</v>
      </c>
      <c r="I2368" s="61" t="str">
        <f aca="false">IF(TRIM($AD2368)="",INDEX(Parametros!$I$20:$I$24,MATCH($H2368,Parametros!$H$20:$H$24,0)),TRIM($AD2368))</f>
        <v>Mendoza</v>
      </c>
      <c r="J2368" s="61" t="str">
        <f aca="false">INDEX(Parametros!$C$95:$C$106,MATCH(TRIM(INDEX(Datos_Origen!$E$2:$E$2459,$Z2368)),Parametros!$B$95:$B$106,0))</f>
        <v>Tienda fisica</v>
      </c>
      <c r="K2368" s="61" t="str">
        <f aca="false">INDEX(Parametros!$C$48:$C$67,MATCH(TRIM(INDEX(Datos_Origen!$F$2:$F$2459,$Z2368)),Parametros!$B$48:$B$67,0))</f>
        <v>Accesorios</v>
      </c>
      <c r="L2368" s="61" t="str">
        <f aca="false">$K2368&amp;" "&amp;$C2368</f>
        <v>Accesorios 2025</v>
      </c>
      <c r="M2368" s="61" t="str">
        <f aca="false">TRIM(INDEX(Datos_Origen!$G$2:$G$2459,$Z2368))</f>
        <v>Mouse Inalambrico</v>
      </c>
      <c r="N2368" s="61" t="str">
        <f aca="false">$M2368&amp;" "&amp;$C2368</f>
        <v>Mouse Inalambrico 2025</v>
      </c>
      <c r="O2368" s="63" t="n">
        <f aca="false">IF(ISTEXT($AC2368),VALUE($AC2368),$AC2368)</f>
        <v>44</v>
      </c>
      <c r="P2368" s="64" t="n">
        <f aca="false">INDEX(Datos_Origen!$I$2:$I$2459,$Z2368)</f>
        <v>28.11</v>
      </c>
      <c r="Q2368" s="64" t="n">
        <f aca="false">INDEX(Datos_Origen!$J$2:$J$2459,$Z2368)</f>
        <v>13.84</v>
      </c>
      <c r="R2368" s="65" t="n">
        <f aca="false">ROUND($O2368*$P2368,2)</f>
        <v>1236.84</v>
      </c>
      <c r="S2368" s="65" t="n">
        <f aca="false">ROUND($O2368*$Q2368,2)</f>
        <v>608.96</v>
      </c>
      <c r="T2368" s="65" t="n">
        <f aca="false">ROUND($R2368*SUMIFS(Parametros!$E$28:$E$43,Parametros!$B$28:$B$43,$J2368,Parametros!$C$28:$C$43,$C2368,Parametros!$D$28:$D$43,$D2368),2)</f>
        <v>16.08</v>
      </c>
      <c r="U2368" s="65" t="n">
        <f aca="false">$R2368-$S2368-$T2368</f>
        <v>611.8</v>
      </c>
      <c r="V2368" s="66" t="n">
        <f aca="false">IFERROR($U2368/$R2368,0)</f>
        <v>0.494647650464086</v>
      </c>
      <c r="W2368" s="67" t="str">
        <f aca="false">IF(AND($V2368&gt;=Parametros!$C$8,$R2368&gt;=Parametros!$C$12),"Alta rentabilidad",IF(OR($V2368&lt;Parametros!$C$11,$R2368&lt;Parametros!$C$13),"Revisar","Estandar"))</f>
        <v>Estandar</v>
      </c>
      <c r="X2368" s="67" t="str">
        <f aca="false">IF(AND($J2368="E-commerce",IFERROR($T2368/$R2368,0)&gt;Parametros!$C$14),"Alerta","OK")</f>
        <v>OK</v>
      </c>
      <c r="Y2368" s="61" t="str">
        <f aca="false">IF($R2368&gt;=Parametros!$C$12,"Alto",IF($R2368&lt;Parametros!$C$13,"Bajo","Medio"))</f>
        <v>Medio</v>
      </c>
      <c r="Z2368" s="61" t="n">
        <v>1488</v>
      </c>
      <c r="AA2368" s="61" t="str">
        <f aca="false">IF(MATCH($A2368,Datos_Origen!$A$2:$A$2459,0)=$Z2368,"OK","REVISAR")</f>
        <v>OK</v>
      </c>
      <c r="AB2368" s="61" t="str">
        <f aca="false">INDEX(Datos_Origen!$B$2:$B$2459,$Z2368)</f>
        <v>19/12/2025</v>
      </c>
      <c r="AC2368" s="61" t="n">
        <f aca="false">INDEX(Datos_Origen!$H$2:$H$2459,$Z2368)</f>
        <v>44</v>
      </c>
      <c r="AD2368" s="61" t="str">
        <f aca="false">INDEX(Datos_Origen!$D$2:$D$2459,$Z2368)&amp;""</f>
        <v>Mendoza</v>
      </c>
    </row>
    <row r="2369" customFormat="false" ht="15" hidden="false" customHeight="false" outlineLevel="0" collapsed="false">
      <c r="A2369" s="61" t="n">
        <f aca="false">INDEX(Datos_Origen!$A$2:$A$2459,$Z2369)</f>
        <v>2368</v>
      </c>
      <c r="B2369" s="62" t="n">
        <f aca="false">IF(ISNUMBER($AB2369),$AB2369,IF(MID($AB2369,5,1)="-",DATE(VALUE(LEFT($AB2369,4)),VALUE(MID($AB2369,6,2)),VALUE(RIGHT($AB2369,2))),DATE(VALUE(RIGHT($AB2369,4)),VALUE(MID($AB2369,4,2)),VALUE(LEFT($AB2369,2)))))</f>
        <v>46017</v>
      </c>
      <c r="C2369" s="61" t="n">
        <f aca="false">YEAR($B2369)</f>
        <v>2025</v>
      </c>
      <c r="D2369" s="61" t="str">
        <f aca="false">"Q"&amp;ROUNDUP(MONTH($B2369)/3,0)</f>
        <v>Q4</v>
      </c>
      <c r="E2369" s="61" t="n">
        <f aca="false">MONTH($B2369)</f>
        <v>12</v>
      </c>
      <c r="F2369" s="61" t="str">
        <f aca="false">INDEX(Parametros!$I$5:$I$16,$E2369)</f>
        <v>Dic</v>
      </c>
      <c r="G2369" s="61" t="str">
        <f aca="false">TEXT($C2369,"0000")&amp;"-"&amp;TEXT($E2369,"00")</f>
        <v>2025-12</v>
      </c>
      <c r="H2369" s="61" t="str">
        <f aca="false">INDEX(Parametros!$C$71:$C$91,MATCH(TRIM(INDEX(Datos_Origen!$C$2:$C$2459,$Z2369)),Parametros!$B$71:$B$91,0))</f>
        <v>Cuyo</v>
      </c>
      <c r="I2369" s="61" t="str">
        <f aca="false">IF(TRIM($AD2369)="",INDEX(Parametros!$I$20:$I$24,MATCH($H2369,Parametros!$H$20:$H$24,0)),TRIM($AD2369))</f>
        <v>Mendoza</v>
      </c>
      <c r="J2369" s="61" t="str">
        <f aca="false">INDEX(Parametros!$C$95:$C$106,MATCH(TRIM(INDEX(Datos_Origen!$E$2:$E$2459,$Z2369)),Parametros!$B$95:$B$106,0))</f>
        <v>E-commerce</v>
      </c>
      <c r="K2369" s="61" t="str">
        <f aca="false">INDEX(Parametros!$C$48:$C$67,MATCH(TRIM(INDEX(Datos_Origen!$F$2:$F$2459,$Z2369)),Parametros!$B$48:$B$67,0))</f>
        <v>Accesorios</v>
      </c>
      <c r="L2369" s="61" t="str">
        <f aca="false">$K2369&amp;" "&amp;$C2369</f>
        <v>Accesorios 2025</v>
      </c>
      <c r="M2369" s="61" t="str">
        <f aca="false">TRIM(INDEX(Datos_Origen!$G$2:$G$2459,$Z2369))</f>
        <v>Mouse Inalambrico</v>
      </c>
      <c r="N2369" s="61" t="str">
        <f aca="false">$M2369&amp;" "&amp;$C2369</f>
        <v>Mouse Inalambrico 2025</v>
      </c>
      <c r="O2369" s="63" t="n">
        <f aca="false">IF(ISTEXT($AC2369),VALUE($AC2369),$AC2369)</f>
        <v>31</v>
      </c>
      <c r="P2369" s="64" t="n">
        <f aca="false">INDEX(Datos_Origen!$I$2:$I$2459,$Z2369)</f>
        <v>28.11</v>
      </c>
      <c r="Q2369" s="64" t="n">
        <f aca="false">INDEX(Datos_Origen!$J$2:$J$2459,$Z2369)</f>
        <v>13.84</v>
      </c>
      <c r="R2369" s="65" t="n">
        <f aca="false">ROUND($O2369*$P2369,2)</f>
        <v>871.41</v>
      </c>
      <c r="S2369" s="65" t="n">
        <f aca="false">ROUND($O2369*$Q2369,2)</f>
        <v>429.04</v>
      </c>
      <c r="T2369" s="65" t="n">
        <f aca="false">ROUND($R2369*SUMIFS(Parametros!$E$28:$E$43,Parametros!$B$28:$B$43,$J2369,Parametros!$C$28:$C$43,$C2369,Parametros!$D$28:$D$43,$D2369),2)</f>
        <v>45.31</v>
      </c>
      <c r="U2369" s="65" t="n">
        <f aca="false">$R2369-$S2369-$T2369</f>
        <v>397.06</v>
      </c>
      <c r="V2369" s="66" t="n">
        <f aca="false">IFERROR($U2369/$R2369,0)</f>
        <v>0.455652333574322</v>
      </c>
      <c r="W2369" s="67" t="str">
        <f aca="false">IF(AND($V2369&gt;=Parametros!$C$8,$R2369&gt;=Parametros!$C$12),"Alta rentabilidad",IF(OR($V2369&lt;Parametros!$C$11,$R2369&lt;Parametros!$C$13),"Revisar","Estandar"))</f>
        <v>Estandar</v>
      </c>
      <c r="X2369" s="67" t="str">
        <f aca="false">IF(AND($J2369="E-commerce",IFERROR($T2369/$R2369,0)&gt;Parametros!$C$14),"Alerta","OK")</f>
        <v>Alerta</v>
      </c>
      <c r="Y2369" s="61" t="str">
        <f aca="false">IF($R2369&gt;=Parametros!$C$12,"Alto",IF($R2369&lt;Parametros!$C$13,"Bajo","Medio"))</f>
        <v>Medio</v>
      </c>
      <c r="Z2369" s="61" t="n">
        <v>1655</v>
      </c>
      <c r="AA2369" s="61" t="str">
        <f aca="false">IF(MATCH($A2369,Datos_Origen!$A$2:$A$2459,0)=$Z2369,"OK","REVISAR")</f>
        <v>OK</v>
      </c>
      <c r="AB2369" s="61" t="str">
        <f aca="false">INDEX(Datos_Origen!$B$2:$B$2459,$Z2369)</f>
        <v>26/12/2025</v>
      </c>
      <c r="AC2369" s="61" t="n">
        <f aca="false">INDEX(Datos_Origen!$H$2:$H$2459,$Z2369)</f>
        <v>31</v>
      </c>
      <c r="AD2369" s="61" t="str">
        <f aca="false">INDEX(Datos_Origen!$D$2:$D$2459,$Z2369)&amp;""</f>
        <v>Mendoza</v>
      </c>
    </row>
    <row r="2370" customFormat="false" ht="15" hidden="false" customHeight="false" outlineLevel="0" collapsed="false">
      <c r="A2370" s="61" t="n">
        <f aca="false">INDEX(Datos_Origen!$A$2:$A$2459,$Z2370)</f>
        <v>2369</v>
      </c>
      <c r="B2370" s="62" t="n">
        <f aca="false">IF(ISNUMBER($AB2370),$AB2370,IF(MID($AB2370,5,1)="-",DATE(VALUE(LEFT($AB2370,4)),VALUE(MID($AB2370,6,2)),VALUE(RIGHT($AB2370,2))),DATE(VALUE(RIGHT($AB2370,4)),VALUE(MID($AB2370,4,2)),VALUE(LEFT($AB2370,2)))))</f>
        <v>45997</v>
      </c>
      <c r="C2370" s="61" t="n">
        <f aca="false">YEAR($B2370)</f>
        <v>2025</v>
      </c>
      <c r="D2370" s="61" t="str">
        <f aca="false">"Q"&amp;ROUNDUP(MONTH($B2370)/3,0)</f>
        <v>Q4</v>
      </c>
      <c r="E2370" s="61" t="n">
        <f aca="false">MONTH($B2370)</f>
        <v>12</v>
      </c>
      <c r="F2370" s="61" t="str">
        <f aca="false">INDEX(Parametros!$I$5:$I$16,$E2370)</f>
        <v>Dic</v>
      </c>
      <c r="G2370" s="61" t="str">
        <f aca="false">TEXT($C2370,"0000")&amp;"-"&amp;TEXT($E2370,"00")</f>
        <v>2025-12</v>
      </c>
      <c r="H2370" s="61" t="str">
        <f aca="false">INDEX(Parametros!$C$71:$C$91,MATCH(TRIM(INDEX(Datos_Origen!$C$2:$C$2459,$Z2370)),Parametros!$B$71:$B$91,0))</f>
        <v>Cuyo</v>
      </c>
      <c r="I2370" s="61" t="str">
        <f aca="false">IF(TRIM($AD2370)="",INDEX(Parametros!$I$20:$I$24,MATCH($H2370,Parametros!$H$20:$H$24,0)),TRIM($AD2370))</f>
        <v>Mendoza</v>
      </c>
      <c r="J2370" s="61" t="str">
        <f aca="false">INDEX(Parametros!$C$95:$C$106,MATCH(TRIM(INDEX(Datos_Origen!$E$2:$E$2459,$Z2370)),Parametros!$B$95:$B$106,0))</f>
        <v>Tienda fisica</v>
      </c>
      <c r="K2370" s="61" t="str">
        <f aca="false">INDEX(Parametros!$C$48:$C$67,MATCH(TRIM(INDEX(Datos_Origen!$F$2:$F$2459,$Z2370)),Parametros!$B$48:$B$67,0))</f>
        <v>Accesorios</v>
      </c>
      <c r="L2370" s="61" t="str">
        <f aca="false">$K2370&amp;" "&amp;$C2370</f>
        <v>Accesorios 2025</v>
      </c>
      <c r="M2370" s="61" t="str">
        <f aca="false">TRIM(INDEX(Datos_Origen!$G$2:$G$2459,$Z2370))</f>
        <v>Teclado Mecanico</v>
      </c>
      <c r="N2370" s="61" t="str">
        <f aca="false">$M2370&amp;" "&amp;$C2370</f>
        <v>Teclado Mecanico 2025</v>
      </c>
      <c r="O2370" s="63" t="n">
        <f aca="false">IF(ISTEXT($AC2370),VALUE($AC2370),$AC2370)</f>
        <v>40</v>
      </c>
      <c r="P2370" s="64" t="n">
        <f aca="false">INDEX(Datos_Origen!$I$2:$I$2459,$Z2370)</f>
        <v>95.38</v>
      </c>
      <c r="Q2370" s="64" t="n">
        <f aca="false">INDEX(Datos_Origen!$J$2:$J$2459,$Z2370)</f>
        <v>49.41</v>
      </c>
      <c r="R2370" s="65" t="n">
        <f aca="false">ROUND($O2370*$P2370,2)</f>
        <v>3815.2</v>
      </c>
      <c r="S2370" s="65" t="n">
        <f aca="false">ROUND($O2370*$Q2370,2)</f>
        <v>1976.4</v>
      </c>
      <c r="T2370" s="65" t="n">
        <f aca="false">ROUND($R2370*SUMIFS(Parametros!$E$28:$E$43,Parametros!$B$28:$B$43,$J2370,Parametros!$C$28:$C$43,$C2370,Parametros!$D$28:$D$43,$D2370),2)</f>
        <v>49.6</v>
      </c>
      <c r="U2370" s="65" t="n">
        <f aca="false">$R2370-$S2370-$T2370</f>
        <v>1789.2</v>
      </c>
      <c r="V2370" s="66" t="n">
        <f aca="false">IFERROR($U2370/$R2370,0)</f>
        <v>0.46896624030195</v>
      </c>
      <c r="W2370" s="67" t="str">
        <f aca="false">IF(AND($V2370&gt;=Parametros!$C$8,$R2370&gt;=Parametros!$C$12),"Alta rentabilidad",IF(OR($V2370&lt;Parametros!$C$11,$R2370&lt;Parametros!$C$13),"Revisar","Estandar"))</f>
        <v>Alta rentabilidad</v>
      </c>
      <c r="X2370" s="67" t="str">
        <f aca="false">IF(AND($J2370="E-commerce",IFERROR($T2370/$R2370,0)&gt;Parametros!$C$14),"Alerta","OK")</f>
        <v>OK</v>
      </c>
      <c r="Y2370" s="61" t="str">
        <f aca="false">IF($R2370&gt;=Parametros!$C$12,"Alto",IF($R2370&lt;Parametros!$C$13,"Bajo","Medio"))</f>
        <v>Alto</v>
      </c>
      <c r="Z2370" s="61" t="n">
        <v>654</v>
      </c>
      <c r="AA2370" s="61" t="str">
        <f aca="false">IF(MATCH($A2370,Datos_Origen!$A$2:$A$2459,0)=$Z2370,"OK","REVISAR")</f>
        <v>OK</v>
      </c>
      <c r="AB2370" s="62" t="n">
        <f aca="false">INDEX(Datos_Origen!$B$2:$B$2459,$Z2370)</f>
        <v>45997</v>
      </c>
      <c r="AC2370" s="61" t="n">
        <f aca="false">INDEX(Datos_Origen!$H$2:$H$2459,$Z2370)</f>
        <v>40</v>
      </c>
      <c r="AD2370" s="61" t="str">
        <f aca="false">INDEX(Datos_Origen!$D$2:$D$2459,$Z2370)&amp;""</f>
        <v>Mendoza</v>
      </c>
    </row>
    <row r="2371" customFormat="false" ht="15" hidden="false" customHeight="false" outlineLevel="0" collapsed="false">
      <c r="A2371" s="61" t="n">
        <f aca="false">INDEX(Datos_Origen!$A$2:$A$2459,$Z2371)</f>
        <v>2370</v>
      </c>
      <c r="B2371" s="62" t="n">
        <f aca="false">IF(ISNUMBER($AB2371),$AB2371,IF(MID($AB2371,5,1)="-",DATE(VALUE(LEFT($AB2371,4)),VALUE(MID($AB2371,6,2)),VALUE(RIGHT($AB2371,2))),DATE(VALUE(RIGHT($AB2371,4)),VALUE(MID($AB2371,4,2)),VALUE(LEFT($AB2371,2)))))</f>
        <v>46004</v>
      </c>
      <c r="C2371" s="61" t="n">
        <f aca="false">YEAR($B2371)</f>
        <v>2025</v>
      </c>
      <c r="D2371" s="61" t="str">
        <f aca="false">"Q"&amp;ROUNDUP(MONTH($B2371)/3,0)</f>
        <v>Q4</v>
      </c>
      <c r="E2371" s="61" t="n">
        <f aca="false">MONTH($B2371)</f>
        <v>12</v>
      </c>
      <c r="F2371" s="61" t="str">
        <f aca="false">INDEX(Parametros!$I$5:$I$16,$E2371)</f>
        <v>Dic</v>
      </c>
      <c r="G2371" s="61" t="str">
        <f aca="false">TEXT($C2371,"0000")&amp;"-"&amp;TEXT($E2371,"00")</f>
        <v>2025-12</v>
      </c>
      <c r="H2371" s="61" t="str">
        <f aca="false">INDEX(Parametros!$C$71:$C$91,MATCH(TRIM(INDEX(Datos_Origen!$C$2:$C$2459,$Z2371)),Parametros!$B$71:$B$91,0))</f>
        <v>Cuyo</v>
      </c>
      <c r="I2371" s="61" t="str">
        <f aca="false">IF(TRIM($AD2371)="",INDEX(Parametros!$I$20:$I$24,MATCH($H2371,Parametros!$H$20:$H$24,0)),TRIM($AD2371))</f>
        <v>Mendoza</v>
      </c>
      <c r="J2371" s="61" t="str">
        <f aca="false">INDEX(Parametros!$C$95:$C$106,MATCH(TRIM(INDEX(Datos_Origen!$E$2:$E$2459,$Z2371)),Parametros!$B$95:$B$106,0))</f>
        <v>E-commerce</v>
      </c>
      <c r="K2371" s="61" t="str">
        <f aca="false">INDEX(Parametros!$C$48:$C$67,MATCH(TRIM(INDEX(Datos_Origen!$F$2:$F$2459,$Z2371)),Parametros!$B$48:$B$67,0))</f>
        <v>Accesorios</v>
      </c>
      <c r="L2371" s="61" t="str">
        <f aca="false">$K2371&amp;" "&amp;$C2371</f>
        <v>Accesorios 2025</v>
      </c>
      <c r="M2371" s="61" t="str">
        <f aca="false">TRIM(INDEX(Datos_Origen!$G$2:$G$2459,$Z2371))</f>
        <v>Teclado Mecanico</v>
      </c>
      <c r="N2371" s="61" t="str">
        <f aca="false">$M2371&amp;" "&amp;$C2371</f>
        <v>Teclado Mecanico 2025</v>
      </c>
      <c r="O2371" s="63" t="n">
        <f aca="false">IF(ISTEXT($AC2371),VALUE($AC2371),$AC2371)</f>
        <v>30</v>
      </c>
      <c r="P2371" s="64" t="n">
        <f aca="false">INDEX(Datos_Origen!$I$2:$I$2459,$Z2371)</f>
        <v>95.38</v>
      </c>
      <c r="Q2371" s="64" t="n">
        <f aca="false">INDEX(Datos_Origen!$J$2:$J$2459,$Z2371)</f>
        <v>49.41</v>
      </c>
      <c r="R2371" s="65" t="n">
        <f aca="false">ROUND($O2371*$P2371,2)</f>
        <v>2861.4</v>
      </c>
      <c r="S2371" s="65" t="n">
        <f aca="false">ROUND($O2371*$Q2371,2)</f>
        <v>1482.3</v>
      </c>
      <c r="T2371" s="65" t="n">
        <f aca="false">ROUND($R2371*SUMIFS(Parametros!$E$28:$E$43,Parametros!$B$28:$B$43,$J2371,Parametros!$C$28:$C$43,$C2371,Parametros!$D$28:$D$43,$D2371),2)</f>
        <v>148.79</v>
      </c>
      <c r="U2371" s="65" t="n">
        <f aca="false">$R2371-$S2371-$T2371</f>
        <v>1230.31</v>
      </c>
      <c r="V2371" s="66" t="n">
        <f aca="false">IFERROR($U2371/$R2371,0)</f>
        <v>0.429967847906619</v>
      </c>
      <c r="W2371" s="67" t="str">
        <f aca="false">IF(AND($V2371&gt;=Parametros!$C$8,$R2371&gt;=Parametros!$C$12),"Alta rentabilidad",IF(OR($V2371&lt;Parametros!$C$11,$R2371&lt;Parametros!$C$13),"Revisar","Estandar"))</f>
        <v>Estandar</v>
      </c>
      <c r="X2371" s="67" t="str">
        <f aca="false">IF(AND($J2371="E-commerce",IFERROR($T2371/$R2371,0)&gt;Parametros!$C$14),"Alerta","OK")</f>
        <v>Alerta</v>
      </c>
      <c r="Y2371" s="61" t="str">
        <f aca="false">IF($R2371&gt;=Parametros!$C$12,"Alto",IF($R2371&lt;Parametros!$C$13,"Bajo","Medio"))</f>
        <v>Medio</v>
      </c>
      <c r="Z2371" s="61" t="n">
        <v>843</v>
      </c>
      <c r="AA2371" s="61" t="str">
        <f aca="false">IF(MATCH($A2371,Datos_Origen!$A$2:$A$2459,0)=$Z2371,"OK","REVISAR")</f>
        <v>OK</v>
      </c>
      <c r="AB2371" s="62" t="n">
        <f aca="false">INDEX(Datos_Origen!$B$2:$B$2459,$Z2371)</f>
        <v>46004</v>
      </c>
      <c r="AC2371" s="61" t="n">
        <f aca="false">INDEX(Datos_Origen!$H$2:$H$2459,$Z2371)</f>
        <v>30</v>
      </c>
      <c r="AD2371" s="61" t="str">
        <f aca="false">INDEX(Datos_Origen!$D$2:$D$2459,$Z2371)&amp;""</f>
        <v>Mendoza</v>
      </c>
    </row>
    <row r="2372" customFormat="false" ht="15" hidden="false" customHeight="false" outlineLevel="0" collapsed="false">
      <c r="A2372" s="61" t="n">
        <f aca="false">INDEX(Datos_Origen!$A$2:$A$2459,$Z2372)</f>
        <v>2371</v>
      </c>
      <c r="B2372" s="62" t="n">
        <f aca="false">IF(ISNUMBER($AB2372),$AB2372,IF(MID($AB2372,5,1)="-",DATE(VALUE(LEFT($AB2372,4)),VALUE(MID($AB2372,6,2)),VALUE(RIGHT($AB2372,2))),DATE(VALUE(RIGHT($AB2372,4)),VALUE(MID($AB2372,4,2)),VALUE(LEFT($AB2372,2)))))</f>
        <v>46011</v>
      </c>
      <c r="C2372" s="61" t="n">
        <f aca="false">YEAR($B2372)</f>
        <v>2025</v>
      </c>
      <c r="D2372" s="61" t="str">
        <f aca="false">"Q"&amp;ROUNDUP(MONTH($B2372)/3,0)</f>
        <v>Q4</v>
      </c>
      <c r="E2372" s="61" t="n">
        <f aca="false">MONTH($B2372)</f>
        <v>12</v>
      </c>
      <c r="F2372" s="61" t="str">
        <f aca="false">INDEX(Parametros!$I$5:$I$16,$E2372)</f>
        <v>Dic</v>
      </c>
      <c r="G2372" s="61" t="str">
        <f aca="false">TEXT($C2372,"0000")&amp;"-"&amp;TEXT($E2372,"00")</f>
        <v>2025-12</v>
      </c>
      <c r="H2372" s="61" t="str">
        <f aca="false">INDEX(Parametros!$C$71:$C$91,MATCH(TRIM(INDEX(Datos_Origen!$C$2:$C$2459,$Z2372)),Parametros!$B$71:$B$91,0))</f>
        <v>Cuyo</v>
      </c>
      <c r="I2372" s="61" t="str">
        <f aca="false">IF(TRIM($AD2372)="",INDEX(Parametros!$I$20:$I$24,MATCH($H2372,Parametros!$H$20:$H$24,0)),TRIM($AD2372))</f>
        <v>Mendoza</v>
      </c>
      <c r="J2372" s="61" t="str">
        <f aca="false">INDEX(Parametros!$C$95:$C$106,MATCH(TRIM(INDEX(Datos_Origen!$E$2:$E$2459,$Z2372)),Parametros!$B$95:$B$106,0))</f>
        <v>Tienda fisica</v>
      </c>
      <c r="K2372" s="61" t="str">
        <f aca="false">INDEX(Parametros!$C$48:$C$67,MATCH(TRIM(INDEX(Datos_Origen!$F$2:$F$2459,$Z2372)),Parametros!$B$48:$B$67,0))</f>
        <v>Accesorios</v>
      </c>
      <c r="L2372" s="61" t="str">
        <f aca="false">$K2372&amp;" "&amp;$C2372</f>
        <v>Accesorios 2025</v>
      </c>
      <c r="M2372" s="61" t="str">
        <f aca="false">TRIM(INDEX(Datos_Origen!$G$2:$G$2459,$Z2372))</f>
        <v>Webcam Full HD</v>
      </c>
      <c r="N2372" s="61" t="str">
        <f aca="false">$M2372&amp;" "&amp;$C2372</f>
        <v>Webcam Full HD 2025</v>
      </c>
      <c r="O2372" s="63" t="n">
        <f aca="false">IF(ISTEXT($AC2372),VALUE($AC2372),$AC2372)</f>
        <v>40</v>
      </c>
      <c r="P2372" s="64" t="n">
        <f aca="false">INDEX(Datos_Origen!$I$2:$I$2459,$Z2372)</f>
        <v>65.26</v>
      </c>
      <c r="Q2372" s="64" t="n">
        <f aca="false">INDEX(Datos_Origen!$J$2:$J$2459,$Z2372)</f>
        <v>36.49</v>
      </c>
      <c r="R2372" s="65" t="n">
        <f aca="false">ROUND($O2372*$P2372,2)</f>
        <v>2610.4</v>
      </c>
      <c r="S2372" s="65" t="n">
        <f aca="false">ROUND($O2372*$Q2372,2)</f>
        <v>1459.6</v>
      </c>
      <c r="T2372" s="65" t="n">
        <f aca="false">ROUND($R2372*SUMIFS(Parametros!$E$28:$E$43,Parametros!$B$28:$B$43,$J2372,Parametros!$C$28:$C$43,$C2372,Parametros!$D$28:$D$43,$D2372),2)</f>
        <v>33.94</v>
      </c>
      <c r="U2372" s="65" t="n">
        <f aca="false">$R2372-$S2372-$T2372</f>
        <v>1116.86</v>
      </c>
      <c r="V2372" s="66" t="n">
        <f aca="false">IFERROR($U2372/$R2372,0)</f>
        <v>0.427850137909899</v>
      </c>
      <c r="W2372" s="67" t="str">
        <f aca="false">IF(AND($V2372&gt;=Parametros!$C$8,$R2372&gt;=Parametros!$C$12),"Alta rentabilidad",IF(OR($V2372&lt;Parametros!$C$11,$R2372&lt;Parametros!$C$13),"Revisar","Estandar"))</f>
        <v>Estandar</v>
      </c>
      <c r="X2372" s="67" t="str">
        <f aca="false">IF(AND($J2372="E-commerce",IFERROR($T2372/$R2372,0)&gt;Parametros!$C$14),"Alerta","OK")</f>
        <v>OK</v>
      </c>
      <c r="Y2372" s="61" t="str">
        <f aca="false">IF($R2372&gt;=Parametros!$C$12,"Alto",IF($R2372&lt;Parametros!$C$13,"Bajo","Medio"))</f>
        <v>Medio</v>
      </c>
      <c r="Z2372" s="61" t="n">
        <v>1562</v>
      </c>
      <c r="AA2372" s="61" t="str">
        <f aca="false">IF(MATCH($A2372,Datos_Origen!$A$2:$A$2459,0)=$Z2372,"OK","REVISAR")</f>
        <v>OK</v>
      </c>
      <c r="AB2372" s="62" t="n">
        <f aca="false">INDEX(Datos_Origen!$B$2:$B$2459,$Z2372)</f>
        <v>46011</v>
      </c>
      <c r="AC2372" s="61" t="n">
        <f aca="false">INDEX(Datos_Origen!$H$2:$H$2459,$Z2372)</f>
        <v>40</v>
      </c>
      <c r="AD2372" s="61" t="str">
        <f aca="false">INDEX(Datos_Origen!$D$2:$D$2459,$Z2372)&amp;""</f>
        <v>Mendoza</v>
      </c>
    </row>
    <row r="2373" customFormat="false" ht="15" hidden="false" customHeight="false" outlineLevel="0" collapsed="false">
      <c r="A2373" s="61" t="n">
        <f aca="false">INDEX(Datos_Origen!$A$2:$A$2459,$Z2373)</f>
        <v>2372</v>
      </c>
      <c r="B2373" s="62" t="n">
        <f aca="false">IF(ISNUMBER($AB2373),$AB2373,IF(MID($AB2373,5,1)="-",DATE(VALUE(LEFT($AB2373,4)),VALUE(MID($AB2373,6,2)),VALUE(RIGHT($AB2373,2))),DATE(VALUE(RIGHT($AB2373,4)),VALUE(MID($AB2373,4,2)),VALUE(LEFT($AB2373,2)))))</f>
        <v>46018</v>
      </c>
      <c r="C2373" s="61" t="n">
        <f aca="false">YEAR($B2373)</f>
        <v>2025</v>
      </c>
      <c r="D2373" s="61" t="str">
        <f aca="false">"Q"&amp;ROUNDUP(MONTH($B2373)/3,0)</f>
        <v>Q4</v>
      </c>
      <c r="E2373" s="61" t="n">
        <f aca="false">MONTH($B2373)</f>
        <v>12</v>
      </c>
      <c r="F2373" s="61" t="str">
        <f aca="false">INDEX(Parametros!$I$5:$I$16,$E2373)</f>
        <v>Dic</v>
      </c>
      <c r="G2373" s="61" t="str">
        <f aca="false">TEXT($C2373,"0000")&amp;"-"&amp;TEXT($E2373,"00")</f>
        <v>2025-12</v>
      </c>
      <c r="H2373" s="61" t="str">
        <f aca="false">INDEX(Parametros!$C$71:$C$91,MATCH(TRIM(INDEX(Datos_Origen!$C$2:$C$2459,$Z2373)),Parametros!$B$71:$B$91,0))</f>
        <v>Cuyo</v>
      </c>
      <c r="I2373" s="61" t="str">
        <f aca="false">IF(TRIM($AD2373)="",INDEX(Parametros!$I$20:$I$24,MATCH($H2373,Parametros!$H$20:$H$24,0)),TRIM($AD2373))</f>
        <v>Mendoza</v>
      </c>
      <c r="J2373" s="61" t="str">
        <f aca="false">INDEX(Parametros!$C$95:$C$106,MATCH(TRIM(INDEX(Datos_Origen!$E$2:$E$2459,$Z2373)),Parametros!$B$95:$B$106,0))</f>
        <v>E-commerce</v>
      </c>
      <c r="K2373" s="61" t="str">
        <f aca="false">INDEX(Parametros!$C$48:$C$67,MATCH(TRIM(INDEX(Datos_Origen!$F$2:$F$2459,$Z2373)),Parametros!$B$48:$B$67,0))</f>
        <v>Accesorios</v>
      </c>
      <c r="L2373" s="61" t="str">
        <f aca="false">$K2373&amp;" "&amp;$C2373</f>
        <v>Accesorios 2025</v>
      </c>
      <c r="M2373" s="61" t="str">
        <f aca="false">TRIM(INDEX(Datos_Origen!$G$2:$G$2459,$Z2373))</f>
        <v>Webcam Full HD</v>
      </c>
      <c r="N2373" s="61" t="str">
        <f aca="false">$M2373&amp;" "&amp;$C2373</f>
        <v>Webcam Full HD 2025</v>
      </c>
      <c r="O2373" s="63" t="n">
        <f aca="false">IF(ISTEXT($AC2373),VALUE($AC2373),$AC2373)</f>
        <v>27</v>
      </c>
      <c r="P2373" s="64" t="n">
        <f aca="false">INDEX(Datos_Origen!$I$2:$I$2459,$Z2373)</f>
        <v>65.26</v>
      </c>
      <c r="Q2373" s="64" t="n">
        <f aca="false">INDEX(Datos_Origen!$J$2:$J$2459,$Z2373)</f>
        <v>36.49</v>
      </c>
      <c r="R2373" s="65" t="n">
        <f aca="false">ROUND($O2373*$P2373,2)</f>
        <v>1762.02</v>
      </c>
      <c r="S2373" s="65" t="n">
        <f aca="false">ROUND($O2373*$Q2373,2)</f>
        <v>985.23</v>
      </c>
      <c r="T2373" s="65" t="n">
        <f aca="false">ROUND($R2373*SUMIFS(Parametros!$E$28:$E$43,Parametros!$B$28:$B$43,$J2373,Parametros!$C$28:$C$43,$C2373,Parametros!$D$28:$D$43,$D2373),2)</f>
        <v>91.63</v>
      </c>
      <c r="U2373" s="65" t="n">
        <f aca="false">$R2373-$S2373-$T2373</f>
        <v>685.16</v>
      </c>
      <c r="V2373" s="66" t="n">
        <f aca="false">IFERROR($U2373/$R2373,0)</f>
        <v>0.388849161757528</v>
      </c>
      <c r="W2373" s="67" t="str">
        <f aca="false">IF(AND($V2373&gt;=Parametros!$C$8,$R2373&gt;=Parametros!$C$12),"Alta rentabilidad",IF(OR($V2373&lt;Parametros!$C$11,$R2373&lt;Parametros!$C$13),"Revisar","Estandar"))</f>
        <v>Estandar</v>
      </c>
      <c r="X2373" s="67" t="str">
        <f aca="false">IF(AND($J2373="E-commerce",IFERROR($T2373/$R2373,0)&gt;Parametros!$C$14),"Alerta","OK")</f>
        <v>Alerta</v>
      </c>
      <c r="Y2373" s="61" t="str">
        <f aca="false">IF($R2373&gt;=Parametros!$C$12,"Alto",IF($R2373&lt;Parametros!$C$13,"Bajo","Medio"))</f>
        <v>Medio</v>
      </c>
      <c r="Z2373" s="61" t="n">
        <v>311</v>
      </c>
      <c r="AA2373" s="61" t="str">
        <f aca="false">IF(MATCH($A2373,Datos_Origen!$A$2:$A$2459,0)=$Z2373,"OK","REVISAR")</f>
        <v>OK</v>
      </c>
      <c r="AB2373" s="62" t="n">
        <f aca="false">INDEX(Datos_Origen!$B$2:$B$2459,$Z2373)</f>
        <v>46018</v>
      </c>
      <c r="AC2373" s="61" t="n">
        <f aca="false">INDEX(Datos_Origen!$H$2:$H$2459,$Z2373)</f>
        <v>27</v>
      </c>
      <c r="AD2373" s="61" t="str">
        <f aca="false">INDEX(Datos_Origen!$D$2:$D$2459,$Z2373)&amp;""</f>
        <v>Mendoza</v>
      </c>
    </row>
    <row r="2374" customFormat="false" ht="15" hidden="false" customHeight="false" outlineLevel="0" collapsed="false">
      <c r="A2374" s="61" t="n">
        <f aca="false">INDEX(Datos_Origen!$A$2:$A$2459,$Z2374)</f>
        <v>2373</v>
      </c>
      <c r="B2374" s="62" t="n">
        <f aca="false">IF(ISNUMBER($AB2374),$AB2374,IF(MID($AB2374,5,1)="-",DATE(VALUE(LEFT($AB2374,4)),VALUE(MID($AB2374,6,2)),VALUE(RIGHT($AB2374,2))),DATE(VALUE(RIGHT($AB2374,4)),VALUE(MID($AB2374,4,2)),VALUE(LEFT($AB2374,2)))))</f>
        <v>45998</v>
      </c>
      <c r="C2374" s="61" t="n">
        <f aca="false">YEAR($B2374)</f>
        <v>2025</v>
      </c>
      <c r="D2374" s="61" t="str">
        <f aca="false">"Q"&amp;ROUNDUP(MONTH($B2374)/3,0)</f>
        <v>Q4</v>
      </c>
      <c r="E2374" s="61" t="n">
        <f aca="false">MONTH($B2374)</f>
        <v>12</v>
      </c>
      <c r="F2374" s="61" t="str">
        <f aca="false">INDEX(Parametros!$I$5:$I$16,$E2374)</f>
        <v>Dic</v>
      </c>
      <c r="G2374" s="61" t="str">
        <f aca="false">TEXT($C2374,"0000")&amp;"-"&amp;TEXT($E2374,"00")</f>
        <v>2025-12</v>
      </c>
      <c r="H2374" s="61" t="str">
        <f aca="false">INDEX(Parametros!$C$71:$C$91,MATCH(TRIM(INDEX(Datos_Origen!$C$2:$C$2459,$Z2374)),Parametros!$B$71:$B$91,0))</f>
        <v>Cuyo</v>
      </c>
      <c r="I2374" s="61" t="str">
        <f aca="false">IF(TRIM($AD2374)="",INDEX(Parametros!$I$20:$I$24,MATCH($H2374,Parametros!$H$20:$H$24,0)),TRIM($AD2374))</f>
        <v>Mendoza</v>
      </c>
      <c r="J2374" s="61" t="str">
        <f aca="false">INDEX(Parametros!$C$95:$C$106,MATCH(TRIM(INDEX(Datos_Origen!$E$2:$E$2459,$Z2374)),Parametros!$B$95:$B$106,0))</f>
        <v>Tienda fisica</v>
      </c>
      <c r="K2374" s="61" t="str">
        <f aca="false">INDEX(Parametros!$C$48:$C$67,MATCH(TRIM(INDEX(Datos_Origen!$F$2:$F$2459,$Z2374)),Parametros!$B$48:$B$67,0))</f>
        <v>Audio</v>
      </c>
      <c r="L2374" s="61" t="str">
        <f aca="false">$K2374&amp;" "&amp;$C2374</f>
        <v>Audio 2025</v>
      </c>
      <c r="M2374" s="61" t="str">
        <f aca="false">TRIM(INDEX(Datos_Origen!$G$2:$G$2459,$Z2374))</f>
        <v>Auriculares BT Pro</v>
      </c>
      <c r="N2374" s="61" t="str">
        <f aca="false">$M2374&amp;" "&amp;$C2374</f>
        <v>Auriculares BT Pro 2025</v>
      </c>
      <c r="O2374" s="63" t="n">
        <f aca="false">IF(ISTEXT($AC2374),VALUE($AC2374),$AC2374)</f>
        <v>17</v>
      </c>
      <c r="P2374" s="64" t="n">
        <f aca="false">INDEX(Datos_Origen!$I$2:$I$2459,$Z2374)</f>
        <v>120.47</v>
      </c>
      <c r="Q2374" s="64" t="n">
        <f aca="false">INDEX(Datos_Origen!$J$2:$J$2459,$Z2374)</f>
        <v>65.51</v>
      </c>
      <c r="R2374" s="65" t="n">
        <f aca="false">ROUND($O2374*$P2374,2)</f>
        <v>2047.99</v>
      </c>
      <c r="S2374" s="65" t="n">
        <f aca="false">ROUND($O2374*$Q2374,2)</f>
        <v>1113.67</v>
      </c>
      <c r="T2374" s="65" t="n">
        <f aca="false">ROUND($R2374*SUMIFS(Parametros!$E$28:$E$43,Parametros!$B$28:$B$43,$J2374,Parametros!$C$28:$C$43,$C2374,Parametros!$D$28:$D$43,$D2374),2)</f>
        <v>26.62</v>
      </c>
      <c r="U2374" s="65" t="n">
        <f aca="false">$R2374-$S2374-$T2374</f>
        <v>907.7</v>
      </c>
      <c r="V2374" s="66" t="n">
        <f aca="false">IFERROR($U2374/$R2374,0)</f>
        <v>0.44321505476101</v>
      </c>
      <c r="W2374" s="67" t="str">
        <f aca="false">IF(AND($V2374&gt;=Parametros!$C$8,$R2374&gt;=Parametros!$C$12),"Alta rentabilidad",IF(OR($V2374&lt;Parametros!$C$11,$R2374&lt;Parametros!$C$13),"Revisar","Estandar"))</f>
        <v>Estandar</v>
      </c>
      <c r="X2374" s="67" t="str">
        <f aca="false">IF(AND($J2374="E-commerce",IFERROR($T2374/$R2374,0)&gt;Parametros!$C$14),"Alerta","OK")</f>
        <v>OK</v>
      </c>
      <c r="Y2374" s="61" t="str">
        <f aca="false">IF($R2374&gt;=Parametros!$C$12,"Alto",IF($R2374&lt;Parametros!$C$13,"Bajo","Medio"))</f>
        <v>Medio</v>
      </c>
      <c r="Z2374" s="61" t="n">
        <v>401</v>
      </c>
      <c r="AA2374" s="61" t="str">
        <f aca="false">IF(MATCH($A2374,Datos_Origen!$A$2:$A$2459,0)=$Z2374,"OK","REVISAR")</f>
        <v>OK</v>
      </c>
      <c r="AB2374" s="62" t="n">
        <f aca="false">INDEX(Datos_Origen!$B$2:$B$2459,$Z2374)</f>
        <v>45998</v>
      </c>
      <c r="AC2374" s="61" t="n">
        <f aca="false">INDEX(Datos_Origen!$H$2:$H$2459,$Z2374)</f>
        <v>17</v>
      </c>
      <c r="AD2374" s="61" t="str">
        <f aca="false">INDEX(Datos_Origen!$D$2:$D$2459,$Z2374)&amp;""</f>
        <v>Mendoza</v>
      </c>
    </row>
    <row r="2375" customFormat="false" ht="15" hidden="false" customHeight="false" outlineLevel="0" collapsed="false">
      <c r="A2375" s="61" t="n">
        <f aca="false">INDEX(Datos_Origen!$A$2:$A$2459,$Z2375)</f>
        <v>2374</v>
      </c>
      <c r="B2375" s="62" t="n">
        <f aca="false">IF(ISNUMBER($AB2375),$AB2375,IF(MID($AB2375,5,1)="-",DATE(VALUE(LEFT($AB2375,4)),VALUE(MID($AB2375,6,2)),VALUE(RIGHT($AB2375,2))),DATE(VALUE(RIGHT($AB2375,4)),VALUE(MID($AB2375,4,2)),VALUE(LEFT($AB2375,2)))))</f>
        <v>46005</v>
      </c>
      <c r="C2375" s="61" t="n">
        <f aca="false">YEAR($B2375)</f>
        <v>2025</v>
      </c>
      <c r="D2375" s="61" t="str">
        <f aca="false">"Q"&amp;ROUNDUP(MONTH($B2375)/3,0)</f>
        <v>Q4</v>
      </c>
      <c r="E2375" s="61" t="n">
        <f aca="false">MONTH($B2375)</f>
        <v>12</v>
      </c>
      <c r="F2375" s="61" t="str">
        <f aca="false">INDEX(Parametros!$I$5:$I$16,$E2375)</f>
        <v>Dic</v>
      </c>
      <c r="G2375" s="61" t="str">
        <f aca="false">TEXT($C2375,"0000")&amp;"-"&amp;TEXT($E2375,"00")</f>
        <v>2025-12</v>
      </c>
      <c r="H2375" s="61" t="str">
        <f aca="false">INDEX(Parametros!$C$71:$C$91,MATCH(TRIM(INDEX(Datos_Origen!$C$2:$C$2459,$Z2375)),Parametros!$B$71:$B$91,0))</f>
        <v>Cuyo</v>
      </c>
      <c r="I2375" s="61" t="str">
        <f aca="false">IF(TRIM($AD2375)="",INDEX(Parametros!$I$20:$I$24,MATCH($H2375,Parametros!$H$20:$H$24,0)),TRIM($AD2375))</f>
        <v>Mendoza</v>
      </c>
      <c r="J2375" s="61" t="str">
        <f aca="false">INDEX(Parametros!$C$95:$C$106,MATCH(TRIM(INDEX(Datos_Origen!$E$2:$E$2459,$Z2375)),Parametros!$B$95:$B$106,0))</f>
        <v>E-commerce</v>
      </c>
      <c r="K2375" s="61" t="str">
        <f aca="false">INDEX(Parametros!$C$48:$C$67,MATCH(TRIM(INDEX(Datos_Origen!$F$2:$F$2459,$Z2375)),Parametros!$B$48:$B$67,0))</f>
        <v>Audio</v>
      </c>
      <c r="L2375" s="61" t="str">
        <f aca="false">$K2375&amp;" "&amp;$C2375</f>
        <v>Audio 2025</v>
      </c>
      <c r="M2375" s="61" t="str">
        <f aca="false">TRIM(INDEX(Datos_Origen!$G$2:$G$2459,$Z2375))</f>
        <v>Auriculares BT Pro</v>
      </c>
      <c r="N2375" s="61" t="str">
        <f aca="false">$M2375&amp;" "&amp;$C2375</f>
        <v>Auriculares BT Pro 2025</v>
      </c>
      <c r="O2375" s="63" t="n">
        <f aca="false">IF(ISTEXT($AC2375),VALUE($AC2375),$AC2375)</f>
        <v>15</v>
      </c>
      <c r="P2375" s="64" t="n">
        <f aca="false">INDEX(Datos_Origen!$I$2:$I$2459,$Z2375)</f>
        <v>120.47</v>
      </c>
      <c r="Q2375" s="64" t="n">
        <f aca="false">INDEX(Datos_Origen!$J$2:$J$2459,$Z2375)</f>
        <v>65.51</v>
      </c>
      <c r="R2375" s="65" t="n">
        <f aca="false">ROUND($O2375*$P2375,2)</f>
        <v>1807.05</v>
      </c>
      <c r="S2375" s="65" t="n">
        <f aca="false">ROUND($O2375*$Q2375,2)</f>
        <v>982.65</v>
      </c>
      <c r="T2375" s="65" t="n">
        <f aca="false">ROUND($R2375*SUMIFS(Parametros!$E$28:$E$43,Parametros!$B$28:$B$43,$J2375,Parametros!$C$28:$C$43,$C2375,Parametros!$D$28:$D$43,$D2375),2)</f>
        <v>93.97</v>
      </c>
      <c r="U2375" s="65" t="n">
        <f aca="false">$R2375-$S2375-$T2375</f>
        <v>730.43</v>
      </c>
      <c r="V2375" s="66" t="n">
        <f aca="false">IFERROR($U2375/$R2375,0)</f>
        <v>0.404211283583741</v>
      </c>
      <c r="W2375" s="67" t="str">
        <f aca="false">IF(AND($V2375&gt;=Parametros!$C$8,$R2375&gt;=Parametros!$C$12),"Alta rentabilidad",IF(OR($V2375&lt;Parametros!$C$11,$R2375&lt;Parametros!$C$13),"Revisar","Estandar"))</f>
        <v>Estandar</v>
      </c>
      <c r="X2375" s="67" t="str">
        <f aca="false">IF(AND($J2375="E-commerce",IFERROR($T2375/$R2375,0)&gt;Parametros!$C$14),"Alerta","OK")</f>
        <v>Alerta</v>
      </c>
      <c r="Y2375" s="61" t="str">
        <f aca="false">IF($R2375&gt;=Parametros!$C$12,"Alto",IF($R2375&lt;Parametros!$C$13,"Bajo","Medio"))</f>
        <v>Medio</v>
      </c>
      <c r="Z2375" s="61" t="n">
        <v>1591</v>
      </c>
      <c r="AA2375" s="61" t="str">
        <f aca="false">IF(MATCH($A2375,Datos_Origen!$A$2:$A$2459,0)=$Z2375,"OK","REVISAR")</f>
        <v>OK</v>
      </c>
      <c r="AB2375" s="61" t="str">
        <f aca="false">INDEX(Datos_Origen!$B$2:$B$2459,$Z2375)</f>
        <v>14/12/2025</v>
      </c>
      <c r="AC2375" s="61" t="n">
        <f aca="false">INDEX(Datos_Origen!$H$2:$H$2459,$Z2375)</f>
        <v>15</v>
      </c>
      <c r="AD2375" s="61" t="str">
        <f aca="false">INDEX(Datos_Origen!$D$2:$D$2459,$Z2375)&amp;""</f>
        <v>Mendoza</v>
      </c>
    </row>
    <row r="2376" customFormat="false" ht="15" hidden="false" customHeight="false" outlineLevel="0" collapsed="false">
      <c r="A2376" s="61" t="n">
        <f aca="false">INDEX(Datos_Origen!$A$2:$A$2459,$Z2376)</f>
        <v>2375</v>
      </c>
      <c r="B2376" s="62" t="n">
        <f aca="false">IF(ISNUMBER($AB2376),$AB2376,IF(MID($AB2376,5,1)="-",DATE(VALUE(LEFT($AB2376,4)),VALUE(MID($AB2376,6,2)),VALUE(RIGHT($AB2376,2))),DATE(VALUE(RIGHT($AB2376,4)),VALUE(MID($AB2376,4,2)),VALUE(LEFT($AB2376,2)))))</f>
        <v>46012</v>
      </c>
      <c r="C2376" s="61" t="n">
        <f aca="false">YEAR($B2376)</f>
        <v>2025</v>
      </c>
      <c r="D2376" s="61" t="str">
        <f aca="false">"Q"&amp;ROUNDUP(MONTH($B2376)/3,0)</f>
        <v>Q4</v>
      </c>
      <c r="E2376" s="61" t="n">
        <f aca="false">MONTH($B2376)</f>
        <v>12</v>
      </c>
      <c r="F2376" s="61" t="str">
        <f aca="false">INDEX(Parametros!$I$5:$I$16,$E2376)</f>
        <v>Dic</v>
      </c>
      <c r="G2376" s="61" t="str">
        <f aca="false">TEXT($C2376,"0000")&amp;"-"&amp;TEXT($E2376,"00")</f>
        <v>2025-12</v>
      </c>
      <c r="H2376" s="61" t="str">
        <f aca="false">INDEX(Parametros!$C$71:$C$91,MATCH(TRIM(INDEX(Datos_Origen!$C$2:$C$2459,$Z2376)),Parametros!$B$71:$B$91,0))</f>
        <v>Cuyo</v>
      </c>
      <c r="I2376" s="61" t="str">
        <f aca="false">IF(TRIM($AD2376)="",INDEX(Parametros!$I$20:$I$24,MATCH($H2376,Parametros!$H$20:$H$24,0)),TRIM($AD2376))</f>
        <v>Mendoza</v>
      </c>
      <c r="J2376" s="61" t="str">
        <f aca="false">INDEX(Parametros!$C$95:$C$106,MATCH(TRIM(INDEX(Datos_Origen!$E$2:$E$2459,$Z2376)),Parametros!$B$95:$B$106,0))</f>
        <v>Tienda fisica</v>
      </c>
      <c r="K2376" s="61" t="str">
        <f aca="false">INDEX(Parametros!$C$48:$C$67,MATCH(TRIM(INDEX(Datos_Origen!$F$2:$F$2459,$Z2376)),Parametros!$B$48:$B$67,0))</f>
        <v>Audio</v>
      </c>
      <c r="L2376" s="61" t="str">
        <f aca="false">$K2376&amp;" "&amp;$C2376</f>
        <v>Audio 2025</v>
      </c>
      <c r="M2376" s="61" t="str">
        <f aca="false">TRIM(INDEX(Datos_Origen!$G$2:$G$2459,$Z2376))</f>
        <v>Parlante Bluetooth</v>
      </c>
      <c r="N2376" s="61" t="str">
        <f aca="false">$M2376&amp;" "&amp;$C2376</f>
        <v>Parlante Bluetooth 2025</v>
      </c>
      <c r="O2376" s="63" t="n">
        <f aca="false">IF(ISTEXT($AC2376),VALUE($AC2376),$AC2376)</f>
        <v>18</v>
      </c>
      <c r="P2376" s="64" t="n">
        <f aca="false">INDEX(Datos_Origen!$I$2:$I$2459,$Z2376)</f>
        <v>85.34</v>
      </c>
      <c r="Q2376" s="64" t="n">
        <f aca="false">INDEX(Datos_Origen!$J$2:$J$2459,$Z2376)</f>
        <v>49.47</v>
      </c>
      <c r="R2376" s="65" t="n">
        <f aca="false">ROUND($O2376*$P2376,2)</f>
        <v>1536.12</v>
      </c>
      <c r="S2376" s="65" t="n">
        <f aca="false">ROUND($O2376*$Q2376,2)</f>
        <v>890.46</v>
      </c>
      <c r="T2376" s="65" t="n">
        <f aca="false">ROUND($R2376*SUMIFS(Parametros!$E$28:$E$43,Parametros!$B$28:$B$43,$J2376,Parametros!$C$28:$C$43,$C2376,Parametros!$D$28:$D$43,$D2376),2)</f>
        <v>19.97</v>
      </c>
      <c r="U2376" s="65" t="n">
        <f aca="false">$R2376-$S2376-$T2376</f>
        <v>625.69</v>
      </c>
      <c r="V2376" s="66" t="n">
        <f aca="false">IFERROR($U2376/$R2376,0)</f>
        <v>0.407318438663646</v>
      </c>
      <c r="W2376" s="67" t="str">
        <f aca="false">IF(AND($V2376&gt;=Parametros!$C$8,$R2376&gt;=Parametros!$C$12),"Alta rentabilidad",IF(OR($V2376&lt;Parametros!$C$11,$R2376&lt;Parametros!$C$13),"Revisar","Estandar"))</f>
        <v>Estandar</v>
      </c>
      <c r="X2376" s="67" t="str">
        <f aca="false">IF(AND($J2376="E-commerce",IFERROR($T2376/$R2376,0)&gt;Parametros!$C$14),"Alerta","OK")</f>
        <v>OK</v>
      </c>
      <c r="Y2376" s="61" t="str">
        <f aca="false">IF($R2376&gt;=Parametros!$C$12,"Alto",IF($R2376&lt;Parametros!$C$13,"Bajo","Medio"))</f>
        <v>Medio</v>
      </c>
      <c r="Z2376" s="61" t="n">
        <v>1760</v>
      </c>
      <c r="AA2376" s="61" t="str">
        <f aca="false">IF(MATCH($A2376,Datos_Origen!$A$2:$A$2459,0)=$Z2376,"OK","REVISAR")</f>
        <v>OK</v>
      </c>
      <c r="AB2376" s="62" t="n">
        <f aca="false">INDEX(Datos_Origen!$B$2:$B$2459,$Z2376)</f>
        <v>46012</v>
      </c>
      <c r="AC2376" s="61" t="n">
        <f aca="false">INDEX(Datos_Origen!$H$2:$H$2459,$Z2376)</f>
        <v>18</v>
      </c>
      <c r="AD2376" s="61" t="str">
        <f aca="false">INDEX(Datos_Origen!$D$2:$D$2459,$Z2376)&amp;""</f>
        <v>Mendoza</v>
      </c>
    </row>
    <row r="2377" customFormat="false" ht="15" hidden="false" customHeight="false" outlineLevel="0" collapsed="false">
      <c r="A2377" s="61" t="n">
        <f aca="false">INDEX(Datos_Origen!$A$2:$A$2459,$Z2377)</f>
        <v>2376</v>
      </c>
      <c r="B2377" s="62" t="n">
        <f aca="false">IF(ISNUMBER($AB2377),$AB2377,IF(MID($AB2377,5,1)="-",DATE(VALUE(LEFT($AB2377,4)),VALUE(MID($AB2377,6,2)),VALUE(RIGHT($AB2377,2))),DATE(VALUE(RIGHT($AB2377,4)),VALUE(MID($AB2377,4,2)),VALUE(LEFT($AB2377,2)))))</f>
        <v>45992</v>
      </c>
      <c r="C2377" s="61" t="n">
        <f aca="false">YEAR($B2377)</f>
        <v>2025</v>
      </c>
      <c r="D2377" s="61" t="str">
        <f aca="false">"Q"&amp;ROUNDUP(MONTH($B2377)/3,0)</f>
        <v>Q4</v>
      </c>
      <c r="E2377" s="61" t="n">
        <f aca="false">MONTH($B2377)</f>
        <v>12</v>
      </c>
      <c r="F2377" s="61" t="str">
        <f aca="false">INDEX(Parametros!$I$5:$I$16,$E2377)</f>
        <v>Dic</v>
      </c>
      <c r="G2377" s="61" t="str">
        <f aca="false">TEXT($C2377,"0000")&amp;"-"&amp;TEXT($E2377,"00")</f>
        <v>2025-12</v>
      </c>
      <c r="H2377" s="61" t="str">
        <f aca="false">INDEX(Parametros!$C$71:$C$91,MATCH(TRIM(INDEX(Datos_Origen!$C$2:$C$2459,$Z2377)),Parametros!$B$71:$B$91,0))</f>
        <v>Cuyo</v>
      </c>
      <c r="I2377" s="61" t="str">
        <f aca="false">IF(TRIM($AD2377)="",INDEX(Parametros!$I$20:$I$24,MATCH($H2377,Parametros!$H$20:$H$24,0)),TRIM($AD2377))</f>
        <v>Mendoza</v>
      </c>
      <c r="J2377" s="61" t="str">
        <f aca="false">INDEX(Parametros!$C$95:$C$106,MATCH(TRIM(INDEX(Datos_Origen!$E$2:$E$2459,$Z2377)),Parametros!$B$95:$B$106,0))</f>
        <v>E-commerce</v>
      </c>
      <c r="K2377" s="61" t="str">
        <f aca="false">INDEX(Parametros!$C$48:$C$67,MATCH(TRIM(INDEX(Datos_Origen!$F$2:$F$2459,$Z2377)),Parametros!$B$48:$B$67,0))</f>
        <v>Audio</v>
      </c>
      <c r="L2377" s="61" t="str">
        <f aca="false">$K2377&amp;" "&amp;$C2377</f>
        <v>Audio 2025</v>
      </c>
      <c r="M2377" s="61" t="str">
        <f aca="false">TRIM(INDEX(Datos_Origen!$G$2:$G$2459,$Z2377))</f>
        <v>Parlante Bluetooth</v>
      </c>
      <c r="N2377" s="61" t="str">
        <f aca="false">$M2377&amp;" "&amp;$C2377</f>
        <v>Parlante Bluetooth 2025</v>
      </c>
      <c r="O2377" s="63" t="n">
        <f aca="false">IF(ISTEXT($AC2377),VALUE($AC2377),$AC2377)</f>
        <v>14</v>
      </c>
      <c r="P2377" s="64" t="n">
        <f aca="false">INDEX(Datos_Origen!$I$2:$I$2459,$Z2377)</f>
        <v>85.34</v>
      </c>
      <c r="Q2377" s="64" t="n">
        <f aca="false">INDEX(Datos_Origen!$J$2:$J$2459,$Z2377)</f>
        <v>49.47</v>
      </c>
      <c r="R2377" s="65" t="n">
        <f aca="false">ROUND($O2377*$P2377,2)</f>
        <v>1194.76</v>
      </c>
      <c r="S2377" s="65" t="n">
        <f aca="false">ROUND($O2377*$Q2377,2)</f>
        <v>692.58</v>
      </c>
      <c r="T2377" s="65" t="n">
        <f aca="false">ROUND($R2377*SUMIFS(Parametros!$E$28:$E$43,Parametros!$B$28:$B$43,$J2377,Parametros!$C$28:$C$43,$C2377,Parametros!$D$28:$D$43,$D2377),2)</f>
        <v>62.13</v>
      </c>
      <c r="U2377" s="65" t="n">
        <f aca="false">$R2377-$S2377-$T2377</f>
        <v>440.05</v>
      </c>
      <c r="V2377" s="66" t="n">
        <f aca="false">IFERROR($U2377/$R2377,0)</f>
        <v>0.368316649368911</v>
      </c>
      <c r="W2377" s="67" t="str">
        <f aca="false">IF(AND($V2377&gt;=Parametros!$C$8,$R2377&gt;=Parametros!$C$12),"Alta rentabilidad",IF(OR($V2377&lt;Parametros!$C$11,$R2377&lt;Parametros!$C$13),"Revisar","Estandar"))</f>
        <v>Estandar</v>
      </c>
      <c r="X2377" s="67" t="str">
        <f aca="false">IF(AND($J2377="E-commerce",IFERROR($T2377/$R2377,0)&gt;Parametros!$C$14),"Alerta","OK")</f>
        <v>Alerta</v>
      </c>
      <c r="Y2377" s="61" t="str">
        <f aca="false">IF($R2377&gt;=Parametros!$C$12,"Alto",IF($R2377&lt;Parametros!$C$13,"Bajo","Medio"))</f>
        <v>Medio</v>
      </c>
      <c r="Z2377" s="61" t="n">
        <v>467</v>
      </c>
      <c r="AA2377" s="61" t="str">
        <f aca="false">IF(MATCH($A2377,Datos_Origen!$A$2:$A$2459,0)=$Z2377,"OK","REVISAR")</f>
        <v>OK</v>
      </c>
      <c r="AB2377" s="62" t="n">
        <f aca="false">INDEX(Datos_Origen!$B$2:$B$2459,$Z2377)</f>
        <v>45992</v>
      </c>
      <c r="AC2377" s="61" t="n">
        <f aca="false">INDEX(Datos_Origen!$H$2:$H$2459,$Z2377)</f>
        <v>14</v>
      </c>
      <c r="AD2377" s="61" t="str">
        <f aca="false">INDEX(Datos_Origen!$D$2:$D$2459,$Z2377)&amp;""</f>
        <v>Mendoza</v>
      </c>
    </row>
    <row r="2378" customFormat="false" ht="15" hidden="false" customHeight="false" outlineLevel="0" collapsed="false">
      <c r="A2378" s="61" t="n">
        <f aca="false">INDEX(Datos_Origen!$A$2:$A$2459,$Z2378)</f>
        <v>2377</v>
      </c>
      <c r="B2378" s="62" t="n">
        <f aca="false">IF(ISNUMBER($AB2378),$AB2378,IF(MID($AB2378,5,1)="-",DATE(VALUE(LEFT($AB2378,4)),VALUE(MID($AB2378,6,2)),VALUE(RIGHT($AB2378,2))),DATE(VALUE(RIGHT($AB2378,4)),VALUE(MID($AB2378,4,2)),VALUE(LEFT($AB2378,2)))))</f>
        <v>45999</v>
      </c>
      <c r="C2378" s="61" t="n">
        <f aca="false">YEAR($B2378)</f>
        <v>2025</v>
      </c>
      <c r="D2378" s="61" t="str">
        <f aca="false">"Q"&amp;ROUNDUP(MONTH($B2378)/3,0)</f>
        <v>Q4</v>
      </c>
      <c r="E2378" s="61" t="n">
        <f aca="false">MONTH($B2378)</f>
        <v>12</v>
      </c>
      <c r="F2378" s="61" t="str">
        <f aca="false">INDEX(Parametros!$I$5:$I$16,$E2378)</f>
        <v>Dic</v>
      </c>
      <c r="G2378" s="61" t="str">
        <f aca="false">TEXT($C2378,"0000")&amp;"-"&amp;TEXT($E2378,"00")</f>
        <v>2025-12</v>
      </c>
      <c r="H2378" s="61" t="str">
        <f aca="false">INDEX(Parametros!$C$71:$C$91,MATCH(TRIM(INDEX(Datos_Origen!$C$2:$C$2459,$Z2378)),Parametros!$B$71:$B$91,0))</f>
        <v>Cuyo</v>
      </c>
      <c r="I2378" s="61" t="str">
        <f aca="false">IF(TRIM($AD2378)="",INDEX(Parametros!$I$20:$I$24,MATCH($H2378,Parametros!$H$20:$H$24,0)),TRIM($AD2378))</f>
        <v>Mendoza</v>
      </c>
      <c r="J2378" s="61" t="str">
        <f aca="false">INDEX(Parametros!$C$95:$C$106,MATCH(TRIM(INDEX(Datos_Origen!$E$2:$E$2459,$Z2378)),Parametros!$B$95:$B$106,0))</f>
        <v>Tienda fisica</v>
      </c>
      <c r="K2378" s="61" t="str">
        <f aca="false">INDEX(Parametros!$C$48:$C$67,MATCH(TRIM(INDEX(Datos_Origen!$F$2:$F$2459,$Z2378)),Parametros!$B$48:$B$67,0))</f>
        <v>Almacenamiento</v>
      </c>
      <c r="L2378" s="61" t="str">
        <f aca="false">$K2378&amp;" "&amp;$C2378</f>
        <v>Almacenamiento 2025</v>
      </c>
      <c r="M2378" s="61" t="str">
        <f aca="false">TRIM(INDEX(Datos_Origen!$G$2:$G$2459,$Z2378))</f>
        <v>SSD Externo 1TB</v>
      </c>
      <c r="N2378" s="61" t="str">
        <f aca="false">$M2378&amp;" "&amp;$C2378</f>
        <v>SSD Externo 1TB 2025</v>
      </c>
      <c r="O2378" s="63" t="n">
        <f aca="false">IF(ISTEXT($AC2378),VALUE($AC2378),$AC2378)</f>
        <v>27</v>
      </c>
      <c r="P2378" s="64" t="n">
        <f aca="false">INDEX(Datos_Origen!$I$2:$I$2459,$Z2378)</f>
        <v>130.51</v>
      </c>
      <c r="Q2378" s="64" t="n">
        <f aca="false">INDEX(Datos_Origen!$J$2:$J$2459,$Z2378)</f>
        <v>78.33</v>
      </c>
      <c r="R2378" s="65" t="n">
        <f aca="false">ROUND($O2378*$P2378,2)</f>
        <v>3523.77</v>
      </c>
      <c r="S2378" s="65" t="n">
        <f aca="false">ROUND($O2378*$Q2378,2)</f>
        <v>2114.91</v>
      </c>
      <c r="T2378" s="65" t="n">
        <f aca="false">ROUND($R2378*SUMIFS(Parametros!$E$28:$E$43,Parametros!$B$28:$B$43,$J2378,Parametros!$C$28:$C$43,$C2378,Parametros!$D$28:$D$43,$D2378),2)</f>
        <v>45.81</v>
      </c>
      <c r="U2378" s="65" t="n">
        <f aca="false">$R2378-$S2378-$T2378</f>
        <v>1363.05</v>
      </c>
      <c r="V2378" s="66" t="n">
        <f aca="false">IFERROR($U2378/$R2378,0)</f>
        <v>0.386815825096417</v>
      </c>
      <c r="W2378" s="67" t="str">
        <f aca="false">IF(AND($V2378&gt;=Parametros!$C$8,$R2378&gt;=Parametros!$C$12),"Alta rentabilidad",IF(OR($V2378&lt;Parametros!$C$11,$R2378&lt;Parametros!$C$13),"Revisar","Estandar"))</f>
        <v>Alta rentabilidad</v>
      </c>
      <c r="X2378" s="67" t="str">
        <f aca="false">IF(AND($J2378="E-commerce",IFERROR($T2378/$R2378,0)&gt;Parametros!$C$14),"Alerta","OK")</f>
        <v>OK</v>
      </c>
      <c r="Y2378" s="61" t="str">
        <f aca="false">IF($R2378&gt;=Parametros!$C$12,"Alto",IF($R2378&lt;Parametros!$C$13,"Bajo","Medio"))</f>
        <v>Alto</v>
      </c>
      <c r="Z2378" s="61" t="n">
        <v>219</v>
      </c>
      <c r="AA2378" s="61" t="str">
        <f aca="false">IF(MATCH($A2378,Datos_Origen!$A$2:$A$2459,0)=$Z2378,"OK","REVISAR")</f>
        <v>OK</v>
      </c>
      <c r="AB2378" s="61" t="str">
        <f aca="false">INDEX(Datos_Origen!$B$2:$B$2459,$Z2378)</f>
        <v>2025-12-08</v>
      </c>
      <c r="AC2378" s="61" t="n">
        <f aca="false">INDEX(Datos_Origen!$H$2:$H$2459,$Z2378)</f>
        <v>27</v>
      </c>
      <c r="AD2378" s="61" t="str">
        <f aca="false">INDEX(Datos_Origen!$D$2:$D$2459,$Z2378)&amp;""</f>
        <v>Mendoza</v>
      </c>
    </row>
    <row r="2379" customFormat="false" ht="15" hidden="false" customHeight="false" outlineLevel="0" collapsed="false">
      <c r="A2379" s="61" t="n">
        <f aca="false">INDEX(Datos_Origen!$A$2:$A$2459,$Z2379)</f>
        <v>2378</v>
      </c>
      <c r="B2379" s="62" t="n">
        <f aca="false">IF(ISNUMBER($AB2379),$AB2379,IF(MID($AB2379,5,1)="-",DATE(VALUE(LEFT($AB2379,4)),VALUE(MID($AB2379,6,2)),VALUE(RIGHT($AB2379,2))),DATE(VALUE(RIGHT($AB2379,4)),VALUE(MID($AB2379,4,2)),VALUE(LEFT($AB2379,2)))))</f>
        <v>46006</v>
      </c>
      <c r="C2379" s="61" t="n">
        <f aca="false">YEAR($B2379)</f>
        <v>2025</v>
      </c>
      <c r="D2379" s="61" t="str">
        <f aca="false">"Q"&amp;ROUNDUP(MONTH($B2379)/3,0)</f>
        <v>Q4</v>
      </c>
      <c r="E2379" s="61" t="n">
        <f aca="false">MONTH($B2379)</f>
        <v>12</v>
      </c>
      <c r="F2379" s="61" t="str">
        <f aca="false">INDEX(Parametros!$I$5:$I$16,$E2379)</f>
        <v>Dic</v>
      </c>
      <c r="G2379" s="61" t="str">
        <f aca="false">TEXT($C2379,"0000")&amp;"-"&amp;TEXT($E2379,"00")</f>
        <v>2025-12</v>
      </c>
      <c r="H2379" s="61" t="str">
        <f aca="false">INDEX(Parametros!$C$71:$C$91,MATCH(TRIM(INDEX(Datos_Origen!$C$2:$C$2459,$Z2379)),Parametros!$B$71:$B$91,0))</f>
        <v>Cuyo</v>
      </c>
      <c r="I2379" s="61" t="str">
        <f aca="false">IF(TRIM($AD2379)="",INDEX(Parametros!$I$20:$I$24,MATCH($H2379,Parametros!$H$20:$H$24,0)),TRIM($AD2379))</f>
        <v>Mendoza</v>
      </c>
      <c r="J2379" s="61" t="str">
        <f aca="false">INDEX(Parametros!$C$95:$C$106,MATCH(TRIM(INDEX(Datos_Origen!$E$2:$E$2459,$Z2379)),Parametros!$B$95:$B$106,0))</f>
        <v>E-commerce</v>
      </c>
      <c r="K2379" s="61" t="str">
        <f aca="false">INDEX(Parametros!$C$48:$C$67,MATCH(TRIM(INDEX(Datos_Origen!$F$2:$F$2459,$Z2379)),Parametros!$B$48:$B$67,0))</f>
        <v>Almacenamiento</v>
      </c>
      <c r="L2379" s="61" t="str">
        <f aca="false">$K2379&amp;" "&amp;$C2379</f>
        <v>Almacenamiento 2025</v>
      </c>
      <c r="M2379" s="61" t="str">
        <f aca="false">TRIM(INDEX(Datos_Origen!$G$2:$G$2459,$Z2379))</f>
        <v>SSD Externo 1TB</v>
      </c>
      <c r="N2379" s="61" t="str">
        <f aca="false">$M2379&amp;" "&amp;$C2379</f>
        <v>SSD Externo 1TB 2025</v>
      </c>
      <c r="O2379" s="63" t="n">
        <f aca="false">IF(ISTEXT($AC2379),VALUE($AC2379),$AC2379)</f>
        <v>18</v>
      </c>
      <c r="P2379" s="64" t="n">
        <f aca="false">INDEX(Datos_Origen!$I$2:$I$2459,$Z2379)</f>
        <v>130.51</v>
      </c>
      <c r="Q2379" s="64" t="n">
        <f aca="false">INDEX(Datos_Origen!$J$2:$J$2459,$Z2379)</f>
        <v>78.33</v>
      </c>
      <c r="R2379" s="65" t="n">
        <f aca="false">ROUND($O2379*$P2379,2)</f>
        <v>2349.18</v>
      </c>
      <c r="S2379" s="65" t="n">
        <f aca="false">ROUND($O2379*$Q2379,2)</f>
        <v>1409.94</v>
      </c>
      <c r="T2379" s="65" t="n">
        <f aca="false">ROUND($R2379*SUMIFS(Parametros!$E$28:$E$43,Parametros!$B$28:$B$43,$J2379,Parametros!$C$28:$C$43,$C2379,Parametros!$D$28:$D$43,$D2379),2)</f>
        <v>122.16</v>
      </c>
      <c r="U2379" s="65" t="n">
        <f aca="false">$R2379-$S2379-$T2379</f>
        <v>817.08</v>
      </c>
      <c r="V2379" s="66" t="n">
        <f aca="false">IFERROR($U2379/$R2379,0)</f>
        <v>0.347814982249125</v>
      </c>
      <c r="W2379" s="67" t="str">
        <f aca="false">IF(AND($V2379&gt;=Parametros!$C$8,$R2379&gt;=Parametros!$C$12),"Alta rentabilidad",IF(OR($V2379&lt;Parametros!$C$11,$R2379&lt;Parametros!$C$13),"Revisar","Estandar"))</f>
        <v>Estandar</v>
      </c>
      <c r="X2379" s="67" t="str">
        <f aca="false">IF(AND($J2379="E-commerce",IFERROR($T2379/$R2379,0)&gt;Parametros!$C$14),"Alerta","OK")</f>
        <v>Alerta</v>
      </c>
      <c r="Y2379" s="61" t="str">
        <f aca="false">IF($R2379&gt;=Parametros!$C$12,"Alto",IF($R2379&lt;Parametros!$C$13,"Bajo","Medio"))</f>
        <v>Medio</v>
      </c>
      <c r="Z2379" s="61" t="n">
        <v>573</v>
      </c>
      <c r="AA2379" s="61" t="str">
        <f aca="false">IF(MATCH($A2379,Datos_Origen!$A$2:$A$2459,0)=$Z2379,"OK","REVISAR")</f>
        <v>OK</v>
      </c>
      <c r="AB2379" s="62" t="n">
        <f aca="false">INDEX(Datos_Origen!$B$2:$B$2459,$Z2379)</f>
        <v>46006</v>
      </c>
      <c r="AC2379" s="61" t="n">
        <f aca="false">INDEX(Datos_Origen!$H$2:$H$2459,$Z2379)</f>
        <v>18</v>
      </c>
      <c r="AD2379" s="61" t="str">
        <f aca="false">INDEX(Datos_Origen!$D$2:$D$2459,$Z2379)&amp;""</f>
        <v>Mendoza</v>
      </c>
    </row>
    <row r="2380" customFormat="false" ht="15" hidden="false" customHeight="false" outlineLevel="0" collapsed="false">
      <c r="A2380" s="61" t="n">
        <f aca="false">INDEX(Datos_Origen!$A$2:$A$2459,$Z2380)</f>
        <v>2379</v>
      </c>
      <c r="B2380" s="62" t="n">
        <f aca="false">IF(ISNUMBER($AB2380),$AB2380,IF(MID($AB2380,5,1)="-",DATE(VALUE(LEFT($AB2380,4)),VALUE(MID($AB2380,6,2)),VALUE(RIGHT($AB2380,2))),DATE(VALUE(RIGHT($AB2380,4)),VALUE(MID($AB2380,4,2)),VALUE(LEFT($AB2380,2)))))</f>
        <v>46013</v>
      </c>
      <c r="C2380" s="61" t="n">
        <f aca="false">YEAR($B2380)</f>
        <v>2025</v>
      </c>
      <c r="D2380" s="61" t="str">
        <f aca="false">"Q"&amp;ROUNDUP(MONTH($B2380)/3,0)</f>
        <v>Q4</v>
      </c>
      <c r="E2380" s="61" t="n">
        <f aca="false">MONTH($B2380)</f>
        <v>12</v>
      </c>
      <c r="F2380" s="61" t="str">
        <f aca="false">INDEX(Parametros!$I$5:$I$16,$E2380)</f>
        <v>Dic</v>
      </c>
      <c r="G2380" s="61" t="str">
        <f aca="false">TEXT($C2380,"0000")&amp;"-"&amp;TEXT($E2380,"00")</f>
        <v>2025-12</v>
      </c>
      <c r="H2380" s="61" t="str">
        <f aca="false">INDEX(Parametros!$C$71:$C$91,MATCH(TRIM(INDEX(Datos_Origen!$C$2:$C$2459,$Z2380)),Parametros!$B$71:$B$91,0))</f>
        <v>Cuyo</v>
      </c>
      <c r="I2380" s="61" t="str">
        <f aca="false">IF(TRIM($AD2380)="",INDEX(Parametros!$I$20:$I$24,MATCH($H2380,Parametros!$H$20:$H$24,0)),TRIM($AD2380))</f>
        <v>Mendoza</v>
      </c>
      <c r="J2380" s="61" t="str">
        <f aca="false">INDEX(Parametros!$C$95:$C$106,MATCH(TRIM(INDEX(Datos_Origen!$E$2:$E$2459,$Z2380)),Parametros!$B$95:$B$106,0))</f>
        <v>Tienda fisica</v>
      </c>
      <c r="K2380" s="61" t="str">
        <f aca="false">INDEX(Parametros!$C$48:$C$67,MATCH(TRIM(INDEX(Datos_Origen!$F$2:$F$2459,$Z2380)),Parametros!$B$48:$B$67,0))</f>
        <v>Almacenamiento</v>
      </c>
      <c r="L2380" s="61" t="str">
        <f aca="false">$K2380&amp;" "&amp;$C2380</f>
        <v>Almacenamiento 2025</v>
      </c>
      <c r="M2380" s="61" t="str">
        <f aca="false">TRIM(INDEX(Datos_Origen!$G$2:$G$2459,$Z2380))</f>
        <v>Pendrive 256GB</v>
      </c>
      <c r="N2380" s="61" t="str">
        <f aca="false">$M2380&amp;" "&amp;$C2380</f>
        <v>Pendrive 256GB 2025</v>
      </c>
      <c r="O2380" s="63" t="n">
        <f aca="false">IF(ISTEXT($AC2380),VALUE($AC2380),$AC2380)</f>
        <v>26</v>
      </c>
      <c r="P2380" s="64" t="n">
        <f aca="false">INDEX(Datos_Origen!$I$2:$I$2459,$Z2380)</f>
        <v>35.14</v>
      </c>
      <c r="Q2380" s="64" t="n">
        <f aca="false">INDEX(Datos_Origen!$J$2:$J$2459,$Z2380)</f>
        <v>18.39</v>
      </c>
      <c r="R2380" s="65" t="n">
        <f aca="false">ROUND($O2380*$P2380,2)</f>
        <v>913.64</v>
      </c>
      <c r="S2380" s="65" t="n">
        <f aca="false">ROUND($O2380*$Q2380,2)</f>
        <v>478.14</v>
      </c>
      <c r="T2380" s="65" t="n">
        <f aca="false">ROUND($R2380*SUMIFS(Parametros!$E$28:$E$43,Parametros!$B$28:$B$43,$J2380,Parametros!$C$28:$C$43,$C2380,Parametros!$D$28:$D$43,$D2380),2)</f>
        <v>11.88</v>
      </c>
      <c r="U2380" s="65" t="n">
        <f aca="false">$R2380-$S2380-$T2380</f>
        <v>423.62</v>
      </c>
      <c r="V2380" s="66" t="n">
        <f aca="false">IFERROR($U2380/$R2380,0)</f>
        <v>0.463661836171796</v>
      </c>
      <c r="W2380" s="67" t="str">
        <f aca="false">IF(AND($V2380&gt;=Parametros!$C$8,$R2380&gt;=Parametros!$C$12),"Alta rentabilidad",IF(OR($V2380&lt;Parametros!$C$11,$R2380&lt;Parametros!$C$13),"Revisar","Estandar"))</f>
        <v>Estandar</v>
      </c>
      <c r="X2380" s="67" t="str">
        <f aca="false">IF(AND($J2380="E-commerce",IFERROR($T2380/$R2380,0)&gt;Parametros!$C$14),"Alerta","OK")</f>
        <v>OK</v>
      </c>
      <c r="Y2380" s="61" t="str">
        <f aca="false">IF($R2380&gt;=Parametros!$C$12,"Alto",IF($R2380&lt;Parametros!$C$13,"Bajo","Medio"))</f>
        <v>Medio</v>
      </c>
      <c r="Z2380" s="61" t="n">
        <v>510</v>
      </c>
      <c r="AA2380" s="61" t="str">
        <f aca="false">IF(MATCH($A2380,Datos_Origen!$A$2:$A$2459,0)=$Z2380,"OK","REVISAR")</f>
        <v>OK</v>
      </c>
      <c r="AB2380" s="62" t="n">
        <f aca="false">INDEX(Datos_Origen!$B$2:$B$2459,$Z2380)</f>
        <v>46013</v>
      </c>
      <c r="AC2380" s="61" t="n">
        <f aca="false">INDEX(Datos_Origen!$H$2:$H$2459,$Z2380)</f>
        <v>26</v>
      </c>
      <c r="AD2380" s="61" t="str">
        <f aca="false">INDEX(Datos_Origen!$D$2:$D$2459,$Z2380)&amp;""</f>
        <v>Mendoza</v>
      </c>
    </row>
    <row r="2381" customFormat="false" ht="15" hidden="false" customHeight="false" outlineLevel="0" collapsed="false">
      <c r="A2381" s="61" t="n">
        <f aca="false">INDEX(Datos_Origen!$A$2:$A$2459,$Z2381)</f>
        <v>2380</v>
      </c>
      <c r="B2381" s="62" t="n">
        <f aca="false">IF(ISNUMBER($AB2381),$AB2381,IF(MID($AB2381,5,1)="-",DATE(VALUE(LEFT($AB2381,4)),VALUE(MID($AB2381,6,2)),VALUE(RIGHT($AB2381,2))),DATE(VALUE(RIGHT($AB2381,4)),VALUE(MID($AB2381,4,2)),VALUE(LEFT($AB2381,2)))))</f>
        <v>45993</v>
      </c>
      <c r="C2381" s="61" t="n">
        <f aca="false">YEAR($B2381)</f>
        <v>2025</v>
      </c>
      <c r="D2381" s="61" t="str">
        <f aca="false">"Q"&amp;ROUNDUP(MONTH($B2381)/3,0)</f>
        <v>Q4</v>
      </c>
      <c r="E2381" s="61" t="n">
        <f aca="false">MONTH($B2381)</f>
        <v>12</v>
      </c>
      <c r="F2381" s="61" t="str">
        <f aca="false">INDEX(Parametros!$I$5:$I$16,$E2381)</f>
        <v>Dic</v>
      </c>
      <c r="G2381" s="61" t="str">
        <f aca="false">TEXT($C2381,"0000")&amp;"-"&amp;TEXT($E2381,"00")</f>
        <v>2025-12</v>
      </c>
      <c r="H2381" s="61" t="str">
        <f aca="false">INDEX(Parametros!$C$71:$C$91,MATCH(TRIM(INDEX(Datos_Origen!$C$2:$C$2459,$Z2381)),Parametros!$B$71:$B$91,0))</f>
        <v>Cuyo</v>
      </c>
      <c r="I2381" s="61" t="str">
        <f aca="false">IF(TRIM($AD2381)="",INDEX(Parametros!$I$20:$I$24,MATCH($H2381,Parametros!$H$20:$H$24,0)),TRIM($AD2381))</f>
        <v>Mendoza</v>
      </c>
      <c r="J2381" s="61" t="str">
        <f aca="false">INDEX(Parametros!$C$95:$C$106,MATCH(TRIM(INDEX(Datos_Origen!$E$2:$E$2459,$Z2381)),Parametros!$B$95:$B$106,0))</f>
        <v>E-commerce</v>
      </c>
      <c r="K2381" s="61" t="str">
        <f aca="false">INDEX(Parametros!$C$48:$C$67,MATCH(TRIM(INDEX(Datos_Origen!$F$2:$F$2459,$Z2381)),Parametros!$B$48:$B$67,0))</f>
        <v>Almacenamiento</v>
      </c>
      <c r="L2381" s="61" t="str">
        <f aca="false">$K2381&amp;" "&amp;$C2381</f>
        <v>Almacenamiento 2025</v>
      </c>
      <c r="M2381" s="61" t="str">
        <f aca="false">TRIM(INDEX(Datos_Origen!$G$2:$G$2459,$Z2381))</f>
        <v>Pendrive 256GB</v>
      </c>
      <c r="N2381" s="61" t="str">
        <f aca="false">$M2381&amp;" "&amp;$C2381</f>
        <v>Pendrive 256GB 2025</v>
      </c>
      <c r="O2381" s="63" t="n">
        <f aca="false">IF(ISTEXT($AC2381),VALUE($AC2381),$AC2381)</f>
        <v>15</v>
      </c>
      <c r="P2381" s="64" t="n">
        <f aca="false">INDEX(Datos_Origen!$I$2:$I$2459,$Z2381)</f>
        <v>35.14</v>
      </c>
      <c r="Q2381" s="64" t="n">
        <f aca="false">INDEX(Datos_Origen!$J$2:$J$2459,$Z2381)</f>
        <v>18.39</v>
      </c>
      <c r="R2381" s="65" t="n">
        <f aca="false">ROUND($O2381*$P2381,2)</f>
        <v>527.1</v>
      </c>
      <c r="S2381" s="65" t="n">
        <f aca="false">ROUND($O2381*$Q2381,2)</f>
        <v>275.85</v>
      </c>
      <c r="T2381" s="65" t="n">
        <f aca="false">ROUND($R2381*SUMIFS(Parametros!$E$28:$E$43,Parametros!$B$28:$B$43,$J2381,Parametros!$C$28:$C$43,$C2381,Parametros!$D$28:$D$43,$D2381),2)</f>
        <v>27.41</v>
      </c>
      <c r="U2381" s="65" t="n">
        <f aca="false">$R2381-$S2381-$T2381</f>
        <v>223.84</v>
      </c>
      <c r="V2381" s="66" t="n">
        <f aca="false">IFERROR($U2381/$R2381,0)</f>
        <v>0.424663251754885</v>
      </c>
      <c r="W2381" s="67" t="str">
        <f aca="false">IF(AND($V2381&gt;=Parametros!$C$8,$R2381&gt;=Parametros!$C$12),"Alta rentabilidad",IF(OR($V2381&lt;Parametros!$C$11,$R2381&lt;Parametros!$C$13),"Revisar","Estandar"))</f>
        <v>Estandar</v>
      </c>
      <c r="X2381" s="67" t="str">
        <f aca="false">IF(AND($J2381="E-commerce",IFERROR($T2381/$R2381,0)&gt;Parametros!$C$14),"Alerta","OK")</f>
        <v>Alerta</v>
      </c>
      <c r="Y2381" s="61" t="str">
        <f aca="false">IF($R2381&gt;=Parametros!$C$12,"Alto",IF($R2381&lt;Parametros!$C$13,"Bajo","Medio"))</f>
        <v>Medio</v>
      </c>
      <c r="Z2381" s="61" t="n">
        <v>76</v>
      </c>
      <c r="AA2381" s="61" t="str">
        <f aca="false">IF(MATCH($A2381,Datos_Origen!$A$2:$A$2459,0)=$Z2381,"OK","REVISAR")</f>
        <v>OK</v>
      </c>
      <c r="AB2381" s="61" t="str">
        <f aca="false">INDEX(Datos_Origen!$B$2:$B$2459,$Z2381)</f>
        <v>02/12/2025</v>
      </c>
      <c r="AC2381" s="61" t="n">
        <f aca="false">INDEX(Datos_Origen!$H$2:$H$2459,$Z2381)</f>
        <v>15</v>
      </c>
      <c r="AD2381" s="61" t="str">
        <f aca="false">INDEX(Datos_Origen!$D$2:$D$2459,$Z2381)&amp;""</f>
        <v>Mendoza</v>
      </c>
    </row>
    <row r="2382" customFormat="false" ht="15" hidden="false" customHeight="false" outlineLevel="0" collapsed="false">
      <c r="A2382" s="61" t="n">
        <f aca="false">INDEX(Datos_Origen!$A$2:$A$2459,$Z2382)</f>
        <v>2381</v>
      </c>
      <c r="B2382" s="62" t="n">
        <f aca="false">IF(ISNUMBER($AB2382),$AB2382,IF(MID($AB2382,5,1)="-",DATE(VALUE(LEFT($AB2382,4)),VALUE(MID($AB2382,6,2)),VALUE(RIGHT($AB2382,2))),DATE(VALUE(RIGHT($AB2382,4)),VALUE(MID($AB2382,4,2)),VALUE(LEFT($AB2382,2)))))</f>
        <v>46000</v>
      </c>
      <c r="C2382" s="61" t="n">
        <f aca="false">YEAR($B2382)</f>
        <v>2025</v>
      </c>
      <c r="D2382" s="61" t="str">
        <f aca="false">"Q"&amp;ROUNDUP(MONTH($B2382)/3,0)</f>
        <v>Q4</v>
      </c>
      <c r="E2382" s="61" t="n">
        <f aca="false">MONTH($B2382)</f>
        <v>12</v>
      </c>
      <c r="F2382" s="61" t="str">
        <f aca="false">INDEX(Parametros!$I$5:$I$16,$E2382)</f>
        <v>Dic</v>
      </c>
      <c r="G2382" s="61" t="str">
        <f aca="false">TEXT($C2382,"0000")&amp;"-"&amp;TEXT($E2382,"00")</f>
        <v>2025-12</v>
      </c>
      <c r="H2382" s="61" t="str">
        <f aca="false">INDEX(Parametros!$C$71:$C$91,MATCH(TRIM(INDEX(Datos_Origen!$C$2:$C$2459,$Z2382)),Parametros!$B$71:$B$91,0))</f>
        <v>NOA</v>
      </c>
      <c r="I2382" s="61" t="str">
        <f aca="false">IF(TRIM($AD2382)="",INDEX(Parametros!$I$20:$I$24,MATCH($H2382,Parametros!$H$20:$H$24,0)),TRIM($AD2382))</f>
        <v>Tucuman</v>
      </c>
      <c r="J2382" s="61" t="str">
        <f aca="false">INDEX(Parametros!$C$95:$C$106,MATCH(TRIM(INDEX(Datos_Origen!$E$2:$E$2459,$Z2382)),Parametros!$B$95:$B$106,0))</f>
        <v>Tienda fisica</v>
      </c>
      <c r="K2382" s="61" t="str">
        <f aca="false">INDEX(Parametros!$C$48:$C$67,MATCH(TRIM(INDEX(Datos_Origen!$F$2:$F$2459,$Z2382)),Parametros!$B$48:$B$67,0))</f>
        <v>Computacion</v>
      </c>
      <c r="L2382" s="61" t="str">
        <f aca="false">$K2382&amp;" "&amp;$C2382</f>
        <v>Computacion 2025</v>
      </c>
      <c r="M2382" s="61" t="str">
        <f aca="false">TRIM(INDEX(Datos_Origen!$G$2:$G$2459,$Z2382))</f>
        <v>Laptop Pro 15</v>
      </c>
      <c r="N2382" s="61" t="str">
        <f aca="false">$M2382&amp;" "&amp;$C2382</f>
        <v>Laptop Pro 15 2025</v>
      </c>
      <c r="O2382" s="63" t="n">
        <f aca="false">IF(ISTEXT($AC2382),VALUE($AC2382),$AC2382)</f>
        <v>8</v>
      </c>
      <c r="P2382" s="64" t="n">
        <f aca="false">INDEX(Datos_Origen!$I$2:$I$2459,$Z2382)</f>
        <v>1204.74</v>
      </c>
      <c r="Q2382" s="64" t="n">
        <f aca="false">INDEX(Datos_Origen!$J$2:$J$2459,$Z2382)</f>
        <v>766.32</v>
      </c>
      <c r="R2382" s="65" t="n">
        <f aca="false">ROUND($O2382*$P2382,2)</f>
        <v>9637.92</v>
      </c>
      <c r="S2382" s="65" t="n">
        <f aca="false">ROUND($O2382*$Q2382,2)</f>
        <v>6130.56</v>
      </c>
      <c r="T2382" s="65" t="n">
        <f aca="false">ROUND($R2382*SUMIFS(Parametros!$E$28:$E$43,Parametros!$B$28:$B$43,$J2382,Parametros!$C$28:$C$43,$C2382,Parametros!$D$28:$D$43,$D2382),2)</f>
        <v>125.29</v>
      </c>
      <c r="U2382" s="65" t="n">
        <f aca="false">$R2382-$S2382-$T2382</f>
        <v>3382.07</v>
      </c>
      <c r="V2382" s="66" t="n">
        <f aca="false">IFERROR($U2382/$R2382,0)</f>
        <v>0.350912852565699</v>
      </c>
      <c r="W2382" s="67" t="str">
        <f aca="false">IF(AND($V2382&gt;=Parametros!$C$8,$R2382&gt;=Parametros!$C$12),"Alta rentabilidad",IF(OR($V2382&lt;Parametros!$C$11,$R2382&lt;Parametros!$C$13),"Revisar","Estandar"))</f>
        <v>Alta rentabilidad</v>
      </c>
      <c r="X2382" s="67" t="str">
        <f aca="false">IF(AND($J2382="E-commerce",IFERROR($T2382/$R2382,0)&gt;Parametros!$C$14),"Alerta","OK")</f>
        <v>OK</v>
      </c>
      <c r="Y2382" s="61" t="str">
        <f aca="false">IF($R2382&gt;=Parametros!$C$12,"Alto",IF($R2382&lt;Parametros!$C$13,"Bajo","Medio"))</f>
        <v>Alto</v>
      </c>
      <c r="Z2382" s="61" t="n">
        <v>368</v>
      </c>
      <c r="AA2382" s="61" t="str">
        <f aca="false">IF(MATCH($A2382,Datos_Origen!$A$2:$A$2459,0)=$Z2382,"OK","REVISAR")</f>
        <v>OK</v>
      </c>
      <c r="AB2382" s="61" t="str">
        <f aca="false">INDEX(Datos_Origen!$B$2:$B$2459,$Z2382)</f>
        <v>09/12/2025</v>
      </c>
      <c r="AC2382" s="61" t="n">
        <f aca="false">INDEX(Datos_Origen!$H$2:$H$2459,$Z2382)</f>
        <v>8</v>
      </c>
      <c r="AD2382" s="61" t="str">
        <f aca="false">INDEX(Datos_Origen!$D$2:$D$2459,$Z2382)&amp;""</f>
        <v>Tucuman</v>
      </c>
    </row>
    <row r="2383" customFormat="false" ht="15" hidden="false" customHeight="false" outlineLevel="0" collapsed="false">
      <c r="A2383" s="61" t="n">
        <f aca="false">INDEX(Datos_Origen!$A$2:$A$2459,$Z2383)</f>
        <v>2382</v>
      </c>
      <c r="B2383" s="62" t="n">
        <f aca="false">IF(ISNUMBER($AB2383),$AB2383,IF(MID($AB2383,5,1)="-",DATE(VALUE(LEFT($AB2383,4)),VALUE(MID($AB2383,6,2)),VALUE(RIGHT($AB2383,2))),DATE(VALUE(RIGHT($AB2383,4)),VALUE(MID($AB2383,4,2)),VALUE(LEFT($AB2383,2)))))</f>
        <v>46007</v>
      </c>
      <c r="C2383" s="61" t="n">
        <f aca="false">YEAR($B2383)</f>
        <v>2025</v>
      </c>
      <c r="D2383" s="61" t="str">
        <f aca="false">"Q"&amp;ROUNDUP(MONTH($B2383)/3,0)</f>
        <v>Q4</v>
      </c>
      <c r="E2383" s="61" t="n">
        <f aca="false">MONTH($B2383)</f>
        <v>12</v>
      </c>
      <c r="F2383" s="61" t="str">
        <f aca="false">INDEX(Parametros!$I$5:$I$16,$E2383)</f>
        <v>Dic</v>
      </c>
      <c r="G2383" s="61" t="str">
        <f aca="false">TEXT($C2383,"0000")&amp;"-"&amp;TEXT($E2383,"00")</f>
        <v>2025-12</v>
      </c>
      <c r="H2383" s="61" t="str">
        <f aca="false">INDEX(Parametros!$C$71:$C$91,MATCH(TRIM(INDEX(Datos_Origen!$C$2:$C$2459,$Z2383)),Parametros!$B$71:$B$91,0))</f>
        <v>NOA</v>
      </c>
      <c r="I2383" s="61" t="str">
        <f aca="false">IF(TRIM($AD2383)="",INDEX(Parametros!$I$20:$I$24,MATCH($H2383,Parametros!$H$20:$H$24,0)),TRIM($AD2383))</f>
        <v>Tucuman</v>
      </c>
      <c r="J2383" s="61" t="str">
        <f aca="false">INDEX(Parametros!$C$95:$C$106,MATCH(TRIM(INDEX(Datos_Origen!$E$2:$E$2459,$Z2383)),Parametros!$B$95:$B$106,0))</f>
        <v>E-commerce</v>
      </c>
      <c r="K2383" s="61" t="str">
        <f aca="false">INDEX(Parametros!$C$48:$C$67,MATCH(TRIM(INDEX(Datos_Origen!$F$2:$F$2459,$Z2383)),Parametros!$B$48:$B$67,0))</f>
        <v>Computacion</v>
      </c>
      <c r="L2383" s="61" t="str">
        <f aca="false">$K2383&amp;" "&amp;$C2383</f>
        <v>Computacion 2025</v>
      </c>
      <c r="M2383" s="61" t="str">
        <f aca="false">TRIM(INDEX(Datos_Origen!$G$2:$G$2459,$Z2383))</f>
        <v>Laptop Pro 15</v>
      </c>
      <c r="N2383" s="61" t="str">
        <f aca="false">$M2383&amp;" "&amp;$C2383</f>
        <v>Laptop Pro 15 2025</v>
      </c>
      <c r="O2383" s="63" t="n">
        <f aca="false">IF(ISTEXT($AC2383),VALUE($AC2383),$AC2383)</f>
        <v>7</v>
      </c>
      <c r="P2383" s="64" t="n">
        <f aca="false">INDEX(Datos_Origen!$I$2:$I$2459,$Z2383)</f>
        <v>1204.74</v>
      </c>
      <c r="Q2383" s="64" t="n">
        <f aca="false">INDEX(Datos_Origen!$J$2:$J$2459,$Z2383)</f>
        <v>766.32</v>
      </c>
      <c r="R2383" s="65" t="n">
        <f aca="false">ROUND($O2383*$P2383,2)</f>
        <v>8433.18</v>
      </c>
      <c r="S2383" s="65" t="n">
        <f aca="false">ROUND($O2383*$Q2383,2)</f>
        <v>5364.24</v>
      </c>
      <c r="T2383" s="65" t="n">
        <f aca="false">ROUND($R2383*SUMIFS(Parametros!$E$28:$E$43,Parametros!$B$28:$B$43,$J2383,Parametros!$C$28:$C$43,$C2383,Parametros!$D$28:$D$43,$D2383),2)</f>
        <v>438.53</v>
      </c>
      <c r="U2383" s="65" t="n">
        <f aca="false">$R2383-$S2383-$T2383</f>
        <v>2630.41</v>
      </c>
      <c r="V2383" s="66" t="n">
        <f aca="false">IFERROR($U2383/$R2383,0)</f>
        <v>0.311911995237858</v>
      </c>
      <c r="W2383" s="67" t="str">
        <f aca="false">IF(AND($V2383&gt;=Parametros!$C$8,$R2383&gt;=Parametros!$C$12),"Alta rentabilidad",IF(OR($V2383&lt;Parametros!$C$11,$R2383&lt;Parametros!$C$13),"Revisar","Estandar"))</f>
        <v>Estandar</v>
      </c>
      <c r="X2383" s="67" t="str">
        <f aca="false">IF(AND($J2383="E-commerce",IFERROR($T2383/$R2383,0)&gt;Parametros!$C$14),"Alerta","OK")</f>
        <v>Alerta</v>
      </c>
      <c r="Y2383" s="61" t="str">
        <f aca="false">IF($R2383&gt;=Parametros!$C$12,"Alto",IF($R2383&lt;Parametros!$C$13,"Bajo","Medio"))</f>
        <v>Alto</v>
      </c>
      <c r="Z2383" s="61" t="n">
        <v>498</v>
      </c>
      <c r="AA2383" s="61" t="str">
        <f aca="false">IF(MATCH($A2383,Datos_Origen!$A$2:$A$2459,0)=$Z2383,"OK","REVISAR")</f>
        <v>OK</v>
      </c>
      <c r="AB2383" s="62" t="n">
        <f aca="false">INDEX(Datos_Origen!$B$2:$B$2459,$Z2383)</f>
        <v>46007</v>
      </c>
      <c r="AC2383" s="61" t="n">
        <f aca="false">INDEX(Datos_Origen!$H$2:$H$2459,$Z2383)</f>
        <v>7</v>
      </c>
      <c r="AD2383" s="61" t="str">
        <f aca="false">INDEX(Datos_Origen!$D$2:$D$2459,$Z2383)&amp;""</f>
        <v>Tucuman</v>
      </c>
    </row>
    <row r="2384" customFormat="false" ht="15" hidden="false" customHeight="false" outlineLevel="0" collapsed="false">
      <c r="A2384" s="61" t="n">
        <f aca="false">INDEX(Datos_Origen!$A$2:$A$2459,$Z2384)</f>
        <v>2383</v>
      </c>
      <c r="B2384" s="62" t="n">
        <f aca="false">IF(ISNUMBER($AB2384),$AB2384,IF(MID($AB2384,5,1)="-",DATE(VALUE(LEFT($AB2384,4)),VALUE(MID($AB2384,6,2)),VALUE(RIGHT($AB2384,2))),DATE(VALUE(RIGHT($AB2384,4)),VALUE(MID($AB2384,4,2)),VALUE(LEFT($AB2384,2)))))</f>
        <v>46014</v>
      </c>
      <c r="C2384" s="61" t="n">
        <f aca="false">YEAR($B2384)</f>
        <v>2025</v>
      </c>
      <c r="D2384" s="61" t="str">
        <f aca="false">"Q"&amp;ROUNDUP(MONTH($B2384)/3,0)</f>
        <v>Q4</v>
      </c>
      <c r="E2384" s="61" t="n">
        <f aca="false">MONTH($B2384)</f>
        <v>12</v>
      </c>
      <c r="F2384" s="61" t="str">
        <f aca="false">INDEX(Parametros!$I$5:$I$16,$E2384)</f>
        <v>Dic</v>
      </c>
      <c r="G2384" s="61" t="str">
        <f aca="false">TEXT($C2384,"0000")&amp;"-"&amp;TEXT($E2384,"00")</f>
        <v>2025-12</v>
      </c>
      <c r="H2384" s="61" t="str">
        <f aca="false">INDEX(Parametros!$C$71:$C$91,MATCH(TRIM(INDEX(Datos_Origen!$C$2:$C$2459,$Z2384)),Parametros!$B$71:$B$91,0))</f>
        <v>NOA</v>
      </c>
      <c r="I2384" s="61" t="str">
        <f aca="false">IF(TRIM($AD2384)="",INDEX(Parametros!$I$20:$I$24,MATCH($H2384,Parametros!$H$20:$H$24,0)),TRIM($AD2384))</f>
        <v>Tucuman</v>
      </c>
      <c r="J2384" s="61" t="str">
        <f aca="false">INDEX(Parametros!$C$95:$C$106,MATCH(TRIM(INDEX(Datos_Origen!$E$2:$E$2459,$Z2384)),Parametros!$B$95:$B$106,0))</f>
        <v>Tienda fisica</v>
      </c>
      <c r="K2384" s="61" t="str">
        <f aca="false">INDEX(Parametros!$C$48:$C$67,MATCH(TRIM(INDEX(Datos_Origen!$F$2:$F$2459,$Z2384)),Parametros!$B$48:$B$67,0))</f>
        <v>Computacion</v>
      </c>
      <c r="L2384" s="61" t="str">
        <f aca="false">$K2384&amp;" "&amp;$C2384</f>
        <v>Computacion 2025</v>
      </c>
      <c r="M2384" s="61" t="str">
        <f aca="false">TRIM(INDEX(Datos_Origen!$G$2:$G$2459,$Z2384))</f>
        <v>Monitor 4K 27</v>
      </c>
      <c r="N2384" s="61" t="str">
        <f aca="false">$M2384&amp;" "&amp;$C2384</f>
        <v>Monitor 4K 27 2025</v>
      </c>
      <c r="O2384" s="63" t="n">
        <f aca="false">IF(ISTEXT($AC2384),VALUE($AC2384),$AC2384)</f>
        <v>10</v>
      </c>
      <c r="P2384" s="64" t="n">
        <f aca="false">INDEX(Datos_Origen!$I$2:$I$2459,$Z2384)</f>
        <v>451.78</v>
      </c>
      <c r="Q2384" s="64" t="n">
        <f aca="false">INDEX(Datos_Origen!$J$2:$J$2459,$Z2384)</f>
        <v>280.42</v>
      </c>
      <c r="R2384" s="65" t="n">
        <f aca="false">ROUND($O2384*$P2384,2)</f>
        <v>4517.8</v>
      </c>
      <c r="S2384" s="65" t="n">
        <f aca="false">ROUND($O2384*$Q2384,2)</f>
        <v>2804.2</v>
      </c>
      <c r="T2384" s="65" t="n">
        <f aca="false">ROUND($R2384*SUMIFS(Parametros!$E$28:$E$43,Parametros!$B$28:$B$43,$J2384,Parametros!$C$28:$C$43,$C2384,Parametros!$D$28:$D$43,$D2384),2)</f>
        <v>58.73</v>
      </c>
      <c r="U2384" s="65" t="n">
        <f aca="false">$R2384-$S2384-$T2384</f>
        <v>1654.87</v>
      </c>
      <c r="V2384" s="66" t="n">
        <f aca="false">IFERROR($U2384/$R2384,0)</f>
        <v>0.366299969011466</v>
      </c>
      <c r="W2384" s="67" t="str">
        <f aca="false">IF(AND($V2384&gt;=Parametros!$C$8,$R2384&gt;=Parametros!$C$12),"Alta rentabilidad",IF(OR($V2384&lt;Parametros!$C$11,$R2384&lt;Parametros!$C$13),"Revisar","Estandar"))</f>
        <v>Alta rentabilidad</v>
      </c>
      <c r="X2384" s="67" t="str">
        <f aca="false">IF(AND($J2384="E-commerce",IFERROR($T2384/$R2384,0)&gt;Parametros!$C$14),"Alerta","OK")</f>
        <v>OK</v>
      </c>
      <c r="Y2384" s="61" t="str">
        <f aca="false">IF($R2384&gt;=Parametros!$C$12,"Alto",IF($R2384&lt;Parametros!$C$13,"Bajo","Medio"))</f>
        <v>Alto</v>
      </c>
      <c r="Z2384" s="61" t="n">
        <v>1342</v>
      </c>
      <c r="AA2384" s="61" t="str">
        <f aca="false">IF(MATCH($A2384,Datos_Origen!$A$2:$A$2459,0)=$Z2384,"OK","REVISAR")</f>
        <v>OK</v>
      </c>
      <c r="AB2384" s="62" t="n">
        <f aca="false">INDEX(Datos_Origen!$B$2:$B$2459,$Z2384)</f>
        <v>46014</v>
      </c>
      <c r="AC2384" s="61" t="n">
        <f aca="false">INDEX(Datos_Origen!$H$2:$H$2459,$Z2384)</f>
        <v>10</v>
      </c>
      <c r="AD2384" s="61" t="str">
        <f aca="false">INDEX(Datos_Origen!$D$2:$D$2459,$Z2384)&amp;""</f>
        <v>Tucuman</v>
      </c>
    </row>
    <row r="2385" customFormat="false" ht="15" hidden="false" customHeight="false" outlineLevel="0" collapsed="false">
      <c r="A2385" s="61" t="n">
        <f aca="false">INDEX(Datos_Origen!$A$2:$A$2459,$Z2385)</f>
        <v>2384</v>
      </c>
      <c r="B2385" s="62" t="n">
        <f aca="false">IF(ISNUMBER($AB2385),$AB2385,IF(MID($AB2385,5,1)="-",DATE(VALUE(LEFT($AB2385,4)),VALUE(MID($AB2385,6,2)),VALUE(RIGHT($AB2385,2))),DATE(VALUE(RIGHT($AB2385,4)),VALUE(MID($AB2385,4,2)),VALUE(LEFT($AB2385,2)))))</f>
        <v>45994</v>
      </c>
      <c r="C2385" s="61" t="n">
        <f aca="false">YEAR($B2385)</f>
        <v>2025</v>
      </c>
      <c r="D2385" s="61" t="str">
        <f aca="false">"Q"&amp;ROUNDUP(MONTH($B2385)/3,0)</f>
        <v>Q4</v>
      </c>
      <c r="E2385" s="61" t="n">
        <f aca="false">MONTH($B2385)</f>
        <v>12</v>
      </c>
      <c r="F2385" s="61" t="str">
        <f aca="false">INDEX(Parametros!$I$5:$I$16,$E2385)</f>
        <v>Dic</v>
      </c>
      <c r="G2385" s="61" t="str">
        <f aca="false">TEXT($C2385,"0000")&amp;"-"&amp;TEXT($E2385,"00")</f>
        <v>2025-12</v>
      </c>
      <c r="H2385" s="61" t="str">
        <f aca="false">INDEX(Parametros!$C$71:$C$91,MATCH(TRIM(INDEX(Datos_Origen!$C$2:$C$2459,$Z2385)),Parametros!$B$71:$B$91,0))</f>
        <v>NOA</v>
      </c>
      <c r="I2385" s="61" t="str">
        <f aca="false">IF(TRIM($AD2385)="",INDEX(Parametros!$I$20:$I$24,MATCH($H2385,Parametros!$H$20:$H$24,0)),TRIM($AD2385))</f>
        <v>Tucuman</v>
      </c>
      <c r="J2385" s="61" t="str">
        <f aca="false">INDEX(Parametros!$C$95:$C$106,MATCH(TRIM(INDEX(Datos_Origen!$E$2:$E$2459,$Z2385)),Parametros!$B$95:$B$106,0))</f>
        <v>E-commerce</v>
      </c>
      <c r="K2385" s="61" t="str">
        <f aca="false">INDEX(Parametros!$C$48:$C$67,MATCH(TRIM(INDEX(Datos_Origen!$F$2:$F$2459,$Z2385)),Parametros!$B$48:$B$67,0))</f>
        <v>Computacion</v>
      </c>
      <c r="L2385" s="61" t="str">
        <f aca="false">$K2385&amp;" "&amp;$C2385</f>
        <v>Computacion 2025</v>
      </c>
      <c r="M2385" s="61" t="str">
        <f aca="false">TRIM(INDEX(Datos_Origen!$G$2:$G$2459,$Z2385))</f>
        <v>Monitor 4K 27</v>
      </c>
      <c r="N2385" s="61" t="str">
        <f aca="false">$M2385&amp;" "&amp;$C2385</f>
        <v>Monitor 4K 27 2025</v>
      </c>
      <c r="O2385" s="63" t="n">
        <f aca="false">IF(ISTEXT($AC2385),VALUE($AC2385),$AC2385)</f>
        <v>6</v>
      </c>
      <c r="P2385" s="64" t="n">
        <f aca="false">INDEX(Datos_Origen!$I$2:$I$2459,$Z2385)</f>
        <v>451.78</v>
      </c>
      <c r="Q2385" s="64" t="n">
        <f aca="false">INDEX(Datos_Origen!$J$2:$J$2459,$Z2385)</f>
        <v>280.42</v>
      </c>
      <c r="R2385" s="65" t="n">
        <f aca="false">ROUND($O2385*$P2385,2)</f>
        <v>2710.68</v>
      </c>
      <c r="S2385" s="65" t="n">
        <f aca="false">ROUND($O2385*$Q2385,2)</f>
        <v>1682.52</v>
      </c>
      <c r="T2385" s="65" t="n">
        <f aca="false">ROUND($R2385*SUMIFS(Parametros!$E$28:$E$43,Parametros!$B$28:$B$43,$J2385,Parametros!$C$28:$C$43,$C2385,Parametros!$D$28:$D$43,$D2385),2)</f>
        <v>140.96</v>
      </c>
      <c r="U2385" s="65" t="n">
        <f aca="false">$R2385-$S2385-$T2385</f>
        <v>887.2</v>
      </c>
      <c r="V2385" s="66" t="n">
        <f aca="false">IFERROR($U2385/$R2385,0)</f>
        <v>0.327297947378518</v>
      </c>
      <c r="W2385" s="67" t="str">
        <f aca="false">IF(AND($V2385&gt;=Parametros!$C$8,$R2385&gt;=Parametros!$C$12),"Alta rentabilidad",IF(OR($V2385&lt;Parametros!$C$11,$R2385&lt;Parametros!$C$13),"Revisar","Estandar"))</f>
        <v>Estandar</v>
      </c>
      <c r="X2385" s="67" t="str">
        <f aca="false">IF(AND($J2385="E-commerce",IFERROR($T2385/$R2385,0)&gt;Parametros!$C$14),"Alerta","OK")</f>
        <v>Alerta</v>
      </c>
      <c r="Y2385" s="61" t="str">
        <f aca="false">IF($R2385&gt;=Parametros!$C$12,"Alto",IF($R2385&lt;Parametros!$C$13,"Bajo","Medio"))</f>
        <v>Medio</v>
      </c>
      <c r="Z2385" s="61" t="n">
        <v>1423</v>
      </c>
      <c r="AA2385" s="61" t="str">
        <f aca="false">IF(MATCH($A2385,Datos_Origen!$A$2:$A$2459,0)=$Z2385,"OK","REVISAR")</f>
        <v>OK</v>
      </c>
      <c r="AB2385" s="61" t="str">
        <f aca="false">INDEX(Datos_Origen!$B$2:$B$2459,$Z2385)</f>
        <v>03/12/2025</v>
      </c>
      <c r="AC2385" s="61" t="n">
        <f aca="false">INDEX(Datos_Origen!$H$2:$H$2459,$Z2385)</f>
        <v>6</v>
      </c>
      <c r="AD2385" s="61" t="str">
        <f aca="false">INDEX(Datos_Origen!$D$2:$D$2459,$Z2385)&amp;""</f>
        <v>Tucuman</v>
      </c>
    </row>
    <row r="2386" customFormat="false" ht="15" hidden="false" customHeight="false" outlineLevel="0" collapsed="false">
      <c r="A2386" s="61" t="n">
        <f aca="false">INDEX(Datos_Origen!$A$2:$A$2459,$Z2386)</f>
        <v>2385</v>
      </c>
      <c r="B2386" s="62" t="n">
        <f aca="false">IF(ISNUMBER($AB2386),$AB2386,IF(MID($AB2386,5,1)="-",DATE(VALUE(LEFT($AB2386,4)),VALUE(MID($AB2386,6,2)),VALUE(RIGHT($AB2386,2))),DATE(VALUE(RIGHT($AB2386,4)),VALUE(MID($AB2386,4,2)),VALUE(LEFT($AB2386,2)))))</f>
        <v>46001</v>
      </c>
      <c r="C2386" s="61" t="n">
        <f aca="false">YEAR($B2386)</f>
        <v>2025</v>
      </c>
      <c r="D2386" s="61" t="str">
        <f aca="false">"Q"&amp;ROUNDUP(MONTH($B2386)/3,0)</f>
        <v>Q4</v>
      </c>
      <c r="E2386" s="61" t="n">
        <f aca="false">MONTH($B2386)</f>
        <v>12</v>
      </c>
      <c r="F2386" s="61" t="str">
        <f aca="false">INDEX(Parametros!$I$5:$I$16,$E2386)</f>
        <v>Dic</v>
      </c>
      <c r="G2386" s="61" t="str">
        <f aca="false">TEXT($C2386,"0000")&amp;"-"&amp;TEXT($E2386,"00")</f>
        <v>2025-12</v>
      </c>
      <c r="H2386" s="61" t="str">
        <f aca="false">INDEX(Parametros!$C$71:$C$91,MATCH(TRIM(INDEX(Datos_Origen!$C$2:$C$2459,$Z2386)),Parametros!$B$71:$B$91,0))</f>
        <v>NOA</v>
      </c>
      <c r="I2386" s="61" t="str">
        <f aca="false">IF(TRIM($AD2386)="",INDEX(Parametros!$I$20:$I$24,MATCH($H2386,Parametros!$H$20:$H$24,0)),TRIM($AD2386))</f>
        <v>Tucuman</v>
      </c>
      <c r="J2386" s="61" t="str">
        <f aca="false">INDEX(Parametros!$C$95:$C$106,MATCH(TRIM(INDEX(Datos_Origen!$E$2:$E$2459,$Z2386)),Parametros!$B$95:$B$106,0))</f>
        <v>Tienda fisica</v>
      </c>
      <c r="K2386" s="61" t="str">
        <f aca="false">INDEX(Parametros!$C$48:$C$67,MATCH(TRIM(INDEX(Datos_Origen!$F$2:$F$2459,$Z2386)),Parametros!$B$48:$B$67,0))</f>
        <v>Computacion</v>
      </c>
      <c r="L2386" s="61" t="str">
        <f aca="false">$K2386&amp;" "&amp;$C2386</f>
        <v>Computacion 2025</v>
      </c>
      <c r="M2386" s="61" t="str">
        <f aca="false">TRIM(INDEX(Datos_Origen!$G$2:$G$2459,$Z2386))</f>
        <v>PC Gamer Ryzen</v>
      </c>
      <c r="N2386" s="61" t="str">
        <f aca="false">$M2386&amp;" "&amp;$C2386</f>
        <v>PC Gamer Ryzen 2025</v>
      </c>
      <c r="O2386" s="63" t="n">
        <f aca="false">IF(ISTEXT($AC2386),VALUE($AC2386),$AC2386)</f>
        <v>9</v>
      </c>
      <c r="P2386" s="64" t="n">
        <f aca="false">INDEX(Datos_Origen!$I$2:$I$2459,$Z2386)</f>
        <v>1656.52</v>
      </c>
      <c r="Q2386" s="64" t="n">
        <f aca="false">INDEX(Datos_Origen!$J$2:$J$2459,$Z2386)</f>
        <v>1155.66</v>
      </c>
      <c r="R2386" s="65" t="n">
        <f aca="false">ROUND($O2386*$P2386,2)</f>
        <v>14908.68</v>
      </c>
      <c r="S2386" s="65" t="n">
        <f aca="false">ROUND($O2386*$Q2386,2)</f>
        <v>10400.94</v>
      </c>
      <c r="T2386" s="65" t="n">
        <f aca="false">ROUND($R2386*SUMIFS(Parametros!$E$28:$E$43,Parametros!$B$28:$B$43,$J2386,Parametros!$C$28:$C$43,$C2386,Parametros!$D$28:$D$43,$D2386),2)</f>
        <v>193.81</v>
      </c>
      <c r="U2386" s="65" t="n">
        <f aca="false">$R2386-$S2386-$T2386</f>
        <v>4313.93</v>
      </c>
      <c r="V2386" s="66" t="n">
        <f aca="false">IFERROR($U2386/$R2386,0)</f>
        <v>0.289356938374155</v>
      </c>
      <c r="W2386" s="67" t="str">
        <f aca="false">IF(AND($V2386&gt;=Parametros!$C$8,$R2386&gt;=Parametros!$C$12),"Alta rentabilidad",IF(OR($V2386&lt;Parametros!$C$11,$R2386&lt;Parametros!$C$13),"Revisar","Estandar"))</f>
        <v>Estandar</v>
      </c>
      <c r="X2386" s="67" t="str">
        <f aca="false">IF(AND($J2386="E-commerce",IFERROR($T2386/$R2386,0)&gt;Parametros!$C$14),"Alerta","OK")</f>
        <v>OK</v>
      </c>
      <c r="Y2386" s="61" t="str">
        <f aca="false">IF($R2386&gt;=Parametros!$C$12,"Alto",IF($R2386&lt;Parametros!$C$13,"Bajo","Medio"))</f>
        <v>Alto</v>
      </c>
      <c r="Z2386" s="61" t="n">
        <v>2326</v>
      </c>
      <c r="AA2386" s="61" t="str">
        <f aca="false">IF(MATCH($A2386,Datos_Origen!$A$2:$A$2459,0)=$Z2386,"OK","REVISAR")</f>
        <v>OK</v>
      </c>
      <c r="AB2386" s="61" t="str">
        <f aca="false">INDEX(Datos_Origen!$B$2:$B$2459,$Z2386)</f>
        <v>10/12/2025</v>
      </c>
      <c r="AC2386" s="61" t="n">
        <f aca="false">INDEX(Datos_Origen!$H$2:$H$2459,$Z2386)</f>
        <v>9</v>
      </c>
      <c r="AD2386" s="61" t="str">
        <f aca="false">INDEX(Datos_Origen!$D$2:$D$2459,$Z2386)&amp;""</f>
        <v>Tucuman</v>
      </c>
    </row>
    <row r="2387" customFormat="false" ht="15" hidden="false" customHeight="false" outlineLevel="0" collapsed="false">
      <c r="A2387" s="61" t="n">
        <f aca="false">INDEX(Datos_Origen!$A$2:$A$2459,$Z2387)</f>
        <v>2386</v>
      </c>
      <c r="B2387" s="62" t="n">
        <f aca="false">IF(ISNUMBER($AB2387),$AB2387,IF(MID($AB2387,5,1)="-",DATE(VALUE(LEFT($AB2387,4)),VALUE(MID($AB2387,6,2)),VALUE(RIGHT($AB2387,2))),DATE(VALUE(RIGHT($AB2387,4)),VALUE(MID($AB2387,4,2)),VALUE(LEFT($AB2387,2)))))</f>
        <v>46008</v>
      </c>
      <c r="C2387" s="61" t="n">
        <f aca="false">YEAR($B2387)</f>
        <v>2025</v>
      </c>
      <c r="D2387" s="61" t="str">
        <f aca="false">"Q"&amp;ROUNDUP(MONTH($B2387)/3,0)</f>
        <v>Q4</v>
      </c>
      <c r="E2387" s="61" t="n">
        <f aca="false">MONTH($B2387)</f>
        <v>12</v>
      </c>
      <c r="F2387" s="61" t="str">
        <f aca="false">INDEX(Parametros!$I$5:$I$16,$E2387)</f>
        <v>Dic</v>
      </c>
      <c r="G2387" s="61" t="str">
        <f aca="false">TEXT($C2387,"0000")&amp;"-"&amp;TEXT($E2387,"00")</f>
        <v>2025-12</v>
      </c>
      <c r="H2387" s="61" t="str">
        <f aca="false">INDEX(Parametros!$C$71:$C$91,MATCH(TRIM(INDEX(Datos_Origen!$C$2:$C$2459,$Z2387)),Parametros!$B$71:$B$91,0))</f>
        <v>NOA</v>
      </c>
      <c r="I2387" s="61" t="str">
        <f aca="false">IF(TRIM($AD2387)="",INDEX(Parametros!$I$20:$I$24,MATCH($H2387,Parametros!$H$20:$H$24,0)),TRIM($AD2387))</f>
        <v>Tucuman</v>
      </c>
      <c r="J2387" s="61" t="str">
        <f aca="false">INDEX(Parametros!$C$95:$C$106,MATCH(TRIM(INDEX(Datos_Origen!$E$2:$E$2459,$Z2387)),Parametros!$B$95:$B$106,0))</f>
        <v>E-commerce</v>
      </c>
      <c r="K2387" s="61" t="str">
        <f aca="false">INDEX(Parametros!$C$48:$C$67,MATCH(TRIM(INDEX(Datos_Origen!$F$2:$F$2459,$Z2387)),Parametros!$B$48:$B$67,0))</f>
        <v>Computacion</v>
      </c>
      <c r="L2387" s="61" t="str">
        <f aca="false">$K2387&amp;" "&amp;$C2387</f>
        <v>Computacion 2025</v>
      </c>
      <c r="M2387" s="61" t="str">
        <f aca="false">TRIM(INDEX(Datos_Origen!$G$2:$G$2459,$Z2387))</f>
        <v>PC Gamer Ryzen</v>
      </c>
      <c r="N2387" s="61" t="str">
        <f aca="false">$M2387&amp;" "&amp;$C2387</f>
        <v>PC Gamer Ryzen 2025</v>
      </c>
      <c r="O2387" s="63" t="n">
        <f aca="false">IF(ISTEXT($AC2387),VALUE($AC2387),$AC2387)</f>
        <v>6</v>
      </c>
      <c r="P2387" s="64" t="n">
        <f aca="false">INDEX(Datos_Origen!$I$2:$I$2459,$Z2387)</f>
        <v>1656.52</v>
      </c>
      <c r="Q2387" s="64" t="n">
        <f aca="false">INDEX(Datos_Origen!$J$2:$J$2459,$Z2387)</f>
        <v>1155.66</v>
      </c>
      <c r="R2387" s="65" t="n">
        <f aca="false">ROUND($O2387*$P2387,2)</f>
        <v>9939.12</v>
      </c>
      <c r="S2387" s="65" t="n">
        <f aca="false">ROUND($O2387*$Q2387,2)</f>
        <v>6933.96</v>
      </c>
      <c r="T2387" s="65" t="n">
        <f aca="false">ROUND($R2387*SUMIFS(Parametros!$E$28:$E$43,Parametros!$B$28:$B$43,$J2387,Parametros!$C$28:$C$43,$C2387,Parametros!$D$28:$D$43,$D2387),2)</f>
        <v>516.83</v>
      </c>
      <c r="U2387" s="65" t="n">
        <f aca="false">$R2387-$S2387-$T2387</f>
        <v>2488.33</v>
      </c>
      <c r="V2387" s="66" t="n">
        <f aca="false">IFERROR($U2387/$R2387,0)</f>
        <v>0.250357174478224</v>
      </c>
      <c r="W2387" s="67" t="str">
        <f aca="false">IF(AND($V2387&gt;=Parametros!$C$8,$R2387&gt;=Parametros!$C$12),"Alta rentabilidad",IF(OR($V2387&lt;Parametros!$C$11,$R2387&lt;Parametros!$C$13),"Revisar","Estandar"))</f>
        <v>Revisar</v>
      </c>
      <c r="X2387" s="67" t="str">
        <f aca="false">IF(AND($J2387="E-commerce",IFERROR($T2387/$R2387,0)&gt;Parametros!$C$14),"Alerta","OK")</f>
        <v>Alerta</v>
      </c>
      <c r="Y2387" s="61" t="str">
        <f aca="false">IF($R2387&gt;=Parametros!$C$12,"Alto",IF($R2387&lt;Parametros!$C$13,"Bajo","Medio"))</f>
        <v>Alto</v>
      </c>
      <c r="Z2387" s="61" t="n">
        <v>1678</v>
      </c>
      <c r="AA2387" s="61" t="str">
        <f aca="false">IF(MATCH($A2387,Datos_Origen!$A$2:$A$2459,0)=$Z2387,"OK","REVISAR")</f>
        <v>OK</v>
      </c>
      <c r="AB2387" s="62" t="n">
        <f aca="false">INDEX(Datos_Origen!$B$2:$B$2459,$Z2387)</f>
        <v>46008</v>
      </c>
      <c r="AC2387" s="61" t="n">
        <f aca="false">INDEX(Datos_Origen!$H$2:$H$2459,$Z2387)</f>
        <v>6</v>
      </c>
      <c r="AD2387" s="61" t="str">
        <f aca="false">INDEX(Datos_Origen!$D$2:$D$2459,$Z2387)&amp;""</f>
        <v>Tucuman</v>
      </c>
    </row>
    <row r="2388" customFormat="false" ht="15" hidden="false" customHeight="false" outlineLevel="0" collapsed="false">
      <c r="A2388" s="61" t="n">
        <f aca="false">INDEX(Datos_Origen!$A$2:$A$2459,$Z2388)</f>
        <v>2387</v>
      </c>
      <c r="B2388" s="62" t="n">
        <f aca="false">IF(ISNUMBER($AB2388),$AB2388,IF(MID($AB2388,5,1)="-",DATE(VALUE(LEFT($AB2388,4)),VALUE(MID($AB2388,6,2)),VALUE(RIGHT($AB2388,2))),DATE(VALUE(RIGHT($AB2388,4)),VALUE(MID($AB2388,4,2)),VALUE(LEFT($AB2388,2)))))</f>
        <v>46015</v>
      </c>
      <c r="C2388" s="61" t="n">
        <f aca="false">YEAR($B2388)</f>
        <v>2025</v>
      </c>
      <c r="D2388" s="61" t="str">
        <f aca="false">"Q"&amp;ROUNDUP(MONTH($B2388)/3,0)</f>
        <v>Q4</v>
      </c>
      <c r="E2388" s="61" t="n">
        <f aca="false">MONTH($B2388)</f>
        <v>12</v>
      </c>
      <c r="F2388" s="61" t="str">
        <f aca="false">INDEX(Parametros!$I$5:$I$16,$E2388)</f>
        <v>Dic</v>
      </c>
      <c r="G2388" s="61" t="str">
        <f aca="false">TEXT($C2388,"0000")&amp;"-"&amp;TEXT($E2388,"00")</f>
        <v>2025-12</v>
      </c>
      <c r="H2388" s="61" t="str">
        <f aca="false">INDEX(Parametros!$C$71:$C$91,MATCH(TRIM(INDEX(Datos_Origen!$C$2:$C$2459,$Z2388)),Parametros!$B$71:$B$91,0))</f>
        <v>NOA</v>
      </c>
      <c r="I2388" s="61" t="str">
        <f aca="false">IF(TRIM($AD2388)="",INDEX(Parametros!$I$20:$I$24,MATCH($H2388,Parametros!$H$20:$H$24,0)),TRIM($AD2388))</f>
        <v>Tucuman</v>
      </c>
      <c r="J2388" s="61" t="str">
        <f aca="false">INDEX(Parametros!$C$95:$C$106,MATCH(TRIM(INDEX(Datos_Origen!$E$2:$E$2459,$Z2388)),Parametros!$B$95:$B$106,0))</f>
        <v>Tienda fisica</v>
      </c>
      <c r="K2388" s="61" t="str">
        <f aca="false">INDEX(Parametros!$C$48:$C$67,MATCH(TRIM(INDEX(Datos_Origen!$F$2:$F$2459,$Z2388)),Parametros!$B$48:$B$67,0))</f>
        <v>Accesorios</v>
      </c>
      <c r="L2388" s="61" t="str">
        <f aca="false">$K2388&amp;" "&amp;$C2388</f>
        <v>Accesorios 2025</v>
      </c>
      <c r="M2388" s="61" t="str">
        <f aca="false">TRIM(INDEX(Datos_Origen!$G$2:$G$2459,$Z2388))</f>
        <v>Mouse Inalambrico</v>
      </c>
      <c r="N2388" s="61" t="str">
        <f aca="false">$M2388&amp;" "&amp;$C2388</f>
        <v>Mouse Inalambrico 2025</v>
      </c>
      <c r="O2388" s="63" t="n">
        <f aca="false">IF(ISTEXT($AC2388),VALUE($AC2388),$AC2388)</f>
        <v>45</v>
      </c>
      <c r="P2388" s="64" t="n">
        <f aca="false">INDEX(Datos_Origen!$I$2:$I$2459,$Z2388)</f>
        <v>28.11</v>
      </c>
      <c r="Q2388" s="64" t="n">
        <f aca="false">INDEX(Datos_Origen!$J$2:$J$2459,$Z2388)</f>
        <v>13.84</v>
      </c>
      <c r="R2388" s="65" t="n">
        <f aca="false">ROUND($O2388*$P2388,2)</f>
        <v>1264.95</v>
      </c>
      <c r="S2388" s="65" t="n">
        <f aca="false">ROUND($O2388*$Q2388,2)</f>
        <v>622.8</v>
      </c>
      <c r="T2388" s="65" t="n">
        <f aca="false">ROUND($R2388*SUMIFS(Parametros!$E$28:$E$43,Parametros!$B$28:$B$43,$J2388,Parametros!$C$28:$C$43,$C2388,Parametros!$D$28:$D$43,$D2388),2)</f>
        <v>16.44</v>
      </c>
      <c r="U2388" s="65" t="n">
        <f aca="false">$R2388-$S2388-$T2388</f>
        <v>625.71</v>
      </c>
      <c r="V2388" s="66" t="n">
        <f aca="false">IFERROR($U2388/$R2388,0)</f>
        <v>0.494651962528163</v>
      </c>
      <c r="W2388" s="67" t="str">
        <f aca="false">IF(AND($V2388&gt;=Parametros!$C$8,$R2388&gt;=Parametros!$C$12),"Alta rentabilidad",IF(OR($V2388&lt;Parametros!$C$11,$R2388&lt;Parametros!$C$13),"Revisar","Estandar"))</f>
        <v>Estandar</v>
      </c>
      <c r="X2388" s="67" t="str">
        <f aca="false">IF(AND($J2388="E-commerce",IFERROR($T2388/$R2388,0)&gt;Parametros!$C$14),"Alerta","OK")</f>
        <v>OK</v>
      </c>
      <c r="Y2388" s="61" t="str">
        <f aca="false">IF($R2388&gt;=Parametros!$C$12,"Alto",IF($R2388&lt;Parametros!$C$13,"Bajo","Medio"))</f>
        <v>Medio</v>
      </c>
      <c r="Z2388" s="61" t="n">
        <v>2036</v>
      </c>
      <c r="AA2388" s="61" t="str">
        <f aca="false">IF(MATCH($A2388,Datos_Origen!$A$2:$A$2459,0)=$Z2388,"OK","REVISAR")</f>
        <v>OK</v>
      </c>
      <c r="AB2388" s="61" t="str">
        <f aca="false">INDEX(Datos_Origen!$B$2:$B$2459,$Z2388)</f>
        <v>2025-12-24</v>
      </c>
      <c r="AC2388" s="61" t="n">
        <f aca="false">INDEX(Datos_Origen!$H$2:$H$2459,$Z2388)</f>
        <v>45</v>
      </c>
      <c r="AD2388" s="61" t="str">
        <f aca="false">INDEX(Datos_Origen!$D$2:$D$2459,$Z2388)&amp;""</f>
        <v>Tucuman</v>
      </c>
    </row>
    <row r="2389" customFormat="false" ht="15" hidden="false" customHeight="false" outlineLevel="0" collapsed="false">
      <c r="A2389" s="61" t="n">
        <f aca="false">INDEX(Datos_Origen!$A$2:$A$2459,$Z2389)</f>
        <v>2388</v>
      </c>
      <c r="B2389" s="62" t="n">
        <f aca="false">IF(ISNUMBER($AB2389),$AB2389,IF(MID($AB2389,5,1)="-",DATE(VALUE(LEFT($AB2389,4)),VALUE(MID($AB2389,6,2)),VALUE(RIGHT($AB2389,2))),DATE(VALUE(RIGHT($AB2389,4)),VALUE(MID($AB2389,4,2)),VALUE(LEFT($AB2389,2)))))</f>
        <v>45995</v>
      </c>
      <c r="C2389" s="61" t="n">
        <f aca="false">YEAR($B2389)</f>
        <v>2025</v>
      </c>
      <c r="D2389" s="61" t="str">
        <f aca="false">"Q"&amp;ROUNDUP(MONTH($B2389)/3,0)</f>
        <v>Q4</v>
      </c>
      <c r="E2389" s="61" t="n">
        <f aca="false">MONTH($B2389)</f>
        <v>12</v>
      </c>
      <c r="F2389" s="61" t="str">
        <f aca="false">INDEX(Parametros!$I$5:$I$16,$E2389)</f>
        <v>Dic</v>
      </c>
      <c r="G2389" s="61" t="str">
        <f aca="false">TEXT($C2389,"0000")&amp;"-"&amp;TEXT($E2389,"00")</f>
        <v>2025-12</v>
      </c>
      <c r="H2389" s="61" t="str">
        <f aca="false">INDEX(Parametros!$C$71:$C$91,MATCH(TRIM(INDEX(Datos_Origen!$C$2:$C$2459,$Z2389)),Parametros!$B$71:$B$91,0))</f>
        <v>NOA</v>
      </c>
      <c r="I2389" s="61" t="str">
        <f aca="false">IF(TRIM($AD2389)="",INDEX(Parametros!$I$20:$I$24,MATCH($H2389,Parametros!$H$20:$H$24,0)),TRIM($AD2389))</f>
        <v>Tucuman</v>
      </c>
      <c r="J2389" s="61" t="str">
        <f aca="false">INDEX(Parametros!$C$95:$C$106,MATCH(TRIM(INDEX(Datos_Origen!$E$2:$E$2459,$Z2389)),Parametros!$B$95:$B$106,0))</f>
        <v>E-commerce</v>
      </c>
      <c r="K2389" s="61" t="str">
        <f aca="false">INDEX(Parametros!$C$48:$C$67,MATCH(TRIM(INDEX(Datos_Origen!$F$2:$F$2459,$Z2389)),Parametros!$B$48:$B$67,0))</f>
        <v>Accesorios</v>
      </c>
      <c r="L2389" s="61" t="str">
        <f aca="false">$K2389&amp;" "&amp;$C2389</f>
        <v>Accesorios 2025</v>
      </c>
      <c r="M2389" s="61" t="str">
        <f aca="false">TRIM(INDEX(Datos_Origen!$G$2:$G$2459,$Z2389))</f>
        <v>Mouse Inalambrico</v>
      </c>
      <c r="N2389" s="61" t="str">
        <f aca="false">$M2389&amp;" "&amp;$C2389</f>
        <v>Mouse Inalambrico 2025</v>
      </c>
      <c r="O2389" s="63" t="n">
        <f aca="false">IF(ISTEXT($AC2389),VALUE($AC2389),$AC2389)</f>
        <v>31</v>
      </c>
      <c r="P2389" s="64" t="n">
        <f aca="false">INDEX(Datos_Origen!$I$2:$I$2459,$Z2389)</f>
        <v>28.11</v>
      </c>
      <c r="Q2389" s="64" t="n">
        <f aca="false">INDEX(Datos_Origen!$J$2:$J$2459,$Z2389)</f>
        <v>13.84</v>
      </c>
      <c r="R2389" s="65" t="n">
        <f aca="false">ROUND($O2389*$P2389,2)</f>
        <v>871.41</v>
      </c>
      <c r="S2389" s="65" t="n">
        <f aca="false">ROUND($O2389*$Q2389,2)</f>
        <v>429.04</v>
      </c>
      <c r="T2389" s="65" t="n">
        <f aca="false">ROUND($R2389*SUMIFS(Parametros!$E$28:$E$43,Parametros!$B$28:$B$43,$J2389,Parametros!$C$28:$C$43,$C2389,Parametros!$D$28:$D$43,$D2389),2)</f>
        <v>45.31</v>
      </c>
      <c r="U2389" s="65" t="n">
        <f aca="false">$R2389-$S2389-$T2389</f>
        <v>397.06</v>
      </c>
      <c r="V2389" s="66" t="n">
        <f aca="false">IFERROR($U2389/$R2389,0)</f>
        <v>0.455652333574322</v>
      </c>
      <c r="W2389" s="67" t="str">
        <f aca="false">IF(AND($V2389&gt;=Parametros!$C$8,$R2389&gt;=Parametros!$C$12),"Alta rentabilidad",IF(OR($V2389&lt;Parametros!$C$11,$R2389&lt;Parametros!$C$13),"Revisar","Estandar"))</f>
        <v>Estandar</v>
      </c>
      <c r="X2389" s="67" t="str">
        <f aca="false">IF(AND($J2389="E-commerce",IFERROR($T2389/$R2389,0)&gt;Parametros!$C$14),"Alerta","OK")</f>
        <v>Alerta</v>
      </c>
      <c r="Y2389" s="61" t="str">
        <f aca="false">IF($R2389&gt;=Parametros!$C$12,"Alto",IF($R2389&lt;Parametros!$C$13,"Bajo","Medio"))</f>
        <v>Medio</v>
      </c>
      <c r="Z2389" s="61" t="n">
        <v>209</v>
      </c>
      <c r="AA2389" s="61" t="str">
        <f aca="false">IF(MATCH($A2389,Datos_Origen!$A$2:$A$2459,0)=$Z2389,"OK","REVISAR")</f>
        <v>OK</v>
      </c>
      <c r="AB2389" s="62" t="n">
        <f aca="false">INDEX(Datos_Origen!$B$2:$B$2459,$Z2389)</f>
        <v>45995</v>
      </c>
      <c r="AC2389" s="61" t="n">
        <f aca="false">INDEX(Datos_Origen!$H$2:$H$2459,$Z2389)</f>
        <v>31</v>
      </c>
      <c r="AD2389" s="61" t="str">
        <f aca="false">INDEX(Datos_Origen!$D$2:$D$2459,$Z2389)&amp;""</f>
        <v>Tucuman</v>
      </c>
    </row>
    <row r="2390" customFormat="false" ht="15" hidden="false" customHeight="false" outlineLevel="0" collapsed="false">
      <c r="A2390" s="61" t="n">
        <f aca="false">INDEX(Datos_Origen!$A$2:$A$2459,$Z2390)</f>
        <v>2389</v>
      </c>
      <c r="B2390" s="62" t="n">
        <f aca="false">IF(ISNUMBER($AB2390),$AB2390,IF(MID($AB2390,5,1)="-",DATE(VALUE(LEFT($AB2390,4)),VALUE(MID($AB2390,6,2)),VALUE(RIGHT($AB2390,2))),DATE(VALUE(RIGHT($AB2390,4)),VALUE(MID($AB2390,4,2)),VALUE(LEFT($AB2390,2)))))</f>
        <v>46002</v>
      </c>
      <c r="C2390" s="61" t="n">
        <f aca="false">YEAR($B2390)</f>
        <v>2025</v>
      </c>
      <c r="D2390" s="61" t="str">
        <f aca="false">"Q"&amp;ROUNDUP(MONTH($B2390)/3,0)</f>
        <v>Q4</v>
      </c>
      <c r="E2390" s="61" t="n">
        <f aca="false">MONTH($B2390)</f>
        <v>12</v>
      </c>
      <c r="F2390" s="61" t="str">
        <f aca="false">INDEX(Parametros!$I$5:$I$16,$E2390)</f>
        <v>Dic</v>
      </c>
      <c r="G2390" s="61" t="str">
        <f aca="false">TEXT($C2390,"0000")&amp;"-"&amp;TEXT($E2390,"00")</f>
        <v>2025-12</v>
      </c>
      <c r="H2390" s="61" t="str">
        <f aca="false">INDEX(Parametros!$C$71:$C$91,MATCH(TRIM(INDEX(Datos_Origen!$C$2:$C$2459,$Z2390)),Parametros!$B$71:$B$91,0))</f>
        <v>NOA</v>
      </c>
      <c r="I2390" s="61" t="str">
        <f aca="false">IF(TRIM($AD2390)="",INDEX(Parametros!$I$20:$I$24,MATCH($H2390,Parametros!$H$20:$H$24,0)),TRIM($AD2390))</f>
        <v>Tucuman</v>
      </c>
      <c r="J2390" s="61" t="str">
        <f aca="false">INDEX(Parametros!$C$95:$C$106,MATCH(TRIM(INDEX(Datos_Origen!$E$2:$E$2459,$Z2390)),Parametros!$B$95:$B$106,0))</f>
        <v>Tienda fisica</v>
      </c>
      <c r="K2390" s="61" t="str">
        <f aca="false">INDEX(Parametros!$C$48:$C$67,MATCH(TRIM(INDEX(Datos_Origen!$F$2:$F$2459,$Z2390)),Parametros!$B$48:$B$67,0))</f>
        <v>Accesorios</v>
      </c>
      <c r="L2390" s="61" t="str">
        <f aca="false">$K2390&amp;" "&amp;$C2390</f>
        <v>Accesorios 2025</v>
      </c>
      <c r="M2390" s="61" t="str">
        <f aca="false">TRIM(INDEX(Datos_Origen!$G$2:$G$2459,$Z2390))</f>
        <v>Teclado Mecanico</v>
      </c>
      <c r="N2390" s="61" t="str">
        <f aca="false">$M2390&amp;" "&amp;$C2390</f>
        <v>Teclado Mecanico 2025</v>
      </c>
      <c r="O2390" s="63" t="n">
        <f aca="false">IF(ISTEXT($AC2390),VALUE($AC2390),$AC2390)</f>
        <v>45</v>
      </c>
      <c r="P2390" s="64" t="n">
        <f aca="false">INDEX(Datos_Origen!$I$2:$I$2459,$Z2390)</f>
        <v>95.38</v>
      </c>
      <c r="Q2390" s="64" t="n">
        <f aca="false">INDEX(Datos_Origen!$J$2:$J$2459,$Z2390)</f>
        <v>49.41</v>
      </c>
      <c r="R2390" s="65" t="n">
        <f aca="false">ROUND($O2390*$P2390,2)</f>
        <v>4292.1</v>
      </c>
      <c r="S2390" s="65" t="n">
        <f aca="false">ROUND($O2390*$Q2390,2)</f>
        <v>2223.45</v>
      </c>
      <c r="T2390" s="65" t="n">
        <f aca="false">ROUND($R2390*SUMIFS(Parametros!$E$28:$E$43,Parametros!$B$28:$B$43,$J2390,Parametros!$C$28:$C$43,$C2390,Parametros!$D$28:$D$43,$D2390),2)</f>
        <v>55.8</v>
      </c>
      <c r="U2390" s="65" t="n">
        <f aca="false">$R2390-$S2390-$T2390</f>
        <v>2012.85</v>
      </c>
      <c r="V2390" s="66" t="n">
        <f aca="false">IFERROR($U2390/$R2390,0)</f>
        <v>0.46896624030195</v>
      </c>
      <c r="W2390" s="67" t="str">
        <f aca="false">IF(AND($V2390&gt;=Parametros!$C$8,$R2390&gt;=Parametros!$C$12),"Alta rentabilidad",IF(OR($V2390&lt;Parametros!$C$11,$R2390&lt;Parametros!$C$13),"Revisar","Estandar"))</f>
        <v>Alta rentabilidad</v>
      </c>
      <c r="X2390" s="67" t="str">
        <f aca="false">IF(AND($J2390="E-commerce",IFERROR($T2390/$R2390,0)&gt;Parametros!$C$14),"Alerta","OK")</f>
        <v>OK</v>
      </c>
      <c r="Y2390" s="61" t="str">
        <f aca="false">IF($R2390&gt;=Parametros!$C$12,"Alto",IF($R2390&lt;Parametros!$C$13,"Bajo","Medio"))</f>
        <v>Alto</v>
      </c>
      <c r="Z2390" s="61" t="n">
        <v>1564</v>
      </c>
      <c r="AA2390" s="61" t="str">
        <f aca="false">IF(MATCH($A2390,Datos_Origen!$A$2:$A$2459,0)=$Z2390,"OK","REVISAR")</f>
        <v>OK</v>
      </c>
      <c r="AB2390" s="62" t="n">
        <f aca="false">INDEX(Datos_Origen!$B$2:$B$2459,$Z2390)</f>
        <v>46002</v>
      </c>
      <c r="AC2390" s="61" t="n">
        <f aca="false">INDEX(Datos_Origen!$H$2:$H$2459,$Z2390)</f>
        <v>45</v>
      </c>
      <c r="AD2390" s="61" t="str">
        <f aca="false">INDEX(Datos_Origen!$D$2:$D$2459,$Z2390)&amp;""</f>
        <v/>
      </c>
    </row>
    <row r="2391" customFormat="false" ht="15" hidden="false" customHeight="false" outlineLevel="0" collapsed="false">
      <c r="A2391" s="61" t="n">
        <f aca="false">INDEX(Datos_Origen!$A$2:$A$2459,$Z2391)</f>
        <v>2390</v>
      </c>
      <c r="B2391" s="62" t="n">
        <f aca="false">IF(ISNUMBER($AB2391),$AB2391,IF(MID($AB2391,5,1)="-",DATE(VALUE(LEFT($AB2391,4)),VALUE(MID($AB2391,6,2)),VALUE(RIGHT($AB2391,2))),DATE(VALUE(RIGHT($AB2391,4)),VALUE(MID($AB2391,4,2)),VALUE(LEFT($AB2391,2)))))</f>
        <v>46009</v>
      </c>
      <c r="C2391" s="61" t="n">
        <f aca="false">YEAR($B2391)</f>
        <v>2025</v>
      </c>
      <c r="D2391" s="61" t="str">
        <f aca="false">"Q"&amp;ROUNDUP(MONTH($B2391)/3,0)</f>
        <v>Q4</v>
      </c>
      <c r="E2391" s="61" t="n">
        <f aca="false">MONTH($B2391)</f>
        <v>12</v>
      </c>
      <c r="F2391" s="61" t="str">
        <f aca="false">INDEX(Parametros!$I$5:$I$16,$E2391)</f>
        <v>Dic</v>
      </c>
      <c r="G2391" s="61" t="str">
        <f aca="false">TEXT($C2391,"0000")&amp;"-"&amp;TEXT($E2391,"00")</f>
        <v>2025-12</v>
      </c>
      <c r="H2391" s="61" t="str">
        <f aca="false">INDEX(Parametros!$C$71:$C$91,MATCH(TRIM(INDEX(Datos_Origen!$C$2:$C$2459,$Z2391)),Parametros!$B$71:$B$91,0))</f>
        <v>NOA</v>
      </c>
      <c r="I2391" s="61" t="str">
        <f aca="false">IF(TRIM($AD2391)="",INDEX(Parametros!$I$20:$I$24,MATCH($H2391,Parametros!$H$20:$H$24,0)),TRIM($AD2391))</f>
        <v>Tucuman</v>
      </c>
      <c r="J2391" s="61" t="str">
        <f aca="false">INDEX(Parametros!$C$95:$C$106,MATCH(TRIM(INDEX(Datos_Origen!$E$2:$E$2459,$Z2391)),Parametros!$B$95:$B$106,0))</f>
        <v>E-commerce</v>
      </c>
      <c r="K2391" s="61" t="str">
        <f aca="false">INDEX(Parametros!$C$48:$C$67,MATCH(TRIM(INDEX(Datos_Origen!$F$2:$F$2459,$Z2391)),Parametros!$B$48:$B$67,0))</f>
        <v>Accesorios</v>
      </c>
      <c r="L2391" s="61" t="str">
        <f aca="false">$K2391&amp;" "&amp;$C2391</f>
        <v>Accesorios 2025</v>
      </c>
      <c r="M2391" s="61" t="str">
        <f aca="false">TRIM(INDEX(Datos_Origen!$G$2:$G$2459,$Z2391))</f>
        <v>Teclado Mecanico</v>
      </c>
      <c r="N2391" s="61" t="str">
        <f aca="false">$M2391&amp;" "&amp;$C2391</f>
        <v>Teclado Mecanico 2025</v>
      </c>
      <c r="O2391" s="63" t="n">
        <f aca="false">IF(ISTEXT($AC2391),VALUE($AC2391),$AC2391)</f>
        <v>33</v>
      </c>
      <c r="P2391" s="64" t="n">
        <f aca="false">INDEX(Datos_Origen!$I$2:$I$2459,$Z2391)</f>
        <v>95.38</v>
      </c>
      <c r="Q2391" s="64" t="n">
        <f aca="false">INDEX(Datos_Origen!$J$2:$J$2459,$Z2391)</f>
        <v>49.41</v>
      </c>
      <c r="R2391" s="65" t="n">
        <f aca="false">ROUND($O2391*$P2391,2)</f>
        <v>3147.54</v>
      </c>
      <c r="S2391" s="65" t="n">
        <f aca="false">ROUND($O2391*$Q2391,2)</f>
        <v>1630.53</v>
      </c>
      <c r="T2391" s="65" t="n">
        <f aca="false">ROUND($R2391*SUMIFS(Parametros!$E$28:$E$43,Parametros!$B$28:$B$43,$J2391,Parametros!$C$28:$C$43,$C2391,Parametros!$D$28:$D$43,$D2391),2)</f>
        <v>163.67</v>
      </c>
      <c r="U2391" s="65" t="n">
        <f aca="false">$R2391-$S2391-$T2391</f>
        <v>1353.34</v>
      </c>
      <c r="V2391" s="66" t="n">
        <f aca="false">IFERROR($U2391/$R2391,0)</f>
        <v>0.429967530198187</v>
      </c>
      <c r="W2391" s="67" t="str">
        <f aca="false">IF(AND($V2391&gt;=Parametros!$C$8,$R2391&gt;=Parametros!$C$12),"Alta rentabilidad",IF(OR($V2391&lt;Parametros!$C$11,$R2391&lt;Parametros!$C$13),"Revisar","Estandar"))</f>
        <v>Alta rentabilidad</v>
      </c>
      <c r="X2391" s="67" t="str">
        <f aca="false">IF(AND($J2391="E-commerce",IFERROR($T2391/$R2391,0)&gt;Parametros!$C$14),"Alerta","OK")</f>
        <v>Alerta</v>
      </c>
      <c r="Y2391" s="61" t="str">
        <f aca="false">IF($R2391&gt;=Parametros!$C$12,"Alto",IF($R2391&lt;Parametros!$C$13,"Bajo","Medio"))</f>
        <v>Alto</v>
      </c>
      <c r="Z2391" s="61" t="n">
        <v>1075</v>
      </c>
      <c r="AA2391" s="61" t="str">
        <f aca="false">IF(MATCH($A2391,Datos_Origen!$A$2:$A$2459,0)=$Z2391,"OK","REVISAR")</f>
        <v>OK</v>
      </c>
      <c r="AB2391" s="62" t="n">
        <f aca="false">INDEX(Datos_Origen!$B$2:$B$2459,$Z2391)</f>
        <v>46009</v>
      </c>
      <c r="AC2391" s="61" t="n">
        <f aca="false">INDEX(Datos_Origen!$H$2:$H$2459,$Z2391)</f>
        <v>33</v>
      </c>
      <c r="AD2391" s="61" t="str">
        <f aca="false">INDEX(Datos_Origen!$D$2:$D$2459,$Z2391)&amp;""</f>
        <v>Tucuman</v>
      </c>
    </row>
    <row r="2392" customFormat="false" ht="15" hidden="false" customHeight="false" outlineLevel="0" collapsed="false">
      <c r="A2392" s="61" t="n">
        <f aca="false">INDEX(Datos_Origen!$A$2:$A$2459,$Z2392)</f>
        <v>2391</v>
      </c>
      <c r="B2392" s="62" t="n">
        <f aca="false">IF(ISNUMBER($AB2392),$AB2392,IF(MID($AB2392,5,1)="-",DATE(VALUE(LEFT($AB2392,4)),VALUE(MID($AB2392,6,2)),VALUE(RIGHT($AB2392,2))),DATE(VALUE(RIGHT($AB2392,4)),VALUE(MID($AB2392,4,2)),VALUE(LEFT($AB2392,2)))))</f>
        <v>46016</v>
      </c>
      <c r="C2392" s="61" t="n">
        <f aca="false">YEAR($B2392)</f>
        <v>2025</v>
      </c>
      <c r="D2392" s="61" t="str">
        <f aca="false">"Q"&amp;ROUNDUP(MONTH($B2392)/3,0)</f>
        <v>Q4</v>
      </c>
      <c r="E2392" s="61" t="n">
        <f aca="false">MONTH($B2392)</f>
        <v>12</v>
      </c>
      <c r="F2392" s="61" t="str">
        <f aca="false">INDEX(Parametros!$I$5:$I$16,$E2392)</f>
        <v>Dic</v>
      </c>
      <c r="G2392" s="61" t="str">
        <f aca="false">TEXT($C2392,"0000")&amp;"-"&amp;TEXT($E2392,"00")</f>
        <v>2025-12</v>
      </c>
      <c r="H2392" s="61" t="str">
        <f aca="false">INDEX(Parametros!$C$71:$C$91,MATCH(TRIM(INDEX(Datos_Origen!$C$2:$C$2459,$Z2392)),Parametros!$B$71:$B$91,0))</f>
        <v>NOA</v>
      </c>
      <c r="I2392" s="61" t="str">
        <f aca="false">IF(TRIM($AD2392)="",INDEX(Parametros!$I$20:$I$24,MATCH($H2392,Parametros!$H$20:$H$24,0)),TRIM($AD2392))</f>
        <v>Tucuman</v>
      </c>
      <c r="J2392" s="61" t="str">
        <f aca="false">INDEX(Parametros!$C$95:$C$106,MATCH(TRIM(INDEX(Datos_Origen!$E$2:$E$2459,$Z2392)),Parametros!$B$95:$B$106,0))</f>
        <v>Tienda fisica</v>
      </c>
      <c r="K2392" s="61" t="str">
        <f aca="false">INDEX(Parametros!$C$48:$C$67,MATCH(TRIM(INDEX(Datos_Origen!$F$2:$F$2459,$Z2392)),Parametros!$B$48:$B$67,0))</f>
        <v>Accesorios</v>
      </c>
      <c r="L2392" s="61" t="str">
        <f aca="false">$K2392&amp;" "&amp;$C2392</f>
        <v>Accesorios 2025</v>
      </c>
      <c r="M2392" s="61" t="str">
        <f aca="false">TRIM(INDEX(Datos_Origen!$G$2:$G$2459,$Z2392))</f>
        <v>Webcam Full HD</v>
      </c>
      <c r="N2392" s="61" t="str">
        <f aca="false">$M2392&amp;" "&amp;$C2392</f>
        <v>Webcam Full HD 2025</v>
      </c>
      <c r="O2392" s="63" t="n">
        <f aca="false">IF(ISTEXT($AC2392),VALUE($AC2392),$AC2392)</f>
        <v>38</v>
      </c>
      <c r="P2392" s="64" t="n">
        <f aca="false">INDEX(Datos_Origen!$I$2:$I$2459,$Z2392)</f>
        <v>65.26</v>
      </c>
      <c r="Q2392" s="64" t="n">
        <f aca="false">INDEX(Datos_Origen!$J$2:$J$2459,$Z2392)</f>
        <v>36.49</v>
      </c>
      <c r="R2392" s="65" t="n">
        <f aca="false">ROUND($O2392*$P2392,2)</f>
        <v>2479.88</v>
      </c>
      <c r="S2392" s="65" t="n">
        <f aca="false">ROUND($O2392*$Q2392,2)</f>
        <v>1386.62</v>
      </c>
      <c r="T2392" s="65" t="n">
        <f aca="false">ROUND($R2392*SUMIFS(Parametros!$E$28:$E$43,Parametros!$B$28:$B$43,$J2392,Parametros!$C$28:$C$43,$C2392,Parametros!$D$28:$D$43,$D2392),2)</f>
        <v>32.24</v>
      </c>
      <c r="U2392" s="65" t="n">
        <f aca="false">$R2392-$S2392-$T2392</f>
        <v>1061.02</v>
      </c>
      <c r="V2392" s="66" t="n">
        <f aca="false">IFERROR($U2392/$R2392,0)</f>
        <v>0.427851347645854</v>
      </c>
      <c r="W2392" s="67" t="str">
        <f aca="false">IF(AND($V2392&gt;=Parametros!$C$8,$R2392&gt;=Parametros!$C$12),"Alta rentabilidad",IF(OR($V2392&lt;Parametros!$C$11,$R2392&lt;Parametros!$C$13),"Revisar","Estandar"))</f>
        <v>Estandar</v>
      </c>
      <c r="X2392" s="67" t="str">
        <f aca="false">IF(AND($J2392="E-commerce",IFERROR($T2392/$R2392,0)&gt;Parametros!$C$14),"Alerta","OK")</f>
        <v>OK</v>
      </c>
      <c r="Y2392" s="61" t="str">
        <f aca="false">IF($R2392&gt;=Parametros!$C$12,"Alto",IF($R2392&lt;Parametros!$C$13,"Bajo","Medio"))</f>
        <v>Medio</v>
      </c>
      <c r="Z2392" s="61" t="n">
        <v>1167</v>
      </c>
      <c r="AA2392" s="61" t="str">
        <f aca="false">IF(MATCH($A2392,Datos_Origen!$A$2:$A$2459,0)=$Z2392,"OK","REVISAR")</f>
        <v>OK</v>
      </c>
      <c r="AB2392" s="62" t="n">
        <f aca="false">INDEX(Datos_Origen!$B$2:$B$2459,$Z2392)</f>
        <v>46016</v>
      </c>
      <c r="AC2392" s="61" t="n">
        <f aca="false">INDEX(Datos_Origen!$H$2:$H$2459,$Z2392)</f>
        <v>38</v>
      </c>
      <c r="AD2392" s="61" t="str">
        <f aca="false">INDEX(Datos_Origen!$D$2:$D$2459,$Z2392)&amp;""</f>
        <v>Tucuman</v>
      </c>
    </row>
    <row r="2393" customFormat="false" ht="15" hidden="false" customHeight="false" outlineLevel="0" collapsed="false">
      <c r="A2393" s="61" t="n">
        <f aca="false">INDEX(Datos_Origen!$A$2:$A$2459,$Z2393)</f>
        <v>2392</v>
      </c>
      <c r="B2393" s="62" t="n">
        <f aca="false">IF(ISNUMBER($AB2393),$AB2393,IF(MID($AB2393,5,1)="-",DATE(VALUE(LEFT($AB2393,4)),VALUE(MID($AB2393,6,2)),VALUE(RIGHT($AB2393,2))),DATE(VALUE(RIGHT($AB2393,4)),VALUE(MID($AB2393,4,2)),VALUE(LEFT($AB2393,2)))))</f>
        <v>45996</v>
      </c>
      <c r="C2393" s="61" t="n">
        <f aca="false">YEAR($B2393)</f>
        <v>2025</v>
      </c>
      <c r="D2393" s="61" t="str">
        <f aca="false">"Q"&amp;ROUNDUP(MONTH($B2393)/3,0)</f>
        <v>Q4</v>
      </c>
      <c r="E2393" s="61" t="n">
        <f aca="false">MONTH($B2393)</f>
        <v>12</v>
      </c>
      <c r="F2393" s="61" t="str">
        <f aca="false">INDEX(Parametros!$I$5:$I$16,$E2393)</f>
        <v>Dic</v>
      </c>
      <c r="G2393" s="61" t="str">
        <f aca="false">TEXT($C2393,"0000")&amp;"-"&amp;TEXT($E2393,"00")</f>
        <v>2025-12</v>
      </c>
      <c r="H2393" s="61" t="str">
        <f aca="false">INDEX(Parametros!$C$71:$C$91,MATCH(TRIM(INDEX(Datos_Origen!$C$2:$C$2459,$Z2393)),Parametros!$B$71:$B$91,0))</f>
        <v>NOA</v>
      </c>
      <c r="I2393" s="61" t="str">
        <f aca="false">IF(TRIM($AD2393)="",INDEX(Parametros!$I$20:$I$24,MATCH($H2393,Parametros!$H$20:$H$24,0)),TRIM($AD2393))</f>
        <v>Tucuman</v>
      </c>
      <c r="J2393" s="61" t="str">
        <f aca="false">INDEX(Parametros!$C$95:$C$106,MATCH(TRIM(INDEX(Datos_Origen!$E$2:$E$2459,$Z2393)),Parametros!$B$95:$B$106,0))</f>
        <v>E-commerce</v>
      </c>
      <c r="K2393" s="61" t="str">
        <f aca="false">INDEX(Parametros!$C$48:$C$67,MATCH(TRIM(INDEX(Datos_Origen!$F$2:$F$2459,$Z2393)),Parametros!$B$48:$B$67,0))</f>
        <v>Accesorios</v>
      </c>
      <c r="L2393" s="61" t="str">
        <f aca="false">$K2393&amp;" "&amp;$C2393</f>
        <v>Accesorios 2025</v>
      </c>
      <c r="M2393" s="61" t="str">
        <f aca="false">TRIM(INDEX(Datos_Origen!$G$2:$G$2459,$Z2393))</f>
        <v>Webcam Full HD</v>
      </c>
      <c r="N2393" s="61" t="str">
        <f aca="false">$M2393&amp;" "&amp;$C2393</f>
        <v>Webcam Full HD 2025</v>
      </c>
      <c r="O2393" s="63" t="n">
        <f aca="false">IF(ISTEXT($AC2393),VALUE($AC2393),$AC2393)</f>
        <v>31</v>
      </c>
      <c r="P2393" s="64" t="n">
        <f aca="false">INDEX(Datos_Origen!$I$2:$I$2459,$Z2393)</f>
        <v>65.26</v>
      </c>
      <c r="Q2393" s="64" t="n">
        <f aca="false">INDEX(Datos_Origen!$J$2:$J$2459,$Z2393)</f>
        <v>36.49</v>
      </c>
      <c r="R2393" s="65" t="n">
        <f aca="false">ROUND($O2393*$P2393,2)</f>
        <v>2023.06</v>
      </c>
      <c r="S2393" s="65" t="n">
        <f aca="false">ROUND($O2393*$Q2393,2)</f>
        <v>1131.19</v>
      </c>
      <c r="T2393" s="65" t="n">
        <f aca="false">ROUND($R2393*SUMIFS(Parametros!$E$28:$E$43,Parametros!$B$28:$B$43,$J2393,Parametros!$C$28:$C$43,$C2393,Parametros!$D$28:$D$43,$D2393),2)</f>
        <v>105.2</v>
      </c>
      <c r="U2393" s="65" t="n">
        <f aca="false">$R2393-$S2393-$T2393</f>
        <v>786.67</v>
      </c>
      <c r="V2393" s="66" t="n">
        <f aca="false">IFERROR($U2393/$R2393,0)</f>
        <v>0.388851541723923</v>
      </c>
      <c r="W2393" s="67" t="str">
        <f aca="false">IF(AND($V2393&gt;=Parametros!$C$8,$R2393&gt;=Parametros!$C$12),"Alta rentabilidad",IF(OR($V2393&lt;Parametros!$C$11,$R2393&lt;Parametros!$C$13),"Revisar","Estandar"))</f>
        <v>Estandar</v>
      </c>
      <c r="X2393" s="67" t="str">
        <f aca="false">IF(AND($J2393="E-commerce",IFERROR($T2393/$R2393,0)&gt;Parametros!$C$14),"Alerta","OK")</f>
        <v>Alerta</v>
      </c>
      <c r="Y2393" s="61" t="str">
        <f aca="false">IF($R2393&gt;=Parametros!$C$12,"Alto",IF($R2393&lt;Parametros!$C$13,"Bajo","Medio"))</f>
        <v>Medio</v>
      </c>
      <c r="Z2393" s="61" t="n">
        <v>1593</v>
      </c>
      <c r="AA2393" s="61" t="str">
        <f aca="false">IF(MATCH($A2393,Datos_Origen!$A$2:$A$2459,0)=$Z2393,"OK","REVISAR")</f>
        <v>OK</v>
      </c>
      <c r="AB2393" s="62" t="n">
        <f aca="false">INDEX(Datos_Origen!$B$2:$B$2459,$Z2393)</f>
        <v>45996</v>
      </c>
      <c r="AC2393" s="61" t="n">
        <f aca="false">INDEX(Datos_Origen!$H$2:$H$2459,$Z2393)</f>
        <v>31</v>
      </c>
      <c r="AD2393" s="61" t="str">
        <f aca="false">INDEX(Datos_Origen!$D$2:$D$2459,$Z2393)&amp;""</f>
        <v/>
      </c>
    </row>
    <row r="2394" customFormat="false" ht="15" hidden="false" customHeight="false" outlineLevel="0" collapsed="false">
      <c r="A2394" s="61" t="n">
        <f aca="false">INDEX(Datos_Origen!$A$2:$A$2459,$Z2394)</f>
        <v>2393</v>
      </c>
      <c r="B2394" s="62" t="n">
        <f aca="false">IF(ISNUMBER($AB2394),$AB2394,IF(MID($AB2394,5,1)="-",DATE(VALUE(LEFT($AB2394,4)),VALUE(MID($AB2394,6,2)),VALUE(RIGHT($AB2394,2))),DATE(VALUE(RIGHT($AB2394,4)),VALUE(MID($AB2394,4,2)),VALUE(LEFT($AB2394,2)))))</f>
        <v>46003</v>
      </c>
      <c r="C2394" s="61" t="n">
        <f aca="false">YEAR($B2394)</f>
        <v>2025</v>
      </c>
      <c r="D2394" s="61" t="str">
        <f aca="false">"Q"&amp;ROUNDUP(MONTH($B2394)/3,0)</f>
        <v>Q4</v>
      </c>
      <c r="E2394" s="61" t="n">
        <f aca="false">MONTH($B2394)</f>
        <v>12</v>
      </c>
      <c r="F2394" s="61" t="str">
        <f aca="false">INDEX(Parametros!$I$5:$I$16,$E2394)</f>
        <v>Dic</v>
      </c>
      <c r="G2394" s="61" t="str">
        <f aca="false">TEXT($C2394,"0000")&amp;"-"&amp;TEXT($E2394,"00")</f>
        <v>2025-12</v>
      </c>
      <c r="H2394" s="61" t="str">
        <f aca="false">INDEX(Parametros!$C$71:$C$91,MATCH(TRIM(INDEX(Datos_Origen!$C$2:$C$2459,$Z2394)),Parametros!$B$71:$B$91,0))</f>
        <v>NOA</v>
      </c>
      <c r="I2394" s="61" t="str">
        <f aca="false">IF(TRIM($AD2394)="",INDEX(Parametros!$I$20:$I$24,MATCH($H2394,Parametros!$H$20:$H$24,0)),TRIM($AD2394))</f>
        <v>Tucuman</v>
      </c>
      <c r="J2394" s="61" t="str">
        <f aca="false">INDEX(Parametros!$C$95:$C$106,MATCH(TRIM(INDEX(Datos_Origen!$E$2:$E$2459,$Z2394)),Parametros!$B$95:$B$106,0))</f>
        <v>Tienda fisica</v>
      </c>
      <c r="K2394" s="61" t="str">
        <f aca="false">INDEX(Parametros!$C$48:$C$67,MATCH(TRIM(INDEX(Datos_Origen!$F$2:$F$2459,$Z2394)),Parametros!$B$48:$B$67,0))</f>
        <v>Audio</v>
      </c>
      <c r="L2394" s="61" t="str">
        <f aca="false">$K2394&amp;" "&amp;$C2394</f>
        <v>Audio 2025</v>
      </c>
      <c r="M2394" s="61" t="str">
        <f aca="false">TRIM(INDEX(Datos_Origen!$G$2:$G$2459,$Z2394))</f>
        <v>Auriculares BT Pro</v>
      </c>
      <c r="N2394" s="61" t="str">
        <f aca="false">$M2394&amp;" "&amp;$C2394</f>
        <v>Auriculares BT Pro 2025</v>
      </c>
      <c r="O2394" s="63" t="n">
        <f aca="false">IF(ISTEXT($AC2394),VALUE($AC2394),$AC2394)</f>
        <v>17</v>
      </c>
      <c r="P2394" s="64" t="n">
        <f aca="false">INDEX(Datos_Origen!$I$2:$I$2459,$Z2394)</f>
        <v>120.47</v>
      </c>
      <c r="Q2394" s="64" t="n">
        <f aca="false">INDEX(Datos_Origen!$J$2:$J$2459,$Z2394)</f>
        <v>65.51</v>
      </c>
      <c r="R2394" s="65" t="n">
        <f aca="false">ROUND($O2394*$P2394,2)</f>
        <v>2047.99</v>
      </c>
      <c r="S2394" s="65" t="n">
        <f aca="false">ROUND($O2394*$Q2394,2)</f>
        <v>1113.67</v>
      </c>
      <c r="T2394" s="65" t="n">
        <f aca="false">ROUND($R2394*SUMIFS(Parametros!$E$28:$E$43,Parametros!$B$28:$B$43,$J2394,Parametros!$C$28:$C$43,$C2394,Parametros!$D$28:$D$43,$D2394),2)</f>
        <v>26.62</v>
      </c>
      <c r="U2394" s="65" t="n">
        <f aca="false">$R2394-$S2394-$T2394</f>
        <v>907.7</v>
      </c>
      <c r="V2394" s="66" t="n">
        <f aca="false">IFERROR($U2394/$R2394,0)</f>
        <v>0.44321505476101</v>
      </c>
      <c r="W2394" s="67" t="str">
        <f aca="false">IF(AND($V2394&gt;=Parametros!$C$8,$R2394&gt;=Parametros!$C$12),"Alta rentabilidad",IF(OR($V2394&lt;Parametros!$C$11,$R2394&lt;Parametros!$C$13),"Revisar","Estandar"))</f>
        <v>Estandar</v>
      </c>
      <c r="X2394" s="67" t="str">
        <f aca="false">IF(AND($J2394="E-commerce",IFERROR($T2394/$R2394,0)&gt;Parametros!$C$14),"Alerta","OK")</f>
        <v>OK</v>
      </c>
      <c r="Y2394" s="61" t="str">
        <f aca="false">IF($R2394&gt;=Parametros!$C$12,"Alto",IF($R2394&lt;Parametros!$C$13,"Bajo","Medio"))</f>
        <v>Medio</v>
      </c>
      <c r="Z2394" s="61" t="n">
        <v>440</v>
      </c>
      <c r="AA2394" s="61" t="str">
        <f aca="false">IF(MATCH($A2394,Datos_Origen!$A$2:$A$2459,0)=$Z2394,"OK","REVISAR")</f>
        <v>OK</v>
      </c>
      <c r="AB2394" s="61" t="str">
        <f aca="false">INDEX(Datos_Origen!$B$2:$B$2459,$Z2394)</f>
        <v>2025-12-12</v>
      </c>
      <c r="AC2394" s="61" t="n">
        <f aca="false">INDEX(Datos_Origen!$H$2:$H$2459,$Z2394)</f>
        <v>17</v>
      </c>
      <c r="AD2394" s="61" t="str">
        <f aca="false">INDEX(Datos_Origen!$D$2:$D$2459,$Z2394)&amp;""</f>
        <v>Tucuman</v>
      </c>
    </row>
    <row r="2395" customFormat="false" ht="15" hidden="false" customHeight="false" outlineLevel="0" collapsed="false">
      <c r="A2395" s="61" t="n">
        <f aca="false">INDEX(Datos_Origen!$A$2:$A$2459,$Z2395)</f>
        <v>2394</v>
      </c>
      <c r="B2395" s="62" t="n">
        <f aca="false">IF(ISNUMBER($AB2395),$AB2395,IF(MID($AB2395,5,1)="-",DATE(VALUE(LEFT($AB2395,4)),VALUE(MID($AB2395,6,2)),VALUE(RIGHT($AB2395,2))),DATE(VALUE(RIGHT($AB2395,4)),VALUE(MID($AB2395,4,2)),VALUE(LEFT($AB2395,2)))))</f>
        <v>46010</v>
      </c>
      <c r="C2395" s="61" t="n">
        <f aca="false">YEAR($B2395)</f>
        <v>2025</v>
      </c>
      <c r="D2395" s="61" t="str">
        <f aca="false">"Q"&amp;ROUNDUP(MONTH($B2395)/3,0)</f>
        <v>Q4</v>
      </c>
      <c r="E2395" s="61" t="n">
        <f aca="false">MONTH($B2395)</f>
        <v>12</v>
      </c>
      <c r="F2395" s="61" t="str">
        <f aca="false">INDEX(Parametros!$I$5:$I$16,$E2395)</f>
        <v>Dic</v>
      </c>
      <c r="G2395" s="61" t="str">
        <f aca="false">TEXT($C2395,"0000")&amp;"-"&amp;TEXT($E2395,"00")</f>
        <v>2025-12</v>
      </c>
      <c r="H2395" s="61" t="str">
        <f aca="false">INDEX(Parametros!$C$71:$C$91,MATCH(TRIM(INDEX(Datos_Origen!$C$2:$C$2459,$Z2395)),Parametros!$B$71:$B$91,0))</f>
        <v>NOA</v>
      </c>
      <c r="I2395" s="61" t="str">
        <f aca="false">IF(TRIM($AD2395)="",INDEX(Parametros!$I$20:$I$24,MATCH($H2395,Parametros!$H$20:$H$24,0)),TRIM($AD2395))</f>
        <v>Tucuman</v>
      </c>
      <c r="J2395" s="61" t="str">
        <f aca="false">INDEX(Parametros!$C$95:$C$106,MATCH(TRIM(INDEX(Datos_Origen!$E$2:$E$2459,$Z2395)),Parametros!$B$95:$B$106,0))</f>
        <v>E-commerce</v>
      </c>
      <c r="K2395" s="61" t="str">
        <f aca="false">INDEX(Parametros!$C$48:$C$67,MATCH(TRIM(INDEX(Datos_Origen!$F$2:$F$2459,$Z2395)),Parametros!$B$48:$B$67,0))</f>
        <v>Audio</v>
      </c>
      <c r="L2395" s="61" t="str">
        <f aca="false">$K2395&amp;" "&amp;$C2395</f>
        <v>Audio 2025</v>
      </c>
      <c r="M2395" s="61" t="str">
        <f aca="false">TRIM(INDEX(Datos_Origen!$G$2:$G$2459,$Z2395))</f>
        <v>Auriculares BT Pro</v>
      </c>
      <c r="N2395" s="61" t="str">
        <f aca="false">$M2395&amp;" "&amp;$C2395</f>
        <v>Auriculares BT Pro 2025</v>
      </c>
      <c r="O2395" s="63" t="n">
        <f aca="false">IF(ISTEXT($AC2395),VALUE($AC2395),$AC2395)</f>
        <v>12</v>
      </c>
      <c r="P2395" s="64" t="n">
        <f aca="false">INDEX(Datos_Origen!$I$2:$I$2459,$Z2395)</f>
        <v>120.47</v>
      </c>
      <c r="Q2395" s="64" t="n">
        <f aca="false">INDEX(Datos_Origen!$J$2:$J$2459,$Z2395)</f>
        <v>65.51</v>
      </c>
      <c r="R2395" s="65" t="n">
        <f aca="false">ROUND($O2395*$P2395,2)</f>
        <v>1445.64</v>
      </c>
      <c r="S2395" s="65" t="n">
        <f aca="false">ROUND($O2395*$Q2395,2)</f>
        <v>786.12</v>
      </c>
      <c r="T2395" s="65" t="n">
        <f aca="false">ROUND($R2395*SUMIFS(Parametros!$E$28:$E$43,Parametros!$B$28:$B$43,$J2395,Parametros!$C$28:$C$43,$C2395,Parametros!$D$28:$D$43,$D2395),2)</f>
        <v>75.17</v>
      </c>
      <c r="U2395" s="65" t="n">
        <f aca="false">$R2395-$S2395-$T2395</f>
        <v>584.35</v>
      </c>
      <c r="V2395" s="66" t="n">
        <f aca="false">IFERROR($U2395/$R2395,0)</f>
        <v>0.404215433994632</v>
      </c>
      <c r="W2395" s="67" t="str">
        <f aca="false">IF(AND($V2395&gt;=Parametros!$C$8,$R2395&gt;=Parametros!$C$12),"Alta rentabilidad",IF(OR($V2395&lt;Parametros!$C$11,$R2395&lt;Parametros!$C$13),"Revisar","Estandar"))</f>
        <v>Estandar</v>
      </c>
      <c r="X2395" s="67" t="str">
        <f aca="false">IF(AND($J2395="E-commerce",IFERROR($T2395/$R2395,0)&gt;Parametros!$C$14),"Alerta","OK")</f>
        <v>Alerta</v>
      </c>
      <c r="Y2395" s="61" t="str">
        <f aca="false">IF($R2395&gt;=Parametros!$C$12,"Alto",IF($R2395&lt;Parametros!$C$13,"Bajo","Medio"))</f>
        <v>Medio</v>
      </c>
      <c r="Z2395" s="61" t="n">
        <v>354</v>
      </c>
      <c r="AA2395" s="61" t="str">
        <f aca="false">IF(MATCH($A2395,Datos_Origen!$A$2:$A$2459,0)=$Z2395,"OK","REVISAR")</f>
        <v>OK</v>
      </c>
      <c r="AB2395" s="62" t="n">
        <f aca="false">INDEX(Datos_Origen!$B$2:$B$2459,$Z2395)</f>
        <v>46010</v>
      </c>
      <c r="AC2395" s="61" t="n">
        <f aca="false">INDEX(Datos_Origen!$H$2:$H$2459,$Z2395)</f>
        <v>12</v>
      </c>
      <c r="AD2395" s="61" t="str">
        <f aca="false">INDEX(Datos_Origen!$D$2:$D$2459,$Z2395)&amp;""</f>
        <v>Tucuman</v>
      </c>
    </row>
    <row r="2396" customFormat="false" ht="15" hidden="false" customHeight="false" outlineLevel="0" collapsed="false">
      <c r="A2396" s="61" t="n">
        <f aca="false">INDEX(Datos_Origen!$A$2:$A$2459,$Z2396)</f>
        <v>2395</v>
      </c>
      <c r="B2396" s="62" t="n">
        <f aca="false">IF(ISNUMBER($AB2396),$AB2396,IF(MID($AB2396,5,1)="-",DATE(VALUE(LEFT($AB2396,4)),VALUE(MID($AB2396,6,2)),VALUE(RIGHT($AB2396,2))),DATE(VALUE(RIGHT($AB2396,4)),VALUE(MID($AB2396,4,2)),VALUE(LEFT($AB2396,2)))))</f>
        <v>46017</v>
      </c>
      <c r="C2396" s="61" t="n">
        <f aca="false">YEAR($B2396)</f>
        <v>2025</v>
      </c>
      <c r="D2396" s="61" t="str">
        <f aca="false">"Q"&amp;ROUNDUP(MONTH($B2396)/3,0)</f>
        <v>Q4</v>
      </c>
      <c r="E2396" s="61" t="n">
        <f aca="false">MONTH($B2396)</f>
        <v>12</v>
      </c>
      <c r="F2396" s="61" t="str">
        <f aca="false">INDEX(Parametros!$I$5:$I$16,$E2396)</f>
        <v>Dic</v>
      </c>
      <c r="G2396" s="61" t="str">
        <f aca="false">TEXT($C2396,"0000")&amp;"-"&amp;TEXT($E2396,"00")</f>
        <v>2025-12</v>
      </c>
      <c r="H2396" s="61" t="str">
        <f aca="false">INDEX(Parametros!$C$71:$C$91,MATCH(TRIM(INDEX(Datos_Origen!$C$2:$C$2459,$Z2396)),Parametros!$B$71:$B$91,0))</f>
        <v>NOA</v>
      </c>
      <c r="I2396" s="61" t="str">
        <f aca="false">IF(TRIM($AD2396)="",INDEX(Parametros!$I$20:$I$24,MATCH($H2396,Parametros!$H$20:$H$24,0)),TRIM($AD2396))</f>
        <v>Tucuman</v>
      </c>
      <c r="J2396" s="61" t="str">
        <f aca="false">INDEX(Parametros!$C$95:$C$106,MATCH(TRIM(INDEX(Datos_Origen!$E$2:$E$2459,$Z2396)),Parametros!$B$95:$B$106,0))</f>
        <v>Tienda fisica</v>
      </c>
      <c r="K2396" s="61" t="str">
        <f aca="false">INDEX(Parametros!$C$48:$C$67,MATCH(TRIM(INDEX(Datos_Origen!$F$2:$F$2459,$Z2396)),Parametros!$B$48:$B$67,0))</f>
        <v>Audio</v>
      </c>
      <c r="L2396" s="61" t="str">
        <f aca="false">$K2396&amp;" "&amp;$C2396</f>
        <v>Audio 2025</v>
      </c>
      <c r="M2396" s="61" t="str">
        <f aca="false">TRIM(INDEX(Datos_Origen!$G$2:$G$2459,$Z2396))</f>
        <v>Parlante Bluetooth</v>
      </c>
      <c r="N2396" s="61" t="str">
        <f aca="false">$M2396&amp;" "&amp;$C2396</f>
        <v>Parlante Bluetooth 2025</v>
      </c>
      <c r="O2396" s="63" t="n">
        <f aca="false">IF(ISTEXT($AC2396),VALUE($AC2396),$AC2396)</f>
        <v>20</v>
      </c>
      <c r="P2396" s="64" t="n">
        <f aca="false">INDEX(Datos_Origen!$I$2:$I$2459,$Z2396)</f>
        <v>85.34</v>
      </c>
      <c r="Q2396" s="64" t="n">
        <f aca="false">INDEX(Datos_Origen!$J$2:$J$2459,$Z2396)</f>
        <v>49.47</v>
      </c>
      <c r="R2396" s="65" t="n">
        <f aca="false">ROUND($O2396*$P2396,2)</f>
        <v>1706.8</v>
      </c>
      <c r="S2396" s="65" t="n">
        <f aca="false">ROUND($O2396*$Q2396,2)</f>
        <v>989.4</v>
      </c>
      <c r="T2396" s="65" t="n">
        <f aca="false">ROUND($R2396*SUMIFS(Parametros!$E$28:$E$43,Parametros!$B$28:$B$43,$J2396,Parametros!$C$28:$C$43,$C2396,Parametros!$D$28:$D$43,$D2396),2)</f>
        <v>22.19</v>
      </c>
      <c r="U2396" s="65" t="n">
        <f aca="false">$R2396-$S2396-$T2396</f>
        <v>695.21</v>
      </c>
      <c r="V2396" s="66" t="n">
        <f aca="false">IFERROR($U2396/$R2396,0)</f>
        <v>0.407317787672838</v>
      </c>
      <c r="W2396" s="67" t="str">
        <f aca="false">IF(AND($V2396&gt;=Parametros!$C$8,$R2396&gt;=Parametros!$C$12),"Alta rentabilidad",IF(OR($V2396&lt;Parametros!$C$11,$R2396&lt;Parametros!$C$13),"Revisar","Estandar"))</f>
        <v>Estandar</v>
      </c>
      <c r="X2396" s="67" t="str">
        <f aca="false">IF(AND($J2396="E-commerce",IFERROR($T2396/$R2396,0)&gt;Parametros!$C$14),"Alerta","OK")</f>
        <v>OK</v>
      </c>
      <c r="Y2396" s="61" t="str">
        <f aca="false">IF($R2396&gt;=Parametros!$C$12,"Alto",IF($R2396&lt;Parametros!$C$13,"Bajo","Medio"))</f>
        <v>Medio</v>
      </c>
      <c r="Z2396" s="61" t="n">
        <v>1607</v>
      </c>
      <c r="AA2396" s="61" t="str">
        <f aca="false">IF(MATCH($A2396,Datos_Origen!$A$2:$A$2459,0)=$Z2396,"OK","REVISAR")</f>
        <v>OK</v>
      </c>
      <c r="AB2396" s="62" t="n">
        <f aca="false">INDEX(Datos_Origen!$B$2:$B$2459,$Z2396)</f>
        <v>46017</v>
      </c>
      <c r="AC2396" s="61" t="n">
        <f aca="false">INDEX(Datos_Origen!$H$2:$H$2459,$Z2396)</f>
        <v>20</v>
      </c>
      <c r="AD2396" s="61" t="str">
        <f aca="false">INDEX(Datos_Origen!$D$2:$D$2459,$Z2396)&amp;""</f>
        <v>Tucuman</v>
      </c>
    </row>
    <row r="2397" customFormat="false" ht="15" hidden="false" customHeight="false" outlineLevel="0" collapsed="false">
      <c r="A2397" s="61" t="n">
        <f aca="false">INDEX(Datos_Origen!$A$2:$A$2459,$Z2397)</f>
        <v>2396</v>
      </c>
      <c r="B2397" s="62" t="n">
        <f aca="false">IF(ISNUMBER($AB2397),$AB2397,IF(MID($AB2397,5,1)="-",DATE(VALUE(LEFT($AB2397,4)),VALUE(MID($AB2397,6,2)),VALUE(RIGHT($AB2397,2))),DATE(VALUE(RIGHT($AB2397,4)),VALUE(MID($AB2397,4,2)),VALUE(LEFT($AB2397,2)))))</f>
        <v>45997</v>
      </c>
      <c r="C2397" s="61" t="n">
        <f aca="false">YEAR($B2397)</f>
        <v>2025</v>
      </c>
      <c r="D2397" s="61" t="str">
        <f aca="false">"Q"&amp;ROUNDUP(MONTH($B2397)/3,0)</f>
        <v>Q4</v>
      </c>
      <c r="E2397" s="61" t="n">
        <f aca="false">MONTH($B2397)</f>
        <v>12</v>
      </c>
      <c r="F2397" s="61" t="str">
        <f aca="false">INDEX(Parametros!$I$5:$I$16,$E2397)</f>
        <v>Dic</v>
      </c>
      <c r="G2397" s="61" t="str">
        <f aca="false">TEXT($C2397,"0000")&amp;"-"&amp;TEXT($E2397,"00")</f>
        <v>2025-12</v>
      </c>
      <c r="H2397" s="61" t="str">
        <f aca="false">INDEX(Parametros!$C$71:$C$91,MATCH(TRIM(INDEX(Datos_Origen!$C$2:$C$2459,$Z2397)),Parametros!$B$71:$B$91,0))</f>
        <v>NOA</v>
      </c>
      <c r="I2397" s="61" t="str">
        <f aca="false">IF(TRIM($AD2397)="",INDEX(Parametros!$I$20:$I$24,MATCH($H2397,Parametros!$H$20:$H$24,0)),TRIM($AD2397))</f>
        <v>Tucuman</v>
      </c>
      <c r="J2397" s="61" t="str">
        <f aca="false">INDEX(Parametros!$C$95:$C$106,MATCH(TRIM(INDEX(Datos_Origen!$E$2:$E$2459,$Z2397)),Parametros!$B$95:$B$106,0))</f>
        <v>E-commerce</v>
      </c>
      <c r="K2397" s="61" t="str">
        <f aca="false">INDEX(Parametros!$C$48:$C$67,MATCH(TRIM(INDEX(Datos_Origen!$F$2:$F$2459,$Z2397)),Parametros!$B$48:$B$67,0))</f>
        <v>Audio</v>
      </c>
      <c r="L2397" s="61" t="str">
        <f aca="false">$K2397&amp;" "&amp;$C2397</f>
        <v>Audio 2025</v>
      </c>
      <c r="M2397" s="61" t="str">
        <f aca="false">TRIM(INDEX(Datos_Origen!$G$2:$G$2459,$Z2397))</f>
        <v>Parlante Bluetooth</v>
      </c>
      <c r="N2397" s="61" t="str">
        <f aca="false">$M2397&amp;" "&amp;$C2397</f>
        <v>Parlante Bluetooth 2025</v>
      </c>
      <c r="O2397" s="63" t="n">
        <f aca="false">IF(ISTEXT($AC2397),VALUE($AC2397),$AC2397)</f>
        <v>15</v>
      </c>
      <c r="P2397" s="64" t="n">
        <f aca="false">INDEX(Datos_Origen!$I$2:$I$2459,$Z2397)</f>
        <v>85.34</v>
      </c>
      <c r="Q2397" s="64" t="n">
        <f aca="false">INDEX(Datos_Origen!$J$2:$J$2459,$Z2397)</f>
        <v>49.47</v>
      </c>
      <c r="R2397" s="65" t="n">
        <f aca="false">ROUND($O2397*$P2397,2)</f>
        <v>1280.1</v>
      </c>
      <c r="S2397" s="65" t="n">
        <f aca="false">ROUND($O2397*$Q2397,2)</f>
        <v>742.05</v>
      </c>
      <c r="T2397" s="65" t="n">
        <f aca="false">ROUND($R2397*SUMIFS(Parametros!$E$28:$E$43,Parametros!$B$28:$B$43,$J2397,Parametros!$C$28:$C$43,$C2397,Parametros!$D$28:$D$43,$D2397),2)</f>
        <v>66.57</v>
      </c>
      <c r="U2397" s="65" t="n">
        <f aca="false">$R2397-$S2397-$T2397</f>
        <v>471.48</v>
      </c>
      <c r="V2397" s="66" t="n">
        <f aca="false">IFERROR($U2397/$R2397,0)</f>
        <v>0.368314975392547</v>
      </c>
      <c r="W2397" s="67" t="str">
        <f aca="false">IF(AND($V2397&gt;=Parametros!$C$8,$R2397&gt;=Parametros!$C$12),"Alta rentabilidad",IF(OR($V2397&lt;Parametros!$C$11,$R2397&lt;Parametros!$C$13),"Revisar","Estandar"))</f>
        <v>Estandar</v>
      </c>
      <c r="X2397" s="67" t="str">
        <f aca="false">IF(AND($J2397="E-commerce",IFERROR($T2397/$R2397,0)&gt;Parametros!$C$14),"Alerta","OK")</f>
        <v>Alerta</v>
      </c>
      <c r="Y2397" s="61" t="str">
        <f aca="false">IF($R2397&gt;=Parametros!$C$12,"Alto",IF($R2397&lt;Parametros!$C$13,"Bajo","Medio"))</f>
        <v>Medio</v>
      </c>
      <c r="Z2397" s="61" t="n">
        <v>2170</v>
      </c>
      <c r="AA2397" s="61" t="str">
        <f aca="false">IF(MATCH($A2397,Datos_Origen!$A$2:$A$2459,0)=$Z2397,"OK","REVISAR")</f>
        <v>OK</v>
      </c>
      <c r="AB2397" s="61" t="str">
        <f aca="false">INDEX(Datos_Origen!$B$2:$B$2459,$Z2397)</f>
        <v>2025-12-06</v>
      </c>
      <c r="AC2397" s="61" t="n">
        <f aca="false">INDEX(Datos_Origen!$H$2:$H$2459,$Z2397)</f>
        <v>15</v>
      </c>
      <c r="AD2397" s="61" t="str">
        <f aca="false">INDEX(Datos_Origen!$D$2:$D$2459,$Z2397)&amp;""</f>
        <v>Tucuman</v>
      </c>
    </row>
    <row r="2398" customFormat="false" ht="15" hidden="false" customHeight="false" outlineLevel="0" collapsed="false">
      <c r="A2398" s="61" t="n">
        <f aca="false">INDEX(Datos_Origen!$A$2:$A$2459,$Z2398)</f>
        <v>2397</v>
      </c>
      <c r="B2398" s="62" t="n">
        <f aca="false">IF(ISNUMBER($AB2398),$AB2398,IF(MID($AB2398,5,1)="-",DATE(VALUE(LEFT($AB2398,4)),VALUE(MID($AB2398,6,2)),VALUE(RIGHT($AB2398,2))),DATE(VALUE(RIGHT($AB2398,4)),VALUE(MID($AB2398,4,2)),VALUE(LEFT($AB2398,2)))))</f>
        <v>46004</v>
      </c>
      <c r="C2398" s="61" t="n">
        <f aca="false">YEAR($B2398)</f>
        <v>2025</v>
      </c>
      <c r="D2398" s="61" t="str">
        <f aca="false">"Q"&amp;ROUNDUP(MONTH($B2398)/3,0)</f>
        <v>Q4</v>
      </c>
      <c r="E2398" s="61" t="n">
        <f aca="false">MONTH($B2398)</f>
        <v>12</v>
      </c>
      <c r="F2398" s="61" t="str">
        <f aca="false">INDEX(Parametros!$I$5:$I$16,$E2398)</f>
        <v>Dic</v>
      </c>
      <c r="G2398" s="61" t="str">
        <f aca="false">TEXT($C2398,"0000")&amp;"-"&amp;TEXT($E2398,"00")</f>
        <v>2025-12</v>
      </c>
      <c r="H2398" s="61" t="str">
        <f aca="false">INDEX(Parametros!$C$71:$C$91,MATCH(TRIM(INDEX(Datos_Origen!$C$2:$C$2459,$Z2398)),Parametros!$B$71:$B$91,0))</f>
        <v>NOA</v>
      </c>
      <c r="I2398" s="61" t="str">
        <f aca="false">IF(TRIM($AD2398)="",INDEX(Parametros!$I$20:$I$24,MATCH($H2398,Parametros!$H$20:$H$24,0)),TRIM($AD2398))</f>
        <v>Tucuman</v>
      </c>
      <c r="J2398" s="61" t="str">
        <f aca="false">INDEX(Parametros!$C$95:$C$106,MATCH(TRIM(INDEX(Datos_Origen!$E$2:$E$2459,$Z2398)),Parametros!$B$95:$B$106,0))</f>
        <v>Tienda fisica</v>
      </c>
      <c r="K2398" s="61" t="str">
        <f aca="false">INDEX(Parametros!$C$48:$C$67,MATCH(TRIM(INDEX(Datos_Origen!$F$2:$F$2459,$Z2398)),Parametros!$B$48:$B$67,0))</f>
        <v>Almacenamiento</v>
      </c>
      <c r="L2398" s="61" t="str">
        <f aca="false">$K2398&amp;" "&amp;$C2398</f>
        <v>Almacenamiento 2025</v>
      </c>
      <c r="M2398" s="61" t="str">
        <f aca="false">TRIM(INDEX(Datos_Origen!$G$2:$G$2459,$Z2398))</f>
        <v>SSD Externo 1TB</v>
      </c>
      <c r="N2398" s="61" t="str">
        <f aca="false">$M2398&amp;" "&amp;$C2398</f>
        <v>SSD Externo 1TB 2025</v>
      </c>
      <c r="O2398" s="63" t="n">
        <f aca="false">IF(ISTEXT($AC2398),VALUE($AC2398),$AC2398)</f>
        <v>29</v>
      </c>
      <c r="P2398" s="64" t="n">
        <f aca="false">INDEX(Datos_Origen!$I$2:$I$2459,$Z2398)</f>
        <v>130.51</v>
      </c>
      <c r="Q2398" s="64" t="n">
        <f aca="false">INDEX(Datos_Origen!$J$2:$J$2459,$Z2398)</f>
        <v>78.33</v>
      </c>
      <c r="R2398" s="65" t="n">
        <f aca="false">ROUND($O2398*$P2398,2)</f>
        <v>3784.79</v>
      </c>
      <c r="S2398" s="65" t="n">
        <f aca="false">ROUND($O2398*$Q2398,2)</f>
        <v>2271.57</v>
      </c>
      <c r="T2398" s="65" t="n">
        <f aca="false">ROUND($R2398*SUMIFS(Parametros!$E$28:$E$43,Parametros!$B$28:$B$43,$J2398,Parametros!$C$28:$C$43,$C2398,Parametros!$D$28:$D$43,$D2398),2)</f>
        <v>49.2</v>
      </c>
      <c r="U2398" s="65" t="n">
        <f aca="false">$R2398-$S2398-$T2398</f>
        <v>1464.02</v>
      </c>
      <c r="V2398" s="66" t="n">
        <f aca="false">IFERROR($U2398/$R2398,0)</f>
        <v>0.386816705814589</v>
      </c>
      <c r="W2398" s="67" t="str">
        <f aca="false">IF(AND($V2398&gt;=Parametros!$C$8,$R2398&gt;=Parametros!$C$12),"Alta rentabilidad",IF(OR($V2398&lt;Parametros!$C$11,$R2398&lt;Parametros!$C$13),"Revisar","Estandar"))</f>
        <v>Alta rentabilidad</v>
      </c>
      <c r="X2398" s="67" t="str">
        <f aca="false">IF(AND($J2398="E-commerce",IFERROR($T2398/$R2398,0)&gt;Parametros!$C$14),"Alerta","OK")</f>
        <v>OK</v>
      </c>
      <c r="Y2398" s="61" t="str">
        <f aca="false">IF($R2398&gt;=Parametros!$C$12,"Alto",IF($R2398&lt;Parametros!$C$13,"Bajo","Medio"))</f>
        <v>Alto</v>
      </c>
      <c r="Z2398" s="61" t="n">
        <v>664</v>
      </c>
      <c r="AA2398" s="61" t="str">
        <f aca="false">IF(MATCH($A2398,Datos_Origen!$A$2:$A$2459,0)=$Z2398,"OK","REVISAR")</f>
        <v>OK</v>
      </c>
      <c r="AB2398" s="62" t="n">
        <f aca="false">INDEX(Datos_Origen!$B$2:$B$2459,$Z2398)</f>
        <v>46004</v>
      </c>
      <c r="AC2398" s="61" t="n">
        <f aca="false">INDEX(Datos_Origen!$H$2:$H$2459,$Z2398)</f>
        <v>29</v>
      </c>
      <c r="AD2398" s="61" t="str">
        <f aca="false">INDEX(Datos_Origen!$D$2:$D$2459,$Z2398)&amp;""</f>
        <v>Tucuman</v>
      </c>
    </row>
    <row r="2399" customFormat="false" ht="15" hidden="false" customHeight="false" outlineLevel="0" collapsed="false">
      <c r="A2399" s="61" t="n">
        <f aca="false">INDEX(Datos_Origen!$A$2:$A$2459,$Z2399)</f>
        <v>2398</v>
      </c>
      <c r="B2399" s="62" t="n">
        <f aca="false">IF(ISNUMBER($AB2399),$AB2399,IF(MID($AB2399,5,1)="-",DATE(VALUE(LEFT($AB2399,4)),VALUE(MID($AB2399,6,2)),VALUE(RIGHT($AB2399,2))),DATE(VALUE(RIGHT($AB2399,4)),VALUE(MID($AB2399,4,2)),VALUE(LEFT($AB2399,2)))))</f>
        <v>46011</v>
      </c>
      <c r="C2399" s="61" t="n">
        <f aca="false">YEAR($B2399)</f>
        <v>2025</v>
      </c>
      <c r="D2399" s="61" t="str">
        <f aca="false">"Q"&amp;ROUNDUP(MONTH($B2399)/3,0)</f>
        <v>Q4</v>
      </c>
      <c r="E2399" s="61" t="n">
        <f aca="false">MONTH($B2399)</f>
        <v>12</v>
      </c>
      <c r="F2399" s="61" t="str">
        <f aca="false">INDEX(Parametros!$I$5:$I$16,$E2399)</f>
        <v>Dic</v>
      </c>
      <c r="G2399" s="61" t="str">
        <f aca="false">TEXT($C2399,"0000")&amp;"-"&amp;TEXT($E2399,"00")</f>
        <v>2025-12</v>
      </c>
      <c r="H2399" s="61" t="str">
        <f aca="false">INDEX(Parametros!$C$71:$C$91,MATCH(TRIM(INDEX(Datos_Origen!$C$2:$C$2459,$Z2399)),Parametros!$B$71:$B$91,0))</f>
        <v>NOA</v>
      </c>
      <c r="I2399" s="61" t="str">
        <f aca="false">IF(TRIM($AD2399)="",INDEX(Parametros!$I$20:$I$24,MATCH($H2399,Parametros!$H$20:$H$24,0)),TRIM($AD2399))</f>
        <v>Tucuman</v>
      </c>
      <c r="J2399" s="61" t="str">
        <f aca="false">INDEX(Parametros!$C$95:$C$106,MATCH(TRIM(INDEX(Datos_Origen!$E$2:$E$2459,$Z2399)),Parametros!$B$95:$B$106,0))</f>
        <v>E-commerce</v>
      </c>
      <c r="K2399" s="61" t="str">
        <f aca="false">INDEX(Parametros!$C$48:$C$67,MATCH(TRIM(INDEX(Datos_Origen!$F$2:$F$2459,$Z2399)),Parametros!$B$48:$B$67,0))</f>
        <v>Almacenamiento</v>
      </c>
      <c r="L2399" s="61" t="str">
        <f aca="false">$K2399&amp;" "&amp;$C2399</f>
        <v>Almacenamiento 2025</v>
      </c>
      <c r="M2399" s="61" t="str">
        <f aca="false">TRIM(INDEX(Datos_Origen!$G$2:$G$2459,$Z2399))</f>
        <v>SSD Externo 1TB</v>
      </c>
      <c r="N2399" s="61" t="str">
        <f aca="false">$M2399&amp;" "&amp;$C2399</f>
        <v>SSD Externo 1TB 2025</v>
      </c>
      <c r="O2399" s="63" t="n">
        <f aca="false">IF(ISTEXT($AC2399),VALUE($AC2399),$AC2399)</f>
        <v>18</v>
      </c>
      <c r="P2399" s="64" t="n">
        <f aca="false">INDEX(Datos_Origen!$I$2:$I$2459,$Z2399)</f>
        <v>130.51</v>
      </c>
      <c r="Q2399" s="64" t="n">
        <f aca="false">INDEX(Datos_Origen!$J$2:$J$2459,$Z2399)</f>
        <v>78.33</v>
      </c>
      <c r="R2399" s="65" t="n">
        <f aca="false">ROUND($O2399*$P2399,2)</f>
        <v>2349.18</v>
      </c>
      <c r="S2399" s="65" t="n">
        <f aca="false">ROUND($O2399*$Q2399,2)</f>
        <v>1409.94</v>
      </c>
      <c r="T2399" s="65" t="n">
        <f aca="false">ROUND($R2399*SUMIFS(Parametros!$E$28:$E$43,Parametros!$B$28:$B$43,$J2399,Parametros!$C$28:$C$43,$C2399,Parametros!$D$28:$D$43,$D2399),2)</f>
        <v>122.16</v>
      </c>
      <c r="U2399" s="65" t="n">
        <f aca="false">$R2399-$S2399-$T2399</f>
        <v>817.08</v>
      </c>
      <c r="V2399" s="66" t="n">
        <f aca="false">IFERROR($U2399/$R2399,0)</f>
        <v>0.347814982249125</v>
      </c>
      <c r="W2399" s="67" t="str">
        <f aca="false">IF(AND($V2399&gt;=Parametros!$C$8,$R2399&gt;=Parametros!$C$12),"Alta rentabilidad",IF(OR($V2399&lt;Parametros!$C$11,$R2399&lt;Parametros!$C$13),"Revisar","Estandar"))</f>
        <v>Estandar</v>
      </c>
      <c r="X2399" s="67" t="str">
        <f aca="false">IF(AND($J2399="E-commerce",IFERROR($T2399/$R2399,0)&gt;Parametros!$C$14),"Alerta","OK")</f>
        <v>Alerta</v>
      </c>
      <c r="Y2399" s="61" t="str">
        <f aca="false">IF($R2399&gt;=Parametros!$C$12,"Alto",IF($R2399&lt;Parametros!$C$13,"Bajo","Medio"))</f>
        <v>Medio</v>
      </c>
      <c r="Z2399" s="61" t="n">
        <v>1698</v>
      </c>
      <c r="AA2399" s="61" t="str">
        <f aca="false">IF(MATCH($A2399,Datos_Origen!$A$2:$A$2459,0)=$Z2399,"OK","REVISAR")</f>
        <v>OK</v>
      </c>
      <c r="AB2399" s="61" t="str">
        <f aca="false">INDEX(Datos_Origen!$B$2:$B$2459,$Z2399)</f>
        <v>20/12/2025</v>
      </c>
      <c r="AC2399" s="61" t="n">
        <f aca="false">INDEX(Datos_Origen!$H$2:$H$2459,$Z2399)</f>
        <v>18</v>
      </c>
      <c r="AD2399" s="61" t="str">
        <f aca="false">INDEX(Datos_Origen!$D$2:$D$2459,$Z2399)&amp;""</f>
        <v>Tucuman</v>
      </c>
    </row>
    <row r="2400" customFormat="false" ht="15" hidden="false" customHeight="false" outlineLevel="0" collapsed="false">
      <c r="A2400" s="61" t="n">
        <f aca="false">INDEX(Datos_Origen!$A$2:$A$2459,$Z2400)</f>
        <v>2399</v>
      </c>
      <c r="B2400" s="62" t="n">
        <f aca="false">IF(ISNUMBER($AB2400),$AB2400,IF(MID($AB2400,5,1)="-",DATE(VALUE(LEFT($AB2400,4)),VALUE(MID($AB2400,6,2)),VALUE(RIGHT($AB2400,2))),DATE(VALUE(RIGHT($AB2400,4)),VALUE(MID($AB2400,4,2)),VALUE(LEFT($AB2400,2)))))</f>
        <v>46018</v>
      </c>
      <c r="C2400" s="61" t="n">
        <f aca="false">YEAR($B2400)</f>
        <v>2025</v>
      </c>
      <c r="D2400" s="61" t="str">
        <f aca="false">"Q"&amp;ROUNDUP(MONTH($B2400)/3,0)</f>
        <v>Q4</v>
      </c>
      <c r="E2400" s="61" t="n">
        <f aca="false">MONTH($B2400)</f>
        <v>12</v>
      </c>
      <c r="F2400" s="61" t="str">
        <f aca="false">INDEX(Parametros!$I$5:$I$16,$E2400)</f>
        <v>Dic</v>
      </c>
      <c r="G2400" s="61" t="str">
        <f aca="false">TEXT($C2400,"0000")&amp;"-"&amp;TEXT($E2400,"00")</f>
        <v>2025-12</v>
      </c>
      <c r="H2400" s="61" t="str">
        <f aca="false">INDEX(Parametros!$C$71:$C$91,MATCH(TRIM(INDEX(Datos_Origen!$C$2:$C$2459,$Z2400)),Parametros!$B$71:$B$91,0))</f>
        <v>NOA</v>
      </c>
      <c r="I2400" s="61" t="str">
        <f aca="false">IF(TRIM($AD2400)="",INDEX(Parametros!$I$20:$I$24,MATCH($H2400,Parametros!$H$20:$H$24,0)),TRIM($AD2400))</f>
        <v>Tucuman</v>
      </c>
      <c r="J2400" s="61" t="str">
        <f aca="false">INDEX(Parametros!$C$95:$C$106,MATCH(TRIM(INDEX(Datos_Origen!$E$2:$E$2459,$Z2400)),Parametros!$B$95:$B$106,0))</f>
        <v>Tienda fisica</v>
      </c>
      <c r="K2400" s="61" t="str">
        <f aca="false">INDEX(Parametros!$C$48:$C$67,MATCH(TRIM(INDEX(Datos_Origen!$F$2:$F$2459,$Z2400)),Parametros!$B$48:$B$67,0))</f>
        <v>Almacenamiento</v>
      </c>
      <c r="L2400" s="61" t="str">
        <f aca="false">$K2400&amp;" "&amp;$C2400</f>
        <v>Almacenamiento 2025</v>
      </c>
      <c r="M2400" s="61" t="str">
        <f aca="false">TRIM(INDEX(Datos_Origen!$G$2:$G$2459,$Z2400))</f>
        <v>Pendrive 256GB</v>
      </c>
      <c r="N2400" s="61" t="str">
        <f aca="false">$M2400&amp;" "&amp;$C2400</f>
        <v>Pendrive 256GB 2025</v>
      </c>
      <c r="O2400" s="63" t="n">
        <f aca="false">IF(ISTEXT($AC2400),VALUE($AC2400),$AC2400)</f>
        <v>23</v>
      </c>
      <c r="P2400" s="64" t="n">
        <f aca="false">INDEX(Datos_Origen!$I$2:$I$2459,$Z2400)</f>
        <v>35.14</v>
      </c>
      <c r="Q2400" s="64" t="n">
        <f aca="false">INDEX(Datos_Origen!$J$2:$J$2459,$Z2400)</f>
        <v>18.39</v>
      </c>
      <c r="R2400" s="65" t="n">
        <f aca="false">ROUND($O2400*$P2400,2)</f>
        <v>808.22</v>
      </c>
      <c r="S2400" s="65" t="n">
        <f aca="false">ROUND($O2400*$Q2400,2)</f>
        <v>422.97</v>
      </c>
      <c r="T2400" s="65" t="n">
        <f aca="false">ROUND($R2400*SUMIFS(Parametros!$E$28:$E$43,Parametros!$B$28:$B$43,$J2400,Parametros!$C$28:$C$43,$C2400,Parametros!$D$28:$D$43,$D2400),2)</f>
        <v>10.51</v>
      </c>
      <c r="U2400" s="65" t="n">
        <f aca="false">$R2400-$S2400-$T2400</f>
        <v>374.74</v>
      </c>
      <c r="V2400" s="66" t="n">
        <f aca="false">IFERROR($U2400/$R2400,0)</f>
        <v>0.46366088441266</v>
      </c>
      <c r="W2400" s="67" t="str">
        <f aca="false">IF(AND($V2400&gt;=Parametros!$C$8,$R2400&gt;=Parametros!$C$12),"Alta rentabilidad",IF(OR($V2400&lt;Parametros!$C$11,$R2400&lt;Parametros!$C$13),"Revisar","Estandar"))</f>
        <v>Estandar</v>
      </c>
      <c r="X2400" s="67" t="str">
        <f aca="false">IF(AND($J2400="E-commerce",IFERROR($T2400/$R2400,0)&gt;Parametros!$C$14),"Alerta","OK")</f>
        <v>OK</v>
      </c>
      <c r="Y2400" s="61" t="str">
        <f aca="false">IF($R2400&gt;=Parametros!$C$12,"Alto",IF($R2400&lt;Parametros!$C$13,"Bajo","Medio"))</f>
        <v>Medio</v>
      </c>
      <c r="Z2400" s="61" t="n">
        <v>914</v>
      </c>
      <c r="AA2400" s="61" t="str">
        <f aca="false">IF(MATCH($A2400,Datos_Origen!$A$2:$A$2459,0)=$Z2400,"OK","REVISAR")</f>
        <v>OK</v>
      </c>
      <c r="AB2400" s="61" t="str">
        <f aca="false">INDEX(Datos_Origen!$B$2:$B$2459,$Z2400)</f>
        <v>27/12/2025</v>
      </c>
      <c r="AC2400" s="61" t="n">
        <f aca="false">INDEX(Datos_Origen!$H$2:$H$2459,$Z2400)</f>
        <v>23</v>
      </c>
      <c r="AD2400" s="61" t="str">
        <f aca="false">INDEX(Datos_Origen!$D$2:$D$2459,$Z2400)&amp;""</f>
        <v>Tucuman</v>
      </c>
    </row>
    <row r="2401" customFormat="false" ht="15" hidden="false" customHeight="false" outlineLevel="0" collapsed="false">
      <c r="A2401" s="61" t="n">
        <f aca="false">INDEX(Datos_Origen!$A$2:$A$2459,$Z2401)</f>
        <v>2400</v>
      </c>
      <c r="B2401" s="62" t="n">
        <f aca="false">IF(ISNUMBER($AB2401),$AB2401,IF(MID($AB2401,5,1)="-",DATE(VALUE(LEFT($AB2401,4)),VALUE(MID($AB2401,6,2)),VALUE(RIGHT($AB2401,2))),DATE(VALUE(RIGHT($AB2401,4)),VALUE(MID($AB2401,4,2)),VALUE(LEFT($AB2401,2)))))</f>
        <v>45998</v>
      </c>
      <c r="C2401" s="61" t="n">
        <f aca="false">YEAR($B2401)</f>
        <v>2025</v>
      </c>
      <c r="D2401" s="61" t="str">
        <f aca="false">"Q"&amp;ROUNDUP(MONTH($B2401)/3,0)</f>
        <v>Q4</v>
      </c>
      <c r="E2401" s="61" t="n">
        <f aca="false">MONTH($B2401)</f>
        <v>12</v>
      </c>
      <c r="F2401" s="61" t="str">
        <f aca="false">INDEX(Parametros!$I$5:$I$16,$E2401)</f>
        <v>Dic</v>
      </c>
      <c r="G2401" s="61" t="str">
        <f aca="false">TEXT($C2401,"0000")&amp;"-"&amp;TEXT($E2401,"00")</f>
        <v>2025-12</v>
      </c>
      <c r="H2401" s="61" t="str">
        <f aca="false">INDEX(Parametros!$C$71:$C$91,MATCH(TRIM(INDEX(Datos_Origen!$C$2:$C$2459,$Z2401)),Parametros!$B$71:$B$91,0))</f>
        <v>NOA</v>
      </c>
      <c r="I2401" s="61" t="str">
        <f aca="false">IF(TRIM($AD2401)="",INDEX(Parametros!$I$20:$I$24,MATCH($H2401,Parametros!$H$20:$H$24,0)),TRIM($AD2401))</f>
        <v>Tucuman</v>
      </c>
      <c r="J2401" s="61" t="str">
        <f aca="false">INDEX(Parametros!$C$95:$C$106,MATCH(TRIM(INDEX(Datos_Origen!$E$2:$E$2459,$Z2401)),Parametros!$B$95:$B$106,0))</f>
        <v>E-commerce</v>
      </c>
      <c r="K2401" s="61" t="str">
        <f aca="false">INDEX(Parametros!$C$48:$C$67,MATCH(TRIM(INDEX(Datos_Origen!$F$2:$F$2459,$Z2401)),Parametros!$B$48:$B$67,0))</f>
        <v>Almacenamiento</v>
      </c>
      <c r="L2401" s="61" t="str">
        <f aca="false">$K2401&amp;" "&amp;$C2401</f>
        <v>Almacenamiento 2025</v>
      </c>
      <c r="M2401" s="61" t="str">
        <f aca="false">TRIM(INDEX(Datos_Origen!$G$2:$G$2459,$Z2401))</f>
        <v>Pendrive 256GB</v>
      </c>
      <c r="N2401" s="61" t="str">
        <f aca="false">$M2401&amp;" "&amp;$C2401</f>
        <v>Pendrive 256GB 2025</v>
      </c>
      <c r="O2401" s="63" t="n">
        <f aca="false">IF(ISTEXT($AC2401),VALUE($AC2401),$AC2401)</f>
        <v>17</v>
      </c>
      <c r="P2401" s="64" t="n">
        <f aca="false">INDEX(Datos_Origen!$I$2:$I$2459,$Z2401)</f>
        <v>35.14</v>
      </c>
      <c r="Q2401" s="64" t="n">
        <f aca="false">INDEX(Datos_Origen!$J$2:$J$2459,$Z2401)</f>
        <v>18.39</v>
      </c>
      <c r="R2401" s="65" t="n">
        <f aca="false">ROUND($O2401*$P2401,2)</f>
        <v>597.38</v>
      </c>
      <c r="S2401" s="65" t="n">
        <f aca="false">ROUND($O2401*$Q2401,2)</f>
        <v>312.63</v>
      </c>
      <c r="T2401" s="65" t="n">
        <f aca="false">ROUND($R2401*SUMIFS(Parametros!$E$28:$E$43,Parametros!$B$28:$B$43,$J2401,Parametros!$C$28:$C$43,$C2401,Parametros!$D$28:$D$43,$D2401),2)</f>
        <v>31.06</v>
      </c>
      <c r="U2401" s="65" t="n">
        <f aca="false">$R2401-$S2401-$T2401</f>
        <v>253.69</v>
      </c>
      <c r="V2401" s="66" t="n">
        <f aca="false">IFERROR($U2401/$R2401,0)</f>
        <v>0.424671063644581</v>
      </c>
      <c r="W2401" s="67" t="str">
        <f aca="false">IF(AND($V2401&gt;=Parametros!$C$8,$R2401&gt;=Parametros!$C$12),"Alta rentabilidad",IF(OR($V2401&lt;Parametros!$C$11,$R2401&lt;Parametros!$C$13),"Revisar","Estandar"))</f>
        <v>Estandar</v>
      </c>
      <c r="X2401" s="67" t="str">
        <f aca="false">IF(AND($J2401="E-commerce",IFERROR($T2401/$R2401,0)&gt;Parametros!$C$14),"Alerta","OK")</f>
        <v>Alerta</v>
      </c>
      <c r="Y2401" s="61" t="str">
        <f aca="false">IF($R2401&gt;=Parametros!$C$12,"Alto",IF($R2401&lt;Parametros!$C$13,"Bajo","Medio"))</f>
        <v>Medio</v>
      </c>
      <c r="Z2401" s="61" t="n">
        <v>2149</v>
      </c>
      <c r="AA2401" s="61" t="str">
        <f aca="false">IF(MATCH($A2401,Datos_Origen!$A$2:$A$2459,0)=$Z2401,"OK","REVISAR")</f>
        <v>OK</v>
      </c>
      <c r="AB2401" s="62" t="n">
        <f aca="false">INDEX(Datos_Origen!$B$2:$B$2459,$Z2401)</f>
        <v>45998</v>
      </c>
      <c r="AC2401" s="61" t="n">
        <f aca="false">INDEX(Datos_Origen!$H$2:$H$2459,$Z2401)</f>
        <v>17</v>
      </c>
      <c r="AD2401" s="61" t="str">
        <f aca="false">INDEX(Datos_Origen!$D$2:$D$2459,$Z2401)&amp;""</f>
        <v>Tucuman</v>
      </c>
    </row>
  </sheetData>
  <conditionalFormatting sqref="W2:W2401">
    <cfRule type="expression" priority="2" aboveAverage="0" equalAverage="0" bottom="0" percent="0" rank="0" text="" dxfId="8">
      <formula>W2="Revisar"</formula>
    </cfRule>
  </conditionalFormatting>
  <conditionalFormatting sqref="X2:X2401">
    <cfRule type="expression" priority="3" aboveAverage="0" equalAverage="0" bottom="0" percent="0" rank="0" text="" dxfId="8">
      <formula>X2="Alerta"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2459"/>
  <sheetViews>
    <sheetView showFormulas="false" showGridLines="true" showRowColHeaders="fals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3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7"/>
    <col collapsed="false" customWidth="true" hidden="false" outlineLevel="0" max="7" min="7" style="0" width="21"/>
    <col collapsed="false" customWidth="true" hidden="false" outlineLevel="0" max="8" min="8" style="0" width="11"/>
    <col collapsed="false" customWidth="true" hidden="false" outlineLevel="0" max="11" min="9" style="0" width="15"/>
    <col collapsed="false" customWidth="true" hidden="false" outlineLevel="0" max="13" min="13" style="0" width="3"/>
    <col collapsed="false" customWidth="true" hidden="false" outlineLevel="0" max="18" min="14" style="0" width="17"/>
  </cols>
  <sheetData>
    <row r="1" customFormat="false" ht="15" hidden="false" customHeight="false" outlineLevel="0" collapsed="false">
      <c r="A1" s="59" t="s">
        <v>62</v>
      </c>
      <c r="B1" s="59" t="s">
        <v>63</v>
      </c>
      <c r="C1" s="59" t="s">
        <v>20</v>
      </c>
      <c r="D1" s="59" t="s">
        <v>68</v>
      </c>
      <c r="E1" s="59" t="s">
        <v>69</v>
      </c>
      <c r="F1" s="59" t="s">
        <v>24</v>
      </c>
      <c r="G1" s="59" t="s">
        <v>39</v>
      </c>
      <c r="H1" s="59" t="s">
        <v>23</v>
      </c>
      <c r="I1" s="59" t="s">
        <v>72</v>
      </c>
      <c r="J1" s="59" t="s">
        <v>73</v>
      </c>
      <c r="K1" s="60" t="s">
        <v>85</v>
      </c>
    </row>
    <row r="2" customFormat="false" ht="15" hidden="false" customHeight="false" outlineLevel="0" collapsed="false">
      <c r="A2" s="0" t="n">
        <v>1724</v>
      </c>
      <c r="B2" s="68" t="n">
        <v>45835</v>
      </c>
      <c r="C2" s="69" t="s">
        <v>27</v>
      </c>
      <c r="D2" s="69" t="s">
        <v>86</v>
      </c>
      <c r="E2" s="69" t="s">
        <v>87</v>
      </c>
      <c r="F2" s="69" t="s">
        <v>88</v>
      </c>
      <c r="G2" s="69" t="s">
        <v>89</v>
      </c>
      <c r="H2" s="0" t="n">
        <v>10</v>
      </c>
      <c r="I2" s="70" t="n">
        <v>433.15</v>
      </c>
      <c r="J2" s="70" t="n">
        <v>280.42</v>
      </c>
      <c r="K2" s="70" t="n">
        <f aca="false">IF(ISTEXT(H2),VALUE(H2),H2)*I2</f>
        <v>4331.5</v>
      </c>
      <c r="N2" s="49" t="s">
        <v>90</v>
      </c>
      <c r="O2" s="1"/>
      <c r="P2" s="1"/>
      <c r="Q2" s="1"/>
      <c r="R2" s="1"/>
    </row>
    <row r="3" customFormat="false" ht="15" hidden="false" customHeight="false" outlineLevel="0" collapsed="false">
      <c r="A3" s="0" t="n">
        <v>639</v>
      </c>
      <c r="B3" s="68" t="n">
        <v>45492</v>
      </c>
      <c r="C3" s="69" t="s">
        <v>91</v>
      </c>
      <c r="D3" s="69" t="s">
        <v>86</v>
      </c>
      <c r="E3" s="69" t="s">
        <v>92</v>
      </c>
      <c r="F3" s="69" t="s">
        <v>93</v>
      </c>
      <c r="G3" s="69" t="s">
        <v>94</v>
      </c>
      <c r="H3" s="0" t="n">
        <v>30</v>
      </c>
      <c r="I3" s="70" t="n">
        <v>34.3</v>
      </c>
      <c r="J3" s="70" t="n">
        <v>17.85</v>
      </c>
      <c r="K3" s="70" t="n">
        <f aca="false">IF(ISTEXT(H3),VALUE(H3),H3)*I3</f>
        <v>1029</v>
      </c>
    </row>
    <row r="4" customFormat="false" ht="15" hidden="false" customHeight="false" outlineLevel="0" collapsed="false">
      <c r="A4" s="0" t="n">
        <v>8</v>
      </c>
      <c r="B4" s="69" t="s">
        <v>95</v>
      </c>
      <c r="C4" s="69" t="s">
        <v>96</v>
      </c>
      <c r="D4" s="69" t="s">
        <v>97</v>
      </c>
      <c r="E4" s="69" t="s">
        <v>98</v>
      </c>
      <c r="F4" s="69" t="s">
        <v>99</v>
      </c>
      <c r="G4" s="69" t="s">
        <v>47</v>
      </c>
      <c r="H4" s="0" t="n">
        <v>30</v>
      </c>
      <c r="I4" s="70" t="n">
        <v>27.44</v>
      </c>
      <c r="J4" s="70" t="n">
        <v>13.44</v>
      </c>
      <c r="K4" s="70" t="n">
        <f aca="false">IF(ISTEXT(H4),VALUE(H4),H4)*I4</f>
        <v>823.2</v>
      </c>
      <c r="N4" s="71" t="s">
        <v>100</v>
      </c>
      <c r="O4" s="71"/>
      <c r="P4" s="71"/>
      <c r="Q4" s="71"/>
      <c r="R4" s="71"/>
    </row>
    <row r="5" customFormat="false" ht="15" hidden="false" customHeight="true" outlineLevel="0" collapsed="false">
      <c r="A5" s="0" t="n">
        <v>1807</v>
      </c>
      <c r="B5" s="68" t="n">
        <v>45852</v>
      </c>
      <c r="C5" s="69" t="s">
        <v>96</v>
      </c>
      <c r="D5" s="69" t="s">
        <v>97</v>
      </c>
      <c r="E5" s="69" t="s">
        <v>101</v>
      </c>
      <c r="F5" s="69" t="s">
        <v>102</v>
      </c>
      <c r="G5" s="69" t="s">
        <v>103</v>
      </c>
      <c r="H5" s="0" t="s">
        <v>104</v>
      </c>
      <c r="I5" s="70" t="n">
        <v>28.11</v>
      </c>
      <c r="J5" s="70" t="n">
        <v>13.84</v>
      </c>
      <c r="K5" s="70" t="n">
        <f aca="false">IF(ISTEXT(H5),VALUE(H5),H5)*I5</f>
        <v>2670.45</v>
      </c>
      <c r="N5" s="72" t="s">
        <v>105</v>
      </c>
      <c r="O5" s="72"/>
      <c r="P5" s="72"/>
      <c r="Q5" s="72"/>
      <c r="R5" s="72"/>
    </row>
    <row r="6" customFormat="false" ht="15" hidden="false" customHeight="false" outlineLevel="0" collapsed="false">
      <c r="A6" s="0" t="n">
        <v>1511</v>
      </c>
      <c r="B6" s="68" t="n">
        <v>45768</v>
      </c>
      <c r="C6" s="69" t="s">
        <v>96</v>
      </c>
      <c r="D6" s="69" t="s">
        <v>97</v>
      </c>
      <c r="E6" s="69" t="s">
        <v>92</v>
      </c>
      <c r="F6" s="69" t="s">
        <v>102</v>
      </c>
      <c r="G6" s="69" t="s">
        <v>49</v>
      </c>
      <c r="H6" s="0" t="n">
        <v>86</v>
      </c>
      <c r="I6" s="70" t="n">
        <v>64.58</v>
      </c>
      <c r="J6" s="70" t="n">
        <v>36.49</v>
      </c>
      <c r="K6" s="70" t="n">
        <f aca="false">IF(ISTEXT(H6),VALUE(H6),H6)*I6</f>
        <v>5553.88</v>
      </c>
      <c r="N6" s="72"/>
      <c r="O6" s="72"/>
      <c r="P6" s="72"/>
      <c r="Q6" s="72"/>
      <c r="R6" s="72"/>
    </row>
    <row r="7" customFormat="false" ht="15" hidden="false" customHeight="false" outlineLevel="0" collapsed="false">
      <c r="A7" s="0" t="n">
        <v>836</v>
      </c>
      <c r="B7" s="69" t="s">
        <v>106</v>
      </c>
      <c r="C7" s="69" t="s">
        <v>91</v>
      </c>
      <c r="D7" s="69" t="s">
        <v>86</v>
      </c>
      <c r="E7" s="69" t="s">
        <v>107</v>
      </c>
      <c r="F7" s="69" t="s">
        <v>31</v>
      </c>
      <c r="G7" s="69" t="s">
        <v>51</v>
      </c>
      <c r="H7" s="0" t="n">
        <v>12</v>
      </c>
      <c r="I7" s="70" t="n">
        <v>83.3</v>
      </c>
      <c r="J7" s="70" t="n">
        <v>48.03</v>
      </c>
      <c r="K7" s="70" t="n">
        <f aca="false">IF(ISTEXT(H7),VALUE(H7),H7)*I7</f>
        <v>999.6</v>
      </c>
      <c r="N7" s="72"/>
      <c r="O7" s="72"/>
      <c r="P7" s="72"/>
      <c r="Q7" s="72"/>
      <c r="R7" s="72"/>
    </row>
    <row r="8" customFormat="false" ht="15" hidden="false" customHeight="false" outlineLevel="0" collapsed="false">
      <c r="A8" s="0" t="n">
        <v>1355</v>
      </c>
      <c r="B8" s="68" t="n">
        <v>45697</v>
      </c>
      <c r="C8" s="69" t="s">
        <v>108</v>
      </c>
      <c r="D8" s="69" t="s">
        <v>109</v>
      </c>
      <c r="E8" s="69" t="s">
        <v>110</v>
      </c>
      <c r="F8" s="69" t="s">
        <v>31</v>
      </c>
      <c r="G8" s="69" t="s">
        <v>111</v>
      </c>
      <c r="H8" s="0" t="n">
        <v>15</v>
      </c>
      <c r="I8" s="70" t="n">
        <v>84.46</v>
      </c>
      <c r="J8" s="70" t="n">
        <v>49.47</v>
      </c>
      <c r="K8" s="70" t="n">
        <f aca="false">IF(ISTEXT(H8),VALUE(H8),H8)*I8</f>
        <v>1266.9</v>
      </c>
    </row>
    <row r="9" customFormat="false" ht="15" hidden="false" customHeight="false" outlineLevel="0" collapsed="false">
      <c r="A9" s="0" t="n">
        <v>1387</v>
      </c>
      <c r="B9" s="68" t="n">
        <v>45705</v>
      </c>
      <c r="C9" s="69" t="s">
        <v>34</v>
      </c>
      <c r="D9" s="69" t="s">
        <v>112</v>
      </c>
      <c r="E9" s="69" t="s">
        <v>110</v>
      </c>
      <c r="F9" s="69" t="s">
        <v>28</v>
      </c>
      <c r="G9" s="69" t="s">
        <v>113</v>
      </c>
      <c r="H9" s="0" t="n">
        <v>25</v>
      </c>
      <c r="I9" s="70" t="n">
        <v>27.82</v>
      </c>
      <c r="J9" s="70" t="n">
        <v>13.84</v>
      </c>
      <c r="K9" s="70" t="n">
        <f aca="false">IF(ISTEXT(H9),VALUE(H9),H9)*I9</f>
        <v>695.5</v>
      </c>
      <c r="N9" s="71" t="s">
        <v>114</v>
      </c>
      <c r="O9" s="71"/>
      <c r="P9" s="71"/>
      <c r="Q9" s="71"/>
      <c r="R9" s="71"/>
    </row>
    <row r="10" customFormat="false" ht="15" hidden="false" customHeight="true" outlineLevel="0" collapsed="false">
      <c r="A10" s="0" t="n">
        <v>516</v>
      </c>
      <c r="B10" s="68" t="n">
        <v>45465</v>
      </c>
      <c r="C10" s="69" t="s">
        <v>25</v>
      </c>
      <c r="D10" s="69" t="s">
        <v>97</v>
      </c>
      <c r="E10" s="69" t="s">
        <v>107</v>
      </c>
      <c r="F10" s="69" t="s">
        <v>115</v>
      </c>
      <c r="G10" s="69" t="s">
        <v>116</v>
      </c>
      <c r="H10" s="0" t="n">
        <v>17</v>
      </c>
      <c r="I10" s="70" t="n">
        <v>83.3</v>
      </c>
      <c r="J10" s="70" t="n">
        <v>48.03</v>
      </c>
      <c r="K10" s="70" t="n">
        <f aca="false">IF(ISTEXT(H10),VALUE(H10),H10)*I10</f>
        <v>1416.1</v>
      </c>
      <c r="N10" s="72" t="s">
        <v>117</v>
      </c>
      <c r="O10" s="72"/>
      <c r="P10" s="72"/>
      <c r="Q10" s="72"/>
      <c r="R10" s="72"/>
    </row>
    <row r="11" customFormat="false" ht="15" hidden="false" customHeight="false" outlineLevel="0" collapsed="false">
      <c r="A11" s="0" t="n">
        <v>1948</v>
      </c>
      <c r="B11" s="68" t="n">
        <v>45871</v>
      </c>
      <c r="C11" s="69" t="s">
        <v>118</v>
      </c>
      <c r="D11" s="69" t="s">
        <v>109</v>
      </c>
      <c r="E11" s="69" t="s">
        <v>119</v>
      </c>
      <c r="F11" s="69" t="s">
        <v>28</v>
      </c>
      <c r="G11" s="69" t="s">
        <v>47</v>
      </c>
      <c r="H11" s="0" t="n">
        <v>25</v>
      </c>
      <c r="I11" s="70" t="n">
        <v>28.11</v>
      </c>
      <c r="J11" s="70" t="n">
        <v>13.84</v>
      </c>
      <c r="K11" s="70" t="n">
        <f aca="false">IF(ISTEXT(H11),VALUE(H11),H11)*I11</f>
        <v>702.75</v>
      </c>
      <c r="N11" s="72"/>
      <c r="O11" s="72"/>
      <c r="P11" s="72"/>
      <c r="Q11" s="72"/>
      <c r="R11" s="72"/>
    </row>
    <row r="12" customFormat="false" ht="15" hidden="false" customHeight="false" outlineLevel="0" collapsed="false">
      <c r="A12" s="0" t="n">
        <v>1223</v>
      </c>
      <c r="B12" s="68" t="n">
        <v>45660</v>
      </c>
      <c r="C12" s="69" t="s">
        <v>120</v>
      </c>
      <c r="D12" s="69" t="s">
        <v>86</v>
      </c>
      <c r="E12" s="69" t="s">
        <v>121</v>
      </c>
      <c r="F12" s="69" t="s">
        <v>26</v>
      </c>
      <c r="G12" s="69" t="s">
        <v>43</v>
      </c>
      <c r="H12" s="0" t="s">
        <v>122</v>
      </c>
      <c r="I12" s="70" t="n">
        <v>433.15</v>
      </c>
      <c r="J12" s="70" t="n">
        <v>280.42</v>
      </c>
      <c r="K12" s="70" t="n">
        <f aca="false">IF(ISTEXT(H12),VALUE(H12),H12)*I12</f>
        <v>3898.35</v>
      </c>
      <c r="N12" s="72"/>
      <c r="O12" s="72"/>
      <c r="P12" s="72"/>
      <c r="Q12" s="72"/>
      <c r="R12" s="72"/>
    </row>
    <row r="13" customFormat="false" ht="15" hidden="false" customHeight="false" outlineLevel="0" collapsed="false">
      <c r="A13" s="0" t="n">
        <v>808</v>
      </c>
      <c r="B13" s="69" t="s">
        <v>123</v>
      </c>
      <c r="C13" s="69" t="s">
        <v>124</v>
      </c>
      <c r="D13" s="69" t="s">
        <v>97</v>
      </c>
      <c r="E13" s="69" t="s">
        <v>125</v>
      </c>
      <c r="F13" s="69" t="s">
        <v>99</v>
      </c>
      <c r="G13" s="69" t="s">
        <v>113</v>
      </c>
      <c r="H13" s="0" t="n">
        <v>45</v>
      </c>
      <c r="I13" s="70" t="n">
        <v>27.44</v>
      </c>
      <c r="J13" s="70" t="n">
        <v>13.44</v>
      </c>
      <c r="K13" s="70" t="n">
        <f aca="false">IF(ISTEXT(H13),VALUE(H13),H13)*I13</f>
        <v>1234.8</v>
      </c>
    </row>
    <row r="14" customFormat="false" ht="15" hidden="false" customHeight="false" outlineLevel="0" collapsed="false">
      <c r="A14" s="0" t="n">
        <v>1058</v>
      </c>
      <c r="B14" s="69" t="s">
        <v>126</v>
      </c>
      <c r="C14" s="69" t="s">
        <v>108</v>
      </c>
      <c r="D14" s="69" t="s">
        <v>109</v>
      </c>
      <c r="E14" s="69" t="s">
        <v>98</v>
      </c>
      <c r="F14" s="69" t="s">
        <v>93</v>
      </c>
      <c r="G14" s="69" t="s">
        <v>127</v>
      </c>
      <c r="H14" s="0" t="n">
        <v>13</v>
      </c>
      <c r="I14" s="70" t="n">
        <v>127.4</v>
      </c>
      <c r="J14" s="70" t="n">
        <v>76.05</v>
      </c>
      <c r="K14" s="70" t="n">
        <f aca="false">IF(ISTEXT(H14),VALUE(H14),H14)*I14</f>
        <v>1656.2</v>
      </c>
      <c r="N14" s="71" t="s">
        <v>128</v>
      </c>
      <c r="O14" s="71"/>
      <c r="P14" s="71"/>
      <c r="Q14" s="71"/>
      <c r="R14" s="71"/>
    </row>
    <row r="15" customFormat="false" ht="15" hidden="false" customHeight="true" outlineLevel="0" collapsed="false">
      <c r="A15" s="0" t="n">
        <v>1757</v>
      </c>
      <c r="B15" s="69" t="s">
        <v>129</v>
      </c>
      <c r="C15" s="69" t="s">
        <v>30</v>
      </c>
      <c r="D15" s="69" t="s">
        <v>109</v>
      </c>
      <c r="E15" s="69" t="s">
        <v>101</v>
      </c>
      <c r="F15" s="69" t="s">
        <v>33</v>
      </c>
      <c r="G15" s="69" t="s">
        <v>130</v>
      </c>
      <c r="H15" s="0" t="n">
        <v>24</v>
      </c>
      <c r="I15" s="70" t="n">
        <v>129.17</v>
      </c>
      <c r="J15" s="70" t="n">
        <v>78.33</v>
      </c>
      <c r="K15" s="70" t="n">
        <f aca="false">IF(ISTEXT(H15),VALUE(H15),H15)*I15</f>
        <v>3100.08</v>
      </c>
      <c r="N15" s="72" t="s">
        <v>131</v>
      </c>
      <c r="O15" s="72"/>
      <c r="P15" s="72"/>
      <c r="Q15" s="72"/>
      <c r="R15" s="72"/>
    </row>
    <row r="16" customFormat="false" ht="15" hidden="false" customHeight="false" outlineLevel="0" collapsed="false">
      <c r="A16" s="0" t="n">
        <v>1383</v>
      </c>
      <c r="B16" s="69" t="s">
        <v>132</v>
      </c>
      <c r="C16" s="69" t="s">
        <v>133</v>
      </c>
      <c r="D16" s="69"/>
      <c r="E16" s="69" t="s">
        <v>134</v>
      </c>
      <c r="F16" s="69" t="s">
        <v>135</v>
      </c>
      <c r="G16" s="69" t="s">
        <v>89</v>
      </c>
      <c r="H16" s="0" t="n">
        <v>6</v>
      </c>
      <c r="I16" s="70" t="n">
        <v>433.15</v>
      </c>
      <c r="J16" s="70" t="n">
        <v>280.42</v>
      </c>
      <c r="K16" s="70" t="n">
        <f aca="false">IF(ISTEXT(H16),VALUE(H16),H16)*I16</f>
        <v>2598.9</v>
      </c>
      <c r="N16" s="72"/>
      <c r="O16" s="72"/>
      <c r="P16" s="72"/>
      <c r="Q16" s="72"/>
      <c r="R16" s="72"/>
    </row>
    <row r="17" customFormat="false" ht="15" hidden="false" customHeight="false" outlineLevel="0" collapsed="false">
      <c r="A17" s="0" t="n">
        <v>1261</v>
      </c>
      <c r="B17" s="68" t="n">
        <v>45683</v>
      </c>
      <c r="C17" s="69" t="s">
        <v>136</v>
      </c>
      <c r="D17" s="69" t="s">
        <v>137</v>
      </c>
      <c r="E17" s="69" t="s">
        <v>138</v>
      </c>
      <c r="F17" s="69" t="s">
        <v>139</v>
      </c>
      <c r="G17" s="69" t="s">
        <v>41</v>
      </c>
      <c r="H17" s="0" t="n">
        <v>6</v>
      </c>
      <c r="I17" s="70" t="n">
        <v>1155.06</v>
      </c>
      <c r="J17" s="70" t="n">
        <v>766.32</v>
      </c>
      <c r="K17" s="70" t="n">
        <f aca="false">IF(ISTEXT(H17),VALUE(H17),H17)*I17</f>
        <v>6930.36</v>
      </c>
      <c r="N17" s="72"/>
      <c r="O17" s="72"/>
      <c r="P17" s="72"/>
      <c r="Q17" s="72"/>
      <c r="R17" s="72"/>
    </row>
    <row r="18" customFormat="false" ht="15" hidden="false" customHeight="false" outlineLevel="0" collapsed="false">
      <c r="A18" s="0" t="n">
        <v>206</v>
      </c>
      <c r="B18" s="69" t="s">
        <v>140</v>
      </c>
      <c r="C18" s="69" t="s">
        <v>96</v>
      </c>
      <c r="D18" s="69" t="s">
        <v>97</v>
      </c>
      <c r="E18" s="69" t="s">
        <v>119</v>
      </c>
      <c r="F18" s="69" t="s">
        <v>88</v>
      </c>
      <c r="G18" s="69" t="s">
        <v>141</v>
      </c>
      <c r="H18" s="0" t="n">
        <v>8</v>
      </c>
      <c r="I18" s="70" t="n">
        <v>1617</v>
      </c>
      <c r="J18" s="70" t="n">
        <v>1122</v>
      </c>
      <c r="K18" s="70" t="n">
        <f aca="false">IF(ISTEXT(H18),VALUE(H18),H18)*I18</f>
        <v>12936</v>
      </c>
    </row>
    <row r="19" customFormat="false" ht="15" hidden="false" customHeight="false" outlineLevel="0" collapsed="false">
      <c r="A19" s="0" t="n">
        <v>2192</v>
      </c>
      <c r="B19" s="68" t="n">
        <v>45939</v>
      </c>
      <c r="C19" s="69" t="s">
        <v>142</v>
      </c>
      <c r="D19" s="69" t="s">
        <v>112</v>
      </c>
      <c r="E19" s="69" t="s">
        <v>107</v>
      </c>
      <c r="F19" s="69" t="s">
        <v>143</v>
      </c>
      <c r="G19" s="69" t="s">
        <v>144</v>
      </c>
      <c r="H19" s="0" t="n">
        <v>22</v>
      </c>
      <c r="I19" s="70" t="n">
        <v>65.26</v>
      </c>
      <c r="J19" s="70" t="n">
        <v>36.49</v>
      </c>
      <c r="K19" s="70" t="n">
        <f aca="false">IF(ISTEXT(H19),VALUE(H19),H19)*I19</f>
        <v>1435.72</v>
      </c>
      <c r="N19" s="71" t="s">
        <v>145</v>
      </c>
      <c r="O19" s="71"/>
      <c r="P19" s="71"/>
      <c r="Q19" s="71"/>
      <c r="R19" s="71"/>
    </row>
    <row r="20" customFormat="false" ht="15" hidden="false" customHeight="true" outlineLevel="0" collapsed="false">
      <c r="A20" s="0" t="n">
        <v>1083</v>
      </c>
      <c r="B20" s="69" t="s">
        <v>146</v>
      </c>
      <c r="C20" s="69" t="s">
        <v>34</v>
      </c>
      <c r="D20" s="69" t="s">
        <v>112</v>
      </c>
      <c r="E20" s="69" t="s">
        <v>92</v>
      </c>
      <c r="F20" s="69" t="s">
        <v>147</v>
      </c>
      <c r="G20" s="69" t="s">
        <v>89</v>
      </c>
      <c r="H20" s="0" t="s">
        <v>148</v>
      </c>
      <c r="I20" s="70" t="n">
        <v>441</v>
      </c>
      <c r="J20" s="70" t="n">
        <v>272.25</v>
      </c>
      <c r="K20" s="70" t="n">
        <f aca="false">IF(ISTEXT(H20),VALUE(H20),H20)*I20</f>
        <v>3528</v>
      </c>
      <c r="N20" s="72" t="s">
        <v>149</v>
      </c>
      <c r="O20" s="72"/>
      <c r="P20" s="72"/>
      <c r="Q20" s="72"/>
      <c r="R20" s="72"/>
    </row>
    <row r="21" customFormat="false" ht="15" hidden="false" customHeight="false" outlineLevel="0" collapsed="false">
      <c r="A21" s="0" t="n">
        <v>101</v>
      </c>
      <c r="B21" s="68" t="n">
        <v>45328</v>
      </c>
      <c r="C21" s="69" t="s">
        <v>150</v>
      </c>
      <c r="D21" s="69" t="s">
        <v>97</v>
      </c>
      <c r="E21" s="69" t="s">
        <v>92</v>
      </c>
      <c r="F21" s="69" t="s">
        <v>135</v>
      </c>
      <c r="G21" s="69" t="s">
        <v>151</v>
      </c>
      <c r="H21" s="0" t="n">
        <v>18</v>
      </c>
      <c r="I21" s="70" t="n">
        <v>1176</v>
      </c>
      <c r="J21" s="70" t="n">
        <v>744</v>
      </c>
      <c r="K21" s="70" t="n">
        <f aca="false">IF(ISTEXT(H21),VALUE(H21),H21)*I21</f>
        <v>21168</v>
      </c>
      <c r="N21" s="72"/>
      <c r="O21" s="72"/>
      <c r="P21" s="72"/>
      <c r="Q21" s="72"/>
      <c r="R21" s="72"/>
    </row>
    <row r="22" customFormat="false" ht="15" hidden="false" customHeight="false" outlineLevel="0" collapsed="false">
      <c r="A22" s="0" t="n">
        <v>641</v>
      </c>
      <c r="B22" s="68" t="n">
        <v>45479</v>
      </c>
      <c r="C22" s="69" t="s">
        <v>152</v>
      </c>
      <c r="D22" s="69" t="s">
        <v>109</v>
      </c>
      <c r="E22" s="69" t="s">
        <v>101</v>
      </c>
      <c r="F22" s="69" t="s">
        <v>153</v>
      </c>
      <c r="G22" s="69" t="s">
        <v>154</v>
      </c>
      <c r="H22" s="0" t="n">
        <v>10</v>
      </c>
      <c r="I22" s="70" t="n">
        <v>1176</v>
      </c>
      <c r="J22" s="70" t="n">
        <v>744</v>
      </c>
      <c r="K22" s="70" t="n">
        <f aca="false">IF(ISTEXT(H22),VALUE(H22),H22)*I22</f>
        <v>11760</v>
      </c>
      <c r="N22" s="72"/>
      <c r="O22" s="72"/>
      <c r="P22" s="72"/>
      <c r="Q22" s="72"/>
      <c r="R22" s="72"/>
    </row>
    <row r="23" customFormat="false" ht="15" hidden="false" customHeight="false" outlineLevel="0" collapsed="false">
      <c r="A23" s="0" t="n">
        <v>749</v>
      </c>
      <c r="B23" s="68" t="n">
        <v>45510</v>
      </c>
      <c r="C23" s="69" t="s">
        <v>118</v>
      </c>
      <c r="D23" s="69" t="s">
        <v>109</v>
      </c>
      <c r="E23" s="69" t="s">
        <v>101</v>
      </c>
      <c r="F23" s="69" t="s">
        <v>143</v>
      </c>
      <c r="G23" s="69" t="s">
        <v>48</v>
      </c>
      <c r="H23" s="0" t="n">
        <v>33</v>
      </c>
      <c r="I23" s="70" t="n">
        <v>93.1</v>
      </c>
      <c r="J23" s="70" t="n">
        <v>47.98</v>
      </c>
      <c r="K23" s="70" t="n">
        <f aca="false">IF(ISTEXT(H23),VALUE(H23),H23)*I23</f>
        <v>3072.3</v>
      </c>
    </row>
    <row r="24" customFormat="false" ht="15" hidden="false" customHeight="false" outlineLevel="0" collapsed="false">
      <c r="A24" s="0" t="n">
        <v>2024</v>
      </c>
      <c r="B24" s="68" t="n">
        <v>45921</v>
      </c>
      <c r="C24" s="69" t="s">
        <v>91</v>
      </c>
      <c r="D24" s="69" t="s">
        <v>86</v>
      </c>
      <c r="E24" s="69" t="s">
        <v>107</v>
      </c>
      <c r="F24" s="69" t="s">
        <v>26</v>
      </c>
      <c r="G24" s="69" t="s">
        <v>43</v>
      </c>
      <c r="H24" s="0" t="n">
        <v>9</v>
      </c>
      <c r="I24" s="70" t="n">
        <v>451.78</v>
      </c>
      <c r="J24" s="70" t="n">
        <v>280.42</v>
      </c>
      <c r="K24" s="70" t="n">
        <f aca="false">IF(ISTEXT(H24),VALUE(H24),H24)*I24</f>
        <v>4066.02</v>
      </c>
    </row>
    <row r="25" customFormat="false" ht="15" hidden="false" customHeight="false" outlineLevel="0" collapsed="false">
      <c r="A25" s="0" t="n">
        <v>1229</v>
      </c>
      <c r="B25" s="68" t="n">
        <v>45675</v>
      </c>
      <c r="C25" s="69" t="s">
        <v>27</v>
      </c>
      <c r="D25" s="69" t="s">
        <v>86</v>
      </c>
      <c r="E25" s="69" t="s">
        <v>138</v>
      </c>
      <c r="F25" s="69" t="s">
        <v>155</v>
      </c>
      <c r="G25" s="69" t="s">
        <v>48</v>
      </c>
      <c r="H25" s="0" t="n">
        <v>39</v>
      </c>
      <c r="I25" s="70" t="n">
        <v>94.39</v>
      </c>
      <c r="J25" s="70" t="n">
        <v>49.41</v>
      </c>
      <c r="K25" s="70" t="n">
        <f aca="false">IF(ISTEXT(H25),VALUE(H25),H25)*I25</f>
        <v>3681.21</v>
      </c>
    </row>
    <row r="26" customFormat="false" ht="15" hidden="false" customHeight="false" outlineLevel="0" collapsed="false">
      <c r="A26" s="0" t="n">
        <v>954</v>
      </c>
      <c r="B26" s="68" t="n">
        <v>45575</v>
      </c>
      <c r="C26" s="69" t="s">
        <v>118</v>
      </c>
      <c r="D26" s="69" t="s">
        <v>109</v>
      </c>
      <c r="E26" s="69" t="s">
        <v>87</v>
      </c>
      <c r="F26" s="69" t="s">
        <v>115</v>
      </c>
      <c r="G26" s="69" t="s">
        <v>156</v>
      </c>
      <c r="H26" s="0" t="n">
        <v>7</v>
      </c>
      <c r="I26" s="70" t="n">
        <v>117.6</v>
      </c>
      <c r="J26" s="70" t="n">
        <v>63.6</v>
      </c>
      <c r="K26" s="70" t="n">
        <f aca="false">IF(ISTEXT(H26),VALUE(H26),H26)*I26</f>
        <v>823.2</v>
      </c>
    </row>
    <row r="27" customFormat="false" ht="15" hidden="false" customHeight="false" outlineLevel="0" collapsed="false">
      <c r="A27" s="0" t="n">
        <v>2306</v>
      </c>
      <c r="B27" s="68" t="n">
        <v>46015</v>
      </c>
      <c r="C27" s="69" t="s">
        <v>124</v>
      </c>
      <c r="D27" s="69" t="s">
        <v>97</v>
      </c>
      <c r="E27" s="69" t="s">
        <v>87</v>
      </c>
      <c r="F27" s="69" t="s">
        <v>88</v>
      </c>
      <c r="G27" s="69" t="s">
        <v>157</v>
      </c>
      <c r="H27" s="0" t="n">
        <v>21</v>
      </c>
      <c r="I27" s="70" t="n">
        <v>1656.52</v>
      </c>
      <c r="J27" s="70" t="n">
        <v>1155.66</v>
      </c>
      <c r="K27" s="70" t="n">
        <f aca="false">IF(ISTEXT(H27),VALUE(H27),H27)*I27</f>
        <v>34786.92</v>
      </c>
    </row>
    <row r="28" customFormat="false" ht="15" hidden="false" customHeight="false" outlineLevel="0" collapsed="false">
      <c r="A28" s="0" t="n">
        <v>1821</v>
      </c>
      <c r="B28" s="69" t="s">
        <v>158</v>
      </c>
      <c r="C28" s="69" t="s">
        <v>159</v>
      </c>
      <c r="D28" s="69" t="s">
        <v>86</v>
      </c>
      <c r="E28" s="69" t="s">
        <v>92</v>
      </c>
      <c r="F28" s="69" t="s">
        <v>139</v>
      </c>
      <c r="G28" s="69" t="s">
        <v>41</v>
      </c>
      <c r="H28" s="0" t="n">
        <v>14</v>
      </c>
      <c r="I28" s="70" t="n">
        <v>1204.74</v>
      </c>
      <c r="J28" s="70" t="n">
        <v>766.32</v>
      </c>
      <c r="K28" s="70" t="n">
        <f aca="false">IF(ISTEXT(H28),VALUE(H28),H28)*I28</f>
        <v>16866.36</v>
      </c>
    </row>
    <row r="29" customFormat="false" ht="15" hidden="false" customHeight="false" outlineLevel="0" collapsed="false">
      <c r="A29" s="0" t="n">
        <v>1394</v>
      </c>
      <c r="B29" s="69" t="s">
        <v>160</v>
      </c>
      <c r="C29" s="69" t="s">
        <v>161</v>
      </c>
      <c r="D29" s="69" t="s">
        <v>112</v>
      </c>
      <c r="E29" s="69" t="s">
        <v>125</v>
      </c>
      <c r="F29" s="69" t="s">
        <v>162</v>
      </c>
      <c r="G29" s="69" t="s">
        <v>50</v>
      </c>
      <c r="H29" s="0" t="n">
        <v>7</v>
      </c>
      <c r="I29" s="70" t="n">
        <v>119.23</v>
      </c>
      <c r="J29" s="70" t="n">
        <v>65.51</v>
      </c>
      <c r="K29" s="70" t="n">
        <f aca="false">IF(ISTEXT(H29),VALUE(H29),H29)*I29</f>
        <v>834.61</v>
      </c>
    </row>
    <row r="30" customFormat="false" ht="15" hidden="false" customHeight="false" outlineLevel="0" collapsed="false">
      <c r="A30" s="0" t="n">
        <v>23</v>
      </c>
      <c r="B30" s="69" t="s">
        <v>163</v>
      </c>
      <c r="C30" s="69" t="s">
        <v>27</v>
      </c>
      <c r="D30" s="69" t="s">
        <v>86</v>
      </c>
      <c r="E30" s="69" t="s">
        <v>134</v>
      </c>
      <c r="F30" s="69" t="s">
        <v>135</v>
      </c>
      <c r="G30" s="69" t="s">
        <v>89</v>
      </c>
      <c r="H30" s="0" t="n">
        <v>9</v>
      </c>
      <c r="I30" s="70" t="n">
        <v>441</v>
      </c>
      <c r="J30" s="70" t="n">
        <v>272.25</v>
      </c>
      <c r="K30" s="70" t="n">
        <f aca="false">IF(ISTEXT(H30),VALUE(H30),H30)*I30</f>
        <v>3969</v>
      </c>
    </row>
    <row r="31" customFormat="false" ht="15" hidden="false" customHeight="false" outlineLevel="0" collapsed="false">
      <c r="A31" s="0" t="n">
        <v>2249</v>
      </c>
      <c r="B31" s="68" t="n">
        <v>45964</v>
      </c>
      <c r="C31" s="69" t="s">
        <v>152</v>
      </c>
      <c r="D31" s="69" t="s">
        <v>109</v>
      </c>
      <c r="E31" s="69" t="s">
        <v>101</v>
      </c>
      <c r="F31" s="69" t="s">
        <v>28</v>
      </c>
      <c r="G31" s="69" t="s">
        <v>48</v>
      </c>
      <c r="H31" s="0" t="n">
        <v>45</v>
      </c>
      <c r="I31" s="70" t="n">
        <v>95.38</v>
      </c>
      <c r="J31" s="70" t="n">
        <v>49.41</v>
      </c>
      <c r="K31" s="70" t="n">
        <f aca="false">IF(ISTEXT(H31),VALUE(H31),H31)*I31</f>
        <v>4292.1</v>
      </c>
    </row>
    <row r="32" customFormat="false" ht="15" hidden="false" customHeight="false" outlineLevel="0" collapsed="false">
      <c r="A32" s="0" t="n">
        <v>922</v>
      </c>
      <c r="B32" s="68" t="n">
        <v>45567</v>
      </c>
      <c r="C32" s="69" t="s">
        <v>91</v>
      </c>
      <c r="D32" s="69" t="s">
        <v>86</v>
      </c>
      <c r="E32" s="69" t="s">
        <v>87</v>
      </c>
      <c r="F32" s="69" t="s">
        <v>147</v>
      </c>
      <c r="G32" s="69" t="s">
        <v>154</v>
      </c>
      <c r="H32" s="0" t="n">
        <v>5</v>
      </c>
      <c r="I32" s="70" t="n">
        <v>1176</v>
      </c>
      <c r="J32" s="70" t="n">
        <v>744</v>
      </c>
      <c r="K32" s="70" t="n">
        <f aca="false">IF(ISTEXT(H32),VALUE(H32),H32)*I32</f>
        <v>5880</v>
      </c>
    </row>
    <row r="33" customFormat="false" ht="15" hidden="false" customHeight="false" outlineLevel="0" collapsed="false">
      <c r="A33" s="0" t="n">
        <v>857</v>
      </c>
      <c r="B33" s="69" t="s">
        <v>164</v>
      </c>
      <c r="C33" s="69" t="s">
        <v>152</v>
      </c>
      <c r="D33" s="69" t="s">
        <v>109</v>
      </c>
      <c r="E33" s="69" t="s">
        <v>110</v>
      </c>
      <c r="F33" s="69" t="s">
        <v>93</v>
      </c>
      <c r="G33" s="69" t="s">
        <v>127</v>
      </c>
      <c r="H33" s="0" t="n">
        <v>21</v>
      </c>
      <c r="I33" s="70" t="n">
        <v>127.4</v>
      </c>
      <c r="J33" s="70" t="n">
        <v>76.05</v>
      </c>
      <c r="K33" s="70" t="n">
        <f aca="false">IF(ISTEXT(H33),VALUE(H33),H33)*I33</f>
        <v>2675.4</v>
      </c>
    </row>
    <row r="34" customFormat="false" ht="15" hidden="false" customHeight="false" outlineLevel="0" collapsed="false">
      <c r="A34" s="0" t="n">
        <v>1695</v>
      </c>
      <c r="B34" s="69" t="s">
        <v>165</v>
      </c>
      <c r="C34" s="69" t="s">
        <v>142</v>
      </c>
      <c r="D34" s="69" t="s">
        <v>112</v>
      </c>
      <c r="E34" s="69" t="s">
        <v>101</v>
      </c>
      <c r="F34" s="69" t="s">
        <v>166</v>
      </c>
      <c r="G34" s="69" t="s">
        <v>51</v>
      </c>
      <c r="H34" s="0" t="n">
        <v>13</v>
      </c>
      <c r="I34" s="70" t="n">
        <v>84.46</v>
      </c>
      <c r="J34" s="70" t="n">
        <v>49.47</v>
      </c>
      <c r="K34" s="70" t="n">
        <f aca="false">IF(ISTEXT(H34),VALUE(H34),H34)*I34</f>
        <v>1097.98</v>
      </c>
    </row>
    <row r="35" customFormat="false" ht="15" hidden="false" customHeight="false" outlineLevel="0" collapsed="false">
      <c r="A35" s="0" t="n">
        <v>843</v>
      </c>
      <c r="B35" s="69" t="s">
        <v>167</v>
      </c>
      <c r="C35" s="69" t="s">
        <v>30</v>
      </c>
      <c r="D35" s="69"/>
      <c r="E35" s="69" t="s">
        <v>92</v>
      </c>
      <c r="F35" s="69" t="s">
        <v>88</v>
      </c>
      <c r="G35" s="69" t="s">
        <v>43</v>
      </c>
      <c r="H35" s="0" t="n">
        <v>10</v>
      </c>
      <c r="I35" s="70" t="n">
        <v>441</v>
      </c>
      <c r="J35" s="70" t="n">
        <v>272.25</v>
      </c>
      <c r="K35" s="70" t="n">
        <f aca="false">IF(ISTEXT(H35),VALUE(H35),H35)*I35</f>
        <v>4410</v>
      </c>
    </row>
    <row r="36" customFormat="false" ht="15" hidden="false" customHeight="false" outlineLevel="0" collapsed="false">
      <c r="A36" s="0" t="n">
        <v>798</v>
      </c>
      <c r="B36" s="68" t="n">
        <v>45529</v>
      </c>
      <c r="C36" s="69" t="s">
        <v>142</v>
      </c>
      <c r="D36" s="69" t="s">
        <v>112</v>
      </c>
      <c r="E36" s="69" t="s">
        <v>98</v>
      </c>
      <c r="F36" s="69" t="s">
        <v>168</v>
      </c>
      <c r="G36" s="69" t="s">
        <v>130</v>
      </c>
      <c r="H36" s="0" t="n">
        <v>8</v>
      </c>
      <c r="I36" s="70" t="n">
        <v>127.4</v>
      </c>
      <c r="J36" s="70" t="n">
        <v>76.05</v>
      </c>
      <c r="K36" s="70" t="n">
        <f aca="false">IF(ISTEXT(H36),VALUE(H36),H36)*I36</f>
        <v>1019.2</v>
      </c>
    </row>
    <row r="37" customFormat="false" ht="15" hidden="false" customHeight="false" outlineLevel="0" collapsed="false">
      <c r="A37" s="0" t="n">
        <v>2141</v>
      </c>
      <c r="B37" s="68" t="n">
        <v>45933</v>
      </c>
      <c r="C37" s="69" t="s">
        <v>108</v>
      </c>
      <c r="D37" s="69" t="s">
        <v>109</v>
      </c>
      <c r="E37" s="69" t="s">
        <v>138</v>
      </c>
      <c r="F37" s="69" t="s">
        <v>135</v>
      </c>
      <c r="G37" s="69" t="s">
        <v>154</v>
      </c>
      <c r="H37" s="0" t="n">
        <v>8</v>
      </c>
      <c r="I37" s="70" t="n">
        <v>1204.74</v>
      </c>
      <c r="J37" s="70" t="n">
        <v>766.32</v>
      </c>
      <c r="K37" s="70" t="n">
        <f aca="false">IF(ISTEXT(H37),VALUE(H37),H37)*I37</f>
        <v>9637.92</v>
      </c>
    </row>
    <row r="38" customFormat="false" ht="15" hidden="false" customHeight="false" outlineLevel="0" collapsed="false">
      <c r="A38" s="0" t="n">
        <v>113</v>
      </c>
      <c r="B38" s="69" t="s">
        <v>169</v>
      </c>
      <c r="C38" s="69" t="s">
        <v>170</v>
      </c>
      <c r="D38" s="69" t="s">
        <v>97</v>
      </c>
      <c r="E38" s="69" t="s">
        <v>121</v>
      </c>
      <c r="F38" s="69" t="s">
        <v>31</v>
      </c>
      <c r="G38" s="69" t="s">
        <v>171</v>
      </c>
      <c r="H38" s="0" t="n">
        <v>40</v>
      </c>
      <c r="I38" s="70" t="n">
        <v>117.6</v>
      </c>
      <c r="J38" s="70" t="n">
        <v>63.6</v>
      </c>
      <c r="K38" s="70" t="n">
        <f aca="false">IF(ISTEXT(H38),VALUE(H38),H38)*I38</f>
        <v>4704</v>
      </c>
    </row>
    <row r="39" customFormat="false" ht="15" hidden="false" customHeight="false" outlineLevel="0" collapsed="false">
      <c r="A39" s="0" t="n">
        <v>830</v>
      </c>
      <c r="B39" s="68" t="n">
        <v>45541</v>
      </c>
      <c r="C39" s="69" t="s">
        <v>91</v>
      </c>
      <c r="D39" s="69" t="s">
        <v>86</v>
      </c>
      <c r="E39" s="69" t="s">
        <v>125</v>
      </c>
      <c r="F39" s="69" t="s">
        <v>155</v>
      </c>
      <c r="G39" s="69" t="s">
        <v>172</v>
      </c>
      <c r="H39" s="0" t="n">
        <v>26</v>
      </c>
      <c r="I39" s="70" t="n">
        <v>93.1</v>
      </c>
      <c r="J39" s="70" t="n">
        <v>47.98</v>
      </c>
      <c r="K39" s="70" t="n">
        <f aca="false">IF(ISTEXT(H39),VALUE(H39),H39)*I39</f>
        <v>2420.6</v>
      </c>
    </row>
    <row r="40" customFormat="false" ht="15" hidden="false" customHeight="false" outlineLevel="0" collapsed="false">
      <c r="A40" s="0" t="n">
        <v>1924</v>
      </c>
      <c r="B40" s="69" t="s">
        <v>173</v>
      </c>
      <c r="C40" s="69" t="s">
        <v>27</v>
      </c>
      <c r="D40" s="69" t="s">
        <v>86</v>
      </c>
      <c r="E40" s="69" t="s">
        <v>125</v>
      </c>
      <c r="F40" s="69" t="s">
        <v>147</v>
      </c>
      <c r="G40" s="69" t="s">
        <v>89</v>
      </c>
      <c r="H40" s="0" t="n">
        <v>8</v>
      </c>
      <c r="I40" s="70" t="n">
        <v>451.78</v>
      </c>
      <c r="J40" s="70" t="n">
        <v>280.42</v>
      </c>
      <c r="K40" s="70" t="n">
        <f aca="false">IF(ISTEXT(H40),VALUE(H40),H40)*I40</f>
        <v>3614.24</v>
      </c>
    </row>
    <row r="41" customFormat="false" ht="15" hidden="false" customHeight="false" outlineLevel="0" collapsed="false">
      <c r="A41" s="0" t="n">
        <v>1087</v>
      </c>
      <c r="B41" s="68" t="n">
        <v>45619</v>
      </c>
      <c r="C41" s="69" t="s">
        <v>161</v>
      </c>
      <c r="D41" s="69" t="s">
        <v>112</v>
      </c>
      <c r="E41" s="69" t="s">
        <v>134</v>
      </c>
      <c r="F41" s="69" t="s">
        <v>28</v>
      </c>
      <c r="G41" s="69" t="s">
        <v>47</v>
      </c>
      <c r="H41" s="0" t="n">
        <v>42</v>
      </c>
      <c r="I41" s="70" t="n">
        <v>27.44</v>
      </c>
      <c r="J41" s="70" t="n">
        <v>13.44</v>
      </c>
      <c r="K41" s="70" t="n">
        <f aca="false">IF(ISTEXT(H41),VALUE(H41),H41)*I41</f>
        <v>1152.48</v>
      </c>
    </row>
    <row r="42" customFormat="false" ht="15" hidden="false" customHeight="false" outlineLevel="0" collapsed="false">
      <c r="A42" s="0" t="n">
        <v>593</v>
      </c>
      <c r="B42" s="69" t="s">
        <v>174</v>
      </c>
      <c r="C42" s="69" t="s">
        <v>142</v>
      </c>
      <c r="D42" s="69" t="s">
        <v>112</v>
      </c>
      <c r="E42" s="69" t="s">
        <v>138</v>
      </c>
      <c r="F42" s="69" t="s">
        <v>31</v>
      </c>
      <c r="G42" s="69" t="s">
        <v>171</v>
      </c>
      <c r="H42" s="0" t="s">
        <v>175</v>
      </c>
      <c r="I42" s="70" t="n">
        <v>117.6</v>
      </c>
      <c r="J42" s="70" t="n">
        <v>63.6</v>
      </c>
      <c r="K42" s="70" t="n">
        <f aca="false">IF(ISTEXT(H42),VALUE(H42),H42)*I42</f>
        <v>1764</v>
      </c>
    </row>
    <row r="43" customFormat="false" ht="15" hidden="false" customHeight="false" outlineLevel="0" collapsed="false">
      <c r="A43" s="0" t="n">
        <v>414</v>
      </c>
      <c r="B43" s="68" t="n">
        <v>45422</v>
      </c>
      <c r="C43" s="69" t="s">
        <v>25</v>
      </c>
      <c r="D43" s="69" t="s">
        <v>97</v>
      </c>
      <c r="E43" s="69" t="s">
        <v>119</v>
      </c>
      <c r="F43" s="69" t="s">
        <v>166</v>
      </c>
      <c r="G43" s="69" t="s">
        <v>156</v>
      </c>
      <c r="H43" s="0" t="n">
        <v>15</v>
      </c>
      <c r="I43" s="70" t="n">
        <v>117.6</v>
      </c>
      <c r="J43" s="70" t="n">
        <v>63.6</v>
      </c>
      <c r="K43" s="70" t="n">
        <f aca="false">IF(ISTEXT(H43),VALUE(H43),H43)*I43</f>
        <v>1764</v>
      </c>
    </row>
    <row r="44" customFormat="false" ht="15" hidden="false" customHeight="false" outlineLevel="0" collapsed="false">
      <c r="A44" s="0" t="n">
        <v>123</v>
      </c>
      <c r="B44" s="69" t="s">
        <v>176</v>
      </c>
      <c r="C44" s="69" t="s">
        <v>27</v>
      </c>
      <c r="D44" s="69" t="s">
        <v>86</v>
      </c>
      <c r="E44" s="69" t="s">
        <v>101</v>
      </c>
      <c r="F44" s="69" t="s">
        <v>147</v>
      </c>
      <c r="G44" s="69" t="s">
        <v>89</v>
      </c>
      <c r="H44" s="0" t="n">
        <v>9</v>
      </c>
      <c r="I44" s="70" t="n">
        <v>441</v>
      </c>
      <c r="J44" s="70" t="n">
        <v>272.25</v>
      </c>
      <c r="K44" s="70" t="n">
        <f aca="false">IF(ISTEXT(H44),VALUE(H44),H44)*I44</f>
        <v>3969</v>
      </c>
    </row>
    <row r="45" customFormat="false" ht="15" hidden="false" customHeight="false" outlineLevel="0" collapsed="false">
      <c r="A45" s="0" t="n">
        <v>1278</v>
      </c>
      <c r="B45" s="68" t="n">
        <v>45667</v>
      </c>
      <c r="C45" s="69" t="s">
        <v>136</v>
      </c>
      <c r="D45" s="69"/>
      <c r="E45" s="69" t="s">
        <v>107</v>
      </c>
      <c r="F45" s="69" t="s">
        <v>93</v>
      </c>
      <c r="G45" s="69" t="s">
        <v>130</v>
      </c>
      <c r="H45" s="0" t="n">
        <v>11</v>
      </c>
      <c r="I45" s="70" t="n">
        <v>129.17</v>
      </c>
      <c r="J45" s="70" t="n">
        <v>78.33</v>
      </c>
      <c r="K45" s="70" t="n">
        <f aca="false">IF(ISTEXT(H45),VALUE(H45),H45)*I45</f>
        <v>1420.87</v>
      </c>
    </row>
    <row r="46" customFormat="false" ht="15" hidden="false" customHeight="false" outlineLevel="0" collapsed="false">
      <c r="A46" s="0" t="n">
        <v>1923</v>
      </c>
      <c r="B46" s="68" t="n">
        <v>45885</v>
      </c>
      <c r="C46" s="69" t="s">
        <v>91</v>
      </c>
      <c r="D46" s="69" t="s">
        <v>86</v>
      </c>
      <c r="E46" s="69" t="s">
        <v>134</v>
      </c>
      <c r="F46" s="69" t="s">
        <v>153</v>
      </c>
      <c r="G46" s="69" t="s">
        <v>89</v>
      </c>
      <c r="H46" s="0" t="n">
        <v>10</v>
      </c>
      <c r="I46" s="70" t="n">
        <v>451.78</v>
      </c>
      <c r="J46" s="70" t="n">
        <v>280.42</v>
      </c>
      <c r="K46" s="70" t="n">
        <f aca="false">IF(ISTEXT(H46),VALUE(H46),H46)*I46</f>
        <v>4517.8</v>
      </c>
    </row>
    <row r="47" customFormat="false" ht="15" hidden="false" customHeight="false" outlineLevel="0" collapsed="false">
      <c r="A47" s="0" t="n">
        <v>233</v>
      </c>
      <c r="B47" s="68" t="n">
        <v>45363</v>
      </c>
      <c r="C47" s="69" t="s">
        <v>91</v>
      </c>
      <c r="D47" s="69" t="s">
        <v>86</v>
      </c>
      <c r="E47" s="69" t="s">
        <v>138</v>
      </c>
      <c r="F47" s="69" t="s">
        <v>31</v>
      </c>
      <c r="G47" s="69" t="s">
        <v>171</v>
      </c>
      <c r="H47" s="0" t="n">
        <v>23</v>
      </c>
      <c r="I47" s="70" t="n">
        <v>117.6</v>
      </c>
      <c r="J47" s="70" t="n">
        <v>63.6</v>
      </c>
      <c r="K47" s="70" t="n">
        <f aca="false">IF(ISTEXT(H47),VALUE(H47),H47)*I47</f>
        <v>2704.8</v>
      </c>
    </row>
    <row r="48" customFormat="false" ht="15" hidden="false" customHeight="false" outlineLevel="0" collapsed="false">
      <c r="A48" s="0" t="n">
        <v>1904</v>
      </c>
      <c r="B48" s="68" t="n">
        <v>45887</v>
      </c>
      <c r="C48" s="69" t="s">
        <v>96</v>
      </c>
      <c r="D48" s="69" t="s">
        <v>97</v>
      </c>
      <c r="E48" s="69" t="s">
        <v>119</v>
      </c>
      <c r="F48" s="69" t="s">
        <v>139</v>
      </c>
      <c r="G48" s="69" t="s">
        <v>177</v>
      </c>
      <c r="H48" s="0" t="n">
        <v>12</v>
      </c>
      <c r="I48" s="70" t="n">
        <v>451.78</v>
      </c>
      <c r="J48" s="70" t="n">
        <v>280.42</v>
      </c>
      <c r="K48" s="70" t="n">
        <f aca="false">IF(ISTEXT(H48),VALUE(H48),H48)*I48</f>
        <v>5421.36</v>
      </c>
    </row>
    <row r="49" customFormat="false" ht="15" hidden="false" customHeight="false" outlineLevel="0" collapsed="false">
      <c r="A49" s="0" t="n">
        <v>959</v>
      </c>
      <c r="B49" s="68" t="n">
        <v>45583</v>
      </c>
      <c r="C49" s="69" t="s">
        <v>152</v>
      </c>
      <c r="D49" s="69" t="s">
        <v>109</v>
      </c>
      <c r="E49" s="69" t="s">
        <v>121</v>
      </c>
      <c r="F49" s="69" t="s">
        <v>93</v>
      </c>
      <c r="G49" s="69" t="s">
        <v>53</v>
      </c>
      <c r="H49" s="0" t="n">
        <v>24</v>
      </c>
      <c r="I49" s="70" t="n">
        <v>34.3</v>
      </c>
      <c r="J49" s="70" t="n">
        <v>17.85</v>
      </c>
      <c r="K49" s="70" t="n">
        <f aca="false">IF(ISTEXT(H49),VALUE(H49),H49)*I49</f>
        <v>823.2</v>
      </c>
    </row>
    <row r="50" customFormat="false" ht="15" hidden="false" customHeight="false" outlineLevel="0" collapsed="false">
      <c r="A50" s="0" t="n">
        <v>635</v>
      </c>
      <c r="B50" s="68" t="n">
        <v>45491</v>
      </c>
      <c r="C50" s="69" t="s">
        <v>120</v>
      </c>
      <c r="D50" s="69"/>
      <c r="E50" s="69" t="s">
        <v>110</v>
      </c>
      <c r="F50" s="69" t="s">
        <v>115</v>
      </c>
      <c r="G50" s="69" t="s">
        <v>111</v>
      </c>
      <c r="H50" s="0" t="n">
        <v>25</v>
      </c>
      <c r="I50" s="70" t="n">
        <v>83.3</v>
      </c>
      <c r="J50" s="70" t="n">
        <v>48.03</v>
      </c>
      <c r="K50" s="70" t="n">
        <f aca="false">IF(ISTEXT(H50),VALUE(H50),H50)*I50</f>
        <v>2082.5</v>
      </c>
    </row>
    <row r="51" customFormat="false" ht="15" hidden="false" customHeight="false" outlineLevel="0" collapsed="false">
      <c r="A51" s="0" t="n">
        <v>353</v>
      </c>
      <c r="B51" s="69" t="s">
        <v>178</v>
      </c>
      <c r="C51" s="69" t="s">
        <v>108</v>
      </c>
      <c r="D51" s="69" t="s">
        <v>109</v>
      </c>
      <c r="E51" s="69" t="s">
        <v>138</v>
      </c>
      <c r="F51" s="69" t="s">
        <v>162</v>
      </c>
      <c r="G51" s="69" t="s">
        <v>50</v>
      </c>
      <c r="H51" s="0" t="n">
        <v>18</v>
      </c>
      <c r="I51" s="70" t="n">
        <v>117.6</v>
      </c>
      <c r="J51" s="70" t="n">
        <v>63.6</v>
      </c>
      <c r="K51" s="70" t="n">
        <f aca="false">IF(ISTEXT(H51),VALUE(H51),H51)*I51</f>
        <v>2116.8</v>
      </c>
    </row>
    <row r="52" customFormat="false" ht="15" hidden="false" customHeight="false" outlineLevel="0" collapsed="false">
      <c r="A52" s="0" t="n">
        <v>495</v>
      </c>
      <c r="B52" s="69" t="s">
        <v>179</v>
      </c>
      <c r="C52" s="69" t="s">
        <v>142</v>
      </c>
      <c r="D52" s="69" t="s">
        <v>112</v>
      </c>
      <c r="E52" s="69" t="s">
        <v>110</v>
      </c>
      <c r="F52" s="69" t="s">
        <v>166</v>
      </c>
      <c r="G52" s="69" t="s">
        <v>116</v>
      </c>
      <c r="H52" s="0" t="n">
        <v>12</v>
      </c>
      <c r="I52" s="70" t="n">
        <v>83.3</v>
      </c>
      <c r="J52" s="70" t="n">
        <v>48.03</v>
      </c>
      <c r="K52" s="70" t="n">
        <f aca="false">IF(ISTEXT(H52),VALUE(H52),H52)*I52</f>
        <v>999.6</v>
      </c>
    </row>
    <row r="53" customFormat="false" ht="15" hidden="false" customHeight="false" outlineLevel="0" collapsed="false">
      <c r="A53" s="0" t="n">
        <v>202</v>
      </c>
      <c r="B53" s="68" t="n">
        <v>45362</v>
      </c>
      <c r="C53" s="69" t="s">
        <v>25</v>
      </c>
      <c r="D53" s="69" t="s">
        <v>97</v>
      </c>
      <c r="E53" s="69" t="s">
        <v>180</v>
      </c>
      <c r="F53" s="69" t="s">
        <v>88</v>
      </c>
      <c r="G53" s="69" t="s">
        <v>41</v>
      </c>
      <c r="H53" s="0" t="n">
        <v>8</v>
      </c>
      <c r="I53" s="70" t="n">
        <v>1176</v>
      </c>
      <c r="J53" s="70" t="n">
        <v>744</v>
      </c>
      <c r="K53" s="70" t="n">
        <f aca="false">IF(ISTEXT(H53),VALUE(H53),H53)*I53</f>
        <v>9408</v>
      </c>
    </row>
    <row r="54" customFormat="false" ht="15" hidden="false" customHeight="false" outlineLevel="0" collapsed="false">
      <c r="A54" s="0" t="n">
        <v>838</v>
      </c>
      <c r="B54" s="69" t="s">
        <v>181</v>
      </c>
      <c r="C54" s="69" t="s">
        <v>159</v>
      </c>
      <c r="D54" s="69" t="s">
        <v>86</v>
      </c>
      <c r="E54" s="69" t="s">
        <v>119</v>
      </c>
      <c r="F54" s="69" t="s">
        <v>182</v>
      </c>
      <c r="G54" s="69" t="s">
        <v>127</v>
      </c>
      <c r="H54" s="0" t="n">
        <v>13</v>
      </c>
      <c r="I54" s="70" t="n">
        <v>127.4</v>
      </c>
      <c r="J54" s="70" t="n">
        <v>76.05</v>
      </c>
      <c r="K54" s="70" t="n">
        <f aca="false">IF(ISTEXT(H54),VALUE(H54),H54)*I54</f>
        <v>1656.2</v>
      </c>
    </row>
    <row r="55" customFormat="false" ht="15" hidden="false" customHeight="false" outlineLevel="0" collapsed="false">
      <c r="A55" s="0" t="n">
        <v>1573</v>
      </c>
      <c r="B55" s="68" t="n">
        <v>45770</v>
      </c>
      <c r="C55" s="69" t="s">
        <v>136</v>
      </c>
      <c r="D55" s="69" t="s">
        <v>137</v>
      </c>
      <c r="E55" s="69" t="s">
        <v>110</v>
      </c>
      <c r="F55" s="69" t="s">
        <v>115</v>
      </c>
      <c r="G55" s="69" t="s">
        <v>50</v>
      </c>
      <c r="H55" s="0" t="n">
        <v>13</v>
      </c>
      <c r="I55" s="70" t="n">
        <v>119.23</v>
      </c>
      <c r="J55" s="70" t="n">
        <v>65.51</v>
      </c>
      <c r="K55" s="70" t="n">
        <f aca="false">IF(ISTEXT(H55),VALUE(H55),H55)*I55</f>
        <v>1549.99</v>
      </c>
    </row>
    <row r="56" customFormat="false" ht="15" hidden="false" customHeight="false" outlineLevel="0" collapsed="false">
      <c r="A56" s="0" t="n">
        <v>91</v>
      </c>
      <c r="B56" s="68" t="n">
        <v>45308</v>
      </c>
      <c r="C56" s="69" t="s">
        <v>34</v>
      </c>
      <c r="D56" s="69" t="s">
        <v>112</v>
      </c>
      <c r="E56" s="69" t="s">
        <v>101</v>
      </c>
      <c r="F56" s="69" t="s">
        <v>99</v>
      </c>
      <c r="G56" s="69" t="s">
        <v>49</v>
      </c>
      <c r="H56" s="0" t="n">
        <v>25</v>
      </c>
      <c r="I56" s="70" t="n">
        <v>63.7</v>
      </c>
      <c r="J56" s="70" t="n">
        <v>35.43</v>
      </c>
      <c r="K56" s="70" t="n">
        <f aca="false">IF(ISTEXT(H56),VALUE(H56),H56)*I56</f>
        <v>1592.5</v>
      </c>
    </row>
    <row r="57" customFormat="false" ht="15" hidden="false" customHeight="false" outlineLevel="0" collapsed="false">
      <c r="A57" s="0" t="n">
        <v>1000</v>
      </c>
      <c r="B57" s="68" t="n">
        <v>45573</v>
      </c>
      <c r="C57" s="69" t="s">
        <v>161</v>
      </c>
      <c r="D57" s="69" t="s">
        <v>112</v>
      </c>
      <c r="E57" s="69" t="s">
        <v>87</v>
      </c>
      <c r="F57" s="69" t="s">
        <v>183</v>
      </c>
      <c r="G57" s="69" t="s">
        <v>94</v>
      </c>
      <c r="H57" s="0" t="n">
        <v>8</v>
      </c>
      <c r="I57" s="70" t="n">
        <v>34.3</v>
      </c>
      <c r="J57" s="70" t="n">
        <v>17.85</v>
      </c>
      <c r="K57" s="70" t="n">
        <f aca="false">IF(ISTEXT(H57),VALUE(H57),H57)*I57</f>
        <v>274.4</v>
      </c>
    </row>
    <row r="58" customFormat="false" ht="15" hidden="false" customHeight="false" outlineLevel="0" collapsed="false">
      <c r="A58" s="0" t="n">
        <v>2187</v>
      </c>
      <c r="B58" s="68" t="n">
        <v>45931</v>
      </c>
      <c r="C58" s="69" t="s">
        <v>142</v>
      </c>
      <c r="D58" s="69"/>
      <c r="E58" s="69" t="s">
        <v>92</v>
      </c>
      <c r="F58" s="69" t="s">
        <v>102</v>
      </c>
      <c r="G58" s="69" t="s">
        <v>113</v>
      </c>
      <c r="H58" s="0" t="n">
        <v>36</v>
      </c>
      <c r="I58" s="70" t="n">
        <v>28.11</v>
      </c>
      <c r="J58" s="70" t="n">
        <v>13.84</v>
      </c>
      <c r="K58" s="70" t="n">
        <f aca="false">IF(ISTEXT(H58),VALUE(H58),H58)*I58</f>
        <v>1011.96</v>
      </c>
    </row>
    <row r="59" customFormat="false" ht="15" hidden="false" customHeight="false" outlineLevel="0" collapsed="false">
      <c r="A59" s="0" t="n">
        <v>1750</v>
      </c>
      <c r="B59" s="68" t="n">
        <v>45828</v>
      </c>
      <c r="C59" s="69" t="s">
        <v>108</v>
      </c>
      <c r="D59" s="69" t="s">
        <v>109</v>
      </c>
      <c r="E59" s="69" t="s">
        <v>107</v>
      </c>
      <c r="F59" s="69" t="s">
        <v>102</v>
      </c>
      <c r="G59" s="69" t="s">
        <v>48</v>
      </c>
      <c r="H59" s="0" t="n">
        <v>24</v>
      </c>
      <c r="I59" s="70" t="n">
        <v>94.39</v>
      </c>
      <c r="J59" s="70" t="n">
        <v>49.41</v>
      </c>
      <c r="K59" s="70" t="n">
        <f aca="false">IF(ISTEXT(H59),VALUE(H59),H59)*I59</f>
        <v>2265.36</v>
      </c>
    </row>
    <row r="60" customFormat="false" ht="15" hidden="false" customHeight="false" outlineLevel="0" collapsed="false">
      <c r="A60" s="0" t="n">
        <v>1495</v>
      </c>
      <c r="B60" s="68" t="n">
        <v>45733</v>
      </c>
      <c r="C60" s="69" t="s">
        <v>34</v>
      </c>
      <c r="D60" s="69" t="s">
        <v>112</v>
      </c>
      <c r="E60" s="69" t="s">
        <v>121</v>
      </c>
      <c r="F60" s="69" t="s">
        <v>115</v>
      </c>
      <c r="G60" s="69" t="s">
        <v>116</v>
      </c>
      <c r="H60" s="0" t="n">
        <v>13</v>
      </c>
      <c r="I60" s="70" t="n">
        <v>84.46</v>
      </c>
      <c r="J60" s="70" t="n">
        <v>49.47</v>
      </c>
      <c r="K60" s="70" t="n">
        <f aca="false">IF(ISTEXT(H60),VALUE(H60),H60)*I60</f>
        <v>1097.98</v>
      </c>
    </row>
    <row r="61" customFormat="false" ht="15" hidden="false" customHeight="false" outlineLevel="0" collapsed="false">
      <c r="A61" s="0" t="n">
        <v>1870</v>
      </c>
      <c r="B61" s="68" t="n">
        <v>45861</v>
      </c>
      <c r="C61" s="69" t="s">
        <v>184</v>
      </c>
      <c r="D61" s="69"/>
      <c r="E61" s="69" t="s">
        <v>107</v>
      </c>
      <c r="F61" s="69" t="s">
        <v>155</v>
      </c>
      <c r="G61" s="69" t="s">
        <v>48</v>
      </c>
      <c r="H61" s="0" t="n">
        <v>24</v>
      </c>
      <c r="I61" s="70" t="n">
        <v>95.38</v>
      </c>
      <c r="J61" s="70" t="n">
        <v>49.41</v>
      </c>
      <c r="K61" s="70" t="n">
        <f aca="false">IF(ISTEXT(H61),VALUE(H61),H61)*I61</f>
        <v>2289.12</v>
      </c>
    </row>
    <row r="62" customFormat="false" ht="15" hidden="false" customHeight="false" outlineLevel="0" collapsed="false">
      <c r="A62" s="0" t="n">
        <v>892</v>
      </c>
      <c r="B62" s="68" t="n">
        <v>45543</v>
      </c>
      <c r="C62" s="69" t="s">
        <v>161</v>
      </c>
      <c r="D62" s="69" t="s">
        <v>112</v>
      </c>
      <c r="E62" s="69" t="s">
        <v>180</v>
      </c>
      <c r="F62" s="69" t="s">
        <v>143</v>
      </c>
      <c r="G62" s="69" t="s">
        <v>49</v>
      </c>
      <c r="H62" s="0" t="n">
        <v>14</v>
      </c>
      <c r="I62" s="70" t="n">
        <v>63.7</v>
      </c>
      <c r="J62" s="70" t="n">
        <v>35.43</v>
      </c>
      <c r="K62" s="70" t="n">
        <f aca="false">IF(ISTEXT(H62),VALUE(H62),H62)*I62</f>
        <v>891.8</v>
      </c>
    </row>
    <row r="63" customFormat="false" ht="15" hidden="false" customHeight="false" outlineLevel="0" collapsed="false">
      <c r="A63" s="0" t="n">
        <v>846</v>
      </c>
      <c r="B63" s="68" t="n">
        <v>45545</v>
      </c>
      <c r="C63" s="69" t="s">
        <v>30</v>
      </c>
      <c r="D63" s="69" t="s">
        <v>109</v>
      </c>
      <c r="E63" s="69" t="s">
        <v>180</v>
      </c>
      <c r="F63" s="69" t="s">
        <v>153</v>
      </c>
      <c r="G63" s="69" t="s">
        <v>45</v>
      </c>
      <c r="H63" s="0" t="n">
        <v>3</v>
      </c>
      <c r="I63" s="70" t="n">
        <v>1617</v>
      </c>
      <c r="J63" s="70" t="n">
        <v>1122</v>
      </c>
      <c r="K63" s="70" t="n">
        <f aca="false">IF(ISTEXT(H63),VALUE(H63),H63)*I63</f>
        <v>4851</v>
      </c>
    </row>
    <row r="64" customFormat="false" ht="15" hidden="false" customHeight="false" outlineLevel="0" collapsed="false">
      <c r="A64" s="0" t="n">
        <v>1844</v>
      </c>
      <c r="B64" s="69" t="s">
        <v>185</v>
      </c>
      <c r="C64" s="69" t="s">
        <v>108</v>
      </c>
      <c r="D64" s="69" t="s">
        <v>109</v>
      </c>
      <c r="E64" s="69" t="s">
        <v>180</v>
      </c>
      <c r="F64" s="69" t="s">
        <v>135</v>
      </c>
      <c r="G64" s="69" t="s">
        <v>43</v>
      </c>
      <c r="H64" s="0" t="n">
        <v>7</v>
      </c>
      <c r="I64" s="70" t="n">
        <v>451.78</v>
      </c>
      <c r="J64" s="70" t="n">
        <v>280.42</v>
      </c>
      <c r="K64" s="70" t="n">
        <f aca="false">IF(ISTEXT(H64),VALUE(H64),H64)*I64</f>
        <v>3162.46</v>
      </c>
    </row>
    <row r="65" customFormat="false" ht="15" hidden="false" customHeight="false" outlineLevel="0" collapsed="false">
      <c r="A65" s="0" t="n">
        <v>1266</v>
      </c>
      <c r="B65" s="69" t="s">
        <v>186</v>
      </c>
      <c r="C65" s="69" t="s">
        <v>184</v>
      </c>
      <c r="D65" s="69" t="s">
        <v>137</v>
      </c>
      <c r="E65" s="69" t="s">
        <v>180</v>
      </c>
      <c r="F65" s="69" t="s">
        <v>88</v>
      </c>
      <c r="G65" s="69" t="s">
        <v>157</v>
      </c>
      <c r="H65" s="0" t="n">
        <v>4</v>
      </c>
      <c r="I65" s="70" t="n">
        <v>1588.21</v>
      </c>
      <c r="J65" s="70" t="n">
        <v>1155.66</v>
      </c>
      <c r="K65" s="70" t="n">
        <f aca="false">IF(ISTEXT(H65),VALUE(H65),H65)*I65</f>
        <v>6352.84</v>
      </c>
    </row>
    <row r="66" customFormat="false" ht="15" hidden="false" customHeight="false" outlineLevel="0" collapsed="false">
      <c r="A66" s="0" t="n">
        <v>1554</v>
      </c>
      <c r="B66" s="68" t="n">
        <v>45772</v>
      </c>
      <c r="C66" s="69" t="s">
        <v>152</v>
      </c>
      <c r="D66" s="69" t="s">
        <v>109</v>
      </c>
      <c r="E66" s="69" t="s">
        <v>125</v>
      </c>
      <c r="F66" s="69" t="s">
        <v>115</v>
      </c>
      <c r="G66" s="69" t="s">
        <v>171</v>
      </c>
      <c r="H66" s="0" t="n">
        <v>12</v>
      </c>
      <c r="I66" s="70" t="n">
        <v>119.23</v>
      </c>
      <c r="J66" s="70" t="n">
        <v>65.51</v>
      </c>
      <c r="K66" s="70" t="n">
        <f aca="false">IF(ISTEXT(H66),VALUE(H66),H66)*I66</f>
        <v>1430.76</v>
      </c>
    </row>
    <row r="67" customFormat="false" ht="15" hidden="false" customHeight="false" outlineLevel="0" collapsed="false">
      <c r="A67" s="0" t="n">
        <v>35</v>
      </c>
      <c r="B67" s="69" t="s">
        <v>187</v>
      </c>
      <c r="C67" s="69" t="s">
        <v>91</v>
      </c>
      <c r="D67" s="69" t="s">
        <v>86</v>
      </c>
      <c r="E67" s="69" t="s">
        <v>134</v>
      </c>
      <c r="F67" s="69" t="s">
        <v>31</v>
      </c>
      <c r="G67" s="69" t="s">
        <v>116</v>
      </c>
      <c r="H67" s="0" t="n">
        <v>20</v>
      </c>
      <c r="I67" s="70" t="n">
        <v>83.3</v>
      </c>
      <c r="J67" s="70" t="n">
        <v>48.03</v>
      </c>
      <c r="K67" s="70" t="n">
        <f aca="false">IF(ISTEXT(H67),VALUE(H67),H67)*I67</f>
        <v>1666</v>
      </c>
    </row>
    <row r="68" customFormat="false" ht="15" hidden="false" customHeight="false" outlineLevel="0" collapsed="false">
      <c r="A68" s="0" t="n">
        <v>825</v>
      </c>
      <c r="B68" s="69" t="s">
        <v>188</v>
      </c>
      <c r="C68" s="69" t="s">
        <v>27</v>
      </c>
      <c r="D68" s="69" t="s">
        <v>86</v>
      </c>
      <c r="E68" s="69" t="s">
        <v>121</v>
      </c>
      <c r="F68" s="69" t="s">
        <v>139</v>
      </c>
      <c r="G68" s="69" t="s">
        <v>45</v>
      </c>
      <c r="H68" s="0" t="n">
        <v>11</v>
      </c>
      <c r="I68" s="70" t="n">
        <v>1617</v>
      </c>
      <c r="J68" s="70" t="n">
        <v>1122</v>
      </c>
      <c r="K68" s="70" t="n">
        <f aca="false">IF(ISTEXT(H68),VALUE(H68),H68)*I68</f>
        <v>17787</v>
      </c>
    </row>
    <row r="69" customFormat="false" ht="15" hidden="false" customHeight="false" outlineLevel="0" collapsed="false">
      <c r="A69" s="0" t="n">
        <v>1781</v>
      </c>
      <c r="B69" s="68" t="n">
        <v>45829</v>
      </c>
      <c r="C69" s="69" t="s">
        <v>34</v>
      </c>
      <c r="D69" s="69" t="s">
        <v>112</v>
      </c>
      <c r="E69" s="69" t="s">
        <v>110</v>
      </c>
      <c r="F69" s="69" t="s">
        <v>147</v>
      </c>
      <c r="G69" s="69" t="s">
        <v>154</v>
      </c>
      <c r="H69" s="0" t="n">
        <v>8</v>
      </c>
      <c r="I69" s="70" t="n">
        <v>1155.06</v>
      </c>
      <c r="J69" s="70" t="n">
        <v>766.32</v>
      </c>
      <c r="K69" s="70" t="n">
        <f aca="false">IF(ISTEXT(H69),VALUE(H69),H69)*I69</f>
        <v>9240.48</v>
      </c>
    </row>
    <row r="70" customFormat="false" ht="15" hidden="false" customHeight="false" outlineLevel="0" collapsed="false">
      <c r="A70" s="0" t="n">
        <v>579</v>
      </c>
      <c r="B70" s="68" t="n">
        <v>45447</v>
      </c>
      <c r="C70" s="69" t="s">
        <v>32</v>
      </c>
      <c r="D70" s="69" t="s">
        <v>137</v>
      </c>
      <c r="E70" s="69" t="s">
        <v>138</v>
      </c>
      <c r="F70" s="69" t="s">
        <v>182</v>
      </c>
      <c r="G70" s="69" t="s">
        <v>94</v>
      </c>
      <c r="H70" s="0" t="n">
        <v>18</v>
      </c>
      <c r="I70" s="70" t="n">
        <v>34.3</v>
      </c>
      <c r="J70" s="70" t="n">
        <v>17.85</v>
      </c>
      <c r="K70" s="70" t="n">
        <f aca="false">IF(ISTEXT(H70),VALUE(H70),H70)*I70</f>
        <v>617.4</v>
      </c>
    </row>
    <row r="71" customFormat="false" ht="15" hidden="false" customHeight="false" outlineLevel="0" collapsed="false">
      <c r="A71" s="0" t="n">
        <v>714</v>
      </c>
      <c r="B71" s="69" t="s">
        <v>189</v>
      </c>
      <c r="C71" s="69" t="s">
        <v>170</v>
      </c>
      <c r="D71" s="69" t="s">
        <v>97</v>
      </c>
      <c r="E71" s="69" t="s">
        <v>180</v>
      </c>
      <c r="F71" s="69" t="s">
        <v>115</v>
      </c>
      <c r="G71" s="69" t="s">
        <v>171</v>
      </c>
      <c r="H71" s="0" t="n">
        <v>19</v>
      </c>
      <c r="I71" s="70" t="n">
        <v>117.6</v>
      </c>
      <c r="J71" s="70" t="n">
        <v>63.6</v>
      </c>
      <c r="K71" s="70" t="n">
        <f aca="false">IF(ISTEXT(H71),VALUE(H71),H71)*I71</f>
        <v>2234.4</v>
      </c>
    </row>
    <row r="72" customFormat="false" ht="15" hidden="false" customHeight="false" outlineLevel="0" collapsed="false">
      <c r="A72" s="0" t="n">
        <v>504</v>
      </c>
      <c r="B72" s="68" t="n">
        <v>45462</v>
      </c>
      <c r="C72" s="69" t="s">
        <v>25</v>
      </c>
      <c r="D72" s="69" t="s">
        <v>97</v>
      </c>
      <c r="E72" s="69" t="s">
        <v>107</v>
      </c>
      <c r="F72" s="69" t="s">
        <v>153</v>
      </c>
      <c r="G72" s="69" t="s">
        <v>43</v>
      </c>
      <c r="H72" s="0" t="n">
        <v>10</v>
      </c>
      <c r="I72" s="70" t="n">
        <v>441</v>
      </c>
      <c r="J72" s="70" t="n">
        <v>272.25</v>
      </c>
      <c r="K72" s="70" t="n">
        <f aca="false">IF(ISTEXT(H72),VALUE(H72),H72)*I72</f>
        <v>4410</v>
      </c>
    </row>
    <row r="73" customFormat="false" ht="15" hidden="false" customHeight="false" outlineLevel="0" collapsed="false">
      <c r="A73" s="0" t="n">
        <v>2127</v>
      </c>
      <c r="B73" s="69" t="s">
        <v>190</v>
      </c>
      <c r="C73" s="69" t="s">
        <v>27</v>
      </c>
      <c r="D73" s="69" t="s">
        <v>86</v>
      </c>
      <c r="E73" s="69" t="s">
        <v>134</v>
      </c>
      <c r="F73" s="69" t="s">
        <v>102</v>
      </c>
      <c r="G73" s="69" t="s">
        <v>103</v>
      </c>
      <c r="H73" s="0" t="n">
        <v>55</v>
      </c>
      <c r="I73" s="70" t="n">
        <v>28.11</v>
      </c>
      <c r="J73" s="70" t="n">
        <v>13.84</v>
      </c>
      <c r="K73" s="70" t="n">
        <f aca="false">IF(ISTEXT(H73),VALUE(H73),H73)*I73</f>
        <v>1546.05</v>
      </c>
    </row>
    <row r="74" customFormat="false" ht="15" hidden="false" customHeight="false" outlineLevel="0" collapsed="false">
      <c r="A74" s="0" t="n">
        <v>1655</v>
      </c>
      <c r="B74" s="69" t="s">
        <v>191</v>
      </c>
      <c r="C74" s="69" t="s">
        <v>152</v>
      </c>
      <c r="D74" s="69" t="s">
        <v>109</v>
      </c>
      <c r="E74" s="69" t="s">
        <v>138</v>
      </c>
      <c r="F74" s="69" t="s">
        <v>162</v>
      </c>
      <c r="G74" s="69" t="s">
        <v>111</v>
      </c>
      <c r="H74" s="0" t="n">
        <v>20</v>
      </c>
      <c r="I74" s="70" t="n">
        <v>84.46</v>
      </c>
      <c r="J74" s="70" t="n">
        <v>49.47</v>
      </c>
      <c r="K74" s="70" t="n">
        <f aca="false">IF(ISTEXT(H74),VALUE(H74),H74)*I74</f>
        <v>1689.2</v>
      </c>
    </row>
    <row r="75" customFormat="false" ht="15" hidden="false" customHeight="false" outlineLevel="0" collapsed="false">
      <c r="A75" s="0" t="n">
        <v>1173</v>
      </c>
      <c r="B75" s="69" t="s">
        <v>192</v>
      </c>
      <c r="C75" s="69" t="s">
        <v>193</v>
      </c>
      <c r="D75" s="69" t="s">
        <v>137</v>
      </c>
      <c r="E75" s="69" t="s">
        <v>121</v>
      </c>
      <c r="F75" s="69" t="s">
        <v>31</v>
      </c>
      <c r="G75" s="69" t="s">
        <v>156</v>
      </c>
      <c r="H75" s="0" t="n">
        <v>18</v>
      </c>
      <c r="I75" s="70" t="n">
        <v>117.6</v>
      </c>
      <c r="J75" s="70" t="n">
        <v>63.6</v>
      </c>
      <c r="K75" s="70" t="n">
        <f aca="false">IF(ISTEXT(H75),VALUE(H75),H75)*I75</f>
        <v>2116.8</v>
      </c>
    </row>
    <row r="76" customFormat="false" ht="15" hidden="false" customHeight="false" outlineLevel="0" collapsed="false">
      <c r="A76" s="0" t="n">
        <v>998</v>
      </c>
      <c r="B76" s="69" t="s">
        <v>194</v>
      </c>
      <c r="C76" s="69" t="s">
        <v>161</v>
      </c>
      <c r="D76" s="69" t="s">
        <v>112</v>
      </c>
      <c r="E76" s="69" t="s">
        <v>87</v>
      </c>
      <c r="F76" s="69" t="s">
        <v>33</v>
      </c>
      <c r="G76" s="69" t="s">
        <v>130</v>
      </c>
      <c r="H76" s="0" t="n">
        <v>8</v>
      </c>
      <c r="I76" s="70" t="n">
        <v>127.4</v>
      </c>
      <c r="J76" s="70" t="n">
        <v>76.05</v>
      </c>
      <c r="K76" s="70" t="n">
        <f aca="false">IF(ISTEXT(H76),VALUE(H76),H76)*I76</f>
        <v>1019.2</v>
      </c>
    </row>
    <row r="77" customFormat="false" ht="15" hidden="false" customHeight="false" outlineLevel="0" collapsed="false">
      <c r="A77" s="0" t="n">
        <v>2380</v>
      </c>
      <c r="B77" s="69" t="s">
        <v>195</v>
      </c>
      <c r="C77" s="69" t="s">
        <v>184</v>
      </c>
      <c r="D77" s="69" t="s">
        <v>137</v>
      </c>
      <c r="E77" s="69" t="s">
        <v>98</v>
      </c>
      <c r="F77" s="69" t="s">
        <v>182</v>
      </c>
      <c r="G77" s="69" t="s">
        <v>53</v>
      </c>
      <c r="H77" s="0" t="n">
        <v>15</v>
      </c>
      <c r="I77" s="70" t="n">
        <v>35.14</v>
      </c>
      <c r="J77" s="70" t="n">
        <v>18.39</v>
      </c>
      <c r="K77" s="70" t="n">
        <f aca="false">IF(ISTEXT(H77),VALUE(H77),H77)*I77</f>
        <v>527.1</v>
      </c>
    </row>
    <row r="78" customFormat="false" ht="15" hidden="false" customHeight="false" outlineLevel="0" collapsed="false">
      <c r="A78" s="0" t="n">
        <v>1822</v>
      </c>
      <c r="B78" s="68" t="n">
        <v>45849</v>
      </c>
      <c r="C78" s="69" t="s">
        <v>120</v>
      </c>
      <c r="D78" s="69" t="s">
        <v>86</v>
      </c>
      <c r="E78" s="69" t="s">
        <v>107</v>
      </c>
      <c r="F78" s="69" t="s">
        <v>135</v>
      </c>
      <c r="G78" s="69" t="s">
        <v>151</v>
      </c>
      <c r="H78" s="0" t="n">
        <v>8</v>
      </c>
      <c r="I78" s="70" t="n">
        <v>1204.74</v>
      </c>
      <c r="J78" s="70" t="n">
        <v>766.32</v>
      </c>
      <c r="K78" s="70" t="n">
        <f aca="false">IF(ISTEXT(H78),VALUE(H78),H78)*I78</f>
        <v>9637.92</v>
      </c>
    </row>
    <row r="79" customFormat="false" ht="15" hidden="false" customHeight="false" outlineLevel="0" collapsed="false">
      <c r="A79" s="0" t="n">
        <v>2083</v>
      </c>
      <c r="B79" s="68" t="n">
        <v>45902</v>
      </c>
      <c r="C79" s="69" t="s">
        <v>133</v>
      </c>
      <c r="D79" s="69" t="s">
        <v>112</v>
      </c>
      <c r="E79" s="69" t="s">
        <v>92</v>
      </c>
      <c r="F79" s="69" t="s">
        <v>153</v>
      </c>
      <c r="G79" s="69" t="s">
        <v>43</v>
      </c>
      <c r="H79" s="0" t="n">
        <v>6</v>
      </c>
      <c r="I79" s="70" t="n">
        <v>451.78</v>
      </c>
      <c r="J79" s="70" t="n">
        <v>280.42</v>
      </c>
      <c r="K79" s="70" t="n">
        <f aca="false">IF(ISTEXT(H79),VALUE(H79),H79)*I79</f>
        <v>2710.68</v>
      </c>
    </row>
    <row r="80" customFormat="false" ht="15" hidden="false" customHeight="false" outlineLevel="0" collapsed="false">
      <c r="A80" s="0" t="n">
        <v>231</v>
      </c>
      <c r="B80" s="68" t="n">
        <v>45376</v>
      </c>
      <c r="C80" s="69" t="s">
        <v>91</v>
      </c>
      <c r="D80" s="69" t="s">
        <v>86</v>
      </c>
      <c r="E80" s="69" t="s">
        <v>92</v>
      </c>
      <c r="F80" s="69" t="s">
        <v>99</v>
      </c>
      <c r="G80" s="69" t="s">
        <v>49</v>
      </c>
      <c r="H80" s="0" t="n">
        <v>56</v>
      </c>
      <c r="I80" s="70" t="n">
        <v>63.7</v>
      </c>
      <c r="J80" s="70" t="n">
        <v>35.43</v>
      </c>
      <c r="K80" s="70" t="n">
        <f aca="false">IF(ISTEXT(H80),VALUE(H80),H80)*I80</f>
        <v>3567.2</v>
      </c>
    </row>
    <row r="81" customFormat="false" ht="15" hidden="false" customHeight="false" outlineLevel="0" collapsed="false">
      <c r="A81" s="0" t="n">
        <v>1095</v>
      </c>
      <c r="B81" s="69" t="s">
        <v>196</v>
      </c>
      <c r="C81" s="69" t="s">
        <v>34</v>
      </c>
      <c r="D81" s="69" t="s">
        <v>112</v>
      </c>
      <c r="E81" s="69" t="s">
        <v>110</v>
      </c>
      <c r="F81" s="69" t="s">
        <v>166</v>
      </c>
      <c r="G81" s="69" t="s">
        <v>51</v>
      </c>
      <c r="H81" s="0" t="s">
        <v>175</v>
      </c>
      <c r="I81" s="70" t="n">
        <v>83.3</v>
      </c>
      <c r="J81" s="70" t="n">
        <v>48.03</v>
      </c>
      <c r="K81" s="70" t="n">
        <f aca="false">IF(ISTEXT(H81),VALUE(H81),H81)*I81</f>
        <v>1249.5</v>
      </c>
    </row>
    <row r="82" customFormat="false" ht="15" hidden="false" customHeight="false" outlineLevel="0" collapsed="false">
      <c r="A82" s="0" t="n">
        <v>564</v>
      </c>
      <c r="B82" s="69" t="s">
        <v>197</v>
      </c>
      <c r="C82" s="69" t="s">
        <v>136</v>
      </c>
      <c r="D82" s="69" t="s">
        <v>137</v>
      </c>
      <c r="E82" s="69" t="s">
        <v>119</v>
      </c>
      <c r="F82" s="69" t="s">
        <v>26</v>
      </c>
      <c r="G82" s="69" t="s">
        <v>43</v>
      </c>
      <c r="H82" s="0" t="n">
        <v>3</v>
      </c>
      <c r="I82" s="70" t="n">
        <v>441</v>
      </c>
      <c r="J82" s="70" t="n">
        <v>272.25</v>
      </c>
      <c r="K82" s="70" t="n">
        <f aca="false">IF(ISTEXT(H82),VALUE(H82),H82)*I82</f>
        <v>1323</v>
      </c>
    </row>
    <row r="83" customFormat="false" ht="15" hidden="false" customHeight="false" outlineLevel="0" collapsed="false">
      <c r="A83" s="0" t="n">
        <v>312</v>
      </c>
      <c r="B83" s="69" t="s">
        <v>198</v>
      </c>
      <c r="C83" s="69" t="s">
        <v>170</v>
      </c>
      <c r="D83" s="69" t="s">
        <v>97</v>
      </c>
      <c r="E83" s="69" t="s">
        <v>125</v>
      </c>
      <c r="F83" s="69" t="s">
        <v>99</v>
      </c>
      <c r="G83" s="69" t="s">
        <v>144</v>
      </c>
      <c r="H83" s="0" t="n">
        <v>37</v>
      </c>
      <c r="I83" s="70" t="n">
        <v>63.7</v>
      </c>
      <c r="J83" s="70" t="n">
        <v>35.43</v>
      </c>
      <c r="K83" s="70" t="n">
        <f aca="false">IF(ISTEXT(H83),VALUE(H83),H83)*I83</f>
        <v>2356.9</v>
      </c>
    </row>
    <row r="84" customFormat="false" ht="15" hidden="false" customHeight="false" outlineLevel="0" collapsed="false">
      <c r="A84" s="0" t="n">
        <v>1683</v>
      </c>
      <c r="B84" s="69" t="s">
        <v>199</v>
      </c>
      <c r="C84" s="69" t="s">
        <v>34</v>
      </c>
      <c r="D84" s="69" t="s">
        <v>112</v>
      </c>
      <c r="E84" s="69" t="s">
        <v>110</v>
      </c>
      <c r="F84" s="69" t="s">
        <v>135</v>
      </c>
      <c r="G84" s="69" t="s">
        <v>177</v>
      </c>
      <c r="H84" s="0" t="n">
        <v>6</v>
      </c>
      <c r="I84" s="70" t="n">
        <v>433.15</v>
      </c>
      <c r="J84" s="70" t="n">
        <v>280.42</v>
      </c>
      <c r="K84" s="70" t="n">
        <f aca="false">IF(ISTEXT(H84),VALUE(H84),H84)*I84</f>
        <v>2598.9</v>
      </c>
    </row>
    <row r="85" customFormat="false" ht="15" hidden="false" customHeight="false" outlineLevel="0" collapsed="false">
      <c r="A85" s="0" t="n">
        <v>430</v>
      </c>
      <c r="B85" s="68" t="n">
        <v>45426</v>
      </c>
      <c r="C85" s="69" t="s">
        <v>159</v>
      </c>
      <c r="D85" s="69" t="s">
        <v>86</v>
      </c>
      <c r="E85" s="69" t="s">
        <v>119</v>
      </c>
      <c r="F85" s="69" t="s">
        <v>28</v>
      </c>
      <c r="G85" s="69" t="s">
        <v>48</v>
      </c>
      <c r="H85" s="0" t="n">
        <v>21</v>
      </c>
      <c r="I85" s="70" t="n">
        <v>93.1</v>
      </c>
      <c r="J85" s="70" t="n">
        <v>47.98</v>
      </c>
      <c r="K85" s="70" t="n">
        <f aca="false">IF(ISTEXT(H85),VALUE(H85),H85)*I85</f>
        <v>1955.1</v>
      </c>
    </row>
    <row r="86" customFormat="false" ht="15" hidden="false" customHeight="false" outlineLevel="0" collapsed="false">
      <c r="A86" s="0" t="n">
        <v>362</v>
      </c>
      <c r="B86" s="69" t="s">
        <v>200</v>
      </c>
      <c r="C86" s="69" t="s">
        <v>184</v>
      </c>
      <c r="D86" s="69" t="s">
        <v>137</v>
      </c>
      <c r="E86" s="69" t="s">
        <v>107</v>
      </c>
      <c r="F86" s="69" t="s">
        <v>88</v>
      </c>
      <c r="G86" s="69" t="s">
        <v>41</v>
      </c>
      <c r="H86" s="0" t="n">
        <v>2</v>
      </c>
      <c r="I86" s="70" t="n">
        <v>1176</v>
      </c>
      <c r="J86" s="70" t="n">
        <v>744</v>
      </c>
      <c r="K86" s="70" t="n">
        <f aca="false">IF(ISTEXT(H86),VALUE(H86),H86)*I86</f>
        <v>2352</v>
      </c>
    </row>
    <row r="87" customFormat="false" ht="15" hidden="false" customHeight="false" outlineLevel="0" collapsed="false">
      <c r="A87" s="0" t="n">
        <v>602</v>
      </c>
      <c r="B87" s="68" t="n">
        <v>45476</v>
      </c>
      <c r="C87" s="69" t="s">
        <v>25</v>
      </c>
      <c r="D87" s="69" t="s">
        <v>97</v>
      </c>
      <c r="E87" s="69" t="s">
        <v>119</v>
      </c>
      <c r="F87" s="69" t="s">
        <v>147</v>
      </c>
      <c r="G87" s="69" t="s">
        <v>151</v>
      </c>
      <c r="H87" s="0" t="n">
        <v>10</v>
      </c>
      <c r="I87" s="70" t="n">
        <v>1176</v>
      </c>
      <c r="J87" s="70" t="n">
        <v>744</v>
      </c>
      <c r="K87" s="70" t="n">
        <f aca="false">IF(ISTEXT(H87),VALUE(H87),H87)*I87</f>
        <v>11760</v>
      </c>
    </row>
    <row r="88" customFormat="false" ht="15" hidden="false" customHeight="false" outlineLevel="0" collapsed="false">
      <c r="A88" s="0" t="n">
        <v>525</v>
      </c>
      <c r="B88" s="68" t="n">
        <v>45447</v>
      </c>
      <c r="C88" s="69" t="s">
        <v>27</v>
      </c>
      <c r="D88" s="69" t="s">
        <v>86</v>
      </c>
      <c r="E88" s="69" t="s">
        <v>121</v>
      </c>
      <c r="F88" s="69" t="s">
        <v>139</v>
      </c>
      <c r="G88" s="69" t="s">
        <v>157</v>
      </c>
      <c r="H88" s="0" t="n">
        <v>11</v>
      </c>
      <c r="I88" s="70" t="n">
        <v>1617</v>
      </c>
      <c r="J88" s="70" t="n">
        <v>1122</v>
      </c>
      <c r="K88" s="70" t="n">
        <f aca="false">IF(ISTEXT(H88),VALUE(H88),H88)*I88</f>
        <v>17787</v>
      </c>
    </row>
    <row r="89" customFormat="false" ht="15" hidden="false" customHeight="false" outlineLevel="0" collapsed="false">
      <c r="A89" s="0" t="n">
        <v>1503</v>
      </c>
      <c r="B89" s="68" t="n">
        <v>45766</v>
      </c>
      <c r="C89" s="69" t="s">
        <v>124</v>
      </c>
      <c r="D89" s="69" t="s">
        <v>97</v>
      </c>
      <c r="E89" s="69" t="s">
        <v>110</v>
      </c>
      <c r="F89" s="69" t="s">
        <v>153</v>
      </c>
      <c r="G89" s="69" t="s">
        <v>89</v>
      </c>
      <c r="H89" s="0" t="s">
        <v>201</v>
      </c>
      <c r="I89" s="70" t="n">
        <v>433.15</v>
      </c>
      <c r="J89" s="70" t="n">
        <v>280.42</v>
      </c>
      <c r="K89" s="70" t="n">
        <f aca="false">IF(ISTEXT(H89),VALUE(H89),H89)*I89</f>
        <v>6930.4</v>
      </c>
    </row>
    <row r="90" customFormat="false" ht="15" hidden="false" customHeight="false" outlineLevel="0" collapsed="false">
      <c r="A90" s="0" t="n">
        <v>351</v>
      </c>
      <c r="B90" s="68" t="n">
        <v>45383</v>
      </c>
      <c r="C90" s="69" t="s">
        <v>152</v>
      </c>
      <c r="D90" s="69" t="s">
        <v>109</v>
      </c>
      <c r="E90" s="69" t="s">
        <v>138</v>
      </c>
      <c r="F90" s="69" t="s">
        <v>143</v>
      </c>
      <c r="G90" s="69" t="s">
        <v>144</v>
      </c>
      <c r="H90" s="0" t="n">
        <v>38</v>
      </c>
      <c r="I90" s="70" t="n">
        <v>63.7</v>
      </c>
      <c r="J90" s="70" t="n">
        <v>35.43</v>
      </c>
      <c r="K90" s="70" t="n">
        <f aca="false">IF(ISTEXT(H90),VALUE(H90),H90)*I90</f>
        <v>2420.6</v>
      </c>
    </row>
    <row r="91" customFormat="false" ht="15" hidden="false" customHeight="false" outlineLevel="0" collapsed="false">
      <c r="A91" s="0" t="n">
        <v>1240</v>
      </c>
      <c r="B91" s="69" t="s">
        <v>202</v>
      </c>
      <c r="C91" s="69" t="s">
        <v>120</v>
      </c>
      <c r="D91" s="69" t="s">
        <v>86</v>
      </c>
      <c r="E91" s="69" t="s">
        <v>125</v>
      </c>
      <c r="F91" s="69" t="s">
        <v>33</v>
      </c>
      <c r="G91" s="69" t="s">
        <v>94</v>
      </c>
      <c r="H91" s="0" t="n">
        <v>19</v>
      </c>
      <c r="I91" s="70" t="n">
        <v>34.78</v>
      </c>
      <c r="J91" s="70" t="n">
        <v>18.39</v>
      </c>
      <c r="K91" s="70" t="n">
        <f aca="false">IF(ISTEXT(H91),VALUE(H91),H91)*I91</f>
        <v>660.82</v>
      </c>
    </row>
    <row r="92" customFormat="false" ht="15" hidden="false" customHeight="false" outlineLevel="0" collapsed="false">
      <c r="A92" s="0" t="n">
        <v>957</v>
      </c>
      <c r="B92" s="69" t="s">
        <v>203</v>
      </c>
      <c r="C92" s="69" t="s">
        <v>152</v>
      </c>
      <c r="D92" s="69" t="s">
        <v>109</v>
      </c>
      <c r="E92" s="69" t="s">
        <v>121</v>
      </c>
      <c r="F92" s="69" t="s">
        <v>93</v>
      </c>
      <c r="G92" s="69" t="s">
        <v>127</v>
      </c>
      <c r="H92" s="0" t="n">
        <v>26</v>
      </c>
      <c r="I92" s="70" t="n">
        <v>127.4</v>
      </c>
      <c r="J92" s="70" t="n">
        <v>76.05</v>
      </c>
      <c r="K92" s="70" t="n">
        <f aca="false">IF(ISTEXT(H92),VALUE(H92),H92)*I92</f>
        <v>3312.4</v>
      </c>
    </row>
    <row r="93" customFormat="false" ht="15" hidden="false" customHeight="false" outlineLevel="0" collapsed="false">
      <c r="A93" s="0" t="n">
        <v>1096</v>
      </c>
      <c r="B93" s="68" t="n">
        <v>45601</v>
      </c>
      <c r="C93" s="69" t="s">
        <v>142</v>
      </c>
      <c r="D93" s="69" t="s">
        <v>112</v>
      </c>
      <c r="E93" s="69" t="s">
        <v>107</v>
      </c>
      <c r="F93" s="69" t="s">
        <v>166</v>
      </c>
      <c r="G93" s="69" t="s">
        <v>111</v>
      </c>
      <c r="H93" s="0" t="n">
        <v>7</v>
      </c>
      <c r="I93" s="70" t="n">
        <v>83.3</v>
      </c>
      <c r="J93" s="70" t="n">
        <v>48.03</v>
      </c>
      <c r="K93" s="70" t="n">
        <f aca="false">IF(ISTEXT(H93),VALUE(H93),H93)*I93</f>
        <v>583.1</v>
      </c>
    </row>
    <row r="94" customFormat="false" ht="15" hidden="false" customHeight="false" outlineLevel="0" collapsed="false">
      <c r="A94" s="0" t="n">
        <v>1535</v>
      </c>
      <c r="B94" s="69" t="s">
        <v>204</v>
      </c>
      <c r="C94" s="69" t="s">
        <v>159</v>
      </c>
      <c r="D94" s="69" t="s">
        <v>86</v>
      </c>
      <c r="E94" s="69" t="s">
        <v>92</v>
      </c>
      <c r="F94" s="69" t="s">
        <v>31</v>
      </c>
      <c r="G94" s="69" t="s">
        <v>51</v>
      </c>
      <c r="H94" s="0" t="s">
        <v>205</v>
      </c>
      <c r="I94" s="70" t="n">
        <v>84.46</v>
      </c>
      <c r="J94" s="70" t="n">
        <v>49.47</v>
      </c>
      <c r="K94" s="70" t="n">
        <f aca="false">IF(ISTEXT(H94),VALUE(H94),H94)*I94</f>
        <v>1773.66</v>
      </c>
    </row>
    <row r="95" customFormat="false" ht="15" hidden="false" customHeight="false" outlineLevel="0" collapsed="false">
      <c r="A95" s="0" t="n">
        <v>1556</v>
      </c>
      <c r="B95" s="69" t="s">
        <v>206</v>
      </c>
      <c r="C95" s="69" t="s">
        <v>108</v>
      </c>
      <c r="D95" s="69" t="s">
        <v>109</v>
      </c>
      <c r="E95" s="69" t="s">
        <v>119</v>
      </c>
      <c r="F95" s="69" t="s">
        <v>115</v>
      </c>
      <c r="G95" s="69" t="s">
        <v>51</v>
      </c>
      <c r="H95" s="0" t="n">
        <v>11</v>
      </c>
      <c r="I95" s="70" t="n">
        <v>84.46</v>
      </c>
      <c r="J95" s="70" t="n">
        <v>49.47</v>
      </c>
      <c r="K95" s="70" t="n">
        <f aca="false">IF(ISTEXT(H95),VALUE(H95),H95)*I95</f>
        <v>929.06</v>
      </c>
    </row>
    <row r="96" customFormat="false" ht="15" hidden="false" customHeight="false" outlineLevel="0" collapsed="false">
      <c r="A96" s="0" t="n">
        <v>559</v>
      </c>
      <c r="B96" s="68" t="n">
        <v>45469</v>
      </c>
      <c r="C96" s="69" t="s">
        <v>118</v>
      </c>
      <c r="D96" s="69" t="s">
        <v>109</v>
      </c>
      <c r="E96" s="69" t="s">
        <v>134</v>
      </c>
      <c r="F96" s="69" t="s">
        <v>183</v>
      </c>
      <c r="G96" s="69" t="s">
        <v>53</v>
      </c>
      <c r="H96" s="0" t="s">
        <v>207</v>
      </c>
      <c r="I96" s="70" t="n">
        <v>34.3</v>
      </c>
      <c r="J96" s="70" t="n">
        <v>17.85</v>
      </c>
      <c r="K96" s="70" t="n">
        <f aca="false">IF(ISTEXT(H96),VALUE(H96),H96)*I96</f>
        <v>891.8</v>
      </c>
    </row>
    <row r="97" customFormat="false" ht="15" hidden="false" customHeight="false" outlineLevel="0" collapsed="false">
      <c r="A97" s="0" t="n">
        <v>626</v>
      </c>
      <c r="B97" s="68" t="n">
        <v>45482</v>
      </c>
      <c r="C97" s="69" t="s">
        <v>91</v>
      </c>
      <c r="D97" s="69" t="s">
        <v>86</v>
      </c>
      <c r="E97" s="69" t="s">
        <v>180</v>
      </c>
      <c r="F97" s="69" t="s">
        <v>147</v>
      </c>
      <c r="G97" s="69" t="s">
        <v>141</v>
      </c>
      <c r="H97" s="0" t="n">
        <v>6</v>
      </c>
      <c r="I97" s="70" t="n">
        <v>1617</v>
      </c>
      <c r="J97" s="70" t="n">
        <v>1122</v>
      </c>
      <c r="K97" s="70" t="n">
        <f aca="false">IF(ISTEXT(H97),VALUE(H97),H97)*I97</f>
        <v>9702</v>
      </c>
    </row>
    <row r="98" customFormat="false" ht="15" hidden="false" customHeight="false" outlineLevel="0" collapsed="false">
      <c r="A98" s="0" t="n">
        <v>752</v>
      </c>
      <c r="B98" s="68" t="n">
        <v>45531</v>
      </c>
      <c r="C98" s="69" t="s">
        <v>118</v>
      </c>
      <c r="D98" s="69"/>
      <c r="E98" s="69" t="s">
        <v>107</v>
      </c>
      <c r="F98" s="69" t="s">
        <v>143</v>
      </c>
      <c r="G98" s="69" t="s">
        <v>208</v>
      </c>
      <c r="H98" s="0" t="s">
        <v>201</v>
      </c>
      <c r="I98" s="70" t="n">
        <v>63.7</v>
      </c>
      <c r="J98" s="70" t="n">
        <v>35.43</v>
      </c>
      <c r="K98" s="70" t="n">
        <f aca="false">IF(ISTEXT(H98),VALUE(H98),H98)*I98</f>
        <v>1019.2</v>
      </c>
    </row>
    <row r="99" customFormat="false" ht="15" hidden="false" customHeight="false" outlineLevel="0" collapsed="false">
      <c r="A99" s="0" t="n">
        <v>222</v>
      </c>
      <c r="B99" s="68" t="n">
        <v>45367</v>
      </c>
      <c r="C99" s="69" t="s">
        <v>27</v>
      </c>
      <c r="D99" s="69" t="s">
        <v>86</v>
      </c>
      <c r="E99" s="69" t="s">
        <v>180</v>
      </c>
      <c r="F99" s="69" t="s">
        <v>88</v>
      </c>
      <c r="G99" s="69" t="s">
        <v>154</v>
      </c>
      <c r="H99" s="0" t="n">
        <v>4</v>
      </c>
      <c r="I99" s="70" t="n">
        <v>1176</v>
      </c>
      <c r="J99" s="70" t="n">
        <v>744</v>
      </c>
      <c r="K99" s="70" t="n">
        <f aca="false">IF(ISTEXT(H99),VALUE(H99),H99)*I99</f>
        <v>4704</v>
      </c>
    </row>
    <row r="100" customFormat="false" ht="15" hidden="false" customHeight="false" outlineLevel="0" collapsed="false">
      <c r="A100" s="0" t="n">
        <v>1674</v>
      </c>
      <c r="B100" s="69" t="s">
        <v>209</v>
      </c>
      <c r="C100" s="69" t="s">
        <v>184</v>
      </c>
      <c r="D100" s="69" t="s">
        <v>137</v>
      </c>
      <c r="E100" s="69" t="s">
        <v>98</v>
      </c>
      <c r="F100" s="69" t="s">
        <v>166</v>
      </c>
      <c r="G100" s="69" t="s">
        <v>156</v>
      </c>
      <c r="H100" s="0" t="n">
        <v>10</v>
      </c>
      <c r="I100" s="70" t="n">
        <v>119.23</v>
      </c>
      <c r="J100" s="70" t="n">
        <v>65.51</v>
      </c>
      <c r="K100" s="70" t="n">
        <f aca="false">IF(ISTEXT(H100),VALUE(H100),H100)*I100</f>
        <v>1192.3</v>
      </c>
    </row>
    <row r="101" customFormat="false" ht="15" hidden="false" customHeight="false" outlineLevel="0" collapsed="false">
      <c r="A101" s="0" t="n">
        <v>196</v>
      </c>
      <c r="B101" s="69" t="s">
        <v>210</v>
      </c>
      <c r="C101" s="69" t="s">
        <v>142</v>
      </c>
      <c r="D101" s="69" t="s">
        <v>112</v>
      </c>
      <c r="E101" s="69" t="s">
        <v>107</v>
      </c>
      <c r="F101" s="69" t="s">
        <v>31</v>
      </c>
      <c r="G101" s="69" t="s">
        <v>116</v>
      </c>
      <c r="H101" s="0" t="n">
        <v>4</v>
      </c>
      <c r="I101" s="70" t="n">
        <v>83.3</v>
      </c>
      <c r="J101" s="70" t="n">
        <v>48.03</v>
      </c>
      <c r="K101" s="70" t="n">
        <f aca="false">IF(ISTEXT(H101),VALUE(H101),H101)*I101</f>
        <v>333.2</v>
      </c>
    </row>
    <row r="102" customFormat="false" ht="15" hidden="false" customHeight="false" outlineLevel="0" collapsed="false">
      <c r="A102" s="0" t="n">
        <v>59</v>
      </c>
      <c r="B102" s="68" t="n">
        <v>45300</v>
      </c>
      <c r="C102" s="69" t="s">
        <v>152</v>
      </c>
      <c r="D102" s="69" t="s">
        <v>109</v>
      </c>
      <c r="E102" s="69" t="s">
        <v>101</v>
      </c>
      <c r="F102" s="69" t="s">
        <v>168</v>
      </c>
      <c r="G102" s="69" t="s">
        <v>53</v>
      </c>
      <c r="H102" s="0" t="s">
        <v>211</v>
      </c>
      <c r="I102" s="70" t="n">
        <v>34.3</v>
      </c>
      <c r="J102" s="70" t="n">
        <v>17.85</v>
      </c>
      <c r="K102" s="70" t="n">
        <f aca="false">IF(ISTEXT(H102),VALUE(H102),H102)*I102</f>
        <v>617.4</v>
      </c>
    </row>
    <row r="103" customFormat="false" ht="15" hidden="false" customHeight="false" outlineLevel="0" collapsed="false">
      <c r="A103" s="0" t="n">
        <v>1359</v>
      </c>
      <c r="B103" s="69" t="s">
        <v>212</v>
      </c>
      <c r="C103" s="69" t="s">
        <v>108</v>
      </c>
      <c r="D103" s="69" t="s">
        <v>109</v>
      </c>
      <c r="E103" s="69" t="s">
        <v>92</v>
      </c>
      <c r="F103" s="69" t="s">
        <v>183</v>
      </c>
      <c r="G103" s="69" t="s">
        <v>53</v>
      </c>
      <c r="H103" s="0" t="s">
        <v>213</v>
      </c>
      <c r="I103" s="70" t="n">
        <v>34.78</v>
      </c>
      <c r="J103" s="70" t="n">
        <v>18.39</v>
      </c>
      <c r="K103" s="70" t="n">
        <f aca="false">IF(ISTEXT(H103),VALUE(H103),H103)*I103</f>
        <v>591.26</v>
      </c>
    </row>
    <row r="104" customFormat="false" ht="15" hidden="false" customHeight="false" outlineLevel="0" collapsed="false">
      <c r="A104" s="0" t="n">
        <v>595</v>
      </c>
      <c r="B104" s="68" t="n">
        <v>45451</v>
      </c>
      <c r="C104" s="69" t="s">
        <v>142</v>
      </c>
      <c r="D104" s="69" t="s">
        <v>112</v>
      </c>
      <c r="E104" s="69" t="s">
        <v>134</v>
      </c>
      <c r="F104" s="69" t="s">
        <v>162</v>
      </c>
      <c r="G104" s="69" t="s">
        <v>51</v>
      </c>
      <c r="H104" s="0" t="n">
        <v>14</v>
      </c>
      <c r="I104" s="70" t="n">
        <v>83.3</v>
      </c>
      <c r="J104" s="70" t="n">
        <v>48.03</v>
      </c>
      <c r="K104" s="70" t="n">
        <f aca="false">IF(ISTEXT(H104),VALUE(H104),H104)*I104</f>
        <v>1166.2</v>
      </c>
    </row>
    <row r="105" customFormat="false" ht="15" hidden="false" customHeight="false" outlineLevel="0" collapsed="false">
      <c r="A105" s="0" t="n">
        <v>657</v>
      </c>
      <c r="B105" s="69" t="s">
        <v>214</v>
      </c>
      <c r="C105" s="69" t="s">
        <v>30</v>
      </c>
      <c r="D105" s="69" t="s">
        <v>109</v>
      </c>
      <c r="E105" s="69" t="s">
        <v>101</v>
      </c>
      <c r="F105" s="69" t="s">
        <v>93</v>
      </c>
      <c r="G105" s="69" t="s">
        <v>52</v>
      </c>
      <c r="H105" s="0" t="s">
        <v>215</v>
      </c>
      <c r="I105" s="70" t="n">
        <v>127.4</v>
      </c>
      <c r="J105" s="70" t="n">
        <v>76.05</v>
      </c>
      <c r="K105" s="70" t="n">
        <f aca="false">IF(ISTEXT(H105),VALUE(H105),H105)*I105</f>
        <v>3949.4</v>
      </c>
    </row>
    <row r="106" customFormat="false" ht="15" hidden="false" customHeight="false" outlineLevel="0" collapsed="false">
      <c r="A106" s="0" t="n">
        <v>439</v>
      </c>
      <c r="B106" s="69" t="s">
        <v>216</v>
      </c>
      <c r="C106" s="69" t="s">
        <v>120</v>
      </c>
      <c r="D106" s="69" t="s">
        <v>86</v>
      </c>
      <c r="E106" s="69" t="s">
        <v>92</v>
      </c>
      <c r="F106" s="69" t="s">
        <v>182</v>
      </c>
      <c r="G106" s="69" t="s">
        <v>217</v>
      </c>
      <c r="H106" s="0" t="n">
        <v>30</v>
      </c>
      <c r="I106" s="70" t="n">
        <v>34.3</v>
      </c>
      <c r="J106" s="70" t="n">
        <v>17.85</v>
      </c>
      <c r="K106" s="70" t="n">
        <f aca="false">IF(ISTEXT(H106),VALUE(H106),H106)*I106</f>
        <v>1029</v>
      </c>
    </row>
    <row r="107" customFormat="false" ht="15" hidden="false" customHeight="false" outlineLevel="0" collapsed="false">
      <c r="A107" s="0" t="n">
        <v>281</v>
      </c>
      <c r="B107" s="68" t="n">
        <v>45375</v>
      </c>
      <c r="C107" s="69" t="s">
        <v>142</v>
      </c>
      <c r="D107" s="69" t="s">
        <v>112</v>
      </c>
      <c r="E107" s="69" t="s">
        <v>138</v>
      </c>
      <c r="F107" s="69" t="s">
        <v>135</v>
      </c>
      <c r="G107" s="69" t="s">
        <v>41</v>
      </c>
      <c r="H107" s="0" t="n">
        <v>6</v>
      </c>
      <c r="I107" s="70" t="n">
        <v>1176</v>
      </c>
      <c r="J107" s="70" t="n">
        <v>744</v>
      </c>
      <c r="K107" s="70" t="n">
        <f aca="false">IF(ISTEXT(H107),VALUE(H107),H107)*I107</f>
        <v>7056</v>
      </c>
    </row>
    <row r="108" customFormat="false" ht="15" hidden="false" customHeight="false" outlineLevel="0" collapsed="false">
      <c r="A108" s="0" t="n">
        <v>492</v>
      </c>
      <c r="B108" s="68" t="n">
        <v>45428</v>
      </c>
      <c r="C108" s="69" t="s">
        <v>133</v>
      </c>
      <c r="D108" s="69" t="s">
        <v>112</v>
      </c>
      <c r="E108" s="69" t="s">
        <v>125</v>
      </c>
      <c r="F108" s="69" t="s">
        <v>155</v>
      </c>
      <c r="G108" s="69" t="s">
        <v>144</v>
      </c>
      <c r="H108" s="0" t="n">
        <v>12</v>
      </c>
      <c r="I108" s="70" t="n">
        <v>63.7</v>
      </c>
      <c r="J108" s="70" t="n">
        <v>35.43</v>
      </c>
      <c r="K108" s="70" t="n">
        <f aca="false">IF(ISTEXT(H108),VALUE(H108),H108)*I108</f>
        <v>764.4</v>
      </c>
    </row>
    <row r="109" customFormat="false" ht="15" hidden="false" customHeight="false" outlineLevel="0" collapsed="false">
      <c r="A109" s="0" t="n">
        <v>1367</v>
      </c>
      <c r="B109" s="68" t="n">
        <v>45700</v>
      </c>
      <c r="C109" s="69" t="s">
        <v>32</v>
      </c>
      <c r="D109" s="69" t="s">
        <v>137</v>
      </c>
      <c r="E109" s="69" t="s">
        <v>134</v>
      </c>
      <c r="F109" s="69" t="s">
        <v>143</v>
      </c>
      <c r="G109" s="69" t="s">
        <v>113</v>
      </c>
      <c r="H109" s="0" t="s">
        <v>218</v>
      </c>
      <c r="I109" s="70" t="n">
        <v>27.82</v>
      </c>
      <c r="J109" s="70" t="n">
        <v>13.84</v>
      </c>
      <c r="K109" s="70" t="n">
        <f aca="false">IF(ISTEXT(H109),VALUE(H109),H109)*I109</f>
        <v>778.96</v>
      </c>
    </row>
    <row r="110" customFormat="false" ht="15" hidden="false" customHeight="false" outlineLevel="0" collapsed="false">
      <c r="A110" s="0" t="n">
        <v>692</v>
      </c>
      <c r="B110" s="69" t="s">
        <v>219</v>
      </c>
      <c r="C110" s="69" t="s">
        <v>133</v>
      </c>
      <c r="D110" s="69" t="s">
        <v>112</v>
      </c>
      <c r="E110" s="69" t="s">
        <v>98</v>
      </c>
      <c r="F110" s="69" t="s">
        <v>143</v>
      </c>
      <c r="G110" s="69" t="s">
        <v>208</v>
      </c>
      <c r="H110" s="0" t="n">
        <v>13</v>
      </c>
      <c r="I110" s="70" t="n">
        <v>63.7</v>
      </c>
      <c r="J110" s="70" t="n">
        <v>35.43</v>
      </c>
      <c r="K110" s="70" t="n">
        <f aca="false">IF(ISTEXT(H110),VALUE(H110),H110)*I110</f>
        <v>828.1</v>
      </c>
    </row>
    <row r="111" customFormat="false" ht="15" hidden="false" customHeight="false" outlineLevel="0" collapsed="false">
      <c r="A111" s="0" t="n">
        <v>1738</v>
      </c>
      <c r="B111" s="68" t="n">
        <v>45825</v>
      </c>
      <c r="C111" s="69" t="s">
        <v>120</v>
      </c>
      <c r="D111" s="69" t="s">
        <v>86</v>
      </c>
      <c r="E111" s="69" t="s">
        <v>98</v>
      </c>
      <c r="F111" s="69" t="s">
        <v>33</v>
      </c>
      <c r="G111" s="69" t="s">
        <v>52</v>
      </c>
      <c r="H111" s="0" t="n">
        <v>21</v>
      </c>
      <c r="I111" s="70" t="n">
        <v>129.17</v>
      </c>
      <c r="J111" s="70" t="n">
        <v>78.33</v>
      </c>
      <c r="K111" s="70" t="n">
        <f aca="false">IF(ISTEXT(H111),VALUE(H111),H111)*I111</f>
        <v>2712.57</v>
      </c>
    </row>
    <row r="112" customFormat="false" ht="15" hidden="false" customHeight="false" outlineLevel="0" collapsed="false">
      <c r="A112" s="0" t="n">
        <v>1740</v>
      </c>
      <c r="B112" s="69" t="s">
        <v>220</v>
      </c>
      <c r="C112" s="69" t="s">
        <v>120</v>
      </c>
      <c r="D112" s="69" t="s">
        <v>86</v>
      </c>
      <c r="E112" s="69" t="s">
        <v>98</v>
      </c>
      <c r="F112" s="69" t="s">
        <v>182</v>
      </c>
      <c r="G112" s="69" t="s">
        <v>217</v>
      </c>
      <c r="H112" s="0" t="s">
        <v>221</v>
      </c>
      <c r="I112" s="70" t="n">
        <v>34.78</v>
      </c>
      <c r="J112" s="70" t="n">
        <v>18.39</v>
      </c>
      <c r="K112" s="70" t="n">
        <f aca="false">IF(ISTEXT(H112),VALUE(H112),H112)*I112</f>
        <v>799.94</v>
      </c>
    </row>
    <row r="113" customFormat="false" ht="15" hidden="false" customHeight="false" outlineLevel="0" collapsed="false">
      <c r="A113" s="0" t="n">
        <v>54</v>
      </c>
      <c r="B113" s="68" t="n">
        <v>45292</v>
      </c>
      <c r="C113" s="69" t="s">
        <v>108</v>
      </c>
      <c r="D113" s="69" t="s">
        <v>109</v>
      </c>
      <c r="E113" s="69" t="s">
        <v>87</v>
      </c>
      <c r="F113" s="69" t="s">
        <v>115</v>
      </c>
      <c r="G113" s="69" t="s">
        <v>171</v>
      </c>
      <c r="H113" s="0" t="s">
        <v>222</v>
      </c>
      <c r="I113" s="70" t="n">
        <v>117.6</v>
      </c>
      <c r="J113" s="70" t="n">
        <v>63.6</v>
      </c>
      <c r="K113" s="70" t="n">
        <f aca="false">IF(ISTEXT(H113),VALUE(H113),H113)*I113</f>
        <v>705.6</v>
      </c>
    </row>
    <row r="114" customFormat="false" ht="15" hidden="false" customHeight="false" outlineLevel="0" collapsed="false">
      <c r="A114" s="0" t="n">
        <v>1291</v>
      </c>
      <c r="B114" s="69" t="s">
        <v>223</v>
      </c>
      <c r="C114" s="69" t="s">
        <v>34</v>
      </c>
      <c r="D114" s="69" t="s">
        <v>112</v>
      </c>
      <c r="E114" s="69" t="s">
        <v>134</v>
      </c>
      <c r="F114" s="69" t="s">
        <v>143</v>
      </c>
      <c r="G114" s="69" t="s">
        <v>208</v>
      </c>
      <c r="H114" s="0" t="n">
        <v>28</v>
      </c>
      <c r="I114" s="70" t="n">
        <v>64.58</v>
      </c>
      <c r="J114" s="70" t="n">
        <v>36.49</v>
      </c>
      <c r="K114" s="70" t="n">
        <f aca="false">IF(ISTEXT(H114),VALUE(H114),H114)*I114</f>
        <v>1808.24</v>
      </c>
    </row>
    <row r="115" customFormat="false" ht="15" hidden="false" customHeight="false" outlineLevel="0" collapsed="false">
      <c r="A115" s="0" t="n">
        <v>949</v>
      </c>
      <c r="B115" s="68" t="n">
        <v>45567</v>
      </c>
      <c r="C115" s="69" t="s">
        <v>118</v>
      </c>
      <c r="D115" s="69"/>
      <c r="E115" s="69" t="s">
        <v>92</v>
      </c>
      <c r="F115" s="69" t="s">
        <v>143</v>
      </c>
      <c r="G115" s="69" t="s">
        <v>48</v>
      </c>
      <c r="H115" s="0" t="n">
        <v>47</v>
      </c>
      <c r="I115" s="70" t="n">
        <v>93.1</v>
      </c>
      <c r="J115" s="70" t="n">
        <v>47.98</v>
      </c>
      <c r="K115" s="70" t="n">
        <f aca="false">IF(ISTEXT(H115),VALUE(H115),H115)*I115</f>
        <v>4375.7</v>
      </c>
    </row>
    <row r="116" customFormat="false" ht="15" hidden="false" customHeight="false" outlineLevel="0" collapsed="false">
      <c r="A116" s="0" t="n">
        <v>907</v>
      </c>
      <c r="B116" s="68" t="n">
        <v>45570</v>
      </c>
      <c r="C116" s="69" t="s">
        <v>170</v>
      </c>
      <c r="D116" s="69" t="s">
        <v>97</v>
      </c>
      <c r="E116" s="69" t="s">
        <v>92</v>
      </c>
      <c r="F116" s="69" t="s">
        <v>102</v>
      </c>
      <c r="G116" s="69" t="s">
        <v>47</v>
      </c>
      <c r="H116" s="0" t="n">
        <v>105</v>
      </c>
      <c r="I116" s="70" t="n">
        <v>27.44</v>
      </c>
      <c r="J116" s="70" t="n">
        <v>13.44</v>
      </c>
      <c r="K116" s="70" t="n">
        <f aca="false">IF(ISTEXT(H116),VALUE(H116),H116)*I116</f>
        <v>2881.2</v>
      </c>
    </row>
    <row r="117" customFormat="false" ht="15" hidden="false" customHeight="false" outlineLevel="0" collapsed="false">
      <c r="A117" s="0" t="n">
        <v>2027</v>
      </c>
      <c r="B117" s="69" t="s">
        <v>224</v>
      </c>
      <c r="C117" s="69" t="s">
        <v>120</v>
      </c>
      <c r="D117" s="69" t="s">
        <v>86</v>
      </c>
      <c r="E117" s="69" t="s">
        <v>92</v>
      </c>
      <c r="F117" s="69" t="s">
        <v>102</v>
      </c>
      <c r="G117" s="69" t="s">
        <v>47</v>
      </c>
      <c r="H117" s="0" t="n">
        <v>60</v>
      </c>
      <c r="I117" s="70" t="n">
        <v>28.11</v>
      </c>
      <c r="J117" s="70" t="n">
        <v>13.84</v>
      </c>
      <c r="K117" s="70" t="n">
        <f aca="false">IF(ISTEXT(H117),VALUE(H117),H117)*I117</f>
        <v>1686.6</v>
      </c>
    </row>
    <row r="118" customFormat="false" ht="15" hidden="false" customHeight="false" outlineLevel="0" collapsed="false">
      <c r="A118" s="0" t="n">
        <v>1533</v>
      </c>
      <c r="B118" s="69" t="s">
        <v>225</v>
      </c>
      <c r="C118" s="69" t="s">
        <v>27</v>
      </c>
      <c r="D118" s="69" t="s">
        <v>86</v>
      </c>
      <c r="E118" s="69" t="s">
        <v>134</v>
      </c>
      <c r="F118" s="69" t="s">
        <v>166</v>
      </c>
      <c r="G118" s="69" t="s">
        <v>50</v>
      </c>
      <c r="H118" s="0" t="n">
        <v>20</v>
      </c>
      <c r="I118" s="70" t="n">
        <v>119.23</v>
      </c>
      <c r="J118" s="70" t="n">
        <v>65.51</v>
      </c>
      <c r="K118" s="70" t="n">
        <f aca="false">IF(ISTEXT(H118),VALUE(H118),H118)*I118</f>
        <v>2384.6</v>
      </c>
    </row>
    <row r="119" customFormat="false" ht="15" hidden="false" customHeight="false" outlineLevel="0" collapsed="false">
      <c r="A119" s="0" t="n">
        <v>807</v>
      </c>
      <c r="B119" s="69" t="s">
        <v>226</v>
      </c>
      <c r="C119" s="69" t="s">
        <v>150</v>
      </c>
      <c r="D119" s="69" t="s">
        <v>97</v>
      </c>
      <c r="E119" s="69" t="s">
        <v>101</v>
      </c>
      <c r="F119" s="69" t="s">
        <v>155</v>
      </c>
      <c r="G119" s="69" t="s">
        <v>103</v>
      </c>
      <c r="H119" s="0" t="n">
        <v>92</v>
      </c>
      <c r="I119" s="70" t="n">
        <v>27.44</v>
      </c>
      <c r="J119" s="70" t="n">
        <v>13.44</v>
      </c>
      <c r="K119" s="70" t="n">
        <f aca="false">IF(ISTEXT(H119),VALUE(H119),H119)*I119</f>
        <v>2524.48</v>
      </c>
    </row>
    <row r="120" customFormat="false" ht="15" hidden="false" customHeight="false" outlineLevel="0" collapsed="false">
      <c r="A120" s="0" t="n">
        <v>2304</v>
      </c>
      <c r="B120" s="68" t="n">
        <v>46001</v>
      </c>
      <c r="C120" s="69" t="s">
        <v>170</v>
      </c>
      <c r="D120" s="69" t="s">
        <v>97</v>
      </c>
      <c r="E120" s="69" t="s">
        <v>119</v>
      </c>
      <c r="F120" s="69" t="s">
        <v>139</v>
      </c>
      <c r="G120" s="69" t="s">
        <v>177</v>
      </c>
      <c r="H120" s="0" t="n">
        <v>24</v>
      </c>
      <c r="I120" s="70" t="n">
        <v>451.78</v>
      </c>
      <c r="J120" s="70" t="n">
        <v>280.42</v>
      </c>
      <c r="K120" s="70" t="n">
        <f aca="false">IF(ISTEXT(H120),VALUE(H120),H120)*I120</f>
        <v>10842.72</v>
      </c>
    </row>
    <row r="121" customFormat="false" ht="15" hidden="false" customHeight="false" outlineLevel="0" collapsed="false">
      <c r="A121" s="0" t="n">
        <v>434</v>
      </c>
      <c r="B121" s="68" t="n">
        <v>45427</v>
      </c>
      <c r="C121" s="69" t="s">
        <v>120</v>
      </c>
      <c r="D121" s="69" t="s">
        <v>86</v>
      </c>
      <c r="E121" s="69" t="s">
        <v>98</v>
      </c>
      <c r="F121" s="69" t="s">
        <v>31</v>
      </c>
      <c r="G121" s="69" t="s">
        <v>156</v>
      </c>
      <c r="H121" s="0" t="n">
        <v>11</v>
      </c>
      <c r="I121" s="70" t="n">
        <v>117.6</v>
      </c>
      <c r="J121" s="70" t="n">
        <v>63.6</v>
      </c>
      <c r="K121" s="70" t="n">
        <f aca="false">IF(ISTEXT(H121),VALUE(H121),H121)*I121</f>
        <v>1293.6</v>
      </c>
    </row>
    <row r="122" customFormat="false" ht="15" hidden="false" customHeight="false" outlineLevel="0" collapsed="false">
      <c r="A122" s="0" t="n">
        <v>1371</v>
      </c>
      <c r="B122" s="68" t="n">
        <v>45701</v>
      </c>
      <c r="C122" s="69" t="s">
        <v>184</v>
      </c>
      <c r="D122" s="69" t="s">
        <v>137</v>
      </c>
      <c r="E122" s="69" t="s">
        <v>138</v>
      </c>
      <c r="F122" s="69" t="s">
        <v>99</v>
      </c>
      <c r="G122" s="69" t="s">
        <v>49</v>
      </c>
      <c r="H122" s="0" t="n">
        <v>23</v>
      </c>
      <c r="I122" s="70" t="n">
        <v>64.58</v>
      </c>
      <c r="J122" s="70" t="n">
        <v>36.49</v>
      </c>
      <c r="K122" s="70" t="n">
        <f aca="false">IF(ISTEXT(H122),VALUE(H122),H122)*I122</f>
        <v>1485.34</v>
      </c>
    </row>
    <row r="123" customFormat="false" ht="15" hidden="false" customHeight="false" outlineLevel="0" collapsed="false">
      <c r="A123" s="0" t="n">
        <v>2347</v>
      </c>
      <c r="B123" s="68" t="n">
        <v>46005</v>
      </c>
      <c r="C123" s="69" t="s">
        <v>108</v>
      </c>
      <c r="D123" s="69" t="s">
        <v>109</v>
      </c>
      <c r="E123" s="69" t="s">
        <v>92</v>
      </c>
      <c r="F123" s="69" t="s">
        <v>143</v>
      </c>
      <c r="G123" s="69" t="s">
        <v>113</v>
      </c>
      <c r="H123" s="0" t="n">
        <v>50</v>
      </c>
      <c r="I123" s="70" t="n">
        <v>28.11</v>
      </c>
      <c r="J123" s="70" t="n">
        <v>13.84</v>
      </c>
      <c r="K123" s="70" t="n">
        <f aca="false">IF(ISTEXT(H123),VALUE(H123),H123)*I123</f>
        <v>1405.5</v>
      </c>
    </row>
    <row r="124" customFormat="false" ht="15" hidden="false" customHeight="false" outlineLevel="0" collapsed="false">
      <c r="A124" s="0" t="n">
        <v>1768</v>
      </c>
      <c r="B124" s="69" t="s">
        <v>227</v>
      </c>
      <c r="C124" s="69" t="s">
        <v>184</v>
      </c>
      <c r="D124" s="69" t="s">
        <v>137</v>
      </c>
      <c r="E124" s="69" t="s">
        <v>119</v>
      </c>
      <c r="F124" s="69" t="s">
        <v>155</v>
      </c>
      <c r="G124" s="69" t="s">
        <v>113</v>
      </c>
      <c r="H124" s="0" t="n">
        <v>21</v>
      </c>
      <c r="I124" s="70" t="n">
        <v>27.82</v>
      </c>
      <c r="J124" s="70" t="n">
        <v>13.84</v>
      </c>
      <c r="K124" s="70" t="n">
        <f aca="false">IF(ISTEXT(H124),VALUE(H124),H124)*I124</f>
        <v>584.22</v>
      </c>
    </row>
    <row r="125" customFormat="false" ht="15" hidden="false" customHeight="false" outlineLevel="0" collapsed="false">
      <c r="A125" s="0" t="n">
        <v>653</v>
      </c>
      <c r="B125" s="68" t="n">
        <v>45482</v>
      </c>
      <c r="C125" s="69" t="s">
        <v>30</v>
      </c>
      <c r="D125" s="69" t="s">
        <v>109</v>
      </c>
      <c r="E125" s="69" t="s">
        <v>121</v>
      </c>
      <c r="F125" s="69" t="s">
        <v>162</v>
      </c>
      <c r="G125" s="69" t="s">
        <v>50</v>
      </c>
      <c r="H125" s="0" t="n">
        <v>17</v>
      </c>
      <c r="I125" s="70" t="n">
        <v>117.6</v>
      </c>
      <c r="J125" s="70" t="n">
        <v>63.6</v>
      </c>
      <c r="K125" s="70" t="n">
        <f aca="false">IF(ISTEXT(H125),VALUE(H125),H125)*I125</f>
        <v>1999.2</v>
      </c>
    </row>
    <row r="126" customFormat="false" ht="15" hidden="false" customHeight="false" outlineLevel="0" collapsed="false">
      <c r="A126" s="0" t="n">
        <v>1483</v>
      </c>
      <c r="B126" s="69" t="s">
        <v>228</v>
      </c>
      <c r="C126" s="69" t="s">
        <v>133</v>
      </c>
      <c r="D126" s="69" t="s">
        <v>112</v>
      </c>
      <c r="E126" s="69" t="s">
        <v>138</v>
      </c>
      <c r="F126" s="69" t="s">
        <v>147</v>
      </c>
      <c r="G126" s="69" t="s">
        <v>177</v>
      </c>
      <c r="H126" s="0" t="s">
        <v>229</v>
      </c>
      <c r="I126" s="70" t="n">
        <v>433.15</v>
      </c>
      <c r="J126" s="70" t="n">
        <v>280.42</v>
      </c>
      <c r="K126" s="70" t="n">
        <f aca="false">IF(ISTEXT(H126),VALUE(H126),H126)*I126</f>
        <v>3032.05</v>
      </c>
    </row>
    <row r="127" customFormat="false" ht="15" hidden="false" customHeight="false" outlineLevel="0" collapsed="false">
      <c r="A127" s="0" t="n">
        <v>334</v>
      </c>
      <c r="B127" s="68" t="n">
        <v>45399</v>
      </c>
      <c r="C127" s="69" t="s">
        <v>120</v>
      </c>
      <c r="D127" s="69"/>
      <c r="E127" s="69" t="s">
        <v>180</v>
      </c>
      <c r="F127" s="69" t="s">
        <v>162</v>
      </c>
      <c r="G127" s="69" t="s">
        <v>171</v>
      </c>
      <c r="H127" s="0" t="n">
        <v>9</v>
      </c>
      <c r="I127" s="70" t="n">
        <v>117.6</v>
      </c>
      <c r="J127" s="70" t="n">
        <v>63.6</v>
      </c>
      <c r="K127" s="70" t="n">
        <f aca="false">IF(ISTEXT(H127),VALUE(H127),H127)*I127</f>
        <v>1058.4</v>
      </c>
    </row>
    <row r="128" customFormat="false" ht="15" hidden="false" customHeight="false" outlineLevel="0" collapsed="false">
      <c r="A128" s="0" t="n">
        <v>1374</v>
      </c>
      <c r="B128" s="69" t="s">
        <v>230</v>
      </c>
      <c r="C128" s="69" t="s">
        <v>136</v>
      </c>
      <c r="D128" s="69" t="s">
        <v>137</v>
      </c>
      <c r="E128" s="69" t="s">
        <v>87</v>
      </c>
      <c r="F128" s="69" t="s">
        <v>162</v>
      </c>
      <c r="G128" s="69" t="s">
        <v>171</v>
      </c>
      <c r="H128" s="0" t="n">
        <v>8</v>
      </c>
      <c r="I128" s="70" t="n">
        <v>119.23</v>
      </c>
      <c r="J128" s="70" t="n">
        <v>65.51</v>
      </c>
      <c r="K128" s="70" t="n">
        <f aca="false">IF(ISTEXT(H128),VALUE(H128),H128)*I128</f>
        <v>953.84</v>
      </c>
    </row>
    <row r="129" customFormat="false" ht="15" hidden="false" customHeight="false" outlineLevel="0" collapsed="false">
      <c r="A129" s="0" t="n">
        <v>664</v>
      </c>
      <c r="B129" s="68" t="n">
        <v>45478</v>
      </c>
      <c r="C129" s="69" t="s">
        <v>193</v>
      </c>
      <c r="D129" s="69" t="s">
        <v>137</v>
      </c>
      <c r="E129" s="69" t="s">
        <v>119</v>
      </c>
      <c r="F129" s="69" t="s">
        <v>139</v>
      </c>
      <c r="G129" s="69" t="s">
        <v>43</v>
      </c>
      <c r="H129" s="0" t="n">
        <v>3</v>
      </c>
      <c r="I129" s="70" t="n">
        <v>441</v>
      </c>
      <c r="J129" s="70" t="n">
        <v>272.25</v>
      </c>
      <c r="K129" s="70" t="n">
        <f aca="false">IF(ISTEXT(H129),VALUE(H129),H129)*I129</f>
        <v>1323</v>
      </c>
    </row>
    <row r="130" customFormat="false" ht="15" hidden="false" customHeight="false" outlineLevel="0" collapsed="false">
      <c r="A130" s="0" t="n">
        <v>1801</v>
      </c>
      <c r="B130" s="69" t="s">
        <v>231</v>
      </c>
      <c r="C130" s="69" t="s">
        <v>150</v>
      </c>
      <c r="D130" s="69" t="s">
        <v>97</v>
      </c>
      <c r="E130" s="69" t="s">
        <v>121</v>
      </c>
      <c r="F130" s="69" t="s">
        <v>135</v>
      </c>
      <c r="G130" s="69" t="s">
        <v>151</v>
      </c>
      <c r="H130" s="0" t="n">
        <v>20</v>
      </c>
      <c r="I130" s="70" t="n">
        <v>1204.74</v>
      </c>
      <c r="J130" s="70" t="n">
        <v>766.32</v>
      </c>
      <c r="K130" s="70" t="n">
        <f aca="false">IF(ISTEXT(H130),VALUE(H130),H130)*I130</f>
        <v>24094.8</v>
      </c>
    </row>
    <row r="131" customFormat="false" ht="15" hidden="false" customHeight="false" outlineLevel="0" collapsed="false">
      <c r="A131" s="0" t="n">
        <v>2242</v>
      </c>
      <c r="B131" s="68" t="n">
        <v>45969</v>
      </c>
      <c r="C131" s="69" t="s">
        <v>152</v>
      </c>
      <c r="D131" s="69" t="s">
        <v>109</v>
      </c>
      <c r="E131" s="69" t="s">
        <v>119</v>
      </c>
      <c r="F131" s="69" t="s">
        <v>147</v>
      </c>
      <c r="G131" s="69" t="s">
        <v>151</v>
      </c>
      <c r="H131" s="0" t="n">
        <v>7</v>
      </c>
      <c r="I131" s="70" t="n">
        <v>1204.74</v>
      </c>
      <c r="J131" s="70" t="n">
        <v>766.32</v>
      </c>
      <c r="K131" s="70" t="n">
        <f aca="false">IF(ISTEXT(H131),VALUE(H131),H131)*I131</f>
        <v>8433.18</v>
      </c>
    </row>
    <row r="132" customFormat="false" ht="15" hidden="false" customHeight="false" outlineLevel="0" collapsed="false">
      <c r="A132" s="0" t="n">
        <v>2245</v>
      </c>
      <c r="B132" s="68" t="n">
        <v>45963</v>
      </c>
      <c r="C132" s="69" t="s">
        <v>108</v>
      </c>
      <c r="D132" s="69" t="s">
        <v>109</v>
      </c>
      <c r="E132" s="69" t="s">
        <v>121</v>
      </c>
      <c r="F132" s="69" t="s">
        <v>88</v>
      </c>
      <c r="G132" s="69" t="s">
        <v>141</v>
      </c>
      <c r="H132" s="0" t="n">
        <v>11</v>
      </c>
      <c r="I132" s="70" t="n">
        <v>1656.52</v>
      </c>
      <c r="J132" s="70" t="n">
        <v>1155.66</v>
      </c>
      <c r="K132" s="70" t="n">
        <f aca="false">IF(ISTEXT(H132),VALUE(H132),H132)*I132</f>
        <v>18221.72</v>
      </c>
    </row>
    <row r="133" customFormat="false" ht="15" hidden="false" customHeight="false" outlineLevel="0" collapsed="false">
      <c r="A133" s="0" t="n">
        <v>1299</v>
      </c>
      <c r="B133" s="68" t="n">
        <v>45679</v>
      </c>
      <c r="C133" s="69" t="s">
        <v>34</v>
      </c>
      <c r="D133" s="69" t="s">
        <v>112</v>
      </c>
      <c r="E133" s="69" t="s">
        <v>101</v>
      </c>
      <c r="F133" s="69" t="s">
        <v>183</v>
      </c>
      <c r="G133" s="69" t="s">
        <v>53</v>
      </c>
      <c r="H133" s="0" t="n">
        <v>14</v>
      </c>
      <c r="I133" s="70" t="n">
        <v>34.78</v>
      </c>
      <c r="J133" s="70" t="n">
        <v>18.39</v>
      </c>
      <c r="K133" s="70" t="n">
        <f aca="false">IF(ISTEXT(H133),VALUE(H133),H133)*I133</f>
        <v>486.92</v>
      </c>
    </row>
    <row r="134" customFormat="false" ht="15" hidden="false" customHeight="false" outlineLevel="0" collapsed="false">
      <c r="A134" s="0" t="n">
        <v>738</v>
      </c>
      <c r="B134" s="68" t="n">
        <v>45514</v>
      </c>
      <c r="C134" s="69" t="s">
        <v>120</v>
      </c>
      <c r="D134" s="69" t="s">
        <v>86</v>
      </c>
      <c r="E134" s="69" t="s">
        <v>98</v>
      </c>
      <c r="F134" s="69" t="s">
        <v>168</v>
      </c>
      <c r="G134" s="69" t="s">
        <v>127</v>
      </c>
      <c r="H134" s="0" t="n">
        <v>11</v>
      </c>
      <c r="I134" s="70" t="n">
        <v>127.4</v>
      </c>
      <c r="J134" s="70" t="n">
        <v>76.05</v>
      </c>
      <c r="K134" s="70" t="n">
        <f aca="false">IF(ISTEXT(H134),VALUE(H134),H134)*I134</f>
        <v>1401.4</v>
      </c>
    </row>
    <row r="135" customFormat="false" ht="15" hidden="false" customHeight="false" outlineLevel="0" collapsed="false">
      <c r="A135" s="0" t="n">
        <v>6</v>
      </c>
      <c r="B135" s="68" t="n">
        <v>45307</v>
      </c>
      <c r="C135" s="69" t="s">
        <v>96</v>
      </c>
      <c r="D135" s="69" t="s">
        <v>97</v>
      </c>
      <c r="E135" s="69" t="s">
        <v>125</v>
      </c>
      <c r="F135" s="69" t="s">
        <v>153</v>
      </c>
      <c r="G135" s="69" t="s">
        <v>45</v>
      </c>
      <c r="H135" s="0" t="n">
        <v>8</v>
      </c>
      <c r="I135" s="70" t="n">
        <v>1617</v>
      </c>
      <c r="J135" s="70" t="n">
        <v>1122</v>
      </c>
      <c r="K135" s="70" t="n">
        <f aca="false">IF(ISTEXT(H135),VALUE(H135),H135)*I135</f>
        <v>12936</v>
      </c>
    </row>
    <row r="136" customFormat="false" ht="15" hidden="false" customHeight="false" outlineLevel="0" collapsed="false">
      <c r="A136" s="0" t="n">
        <v>2056</v>
      </c>
      <c r="B136" s="68" t="n">
        <v>45902</v>
      </c>
      <c r="C136" s="69" t="s">
        <v>152</v>
      </c>
      <c r="D136" s="69" t="s">
        <v>109</v>
      </c>
      <c r="E136" s="69" t="s">
        <v>119</v>
      </c>
      <c r="F136" s="69" t="s">
        <v>162</v>
      </c>
      <c r="G136" s="69" t="s">
        <v>51</v>
      </c>
      <c r="H136" s="0" t="n">
        <v>15</v>
      </c>
      <c r="I136" s="70" t="n">
        <v>85.34</v>
      </c>
      <c r="J136" s="70" t="n">
        <v>49.47</v>
      </c>
      <c r="K136" s="70" t="n">
        <f aca="false">IF(ISTEXT(H136),VALUE(H136),H136)*I136</f>
        <v>1280.1</v>
      </c>
    </row>
    <row r="137" customFormat="false" ht="15" hidden="false" customHeight="false" outlineLevel="0" collapsed="false">
      <c r="A137" s="0" t="n">
        <v>1576</v>
      </c>
      <c r="B137" s="68" t="n">
        <v>45764</v>
      </c>
      <c r="C137" s="69" t="s">
        <v>184</v>
      </c>
      <c r="D137" s="69" t="s">
        <v>137</v>
      </c>
      <c r="E137" s="69" t="s">
        <v>98</v>
      </c>
      <c r="F137" s="69" t="s">
        <v>162</v>
      </c>
      <c r="G137" s="69" t="s">
        <v>111</v>
      </c>
      <c r="H137" s="0" t="n">
        <v>9</v>
      </c>
      <c r="I137" s="70" t="n">
        <v>84.46</v>
      </c>
      <c r="J137" s="70" t="n">
        <v>49.47</v>
      </c>
      <c r="K137" s="70" t="n">
        <f aca="false">IF(ISTEXT(H137),VALUE(H137),H137)*I137</f>
        <v>760.14</v>
      </c>
    </row>
    <row r="138" customFormat="false" ht="15" hidden="false" customHeight="false" outlineLevel="0" collapsed="false">
      <c r="A138" s="0" t="n">
        <v>49</v>
      </c>
      <c r="B138" s="68" t="n">
        <v>45311</v>
      </c>
      <c r="C138" s="69" t="s">
        <v>108</v>
      </c>
      <c r="D138" s="69" t="s">
        <v>109</v>
      </c>
      <c r="E138" s="69" t="s">
        <v>134</v>
      </c>
      <c r="F138" s="69" t="s">
        <v>155</v>
      </c>
      <c r="G138" s="69" t="s">
        <v>48</v>
      </c>
      <c r="H138" s="0" t="n">
        <v>36</v>
      </c>
      <c r="I138" s="70" t="n">
        <v>93.1</v>
      </c>
      <c r="J138" s="70" t="n">
        <v>47.98</v>
      </c>
      <c r="K138" s="70" t="n">
        <f aca="false">IF(ISTEXT(H138),VALUE(H138),H138)*I138</f>
        <v>3351.6</v>
      </c>
    </row>
    <row r="139" customFormat="false" ht="15" hidden="false" customHeight="false" outlineLevel="0" collapsed="false">
      <c r="A139" s="0" t="n">
        <v>735</v>
      </c>
      <c r="B139" s="69" t="s">
        <v>232</v>
      </c>
      <c r="C139" s="69" t="s">
        <v>27</v>
      </c>
      <c r="D139" s="69"/>
      <c r="E139" s="69" t="s">
        <v>138</v>
      </c>
      <c r="F139" s="69" t="s">
        <v>162</v>
      </c>
      <c r="G139" s="69" t="s">
        <v>116</v>
      </c>
      <c r="H139" s="0" t="n">
        <v>26</v>
      </c>
      <c r="I139" s="70" t="n">
        <v>83.3</v>
      </c>
      <c r="J139" s="70" t="n">
        <v>48.03</v>
      </c>
      <c r="K139" s="70" t="n">
        <f aca="false">IF(ISTEXT(H139),VALUE(H139),H139)*I139</f>
        <v>2165.8</v>
      </c>
    </row>
    <row r="140" customFormat="false" ht="15" hidden="false" customHeight="false" outlineLevel="0" collapsed="false">
      <c r="A140" s="0" t="n">
        <v>2007</v>
      </c>
      <c r="B140" s="69" t="s">
        <v>233</v>
      </c>
      <c r="C140" s="69" t="s">
        <v>124</v>
      </c>
      <c r="D140" s="69" t="s">
        <v>97</v>
      </c>
      <c r="E140" s="69" t="s">
        <v>110</v>
      </c>
      <c r="F140" s="69" t="s">
        <v>102</v>
      </c>
      <c r="G140" s="69" t="s">
        <v>113</v>
      </c>
      <c r="H140" s="0" t="n">
        <v>84</v>
      </c>
      <c r="I140" s="70" t="n">
        <v>28.11</v>
      </c>
      <c r="J140" s="70" t="n">
        <v>13.84</v>
      </c>
      <c r="K140" s="70" t="n">
        <f aca="false">IF(ISTEXT(H140),VALUE(H140),H140)*I140</f>
        <v>2361.24</v>
      </c>
    </row>
    <row r="141" customFormat="false" ht="15" hidden="false" customHeight="false" outlineLevel="0" collapsed="false">
      <c r="A141" s="0" t="n">
        <v>964</v>
      </c>
      <c r="B141" s="68" t="n">
        <v>45591</v>
      </c>
      <c r="C141" s="69" t="s">
        <v>32</v>
      </c>
      <c r="D141" s="69" t="s">
        <v>137</v>
      </c>
      <c r="E141" s="69" t="s">
        <v>98</v>
      </c>
      <c r="F141" s="69" t="s">
        <v>135</v>
      </c>
      <c r="G141" s="69" t="s">
        <v>43</v>
      </c>
      <c r="H141" s="0" t="n">
        <v>3</v>
      </c>
      <c r="I141" s="70" t="n">
        <v>441</v>
      </c>
      <c r="J141" s="70" t="n">
        <v>272.25</v>
      </c>
      <c r="K141" s="70" t="n">
        <f aca="false">IF(ISTEXT(H141),VALUE(H141),H141)*I141</f>
        <v>1323</v>
      </c>
    </row>
    <row r="142" customFormat="false" ht="15" hidden="false" customHeight="false" outlineLevel="0" collapsed="false">
      <c r="A142" s="0" t="n">
        <v>760</v>
      </c>
      <c r="B142" s="69" t="s">
        <v>234</v>
      </c>
      <c r="C142" s="69" t="s">
        <v>30</v>
      </c>
      <c r="D142" s="69"/>
      <c r="E142" s="69" t="s">
        <v>180</v>
      </c>
      <c r="F142" s="69" t="s">
        <v>33</v>
      </c>
      <c r="G142" s="69" t="s">
        <v>94</v>
      </c>
      <c r="H142" s="0" t="s">
        <v>148</v>
      </c>
      <c r="I142" s="70" t="n">
        <v>34.3</v>
      </c>
      <c r="J142" s="70" t="n">
        <v>17.85</v>
      </c>
      <c r="K142" s="70" t="n">
        <f aca="false">IF(ISTEXT(H142),VALUE(H142),H142)*I142</f>
        <v>274.4</v>
      </c>
    </row>
    <row r="143" customFormat="false" ht="15" hidden="false" customHeight="false" outlineLevel="0" collapsed="false">
      <c r="A143" s="0" t="n">
        <v>2153</v>
      </c>
      <c r="B143" s="68" t="n">
        <v>45936</v>
      </c>
      <c r="C143" s="69" t="s">
        <v>118</v>
      </c>
      <c r="D143" s="69" t="s">
        <v>109</v>
      </c>
      <c r="E143" s="69" t="s">
        <v>134</v>
      </c>
      <c r="F143" s="69" t="s">
        <v>166</v>
      </c>
      <c r="G143" s="69" t="s">
        <v>50</v>
      </c>
      <c r="H143" s="0" t="n">
        <v>19</v>
      </c>
      <c r="I143" s="70" t="n">
        <v>120.47</v>
      </c>
      <c r="J143" s="70" t="n">
        <v>65.51</v>
      </c>
      <c r="K143" s="70" t="n">
        <f aca="false">IF(ISTEXT(H143),VALUE(H143),H143)*I143</f>
        <v>2288.93</v>
      </c>
    </row>
    <row r="144" customFormat="false" ht="15" hidden="false" customHeight="false" outlineLevel="0" collapsed="false">
      <c r="A144" s="0" t="n">
        <v>1624</v>
      </c>
      <c r="B144" s="68" t="n">
        <v>45779</v>
      </c>
      <c r="C144" s="69" t="s">
        <v>159</v>
      </c>
      <c r="D144" s="69" t="s">
        <v>86</v>
      </c>
      <c r="E144" s="69" t="s">
        <v>98</v>
      </c>
      <c r="F144" s="69" t="s">
        <v>153</v>
      </c>
      <c r="G144" s="69" t="s">
        <v>89</v>
      </c>
      <c r="H144" s="0" t="n">
        <v>9</v>
      </c>
      <c r="I144" s="70" t="n">
        <v>433.15</v>
      </c>
      <c r="J144" s="70" t="n">
        <v>280.42</v>
      </c>
      <c r="K144" s="70" t="n">
        <f aca="false">IF(ISTEXT(H144),VALUE(H144),H144)*I144</f>
        <v>3898.35</v>
      </c>
    </row>
    <row r="145" customFormat="false" ht="15" hidden="false" customHeight="false" outlineLevel="0" collapsed="false">
      <c r="A145" s="0" t="n">
        <v>566</v>
      </c>
      <c r="B145" s="68" t="n">
        <v>45464</v>
      </c>
      <c r="C145" s="69" t="s">
        <v>193</v>
      </c>
      <c r="D145" s="69" t="s">
        <v>137</v>
      </c>
      <c r="E145" s="69" t="s">
        <v>180</v>
      </c>
      <c r="F145" s="69" t="s">
        <v>26</v>
      </c>
      <c r="G145" s="69" t="s">
        <v>45</v>
      </c>
      <c r="H145" s="0" t="n">
        <v>3</v>
      </c>
      <c r="I145" s="70" t="n">
        <v>1617</v>
      </c>
      <c r="J145" s="70" t="n">
        <v>1122</v>
      </c>
      <c r="K145" s="70" t="n">
        <f aca="false">IF(ISTEXT(H145),VALUE(H145),H145)*I145</f>
        <v>4851</v>
      </c>
    </row>
    <row r="146" customFormat="false" ht="15" hidden="false" customHeight="false" outlineLevel="0" collapsed="false">
      <c r="A146" s="0" t="n">
        <v>1590</v>
      </c>
      <c r="B146" s="68" t="n">
        <v>45754</v>
      </c>
      <c r="C146" s="69" t="s">
        <v>133</v>
      </c>
      <c r="D146" s="69" t="s">
        <v>112</v>
      </c>
      <c r="E146" s="69" t="s">
        <v>87</v>
      </c>
      <c r="F146" s="69" t="s">
        <v>99</v>
      </c>
      <c r="G146" s="69" t="s">
        <v>235</v>
      </c>
      <c r="H146" s="0" t="n">
        <v>22</v>
      </c>
      <c r="I146" s="70" t="n">
        <v>94.39</v>
      </c>
      <c r="J146" s="70" t="n">
        <v>49.41</v>
      </c>
      <c r="K146" s="70" t="n">
        <f aca="false">IF(ISTEXT(H146),VALUE(H146),H146)*I146</f>
        <v>2076.58</v>
      </c>
    </row>
    <row r="147" customFormat="false" ht="15" hidden="false" customHeight="false" outlineLevel="0" collapsed="false">
      <c r="A147" s="0" t="n">
        <v>889</v>
      </c>
      <c r="B147" s="68" t="n">
        <v>45549</v>
      </c>
      <c r="C147" s="69" t="s">
        <v>161</v>
      </c>
      <c r="D147" s="69" t="s">
        <v>112</v>
      </c>
      <c r="E147" s="69" t="s">
        <v>138</v>
      </c>
      <c r="F147" s="69" t="s">
        <v>155</v>
      </c>
      <c r="G147" s="69" t="s">
        <v>235</v>
      </c>
      <c r="H147" s="0" t="n">
        <v>30</v>
      </c>
      <c r="I147" s="70" t="n">
        <v>93.1</v>
      </c>
      <c r="J147" s="70" t="n">
        <v>47.98</v>
      </c>
      <c r="K147" s="70" t="n">
        <f aca="false">IF(ISTEXT(H147),VALUE(H147),H147)*I147</f>
        <v>2793</v>
      </c>
    </row>
    <row r="148" customFormat="false" ht="15" hidden="false" customHeight="false" outlineLevel="0" collapsed="false">
      <c r="A148" s="0" t="n">
        <v>821</v>
      </c>
      <c r="B148" s="69" t="s">
        <v>236</v>
      </c>
      <c r="C148" s="69" t="s">
        <v>27</v>
      </c>
      <c r="D148" s="69" t="s">
        <v>86</v>
      </c>
      <c r="E148" s="69" t="s">
        <v>134</v>
      </c>
      <c r="F148" s="69" t="s">
        <v>139</v>
      </c>
      <c r="G148" s="69" t="s">
        <v>154</v>
      </c>
      <c r="H148" s="0" t="n">
        <v>13</v>
      </c>
      <c r="I148" s="70" t="n">
        <v>1176</v>
      </c>
      <c r="J148" s="70" t="n">
        <v>744</v>
      </c>
      <c r="K148" s="70" t="n">
        <f aca="false">IF(ISTEXT(H148),VALUE(H148),H148)*I148</f>
        <v>15288</v>
      </c>
    </row>
    <row r="149" customFormat="false" ht="15" hidden="false" customHeight="false" outlineLevel="0" collapsed="false">
      <c r="A149" s="0" t="n">
        <v>1010</v>
      </c>
      <c r="B149" s="69" t="s">
        <v>237</v>
      </c>
      <c r="C149" s="69" t="s">
        <v>96</v>
      </c>
      <c r="D149" s="69" t="s">
        <v>97</v>
      </c>
      <c r="E149" s="69" t="s">
        <v>180</v>
      </c>
      <c r="F149" s="69" t="s">
        <v>99</v>
      </c>
      <c r="G149" s="69" t="s">
        <v>235</v>
      </c>
      <c r="H149" s="0" t="s">
        <v>238</v>
      </c>
      <c r="I149" s="70" t="n">
        <v>93.1</v>
      </c>
      <c r="J149" s="70" t="n">
        <v>47.98</v>
      </c>
      <c r="K149" s="70" t="n">
        <f aca="false">IF(ISTEXT(H149),VALUE(H149),H149)*I149</f>
        <v>4282.6</v>
      </c>
    </row>
    <row r="150" customFormat="false" ht="15" hidden="false" customHeight="false" outlineLevel="0" collapsed="false">
      <c r="A150" s="0" t="n">
        <v>1313</v>
      </c>
      <c r="B150" s="68" t="n">
        <v>45700</v>
      </c>
      <c r="C150" s="69" t="s">
        <v>170</v>
      </c>
      <c r="D150" s="69" t="s">
        <v>97</v>
      </c>
      <c r="E150" s="69" t="s">
        <v>121</v>
      </c>
      <c r="F150" s="69" t="s">
        <v>31</v>
      </c>
      <c r="G150" s="69" t="s">
        <v>50</v>
      </c>
      <c r="H150" s="0" t="n">
        <v>30</v>
      </c>
      <c r="I150" s="70" t="n">
        <v>119.23</v>
      </c>
      <c r="J150" s="70" t="n">
        <v>65.51</v>
      </c>
      <c r="K150" s="70" t="n">
        <f aca="false">IF(ISTEXT(H150),VALUE(H150),H150)*I150</f>
        <v>3576.9</v>
      </c>
    </row>
    <row r="151" customFormat="false" ht="15" hidden="false" customHeight="false" outlineLevel="0" collapsed="false">
      <c r="A151" s="0" t="n">
        <v>2254</v>
      </c>
      <c r="B151" s="69" t="s">
        <v>239</v>
      </c>
      <c r="C151" s="69" t="s">
        <v>108</v>
      </c>
      <c r="D151" s="69" t="s">
        <v>109</v>
      </c>
      <c r="E151" s="69" t="s">
        <v>87</v>
      </c>
      <c r="F151" s="69" t="s">
        <v>31</v>
      </c>
      <c r="G151" s="69" t="s">
        <v>156</v>
      </c>
      <c r="H151" s="0" t="n">
        <v>13</v>
      </c>
      <c r="I151" s="70" t="n">
        <v>120.47</v>
      </c>
      <c r="J151" s="70" t="n">
        <v>65.51</v>
      </c>
      <c r="K151" s="70" t="n">
        <f aca="false">IF(ISTEXT(H151),VALUE(H151),H151)*I151</f>
        <v>1566.11</v>
      </c>
    </row>
    <row r="152" customFormat="false" ht="15" hidden="false" customHeight="false" outlineLevel="0" collapsed="false">
      <c r="A152" s="0" t="n">
        <v>1809</v>
      </c>
      <c r="B152" s="69" t="s">
        <v>240</v>
      </c>
      <c r="C152" s="69" t="s">
        <v>25</v>
      </c>
      <c r="D152" s="69" t="s">
        <v>97</v>
      </c>
      <c r="E152" s="69" t="s">
        <v>121</v>
      </c>
      <c r="F152" s="69" t="s">
        <v>28</v>
      </c>
      <c r="G152" s="69" t="s">
        <v>48</v>
      </c>
      <c r="H152" s="0" t="n">
        <v>92</v>
      </c>
      <c r="I152" s="70" t="n">
        <v>95.38</v>
      </c>
      <c r="J152" s="70" t="n">
        <v>49.41</v>
      </c>
      <c r="K152" s="70" t="n">
        <f aca="false">IF(ISTEXT(H152),VALUE(H152),H152)*I152</f>
        <v>8774.96</v>
      </c>
    </row>
    <row r="153" customFormat="false" ht="15" hidden="false" customHeight="false" outlineLevel="0" collapsed="false">
      <c r="A153" s="0" t="n">
        <v>1112</v>
      </c>
      <c r="B153" s="69" t="s">
        <v>241</v>
      </c>
      <c r="C153" s="69" t="s">
        <v>25</v>
      </c>
      <c r="D153" s="69" t="s">
        <v>97</v>
      </c>
      <c r="E153" s="69" t="s">
        <v>107</v>
      </c>
      <c r="F153" s="69" t="s">
        <v>143</v>
      </c>
      <c r="G153" s="69" t="s">
        <v>144</v>
      </c>
      <c r="H153" s="0" t="n">
        <v>62</v>
      </c>
      <c r="I153" s="70" t="n">
        <v>63.7</v>
      </c>
      <c r="J153" s="70" t="n">
        <v>35.43</v>
      </c>
      <c r="K153" s="70" t="n">
        <f aca="false">IF(ISTEXT(H153),VALUE(H153),H153)*I153</f>
        <v>3949.4</v>
      </c>
    </row>
    <row r="154" customFormat="false" ht="15" hidden="false" customHeight="false" outlineLevel="0" collapsed="false">
      <c r="A154" s="0" t="n">
        <v>158</v>
      </c>
      <c r="B154" s="68" t="n">
        <v>45349</v>
      </c>
      <c r="C154" s="69" t="s">
        <v>30</v>
      </c>
      <c r="D154" s="69" t="s">
        <v>109</v>
      </c>
      <c r="E154" s="69" t="s">
        <v>125</v>
      </c>
      <c r="F154" s="69" t="s">
        <v>93</v>
      </c>
      <c r="G154" s="69" t="s">
        <v>52</v>
      </c>
      <c r="H154" s="0" t="n">
        <v>7</v>
      </c>
      <c r="I154" s="70" t="n">
        <v>127.4</v>
      </c>
      <c r="J154" s="70" t="n">
        <v>76.05</v>
      </c>
      <c r="K154" s="70" t="n">
        <f aca="false">IF(ISTEXT(H154),VALUE(H154),H154)*I154</f>
        <v>891.8</v>
      </c>
    </row>
    <row r="155" customFormat="false" ht="15" hidden="false" customHeight="false" outlineLevel="0" collapsed="false">
      <c r="A155" s="0" t="n">
        <v>1795</v>
      </c>
      <c r="B155" s="68" t="n">
        <v>45819</v>
      </c>
      <c r="C155" s="69" t="s">
        <v>34</v>
      </c>
      <c r="D155" s="69" t="s">
        <v>112</v>
      </c>
      <c r="E155" s="69" t="s">
        <v>121</v>
      </c>
      <c r="F155" s="69" t="s">
        <v>166</v>
      </c>
      <c r="G155" s="69" t="s">
        <v>116</v>
      </c>
      <c r="H155" s="0" t="s">
        <v>201</v>
      </c>
      <c r="I155" s="70" t="n">
        <v>84.46</v>
      </c>
      <c r="J155" s="70" t="n">
        <v>49.47</v>
      </c>
      <c r="K155" s="70" t="n">
        <f aca="false">IF(ISTEXT(H155),VALUE(H155),H155)*I155</f>
        <v>1351.36</v>
      </c>
    </row>
    <row r="156" customFormat="false" ht="15" hidden="false" customHeight="false" outlineLevel="0" collapsed="false">
      <c r="A156" s="0" t="n">
        <v>589</v>
      </c>
      <c r="B156" s="69" t="s">
        <v>242</v>
      </c>
      <c r="C156" s="69" t="s">
        <v>142</v>
      </c>
      <c r="D156" s="69" t="s">
        <v>112</v>
      </c>
      <c r="E156" s="69" t="s">
        <v>110</v>
      </c>
      <c r="F156" s="69" t="s">
        <v>99</v>
      </c>
      <c r="G156" s="69" t="s">
        <v>172</v>
      </c>
      <c r="H156" s="0" t="s">
        <v>215</v>
      </c>
      <c r="I156" s="70" t="n">
        <v>93.1</v>
      </c>
      <c r="J156" s="70" t="n">
        <v>47.98</v>
      </c>
      <c r="K156" s="70" t="n">
        <f aca="false">IF(ISTEXT(H156),VALUE(H156),H156)*I156</f>
        <v>2886.1</v>
      </c>
    </row>
    <row r="157" customFormat="false" ht="15" hidden="false" customHeight="false" outlineLevel="0" collapsed="false">
      <c r="A157" s="0" t="n">
        <v>1377</v>
      </c>
      <c r="B157" s="68" t="n">
        <v>45689</v>
      </c>
      <c r="C157" s="69" t="s">
        <v>184</v>
      </c>
      <c r="D157" s="69"/>
      <c r="E157" s="69" t="s">
        <v>92</v>
      </c>
      <c r="F157" s="69" t="s">
        <v>33</v>
      </c>
      <c r="G157" s="69" t="s">
        <v>127</v>
      </c>
      <c r="H157" s="0" t="n">
        <v>16</v>
      </c>
      <c r="I157" s="70" t="n">
        <v>129.17</v>
      </c>
      <c r="J157" s="70" t="n">
        <v>78.33</v>
      </c>
      <c r="K157" s="70" t="n">
        <f aca="false">IF(ISTEXT(H157),VALUE(H157),H157)*I157</f>
        <v>2066.72</v>
      </c>
    </row>
    <row r="158" customFormat="false" ht="15" hidden="false" customHeight="false" outlineLevel="0" collapsed="false">
      <c r="A158" s="0" t="n">
        <v>1803</v>
      </c>
      <c r="B158" s="68" t="n">
        <v>45851</v>
      </c>
      <c r="C158" s="69" t="s">
        <v>170</v>
      </c>
      <c r="D158" s="69" t="s">
        <v>97</v>
      </c>
      <c r="E158" s="69" t="s">
        <v>138</v>
      </c>
      <c r="F158" s="69" t="s">
        <v>147</v>
      </c>
      <c r="G158" s="69" t="s">
        <v>43</v>
      </c>
      <c r="H158" s="0" t="n">
        <v>22</v>
      </c>
      <c r="I158" s="70" t="n">
        <v>451.78</v>
      </c>
      <c r="J158" s="70" t="n">
        <v>280.42</v>
      </c>
      <c r="K158" s="70" t="n">
        <f aca="false">IF(ISTEXT(H158),VALUE(H158),H158)*I158</f>
        <v>9939.16</v>
      </c>
    </row>
    <row r="159" customFormat="false" ht="15" hidden="false" customHeight="false" outlineLevel="0" collapsed="false">
      <c r="A159" s="0" t="n">
        <v>1132</v>
      </c>
      <c r="B159" s="68" t="n">
        <v>45640</v>
      </c>
      <c r="C159" s="69" t="s">
        <v>91</v>
      </c>
      <c r="D159" s="69" t="s">
        <v>86</v>
      </c>
      <c r="E159" s="69" t="s">
        <v>87</v>
      </c>
      <c r="F159" s="69" t="s">
        <v>102</v>
      </c>
      <c r="G159" s="69" t="s">
        <v>49</v>
      </c>
      <c r="H159" s="0" t="n">
        <v>30</v>
      </c>
      <c r="I159" s="70" t="n">
        <v>63.7</v>
      </c>
      <c r="J159" s="70" t="n">
        <v>35.43</v>
      </c>
      <c r="K159" s="70" t="n">
        <f aca="false">IF(ISTEXT(H159),VALUE(H159),H159)*I159</f>
        <v>1911</v>
      </c>
    </row>
    <row r="160" customFormat="false" ht="15" hidden="false" customHeight="false" outlineLevel="0" collapsed="false">
      <c r="A160" s="0" t="n">
        <v>1024</v>
      </c>
      <c r="B160" s="68" t="n">
        <v>45610</v>
      </c>
      <c r="C160" s="69" t="s">
        <v>91</v>
      </c>
      <c r="D160" s="69" t="s">
        <v>86</v>
      </c>
      <c r="E160" s="69" t="s">
        <v>125</v>
      </c>
      <c r="F160" s="69" t="s">
        <v>147</v>
      </c>
      <c r="G160" s="69" t="s">
        <v>177</v>
      </c>
      <c r="H160" s="0" t="n">
        <v>6</v>
      </c>
      <c r="I160" s="70" t="n">
        <v>441</v>
      </c>
      <c r="J160" s="70" t="n">
        <v>272.25</v>
      </c>
      <c r="K160" s="70" t="n">
        <f aca="false">IF(ISTEXT(H160),VALUE(H160),H160)*I160</f>
        <v>2646</v>
      </c>
    </row>
    <row r="161" customFormat="false" ht="15" hidden="false" customHeight="false" outlineLevel="0" collapsed="false">
      <c r="A161" s="0" t="n">
        <v>1688</v>
      </c>
      <c r="B161" s="69" t="s">
        <v>243</v>
      </c>
      <c r="C161" s="69" t="s">
        <v>142</v>
      </c>
      <c r="D161" s="69" t="s">
        <v>112</v>
      </c>
      <c r="E161" s="69" t="s">
        <v>180</v>
      </c>
      <c r="F161" s="69" t="s">
        <v>143</v>
      </c>
      <c r="G161" s="69" t="s">
        <v>113</v>
      </c>
      <c r="H161" s="0" t="n">
        <v>20</v>
      </c>
      <c r="I161" s="70" t="n">
        <v>27.82</v>
      </c>
      <c r="J161" s="70" t="n">
        <v>13.84</v>
      </c>
      <c r="K161" s="70" t="n">
        <f aca="false">IF(ISTEXT(H161),VALUE(H161),H161)*I161</f>
        <v>556.4</v>
      </c>
    </row>
    <row r="162" customFormat="false" ht="15" hidden="false" customHeight="false" outlineLevel="0" collapsed="false">
      <c r="A162" s="0" t="n">
        <v>2215</v>
      </c>
      <c r="B162" s="68" t="n">
        <v>45969</v>
      </c>
      <c r="C162" s="69" t="s">
        <v>25</v>
      </c>
      <c r="D162" s="69" t="s">
        <v>97</v>
      </c>
      <c r="E162" s="69" t="s">
        <v>138</v>
      </c>
      <c r="F162" s="69" t="s">
        <v>115</v>
      </c>
      <c r="G162" s="69" t="s">
        <v>116</v>
      </c>
      <c r="H162" s="0" t="n">
        <v>48</v>
      </c>
      <c r="I162" s="70" t="n">
        <v>85.34</v>
      </c>
      <c r="J162" s="70" t="n">
        <v>49.47</v>
      </c>
      <c r="K162" s="70" t="n">
        <f aca="false">IF(ISTEXT(H162),VALUE(H162),H162)*I162</f>
        <v>4096.32</v>
      </c>
    </row>
    <row r="163" customFormat="false" ht="15" hidden="false" customHeight="false" outlineLevel="0" collapsed="false">
      <c r="A163" s="0" t="n">
        <v>79</v>
      </c>
      <c r="B163" s="68" t="n">
        <v>45305</v>
      </c>
      <c r="C163" s="69" t="s">
        <v>32</v>
      </c>
      <c r="D163" s="69" t="s">
        <v>137</v>
      </c>
      <c r="E163" s="69" t="s">
        <v>121</v>
      </c>
      <c r="F163" s="69" t="s">
        <v>182</v>
      </c>
      <c r="G163" s="69" t="s">
        <v>94</v>
      </c>
      <c r="H163" s="0" t="n">
        <v>18</v>
      </c>
      <c r="I163" s="70" t="n">
        <v>34.3</v>
      </c>
      <c r="J163" s="70" t="n">
        <v>17.85</v>
      </c>
      <c r="K163" s="70" t="n">
        <f aca="false">IF(ISTEXT(H163),VALUE(H163),H163)*I163</f>
        <v>617.4</v>
      </c>
    </row>
    <row r="164" customFormat="false" ht="15" hidden="false" customHeight="false" outlineLevel="0" collapsed="false">
      <c r="A164" s="0" t="n">
        <v>523</v>
      </c>
      <c r="B164" s="69" t="s">
        <v>244</v>
      </c>
      <c r="C164" s="69" t="s">
        <v>120</v>
      </c>
      <c r="D164" s="69" t="s">
        <v>86</v>
      </c>
      <c r="E164" s="69" t="s">
        <v>101</v>
      </c>
      <c r="F164" s="69" t="s">
        <v>139</v>
      </c>
      <c r="G164" s="69" t="s">
        <v>89</v>
      </c>
      <c r="H164" s="0" t="n">
        <v>14</v>
      </c>
      <c r="I164" s="70" t="n">
        <v>441</v>
      </c>
      <c r="J164" s="70" t="n">
        <v>272.25</v>
      </c>
      <c r="K164" s="70" t="n">
        <f aca="false">IF(ISTEXT(H164),VALUE(H164),H164)*I164</f>
        <v>6174</v>
      </c>
    </row>
    <row r="165" customFormat="false" ht="15" hidden="false" customHeight="false" outlineLevel="0" collapsed="false">
      <c r="A165" s="0" t="n">
        <v>607</v>
      </c>
      <c r="B165" s="68" t="n">
        <v>45484</v>
      </c>
      <c r="C165" s="69" t="s">
        <v>124</v>
      </c>
      <c r="D165" s="69" t="s">
        <v>97</v>
      </c>
      <c r="E165" s="69" t="s">
        <v>121</v>
      </c>
      <c r="F165" s="69" t="s">
        <v>28</v>
      </c>
      <c r="G165" s="69" t="s">
        <v>103</v>
      </c>
      <c r="H165" s="0" t="n">
        <v>124</v>
      </c>
      <c r="I165" s="70" t="n">
        <v>27.44</v>
      </c>
      <c r="J165" s="70" t="n">
        <v>13.44</v>
      </c>
      <c r="K165" s="70" t="n">
        <f aca="false">IF(ISTEXT(H165),VALUE(H165),H165)*I165</f>
        <v>3402.56</v>
      </c>
    </row>
    <row r="166" customFormat="false" ht="15" hidden="false" customHeight="false" outlineLevel="0" collapsed="false">
      <c r="A166" s="0" t="n">
        <v>2186</v>
      </c>
      <c r="B166" s="68" t="n">
        <v>45951</v>
      </c>
      <c r="C166" s="69" t="s">
        <v>142</v>
      </c>
      <c r="D166" s="69" t="s">
        <v>112</v>
      </c>
      <c r="E166" s="69" t="s">
        <v>98</v>
      </c>
      <c r="F166" s="69" t="s">
        <v>135</v>
      </c>
      <c r="G166" s="69" t="s">
        <v>45</v>
      </c>
      <c r="H166" s="0" t="n">
        <v>4</v>
      </c>
      <c r="I166" s="70" t="n">
        <v>1656.52</v>
      </c>
      <c r="J166" s="70" t="n">
        <v>1155.66</v>
      </c>
      <c r="K166" s="70" t="n">
        <f aca="false">IF(ISTEXT(H166),VALUE(H166),H166)*I166</f>
        <v>6626.08</v>
      </c>
    </row>
    <row r="167" customFormat="false" ht="15" hidden="false" customHeight="false" outlineLevel="0" collapsed="false">
      <c r="A167" s="0" t="n">
        <v>1025</v>
      </c>
      <c r="B167" s="69" t="s">
        <v>245</v>
      </c>
      <c r="C167" s="69" t="s">
        <v>27</v>
      </c>
      <c r="D167" s="69" t="s">
        <v>86</v>
      </c>
      <c r="E167" s="69" t="s">
        <v>92</v>
      </c>
      <c r="F167" s="69" t="s">
        <v>147</v>
      </c>
      <c r="G167" s="69" t="s">
        <v>45</v>
      </c>
      <c r="H167" s="0" t="n">
        <v>13</v>
      </c>
      <c r="I167" s="70" t="n">
        <v>1617</v>
      </c>
      <c r="J167" s="70" t="n">
        <v>1122</v>
      </c>
      <c r="K167" s="70" t="n">
        <f aca="false">IF(ISTEXT(H167),VALUE(H167),H167)*I167</f>
        <v>21021</v>
      </c>
    </row>
    <row r="168" customFormat="false" ht="15" hidden="false" customHeight="false" outlineLevel="0" collapsed="false">
      <c r="A168" s="0" t="n">
        <v>56</v>
      </c>
      <c r="B168" s="68" t="n">
        <v>45306</v>
      </c>
      <c r="C168" s="69" t="s">
        <v>30</v>
      </c>
      <c r="D168" s="69" t="s">
        <v>109</v>
      </c>
      <c r="E168" s="69" t="s">
        <v>98</v>
      </c>
      <c r="F168" s="69" t="s">
        <v>166</v>
      </c>
      <c r="G168" s="69" t="s">
        <v>116</v>
      </c>
      <c r="H168" s="0" t="n">
        <v>5</v>
      </c>
      <c r="I168" s="70" t="n">
        <v>83.3</v>
      </c>
      <c r="J168" s="70" t="n">
        <v>48.03</v>
      </c>
      <c r="K168" s="70" t="n">
        <f aca="false">IF(ISTEXT(H168),VALUE(H168),H168)*I168</f>
        <v>416.5</v>
      </c>
    </row>
    <row r="169" customFormat="false" ht="15" hidden="false" customHeight="false" outlineLevel="0" collapsed="false">
      <c r="A169" s="0" t="n">
        <v>1591</v>
      </c>
      <c r="B169" s="69" t="s">
        <v>246</v>
      </c>
      <c r="C169" s="69" t="s">
        <v>34</v>
      </c>
      <c r="D169" s="69" t="s">
        <v>112</v>
      </c>
      <c r="E169" s="69" t="s">
        <v>134</v>
      </c>
      <c r="F169" s="69" t="s">
        <v>155</v>
      </c>
      <c r="G169" s="69" t="s">
        <v>144</v>
      </c>
      <c r="H169" s="0" t="n">
        <v>31</v>
      </c>
      <c r="I169" s="70" t="n">
        <v>64.58</v>
      </c>
      <c r="J169" s="70" t="n">
        <v>36.49</v>
      </c>
      <c r="K169" s="70" t="n">
        <f aca="false">IF(ISTEXT(H169),VALUE(H169),H169)*I169</f>
        <v>2001.98</v>
      </c>
    </row>
    <row r="170" customFormat="false" ht="15" hidden="false" customHeight="false" outlineLevel="0" collapsed="false">
      <c r="A170" s="0" t="n">
        <v>466</v>
      </c>
      <c r="B170" s="68" t="n">
        <v>45435</v>
      </c>
      <c r="C170" s="69" t="s">
        <v>136</v>
      </c>
      <c r="D170" s="69" t="s">
        <v>137</v>
      </c>
      <c r="E170" s="69" t="s">
        <v>98</v>
      </c>
      <c r="F170" s="69" t="s">
        <v>88</v>
      </c>
      <c r="G170" s="69" t="s">
        <v>157</v>
      </c>
      <c r="H170" s="0" t="n">
        <v>3</v>
      </c>
      <c r="I170" s="70" t="n">
        <v>1617</v>
      </c>
      <c r="J170" s="70" t="n">
        <v>1122</v>
      </c>
      <c r="K170" s="70" t="n">
        <f aca="false">IF(ISTEXT(H170),VALUE(H170),H170)*I170</f>
        <v>4851</v>
      </c>
    </row>
    <row r="171" customFormat="false" ht="15" hidden="false" customHeight="false" outlineLevel="0" collapsed="false">
      <c r="A171" s="0" t="n">
        <v>454</v>
      </c>
      <c r="B171" s="68" t="n">
        <v>45432</v>
      </c>
      <c r="C171" s="69" t="s">
        <v>152</v>
      </c>
      <c r="D171" s="69" t="s">
        <v>109</v>
      </c>
      <c r="E171" s="69" t="s">
        <v>107</v>
      </c>
      <c r="F171" s="69" t="s">
        <v>115</v>
      </c>
      <c r="G171" s="69" t="s">
        <v>156</v>
      </c>
      <c r="H171" s="0" t="n">
        <v>7</v>
      </c>
      <c r="I171" s="70" t="n">
        <v>117.6</v>
      </c>
      <c r="J171" s="70" t="n">
        <v>63.6</v>
      </c>
      <c r="K171" s="70" t="n">
        <f aca="false">IF(ISTEXT(H171),VALUE(H171),H171)*I171</f>
        <v>823.2</v>
      </c>
    </row>
    <row r="172" customFormat="false" ht="15" hidden="false" customHeight="false" outlineLevel="0" collapsed="false">
      <c r="A172" s="0" t="n">
        <v>776</v>
      </c>
      <c r="B172" s="69" t="s">
        <v>247</v>
      </c>
      <c r="C172" s="69" t="s">
        <v>136</v>
      </c>
      <c r="D172" s="69" t="s">
        <v>137</v>
      </c>
      <c r="E172" s="69" t="s">
        <v>87</v>
      </c>
      <c r="F172" s="69" t="s">
        <v>31</v>
      </c>
      <c r="G172" s="69" t="s">
        <v>51</v>
      </c>
      <c r="H172" s="0" t="n">
        <v>5</v>
      </c>
      <c r="I172" s="70" t="n">
        <v>83.3</v>
      </c>
      <c r="J172" s="70" t="n">
        <v>48.03</v>
      </c>
      <c r="K172" s="70" t="n">
        <f aca="false">IF(ISTEXT(H172),VALUE(H172),H172)*I172</f>
        <v>416.5</v>
      </c>
    </row>
    <row r="173" customFormat="false" ht="15" hidden="false" customHeight="false" outlineLevel="0" collapsed="false">
      <c r="A173" s="0" t="n">
        <v>106</v>
      </c>
      <c r="B173" s="68" t="n">
        <v>45336</v>
      </c>
      <c r="C173" s="69" t="s">
        <v>150</v>
      </c>
      <c r="D173" s="69" t="s">
        <v>97</v>
      </c>
      <c r="E173" s="69" t="s">
        <v>107</v>
      </c>
      <c r="F173" s="69" t="s">
        <v>147</v>
      </c>
      <c r="G173" s="69" t="s">
        <v>141</v>
      </c>
      <c r="H173" s="0" t="n">
        <v>6</v>
      </c>
      <c r="I173" s="70" t="n">
        <v>1617</v>
      </c>
      <c r="J173" s="70" t="n">
        <v>1122</v>
      </c>
      <c r="K173" s="70" t="n">
        <f aca="false">IF(ISTEXT(H173),VALUE(H173),H173)*I173</f>
        <v>9702</v>
      </c>
    </row>
    <row r="174" customFormat="false" ht="15" hidden="false" customHeight="false" outlineLevel="0" collapsed="false">
      <c r="A174" s="0" t="n">
        <v>1754</v>
      </c>
      <c r="B174" s="68" t="n">
        <v>45829</v>
      </c>
      <c r="C174" s="69" t="s">
        <v>118</v>
      </c>
      <c r="D174" s="69" t="s">
        <v>109</v>
      </c>
      <c r="E174" s="69" t="s">
        <v>98</v>
      </c>
      <c r="F174" s="69" t="s">
        <v>31</v>
      </c>
      <c r="G174" s="69" t="s">
        <v>171</v>
      </c>
      <c r="H174" s="0" t="n">
        <v>14</v>
      </c>
      <c r="I174" s="70" t="n">
        <v>119.23</v>
      </c>
      <c r="J174" s="70" t="n">
        <v>65.51</v>
      </c>
      <c r="K174" s="70" t="n">
        <f aca="false">IF(ISTEXT(H174),VALUE(H174),H174)*I174</f>
        <v>1669.22</v>
      </c>
    </row>
    <row r="175" customFormat="false" ht="15" hidden="false" customHeight="false" outlineLevel="0" collapsed="false">
      <c r="A175" s="0" t="n">
        <v>1396</v>
      </c>
      <c r="B175" s="68" t="n">
        <v>45714</v>
      </c>
      <c r="C175" s="69" t="s">
        <v>133</v>
      </c>
      <c r="D175" s="69" t="s">
        <v>112</v>
      </c>
      <c r="E175" s="69" t="s">
        <v>107</v>
      </c>
      <c r="F175" s="69" t="s">
        <v>162</v>
      </c>
      <c r="G175" s="69" t="s">
        <v>116</v>
      </c>
      <c r="H175" s="0" t="n">
        <v>7</v>
      </c>
      <c r="I175" s="70" t="n">
        <v>84.46</v>
      </c>
      <c r="J175" s="70" t="n">
        <v>49.47</v>
      </c>
      <c r="K175" s="70" t="n">
        <f aca="false">IF(ISTEXT(H175),VALUE(H175),H175)*I175</f>
        <v>591.22</v>
      </c>
    </row>
    <row r="176" customFormat="false" ht="15" hidden="false" customHeight="false" outlineLevel="0" collapsed="false">
      <c r="A176" s="0" t="n">
        <v>936</v>
      </c>
      <c r="B176" s="69" t="s">
        <v>248</v>
      </c>
      <c r="C176" s="69" t="s">
        <v>120</v>
      </c>
      <c r="D176" s="69" t="s">
        <v>86</v>
      </c>
      <c r="E176" s="69" t="s">
        <v>87</v>
      </c>
      <c r="F176" s="69" t="s">
        <v>162</v>
      </c>
      <c r="G176" s="69" t="s">
        <v>116</v>
      </c>
      <c r="H176" s="0" t="n">
        <v>10</v>
      </c>
      <c r="I176" s="70" t="n">
        <v>83.3</v>
      </c>
      <c r="J176" s="70" t="n">
        <v>48.03</v>
      </c>
      <c r="K176" s="70" t="n">
        <f aca="false">IF(ISTEXT(H176),VALUE(H176),H176)*I176</f>
        <v>833</v>
      </c>
    </row>
    <row r="177" customFormat="false" ht="15" hidden="false" customHeight="false" outlineLevel="0" collapsed="false">
      <c r="A177" s="0" t="n">
        <v>1804</v>
      </c>
      <c r="B177" s="68" t="n">
        <v>45858</v>
      </c>
      <c r="C177" s="69" t="s">
        <v>124</v>
      </c>
      <c r="D177" s="69" t="s">
        <v>97</v>
      </c>
      <c r="E177" s="69" t="s">
        <v>180</v>
      </c>
      <c r="F177" s="69" t="s">
        <v>135</v>
      </c>
      <c r="G177" s="69" t="s">
        <v>43</v>
      </c>
      <c r="H177" s="0" t="n">
        <v>17</v>
      </c>
      <c r="I177" s="70" t="n">
        <v>451.78</v>
      </c>
      <c r="J177" s="70" t="n">
        <v>280.42</v>
      </c>
      <c r="K177" s="70" t="n">
        <f aca="false">IF(ISTEXT(H177),VALUE(H177),H177)*I177</f>
        <v>7680.26</v>
      </c>
    </row>
    <row r="178" customFormat="false" ht="15" hidden="false" customHeight="false" outlineLevel="0" collapsed="false">
      <c r="A178" s="0" t="n">
        <v>1715</v>
      </c>
      <c r="B178" s="69" t="s">
        <v>249</v>
      </c>
      <c r="C178" s="69" t="s">
        <v>124</v>
      </c>
      <c r="D178" s="69"/>
      <c r="E178" s="69" t="s">
        <v>138</v>
      </c>
      <c r="F178" s="69" t="s">
        <v>31</v>
      </c>
      <c r="G178" s="69" t="s">
        <v>51</v>
      </c>
      <c r="H178" s="0" t="n">
        <v>38</v>
      </c>
      <c r="I178" s="70" t="n">
        <v>84.46</v>
      </c>
      <c r="J178" s="70" t="n">
        <v>49.47</v>
      </c>
      <c r="K178" s="70" t="n">
        <f aca="false">IF(ISTEXT(H178),VALUE(H178),H178)*I178</f>
        <v>3209.48</v>
      </c>
    </row>
    <row r="179" customFormat="false" ht="15" hidden="false" customHeight="false" outlineLevel="0" collapsed="false">
      <c r="A179" s="0" t="n">
        <v>1691</v>
      </c>
      <c r="B179" s="68" t="n">
        <v>45789</v>
      </c>
      <c r="C179" s="69" t="s">
        <v>133</v>
      </c>
      <c r="D179" s="69" t="s">
        <v>112</v>
      </c>
      <c r="E179" s="69" t="s">
        <v>101</v>
      </c>
      <c r="F179" s="69" t="s">
        <v>28</v>
      </c>
      <c r="G179" s="69" t="s">
        <v>144</v>
      </c>
      <c r="H179" s="0" t="n">
        <v>31</v>
      </c>
      <c r="I179" s="70" t="n">
        <v>64.58</v>
      </c>
      <c r="J179" s="70" t="n">
        <v>36.49</v>
      </c>
      <c r="K179" s="70" t="n">
        <f aca="false">IF(ISTEXT(H179),VALUE(H179),H179)*I179</f>
        <v>2001.98</v>
      </c>
    </row>
    <row r="180" customFormat="false" ht="15" hidden="false" customHeight="false" outlineLevel="0" collapsed="false">
      <c r="A180" s="0" t="n">
        <v>1995</v>
      </c>
      <c r="B180" s="68" t="n">
        <v>45876</v>
      </c>
      <c r="C180" s="69" t="s">
        <v>133</v>
      </c>
      <c r="D180" s="69" t="s">
        <v>112</v>
      </c>
      <c r="E180" s="69" t="s">
        <v>134</v>
      </c>
      <c r="F180" s="69" t="s">
        <v>31</v>
      </c>
      <c r="G180" s="69" t="s">
        <v>111</v>
      </c>
      <c r="H180" s="0" t="n">
        <v>13</v>
      </c>
      <c r="I180" s="70" t="n">
        <v>85.34</v>
      </c>
      <c r="J180" s="70" t="n">
        <v>49.47</v>
      </c>
      <c r="K180" s="70" t="n">
        <f aca="false">IF(ISTEXT(H180),VALUE(H180),H180)*I180</f>
        <v>1109.42</v>
      </c>
    </row>
    <row r="181" customFormat="false" ht="15" hidden="false" customHeight="false" outlineLevel="0" collapsed="false">
      <c r="A181" s="0" t="n">
        <v>986</v>
      </c>
      <c r="B181" s="69" t="s">
        <v>250</v>
      </c>
      <c r="C181" s="69" t="s">
        <v>142</v>
      </c>
      <c r="D181" s="69" t="s">
        <v>112</v>
      </c>
      <c r="E181" s="69" t="s">
        <v>180</v>
      </c>
      <c r="F181" s="69" t="s">
        <v>147</v>
      </c>
      <c r="G181" s="69" t="s">
        <v>157</v>
      </c>
      <c r="H181" s="0" t="n">
        <v>3</v>
      </c>
      <c r="I181" s="70" t="n">
        <v>1617</v>
      </c>
      <c r="J181" s="70" t="n">
        <v>1122</v>
      </c>
      <c r="K181" s="70" t="n">
        <f aca="false">IF(ISTEXT(H181),VALUE(H181),H181)*I181</f>
        <v>4851</v>
      </c>
    </row>
    <row r="182" customFormat="false" ht="15" hidden="false" customHeight="false" outlineLevel="0" collapsed="false">
      <c r="A182" s="0" t="n">
        <v>290</v>
      </c>
      <c r="B182" s="68" t="n">
        <v>45357</v>
      </c>
      <c r="C182" s="69" t="s">
        <v>133</v>
      </c>
      <c r="D182" s="69"/>
      <c r="E182" s="69" t="s">
        <v>119</v>
      </c>
      <c r="F182" s="69" t="s">
        <v>155</v>
      </c>
      <c r="G182" s="69" t="s">
        <v>172</v>
      </c>
      <c r="H182" s="0" t="n">
        <v>11</v>
      </c>
      <c r="I182" s="70" t="n">
        <v>93.1</v>
      </c>
      <c r="J182" s="70" t="n">
        <v>47.98</v>
      </c>
      <c r="K182" s="70" t="n">
        <f aca="false">IF(ISTEXT(H182),VALUE(H182),H182)*I182</f>
        <v>1024.1</v>
      </c>
    </row>
    <row r="183" customFormat="false" ht="15" hidden="false" customHeight="false" outlineLevel="0" collapsed="false">
      <c r="A183" s="0" t="n">
        <v>663</v>
      </c>
      <c r="B183" s="68" t="n">
        <v>45498</v>
      </c>
      <c r="C183" s="69" t="s">
        <v>184</v>
      </c>
      <c r="D183" s="69" t="s">
        <v>137</v>
      </c>
      <c r="E183" s="69" t="s">
        <v>121</v>
      </c>
      <c r="F183" s="69" t="s">
        <v>147</v>
      </c>
      <c r="G183" s="69" t="s">
        <v>177</v>
      </c>
      <c r="H183" s="0" t="n">
        <v>6</v>
      </c>
      <c r="I183" s="70" t="n">
        <v>441</v>
      </c>
      <c r="J183" s="70" t="n">
        <v>272.25</v>
      </c>
      <c r="K183" s="70" t="n">
        <f aca="false">IF(ISTEXT(H183),VALUE(H183),H183)*I183</f>
        <v>2646</v>
      </c>
    </row>
    <row r="184" customFormat="false" ht="15" hidden="false" customHeight="false" outlineLevel="0" collapsed="false">
      <c r="A184" s="0" t="n">
        <v>2138</v>
      </c>
      <c r="B184" s="68" t="n">
        <v>45939</v>
      </c>
      <c r="C184" s="69" t="s">
        <v>120</v>
      </c>
      <c r="D184" s="69" t="s">
        <v>86</v>
      </c>
      <c r="E184" s="69" t="s">
        <v>107</v>
      </c>
      <c r="F184" s="69" t="s">
        <v>182</v>
      </c>
      <c r="G184" s="69" t="s">
        <v>52</v>
      </c>
      <c r="H184" s="0" t="s">
        <v>251</v>
      </c>
      <c r="I184" s="70" t="n">
        <v>130.51</v>
      </c>
      <c r="J184" s="70" t="n">
        <v>78.33</v>
      </c>
      <c r="K184" s="70" t="n">
        <f aca="false">IF(ISTEXT(H184),VALUE(H184),H184)*I184</f>
        <v>3132.24</v>
      </c>
    </row>
    <row r="185" customFormat="false" ht="15" hidden="false" customHeight="false" outlineLevel="0" collapsed="false">
      <c r="A185" s="0" t="n">
        <v>2222</v>
      </c>
      <c r="B185" s="69" t="s">
        <v>252</v>
      </c>
      <c r="C185" s="69" t="s">
        <v>91</v>
      </c>
      <c r="D185" s="69" t="s">
        <v>86</v>
      </c>
      <c r="E185" s="69" t="s">
        <v>87</v>
      </c>
      <c r="F185" s="69" t="s">
        <v>153</v>
      </c>
      <c r="G185" s="69" t="s">
        <v>154</v>
      </c>
      <c r="H185" s="0" t="n">
        <v>10</v>
      </c>
      <c r="I185" s="70" t="n">
        <v>1204.74</v>
      </c>
      <c r="J185" s="70" t="n">
        <v>766.32</v>
      </c>
      <c r="K185" s="70" t="n">
        <f aca="false">IF(ISTEXT(H185),VALUE(H185),H185)*I185</f>
        <v>12047.4</v>
      </c>
    </row>
    <row r="186" customFormat="false" ht="15" hidden="false" customHeight="false" outlineLevel="0" collapsed="false">
      <c r="A186" s="0" t="n">
        <v>2302</v>
      </c>
      <c r="B186" s="68" t="n">
        <v>46014</v>
      </c>
      <c r="C186" s="69" t="s">
        <v>150</v>
      </c>
      <c r="D186" s="69" t="s">
        <v>97</v>
      </c>
      <c r="E186" s="69" t="s">
        <v>87</v>
      </c>
      <c r="F186" s="69" t="s">
        <v>153</v>
      </c>
      <c r="G186" s="69" t="s">
        <v>41</v>
      </c>
      <c r="H186" s="0" t="n">
        <v>19</v>
      </c>
      <c r="I186" s="70" t="n">
        <v>1204.74</v>
      </c>
      <c r="J186" s="70" t="n">
        <v>766.32</v>
      </c>
      <c r="K186" s="70" t="n">
        <f aca="false">IF(ISTEXT(H186),VALUE(H186),H186)*I186</f>
        <v>22890.06</v>
      </c>
    </row>
    <row r="187" customFormat="false" ht="15" hidden="false" customHeight="false" outlineLevel="0" collapsed="false">
      <c r="A187" s="0" t="n">
        <v>117</v>
      </c>
      <c r="B187" s="68" t="n">
        <v>45332</v>
      </c>
      <c r="C187" s="69" t="s">
        <v>96</v>
      </c>
      <c r="D187" s="69" t="s">
        <v>97</v>
      </c>
      <c r="E187" s="69" t="s">
        <v>101</v>
      </c>
      <c r="F187" s="69" t="s">
        <v>183</v>
      </c>
      <c r="G187" s="69" t="s">
        <v>127</v>
      </c>
      <c r="H187" s="0" t="n">
        <v>47</v>
      </c>
      <c r="I187" s="70" t="n">
        <v>127.4</v>
      </c>
      <c r="J187" s="70" t="n">
        <v>76.05</v>
      </c>
      <c r="K187" s="70" t="n">
        <f aca="false">IF(ISTEXT(H187),VALUE(H187),H187)*I187</f>
        <v>5987.8</v>
      </c>
    </row>
    <row r="188" customFormat="false" ht="15" hidden="false" customHeight="false" outlineLevel="0" collapsed="false">
      <c r="A188" s="0" t="n">
        <v>1453</v>
      </c>
      <c r="B188" s="68" t="n">
        <v>45736</v>
      </c>
      <c r="C188" s="69" t="s">
        <v>108</v>
      </c>
      <c r="D188" s="69" t="s">
        <v>109</v>
      </c>
      <c r="E188" s="69" t="s">
        <v>92</v>
      </c>
      <c r="F188" s="69" t="s">
        <v>166</v>
      </c>
      <c r="G188" s="69" t="s">
        <v>156</v>
      </c>
      <c r="H188" s="0" t="n">
        <v>18</v>
      </c>
      <c r="I188" s="70" t="n">
        <v>119.23</v>
      </c>
      <c r="J188" s="70" t="n">
        <v>65.51</v>
      </c>
      <c r="K188" s="70" t="n">
        <f aca="false">IF(ISTEXT(H188),VALUE(H188),H188)*I188</f>
        <v>2146.14</v>
      </c>
    </row>
    <row r="189" customFormat="false" ht="15" hidden="false" customHeight="false" outlineLevel="0" collapsed="false">
      <c r="A189" s="0" t="n">
        <v>1273</v>
      </c>
      <c r="B189" s="68" t="n">
        <v>45659</v>
      </c>
      <c r="C189" s="69" t="s">
        <v>184</v>
      </c>
      <c r="D189" s="69" t="s">
        <v>137</v>
      </c>
      <c r="E189" s="69" t="s">
        <v>92</v>
      </c>
      <c r="F189" s="69" t="s">
        <v>31</v>
      </c>
      <c r="G189" s="69" t="s">
        <v>50</v>
      </c>
      <c r="H189" s="0" t="n">
        <v>12</v>
      </c>
      <c r="I189" s="70" t="n">
        <v>119.23</v>
      </c>
      <c r="J189" s="70" t="n">
        <v>65.51</v>
      </c>
      <c r="K189" s="70" t="n">
        <f aca="false">IF(ISTEXT(H189),VALUE(H189),H189)*I189</f>
        <v>1430.76</v>
      </c>
    </row>
    <row r="190" customFormat="false" ht="15" hidden="false" customHeight="false" outlineLevel="0" collapsed="false">
      <c r="A190" s="0" t="n">
        <v>1022</v>
      </c>
      <c r="B190" s="69" t="s">
        <v>253</v>
      </c>
      <c r="C190" s="69" t="s">
        <v>91</v>
      </c>
      <c r="D190" s="69" t="s">
        <v>86</v>
      </c>
      <c r="E190" s="69" t="s">
        <v>125</v>
      </c>
      <c r="F190" s="69" t="s">
        <v>153</v>
      </c>
      <c r="G190" s="69" t="s">
        <v>41</v>
      </c>
      <c r="H190" s="0" t="n">
        <v>7</v>
      </c>
      <c r="I190" s="70" t="n">
        <v>1176</v>
      </c>
      <c r="J190" s="70" t="n">
        <v>744</v>
      </c>
      <c r="K190" s="70" t="n">
        <f aca="false">IF(ISTEXT(H190),VALUE(H190),H190)*I190</f>
        <v>8232</v>
      </c>
    </row>
    <row r="191" customFormat="false" ht="15" hidden="false" customHeight="false" outlineLevel="0" collapsed="false">
      <c r="A191" s="0" t="n">
        <v>1055</v>
      </c>
      <c r="B191" s="68" t="n">
        <v>45611</v>
      </c>
      <c r="C191" s="69" t="s">
        <v>108</v>
      </c>
      <c r="D191" s="69" t="s">
        <v>109</v>
      </c>
      <c r="E191" s="69" t="s">
        <v>101</v>
      </c>
      <c r="F191" s="69" t="s">
        <v>166</v>
      </c>
      <c r="G191" s="69" t="s">
        <v>111</v>
      </c>
      <c r="H191" s="0" t="n">
        <v>27</v>
      </c>
      <c r="I191" s="70" t="n">
        <v>83.3</v>
      </c>
      <c r="J191" s="70" t="n">
        <v>48.03</v>
      </c>
      <c r="K191" s="70" t="n">
        <f aca="false">IF(ISTEXT(H191),VALUE(H191),H191)*I191</f>
        <v>2249.1</v>
      </c>
    </row>
    <row r="192" customFormat="false" ht="15" hidden="false" customHeight="false" outlineLevel="0" collapsed="false">
      <c r="A192" s="0" t="n">
        <v>507</v>
      </c>
      <c r="B192" s="68" t="n">
        <v>45456</v>
      </c>
      <c r="C192" s="69" t="s">
        <v>25</v>
      </c>
      <c r="D192" s="69" t="s">
        <v>97</v>
      </c>
      <c r="E192" s="69" t="s">
        <v>138</v>
      </c>
      <c r="F192" s="69" t="s">
        <v>99</v>
      </c>
      <c r="G192" s="69" t="s">
        <v>113</v>
      </c>
      <c r="H192" s="0" t="n">
        <v>122</v>
      </c>
      <c r="I192" s="70" t="n">
        <v>27.44</v>
      </c>
      <c r="J192" s="70" t="n">
        <v>13.44</v>
      </c>
      <c r="K192" s="70" t="n">
        <f aca="false">IF(ISTEXT(H192),VALUE(H192),H192)*I192</f>
        <v>3347.68</v>
      </c>
    </row>
    <row r="193" customFormat="false" ht="15" hidden="false" customHeight="false" outlineLevel="0" collapsed="false">
      <c r="A193" s="0" t="n">
        <v>1235</v>
      </c>
      <c r="B193" s="68" t="n">
        <v>45663</v>
      </c>
      <c r="C193" s="69" t="s">
        <v>27</v>
      </c>
      <c r="D193" s="69" t="s">
        <v>86</v>
      </c>
      <c r="E193" s="69" t="s">
        <v>134</v>
      </c>
      <c r="F193" s="69" t="s">
        <v>31</v>
      </c>
      <c r="G193" s="69" t="s">
        <v>51</v>
      </c>
      <c r="H193" s="0" t="s">
        <v>254</v>
      </c>
      <c r="I193" s="70" t="n">
        <v>84.46</v>
      </c>
      <c r="J193" s="70" t="n">
        <v>49.47</v>
      </c>
      <c r="K193" s="70" t="n">
        <f aca="false">IF(ISTEXT(H193),VALUE(H193),H193)*I193</f>
        <v>1689.2</v>
      </c>
    </row>
    <row r="194" customFormat="false" ht="15" hidden="false" customHeight="false" outlineLevel="0" collapsed="false">
      <c r="A194" s="0" t="n">
        <v>505</v>
      </c>
      <c r="B194" s="69" t="s">
        <v>255</v>
      </c>
      <c r="C194" s="69" t="s">
        <v>124</v>
      </c>
      <c r="D194" s="69" t="s">
        <v>97</v>
      </c>
      <c r="E194" s="69" t="s">
        <v>138</v>
      </c>
      <c r="F194" s="69" t="s">
        <v>147</v>
      </c>
      <c r="G194" s="69" t="s">
        <v>141</v>
      </c>
      <c r="H194" s="0" t="n">
        <v>22</v>
      </c>
      <c r="I194" s="70" t="n">
        <v>1617</v>
      </c>
      <c r="J194" s="70" t="n">
        <v>1122</v>
      </c>
      <c r="K194" s="70" t="n">
        <f aca="false">IF(ISTEXT(H194),VALUE(H194),H194)*I194</f>
        <v>35574</v>
      </c>
    </row>
    <row r="195" customFormat="false" ht="15" hidden="false" customHeight="false" outlineLevel="0" collapsed="false">
      <c r="A195" s="0" t="n">
        <v>1363</v>
      </c>
      <c r="B195" s="68" t="n">
        <v>45699</v>
      </c>
      <c r="C195" s="69" t="s">
        <v>193</v>
      </c>
      <c r="D195" s="69" t="s">
        <v>137</v>
      </c>
      <c r="E195" s="69" t="s">
        <v>110</v>
      </c>
      <c r="F195" s="69" t="s">
        <v>26</v>
      </c>
      <c r="G195" s="69" t="s">
        <v>177</v>
      </c>
      <c r="H195" s="0" t="n">
        <v>6</v>
      </c>
      <c r="I195" s="70" t="n">
        <v>433.15</v>
      </c>
      <c r="J195" s="70" t="n">
        <v>280.42</v>
      </c>
      <c r="K195" s="70" t="n">
        <f aca="false">IF(ISTEXT(H195),VALUE(H195),H195)*I195</f>
        <v>2598.9</v>
      </c>
    </row>
    <row r="196" customFormat="false" ht="15" hidden="false" customHeight="false" outlineLevel="0" collapsed="false">
      <c r="A196" s="0" t="n">
        <v>900</v>
      </c>
      <c r="B196" s="68" t="n">
        <v>45545</v>
      </c>
      <c r="C196" s="69" t="s">
        <v>142</v>
      </c>
      <c r="D196" s="69" t="s">
        <v>112</v>
      </c>
      <c r="E196" s="69" t="s">
        <v>87</v>
      </c>
      <c r="F196" s="69" t="s">
        <v>33</v>
      </c>
      <c r="G196" s="69" t="s">
        <v>94</v>
      </c>
      <c r="H196" s="0" t="n">
        <v>8</v>
      </c>
      <c r="I196" s="70" t="n">
        <v>34.3</v>
      </c>
      <c r="J196" s="70" t="n">
        <v>17.85</v>
      </c>
      <c r="K196" s="70" t="n">
        <f aca="false">IF(ISTEXT(H196),VALUE(H196),H196)*I196</f>
        <v>274.4</v>
      </c>
    </row>
    <row r="197" customFormat="false" ht="15" hidden="false" customHeight="false" outlineLevel="0" collapsed="false">
      <c r="A197" s="0" t="n">
        <v>326</v>
      </c>
      <c r="B197" s="69" t="s">
        <v>256</v>
      </c>
      <c r="C197" s="69" t="s">
        <v>120</v>
      </c>
      <c r="D197" s="69" t="s">
        <v>86</v>
      </c>
      <c r="E197" s="69" t="s">
        <v>87</v>
      </c>
      <c r="F197" s="69" t="s">
        <v>135</v>
      </c>
      <c r="G197" s="69" t="s">
        <v>45</v>
      </c>
      <c r="H197" s="0" t="n">
        <v>4</v>
      </c>
      <c r="I197" s="70" t="n">
        <v>1617</v>
      </c>
      <c r="J197" s="70" t="n">
        <v>1122</v>
      </c>
      <c r="K197" s="70" t="n">
        <f aca="false">IF(ISTEXT(H197),VALUE(H197),H197)*I197</f>
        <v>6468</v>
      </c>
    </row>
    <row r="198" customFormat="false" ht="15" hidden="false" customHeight="false" outlineLevel="0" collapsed="false">
      <c r="A198" s="0" t="n">
        <v>999</v>
      </c>
      <c r="B198" s="68" t="n">
        <v>45566</v>
      </c>
      <c r="C198" s="69" t="s">
        <v>142</v>
      </c>
      <c r="D198" s="69" t="s">
        <v>112</v>
      </c>
      <c r="E198" s="69" t="s">
        <v>138</v>
      </c>
      <c r="F198" s="69" t="s">
        <v>33</v>
      </c>
      <c r="G198" s="69" t="s">
        <v>53</v>
      </c>
      <c r="H198" s="0" t="n">
        <v>20</v>
      </c>
      <c r="I198" s="70" t="n">
        <v>34.3</v>
      </c>
      <c r="J198" s="70" t="n">
        <v>17.85</v>
      </c>
      <c r="K198" s="70" t="n">
        <f aca="false">IF(ISTEXT(H198),VALUE(H198),H198)*I198</f>
        <v>686</v>
      </c>
    </row>
    <row r="199" customFormat="false" ht="15" hidden="false" customHeight="false" outlineLevel="0" collapsed="false">
      <c r="A199" s="0" t="n">
        <v>1414</v>
      </c>
      <c r="B199" s="68" t="n">
        <v>45733</v>
      </c>
      <c r="C199" s="69" t="s">
        <v>170</v>
      </c>
      <c r="D199" s="69" t="s">
        <v>97</v>
      </c>
      <c r="E199" s="69" t="s">
        <v>98</v>
      </c>
      <c r="F199" s="69" t="s">
        <v>162</v>
      </c>
      <c r="G199" s="69" t="s">
        <v>171</v>
      </c>
      <c r="H199" s="0" t="n">
        <v>31</v>
      </c>
      <c r="I199" s="70" t="n">
        <v>119.23</v>
      </c>
      <c r="J199" s="70" t="n">
        <v>65.51</v>
      </c>
      <c r="K199" s="70" t="n">
        <f aca="false">IF(ISTEXT(H199),VALUE(H199),H199)*I199</f>
        <v>3696.13</v>
      </c>
    </row>
    <row r="200" customFormat="false" ht="15" hidden="false" customHeight="false" outlineLevel="0" collapsed="false">
      <c r="A200" s="0" t="n">
        <v>1026</v>
      </c>
      <c r="B200" s="69" t="s">
        <v>257</v>
      </c>
      <c r="C200" s="69" t="s">
        <v>120</v>
      </c>
      <c r="D200" s="69" t="s">
        <v>86</v>
      </c>
      <c r="E200" s="69" t="s">
        <v>107</v>
      </c>
      <c r="F200" s="69" t="s">
        <v>139</v>
      </c>
      <c r="G200" s="69" t="s">
        <v>157</v>
      </c>
      <c r="H200" s="0" t="n">
        <v>5</v>
      </c>
      <c r="I200" s="70" t="n">
        <v>1617</v>
      </c>
      <c r="J200" s="70" t="n">
        <v>1122</v>
      </c>
      <c r="K200" s="70" t="n">
        <f aca="false">IF(ISTEXT(H200),VALUE(H200),H200)*I200</f>
        <v>8085</v>
      </c>
    </row>
    <row r="201" customFormat="false" ht="15" hidden="false" customHeight="false" outlineLevel="0" collapsed="false">
      <c r="A201" s="0" t="n">
        <v>1515</v>
      </c>
      <c r="B201" s="68" t="n">
        <v>45769</v>
      </c>
      <c r="C201" s="69" t="s">
        <v>96</v>
      </c>
      <c r="D201" s="69" t="s">
        <v>97</v>
      </c>
      <c r="E201" s="69" t="s">
        <v>138</v>
      </c>
      <c r="F201" s="69" t="s">
        <v>166</v>
      </c>
      <c r="G201" s="69" t="s">
        <v>116</v>
      </c>
      <c r="H201" s="0" t="n">
        <v>44</v>
      </c>
      <c r="I201" s="70" t="n">
        <v>84.46</v>
      </c>
      <c r="J201" s="70" t="n">
        <v>49.47</v>
      </c>
      <c r="K201" s="70" t="n">
        <f aca="false">IF(ISTEXT(H201),VALUE(H201),H201)*I201</f>
        <v>3716.24</v>
      </c>
    </row>
    <row r="202" customFormat="false" ht="15" hidden="false" customHeight="false" outlineLevel="0" collapsed="false">
      <c r="A202" s="0" t="n">
        <v>2151</v>
      </c>
      <c r="B202" s="68" t="n">
        <v>45949</v>
      </c>
      <c r="C202" s="69" t="s">
        <v>30</v>
      </c>
      <c r="D202" s="69" t="s">
        <v>109</v>
      </c>
      <c r="E202" s="69" t="s">
        <v>134</v>
      </c>
      <c r="F202" s="69" t="s">
        <v>99</v>
      </c>
      <c r="G202" s="69" t="s">
        <v>49</v>
      </c>
      <c r="H202" s="0" t="n">
        <v>38</v>
      </c>
      <c r="I202" s="70" t="n">
        <v>65.26</v>
      </c>
      <c r="J202" s="70" t="n">
        <v>36.49</v>
      </c>
      <c r="K202" s="70" t="n">
        <f aca="false">IF(ISTEXT(H202),VALUE(H202),H202)*I202</f>
        <v>2479.88</v>
      </c>
    </row>
    <row r="203" customFormat="false" ht="15" hidden="false" customHeight="false" outlineLevel="0" collapsed="false">
      <c r="A203" s="0" t="n">
        <v>1751</v>
      </c>
      <c r="B203" s="68" t="n">
        <v>45835</v>
      </c>
      <c r="C203" s="69" t="s">
        <v>30</v>
      </c>
      <c r="D203" s="69" t="s">
        <v>109</v>
      </c>
      <c r="E203" s="69" t="s">
        <v>134</v>
      </c>
      <c r="F203" s="69" t="s">
        <v>99</v>
      </c>
      <c r="G203" s="69" t="s">
        <v>49</v>
      </c>
      <c r="H203" s="0" t="n">
        <v>35</v>
      </c>
      <c r="I203" s="70" t="n">
        <v>64.58</v>
      </c>
      <c r="J203" s="70" t="n">
        <v>36.49</v>
      </c>
      <c r="K203" s="70" t="n">
        <f aca="false">IF(ISTEXT(H203),VALUE(H203),H203)*I203</f>
        <v>2260.3</v>
      </c>
    </row>
    <row r="204" customFormat="false" ht="15" hidden="false" customHeight="false" outlineLevel="0" collapsed="false">
      <c r="A204" s="0" t="n">
        <v>996</v>
      </c>
      <c r="B204" s="68" t="n">
        <v>45572</v>
      </c>
      <c r="C204" s="69" t="s">
        <v>133</v>
      </c>
      <c r="D204" s="69" t="s">
        <v>112</v>
      </c>
      <c r="E204" s="69" t="s">
        <v>125</v>
      </c>
      <c r="F204" s="69" t="s">
        <v>31</v>
      </c>
      <c r="G204" s="69" t="s">
        <v>51</v>
      </c>
      <c r="H204" s="0" t="s">
        <v>229</v>
      </c>
      <c r="I204" s="70" t="n">
        <v>83.3</v>
      </c>
      <c r="J204" s="70" t="n">
        <v>48.03</v>
      </c>
      <c r="K204" s="70" t="n">
        <f aca="false">IF(ISTEXT(H204),VALUE(H204),H204)*I204</f>
        <v>583.1</v>
      </c>
    </row>
    <row r="205" customFormat="false" ht="15" hidden="false" customHeight="false" outlineLevel="0" collapsed="false">
      <c r="A205" s="0" t="n">
        <v>2337</v>
      </c>
      <c r="B205" s="68" t="n">
        <v>46016</v>
      </c>
      <c r="C205" s="69" t="s">
        <v>159</v>
      </c>
      <c r="D205" s="69" t="s">
        <v>86</v>
      </c>
      <c r="E205" s="69" t="s">
        <v>110</v>
      </c>
      <c r="F205" s="69" t="s">
        <v>33</v>
      </c>
      <c r="G205" s="69" t="s">
        <v>130</v>
      </c>
      <c r="H205" s="0" t="n">
        <v>49</v>
      </c>
      <c r="I205" s="70" t="n">
        <v>130.51</v>
      </c>
      <c r="J205" s="70" t="n">
        <v>78.33</v>
      </c>
      <c r="K205" s="70" t="n">
        <f aca="false">IF(ISTEXT(H205),VALUE(H205),H205)*I205</f>
        <v>6394.99</v>
      </c>
    </row>
    <row r="206" customFormat="false" ht="15" hidden="false" customHeight="false" outlineLevel="0" collapsed="false">
      <c r="A206" s="0" t="n">
        <v>2182</v>
      </c>
      <c r="B206" s="69" t="s">
        <v>258</v>
      </c>
      <c r="C206" s="69" t="s">
        <v>142</v>
      </c>
      <c r="D206" s="69" t="s">
        <v>112</v>
      </c>
      <c r="E206" s="69" t="s">
        <v>87</v>
      </c>
      <c r="F206" s="69" t="s">
        <v>135</v>
      </c>
      <c r="G206" s="69" t="s">
        <v>154</v>
      </c>
      <c r="H206" s="0" t="n">
        <v>5</v>
      </c>
      <c r="I206" s="70" t="n">
        <v>1204.74</v>
      </c>
      <c r="J206" s="70" t="n">
        <v>766.32</v>
      </c>
      <c r="K206" s="70" t="n">
        <f aca="false">IF(ISTEXT(H206),VALUE(H206),H206)*I206</f>
        <v>6023.7</v>
      </c>
    </row>
    <row r="207" customFormat="false" ht="15" hidden="false" customHeight="false" outlineLevel="0" collapsed="false">
      <c r="A207" s="0" t="n">
        <v>132</v>
      </c>
      <c r="B207" s="68" t="n">
        <v>45329</v>
      </c>
      <c r="C207" s="69" t="s">
        <v>120</v>
      </c>
      <c r="D207" s="69" t="s">
        <v>86</v>
      </c>
      <c r="E207" s="69" t="s">
        <v>107</v>
      </c>
      <c r="F207" s="69" t="s">
        <v>28</v>
      </c>
      <c r="G207" s="69" t="s">
        <v>208</v>
      </c>
      <c r="H207" s="0" t="n">
        <v>16</v>
      </c>
      <c r="I207" s="70" t="n">
        <v>63.7</v>
      </c>
      <c r="J207" s="70" t="n">
        <v>35.43</v>
      </c>
      <c r="K207" s="70" t="n">
        <f aca="false">IF(ISTEXT(H207),VALUE(H207),H207)*I207</f>
        <v>1019.2</v>
      </c>
    </row>
    <row r="208" customFormat="false" ht="15" hidden="false" customHeight="false" outlineLevel="0" collapsed="false">
      <c r="A208" s="0" t="n">
        <v>136</v>
      </c>
      <c r="B208" s="68" t="n">
        <v>45330</v>
      </c>
      <c r="C208" s="69" t="s">
        <v>91</v>
      </c>
      <c r="D208" s="69" t="s">
        <v>86</v>
      </c>
      <c r="E208" s="69" t="s">
        <v>107</v>
      </c>
      <c r="F208" s="69" t="s">
        <v>31</v>
      </c>
      <c r="G208" s="69" t="s">
        <v>116</v>
      </c>
      <c r="H208" s="0" t="n">
        <v>9</v>
      </c>
      <c r="I208" s="70" t="n">
        <v>83.3</v>
      </c>
      <c r="J208" s="70" t="n">
        <v>48.03</v>
      </c>
      <c r="K208" s="70" t="n">
        <f aca="false">IF(ISTEXT(H208),VALUE(H208),H208)*I208</f>
        <v>749.7</v>
      </c>
    </row>
    <row r="209" customFormat="false" ht="15" hidden="false" customHeight="false" outlineLevel="0" collapsed="false">
      <c r="A209" s="0" t="n">
        <v>822</v>
      </c>
      <c r="B209" s="68" t="n">
        <v>45539</v>
      </c>
      <c r="C209" s="69" t="s">
        <v>159</v>
      </c>
      <c r="D209" s="69"/>
      <c r="E209" s="69" t="s">
        <v>125</v>
      </c>
      <c r="F209" s="69" t="s">
        <v>147</v>
      </c>
      <c r="G209" s="69" t="s">
        <v>41</v>
      </c>
      <c r="H209" s="0" t="n">
        <v>5</v>
      </c>
      <c r="I209" s="70" t="n">
        <v>1176</v>
      </c>
      <c r="J209" s="70" t="n">
        <v>744</v>
      </c>
      <c r="K209" s="70" t="n">
        <f aca="false">IF(ISTEXT(H209),VALUE(H209),H209)*I209</f>
        <v>5880</v>
      </c>
    </row>
    <row r="210" customFormat="false" ht="15" hidden="false" customHeight="false" outlineLevel="0" collapsed="false">
      <c r="A210" s="0" t="n">
        <v>2388</v>
      </c>
      <c r="B210" s="68" t="n">
        <v>45995</v>
      </c>
      <c r="C210" s="69" t="s">
        <v>34</v>
      </c>
      <c r="D210" s="69" t="s">
        <v>112</v>
      </c>
      <c r="E210" s="69" t="s">
        <v>119</v>
      </c>
      <c r="F210" s="69" t="s">
        <v>99</v>
      </c>
      <c r="G210" s="69" t="s">
        <v>103</v>
      </c>
      <c r="H210" s="0" t="n">
        <v>31</v>
      </c>
      <c r="I210" s="70" t="n">
        <v>28.11</v>
      </c>
      <c r="J210" s="70" t="n">
        <v>13.84</v>
      </c>
      <c r="K210" s="70" t="n">
        <f aca="false">IF(ISTEXT(H210),VALUE(H210),H210)*I210</f>
        <v>871.41</v>
      </c>
    </row>
    <row r="211" customFormat="false" ht="15" hidden="false" customHeight="false" outlineLevel="0" collapsed="false">
      <c r="A211" s="0" t="n">
        <v>596</v>
      </c>
      <c r="B211" s="68" t="n">
        <v>45458</v>
      </c>
      <c r="C211" s="69" t="s">
        <v>161</v>
      </c>
      <c r="D211" s="69" t="s">
        <v>112</v>
      </c>
      <c r="E211" s="69" t="s">
        <v>98</v>
      </c>
      <c r="F211" s="69" t="s">
        <v>166</v>
      </c>
      <c r="G211" s="69" t="s">
        <v>116</v>
      </c>
      <c r="H211" s="0" t="n">
        <v>6</v>
      </c>
      <c r="I211" s="70" t="n">
        <v>83.3</v>
      </c>
      <c r="J211" s="70" t="n">
        <v>48.03</v>
      </c>
      <c r="K211" s="70" t="n">
        <f aca="false">IF(ISTEXT(H211),VALUE(H211),H211)*I211</f>
        <v>499.8</v>
      </c>
    </row>
    <row r="212" customFormat="false" ht="15" hidden="false" customHeight="false" outlineLevel="0" collapsed="false">
      <c r="A212" s="0" t="n">
        <v>2325</v>
      </c>
      <c r="B212" s="69" t="s">
        <v>259</v>
      </c>
      <c r="C212" s="69" t="s">
        <v>91</v>
      </c>
      <c r="D212" s="69" t="s">
        <v>86</v>
      </c>
      <c r="E212" s="69" t="s">
        <v>92</v>
      </c>
      <c r="F212" s="69" t="s">
        <v>135</v>
      </c>
      <c r="G212" s="69" t="s">
        <v>157</v>
      </c>
      <c r="H212" s="0" t="n">
        <v>19</v>
      </c>
      <c r="I212" s="70" t="n">
        <v>1656.52</v>
      </c>
      <c r="J212" s="70" t="n">
        <v>1155.66</v>
      </c>
      <c r="K212" s="70" t="n">
        <f aca="false">IF(ISTEXT(H212),VALUE(H212),H212)*I212</f>
        <v>31473.88</v>
      </c>
    </row>
    <row r="213" customFormat="false" ht="15" hidden="false" customHeight="false" outlineLevel="0" collapsed="false">
      <c r="A213" s="0" t="n">
        <v>1023</v>
      </c>
      <c r="B213" s="68" t="n">
        <v>45603</v>
      </c>
      <c r="C213" s="69" t="s">
        <v>91</v>
      </c>
      <c r="D213" s="69" t="s">
        <v>86</v>
      </c>
      <c r="E213" s="69" t="s">
        <v>134</v>
      </c>
      <c r="F213" s="69" t="s">
        <v>147</v>
      </c>
      <c r="G213" s="69" t="s">
        <v>43</v>
      </c>
      <c r="H213" s="0" t="s">
        <v>260</v>
      </c>
      <c r="I213" s="70" t="n">
        <v>441</v>
      </c>
      <c r="J213" s="70" t="n">
        <v>272.25</v>
      </c>
      <c r="K213" s="70" t="n">
        <f aca="false">IF(ISTEXT(H213),VALUE(H213),H213)*I213</f>
        <v>6174</v>
      </c>
    </row>
    <row r="214" customFormat="false" ht="15" hidden="false" customHeight="false" outlineLevel="0" collapsed="false">
      <c r="A214" s="0" t="n">
        <v>1253</v>
      </c>
      <c r="B214" s="68" t="n">
        <v>45681</v>
      </c>
      <c r="C214" s="69" t="s">
        <v>152</v>
      </c>
      <c r="D214" s="69" t="s">
        <v>109</v>
      </c>
      <c r="E214" s="69" t="s">
        <v>92</v>
      </c>
      <c r="F214" s="69" t="s">
        <v>162</v>
      </c>
      <c r="G214" s="69" t="s">
        <v>50</v>
      </c>
      <c r="H214" s="0" t="n">
        <v>17</v>
      </c>
      <c r="I214" s="70" t="n">
        <v>119.23</v>
      </c>
      <c r="J214" s="70" t="n">
        <v>65.51</v>
      </c>
      <c r="K214" s="70" t="n">
        <f aca="false">IF(ISTEXT(H214),VALUE(H214),H214)*I214</f>
        <v>2026.91</v>
      </c>
    </row>
    <row r="215" customFormat="false" ht="15" hidden="false" customHeight="false" outlineLevel="0" collapsed="false">
      <c r="A215" s="0" t="n">
        <v>2191</v>
      </c>
      <c r="B215" s="68" t="n">
        <v>45932</v>
      </c>
      <c r="C215" s="69" t="s">
        <v>161</v>
      </c>
      <c r="D215" s="69" t="s">
        <v>112</v>
      </c>
      <c r="E215" s="69" t="s">
        <v>92</v>
      </c>
      <c r="F215" s="69" t="s">
        <v>155</v>
      </c>
      <c r="G215" s="69" t="s">
        <v>49</v>
      </c>
      <c r="H215" s="0" t="n">
        <v>27</v>
      </c>
      <c r="I215" s="70" t="n">
        <v>65.26</v>
      </c>
      <c r="J215" s="70" t="n">
        <v>36.49</v>
      </c>
      <c r="K215" s="70" t="n">
        <f aca="false">IF(ISTEXT(H215),VALUE(H215),H215)*I215</f>
        <v>1762.02</v>
      </c>
    </row>
    <row r="216" customFormat="false" ht="15" hidden="false" customHeight="false" outlineLevel="0" collapsed="false">
      <c r="A216" s="0" t="n">
        <v>2211</v>
      </c>
      <c r="B216" s="68" t="n">
        <v>45968</v>
      </c>
      <c r="C216" s="69" t="s">
        <v>150</v>
      </c>
      <c r="D216" s="69" t="s">
        <v>97</v>
      </c>
      <c r="E216" s="69" t="s">
        <v>138</v>
      </c>
      <c r="F216" s="69" t="s">
        <v>143</v>
      </c>
      <c r="G216" s="69" t="s">
        <v>208</v>
      </c>
      <c r="H216" s="0" t="n">
        <v>96</v>
      </c>
      <c r="I216" s="70" t="n">
        <v>65.26</v>
      </c>
      <c r="J216" s="70" t="n">
        <v>36.49</v>
      </c>
      <c r="K216" s="70" t="n">
        <f aca="false">IF(ISTEXT(H216),VALUE(H216),H216)*I216</f>
        <v>6264.96</v>
      </c>
    </row>
    <row r="217" customFormat="false" ht="15" hidden="false" customHeight="false" outlineLevel="0" collapsed="false">
      <c r="A217" s="0" t="n">
        <v>1495</v>
      </c>
      <c r="B217" s="68" t="n">
        <v>45733</v>
      </c>
      <c r="C217" s="69" t="s">
        <v>34</v>
      </c>
      <c r="D217" s="69" t="s">
        <v>112</v>
      </c>
      <c r="E217" s="69" t="s">
        <v>121</v>
      </c>
      <c r="F217" s="69" t="s">
        <v>115</v>
      </c>
      <c r="G217" s="69" t="s">
        <v>116</v>
      </c>
      <c r="H217" s="0" t="n">
        <v>13</v>
      </c>
      <c r="I217" s="70" t="n">
        <v>84.46</v>
      </c>
      <c r="J217" s="70" t="n">
        <v>49.47</v>
      </c>
      <c r="K217" s="70" t="n">
        <f aca="false">IF(ISTEXT(H217),VALUE(H217),H217)*I217</f>
        <v>1097.98</v>
      </c>
    </row>
    <row r="218" customFormat="false" ht="15" hidden="false" customHeight="false" outlineLevel="0" collapsed="false">
      <c r="A218" s="0" t="n">
        <v>2168</v>
      </c>
      <c r="B218" s="68" t="n">
        <v>45933</v>
      </c>
      <c r="C218" s="69" t="s">
        <v>136</v>
      </c>
      <c r="D218" s="69" t="s">
        <v>137</v>
      </c>
      <c r="E218" s="69" t="s">
        <v>119</v>
      </c>
      <c r="F218" s="69" t="s">
        <v>143</v>
      </c>
      <c r="G218" s="69" t="s">
        <v>113</v>
      </c>
      <c r="H218" s="0" t="s">
        <v>211</v>
      </c>
      <c r="I218" s="70" t="n">
        <v>28.11</v>
      </c>
      <c r="J218" s="70" t="n">
        <v>13.84</v>
      </c>
      <c r="K218" s="70" t="n">
        <f aca="false">IF(ISTEXT(H218),VALUE(H218),H218)*I218</f>
        <v>505.98</v>
      </c>
    </row>
    <row r="219" customFormat="false" ht="15" hidden="false" customHeight="false" outlineLevel="0" collapsed="false">
      <c r="A219" s="0" t="n">
        <v>1477</v>
      </c>
      <c r="B219" s="69" t="s">
        <v>261</v>
      </c>
      <c r="C219" s="69" t="s">
        <v>193</v>
      </c>
      <c r="D219" s="69" t="s">
        <v>137</v>
      </c>
      <c r="E219" s="69" t="s">
        <v>138</v>
      </c>
      <c r="F219" s="69" t="s">
        <v>33</v>
      </c>
      <c r="G219" s="69" t="s">
        <v>130</v>
      </c>
      <c r="H219" s="0" t="n">
        <v>19</v>
      </c>
      <c r="I219" s="70" t="n">
        <v>129.17</v>
      </c>
      <c r="J219" s="70" t="n">
        <v>78.33</v>
      </c>
      <c r="K219" s="70" t="n">
        <f aca="false">IF(ISTEXT(H219),VALUE(H219),H219)*I219</f>
        <v>2454.23</v>
      </c>
    </row>
    <row r="220" customFormat="false" ht="15" hidden="false" customHeight="false" outlineLevel="0" collapsed="false">
      <c r="A220" s="0" t="n">
        <v>2377</v>
      </c>
      <c r="B220" s="69" t="s">
        <v>262</v>
      </c>
      <c r="C220" s="69" t="s">
        <v>136</v>
      </c>
      <c r="D220" s="69" t="s">
        <v>137</v>
      </c>
      <c r="E220" s="69" t="s">
        <v>110</v>
      </c>
      <c r="F220" s="69" t="s">
        <v>93</v>
      </c>
      <c r="G220" s="69" t="s">
        <v>52</v>
      </c>
      <c r="H220" s="0" t="n">
        <v>27</v>
      </c>
      <c r="I220" s="70" t="n">
        <v>130.51</v>
      </c>
      <c r="J220" s="70" t="n">
        <v>78.33</v>
      </c>
      <c r="K220" s="70" t="n">
        <f aca="false">IF(ISTEXT(H220),VALUE(H220),H220)*I220</f>
        <v>3523.77</v>
      </c>
    </row>
    <row r="221" customFormat="false" ht="15" hidden="false" customHeight="false" outlineLevel="0" collapsed="false">
      <c r="A221" s="0" t="n">
        <v>1753</v>
      </c>
      <c r="B221" s="69" t="s">
        <v>263</v>
      </c>
      <c r="C221" s="69" t="s">
        <v>118</v>
      </c>
      <c r="D221" s="69" t="s">
        <v>109</v>
      </c>
      <c r="E221" s="69" t="s">
        <v>134</v>
      </c>
      <c r="F221" s="69" t="s">
        <v>115</v>
      </c>
      <c r="G221" s="69" t="s">
        <v>50</v>
      </c>
      <c r="H221" s="0" t="n">
        <v>18</v>
      </c>
      <c r="I221" s="70" t="n">
        <v>119.23</v>
      </c>
      <c r="J221" s="70" t="n">
        <v>65.51</v>
      </c>
      <c r="K221" s="70" t="n">
        <f aca="false">IF(ISTEXT(H221),VALUE(H221),H221)*I221</f>
        <v>2146.14</v>
      </c>
    </row>
    <row r="222" customFormat="false" ht="15" hidden="false" customHeight="false" outlineLevel="0" collapsed="false">
      <c r="A222" s="0" t="n">
        <v>2098</v>
      </c>
      <c r="B222" s="69" t="s">
        <v>264</v>
      </c>
      <c r="C222" s="69" t="s">
        <v>133</v>
      </c>
      <c r="D222" s="69" t="s">
        <v>112</v>
      </c>
      <c r="E222" s="69" t="s">
        <v>87</v>
      </c>
      <c r="F222" s="69" t="s">
        <v>168</v>
      </c>
      <c r="G222" s="69" t="s">
        <v>127</v>
      </c>
      <c r="H222" s="0" t="n">
        <v>11</v>
      </c>
      <c r="I222" s="70" t="n">
        <v>130.51</v>
      </c>
      <c r="J222" s="70" t="n">
        <v>78.33</v>
      </c>
      <c r="K222" s="70" t="n">
        <f aca="false">IF(ISTEXT(H222),VALUE(H222),H222)*I222</f>
        <v>1435.61</v>
      </c>
    </row>
    <row r="223" customFormat="false" ht="15" hidden="false" customHeight="false" outlineLevel="0" collapsed="false">
      <c r="A223" s="0" t="n">
        <v>1682</v>
      </c>
      <c r="B223" s="68" t="n">
        <v>45780</v>
      </c>
      <c r="C223" s="69" t="s">
        <v>161</v>
      </c>
      <c r="D223" s="69" t="s">
        <v>112</v>
      </c>
      <c r="E223" s="69" t="s">
        <v>87</v>
      </c>
      <c r="F223" s="69" t="s">
        <v>139</v>
      </c>
      <c r="G223" s="69" t="s">
        <v>154</v>
      </c>
      <c r="H223" s="0" t="n">
        <v>4</v>
      </c>
      <c r="I223" s="70" t="n">
        <v>1155.06</v>
      </c>
      <c r="J223" s="70" t="n">
        <v>766.32</v>
      </c>
      <c r="K223" s="70" t="n">
        <f aca="false">IF(ISTEXT(H223),VALUE(H223),H223)*I223</f>
        <v>4620.24</v>
      </c>
    </row>
    <row r="224" customFormat="false" ht="15" hidden="false" customHeight="false" outlineLevel="0" collapsed="false">
      <c r="A224" s="0" t="n">
        <v>787</v>
      </c>
      <c r="B224" s="68" t="n">
        <v>45506</v>
      </c>
      <c r="C224" s="69" t="s">
        <v>133</v>
      </c>
      <c r="D224" s="69" t="s">
        <v>112</v>
      </c>
      <c r="E224" s="69" t="s">
        <v>134</v>
      </c>
      <c r="F224" s="69" t="s">
        <v>99</v>
      </c>
      <c r="G224" s="69" t="s">
        <v>113</v>
      </c>
      <c r="H224" s="0" t="n">
        <v>32</v>
      </c>
      <c r="I224" s="70" t="n">
        <v>27.44</v>
      </c>
      <c r="J224" s="70" t="n">
        <v>13.44</v>
      </c>
      <c r="K224" s="70" t="n">
        <f aca="false">IF(ISTEXT(H224),VALUE(H224),H224)*I224</f>
        <v>878.08</v>
      </c>
    </row>
    <row r="225" customFormat="false" ht="15" hidden="false" customHeight="false" outlineLevel="0" collapsed="false">
      <c r="A225" s="0" t="n">
        <v>2323</v>
      </c>
      <c r="B225" s="68" t="n">
        <v>45999</v>
      </c>
      <c r="C225" s="69" t="s">
        <v>91</v>
      </c>
      <c r="D225" s="69" t="s">
        <v>86</v>
      </c>
      <c r="E225" s="69" t="s">
        <v>101</v>
      </c>
      <c r="F225" s="69" t="s">
        <v>88</v>
      </c>
      <c r="G225" s="69" t="s">
        <v>177</v>
      </c>
      <c r="H225" s="0" t="n">
        <v>18</v>
      </c>
      <c r="I225" s="70" t="n">
        <v>451.78</v>
      </c>
      <c r="J225" s="70" t="n">
        <v>280.42</v>
      </c>
      <c r="K225" s="70" t="n">
        <f aca="false">IF(ISTEXT(H225),VALUE(H225),H225)*I225</f>
        <v>8132.04</v>
      </c>
    </row>
    <row r="226" customFormat="false" ht="15" hidden="false" customHeight="false" outlineLevel="0" collapsed="false">
      <c r="A226" s="0" t="n">
        <v>366</v>
      </c>
      <c r="B226" s="68" t="n">
        <v>45407</v>
      </c>
      <c r="C226" s="69" t="s">
        <v>136</v>
      </c>
      <c r="D226" s="69" t="s">
        <v>137</v>
      </c>
      <c r="E226" s="69" t="s">
        <v>98</v>
      </c>
      <c r="F226" s="69" t="s">
        <v>135</v>
      </c>
      <c r="G226" s="69" t="s">
        <v>157</v>
      </c>
      <c r="H226" s="0" t="n">
        <v>2</v>
      </c>
      <c r="I226" s="70" t="n">
        <v>1617</v>
      </c>
      <c r="J226" s="70" t="n">
        <v>1122</v>
      </c>
      <c r="K226" s="70" t="n">
        <f aca="false">IF(ISTEXT(H226),VALUE(H226),H226)*I226</f>
        <v>3234</v>
      </c>
    </row>
    <row r="227" customFormat="false" ht="15" hidden="false" customHeight="false" outlineLevel="0" collapsed="false">
      <c r="A227" s="0" t="n">
        <v>1565</v>
      </c>
      <c r="B227" s="69" t="s">
        <v>265</v>
      </c>
      <c r="C227" s="69" t="s">
        <v>136</v>
      </c>
      <c r="D227" s="69" t="s">
        <v>137</v>
      </c>
      <c r="E227" s="69" t="s">
        <v>134</v>
      </c>
      <c r="F227" s="69" t="s">
        <v>153</v>
      </c>
      <c r="G227" s="69" t="s">
        <v>157</v>
      </c>
      <c r="H227" s="0" t="n">
        <v>5</v>
      </c>
      <c r="I227" s="70" t="n">
        <v>1588.21</v>
      </c>
      <c r="J227" s="70" t="n">
        <v>1155.66</v>
      </c>
      <c r="K227" s="70" t="n">
        <f aca="false">IF(ISTEXT(H227),VALUE(H227),H227)*I227</f>
        <v>7941.05</v>
      </c>
    </row>
    <row r="228" customFormat="false" ht="15" hidden="false" customHeight="false" outlineLevel="0" collapsed="false">
      <c r="A228" s="0" t="n">
        <v>1448</v>
      </c>
      <c r="B228" s="68" t="n">
        <v>45728</v>
      </c>
      <c r="C228" s="69" t="s">
        <v>108</v>
      </c>
      <c r="D228" s="69" t="s">
        <v>109</v>
      </c>
      <c r="E228" s="69" t="s">
        <v>87</v>
      </c>
      <c r="F228" s="69" t="s">
        <v>155</v>
      </c>
      <c r="G228" s="69" t="s">
        <v>103</v>
      </c>
      <c r="H228" s="0" t="n">
        <v>30</v>
      </c>
      <c r="I228" s="70" t="n">
        <v>27.82</v>
      </c>
      <c r="J228" s="70" t="n">
        <v>13.84</v>
      </c>
      <c r="K228" s="70" t="n">
        <f aca="false">IF(ISTEXT(H228),VALUE(H228),H228)*I228</f>
        <v>834.6</v>
      </c>
    </row>
    <row r="229" customFormat="false" ht="15" hidden="false" customHeight="false" outlineLevel="0" collapsed="false">
      <c r="A229" s="0" t="n">
        <v>993</v>
      </c>
      <c r="B229" s="68" t="n">
        <v>45578</v>
      </c>
      <c r="C229" s="69" t="s">
        <v>34</v>
      </c>
      <c r="D229" s="69" t="s">
        <v>112</v>
      </c>
      <c r="E229" s="69" t="s">
        <v>121</v>
      </c>
      <c r="F229" s="69" t="s">
        <v>166</v>
      </c>
      <c r="G229" s="69" t="s">
        <v>50</v>
      </c>
      <c r="H229" s="0" t="n">
        <v>12</v>
      </c>
      <c r="I229" s="70" t="n">
        <v>117.6</v>
      </c>
      <c r="J229" s="70" t="n">
        <v>63.6</v>
      </c>
      <c r="K229" s="70" t="n">
        <f aca="false">IF(ISTEXT(H229),VALUE(H229),H229)*I229</f>
        <v>1411.2</v>
      </c>
    </row>
    <row r="230" customFormat="false" ht="15" hidden="false" customHeight="false" outlineLevel="0" collapsed="false">
      <c r="A230" s="0" t="n">
        <v>1663</v>
      </c>
      <c r="B230" s="69" t="s">
        <v>266</v>
      </c>
      <c r="C230" s="69" t="s">
        <v>184</v>
      </c>
      <c r="D230" s="69" t="s">
        <v>137</v>
      </c>
      <c r="E230" s="69" t="s">
        <v>138</v>
      </c>
      <c r="F230" s="69" t="s">
        <v>26</v>
      </c>
      <c r="G230" s="69" t="s">
        <v>89</v>
      </c>
      <c r="H230" s="0" t="n">
        <v>6</v>
      </c>
      <c r="I230" s="70" t="n">
        <v>433.15</v>
      </c>
      <c r="J230" s="70" t="n">
        <v>280.42</v>
      </c>
      <c r="K230" s="70" t="n">
        <f aca="false">IF(ISTEXT(H230),VALUE(H230),H230)*I230</f>
        <v>2598.9</v>
      </c>
    </row>
    <row r="231" customFormat="false" ht="15" hidden="false" customHeight="false" outlineLevel="0" collapsed="false">
      <c r="A231" s="0" t="n">
        <v>1743</v>
      </c>
      <c r="B231" s="68" t="n">
        <v>45833</v>
      </c>
      <c r="C231" s="69" t="s">
        <v>30</v>
      </c>
      <c r="D231" s="69" t="s">
        <v>109</v>
      </c>
      <c r="E231" s="69" t="s">
        <v>101</v>
      </c>
      <c r="F231" s="69" t="s">
        <v>153</v>
      </c>
      <c r="G231" s="69" t="s">
        <v>43</v>
      </c>
      <c r="H231" s="0" t="n">
        <v>8</v>
      </c>
      <c r="I231" s="70" t="n">
        <v>433.15</v>
      </c>
      <c r="J231" s="70" t="n">
        <v>280.42</v>
      </c>
      <c r="K231" s="70" t="n">
        <f aca="false">IF(ISTEXT(H231),VALUE(H231),H231)*I231</f>
        <v>3465.2</v>
      </c>
    </row>
    <row r="232" customFormat="false" ht="15" hidden="false" customHeight="false" outlineLevel="0" collapsed="false">
      <c r="A232" s="0" t="n">
        <v>538</v>
      </c>
      <c r="B232" s="68" t="n">
        <v>45457</v>
      </c>
      <c r="C232" s="69" t="s">
        <v>120</v>
      </c>
      <c r="D232" s="69" t="s">
        <v>86</v>
      </c>
      <c r="E232" s="69" t="s">
        <v>107</v>
      </c>
      <c r="F232" s="69" t="s">
        <v>168</v>
      </c>
      <c r="G232" s="69" t="s">
        <v>52</v>
      </c>
      <c r="H232" s="0" t="s">
        <v>260</v>
      </c>
      <c r="I232" s="70" t="n">
        <v>127.4</v>
      </c>
      <c r="J232" s="70" t="n">
        <v>76.05</v>
      </c>
      <c r="K232" s="70" t="n">
        <f aca="false">IF(ISTEXT(H232),VALUE(H232),H232)*I232</f>
        <v>1783.6</v>
      </c>
    </row>
    <row r="233" customFormat="false" ht="15" hidden="false" customHeight="false" outlineLevel="0" collapsed="false">
      <c r="A233" s="0" t="n">
        <v>114</v>
      </c>
      <c r="B233" s="68" t="n">
        <v>45338</v>
      </c>
      <c r="C233" s="69" t="s">
        <v>150</v>
      </c>
      <c r="D233" s="69" t="s">
        <v>97</v>
      </c>
      <c r="E233" s="69" t="s">
        <v>180</v>
      </c>
      <c r="F233" s="69" t="s">
        <v>115</v>
      </c>
      <c r="G233" s="69" t="s">
        <v>171</v>
      </c>
      <c r="H233" s="0" t="n">
        <v>12</v>
      </c>
      <c r="I233" s="70" t="n">
        <v>117.6</v>
      </c>
      <c r="J233" s="70" t="n">
        <v>63.6</v>
      </c>
      <c r="K233" s="70" t="n">
        <f aca="false">IF(ISTEXT(H233),VALUE(H233),H233)*I233</f>
        <v>1411.2</v>
      </c>
    </row>
    <row r="234" customFormat="false" ht="15" hidden="false" customHeight="false" outlineLevel="0" collapsed="false">
      <c r="A234" s="0" t="n">
        <v>1027</v>
      </c>
      <c r="B234" s="69" t="s">
        <v>267</v>
      </c>
      <c r="C234" s="69" t="s">
        <v>91</v>
      </c>
      <c r="D234" s="69" t="s">
        <v>86</v>
      </c>
      <c r="E234" s="69" t="s">
        <v>92</v>
      </c>
      <c r="F234" s="69" t="s">
        <v>155</v>
      </c>
      <c r="G234" s="69" t="s">
        <v>113</v>
      </c>
      <c r="H234" s="0" t="n">
        <v>74</v>
      </c>
      <c r="I234" s="70" t="n">
        <v>27.44</v>
      </c>
      <c r="J234" s="70" t="n">
        <v>13.44</v>
      </c>
      <c r="K234" s="70" t="n">
        <f aca="false">IF(ISTEXT(H234),VALUE(H234),H234)*I234</f>
        <v>2030.56</v>
      </c>
    </row>
    <row r="235" customFormat="false" ht="15" hidden="false" customHeight="false" outlineLevel="0" collapsed="false">
      <c r="A235" s="0" t="n">
        <v>1310</v>
      </c>
      <c r="B235" s="69" t="s">
        <v>268</v>
      </c>
      <c r="C235" s="69" t="s">
        <v>150</v>
      </c>
      <c r="D235" s="69" t="s">
        <v>97</v>
      </c>
      <c r="E235" s="69" t="s">
        <v>98</v>
      </c>
      <c r="F235" s="69" t="s">
        <v>102</v>
      </c>
      <c r="G235" s="69" t="s">
        <v>48</v>
      </c>
      <c r="H235" s="0" t="n">
        <v>60</v>
      </c>
      <c r="I235" s="70" t="n">
        <v>94.39</v>
      </c>
      <c r="J235" s="70" t="n">
        <v>49.41</v>
      </c>
      <c r="K235" s="70" t="n">
        <f aca="false">IF(ISTEXT(H235),VALUE(H235),H235)*I235</f>
        <v>5663.4</v>
      </c>
    </row>
    <row r="236" customFormat="false" ht="15" hidden="false" customHeight="false" outlineLevel="0" collapsed="false">
      <c r="A236" s="0" t="n">
        <v>1965</v>
      </c>
      <c r="B236" s="68" t="n">
        <v>45882</v>
      </c>
      <c r="C236" s="69" t="s">
        <v>136</v>
      </c>
      <c r="D236" s="69" t="s">
        <v>137</v>
      </c>
      <c r="E236" s="69" t="s">
        <v>92</v>
      </c>
      <c r="F236" s="69" t="s">
        <v>153</v>
      </c>
      <c r="G236" s="69" t="s">
        <v>157</v>
      </c>
      <c r="H236" s="0" t="n">
        <v>7</v>
      </c>
      <c r="I236" s="70" t="n">
        <v>1656.52</v>
      </c>
      <c r="J236" s="70" t="n">
        <v>1155.66</v>
      </c>
      <c r="K236" s="70" t="n">
        <f aca="false">IF(ISTEXT(H236),VALUE(H236),H236)*I236</f>
        <v>11595.64</v>
      </c>
    </row>
    <row r="237" customFormat="false" ht="15" hidden="false" customHeight="false" outlineLevel="0" collapsed="false">
      <c r="A237" s="0" t="n">
        <v>2252</v>
      </c>
      <c r="B237" s="69" t="s">
        <v>269</v>
      </c>
      <c r="C237" s="69" t="s">
        <v>108</v>
      </c>
      <c r="D237" s="69" t="s">
        <v>109</v>
      </c>
      <c r="E237" s="69" t="s">
        <v>107</v>
      </c>
      <c r="F237" s="69" t="s">
        <v>99</v>
      </c>
      <c r="G237" s="69" t="s">
        <v>208</v>
      </c>
      <c r="H237" s="0" t="n">
        <v>40</v>
      </c>
      <c r="I237" s="70" t="n">
        <v>65.26</v>
      </c>
      <c r="J237" s="70" t="n">
        <v>36.49</v>
      </c>
      <c r="K237" s="70" t="n">
        <f aca="false">IF(ISTEXT(H237),VALUE(H237),H237)*I237</f>
        <v>2610.4</v>
      </c>
    </row>
    <row r="238" customFormat="false" ht="15" hidden="false" customHeight="false" outlineLevel="0" collapsed="false">
      <c r="A238" s="0" t="n">
        <v>485</v>
      </c>
      <c r="B238" s="69" t="s">
        <v>270</v>
      </c>
      <c r="C238" s="69" t="s">
        <v>133</v>
      </c>
      <c r="D238" s="69" t="s">
        <v>112</v>
      </c>
      <c r="E238" s="69" t="s">
        <v>110</v>
      </c>
      <c r="F238" s="69" t="s">
        <v>88</v>
      </c>
      <c r="G238" s="69" t="s">
        <v>141</v>
      </c>
      <c r="H238" s="0" t="n">
        <v>6</v>
      </c>
      <c r="I238" s="70" t="n">
        <v>1617</v>
      </c>
      <c r="J238" s="70" t="n">
        <v>1122</v>
      </c>
      <c r="K238" s="70" t="n">
        <f aca="false">IF(ISTEXT(H238),VALUE(H238),H238)*I238</f>
        <v>9702</v>
      </c>
    </row>
    <row r="239" customFormat="false" ht="15" hidden="false" customHeight="false" outlineLevel="0" collapsed="false">
      <c r="A239" s="0" t="n">
        <v>1071</v>
      </c>
      <c r="B239" s="68" t="n">
        <v>45615</v>
      </c>
      <c r="C239" s="69" t="s">
        <v>136</v>
      </c>
      <c r="D239" s="69" t="s">
        <v>137</v>
      </c>
      <c r="E239" s="69" t="s">
        <v>101</v>
      </c>
      <c r="F239" s="69" t="s">
        <v>155</v>
      </c>
      <c r="G239" s="69" t="s">
        <v>144</v>
      </c>
      <c r="H239" s="0" t="n">
        <v>43</v>
      </c>
      <c r="I239" s="70" t="n">
        <v>63.7</v>
      </c>
      <c r="J239" s="70" t="n">
        <v>35.43</v>
      </c>
      <c r="K239" s="70" t="n">
        <f aca="false">IF(ISTEXT(H239),VALUE(H239),H239)*I239</f>
        <v>2739.1</v>
      </c>
    </row>
    <row r="240" customFormat="false" ht="15" hidden="false" customHeight="false" outlineLevel="0" collapsed="false">
      <c r="A240" s="0" t="n">
        <v>1851</v>
      </c>
      <c r="B240" s="69" t="s">
        <v>271</v>
      </c>
      <c r="C240" s="69" t="s">
        <v>118</v>
      </c>
      <c r="D240" s="69" t="s">
        <v>109</v>
      </c>
      <c r="E240" s="69" t="s">
        <v>110</v>
      </c>
      <c r="F240" s="69" t="s">
        <v>99</v>
      </c>
      <c r="G240" s="69" t="s">
        <v>144</v>
      </c>
      <c r="H240" s="0" t="n">
        <v>47</v>
      </c>
      <c r="I240" s="70" t="n">
        <v>65.26</v>
      </c>
      <c r="J240" s="70" t="n">
        <v>36.49</v>
      </c>
      <c r="K240" s="70" t="n">
        <f aca="false">IF(ISTEXT(H240),VALUE(H240),H240)*I240</f>
        <v>3067.22</v>
      </c>
    </row>
    <row r="241" customFormat="false" ht="15" hidden="false" customHeight="false" outlineLevel="0" collapsed="false">
      <c r="A241" s="0" t="n">
        <v>762</v>
      </c>
      <c r="B241" s="68" t="n">
        <v>45520</v>
      </c>
      <c r="C241" s="69" t="s">
        <v>136</v>
      </c>
      <c r="D241" s="69" t="s">
        <v>137</v>
      </c>
      <c r="E241" s="69" t="s">
        <v>107</v>
      </c>
      <c r="F241" s="69" t="s">
        <v>26</v>
      </c>
      <c r="G241" s="69" t="s">
        <v>41</v>
      </c>
      <c r="H241" s="0" t="n">
        <v>3</v>
      </c>
      <c r="I241" s="70" t="n">
        <v>1176</v>
      </c>
      <c r="J241" s="70" t="n">
        <v>744</v>
      </c>
      <c r="K241" s="70" t="n">
        <f aca="false">IF(ISTEXT(H241),VALUE(H241),H241)*I241</f>
        <v>3528</v>
      </c>
    </row>
    <row r="242" customFormat="false" ht="15" hidden="false" customHeight="false" outlineLevel="0" collapsed="false">
      <c r="A242" s="0" t="n">
        <v>548</v>
      </c>
      <c r="B242" s="69" t="s">
        <v>272</v>
      </c>
      <c r="C242" s="69" t="s">
        <v>108</v>
      </c>
      <c r="D242" s="69" t="s">
        <v>109</v>
      </c>
      <c r="E242" s="69" t="s">
        <v>98</v>
      </c>
      <c r="F242" s="69" t="s">
        <v>143</v>
      </c>
      <c r="G242" s="69" t="s">
        <v>113</v>
      </c>
      <c r="H242" s="0" t="n">
        <v>17</v>
      </c>
      <c r="I242" s="70" t="n">
        <v>27.44</v>
      </c>
      <c r="J242" s="70" t="n">
        <v>13.44</v>
      </c>
      <c r="K242" s="70" t="n">
        <f aca="false">IF(ISTEXT(H242),VALUE(H242),H242)*I242</f>
        <v>466.48</v>
      </c>
    </row>
    <row r="243" customFormat="false" ht="15" hidden="false" customHeight="false" outlineLevel="0" collapsed="false">
      <c r="A243" s="0" t="n">
        <v>5</v>
      </c>
      <c r="B243" s="68" t="n">
        <v>45300</v>
      </c>
      <c r="C243" s="69" t="s">
        <v>150</v>
      </c>
      <c r="D243" s="69" t="s">
        <v>97</v>
      </c>
      <c r="E243" s="69" t="s">
        <v>121</v>
      </c>
      <c r="F243" s="69" t="s">
        <v>26</v>
      </c>
      <c r="G243" s="69" t="s">
        <v>157</v>
      </c>
      <c r="H243" s="0" t="n">
        <v>19</v>
      </c>
      <c r="I243" s="70" t="n">
        <v>1617</v>
      </c>
      <c r="J243" s="70" t="n">
        <v>1122</v>
      </c>
      <c r="K243" s="70" t="n">
        <f aca="false">IF(ISTEXT(H243),VALUE(H243),H243)*I243</f>
        <v>30723</v>
      </c>
    </row>
    <row r="244" customFormat="false" ht="15" hidden="false" customHeight="false" outlineLevel="0" collapsed="false">
      <c r="A244" s="0" t="n">
        <v>976</v>
      </c>
      <c r="B244" s="68" t="n">
        <v>45567</v>
      </c>
      <c r="C244" s="69" t="s">
        <v>193</v>
      </c>
      <c r="D244" s="69" t="s">
        <v>137</v>
      </c>
      <c r="E244" s="69" t="s">
        <v>107</v>
      </c>
      <c r="F244" s="69" t="s">
        <v>31</v>
      </c>
      <c r="G244" s="69" t="s">
        <v>111</v>
      </c>
      <c r="H244" s="0" t="n">
        <v>5</v>
      </c>
      <c r="I244" s="70" t="n">
        <v>83.3</v>
      </c>
      <c r="J244" s="70" t="n">
        <v>48.03</v>
      </c>
      <c r="K244" s="70" t="n">
        <f aca="false">IF(ISTEXT(H244),VALUE(H244),H244)*I244</f>
        <v>416.5</v>
      </c>
    </row>
    <row r="245" customFormat="false" ht="15" hidden="false" customHeight="false" outlineLevel="0" collapsed="false">
      <c r="A245" s="0" t="n">
        <v>1123</v>
      </c>
      <c r="B245" s="69" t="s">
        <v>273</v>
      </c>
      <c r="C245" s="69" t="s">
        <v>27</v>
      </c>
      <c r="D245" s="69" t="s">
        <v>86</v>
      </c>
      <c r="E245" s="69" t="s">
        <v>121</v>
      </c>
      <c r="F245" s="69" t="s">
        <v>135</v>
      </c>
      <c r="G245" s="69" t="s">
        <v>43</v>
      </c>
      <c r="H245" s="0" t="n">
        <v>17</v>
      </c>
      <c r="I245" s="70" t="n">
        <v>441</v>
      </c>
      <c r="J245" s="70" t="n">
        <v>272.25</v>
      </c>
      <c r="K245" s="70" t="n">
        <f aca="false">IF(ISTEXT(H245),VALUE(H245),H245)*I245</f>
        <v>7497</v>
      </c>
    </row>
    <row r="246" customFormat="false" ht="15" hidden="false" customHeight="false" outlineLevel="0" collapsed="false">
      <c r="A246" s="0" t="n">
        <v>1348</v>
      </c>
      <c r="B246" s="69" t="s">
        <v>274</v>
      </c>
      <c r="C246" s="69" t="s">
        <v>152</v>
      </c>
      <c r="D246" s="69" t="s">
        <v>109</v>
      </c>
      <c r="E246" s="69" t="s">
        <v>107</v>
      </c>
      <c r="F246" s="69" t="s">
        <v>102</v>
      </c>
      <c r="G246" s="69" t="s">
        <v>47</v>
      </c>
      <c r="H246" s="0" t="n">
        <v>24</v>
      </c>
      <c r="I246" s="70" t="n">
        <v>27.82</v>
      </c>
      <c r="J246" s="70" t="n">
        <v>13.84</v>
      </c>
      <c r="K246" s="70" t="n">
        <f aca="false">IF(ISTEXT(H246),VALUE(H246),H246)*I246</f>
        <v>667.68</v>
      </c>
    </row>
    <row r="247" customFormat="false" ht="15" hidden="false" customHeight="false" outlineLevel="0" collapsed="false">
      <c r="A247" s="0" t="n">
        <v>1584</v>
      </c>
      <c r="B247" s="68" t="n">
        <v>45766</v>
      </c>
      <c r="C247" s="69" t="s">
        <v>142</v>
      </c>
      <c r="D247" s="69" t="s">
        <v>112</v>
      </c>
      <c r="E247" s="69" t="s">
        <v>107</v>
      </c>
      <c r="F247" s="69" t="s">
        <v>88</v>
      </c>
      <c r="G247" s="69" t="s">
        <v>177</v>
      </c>
      <c r="H247" s="0" t="n">
        <v>4</v>
      </c>
      <c r="I247" s="70" t="n">
        <v>433.15</v>
      </c>
      <c r="J247" s="70" t="n">
        <v>280.42</v>
      </c>
      <c r="K247" s="70" t="n">
        <f aca="false">IF(ISTEXT(H247),VALUE(H247),H247)*I247</f>
        <v>1732.6</v>
      </c>
    </row>
    <row r="248" customFormat="false" ht="15" hidden="false" customHeight="false" outlineLevel="0" collapsed="false">
      <c r="A248" s="0" t="n">
        <v>177</v>
      </c>
      <c r="B248" s="68" t="n">
        <v>45347</v>
      </c>
      <c r="C248" s="69" t="s">
        <v>136</v>
      </c>
      <c r="D248" s="69" t="s">
        <v>137</v>
      </c>
      <c r="E248" s="69" t="s">
        <v>101</v>
      </c>
      <c r="F248" s="69" t="s">
        <v>168</v>
      </c>
      <c r="G248" s="69" t="s">
        <v>130</v>
      </c>
      <c r="H248" s="0" t="s">
        <v>260</v>
      </c>
      <c r="I248" s="70" t="n">
        <v>127.4</v>
      </c>
      <c r="J248" s="70" t="n">
        <v>76.05</v>
      </c>
      <c r="K248" s="70" t="n">
        <f aca="false">IF(ISTEXT(H248),VALUE(H248),H248)*I248</f>
        <v>1783.6</v>
      </c>
    </row>
    <row r="249" customFormat="false" ht="15" hidden="false" customHeight="false" outlineLevel="0" collapsed="false">
      <c r="A249" s="0" t="n">
        <v>700</v>
      </c>
      <c r="B249" s="68" t="n">
        <v>45487</v>
      </c>
      <c r="C249" s="69" t="s">
        <v>161</v>
      </c>
      <c r="D249" s="69" t="s">
        <v>112</v>
      </c>
      <c r="E249" s="69" t="s">
        <v>119</v>
      </c>
      <c r="F249" s="69" t="s">
        <v>168</v>
      </c>
      <c r="G249" s="69" t="s">
        <v>53</v>
      </c>
      <c r="H249" s="0" t="n">
        <v>9</v>
      </c>
      <c r="I249" s="70" t="n">
        <v>34.3</v>
      </c>
      <c r="J249" s="70" t="n">
        <v>17.85</v>
      </c>
      <c r="K249" s="70" t="n">
        <f aca="false">IF(ISTEXT(H249),VALUE(H249),H249)*I249</f>
        <v>308.7</v>
      </c>
    </row>
    <row r="250" customFormat="false" ht="15" hidden="false" customHeight="false" outlineLevel="0" collapsed="false">
      <c r="A250" s="0" t="n">
        <v>839</v>
      </c>
      <c r="B250" s="69" t="s">
        <v>275</v>
      </c>
      <c r="C250" s="69" t="s">
        <v>27</v>
      </c>
      <c r="D250" s="69" t="s">
        <v>86</v>
      </c>
      <c r="E250" s="69" t="s">
        <v>110</v>
      </c>
      <c r="F250" s="69" t="s">
        <v>168</v>
      </c>
      <c r="G250" s="69" t="s">
        <v>217</v>
      </c>
      <c r="H250" s="0" t="n">
        <v>29</v>
      </c>
      <c r="I250" s="70" t="n">
        <v>34.3</v>
      </c>
      <c r="J250" s="70" t="n">
        <v>17.85</v>
      </c>
      <c r="K250" s="70" t="n">
        <f aca="false">IF(ISTEXT(H250),VALUE(H250),H250)*I250</f>
        <v>994.7</v>
      </c>
    </row>
    <row r="251" customFormat="false" ht="15" hidden="false" customHeight="false" outlineLevel="0" collapsed="false">
      <c r="A251" s="0" t="n">
        <v>2020</v>
      </c>
      <c r="B251" s="69" t="s">
        <v>276</v>
      </c>
      <c r="C251" s="69" t="s">
        <v>124</v>
      </c>
      <c r="D251" s="69" t="s">
        <v>97</v>
      </c>
      <c r="E251" s="69" t="s">
        <v>180</v>
      </c>
      <c r="F251" s="69" t="s">
        <v>93</v>
      </c>
      <c r="G251" s="69" t="s">
        <v>53</v>
      </c>
      <c r="H251" s="0" t="n">
        <v>41</v>
      </c>
      <c r="I251" s="70" t="n">
        <v>35.14</v>
      </c>
      <c r="J251" s="70" t="n">
        <v>18.39</v>
      </c>
      <c r="K251" s="70" t="n">
        <f aca="false">IF(ISTEXT(H251),VALUE(H251),H251)*I251</f>
        <v>1440.74</v>
      </c>
    </row>
    <row r="252" customFormat="false" ht="15" hidden="false" customHeight="false" outlineLevel="0" collapsed="false">
      <c r="A252" s="0" t="n">
        <v>223</v>
      </c>
      <c r="B252" s="68" t="n">
        <v>45374</v>
      </c>
      <c r="C252" s="69" t="s">
        <v>27</v>
      </c>
      <c r="D252" s="69" t="s">
        <v>86</v>
      </c>
      <c r="E252" s="69" t="s">
        <v>134</v>
      </c>
      <c r="F252" s="69" t="s">
        <v>88</v>
      </c>
      <c r="G252" s="69" t="s">
        <v>177</v>
      </c>
      <c r="H252" s="0" t="n">
        <v>13</v>
      </c>
      <c r="I252" s="70" t="n">
        <v>441</v>
      </c>
      <c r="J252" s="70" t="n">
        <v>272.25</v>
      </c>
      <c r="K252" s="70" t="n">
        <f aca="false">IF(ISTEXT(H252),VALUE(H252),H252)*I252</f>
        <v>5733</v>
      </c>
    </row>
    <row r="253" customFormat="false" ht="15" hidden="false" customHeight="false" outlineLevel="0" collapsed="false">
      <c r="A253" s="0" t="n">
        <v>435</v>
      </c>
      <c r="B253" s="68" t="n">
        <v>45434</v>
      </c>
      <c r="C253" s="69" t="s">
        <v>159</v>
      </c>
      <c r="D253" s="69"/>
      <c r="E253" s="69" t="s">
        <v>92</v>
      </c>
      <c r="F253" s="69" t="s">
        <v>162</v>
      </c>
      <c r="G253" s="69" t="s">
        <v>116</v>
      </c>
      <c r="H253" s="0" t="n">
        <v>30</v>
      </c>
      <c r="I253" s="70" t="n">
        <v>83.3</v>
      </c>
      <c r="J253" s="70" t="n">
        <v>48.03</v>
      </c>
      <c r="K253" s="70" t="n">
        <f aca="false">IF(ISTEXT(H253),VALUE(H253),H253)*I253</f>
        <v>2499</v>
      </c>
    </row>
    <row r="254" customFormat="false" ht="15" hidden="false" customHeight="false" outlineLevel="0" collapsed="false">
      <c r="A254" s="0" t="n">
        <v>1210</v>
      </c>
      <c r="B254" s="68" t="n">
        <v>45677</v>
      </c>
      <c r="C254" s="69" t="s">
        <v>150</v>
      </c>
      <c r="D254" s="69" t="s">
        <v>97</v>
      </c>
      <c r="E254" s="69" t="s">
        <v>98</v>
      </c>
      <c r="F254" s="69" t="s">
        <v>102</v>
      </c>
      <c r="G254" s="69" t="s">
        <v>172</v>
      </c>
      <c r="H254" s="0" t="n">
        <v>55</v>
      </c>
      <c r="I254" s="70" t="n">
        <v>94.39</v>
      </c>
      <c r="J254" s="70" t="n">
        <v>49.41</v>
      </c>
      <c r="K254" s="70" t="n">
        <f aca="false">IF(ISTEXT(H254),VALUE(H254),H254)*I254</f>
        <v>5191.45</v>
      </c>
    </row>
    <row r="255" customFormat="false" ht="15" hidden="false" customHeight="false" outlineLevel="0" collapsed="false">
      <c r="A255" s="0" t="n">
        <v>1159</v>
      </c>
      <c r="B255" s="68" t="n">
        <v>45640</v>
      </c>
      <c r="C255" s="69" t="s">
        <v>152</v>
      </c>
      <c r="D255" s="69"/>
      <c r="E255" s="69" t="s">
        <v>110</v>
      </c>
      <c r="F255" s="69" t="s">
        <v>183</v>
      </c>
      <c r="G255" s="69" t="s">
        <v>217</v>
      </c>
      <c r="H255" s="0" t="n">
        <v>34</v>
      </c>
      <c r="I255" s="70" t="n">
        <v>34.3</v>
      </c>
      <c r="J255" s="70" t="n">
        <v>17.85</v>
      </c>
      <c r="K255" s="70" t="n">
        <f aca="false">IF(ISTEXT(H255),VALUE(H255),H255)*I255</f>
        <v>1166.2</v>
      </c>
    </row>
    <row r="256" customFormat="false" ht="15" hidden="false" customHeight="false" outlineLevel="0" collapsed="false">
      <c r="A256" s="0" t="n">
        <v>647</v>
      </c>
      <c r="B256" s="69" t="s">
        <v>277</v>
      </c>
      <c r="C256" s="69" t="s">
        <v>152</v>
      </c>
      <c r="D256" s="69" t="s">
        <v>109</v>
      </c>
      <c r="E256" s="69" t="s">
        <v>138</v>
      </c>
      <c r="F256" s="69" t="s">
        <v>102</v>
      </c>
      <c r="G256" s="69" t="s">
        <v>47</v>
      </c>
      <c r="H256" s="0" t="n">
        <v>53</v>
      </c>
      <c r="I256" s="70" t="n">
        <v>27.44</v>
      </c>
      <c r="J256" s="70" t="n">
        <v>13.44</v>
      </c>
      <c r="K256" s="70" t="n">
        <f aca="false">IF(ISTEXT(H256),VALUE(H256),H256)*I256</f>
        <v>1454.32</v>
      </c>
    </row>
    <row r="257" customFormat="false" ht="15" hidden="false" customHeight="false" outlineLevel="0" collapsed="false">
      <c r="A257" s="0" t="n">
        <v>1639</v>
      </c>
      <c r="B257" s="68" t="n">
        <v>45803</v>
      </c>
      <c r="C257" s="69" t="s">
        <v>120</v>
      </c>
      <c r="D257" s="69" t="s">
        <v>86</v>
      </c>
      <c r="E257" s="69" t="s">
        <v>121</v>
      </c>
      <c r="F257" s="69" t="s">
        <v>182</v>
      </c>
      <c r="G257" s="69" t="s">
        <v>217</v>
      </c>
      <c r="H257" s="0" t="n">
        <v>35</v>
      </c>
      <c r="I257" s="70" t="n">
        <v>34.78</v>
      </c>
      <c r="J257" s="70" t="n">
        <v>18.39</v>
      </c>
      <c r="K257" s="70" t="n">
        <f aca="false">IF(ISTEXT(H257),VALUE(H257),H257)*I257</f>
        <v>1217.3</v>
      </c>
    </row>
    <row r="258" customFormat="false" ht="15" hidden="false" customHeight="false" outlineLevel="0" collapsed="false">
      <c r="A258" s="0" t="n">
        <v>833</v>
      </c>
      <c r="B258" s="68" t="n">
        <v>45562</v>
      </c>
      <c r="C258" s="69" t="s">
        <v>91</v>
      </c>
      <c r="D258" s="69" t="s">
        <v>86</v>
      </c>
      <c r="E258" s="69" t="s">
        <v>92</v>
      </c>
      <c r="F258" s="69" t="s">
        <v>31</v>
      </c>
      <c r="G258" s="69" t="s">
        <v>171</v>
      </c>
      <c r="H258" s="0" t="n">
        <v>28</v>
      </c>
      <c r="I258" s="70" t="n">
        <v>117.6</v>
      </c>
      <c r="J258" s="70" t="n">
        <v>63.6</v>
      </c>
      <c r="K258" s="70" t="n">
        <f aca="false">IF(ISTEXT(H258),VALUE(H258),H258)*I258</f>
        <v>3292.8</v>
      </c>
    </row>
    <row r="259" customFormat="false" ht="15" hidden="false" customHeight="false" outlineLevel="0" collapsed="false">
      <c r="A259" s="0" t="n">
        <v>1209</v>
      </c>
      <c r="B259" s="68" t="n">
        <v>45670</v>
      </c>
      <c r="C259" s="69" t="s">
        <v>25</v>
      </c>
      <c r="D259" s="69" t="s">
        <v>97</v>
      </c>
      <c r="E259" s="69" t="s">
        <v>92</v>
      </c>
      <c r="F259" s="69" t="s">
        <v>143</v>
      </c>
      <c r="G259" s="69" t="s">
        <v>48</v>
      </c>
      <c r="H259" s="0" t="n">
        <v>66</v>
      </c>
      <c r="I259" s="70" t="n">
        <v>94.39</v>
      </c>
      <c r="J259" s="70" t="n">
        <v>49.41</v>
      </c>
      <c r="K259" s="70" t="n">
        <f aca="false">IF(ISTEXT(H259),VALUE(H259),H259)*I259</f>
        <v>6229.74</v>
      </c>
    </row>
    <row r="260" customFormat="false" ht="15" hidden="false" customHeight="false" outlineLevel="0" collapsed="false">
      <c r="A260" s="0" t="n">
        <v>972</v>
      </c>
      <c r="B260" s="68" t="n">
        <v>45566</v>
      </c>
      <c r="C260" s="69" t="s">
        <v>136</v>
      </c>
      <c r="D260" s="69" t="s">
        <v>137</v>
      </c>
      <c r="E260" s="69" t="s">
        <v>180</v>
      </c>
      <c r="F260" s="69" t="s">
        <v>155</v>
      </c>
      <c r="G260" s="69" t="s">
        <v>144</v>
      </c>
      <c r="H260" s="0" t="n">
        <v>13</v>
      </c>
      <c r="I260" s="70" t="n">
        <v>63.7</v>
      </c>
      <c r="J260" s="70" t="n">
        <v>35.43</v>
      </c>
      <c r="K260" s="70" t="n">
        <f aca="false">IF(ISTEXT(H260),VALUE(H260),H260)*I260</f>
        <v>828.1</v>
      </c>
    </row>
    <row r="261" customFormat="false" ht="15" hidden="false" customHeight="false" outlineLevel="0" collapsed="false">
      <c r="A261" s="0" t="n">
        <v>683</v>
      </c>
      <c r="B261" s="68" t="n">
        <v>45476</v>
      </c>
      <c r="C261" s="69" t="s">
        <v>34</v>
      </c>
      <c r="D261" s="69" t="s">
        <v>112</v>
      </c>
      <c r="E261" s="69" t="s">
        <v>134</v>
      </c>
      <c r="F261" s="69" t="s">
        <v>88</v>
      </c>
      <c r="G261" s="69" t="s">
        <v>177</v>
      </c>
      <c r="H261" s="0" t="n">
        <v>8</v>
      </c>
      <c r="I261" s="70" t="n">
        <v>441</v>
      </c>
      <c r="J261" s="70" t="n">
        <v>272.25</v>
      </c>
      <c r="K261" s="70" t="n">
        <f aca="false">IF(ISTEXT(H261),VALUE(H261),H261)*I261</f>
        <v>3528</v>
      </c>
    </row>
    <row r="262" customFormat="false" ht="15" hidden="false" customHeight="false" outlineLevel="0" collapsed="false">
      <c r="A262" s="0" t="n">
        <v>2341</v>
      </c>
      <c r="B262" s="68" t="n">
        <v>46017</v>
      </c>
      <c r="C262" s="69" t="s">
        <v>152</v>
      </c>
      <c r="D262" s="69" t="s">
        <v>109</v>
      </c>
      <c r="E262" s="69" t="s">
        <v>121</v>
      </c>
      <c r="F262" s="69" t="s">
        <v>88</v>
      </c>
      <c r="G262" s="69" t="s">
        <v>154</v>
      </c>
      <c r="H262" s="0" t="n">
        <v>14</v>
      </c>
      <c r="I262" s="70" t="n">
        <v>1204.74</v>
      </c>
      <c r="J262" s="70" t="n">
        <v>766.32</v>
      </c>
      <c r="K262" s="70" t="n">
        <f aca="false">IF(ISTEXT(H262),VALUE(H262),H262)*I262</f>
        <v>16866.36</v>
      </c>
    </row>
    <row r="263" customFormat="false" ht="15" hidden="false" customHeight="false" outlineLevel="0" collapsed="false">
      <c r="A263" s="0" t="n">
        <v>980</v>
      </c>
      <c r="B263" s="69" t="s">
        <v>278</v>
      </c>
      <c r="C263" s="69" t="s">
        <v>184</v>
      </c>
      <c r="D263" s="69" t="s">
        <v>137</v>
      </c>
      <c r="E263" s="69" t="s">
        <v>98</v>
      </c>
      <c r="F263" s="69" t="s">
        <v>33</v>
      </c>
      <c r="G263" s="69" t="s">
        <v>217</v>
      </c>
      <c r="H263" s="0" t="n">
        <v>8</v>
      </c>
      <c r="I263" s="70" t="n">
        <v>34.3</v>
      </c>
      <c r="J263" s="70" t="n">
        <v>17.85</v>
      </c>
      <c r="K263" s="70" t="n">
        <f aca="false">IF(ISTEXT(H263),VALUE(H263),H263)*I263</f>
        <v>274.4</v>
      </c>
    </row>
    <row r="264" customFormat="false" ht="15" hidden="false" customHeight="false" outlineLevel="0" collapsed="false">
      <c r="A264" s="0" t="n">
        <v>733</v>
      </c>
      <c r="B264" s="68" t="n">
        <v>45506</v>
      </c>
      <c r="C264" s="69" t="s">
        <v>91</v>
      </c>
      <c r="D264" s="69" t="s">
        <v>86</v>
      </c>
      <c r="E264" s="69" t="s">
        <v>110</v>
      </c>
      <c r="F264" s="69" t="s">
        <v>115</v>
      </c>
      <c r="G264" s="69" t="s">
        <v>156</v>
      </c>
      <c r="H264" s="0" t="n">
        <v>22</v>
      </c>
      <c r="I264" s="70" t="n">
        <v>117.6</v>
      </c>
      <c r="J264" s="70" t="n">
        <v>63.6</v>
      </c>
      <c r="K264" s="70" t="n">
        <f aca="false">IF(ISTEXT(H264),VALUE(H264),H264)*I264</f>
        <v>2587.2</v>
      </c>
    </row>
    <row r="265" customFormat="false" ht="15" hidden="false" customHeight="false" outlineLevel="0" collapsed="false">
      <c r="A265" s="0" t="n">
        <v>1514</v>
      </c>
      <c r="B265" s="68" t="n">
        <v>45762</v>
      </c>
      <c r="C265" s="69" t="s">
        <v>25</v>
      </c>
      <c r="D265" s="69" t="s">
        <v>97</v>
      </c>
      <c r="E265" s="69" t="s">
        <v>180</v>
      </c>
      <c r="F265" s="69" t="s">
        <v>162</v>
      </c>
      <c r="G265" s="69" t="s">
        <v>171</v>
      </c>
      <c r="H265" s="0" t="n">
        <v>26</v>
      </c>
      <c r="I265" s="70" t="n">
        <v>119.23</v>
      </c>
      <c r="J265" s="70" t="n">
        <v>65.51</v>
      </c>
      <c r="K265" s="70" t="n">
        <f aca="false">IF(ISTEXT(H265),VALUE(H265),H265)*I265</f>
        <v>3099.98</v>
      </c>
    </row>
    <row r="266" customFormat="false" ht="15" hidden="false" customHeight="false" outlineLevel="0" collapsed="false">
      <c r="A266" s="0" t="n">
        <v>937</v>
      </c>
      <c r="B266" s="68" t="n">
        <v>45591</v>
      </c>
      <c r="C266" s="69" t="s">
        <v>91</v>
      </c>
      <c r="D266" s="69" t="s">
        <v>86</v>
      </c>
      <c r="E266" s="69" t="s">
        <v>121</v>
      </c>
      <c r="F266" s="69" t="s">
        <v>168</v>
      </c>
      <c r="G266" s="69" t="s">
        <v>130</v>
      </c>
      <c r="H266" s="0" t="n">
        <v>37</v>
      </c>
      <c r="I266" s="70" t="n">
        <v>127.4</v>
      </c>
      <c r="J266" s="70" t="n">
        <v>76.05</v>
      </c>
      <c r="K266" s="70" t="n">
        <f aca="false">IF(ISTEXT(H266),VALUE(H266),H266)*I266</f>
        <v>4713.8</v>
      </c>
    </row>
    <row r="267" customFormat="false" ht="15" hidden="false" customHeight="false" outlineLevel="0" collapsed="false">
      <c r="A267" s="0" t="n">
        <v>1603</v>
      </c>
      <c r="B267" s="68" t="n">
        <v>45794</v>
      </c>
      <c r="C267" s="69" t="s">
        <v>25</v>
      </c>
      <c r="D267" s="69" t="s">
        <v>97</v>
      </c>
      <c r="E267" s="69" t="s">
        <v>110</v>
      </c>
      <c r="F267" s="69" t="s">
        <v>139</v>
      </c>
      <c r="G267" s="69" t="s">
        <v>43</v>
      </c>
      <c r="H267" s="0" t="n">
        <v>20</v>
      </c>
      <c r="I267" s="70" t="n">
        <v>433.15</v>
      </c>
      <c r="J267" s="70" t="n">
        <v>280.42</v>
      </c>
      <c r="K267" s="70" t="n">
        <f aca="false">IF(ISTEXT(H267),VALUE(H267),H267)*I267</f>
        <v>8663</v>
      </c>
    </row>
    <row r="268" customFormat="false" ht="15" hidden="false" customHeight="false" outlineLevel="0" collapsed="false">
      <c r="A268" s="0" t="n">
        <v>1943</v>
      </c>
      <c r="B268" s="69" t="s">
        <v>279</v>
      </c>
      <c r="C268" s="69" t="s">
        <v>30</v>
      </c>
      <c r="D268" s="69" t="s">
        <v>109</v>
      </c>
      <c r="E268" s="69" t="s">
        <v>92</v>
      </c>
      <c r="F268" s="69" t="s">
        <v>88</v>
      </c>
      <c r="G268" s="69" t="s">
        <v>43</v>
      </c>
      <c r="H268" s="0" t="n">
        <v>9</v>
      </c>
      <c r="I268" s="70" t="n">
        <v>451.78</v>
      </c>
      <c r="J268" s="70" t="n">
        <v>280.42</v>
      </c>
      <c r="K268" s="70" t="n">
        <f aca="false">IF(ISTEXT(H268),VALUE(H268),H268)*I268</f>
        <v>4066.02</v>
      </c>
    </row>
    <row r="269" customFormat="false" ht="15" hidden="false" customHeight="false" outlineLevel="0" collapsed="false">
      <c r="A269" s="0" t="n">
        <v>685</v>
      </c>
      <c r="B269" s="68" t="n">
        <v>45490</v>
      </c>
      <c r="C269" s="69" t="s">
        <v>142</v>
      </c>
      <c r="D269" s="69" t="s">
        <v>112</v>
      </c>
      <c r="E269" s="69" t="s">
        <v>134</v>
      </c>
      <c r="F269" s="69" t="s">
        <v>153</v>
      </c>
      <c r="G269" s="69" t="s">
        <v>141</v>
      </c>
      <c r="H269" s="0" t="n">
        <v>7</v>
      </c>
      <c r="I269" s="70" t="n">
        <v>1617</v>
      </c>
      <c r="J269" s="70" t="n">
        <v>1122</v>
      </c>
      <c r="K269" s="70" t="n">
        <f aca="false">IF(ISTEXT(H269),VALUE(H269),H269)*I269</f>
        <v>11319</v>
      </c>
    </row>
    <row r="270" customFormat="false" ht="15" hidden="false" customHeight="false" outlineLevel="0" collapsed="false">
      <c r="A270" s="0" t="n">
        <v>1034</v>
      </c>
      <c r="B270" s="69" t="s">
        <v>280</v>
      </c>
      <c r="C270" s="69" t="s">
        <v>91</v>
      </c>
      <c r="D270" s="69" t="s">
        <v>86</v>
      </c>
      <c r="E270" s="69" t="s">
        <v>98</v>
      </c>
      <c r="F270" s="69" t="s">
        <v>166</v>
      </c>
      <c r="G270" s="69" t="s">
        <v>171</v>
      </c>
      <c r="H270" s="0" t="n">
        <v>13</v>
      </c>
      <c r="I270" s="70" t="n">
        <v>117.6</v>
      </c>
      <c r="J270" s="70" t="n">
        <v>63.6</v>
      </c>
      <c r="K270" s="70" t="n">
        <f aca="false">IF(ISTEXT(H270),VALUE(H270),H270)*I270</f>
        <v>1528.8</v>
      </c>
    </row>
    <row r="271" customFormat="false" ht="15" hidden="false" customHeight="false" outlineLevel="0" collapsed="false">
      <c r="A271" s="0" t="n">
        <v>874</v>
      </c>
      <c r="B271" s="69" t="s">
        <v>281</v>
      </c>
      <c r="C271" s="69" t="s">
        <v>32</v>
      </c>
      <c r="D271" s="69" t="s">
        <v>137</v>
      </c>
      <c r="E271" s="69" t="s">
        <v>98</v>
      </c>
      <c r="F271" s="69" t="s">
        <v>166</v>
      </c>
      <c r="G271" s="69" t="s">
        <v>171</v>
      </c>
      <c r="H271" s="0" t="n">
        <v>6</v>
      </c>
      <c r="I271" s="70" t="n">
        <v>117.6</v>
      </c>
      <c r="J271" s="70" t="n">
        <v>63.6</v>
      </c>
      <c r="K271" s="70" t="n">
        <f aca="false">IF(ISTEXT(H271),VALUE(H271),H271)*I271</f>
        <v>705.6</v>
      </c>
    </row>
    <row r="272" customFormat="false" ht="15" hidden="false" customHeight="false" outlineLevel="0" collapsed="false">
      <c r="A272" s="0" t="n">
        <v>421</v>
      </c>
      <c r="B272" s="68" t="n">
        <v>45417</v>
      </c>
      <c r="C272" s="69" t="s">
        <v>27</v>
      </c>
      <c r="D272" s="69" t="s">
        <v>86</v>
      </c>
      <c r="E272" s="69" t="s">
        <v>121</v>
      </c>
      <c r="F272" s="69" t="s">
        <v>88</v>
      </c>
      <c r="G272" s="69" t="s">
        <v>151</v>
      </c>
      <c r="H272" s="0" t="n">
        <v>14</v>
      </c>
      <c r="I272" s="70" t="n">
        <v>1176</v>
      </c>
      <c r="J272" s="70" t="n">
        <v>744</v>
      </c>
      <c r="K272" s="70" t="n">
        <f aca="false">IF(ISTEXT(H272),VALUE(H272),H272)*I272</f>
        <v>16464</v>
      </c>
    </row>
    <row r="273" customFormat="false" ht="15" hidden="false" customHeight="false" outlineLevel="0" collapsed="false">
      <c r="A273" s="0" t="n">
        <v>1540</v>
      </c>
      <c r="B273" s="69" t="s">
        <v>282</v>
      </c>
      <c r="C273" s="69" t="s">
        <v>120</v>
      </c>
      <c r="D273" s="69" t="s">
        <v>86</v>
      </c>
      <c r="E273" s="69" t="s">
        <v>107</v>
      </c>
      <c r="F273" s="69" t="s">
        <v>33</v>
      </c>
      <c r="G273" s="69" t="s">
        <v>53</v>
      </c>
      <c r="H273" s="0" t="s">
        <v>221</v>
      </c>
      <c r="I273" s="70" t="n">
        <v>34.78</v>
      </c>
      <c r="J273" s="70" t="n">
        <v>18.39</v>
      </c>
      <c r="K273" s="70" t="n">
        <f aca="false">IF(ISTEXT(H273),VALUE(H273),H273)*I273</f>
        <v>799.94</v>
      </c>
    </row>
    <row r="274" customFormat="false" ht="15" hidden="false" customHeight="false" outlineLevel="0" collapsed="false">
      <c r="A274" s="0" t="n">
        <v>1820</v>
      </c>
      <c r="B274" s="69" t="s">
        <v>283</v>
      </c>
      <c r="C274" s="69" t="s">
        <v>170</v>
      </c>
      <c r="D274" s="69" t="s">
        <v>97</v>
      </c>
      <c r="E274" s="69" t="s">
        <v>98</v>
      </c>
      <c r="F274" s="69" t="s">
        <v>183</v>
      </c>
      <c r="G274" s="69" t="s">
        <v>217</v>
      </c>
      <c r="H274" s="0" t="n">
        <v>46</v>
      </c>
      <c r="I274" s="70" t="n">
        <v>35.14</v>
      </c>
      <c r="J274" s="70" t="n">
        <v>18.39</v>
      </c>
      <c r="K274" s="70" t="n">
        <f aca="false">IF(ISTEXT(H274),VALUE(H274),H274)*I274</f>
        <v>1616.44</v>
      </c>
    </row>
    <row r="275" customFormat="false" ht="15" hidden="false" customHeight="false" outlineLevel="0" collapsed="false">
      <c r="A275" s="0" t="n">
        <v>775</v>
      </c>
      <c r="B275" s="68" t="n">
        <v>45530</v>
      </c>
      <c r="C275" s="69" t="s">
        <v>184</v>
      </c>
      <c r="D275" s="69" t="s">
        <v>137</v>
      </c>
      <c r="E275" s="69" t="s">
        <v>121</v>
      </c>
      <c r="F275" s="69" t="s">
        <v>31</v>
      </c>
      <c r="G275" s="69" t="s">
        <v>111</v>
      </c>
      <c r="H275" s="0" t="n">
        <v>12</v>
      </c>
      <c r="I275" s="70" t="n">
        <v>83.3</v>
      </c>
      <c r="J275" s="70" t="n">
        <v>48.03</v>
      </c>
      <c r="K275" s="70" t="n">
        <f aca="false">IF(ISTEXT(H275),VALUE(H275),H275)*I275</f>
        <v>999.6</v>
      </c>
    </row>
    <row r="276" customFormat="false" ht="15" hidden="false" customHeight="false" outlineLevel="0" collapsed="false">
      <c r="A276" s="0" t="n">
        <v>1226</v>
      </c>
      <c r="B276" s="68" t="n">
        <v>45681</v>
      </c>
      <c r="C276" s="69" t="s">
        <v>91</v>
      </c>
      <c r="D276" s="69" t="s">
        <v>86</v>
      </c>
      <c r="E276" s="69" t="s">
        <v>180</v>
      </c>
      <c r="F276" s="69" t="s">
        <v>139</v>
      </c>
      <c r="G276" s="69" t="s">
        <v>157</v>
      </c>
      <c r="H276" s="0" t="n">
        <v>8</v>
      </c>
      <c r="I276" s="70" t="n">
        <v>1588.21</v>
      </c>
      <c r="J276" s="70" t="n">
        <v>1155.66</v>
      </c>
      <c r="K276" s="70" t="n">
        <f aca="false">IF(ISTEXT(H276),VALUE(H276),H276)*I276</f>
        <v>12705.68</v>
      </c>
    </row>
    <row r="277" customFormat="false" ht="15" hidden="false" customHeight="false" outlineLevel="0" collapsed="false">
      <c r="A277" s="0" t="n">
        <v>72</v>
      </c>
      <c r="B277" s="68" t="n">
        <v>45310</v>
      </c>
      <c r="C277" s="69" t="s">
        <v>193</v>
      </c>
      <c r="D277" s="69" t="s">
        <v>137</v>
      </c>
      <c r="E277" s="69" t="s">
        <v>125</v>
      </c>
      <c r="F277" s="69" t="s">
        <v>28</v>
      </c>
      <c r="G277" s="69" t="s">
        <v>49</v>
      </c>
      <c r="H277" s="0" t="n">
        <v>12</v>
      </c>
      <c r="I277" s="70" t="n">
        <v>63.7</v>
      </c>
      <c r="J277" s="70" t="n">
        <v>35.43</v>
      </c>
      <c r="K277" s="70" t="n">
        <f aca="false">IF(ISTEXT(H277),VALUE(H277),H277)*I277</f>
        <v>764.4</v>
      </c>
    </row>
    <row r="278" customFormat="false" ht="15" hidden="false" customHeight="false" outlineLevel="0" collapsed="false">
      <c r="A278" s="0" t="n">
        <v>2188</v>
      </c>
      <c r="B278" s="68" t="n">
        <v>45938</v>
      </c>
      <c r="C278" s="69" t="s">
        <v>133</v>
      </c>
      <c r="D278" s="69" t="s">
        <v>112</v>
      </c>
      <c r="E278" s="69" t="s">
        <v>125</v>
      </c>
      <c r="F278" s="69" t="s">
        <v>99</v>
      </c>
      <c r="G278" s="69" t="s">
        <v>47</v>
      </c>
      <c r="H278" s="0" t="s">
        <v>284</v>
      </c>
      <c r="I278" s="70" t="n">
        <v>28.11</v>
      </c>
      <c r="J278" s="70" t="n">
        <v>13.84</v>
      </c>
      <c r="K278" s="70" t="n">
        <f aca="false">IF(ISTEXT(H278),VALUE(H278),H278)*I278</f>
        <v>534.09</v>
      </c>
    </row>
    <row r="279" customFormat="false" ht="15" hidden="false" customHeight="false" outlineLevel="0" collapsed="false">
      <c r="A279" s="0" t="n">
        <v>717</v>
      </c>
      <c r="B279" s="68" t="n">
        <v>45529</v>
      </c>
      <c r="C279" s="69" t="s">
        <v>96</v>
      </c>
      <c r="D279" s="69" t="s">
        <v>97</v>
      </c>
      <c r="E279" s="69" t="s">
        <v>138</v>
      </c>
      <c r="F279" s="69" t="s">
        <v>183</v>
      </c>
      <c r="G279" s="69" t="s">
        <v>52</v>
      </c>
      <c r="H279" s="0" t="n">
        <v>50</v>
      </c>
      <c r="I279" s="70" t="n">
        <v>127.4</v>
      </c>
      <c r="J279" s="70" t="n">
        <v>76.05</v>
      </c>
      <c r="K279" s="70" t="n">
        <f aca="false">IF(ISTEXT(H279),VALUE(H279),H279)*I279</f>
        <v>6370</v>
      </c>
    </row>
    <row r="280" customFormat="false" ht="15" hidden="false" customHeight="false" outlineLevel="0" collapsed="false">
      <c r="A280" s="0" t="n">
        <v>1786</v>
      </c>
      <c r="B280" s="68" t="n">
        <v>45810</v>
      </c>
      <c r="C280" s="69" t="s">
        <v>133</v>
      </c>
      <c r="D280" s="69" t="s">
        <v>112</v>
      </c>
      <c r="E280" s="69" t="s">
        <v>98</v>
      </c>
      <c r="F280" s="69" t="s">
        <v>139</v>
      </c>
      <c r="G280" s="69" t="s">
        <v>45</v>
      </c>
      <c r="H280" s="0" t="n">
        <v>5</v>
      </c>
      <c r="I280" s="70" t="n">
        <v>1588.21</v>
      </c>
      <c r="J280" s="70" t="n">
        <v>1155.66</v>
      </c>
      <c r="K280" s="70" t="n">
        <f aca="false">IF(ISTEXT(H280),VALUE(H280),H280)*I280</f>
        <v>7941.05</v>
      </c>
    </row>
    <row r="281" customFormat="false" ht="15" hidden="false" customHeight="false" outlineLevel="0" collapsed="false">
      <c r="A281" s="0" t="n">
        <v>1139</v>
      </c>
      <c r="B281" s="68" t="n">
        <v>45635</v>
      </c>
      <c r="C281" s="69" t="s">
        <v>159</v>
      </c>
      <c r="D281" s="69" t="s">
        <v>86</v>
      </c>
      <c r="E281" s="69" t="s">
        <v>101</v>
      </c>
      <c r="F281" s="69" t="s">
        <v>33</v>
      </c>
      <c r="G281" s="69" t="s">
        <v>53</v>
      </c>
      <c r="H281" s="0" t="n">
        <v>42</v>
      </c>
      <c r="I281" s="70" t="n">
        <v>34.3</v>
      </c>
      <c r="J281" s="70" t="n">
        <v>17.85</v>
      </c>
      <c r="K281" s="70" t="n">
        <f aca="false">IF(ISTEXT(H281),VALUE(H281),H281)*I281</f>
        <v>1440.6</v>
      </c>
    </row>
    <row r="282" customFormat="false" ht="15" hidden="false" customHeight="false" outlineLevel="0" collapsed="false">
      <c r="A282" s="0" t="n">
        <v>2366</v>
      </c>
      <c r="B282" s="68" t="n">
        <v>46003</v>
      </c>
      <c r="C282" s="69" t="s">
        <v>193</v>
      </c>
      <c r="D282" s="69" t="s">
        <v>137</v>
      </c>
      <c r="E282" s="69" t="s">
        <v>119</v>
      </c>
      <c r="F282" s="69" t="s">
        <v>88</v>
      </c>
      <c r="G282" s="69" t="s">
        <v>45</v>
      </c>
      <c r="H282" s="0" t="s">
        <v>229</v>
      </c>
      <c r="I282" s="70" t="n">
        <v>1656.52</v>
      </c>
      <c r="J282" s="70" t="n">
        <v>1155.66</v>
      </c>
      <c r="K282" s="70" t="n">
        <f aca="false">IF(ISTEXT(H282),VALUE(H282),H282)*I282</f>
        <v>11595.64</v>
      </c>
    </row>
    <row r="283" customFormat="false" ht="15" hidden="false" customHeight="false" outlineLevel="0" collapsed="false">
      <c r="A283" s="0" t="n">
        <v>214</v>
      </c>
      <c r="B283" s="69" t="s">
        <v>285</v>
      </c>
      <c r="C283" s="69" t="s">
        <v>124</v>
      </c>
      <c r="D283" s="69" t="s">
        <v>97</v>
      </c>
      <c r="E283" s="69" t="s">
        <v>87</v>
      </c>
      <c r="F283" s="69" t="s">
        <v>115</v>
      </c>
      <c r="G283" s="69" t="s">
        <v>171</v>
      </c>
      <c r="H283" s="0" t="n">
        <v>14</v>
      </c>
      <c r="I283" s="70" t="n">
        <v>117.6</v>
      </c>
      <c r="J283" s="70" t="n">
        <v>63.6</v>
      </c>
      <c r="K283" s="70" t="n">
        <f aca="false">IF(ISTEXT(H283),VALUE(H283),H283)*I283</f>
        <v>1646.4</v>
      </c>
    </row>
    <row r="284" customFormat="false" ht="15" hidden="false" customHeight="false" outlineLevel="0" collapsed="false">
      <c r="A284" s="0" t="n">
        <v>753</v>
      </c>
      <c r="B284" s="68" t="n">
        <v>45511</v>
      </c>
      <c r="C284" s="69" t="s">
        <v>152</v>
      </c>
      <c r="D284" s="69" t="s">
        <v>109</v>
      </c>
      <c r="E284" s="69" t="s">
        <v>92</v>
      </c>
      <c r="F284" s="69" t="s">
        <v>115</v>
      </c>
      <c r="G284" s="69" t="s">
        <v>50</v>
      </c>
      <c r="H284" s="0" t="n">
        <v>21</v>
      </c>
      <c r="I284" s="70" t="n">
        <v>117.6</v>
      </c>
      <c r="J284" s="70" t="n">
        <v>63.6</v>
      </c>
      <c r="K284" s="70" t="n">
        <f aca="false">IF(ISTEXT(H284),VALUE(H284),H284)*I284</f>
        <v>2469.6</v>
      </c>
    </row>
    <row r="285" customFormat="false" ht="15" hidden="false" customHeight="false" outlineLevel="0" collapsed="false">
      <c r="A285" s="0" t="n">
        <v>2274</v>
      </c>
      <c r="B285" s="69" t="s">
        <v>286</v>
      </c>
      <c r="C285" s="69" t="s">
        <v>184</v>
      </c>
      <c r="D285" s="69" t="s">
        <v>137</v>
      </c>
      <c r="E285" s="69" t="s">
        <v>107</v>
      </c>
      <c r="F285" s="69" t="s">
        <v>162</v>
      </c>
      <c r="G285" s="69" t="s">
        <v>171</v>
      </c>
      <c r="H285" s="0" t="n">
        <v>13</v>
      </c>
      <c r="I285" s="70" t="n">
        <v>120.47</v>
      </c>
      <c r="J285" s="70" t="n">
        <v>65.51</v>
      </c>
      <c r="K285" s="70" t="n">
        <f aca="false">IF(ISTEXT(H285),VALUE(H285),H285)*I285</f>
        <v>1566.11</v>
      </c>
    </row>
    <row r="286" customFormat="false" ht="15" hidden="false" customHeight="false" outlineLevel="0" collapsed="false">
      <c r="A286" s="0" t="n">
        <v>2258</v>
      </c>
      <c r="B286" s="68" t="n">
        <v>45973</v>
      </c>
      <c r="C286" s="69" t="s">
        <v>30</v>
      </c>
      <c r="D286" s="69" t="s">
        <v>109</v>
      </c>
      <c r="E286" s="69" t="s">
        <v>98</v>
      </c>
      <c r="F286" s="69" t="s">
        <v>182</v>
      </c>
      <c r="G286" s="69" t="s">
        <v>127</v>
      </c>
      <c r="H286" s="0" t="n">
        <v>18</v>
      </c>
      <c r="I286" s="70" t="n">
        <v>130.51</v>
      </c>
      <c r="J286" s="70" t="n">
        <v>78.33</v>
      </c>
      <c r="K286" s="70" t="n">
        <f aca="false">IF(ISTEXT(H286),VALUE(H286),H286)*I286</f>
        <v>2349.18</v>
      </c>
    </row>
    <row r="287" customFormat="false" ht="15" hidden="false" customHeight="false" outlineLevel="0" collapsed="false">
      <c r="A287" s="0" t="n">
        <v>2309</v>
      </c>
      <c r="B287" s="69" t="s">
        <v>287</v>
      </c>
      <c r="C287" s="69" t="s">
        <v>124</v>
      </c>
      <c r="D287" s="69" t="s">
        <v>97</v>
      </c>
      <c r="E287" s="69" t="s">
        <v>138</v>
      </c>
      <c r="F287" s="69" t="s">
        <v>143</v>
      </c>
      <c r="G287" s="69" t="s">
        <v>48</v>
      </c>
      <c r="H287" s="0" t="n">
        <v>136</v>
      </c>
      <c r="I287" s="70" t="n">
        <v>95.38</v>
      </c>
      <c r="J287" s="70" t="n">
        <v>49.41</v>
      </c>
      <c r="K287" s="70" t="n">
        <f aca="false">IF(ISTEXT(H287),VALUE(H287),H287)*I287</f>
        <v>12971.68</v>
      </c>
    </row>
    <row r="288" customFormat="false" ht="15" hidden="false" customHeight="false" outlineLevel="0" collapsed="false">
      <c r="A288" s="0" t="n">
        <v>1798</v>
      </c>
      <c r="B288" s="68" t="n">
        <v>45813</v>
      </c>
      <c r="C288" s="69" t="s">
        <v>161</v>
      </c>
      <c r="D288" s="69" t="s">
        <v>112</v>
      </c>
      <c r="E288" s="69" t="s">
        <v>119</v>
      </c>
      <c r="F288" s="69" t="s">
        <v>33</v>
      </c>
      <c r="G288" s="69" t="s">
        <v>127</v>
      </c>
      <c r="H288" s="0" t="n">
        <v>12</v>
      </c>
      <c r="I288" s="70" t="n">
        <v>129.17</v>
      </c>
      <c r="J288" s="70" t="n">
        <v>78.33</v>
      </c>
      <c r="K288" s="70" t="n">
        <f aca="false">IF(ISTEXT(H288),VALUE(H288),H288)*I288</f>
        <v>1550.04</v>
      </c>
    </row>
    <row r="289" customFormat="false" ht="15" hidden="false" customHeight="false" outlineLevel="0" collapsed="false">
      <c r="A289" s="0" t="n">
        <v>1879</v>
      </c>
      <c r="B289" s="69" t="s">
        <v>288</v>
      </c>
      <c r="C289" s="69" t="s">
        <v>193</v>
      </c>
      <c r="D289" s="69" t="s">
        <v>137</v>
      </c>
      <c r="E289" s="69" t="s">
        <v>92</v>
      </c>
      <c r="F289" s="69" t="s">
        <v>182</v>
      </c>
      <c r="G289" s="69" t="s">
        <v>53</v>
      </c>
      <c r="H289" s="0" t="n">
        <v>20</v>
      </c>
      <c r="I289" s="70" t="n">
        <v>35.14</v>
      </c>
      <c r="J289" s="70" t="n">
        <v>18.39</v>
      </c>
      <c r="K289" s="70" t="n">
        <f aca="false">IF(ISTEXT(H289),VALUE(H289),H289)*I289</f>
        <v>702.8</v>
      </c>
    </row>
    <row r="290" customFormat="false" ht="15" hidden="false" customHeight="false" outlineLevel="0" collapsed="false">
      <c r="A290" s="0" t="n">
        <v>765</v>
      </c>
      <c r="B290" s="68" t="n">
        <v>45514</v>
      </c>
      <c r="C290" s="69" t="s">
        <v>136</v>
      </c>
      <c r="D290" s="69"/>
      <c r="E290" s="69" t="s">
        <v>101</v>
      </c>
      <c r="F290" s="69" t="s">
        <v>147</v>
      </c>
      <c r="G290" s="69" t="s">
        <v>45</v>
      </c>
      <c r="H290" s="0" t="s">
        <v>229</v>
      </c>
      <c r="I290" s="70" t="n">
        <v>1617</v>
      </c>
      <c r="J290" s="70" t="n">
        <v>1122</v>
      </c>
      <c r="K290" s="70" t="n">
        <f aca="false">IF(ISTEXT(H290),VALUE(H290),H290)*I290</f>
        <v>11319</v>
      </c>
    </row>
    <row r="291" customFormat="false" ht="15" hidden="false" customHeight="false" outlineLevel="0" collapsed="false">
      <c r="A291" s="0" t="n">
        <v>368</v>
      </c>
      <c r="B291" s="69" t="s">
        <v>289</v>
      </c>
      <c r="C291" s="69" t="s">
        <v>32</v>
      </c>
      <c r="D291" s="69" t="s">
        <v>137</v>
      </c>
      <c r="E291" s="69" t="s">
        <v>87</v>
      </c>
      <c r="F291" s="69" t="s">
        <v>155</v>
      </c>
      <c r="G291" s="69" t="s">
        <v>113</v>
      </c>
      <c r="H291" s="0" t="n">
        <v>11</v>
      </c>
      <c r="I291" s="70" t="n">
        <v>27.44</v>
      </c>
      <c r="J291" s="70" t="n">
        <v>13.44</v>
      </c>
      <c r="K291" s="70" t="n">
        <f aca="false">IF(ISTEXT(H291),VALUE(H291),H291)*I291</f>
        <v>301.84</v>
      </c>
    </row>
    <row r="292" customFormat="false" ht="15" hidden="false" customHeight="false" outlineLevel="0" collapsed="false">
      <c r="A292" s="0" t="n">
        <v>38</v>
      </c>
      <c r="B292" s="69" t="s">
        <v>290</v>
      </c>
      <c r="C292" s="69" t="s">
        <v>159</v>
      </c>
      <c r="D292" s="69" t="s">
        <v>86</v>
      </c>
      <c r="E292" s="69" t="s">
        <v>107</v>
      </c>
      <c r="F292" s="69" t="s">
        <v>183</v>
      </c>
      <c r="G292" s="69" t="s">
        <v>130</v>
      </c>
      <c r="H292" s="0" t="n">
        <v>12</v>
      </c>
      <c r="I292" s="70" t="n">
        <v>127.4</v>
      </c>
      <c r="J292" s="70" t="n">
        <v>76.05</v>
      </c>
      <c r="K292" s="70" t="n">
        <f aca="false">IF(ISTEXT(H292),VALUE(H292),H292)*I292</f>
        <v>1528.8</v>
      </c>
    </row>
    <row r="293" customFormat="false" ht="15" hidden="false" customHeight="false" outlineLevel="0" collapsed="false">
      <c r="A293" s="0" t="n">
        <v>234</v>
      </c>
      <c r="B293" s="68" t="n">
        <v>45370</v>
      </c>
      <c r="C293" s="69" t="s">
        <v>27</v>
      </c>
      <c r="D293" s="69" t="s">
        <v>86</v>
      </c>
      <c r="E293" s="69" t="s">
        <v>180</v>
      </c>
      <c r="F293" s="69" t="s">
        <v>115</v>
      </c>
      <c r="G293" s="69" t="s">
        <v>156</v>
      </c>
      <c r="H293" s="0" t="n">
        <v>9</v>
      </c>
      <c r="I293" s="70" t="n">
        <v>117.6</v>
      </c>
      <c r="J293" s="70" t="n">
        <v>63.6</v>
      </c>
      <c r="K293" s="70" t="n">
        <f aca="false">IF(ISTEXT(H293),VALUE(H293),H293)*I293</f>
        <v>1058.4</v>
      </c>
    </row>
    <row r="294" customFormat="false" ht="15" hidden="false" customHeight="false" outlineLevel="0" collapsed="false">
      <c r="A294" s="0" t="n">
        <v>1384</v>
      </c>
      <c r="B294" s="68" t="n">
        <v>45711</v>
      </c>
      <c r="C294" s="69" t="s">
        <v>142</v>
      </c>
      <c r="D294" s="69" t="s">
        <v>112</v>
      </c>
      <c r="E294" s="69" t="s">
        <v>119</v>
      </c>
      <c r="F294" s="69" t="s">
        <v>88</v>
      </c>
      <c r="G294" s="69" t="s">
        <v>43</v>
      </c>
      <c r="H294" s="0" t="n">
        <v>4</v>
      </c>
      <c r="I294" s="70" t="n">
        <v>433.15</v>
      </c>
      <c r="J294" s="70" t="n">
        <v>280.42</v>
      </c>
      <c r="K294" s="70" t="n">
        <f aca="false">IF(ISTEXT(H294),VALUE(H294),H294)*I294</f>
        <v>1732.6</v>
      </c>
    </row>
    <row r="295" customFormat="false" ht="15" hidden="false" customHeight="false" outlineLevel="0" collapsed="false">
      <c r="A295" s="0" t="n">
        <v>298</v>
      </c>
      <c r="B295" s="68" t="n">
        <v>45359</v>
      </c>
      <c r="C295" s="69" t="s">
        <v>142</v>
      </c>
      <c r="D295" s="69" t="s">
        <v>112</v>
      </c>
      <c r="E295" s="69" t="s">
        <v>125</v>
      </c>
      <c r="F295" s="69" t="s">
        <v>183</v>
      </c>
      <c r="G295" s="69" t="s">
        <v>130</v>
      </c>
      <c r="H295" s="0" t="n">
        <v>7</v>
      </c>
      <c r="I295" s="70" t="n">
        <v>127.4</v>
      </c>
      <c r="J295" s="70" t="n">
        <v>76.05</v>
      </c>
      <c r="K295" s="70" t="n">
        <f aca="false">IF(ISTEXT(H295),VALUE(H295),H295)*I295</f>
        <v>891.8</v>
      </c>
    </row>
    <row r="296" customFormat="false" ht="15" hidden="false" customHeight="false" outlineLevel="0" collapsed="false">
      <c r="A296" s="0" t="n">
        <v>628</v>
      </c>
      <c r="B296" s="69" t="s">
        <v>291</v>
      </c>
      <c r="C296" s="69" t="s">
        <v>159</v>
      </c>
      <c r="D296" s="69" t="s">
        <v>86</v>
      </c>
      <c r="E296" s="69" t="s">
        <v>87</v>
      </c>
      <c r="F296" s="69" t="s">
        <v>28</v>
      </c>
      <c r="G296" s="69" t="s">
        <v>47</v>
      </c>
      <c r="H296" s="0" t="s">
        <v>221</v>
      </c>
      <c r="I296" s="70" t="n">
        <v>27.44</v>
      </c>
      <c r="J296" s="70" t="n">
        <v>13.44</v>
      </c>
      <c r="K296" s="70" t="n">
        <f aca="false">IF(ISTEXT(H296),VALUE(H296),H296)*I296</f>
        <v>631.12</v>
      </c>
    </row>
    <row r="297" customFormat="false" ht="15" hidden="false" customHeight="false" outlineLevel="0" collapsed="false">
      <c r="A297" s="0" t="n">
        <v>2261</v>
      </c>
      <c r="B297" s="68" t="n">
        <v>45967</v>
      </c>
      <c r="C297" s="69" t="s">
        <v>193</v>
      </c>
      <c r="D297" s="69" t="s">
        <v>137</v>
      </c>
      <c r="E297" s="69" t="s">
        <v>138</v>
      </c>
      <c r="F297" s="69" t="s">
        <v>135</v>
      </c>
      <c r="G297" s="69" t="s">
        <v>151</v>
      </c>
      <c r="H297" s="0" t="n">
        <v>7</v>
      </c>
      <c r="I297" s="70" t="n">
        <v>1204.74</v>
      </c>
      <c r="J297" s="70" t="n">
        <v>766.32</v>
      </c>
      <c r="K297" s="70" t="n">
        <f aca="false">IF(ISTEXT(H297),VALUE(H297),H297)*I297</f>
        <v>8433.18</v>
      </c>
    </row>
    <row r="298" customFormat="false" ht="15" hidden="false" customHeight="false" outlineLevel="0" collapsed="false">
      <c r="A298" s="0" t="n">
        <v>216</v>
      </c>
      <c r="B298" s="69" t="s">
        <v>292</v>
      </c>
      <c r="C298" s="69" t="s">
        <v>124</v>
      </c>
      <c r="D298" s="69" t="s">
        <v>97</v>
      </c>
      <c r="E298" s="69" t="s">
        <v>98</v>
      </c>
      <c r="F298" s="69" t="s">
        <v>115</v>
      </c>
      <c r="G298" s="69" t="s">
        <v>51</v>
      </c>
      <c r="H298" s="0" t="n">
        <v>14</v>
      </c>
      <c r="I298" s="70" t="n">
        <v>83.3</v>
      </c>
      <c r="J298" s="70" t="n">
        <v>48.03</v>
      </c>
      <c r="K298" s="70" t="n">
        <f aca="false">IF(ISTEXT(H298),VALUE(H298),H298)*I298</f>
        <v>1166.2</v>
      </c>
    </row>
    <row r="299" customFormat="false" ht="15" hidden="false" customHeight="false" outlineLevel="0" collapsed="false">
      <c r="A299" s="0" t="n">
        <v>1168</v>
      </c>
      <c r="B299" s="68" t="n">
        <v>45649</v>
      </c>
      <c r="C299" s="69" t="s">
        <v>184</v>
      </c>
      <c r="D299" s="69" t="s">
        <v>137</v>
      </c>
      <c r="E299" s="69" t="s">
        <v>119</v>
      </c>
      <c r="F299" s="69" t="s">
        <v>102</v>
      </c>
      <c r="G299" s="69" t="s">
        <v>47</v>
      </c>
      <c r="H299" s="0" t="n">
        <v>17</v>
      </c>
      <c r="I299" s="70" t="n">
        <v>27.44</v>
      </c>
      <c r="J299" s="70" t="n">
        <v>13.44</v>
      </c>
      <c r="K299" s="70" t="n">
        <f aca="false">IF(ISTEXT(H299),VALUE(H299),H299)*I299</f>
        <v>466.48</v>
      </c>
    </row>
    <row r="300" customFormat="false" ht="15" hidden="false" customHeight="false" outlineLevel="0" collapsed="false">
      <c r="A300" s="0" t="n">
        <v>341</v>
      </c>
      <c r="B300" s="68" t="n">
        <v>45394</v>
      </c>
      <c r="C300" s="69" t="s">
        <v>118</v>
      </c>
      <c r="D300" s="69" t="s">
        <v>109</v>
      </c>
      <c r="E300" s="69" t="s">
        <v>138</v>
      </c>
      <c r="F300" s="69" t="s">
        <v>26</v>
      </c>
      <c r="G300" s="69" t="s">
        <v>41</v>
      </c>
      <c r="H300" s="0" t="n">
        <v>9</v>
      </c>
      <c r="I300" s="70" t="n">
        <v>1176</v>
      </c>
      <c r="J300" s="70" t="n">
        <v>744</v>
      </c>
      <c r="K300" s="70" t="n">
        <f aca="false">IF(ISTEXT(H300),VALUE(H300),H300)*I300</f>
        <v>10584</v>
      </c>
    </row>
    <row r="301" customFormat="false" ht="15" hidden="false" customHeight="false" outlineLevel="0" collapsed="false">
      <c r="A301" s="0" t="n">
        <v>984</v>
      </c>
      <c r="B301" s="68" t="n">
        <v>45569</v>
      </c>
      <c r="C301" s="69" t="s">
        <v>34</v>
      </c>
      <c r="D301" s="69" t="s">
        <v>112</v>
      </c>
      <c r="E301" s="69" t="s">
        <v>125</v>
      </c>
      <c r="F301" s="69" t="s">
        <v>26</v>
      </c>
      <c r="G301" s="69" t="s">
        <v>177</v>
      </c>
      <c r="H301" s="0" t="n">
        <v>3</v>
      </c>
      <c r="I301" s="70" t="n">
        <v>441</v>
      </c>
      <c r="J301" s="70" t="n">
        <v>272.25</v>
      </c>
      <c r="K301" s="70" t="n">
        <f aca="false">IF(ISTEXT(H301),VALUE(H301),H301)*I301</f>
        <v>1323</v>
      </c>
    </row>
    <row r="302" customFormat="false" ht="15" hidden="false" customHeight="false" outlineLevel="0" collapsed="false">
      <c r="A302" s="0" t="n">
        <v>167</v>
      </c>
      <c r="B302" s="68" t="n">
        <v>45331</v>
      </c>
      <c r="C302" s="69" t="s">
        <v>32</v>
      </c>
      <c r="D302" s="69" t="s">
        <v>137</v>
      </c>
      <c r="E302" s="69" t="s">
        <v>101</v>
      </c>
      <c r="F302" s="69" t="s">
        <v>143</v>
      </c>
      <c r="G302" s="69" t="s">
        <v>47</v>
      </c>
      <c r="H302" s="0" t="n">
        <v>24</v>
      </c>
      <c r="I302" s="70" t="n">
        <v>27.44</v>
      </c>
      <c r="J302" s="70" t="n">
        <v>13.44</v>
      </c>
      <c r="K302" s="70" t="n">
        <f aca="false">IF(ISTEXT(H302),VALUE(H302),H302)*I302</f>
        <v>658.56</v>
      </c>
    </row>
    <row r="303" customFormat="false" ht="15" hidden="false" customHeight="false" outlineLevel="0" collapsed="false">
      <c r="A303" s="0" t="n">
        <v>1542</v>
      </c>
      <c r="B303" s="68" t="n">
        <v>45769</v>
      </c>
      <c r="C303" s="69" t="s">
        <v>30</v>
      </c>
      <c r="D303" s="69" t="s">
        <v>109</v>
      </c>
      <c r="E303" s="69" t="s">
        <v>119</v>
      </c>
      <c r="F303" s="69" t="s">
        <v>147</v>
      </c>
      <c r="G303" s="69" t="s">
        <v>154</v>
      </c>
      <c r="H303" s="0" t="n">
        <v>6</v>
      </c>
      <c r="I303" s="70" t="n">
        <v>1155.06</v>
      </c>
      <c r="J303" s="70" t="n">
        <v>766.32</v>
      </c>
      <c r="K303" s="70" t="n">
        <f aca="false">IF(ISTEXT(H303),VALUE(H303),H303)*I303</f>
        <v>6930.36</v>
      </c>
    </row>
    <row r="304" customFormat="false" ht="15" hidden="false" customHeight="false" outlineLevel="0" collapsed="false">
      <c r="A304" s="0" t="n">
        <v>12</v>
      </c>
      <c r="B304" s="68" t="n">
        <v>45295</v>
      </c>
      <c r="C304" s="69" t="s">
        <v>150</v>
      </c>
      <c r="D304" s="69" t="s">
        <v>97</v>
      </c>
      <c r="E304" s="69" t="s">
        <v>180</v>
      </c>
      <c r="F304" s="69" t="s">
        <v>102</v>
      </c>
      <c r="G304" s="69" t="s">
        <v>49</v>
      </c>
      <c r="H304" s="0" t="n">
        <v>32</v>
      </c>
      <c r="I304" s="70" t="n">
        <v>63.7</v>
      </c>
      <c r="J304" s="70" t="n">
        <v>35.43</v>
      </c>
      <c r="K304" s="70" t="n">
        <f aca="false">IF(ISTEXT(H304),VALUE(H304),H304)*I304</f>
        <v>2038.4</v>
      </c>
    </row>
    <row r="305" customFormat="false" ht="15" hidden="false" customHeight="false" outlineLevel="0" collapsed="false">
      <c r="A305" s="0" t="n">
        <v>1832</v>
      </c>
      <c r="B305" s="68" t="n">
        <v>45865</v>
      </c>
      <c r="C305" s="69" t="s">
        <v>159</v>
      </c>
      <c r="D305" s="69" t="s">
        <v>86</v>
      </c>
      <c r="E305" s="69" t="s">
        <v>98</v>
      </c>
      <c r="F305" s="69" t="s">
        <v>102</v>
      </c>
      <c r="G305" s="69" t="s">
        <v>144</v>
      </c>
      <c r="H305" s="0" t="s">
        <v>293</v>
      </c>
      <c r="I305" s="70" t="n">
        <v>65.26</v>
      </c>
      <c r="J305" s="70" t="n">
        <v>36.49</v>
      </c>
      <c r="K305" s="70" t="n">
        <f aca="false">IF(ISTEXT(H305),VALUE(H305),H305)*I305</f>
        <v>3132.48</v>
      </c>
    </row>
    <row r="306" customFormat="false" ht="15" hidden="false" customHeight="false" outlineLevel="0" collapsed="false">
      <c r="A306" s="0" t="n">
        <v>1116</v>
      </c>
      <c r="B306" s="68" t="n">
        <v>45636</v>
      </c>
      <c r="C306" s="69" t="s">
        <v>170</v>
      </c>
      <c r="D306" s="69" t="s">
        <v>97</v>
      </c>
      <c r="E306" s="69" t="s">
        <v>87</v>
      </c>
      <c r="F306" s="69" t="s">
        <v>166</v>
      </c>
      <c r="G306" s="69" t="s">
        <v>116</v>
      </c>
      <c r="H306" s="0" t="n">
        <v>27</v>
      </c>
      <c r="I306" s="70" t="n">
        <v>83.3</v>
      </c>
      <c r="J306" s="70" t="n">
        <v>48.03</v>
      </c>
      <c r="K306" s="70" t="n">
        <f aca="false">IF(ISTEXT(H306),VALUE(H306),H306)*I306</f>
        <v>2249.1</v>
      </c>
    </row>
    <row r="307" customFormat="false" ht="15" hidden="false" customHeight="false" outlineLevel="0" collapsed="false">
      <c r="A307" s="0" t="n">
        <v>40</v>
      </c>
      <c r="B307" s="68" t="n">
        <v>45302</v>
      </c>
      <c r="C307" s="69" t="s">
        <v>27</v>
      </c>
      <c r="D307" s="69" t="s">
        <v>86</v>
      </c>
      <c r="E307" s="69" t="s">
        <v>98</v>
      </c>
      <c r="F307" s="69" t="s">
        <v>183</v>
      </c>
      <c r="G307" s="69" t="s">
        <v>53</v>
      </c>
      <c r="H307" s="0" t="n">
        <v>11</v>
      </c>
      <c r="I307" s="70" t="n">
        <v>34.3</v>
      </c>
      <c r="J307" s="70" t="n">
        <v>17.85</v>
      </c>
      <c r="K307" s="70" t="n">
        <f aca="false">IF(ISTEXT(H307),VALUE(H307),H307)*I307</f>
        <v>377.3</v>
      </c>
    </row>
    <row r="308" customFormat="false" ht="15" hidden="false" customHeight="false" outlineLevel="0" collapsed="false">
      <c r="A308" s="0" t="n">
        <v>1401</v>
      </c>
      <c r="B308" s="68" t="n">
        <v>45723</v>
      </c>
      <c r="C308" s="69" t="s">
        <v>150</v>
      </c>
      <c r="D308" s="69" t="s">
        <v>97</v>
      </c>
      <c r="E308" s="69" t="s">
        <v>92</v>
      </c>
      <c r="F308" s="69" t="s">
        <v>139</v>
      </c>
      <c r="G308" s="69" t="s">
        <v>41</v>
      </c>
      <c r="H308" s="0" t="n">
        <v>19</v>
      </c>
      <c r="I308" s="70" t="n">
        <v>1155.06</v>
      </c>
      <c r="J308" s="70" t="n">
        <v>766.32</v>
      </c>
      <c r="K308" s="70" t="n">
        <f aca="false">IF(ISTEXT(H308),VALUE(H308),H308)*I308</f>
        <v>21946.14</v>
      </c>
    </row>
    <row r="309" customFormat="false" ht="15" hidden="false" customHeight="false" outlineLevel="0" collapsed="false">
      <c r="A309" s="0" t="n">
        <v>2095</v>
      </c>
      <c r="B309" s="69" t="s">
        <v>294</v>
      </c>
      <c r="C309" s="69" t="s">
        <v>133</v>
      </c>
      <c r="D309" s="69" t="s">
        <v>112</v>
      </c>
      <c r="E309" s="69" t="s">
        <v>138</v>
      </c>
      <c r="F309" s="69" t="s">
        <v>166</v>
      </c>
      <c r="G309" s="69" t="s">
        <v>111</v>
      </c>
      <c r="H309" s="0" t="n">
        <v>12</v>
      </c>
      <c r="I309" s="70" t="n">
        <v>85.34</v>
      </c>
      <c r="J309" s="70" t="n">
        <v>49.47</v>
      </c>
      <c r="K309" s="70" t="n">
        <f aca="false">IF(ISTEXT(H309),VALUE(H309),H309)*I309</f>
        <v>1024.08</v>
      </c>
    </row>
    <row r="310" customFormat="false" ht="15" hidden="false" customHeight="false" outlineLevel="0" collapsed="false">
      <c r="A310" s="0" t="n">
        <v>1445</v>
      </c>
      <c r="B310" s="68" t="n">
        <v>45734</v>
      </c>
      <c r="C310" s="69" t="s">
        <v>30</v>
      </c>
      <c r="D310" s="69" t="s">
        <v>109</v>
      </c>
      <c r="E310" s="69" t="s">
        <v>138</v>
      </c>
      <c r="F310" s="69" t="s">
        <v>139</v>
      </c>
      <c r="G310" s="69" t="s">
        <v>45</v>
      </c>
      <c r="H310" s="0" t="n">
        <v>7</v>
      </c>
      <c r="I310" s="70" t="n">
        <v>1588.21</v>
      </c>
      <c r="J310" s="70" t="n">
        <v>1155.66</v>
      </c>
      <c r="K310" s="70" t="n">
        <f aca="false">IF(ISTEXT(H310),VALUE(H310),H310)*I310</f>
        <v>11117.47</v>
      </c>
    </row>
    <row r="311" customFormat="false" ht="15" hidden="false" customHeight="false" outlineLevel="0" collapsed="false">
      <c r="A311" s="0" t="n">
        <v>1637</v>
      </c>
      <c r="B311" s="69" t="s">
        <v>295</v>
      </c>
      <c r="C311" s="69" t="s">
        <v>120</v>
      </c>
      <c r="D311" s="69"/>
      <c r="E311" s="69" t="s">
        <v>110</v>
      </c>
      <c r="F311" s="69" t="s">
        <v>168</v>
      </c>
      <c r="G311" s="69" t="s">
        <v>52</v>
      </c>
      <c r="H311" s="0" t="n">
        <v>31</v>
      </c>
      <c r="I311" s="70" t="n">
        <v>129.17</v>
      </c>
      <c r="J311" s="70" t="n">
        <v>78.33</v>
      </c>
      <c r="K311" s="70" t="n">
        <f aca="false">IF(ISTEXT(H311),VALUE(H311),H311)*I311</f>
        <v>4004.27</v>
      </c>
    </row>
    <row r="312" customFormat="false" ht="15" hidden="false" customHeight="false" outlineLevel="0" collapsed="false">
      <c r="A312" s="0" t="n">
        <v>2372</v>
      </c>
      <c r="B312" s="68" t="n">
        <v>46018</v>
      </c>
      <c r="C312" s="69" t="s">
        <v>136</v>
      </c>
      <c r="D312" s="69" t="s">
        <v>137</v>
      </c>
      <c r="E312" s="69" t="s">
        <v>98</v>
      </c>
      <c r="F312" s="69" t="s">
        <v>143</v>
      </c>
      <c r="G312" s="69" t="s">
        <v>49</v>
      </c>
      <c r="H312" s="0" t="n">
        <v>27</v>
      </c>
      <c r="I312" s="70" t="n">
        <v>65.26</v>
      </c>
      <c r="J312" s="70" t="n">
        <v>36.49</v>
      </c>
      <c r="K312" s="70" t="n">
        <f aca="false">IF(ISTEXT(H312),VALUE(H312),H312)*I312</f>
        <v>1762.02</v>
      </c>
    </row>
    <row r="313" customFormat="false" ht="15" hidden="false" customHeight="false" outlineLevel="0" collapsed="false">
      <c r="A313" s="0" t="n">
        <v>1207</v>
      </c>
      <c r="B313" s="68" t="n">
        <v>45683</v>
      </c>
      <c r="C313" s="69" t="s">
        <v>25</v>
      </c>
      <c r="D313" s="69" t="s">
        <v>97</v>
      </c>
      <c r="E313" s="69" t="s">
        <v>92</v>
      </c>
      <c r="F313" s="69" t="s">
        <v>102</v>
      </c>
      <c r="G313" s="69" t="s">
        <v>113</v>
      </c>
      <c r="H313" s="0" t="n">
        <v>93</v>
      </c>
      <c r="I313" s="70" t="n">
        <v>27.82</v>
      </c>
      <c r="J313" s="70" t="n">
        <v>13.84</v>
      </c>
      <c r="K313" s="70" t="n">
        <f aca="false">IF(ISTEXT(H313),VALUE(H313),H313)*I313</f>
        <v>2587.26</v>
      </c>
    </row>
    <row r="314" customFormat="false" ht="15" hidden="false" customHeight="false" outlineLevel="0" collapsed="false">
      <c r="A314" s="0" t="n">
        <v>198</v>
      </c>
      <c r="B314" s="68" t="n">
        <v>45332</v>
      </c>
      <c r="C314" s="69" t="s">
        <v>34</v>
      </c>
      <c r="D314" s="69" t="s">
        <v>112</v>
      </c>
      <c r="E314" s="69" t="s">
        <v>125</v>
      </c>
      <c r="F314" s="69" t="s">
        <v>93</v>
      </c>
      <c r="G314" s="69" t="s">
        <v>52</v>
      </c>
      <c r="H314" s="0" t="n">
        <v>7</v>
      </c>
      <c r="I314" s="70" t="n">
        <v>127.4</v>
      </c>
      <c r="J314" s="70" t="n">
        <v>76.05</v>
      </c>
      <c r="K314" s="70" t="n">
        <f aca="false">IF(ISTEXT(H314),VALUE(H314),H314)*I314</f>
        <v>891.8</v>
      </c>
    </row>
    <row r="315" customFormat="false" ht="15" hidden="false" customHeight="false" outlineLevel="0" collapsed="false">
      <c r="A315" s="0" t="n">
        <v>1134</v>
      </c>
      <c r="B315" s="68" t="n">
        <v>45627</v>
      </c>
      <c r="C315" s="69" t="s">
        <v>27</v>
      </c>
      <c r="D315" s="69" t="s">
        <v>86</v>
      </c>
      <c r="E315" s="69" t="s">
        <v>180</v>
      </c>
      <c r="F315" s="69" t="s">
        <v>162</v>
      </c>
      <c r="G315" s="69" t="s">
        <v>171</v>
      </c>
      <c r="H315" s="0" t="n">
        <v>12</v>
      </c>
      <c r="I315" s="70" t="n">
        <v>117.6</v>
      </c>
      <c r="J315" s="70" t="n">
        <v>63.6</v>
      </c>
      <c r="K315" s="70" t="n">
        <f aca="false">IF(ISTEXT(H315),VALUE(H315),H315)*I315</f>
        <v>1411.2</v>
      </c>
    </row>
    <row r="316" customFormat="false" ht="15" hidden="false" customHeight="false" outlineLevel="0" collapsed="false">
      <c r="A316" s="0" t="n">
        <v>1418</v>
      </c>
      <c r="B316" s="68" t="n">
        <v>45734</v>
      </c>
      <c r="C316" s="69" t="s">
        <v>170</v>
      </c>
      <c r="D316" s="69" t="s">
        <v>97</v>
      </c>
      <c r="E316" s="69" t="s">
        <v>119</v>
      </c>
      <c r="F316" s="69" t="s">
        <v>168</v>
      </c>
      <c r="G316" s="69" t="s">
        <v>127</v>
      </c>
      <c r="H316" s="0" t="s">
        <v>296</v>
      </c>
      <c r="I316" s="70" t="n">
        <v>129.17</v>
      </c>
      <c r="J316" s="70" t="n">
        <v>78.33</v>
      </c>
      <c r="K316" s="70" t="n">
        <f aca="false">IF(ISTEXT(H316),VALUE(H316),H316)*I316</f>
        <v>4391.78</v>
      </c>
    </row>
    <row r="317" customFormat="false" ht="15" hidden="false" customHeight="false" outlineLevel="0" collapsed="false">
      <c r="A317" s="0" t="n">
        <v>169</v>
      </c>
      <c r="B317" s="69" t="s">
        <v>297</v>
      </c>
      <c r="C317" s="69" t="s">
        <v>32</v>
      </c>
      <c r="D317" s="69" t="s">
        <v>137</v>
      </c>
      <c r="E317" s="69" t="s">
        <v>134</v>
      </c>
      <c r="F317" s="69" t="s">
        <v>28</v>
      </c>
      <c r="G317" s="69" t="s">
        <v>172</v>
      </c>
      <c r="H317" s="0" t="n">
        <v>25</v>
      </c>
      <c r="I317" s="70" t="n">
        <v>93.1</v>
      </c>
      <c r="J317" s="70" t="n">
        <v>47.98</v>
      </c>
      <c r="K317" s="70" t="n">
        <f aca="false">IF(ISTEXT(H317),VALUE(H317),H317)*I317</f>
        <v>2327.5</v>
      </c>
    </row>
    <row r="318" customFormat="false" ht="15" hidden="false" customHeight="false" outlineLevel="0" collapsed="false">
      <c r="A318" s="0" t="n">
        <v>164</v>
      </c>
      <c r="B318" s="68" t="n">
        <v>45337</v>
      </c>
      <c r="C318" s="69" t="s">
        <v>32</v>
      </c>
      <c r="D318" s="69" t="s">
        <v>137</v>
      </c>
      <c r="E318" s="69" t="s">
        <v>180</v>
      </c>
      <c r="F318" s="69" t="s">
        <v>147</v>
      </c>
      <c r="G318" s="69" t="s">
        <v>43</v>
      </c>
      <c r="H318" s="0" t="n">
        <v>2</v>
      </c>
      <c r="I318" s="70" t="n">
        <v>441</v>
      </c>
      <c r="J318" s="70" t="n">
        <v>272.25</v>
      </c>
      <c r="K318" s="70" t="n">
        <f aca="false">IF(ISTEXT(H318),VALUE(H318),H318)*I318</f>
        <v>882</v>
      </c>
    </row>
    <row r="319" customFormat="false" ht="15" hidden="false" customHeight="false" outlineLevel="0" collapsed="false">
      <c r="A319" s="0" t="n">
        <v>131</v>
      </c>
      <c r="B319" s="68" t="n">
        <v>45349</v>
      </c>
      <c r="C319" s="69" t="s">
        <v>91</v>
      </c>
      <c r="D319" s="69" t="s">
        <v>86</v>
      </c>
      <c r="E319" s="69" t="s">
        <v>121</v>
      </c>
      <c r="F319" s="69" t="s">
        <v>155</v>
      </c>
      <c r="G319" s="69" t="s">
        <v>49</v>
      </c>
      <c r="H319" s="0" t="n">
        <v>39</v>
      </c>
      <c r="I319" s="70" t="n">
        <v>63.7</v>
      </c>
      <c r="J319" s="70" t="n">
        <v>35.43</v>
      </c>
      <c r="K319" s="70" t="n">
        <f aca="false">IF(ISTEXT(H319),VALUE(H319),H319)*I319</f>
        <v>2484.3</v>
      </c>
    </row>
    <row r="320" customFormat="false" ht="15" hidden="false" customHeight="false" outlineLevel="0" collapsed="false">
      <c r="A320" s="0" t="n">
        <v>1019</v>
      </c>
      <c r="B320" s="68" t="n">
        <v>45602</v>
      </c>
      <c r="C320" s="69" t="s">
        <v>96</v>
      </c>
      <c r="D320" s="69" t="s">
        <v>97</v>
      </c>
      <c r="E320" s="69" t="s">
        <v>101</v>
      </c>
      <c r="F320" s="69" t="s">
        <v>183</v>
      </c>
      <c r="G320" s="69" t="s">
        <v>94</v>
      </c>
      <c r="H320" s="0" t="n">
        <v>80</v>
      </c>
      <c r="I320" s="70" t="n">
        <v>34.3</v>
      </c>
      <c r="J320" s="70" t="n">
        <v>17.85</v>
      </c>
      <c r="K320" s="70" t="n">
        <f aca="false">IF(ISTEXT(H320),VALUE(H320),H320)*I320</f>
        <v>2744</v>
      </c>
    </row>
    <row r="321" customFormat="false" ht="15" hidden="false" customHeight="false" outlineLevel="0" collapsed="false">
      <c r="A321" s="0" t="n">
        <v>1806</v>
      </c>
      <c r="B321" s="68" t="n">
        <v>45845</v>
      </c>
      <c r="C321" s="69" t="s">
        <v>170</v>
      </c>
      <c r="D321" s="69" t="s">
        <v>97</v>
      </c>
      <c r="E321" s="69" t="s">
        <v>87</v>
      </c>
      <c r="F321" s="69" t="s">
        <v>153</v>
      </c>
      <c r="G321" s="69" t="s">
        <v>157</v>
      </c>
      <c r="H321" s="0" t="n">
        <v>18</v>
      </c>
      <c r="I321" s="70" t="n">
        <v>1656.52</v>
      </c>
      <c r="J321" s="70" t="n">
        <v>1155.66</v>
      </c>
      <c r="K321" s="70" t="n">
        <f aca="false">IF(ISTEXT(H321),VALUE(H321),H321)*I321</f>
        <v>29817.36</v>
      </c>
    </row>
    <row r="322" customFormat="false" ht="15" hidden="false" customHeight="false" outlineLevel="0" collapsed="false">
      <c r="A322" s="0" t="n">
        <v>1489</v>
      </c>
      <c r="B322" s="68" t="n">
        <v>45718</v>
      </c>
      <c r="C322" s="69" t="s">
        <v>133</v>
      </c>
      <c r="D322" s="69" t="s">
        <v>112</v>
      </c>
      <c r="E322" s="69" t="s">
        <v>121</v>
      </c>
      <c r="F322" s="69" t="s">
        <v>155</v>
      </c>
      <c r="G322" s="69" t="s">
        <v>48</v>
      </c>
      <c r="H322" s="0" t="n">
        <v>28</v>
      </c>
      <c r="I322" s="70" t="n">
        <v>94.39</v>
      </c>
      <c r="J322" s="70" t="n">
        <v>49.41</v>
      </c>
      <c r="K322" s="70" t="n">
        <f aca="false">IF(ISTEXT(H322),VALUE(H322),H322)*I322</f>
        <v>2642.92</v>
      </c>
    </row>
    <row r="323" customFormat="false" ht="15" hidden="false" customHeight="false" outlineLevel="0" collapsed="false">
      <c r="A323" s="0" t="n">
        <v>130</v>
      </c>
      <c r="B323" s="68" t="n">
        <v>45342</v>
      </c>
      <c r="C323" s="69" t="s">
        <v>91</v>
      </c>
      <c r="D323" s="69" t="s">
        <v>86</v>
      </c>
      <c r="E323" s="69" t="s">
        <v>119</v>
      </c>
      <c r="F323" s="69" t="s">
        <v>143</v>
      </c>
      <c r="G323" s="69" t="s">
        <v>172</v>
      </c>
      <c r="H323" s="0" t="n">
        <v>17</v>
      </c>
      <c r="I323" s="70" t="n">
        <v>93.1</v>
      </c>
      <c r="J323" s="70" t="n">
        <v>47.98</v>
      </c>
      <c r="K323" s="70" t="n">
        <f aca="false">IF(ISTEXT(H323),VALUE(H323),H323)*I323</f>
        <v>1582.7</v>
      </c>
    </row>
    <row r="324" customFormat="false" ht="15" hidden="false" customHeight="false" outlineLevel="0" collapsed="false">
      <c r="A324" s="0" t="n">
        <v>165</v>
      </c>
      <c r="B324" s="68" t="n">
        <v>45344</v>
      </c>
      <c r="C324" s="69" t="s">
        <v>32</v>
      </c>
      <c r="D324" s="69" t="s">
        <v>137</v>
      </c>
      <c r="E324" s="69" t="s">
        <v>134</v>
      </c>
      <c r="F324" s="69" t="s">
        <v>147</v>
      </c>
      <c r="G324" s="69" t="s">
        <v>45</v>
      </c>
      <c r="H324" s="0" t="n">
        <v>6</v>
      </c>
      <c r="I324" s="70" t="n">
        <v>1617</v>
      </c>
      <c r="J324" s="70" t="n">
        <v>1122</v>
      </c>
      <c r="K324" s="70" t="n">
        <f aca="false">IF(ISTEXT(H324),VALUE(H324),H324)*I324</f>
        <v>9702</v>
      </c>
    </row>
    <row r="325" customFormat="false" ht="15" hidden="false" customHeight="false" outlineLevel="0" collapsed="false">
      <c r="A325" s="0" t="n">
        <v>356</v>
      </c>
      <c r="B325" s="68" t="n">
        <v>45391</v>
      </c>
      <c r="C325" s="69" t="s">
        <v>30</v>
      </c>
      <c r="D325" s="69" t="s">
        <v>109</v>
      </c>
      <c r="E325" s="69" t="s">
        <v>119</v>
      </c>
      <c r="F325" s="69" t="s">
        <v>115</v>
      </c>
      <c r="G325" s="69" t="s">
        <v>116</v>
      </c>
      <c r="H325" s="0" t="n">
        <v>6</v>
      </c>
      <c r="I325" s="70" t="n">
        <v>83.3</v>
      </c>
      <c r="J325" s="70" t="n">
        <v>48.03</v>
      </c>
      <c r="K325" s="70" t="n">
        <f aca="false">IF(ISTEXT(H325),VALUE(H325),H325)*I325</f>
        <v>499.8</v>
      </c>
    </row>
    <row r="326" customFormat="false" ht="15" hidden="false" customHeight="false" outlineLevel="0" collapsed="false">
      <c r="A326" s="0" t="n">
        <v>498</v>
      </c>
      <c r="B326" s="69" t="s">
        <v>298</v>
      </c>
      <c r="C326" s="69" t="s">
        <v>133</v>
      </c>
      <c r="D326" s="69" t="s">
        <v>112</v>
      </c>
      <c r="E326" s="69" t="s">
        <v>125</v>
      </c>
      <c r="F326" s="69" t="s">
        <v>183</v>
      </c>
      <c r="G326" s="69" t="s">
        <v>127</v>
      </c>
      <c r="H326" s="0" t="n">
        <v>7</v>
      </c>
      <c r="I326" s="70" t="n">
        <v>127.4</v>
      </c>
      <c r="J326" s="70" t="n">
        <v>76.05</v>
      </c>
      <c r="K326" s="70" t="n">
        <f aca="false">IF(ISTEXT(H326),VALUE(H326),H326)*I326</f>
        <v>891.8</v>
      </c>
    </row>
    <row r="327" customFormat="false" ht="15" hidden="false" customHeight="false" outlineLevel="0" collapsed="false">
      <c r="A327" s="0" t="n">
        <v>193</v>
      </c>
      <c r="B327" s="68" t="n">
        <v>45324</v>
      </c>
      <c r="C327" s="69" t="s">
        <v>133</v>
      </c>
      <c r="D327" s="69"/>
      <c r="E327" s="69" t="s">
        <v>110</v>
      </c>
      <c r="F327" s="69" t="s">
        <v>31</v>
      </c>
      <c r="G327" s="69" t="s">
        <v>171</v>
      </c>
      <c r="H327" s="0" t="s">
        <v>299</v>
      </c>
      <c r="I327" s="70" t="n">
        <v>117.6</v>
      </c>
      <c r="J327" s="70" t="n">
        <v>63.6</v>
      </c>
      <c r="K327" s="70" t="n">
        <f aca="false">IF(ISTEXT(H327),VALUE(H327),H327)*I327</f>
        <v>1176</v>
      </c>
    </row>
    <row r="328" customFormat="false" ht="15" hidden="false" customHeight="false" outlineLevel="0" collapsed="false">
      <c r="A328" s="0" t="n">
        <v>2353</v>
      </c>
      <c r="B328" s="68" t="n">
        <v>45993</v>
      </c>
      <c r="C328" s="69" t="s">
        <v>30</v>
      </c>
      <c r="D328" s="69" t="s">
        <v>109</v>
      </c>
      <c r="E328" s="69" t="s">
        <v>134</v>
      </c>
      <c r="F328" s="69" t="s">
        <v>162</v>
      </c>
      <c r="G328" s="69" t="s">
        <v>156</v>
      </c>
      <c r="H328" s="0" t="n">
        <v>22</v>
      </c>
      <c r="I328" s="70" t="n">
        <v>120.47</v>
      </c>
      <c r="J328" s="70" t="n">
        <v>65.51</v>
      </c>
      <c r="K328" s="70" t="n">
        <f aca="false">IF(ISTEXT(H328),VALUE(H328),H328)*I328</f>
        <v>2650.34</v>
      </c>
    </row>
    <row r="329" customFormat="false" ht="15" hidden="false" customHeight="false" outlineLevel="0" collapsed="false">
      <c r="A329" s="0" t="n">
        <v>939</v>
      </c>
      <c r="B329" s="69" t="s">
        <v>300</v>
      </c>
      <c r="C329" s="69" t="s">
        <v>120</v>
      </c>
      <c r="D329" s="69" t="s">
        <v>86</v>
      </c>
      <c r="E329" s="69" t="s">
        <v>101</v>
      </c>
      <c r="F329" s="69" t="s">
        <v>168</v>
      </c>
      <c r="G329" s="69" t="s">
        <v>53</v>
      </c>
      <c r="H329" s="0" t="s">
        <v>301</v>
      </c>
      <c r="I329" s="70" t="n">
        <v>34.3</v>
      </c>
      <c r="J329" s="70" t="n">
        <v>17.85</v>
      </c>
      <c r="K329" s="70" t="n">
        <f aca="false">IF(ISTEXT(H329),VALUE(H329),H329)*I329</f>
        <v>1131.9</v>
      </c>
    </row>
    <row r="330" customFormat="false" ht="15" hidden="false" customHeight="false" outlineLevel="0" collapsed="false">
      <c r="A330" s="0" t="n">
        <v>727</v>
      </c>
      <c r="B330" s="68" t="n">
        <v>45518</v>
      </c>
      <c r="C330" s="69" t="s">
        <v>27</v>
      </c>
      <c r="D330" s="69" t="s">
        <v>86</v>
      </c>
      <c r="E330" s="69" t="s">
        <v>121</v>
      </c>
      <c r="F330" s="69" t="s">
        <v>28</v>
      </c>
      <c r="G330" s="69" t="s">
        <v>103</v>
      </c>
      <c r="H330" s="0" t="n">
        <v>64</v>
      </c>
      <c r="I330" s="70" t="n">
        <v>27.44</v>
      </c>
      <c r="J330" s="70" t="n">
        <v>13.44</v>
      </c>
      <c r="K330" s="70" t="n">
        <f aca="false">IF(ISTEXT(H330),VALUE(H330),H330)*I330</f>
        <v>1756.16</v>
      </c>
    </row>
    <row r="331" customFormat="false" ht="15" hidden="false" customHeight="false" outlineLevel="0" collapsed="false">
      <c r="A331" s="0" t="n">
        <v>1869</v>
      </c>
      <c r="B331" s="69" t="s">
        <v>302</v>
      </c>
      <c r="C331" s="69" t="s">
        <v>184</v>
      </c>
      <c r="D331" s="69" t="s">
        <v>137</v>
      </c>
      <c r="E331" s="69" t="s">
        <v>138</v>
      </c>
      <c r="F331" s="69" t="s">
        <v>28</v>
      </c>
      <c r="G331" s="69" t="s">
        <v>172</v>
      </c>
      <c r="H331" s="0" t="n">
        <v>32</v>
      </c>
      <c r="I331" s="70" t="n">
        <v>95.38</v>
      </c>
      <c r="J331" s="70" t="n">
        <v>49.41</v>
      </c>
      <c r="K331" s="70" t="n">
        <f aca="false">IF(ISTEXT(H331),VALUE(H331),H331)*I331</f>
        <v>3052.16</v>
      </c>
    </row>
    <row r="332" customFormat="false" ht="15" hidden="false" customHeight="false" outlineLevel="0" collapsed="false">
      <c r="A332" s="0" t="n">
        <v>2333</v>
      </c>
      <c r="B332" s="68" t="n">
        <v>46015</v>
      </c>
      <c r="C332" s="69" t="s">
        <v>91</v>
      </c>
      <c r="D332" s="69" t="s">
        <v>86</v>
      </c>
      <c r="E332" s="69" t="s">
        <v>101</v>
      </c>
      <c r="F332" s="69" t="s">
        <v>115</v>
      </c>
      <c r="G332" s="69" t="s">
        <v>50</v>
      </c>
      <c r="H332" s="0" t="n">
        <v>41</v>
      </c>
      <c r="I332" s="70" t="n">
        <v>120.47</v>
      </c>
      <c r="J332" s="70" t="n">
        <v>65.51</v>
      </c>
      <c r="K332" s="70" t="n">
        <f aca="false">IF(ISTEXT(H332),VALUE(H332),H332)*I332</f>
        <v>4939.27</v>
      </c>
    </row>
    <row r="333" customFormat="false" ht="15" hidden="false" customHeight="false" outlineLevel="0" collapsed="false">
      <c r="A333" s="0" t="n">
        <v>978</v>
      </c>
      <c r="B333" s="68" t="n">
        <v>45581</v>
      </c>
      <c r="C333" s="69" t="s">
        <v>32</v>
      </c>
      <c r="D333" s="69" t="s">
        <v>137</v>
      </c>
      <c r="E333" s="69" t="s">
        <v>180</v>
      </c>
      <c r="F333" s="69" t="s">
        <v>183</v>
      </c>
      <c r="G333" s="69" t="s">
        <v>130</v>
      </c>
      <c r="H333" s="0" t="s">
        <v>229</v>
      </c>
      <c r="I333" s="70" t="n">
        <v>127.4</v>
      </c>
      <c r="J333" s="70" t="n">
        <v>76.05</v>
      </c>
      <c r="K333" s="70" t="n">
        <f aca="false">IF(ISTEXT(H333),VALUE(H333),H333)*I333</f>
        <v>891.8</v>
      </c>
    </row>
    <row r="334" customFormat="false" ht="15" hidden="false" customHeight="false" outlineLevel="0" collapsed="false">
      <c r="A334" s="0" t="n">
        <v>1405</v>
      </c>
      <c r="B334" s="68" t="n">
        <v>45724</v>
      </c>
      <c r="C334" s="69" t="s">
        <v>124</v>
      </c>
      <c r="D334" s="69" t="s">
        <v>97</v>
      </c>
      <c r="E334" s="69" t="s">
        <v>138</v>
      </c>
      <c r="F334" s="69" t="s">
        <v>88</v>
      </c>
      <c r="G334" s="69" t="s">
        <v>157</v>
      </c>
      <c r="H334" s="0" t="n">
        <v>20</v>
      </c>
      <c r="I334" s="70" t="n">
        <v>1588.21</v>
      </c>
      <c r="J334" s="70" t="n">
        <v>1155.66</v>
      </c>
      <c r="K334" s="70" t="n">
        <f aca="false">IF(ISTEXT(H334),VALUE(H334),H334)*I334</f>
        <v>31764.2</v>
      </c>
    </row>
    <row r="335" customFormat="false" ht="15" hidden="false" customHeight="false" outlineLevel="0" collapsed="false">
      <c r="A335" s="0" t="n">
        <v>706</v>
      </c>
      <c r="B335" s="68" t="n">
        <v>45506</v>
      </c>
      <c r="C335" s="69" t="s">
        <v>150</v>
      </c>
      <c r="D335" s="69" t="s">
        <v>97</v>
      </c>
      <c r="E335" s="69" t="s">
        <v>98</v>
      </c>
      <c r="F335" s="69" t="s">
        <v>147</v>
      </c>
      <c r="G335" s="69" t="s">
        <v>45</v>
      </c>
      <c r="H335" s="0" t="n">
        <v>7</v>
      </c>
      <c r="I335" s="70" t="n">
        <v>1617</v>
      </c>
      <c r="J335" s="70" t="n">
        <v>1122</v>
      </c>
      <c r="K335" s="70" t="n">
        <f aca="false">IF(ISTEXT(H335),VALUE(H335),H335)*I335</f>
        <v>11319</v>
      </c>
    </row>
    <row r="336" customFormat="false" ht="15" hidden="false" customHeight="false" outlineLevel="0" collapsed="false">
      <c r="A336" s="0" t="n">
        <v>989</v>
      </c>
      <c r="B336" s="68" t="n">
        <v>45577</v>
      </c>
      <c r="C336" s="69" t="s">
        <v>161</v>
      </c>
      <c r="D336" s="69" t="s">
        <v>112</v>
      </c>
      <c r="E336" s="69" t="s">
        <v>138</v>
      </c>
      <c r="F336" s="69" t="s">
        <v>28</v>
      </c>
      <c r="G336" s="69" t="s">
        <v>235</v>
      </c>
      <c r="H336" s="0" t="n">
        <v>34</v>
      </c>
      <c r="I336" s="70" t="n">
        <v>93.1</v>
      </c>
      <c r="J336" s="70" t="n">
        <v>47.98</v>
      </c>
      <c r="K336" s="70" t="n">
        <f aca="false">IF(ISTEXT(H336),VALUE(H336),H336)*I336</f>
        <v>3165.4</v>
      </c>
    </row>
    <row r="337" customFormat="false" ht="15" hidden="false" customHeight="false" outlineLevel="0" collapsed="false">
      <c r="A337" s="0" t="n">
        <v>1909</v>
      </c>
      <c r="B337" s="68" t="n">
        <v>45895</v>
      </c>
      <c r="C337" s="69" t="s">
        <v>124</v>
      </c>
      <c r="D337" s="69" t="s">
        <v>97</v>
      </c>
      <c r="E337" s="69" t="s">
        <v>101</v>
      </c>
      <c r="F337" s="69" t="s">
        <v>28</v>
      </c>
      <c r="G337" s="69" t="s">
        <v>48</v>
      </c>
      <c r="H337" s="0" t="n">
        <v>91</v>
      </c>
      <c r="I337" s="70" t="n">
        <v>95.38</v>
      </c>
      <c r="J337" s="70" t="n">
        <v>49.41</v>
      </c>
      <c r="K337" s="70" t="n">
        <f aca="false">IF(ISTEXT(H337),VALUE(H337),H337)*I337</f>
        <v>8679.58</v>
      </c>
    </row>
    <row r="338" customFormat="false" ht="15" hidden="false" customHeight="false" outlineLevel="0" collapsed="false">
      <c r="A338" s="0" t="n">
        <v>1082</v>
      </c>
      <c r="B338" s="68" t="n">
        <v>45611</v>
      </c>
      <c r="C338" s="69" t="s">
        <v>34</v>
      </c>
      <c r="D338" s="69" t="s">
        <v>112</v>
      </c>
      <c r="E338" s="69" t="s">
        <v>87</v>
      </c>
      <c r="F338" s="69" t="s">
        <v>147</v>
      </c>
      <c r="G338" s="69" t="s">
        <v>41</v>
      </c>
      <c r="H338" s="0" t="n">
        <v>3</v>
      </c>
      <c r="I338" s="70" t="n">
        <v>1176</v>
      </c>
      <c r="J338" s="70" t="n">
        <v>744</v>
      </c>
      <c r="K338" s="70" t="n">
        <f aca="false">IF(ISTEXT(H338),VALUE(H338),H338)*I338</f>
        <v>3528</v>
      </c>
    </row>
    <row r="339" customFormat="false" ht="15" hidden="false" customHeight="false" outlineLevel="0" collapsed="false">
      <c r="A339" s="0" t="n">
        <v>335</v>
      </c>
      <c r="B339" s="69" t="s">
        <v>200</v>
      </c>
      <c r="C339" s="69" t="s">
        <v>27</v>
      </c>
      <c r="D339" s="69" t="s">
        <v>86</v>
      </c>
      <c r="E339" s="69" t="s">
        <v>110</v>
      </c>
      <c r="F339" s="69" t="s">
        <v>162</v>
      </c>
      <c r="G339" s="69" t="s">
        <v>51</v>
      </c>
      <c r="H339" s="0" t="n">
        <v>22</v>
      </c>
      <c r="I339" s="70" t="n">
        <v>83.3</v>
      </c>
      <c r="J339" s="70" t="n">
        <v>48.03</v>
      </c>
      <c r="K339" s="70" t="n">
        <f aca="false">IF(ISTEXT(H339),VALUE(H339),H339)*I339</f>
        <v>1832.6</v>
      </c>
    </row>
    <row r="340" customFormat="false" ht="15" hidden="false" customHeight="false" outlineLevel="0" collapsed="false">
      <c r="A340" s="0" t="n">
        <v>1429</v>
      </c>
      <c r="B340" s="68" t="n">
        <v>45730</v>
      </c>
      <c r="C340" s="69" t="s">
        <v>27</v>
      </c>
      <c r="D340" s="69" t="s">
        <v>86</v>
      </c>
      <c r="E340" s="69" t="s">
        <v>138</v>
      </c>
      <c r="F340" s="69" t="s">
        <v>28</v>
      </c>
      <c r="G340" s="69" t="s">
        <v>235</v>
      </c>
      <c r="H340" s="0" t="n">
        <v>60</v>
      </c>
      <c r="I340" s="70" t="n">
        <v>94.39</v>
      </c>
      <c r="J340" s="70" t="n">
        <v>49.41</v>
      </c>
      <c r="K340" s="70" t="n">
        <f aca="false">IF(ISTEXT(H340),VALUE(H340),H340)*I340</f>
        <v>5663.4</v>
      </c>
    </row>
    <row r="341" customFormat="false" ht="15" hidden="false" customHeight="false" outlineLevel="0" collapsed="false">
      <c r="A341" s="0" t="n">
        <v>878</v>
      </c>
      <c r="B341" s="69" t="s">
        <v>303</v>
      </c>
      <c r="C341" s="69" t="s">
        <v>136</v>
      </c>
      <c r="D341" s="69" t="s">
        <v>137</v>
      </c>
      <c r="E341" s="69" t="s">
        <v>107</v>
      </c>
      <c r="F341" s="69" t="s">
        <v>168</v>
      </c>
      <c r="G341" s="69" t="s">
        <v>127</v>
      </c>
      <c r="H341" s="0" t="n">
        <v>8</v>
      </c>
      <c r="I341" s="70" t="n">
        <v>127.4</v>
      </c>
      <c r="J341" s="70" t="n">
        <v>76.05</v>
      </c>
      <c r="K341" s="70" t="n">
        <f aca="false">IF(ISTEXT(H341),VALUE(H341),H341)*I341</f>
        <v>1019.2</v>
      </c>
    </row>
    <row r="342" customFormat="false" ht="15" hidden="false" customHeight="false" outlineLevel="0" collapsed="false">
      <c r="A342" s="0" t="n">
        <v>2097</v>
      </c>
      <c r="B342" s="68" t="n">
        <v>45919</v>
      </c>
      <c r="C342" s="69" t="s">
        <v>34</v>
      </c>
      <c r="D342" s="69" t="s">
        <v>112</v>
      </c>
      <c r="E342" s="69" t="s">
        <v>121</v>
      </c>
      <c r="F342" s="69" t="s">
        <v>182</v>
      </c>
      <c r="G342" s="69" t="s">
        <v>127</v>
      </c>
      <c r="H342" s="0" t="n">
        <v>18</v>
      </c>
      <c r="I342" s="70" t="n">
        <v>130.51</v>
      </c>
      <c r="J342" s="70" t="n">
        <v>78.33</v>
      </c>
      <c r="K342" s="70" t="n">
        <f aca="false">IF(ISTEXT(H342),VALUE(H342),H342)*I342</f>
        <v>2349.18</v>
      </c>
    </row>
    <row r="343" customFormat="false" ht="15" hidden="false" customHeight="false" outlineLevel="0" collapsed="false">
      <c r="A343" s="0" t="n">
        <v>1345</v>
      </c>
      <c r="B343" s="69" t="s">
        <v>304</v>
      </c>
      <c r="C343" s="69" t="s">
        <v>118</v>
      </c>
      <c r="D343" s="69" t="s">
        <v>109</v>
      </c>
      <c r="E343" s="69" t="s">
        <v>134</v>
      </c>
      <c r="F343" s="69" t="s">
        <v>153</v>
      </c>
      <c r="G343" s="69" t="s">
        <v>45</v>
      </c>
      <c r="H343" s="0" t="n">
        <v>6</v>
      </c>
      <c r="I343" s="70" t="n">
        <v>1588.21</v>
      </c>
      <c r="J343" s="70" t="n">
        <v>1155.66</v>
      </c>
      <c r="K343" s="70" t="n">
        <f aca="false">IF(ISTEXT(H343),VALUE(H343),H343)*I343</f>
        <v>9529.26</v>
      </c>
    </row>
    <row r="344" customFormat="false" ht="15" hidden="false" customHeight="false" outlineLevel="0" collapsed="false">
      <c r="A344" s="0" t="n">
        <v>1928</v>
      </c>
      <c r="B344" s="68" t="n">
        <v>45893</v>
      </c>
      <c r="C344" s="69" t="s">
        <v>27</v>
      </c>
      <c r="D344" s="69" t="s">
        <v>86</v>
      </c>
      <c r="E344" s="69" t="s">
        <v>180</v>
      </c>
      <c r="F344" s="69" t="s">
        <v>143</v>
      </c>
      <c r="G344" s="69" t="s">
        <v>47</v>
      </c>
      <c r="H344" s="0" t="n">
        <v>36</v>
      </c>
      <c r="I344" s="70" t="n">
        <v>28.11</v>
      </c>
      <c r="J344" s="70" t="n">
        <v>13.84</v>
      </c>
      <c r="K344" s="70" t="n">
        <f aca="false">IF(ISTEXT(H344),VALUE(H344),H344)*I344</f>
        <v>1011.96</v>
      </c>
    </row>
    <row r="345" customFormat="false" ht="15" hidden="false" customHeight="false" outlineLevel="0" collapsed="false">
      <c r="A345" s="0" t="n">
        <v>92</v>
      </c>
      <c r="B345" s="68" t="n">
        <v>45315</v>
      </c>
      <c r="C345" s="69" t="s">
        <v>133</v>
      </c>
      <c r="D345" s="69" t="s">
        <v>112</v>
      </c>
      <c r="E345" s="69" t="s">
        <v>87</v>
      </c>
      <c r="F345" s="69" t="s">
        <v>99</v>
      </c>
      <c r="G345" s="69" t="s">
        <v>144</v>
      </c>
      <c r="H345" s="0" t="n">
        <v>11</v>
      </c>
      <c r="I345" s="70" t="n">
        <v>63.7</v>
      </c>
      <c r="J345" s="70" t="n">
        <v>35.43</v>
      </c>
      <c r="K345" s="70" t="n">
        <f aca="false">IF(ISTEXT(H345),VALUE(H345),H345)*I345</f>
        <v>700.7</v>
      </c>
    </row>
    <row r="346" customFormat="false" ht="15" hidden="false" customHeight="false" outlineLevel="0" collapsed="false">
      <c r="A346" s="0" t="n">
        <v>1942</v>
      </c>
      <c r="B346" s="68" t="n">
        <v>45883</v>
      </c>
      <c r="C346" s="69" t="s">
        <v>108</v>
      </c>
      <c r="D346" s="69" t="s">
        <v>109</v>
      </c>
      <c r="E346" s="69" t="s">
        <v>125</v>
      </c>
      <c r="F346" s="69" t="s">
        <v>26</v>
      </c>
      <c r="G346" s="69" t="s">
        <v>151</v>
      </c>
      <c r="H346" s="0" t="n">
        <v>6</v>
      </c>
      <c r="I346" s="70" t="n">
        <v>1204.74</v>
      </c>
      <c r="J346" s="70" t="n">
        <v>766.32</v>
      </c>
      <c r="K346" s="70" t="n">
        <f aca="false">IF(ISTEXT(H346),VALUE(H346),H346)*I346</f>
        <v>7228.44</v>
      </c>
    </row>
    <row r="347" customFormat="false" ht="15" hidden="false" customHeight="false" outlineLevel="0" collapsed="false">
      <c r="A347" s="0" t="n">
        <v>661</v>
      </c>
      <c r="B347" s="69" t="s">
        <v>305</v>
      </c>
      <c r="C347" s="69" t="s">
        <v>184</v>
      </c>
      <c r="D347" s="69" t="s">
        <v>137</v>
      </c>
      <c r="E347" s="69" t="s">
        <v>101</v>
      </c>
      <c r="F347" s="69" t="s">
        <v>88</v>
      </c>
      <c r="G347" s="69" t="s">
        <v>151</v>
      </c>
      <c r="H347" s="0" t="n">
        <v>7</v>
      </c>
      <c r="I347" s="70" t="n">
        <v>1176</v>
      </c>
      <c r="J347" s="70" t="n">
        <v>744</v>
      </c>
      <c r="K347" s="70" t="n">
        <f aca="false">IF(ISTEXT(H347),VALUE(H347),H347)*I347</f>
        <v>8232</v>
      </c>
    </row>
    <row r="348" customFormat="false" ht="15" hidden="false" customHeight="false" outlineLevel="0" collapsed="false">
      <c r="A348" s="0" t="n">
        <v>2197</v>
      </c>
      <c r="B348" s="68" t="n">
        <v>45947</v>
      </c>
      <c r="C348" s="69" t="s">
        <v>133</v>
      </c>
      <c r="D348" s="69" t="s">
        <v>112</v>
      </c>
      <c r="E348" s="69" t="s">
        <v>121</v>
      </c>
      <c r="F348" s="69" t="s">
        <v>33</v>
      </c>
      <c r="G348" s="69" t="s">
        <v>127</v>
      </c>
      <c r="H348" s="0" t="n">
        <v>17</v>
      </c>
      <c r="I348" s="70" t="n">
        <v>130.51</v>
      </c>
      <c r="J348" s="70" t="n">
        <v>78.33</v>
      </c>
      <c r="K348" s="70" t="n">
        <f aca="false">IF(ISTEXT(H348),VALUE(H348),H348)*I348</f>
        <v>2218.67</v>
      </c>
    </row>
    <row r="349" customFormat="false" ht="15" hidden="false" customHeight="false" outlineLevel="0" collapsed="false">
      <c r="A349" s="0" t="n">
        <v>494</v>
      </c>
      <c r="B349" s="68" t="n">
        <v>45415</v>
      </c>
      <c r="C349" s="69" t="s">
        <v>161</v>
      </c>
      <c r="D349" s="69" t="s">
        <v>112</v>
      </c>
      <c r="E349" s="69" t="s">
        <v>98</v>
      </c>
      <c r="F349" s="69" t="s">
        <v>115</v>
      </c>
      <c r="G349" s="69" t="s">
        <v>156</v>
      </c>
      <c r="H349" s="0" t="n">
        <v>6</v>
      </c>
      <c r="I349" s="70" t="n">
        <v>117.6</v>
      </c>
      <c r="J349" s="70" t="n">
        <v>63.6</v>
      </c>
      <c r="K349" s="70" t="n">
        <f aca="false">IF(ISTEXT(H349),VALUE(H349),H349)*I349</f>
        <v>705.6</v>
      </c>
    </row>
    <row r="350" customFormat="false" ht="15" hidden="false" customHeight="false" outlineLevel="0" collapsed="false">
      <c r="A350" s="0" t="n">
        <v>2078</v>
      </c>
      <c r="B350" s="68" t="n">
        <v>45921</v>
      </c>
      <c r="C350" s="69" t="s">
        <v>32</v>
      </c>
      <c r="D350" s="69" t="s">
        <v>137</v>
      </c>
      <c r="E350" s="69" t="s">
        <v>107</v>
      </c>
      <c r="F350" s="69" t="s">
        <v>93</v>
      </c>
      <c r="G350" s="69" t="s">
        <v>130</v>
      </c>
      <c r="H350" s="0" t="n">
        <v>12</v>
      </c>
      <c r="I350" s="70" t="n">
        <v>130.51</v>
      </c>
      <c r="J350" s="70" t="n">
        <v>78.33</v>
      </c>
      <c r="K350" s="70" t="n">
        <f aca="false">IF(ISTEXT(H350),VALUE(H350),H350)*I350</f>
        <v>1566.12</v>
      </c>
    </row>
    <row r="351" customFormat="false" ht="15" hidden="false" customHeight="false" outlineLevel="0" collapsed="false">
      <c r="A351" s="0" t="n">
        <v>1873</v>
      </c>
      <c r="B351" s="68" t="n">
        <v>45855</v>
      </c>
      <c r="C351" s="69" t="s">
        <v>136</v>
      </c>
      <c r="D351" s="69" t="s">
        <v>137</v>
      </c>
      <c r="E351" s="69" t="s">
        <v>92</v>
      </c>
      <c r="F351" s="69" t="s">
        <v>162</v>
      </c>
      <c r="G351" s="69" t="s">
        <v>156</v>
      </c>
      <c r="H351" s="0" t="n">
        <v>13</v>
      </c>
      <c r="I351" s="70" t="n">
        <v>120.47</v>
      </c>
      <c r="J351" s="70" t="n">
        <v>65.51</v>
      </c>
      <c r="K351" s="70" t="n">
        <f aca="false">IF(ISTEXT(H351),VALUE(H351),H351)*I351</f>
        <v>1566.11</v>
      </c>
    </row>
    <row r="352" customFormat="false" ht="15" hidden="false" customHeight="false" outlineLevel="0" collapsed="false">
      <c r="A352" s="0" t="n">
        <v>994</v>
      </c>
      <c r="B352" s="68" t="n">
        <v>45585</v>
      </c>
      <c r="C352" s="69" t="s">
        <v>142</v>
      </c>
      <c r="D352" s="69" t="s">
        <v>112</v>
      </c>
      <c r="E352" s="69" t="s">
        <v>125</v>
      </c>
      <c r="F352" s="69" t="s">
        <v>162</v>
      </c>
      <c r="G352" s="69" t="s">
        <v>50</v>
      </c>
      <c r="H352" s="0" t="n">
        <v>7</v>
      </c>
      <c r="I352" s="70" t="n">
        <v>117.6</v>
      </c>
      <c r="J352" s="70" t="n">
        <v>63.6</v>
      </c>
      <c r="K352" s="70" t="n">
        <f aca="false">IF(ISTEXT(H352),VALUE(H352),H352)*I352</f>
        <v>823.2</v>
      </c>
    </row>
    <row r="353" customFormat="false" ht="15" hidden="false" customHeight="false" outlineLevel="0" collapsed="false">
      <c r="A353" s="0" t="n">
        <v>1572</v>
      </c>
      <c r="B353" s="69" t="s">
        <v>306</v>
      </c>
      <c r="C353" s="69" t="s">
        <v>184</v>
      </c>
      <c r="D353" s="69" t="s">
        <v>137</v>
      </c>
      <c r="E353" s="69" t="s">
        <v>125</v>
      </c>
      <c r="F353" s="69" t="s">
        <v>102</v>
      </c>
      <c r="G353" s="69" t="s">
        <v>49</v>
      </c>
      <c r="H353" s="0" t="n">
        <v>21</v>
      </c>
      <c r="I353" s="70" t="n">
        <v>64.58</v>
      </c>
      <c r="J353" s="70" t="n">
        <v>36.49</v>
      </c>
      <c r="K353" s="70" t="n">
        <f aca="false">IF(ISTEXT(H353),VALUE(H353),H353)*I353</f>
        <v>1356.18</v>
      </c>
    </row>
    <row r="354" customFormat="false" ht="15" hidden="false" customHeight="false" outlineLevel="0" collapsed="false">
      <c r="A354" s="0" t="n">
        <v>1582</v>
      </c>
      <c r="B354" s="69" t="s">
        <v>307</v>
      </c>
      <c r="C354" s="69" t="s">
        <v>34</v>
      </c>
      <c r="D354" s="69" t="s">
        <v>112</v>
      </c>
      <c r="E354" s="69" t="s">
        <v>180</v>
      </c>
      <c r="F354" s="69" t="s">
        <v>26</v>
      </c>
      <c r="G354" s="69" t="s">
        <v>151</v>
      </c>
      <c r="H354" s="0" t="n">
        <v>3</v>
      </c>
      <c r="I354" s="70" t="n">
        <v>1155.06</v>
      </c>
      <c r="J354" s="70" t="n">
        <v>766.32</v>
      </c>
      <c r="K354" s="70" t="n">
        <f aca="false">IF(ISTEXT(H354),VALUE(H354),H354)*I354</f>
        <v>3465.18</v>
      </c>
    </row>
    <row r="355" customFormat="false" ht="15" hidden="false" customHeight="false" outlineLevel="0" collapsed="false">
      <c r="A355" s="0" t="n">
        <v>2394</v>
      </c>
      <c r="B355" s="68" t="n">
        <v>46010</v>
      </c>
      <c r="C355" s="69" t="s">
        <v>133</v>
      </c>
      <c r="D355" s="69" t="s">
        <v>112</v>
      </c>
      <c r="E355" s="69" t="s">
        <v>119</v>
      </c>
      <c r="F355" s="69" t="s">
        <v>115</v>
      </c>
      <c r="G355" s="69" t="s">
        <v>156</v>
      </c>
      <c r="H355" s="0" t="n">
        <v>12</v>
      </c>
      <c r="I355" s="70" t="n">
        <v>120.47</v>
      </c>
      <c r="J355" s="70" t="n">
        <v>65.51</v>
      </c>
      <c r="K355" s="70" t="n">
        <f aca="false">IF(ISTEXT(H355),VALUE(H355),H355)*I355</f>
        <v>1445.64</v>
      </c>
    </row>
    <row r="356" customFormat="false" ht="15" hidden="false" customHeight="false" outlineLevel="0" collapsed="false">
      <c r="A356" s="0" t="n">
        <v>1960</v>
      </c>
      <c r="B356" s="69" t="s">
        <v>308</v>
      </c>
      <c r="C356" s="69" t="s">
        <v>152</v>
      </c>
      <c r="D356" s="69" t="s">
        <v>109</v>
      </c>
      <c r="E356" s="69" t="s">
        <v>107</v>
      </c>
      <c r="F356" s="69" t="s">
        <v>168</v>
      </c>
      <c r="G356" s="69" t="s">
        <v>94</v>
      </c>
      <c r="H356" s="0" t="n">
        <v>18</v>
      </c>
      <c r="I356" s="70" t="n">
        <v>35.14</v>
      </c>
      <c r="J356" s="70" t="n">
        <v>18.39</v>
      </c>
      <c r="K356" s="70" t="n">
        <f aca="false">IF(ISTEXT(H356),VALUE(H356),H356)*I356</f>
        <v>632.52</v>
      </c>
    </row>
    <row r="357" customFormat="false" ht="15" hidden="false" customHeight="false" outlineLevel="0" collapsed="false">
      <c r="A357" s="0" t="n">
        <v>1760</v>
      </c>
      <c r="B357" s="69" t="s">
        <v>309</v>
      </c>
      <c r="C357" s="69" t="s">
        <v>108</v>
      </c>
      <c r="D357" s="69"/>
      <c r="E357" s="69" t="s">
        <v>87</v>
      </c>
      <c r="F357" s="69" t="s">
        <v>183</v>
      </c>
      <c r="G357" s="69" t="s">
        <v>217</v>
      </c>
      <c r="H357" s="0" t="n">
        <v>16</v>
      </c>
      <c r="I357" s="70" t="n">
        <v>34.78</v>
      </c>
      <c r="J357" s="70" t="n">
        <v>18.39</v>
      </c>
      <c r="K357" s="70" t="n">
        <f aca="false">IF(ISTEXT(H357),VALUE(H357),H357)*I357</f>
        <v>556.48</v>
      </c>
    </row>
    <row r="358" customFormat="false" ht="15" hidden="false" customHeight="false" outlineLevel="0" collapsed="false">
      <c r="A358" s="0" t="n">
        <v>1868</v>
      </c>
      <c r="B358" s="68" t="n">
        <v>45847</v>
      </c>
      <c r="C358" s="69" t="s">
        <v>32</v>
      </c>
      <c r="D358" s="69" t="s">
        <v>137</v>
      </c>
      <c r="E358" s="69" t="s">
        <v>125</v>
      </c>
      <c r="F358" s="69" t="s">
        <v>143</v>
      </c>
      <c r="G358" s="69" t="s">
        <v>47</v>
      </c>
      <c r="H358" s="0" t="n">
        <v>25</v>
      </c>
      <c r="I358" s="70" t="n">
        <v>28.11</v>
      </c>
      <c r="J358" s="70" t="n">
        <v>13.84</v>
      </c>
      <c r="K358" s="70" t="n">
        <f aca="false">IF(ISTEXT(H358),VALUE(H358),H358)*I358</f>
        <v>702.75</v>
      </c>
    </row>
    <row r="359" customFormat="false" ht="15" hidden="false" customHeight="false" outlineLevel="0" collapsed="false">
      <c r="A359" s="0" t="n">
        <v>1230</v>
      </c>
      <c r="B359" s="68" t="n">
        <v>45682</v>
      </c>
      <c r="C359" s="69" t="s">
        <v>159</v>
      </c>
      <c r="D359" s="69" t="s">
        <v>86</v>
      </c>
      <c r="E359" s="69" t="s">
        <v>107</v>
      </c>
      <c r="F359" s="69" t="s">
        <v>99</v>
      </c>
      <c r="G359" s="69" t="s">
        <v>235</v>
      </c>
      <c r="H359" s="0" t="n">
        <v>35</v>
      </c>
      <c r="I359" s="70" t="n">
        <v>94.39</v>
      </c>
      <c r="J359" s="70" t="n">
        <v>49.41</v>
      </c>
      <c r="K359" s="70" t="n">
        <f aca="false">IF(ISTEXT(H359),VALUE(H359),H359)*I359</f>
        <v>3303.65</v>
      </c>
    </row>
    <row r="360" customFormat="false" ht="15" hidden="false" customHeight="false" outlineLevel="0" collapsed="false">
      <c r="A360" s="0" t="n">
        <v>1062</v>
      </c>
      <c r="B360" s="68" t="n">
        <v>45606</v>
      </c>
      <c r="C360" s="69" t="s">
        <v>184</v>
      </c>
      <c r="D360" s="69" t="s">
        <v>137</v>
      </c>
      <c r="E360" s="69" t="s">
        <v>98</v>
      </c>
      <c r="F360" s="69" t="s">
        <v>147</v>
      </c>
      <c r="G360" s="69" t="s">
        <v>154</v>
      </c>
      <c r="H360" s="0" t="n">
        <v>4</v>
      </c>
      <c r="I360" s="70" t="n">
        <v>1176</v>
      </c>
      <c r="J360" s="70" t="n">
        <v>744</v>
      </c>
      <c r="K360" s="70" t="n">
        <f aca="false">IF(ISTEXT(H360),VALUE(H360),H360)*I360</f>
        <v>4704</v>
      </c>
    </row>
    <row r="361" customFormat="false" ht="15" hidden="false" customHeight="false" outlineLevel="0" collapsed="false">
      <c r="A361" s="0" t="n">
        <v>2213</v>
      </c>
      <c r="B361" s="68" t="n">
        <v>45982</v>
      </c>
      <c r="C361" s="69" t="s">
        <v>25</v>
      </c>
      <c r="D361" s="69" t="s">
        <v>97</v>
      </c>
      <c r="E361" s="69" t="s">
        <v>92</v>
      </c>
      <c r="F361" s="69" t="s">
        <v>31</v>
      </c>
      <c r="G361" s="69" t="s">
        <v>156</v>
      </c>
      <c r="H361" s="0" t="n">
        <v>58</v>
      </c>
      <c r="I361" s="70" t="n">
        <v>120.47</v>
      </c>
      <c r="J361" s="70" t="n">
        <v>65.51</v>
      </c>
      <c r="K361" s="70" t="n">
        <f aca="false">IF(ISTEXT(H361),VALUE(H361),H361)*I361</f>
        <v>6987.26</v>
      </c>
    </row>
    <row r="362" customFormat="false" ht="15" hidden="false" customHeight="false" outlineLevel="0" collapsed="false">
      <c r="A362" s="0" t="n">
        <v>1305</v>
      </c>
      <c r="B362" s="69" t="s">
        <v>212</v>
      </c>
      <c r="C362" s="69" t="s">
        <v>96</v>
      </c>
      <c r="D362" s="69" t="s">
        <v>97</v>
      </c>
      <c r="E362" s="69" t="s">
        <v>92</v>
      </c>
      <c r="F362" s="69" t="s">
        <v>135</v>
      </c>
      <c r="G362" s="69" t="s">
        <v>157</v>
      </c>
      <c r="H362" s="0" t="n">
        <v>19</v>
      </c>
      <c r="I362" s="70" t="n">
        <v>1588.21</v>
      </c>
      <c r="J362" s="70" t="n">
        <v>1155.66</v>
      </c>
      <c r="K362" s="70" t="n">
        <f aca="false">IF(ISTEXT(H362),VALUE(H362),H362)*I362</f>
        <v>30175.99</v>
      </c>
    </row>
    <row r="363" customFormat="false" ht="15" hidden="false" customHeight="false" outlineLevel="0" collapsed="false">
      <c r="A363" s="0" t="n">
        <v>2234</v>
      </c>
      <c r="B363" s="68" t="n">
        <v>45967</v>
      </c>
      <c r="C363" s="69" t="s">
        <v>120</v>
      </c>
      <c r="D363" s="69"/>
      <c r="E363" s="69" t="s">
        <v>119</v>
      </c>
      <c r="F363" s="69" t="s">
        <v>31</v>
      </c>
      <c r="G363" s="69" t="s">
        <v>171</v>
      </c>
      <c r="H363" s="0" t="n">
        <v>19</v>
      </c>
      <c r="I363" s="70" t="n">
        <v>120.47</v>
      </c>
      <c r="J363" s="70" t="n">
        <v>65.51</v>
      </c>
      <c r="K363" s="70" t="n">
        <f aca="false">IF(ISTEXT(H363),VALUE(H363),H363)*I363</f>
        <v>2288.93</v>
      </c>
    </row>
    <row r="364" customFormat="false" ht="15" hidden="false" customHeight="false" outlineLevel="0" collapsed="false">
      <c r="A364" s="0" t="n">
        <v>156</v>
      </c>
      <c r="B364" s="68" t="n">
        <v>45335</v>
      </c>
      <c r="C364" s="69" t="s">
        <v>118</v>
      </c>
      <c r="D364" s="69" t="s">
        <v>109</v>
      </c>
      <c r="E364" s="69" t="s">
        <v>125</v>
      </c>
      <c r="F364" s="69" t="s">
        <v>115</v>
      </c>
      <c r="G364" s="69" t="s">
        <v>51</v>
      </c>
      <c r="H364" s="0" t="n">
        <v>5</v>
      </c>
      <c r="I364" s="70" t="n">
        <v>83.3</v>
      </c>
      <c r="J364" s="70" t="n">
        <v>48.03</v>
      </c>
      <c r="K364" s="70" t="n">
        <f aca="false">IF(ISTEXT(H364),VALUE(H364),H364)*I364</f>
        <v>416.5</v>
      </c>
    </row>
    <row r="365" customFormat="false" ht="15" hidden="false" customHeight="false" outlineLevel="0" collapsed="false">
      <c r="A365" s="0" t="n">
        <v>2022</v>
      </c>
      <c r="B365" s="69" t="s">
        <v>310</v>
      </c>
      <c r="C365" s="69" t="s">
        <v>91</v>
      </c>
      <c r="D365" s="69" t="s">
        <v>86</v>
      </c>
      <c r="E365" s="69" t="s">
        <v>107</v>
      </c>
      <c r="F365" s="69" t="s">
        <v>26</v>
      </c>
      <c r="G365" s="69" t="s">
        <v>41</v>
      </c>
      <c r="H365" s="0" t="n">
        <v>8</v>
      </c>
      <c r="I365" s="70" t="n">
        <v>1204.74</v>
      </c>
      <c r="J365" s="70" t="n">
        <v>766.32</v>
      </c>
      <c r="K365" s="70" t="n">
        <f aca="false">IF(ISTEXT(H365),VALUE(H365),H365)*I365</f>
        <v>9637.92</v>
      </c>
    </row>
    <row r="366" customFormat="false" ht="15" hidden="false" customHeight="false" outlineLevel="0" collapsed="false">
      <c r="A366" s="0" t="n">
        <v>263</v>
      </c>
      <c r="B366" s="68" t="n">
        <v>45357</v>
      </c>
      <c r="C366" s="69" t="s">
        <v>32</v>
      </c>
      <c r="D366" s="69" t="s">
        <v>137</v>
      </c>
      <c r="E366" s="69" t="s">
        <v>134</v>
      </c>
      <c r="F366" s="69" t="s">
        <v>88</v>
      </c>
      <c r="G366" s="69" t="s">
        <v>89</v>
      </c>
      <c r="H366" s="0" t="n">
        <v>5</v>
      </c>
      <c r="I366" s="70" t="n">
        <v>441</v>
      </c>
      <c r="J366" s="70" t="n">
        <v>272.25</v>
      </c>
      <c r="K366" s="70" t="n">
        <f aca="false">IF(ISTEXT(H366),VALUE(H366),H366)*I366</f>
        <v>2205</v>
      </c>
    </row>
    <row r="367" customFormat="false" ht="15" hidden="false" customHeight="false" outlineLevel="0" collapsed="false">
      <c r="A367" s="0" t="n">
        <v>266</v>
      </c>
      <c r="B367" s="69" t="s">
        <v>311</v>
      </c>
      <c r="C367" s="69" t="s">
        <v>136</v>
      </c>
      <c r="D367" s="69" t="s">
        <v>137</v>
      </c>
      <c r="E367" s="69" t="s">
        <v>180</v>
      </c>
      <c r="F367" s="69" t="s">
        <v>135</v>
      </c>
      <c r="G367" s="69" t="s">
        <v>157</v>
      </c>
      <c r="H367" s="0" t="n">
        <v>3</v>
      </c>
      <c r="I367" s="70" t="n">
        <v>1617</v>
      </c>
      <c r="J367" s="70" t="n">
        <v>1122</v>
      </c>
      <c r="K367" s="70" t="n">
        <f aca="false">IF(ISTEXT(H367),VALUE(H367),H367)*I367</f>
        <v>4851</v>
      </c>
    </row>
    <row r="368" customFormat="false" ht="15" hidden="false" customHeight="false" outlineLevel="0" collapsed="false">
      <c r="A368" s="0" t="n">
        <v>1463</v>
      </c>
      <c r="B368" s="68" t="n">
        <v>45725</v>
      </c>
      <c r="C368" s="69" t="s">
        <v>32</v>
      </c>
      <c r="D368" s="69" t="s">
        <v>137</v>
      </c>
      <c r="E368" s="69" t="s">
        <v>110</v>
      </c>
      <c r="F368" s="69" t="s">
        <v>147</v>
      </c>
      <c r="G368" s="69" t="s">
        <v>89</v>
      </c>
      <c r="H368" s="0" t="n">
        <v>6</v>
      </c>
      <c r="I368" s="70" t="n">
        <v>433.15</v>
      </c>
      <c r="J368" s="70" t="n">
        <v>280.42</v>
      </c>
      <c r="K368" s="70" t="n">
        <f aca="false">IF(ISTEXT(H368),VALUE(H368),H368)*I368</f>
        <v>2598.9</v>
      </c>
    </row>
    <row r="369" customFormat="false" ht="15" hidden="false" customHeight="false" outlineLevel="0" collapsed="false">
      <c r="A369" s="0" t="n">
        <v>2381</v>
      </c>
      <c r="B369" s="69" t="s">
        <v>312</v>
      </c>
      <c r="C369" s="69" t="s">
        <v>34</v>
      </c>
      <c r="D369" s="69" t="s">
        <v>112</v>
      </c>
      <c r="E369" s="69" t="s">
        <v>92</v>
      </c>
      <c r="F369" s="69" t="s">
        <v>26</v>
      </c>
      <c r="G369" s="69" t="s">
        <v>154</v>
      </c>
      <c r="H369" s="0" t="n">
        <v>8</v>
      </c>
      <c r="I369" s="70" t="n">
        <v>1204.74</v>
      </c>
      <c r="J369" s="70" t="n">
        <v>766.32</v>
      </c>
      <c r="K369" s="70" t="n">
        <f aca="false">IF(ISTEXT(H369),VALUE(H369),H369)*I369</f>
        <v>9637.92</v>
      </c>
    </row>
    <row r="370" customFormat="false" ht="15" hidden="false" customHeight="false" outlineLevel="0" collapsed="false">
      <c r="A370" s="0" t="n">
        <v>1793</v>
      </c>
      <c r="B370" s="68" t="n">
        <v>45832</v>
      </c>
      <c r="C370" s="69" t="s">
        <v>133</v>
      </c>
      <c r="D370" s="69" t="s">
        <v>112</v>
      </c>
      <c r="E370" s="69" t="s">
        <v>110</v>
      </c>
      <c r="F370" s="69" t="s">
        <v>115</v>
      </c>
      <c r="G370" s="69" t="s">
        <v>50</v>
      </c>
      <c r="H370" s="0" t="n">
        <v>15</v>
      </c>
      <c r="I370" s="70" t="n">
        <v>119.23</v>
      </c>
      <c r="J370" s="70" t="n">
        <v>65.51</v>
      </c>
      <c r="K370" s="70" t="n">
        <f aca="false">IF(ISTEXT(H370),VALUE(H370),H370)*I370</f>
        <v>1788.45</v>
      </c>
    </row>
    <row r="371" customFormat="false" ht="15" hidden="false" customHeight="false" outlineLevel="0" collapsed="false">
      <c r="A371" s="0" t="n">
        <v>1717</v>
      </c>
      <c r="B371" s="68" t="n">
        <v>45813</v>
      </c>
      <c r="C371" s="69" t="s">
        <v>96</v>
      </c>
      <c r="D371" s="69" t="s">
        <v>97</v>
      </c>
      <c r="E371" s="69" t="s">
        <v>134</v>
      </c>
      <c r="F371" s="69" t="s">
        <v>93</v>
      </c>
      <c r="G371" s="69" t="s">
        <v>52</v>
      </c>
      <c r="H371" s="0" t="n">
        <v>48</v>
      </c>
      <c r="I371" s="70" t="n">
        <v>129.17</v>
      </c>
      <c r="J371" s="70" t="n">
        <v>78.33</v>
      </c>
      <c r="K371" s="70" t="n">
        <f aca="false">IF(ISTEXT(H371),VALUE(H371),H371)*I371</f>
        <v>6200.16</v>
      </c>
    </row>
    <row r="372" customFormat="false" ht="15" hidden="false" customHeight="false" outlineLevel="0" collapsed="false">
      <c r="A372" s="0" t="n">
        <v>1041</v>
      </c>
      <c r="B372" s="68" t="n">
        <v>45621</v>
      </c>
      <c r="C372" s="69" t="s">
        <v>118</v>
      </c>
      <c r="D372" s="69" t="s">
        <v>109</v>
      </c>
      <c r="E372" s="69" t="s">
        <v>134</v>
      </c>
      <c r="F372" s="69" t="s">
        <v>135</v>
      </c>
      <c r="G372" s="69" t="s">
        <v>154</v>
      </c>
      <c r="H372" s="0" t="n">
        <v>13</v>
      </c>
      <c r="I372" s="70" t="n">
        <v>1176</v>
      </c>
      <c r="J372" s="70" t="n">
        <v>744</v>
      </c>
      <c r="K372" s="70" t="n">
        <f aca="false">IF(ISTEXT(H372),VALUE(H372),H372)*I372</f>
        <v>15288</v>
      </c>
    </row>
    <row r="373" customFormat="false" ht="15" hidden="false" customHeight="false" outlineLevel="0" collapsed="false">
      <c r="A373" s="0" t="n">
        <v>253</v>
      </c>
      <c r="B373" s="68" t="n">
        <v>45368</v>
      </c>
      <c r="C373" s="69" t="s">
        <v>108</v>
      </c>
      <c r="D373" s="69" t="s">
        <v>109</v>
      </c>
      <c r="E373" s="69" t="s">
        <v>138</v>
      </c>
      <c r="F373" s="69" t="s">
        <v>162</v>
      </c>
      <c r="G373" s="69" t="s">
        <v>50</v>
      </c>
      <c r="H373" s="0" t="n">
        <v>15</v>
      </c>
      <c r="I373" s="70" t="n">
        <v>117.6</v>
      </c>
      <c r="J373" s="70" t="n">
        <v>63.6</v>
      </c>
      <c r="K373" s="70" t="n">
        <f aca="false">IF(ISTEXT(H373),VALUE(H373),H373)*I373</f>
        <v>1764</v>
      </c>
    </row>
    <row r="374" customFormat="false" ht="15" hidden="false" customHeight="false" outlineLevel="0" collapsed="false">
      <c r="A374" s="0" t="n">
        <v>248</v>
      </c>
      <c r="B374" s="68" t="n">
        <v>45360</v>
      </c>
      <c r="C374" s="69" t="s">
        <v>118</v>
      </c>
      <c r="D374" s="69" t="s">
        <v>109</v>
      </c>
      <c r="E374" s="69" t="s">
        <v>125</v>
      </c>
      <c r="F374" s="69" t="s">
        <v>143</v>
      </c>
      <c r="G374" s="69" t="s">
        <v>103</v>
      </c>
      <c r="H374" s="0" t="n">
        <v>14</v>
      </c>
      <c r="I374" s="70" t="n">
        <v>27.44</v>
      </c>
      <c r="J374" s="70" t="n">
        <v>13.44</v>
      </c>
      <c r="K374" s="70" t="n">
        <f aca="false">IF(ISTEXT(H374),VALUE(H374),H374)*I374</f>
        <v>384.16</v>
      </c>
    </row>
    <row r="375" customFormat="false" ht="15" hidden="false" customHeight="false" outlineLevel="0" collapsed="false">
      <c r="A375" s="0" t="n">
        <v>350</v>
      </c>
      <c r="B375" s="69" t="s">
        <v>313</v>
      </c>
      <c r="C375" s="69" t="s">
        <v>118</v>
      </c>
      <c r="D375" s="69" t="s">
        <v>109</v>
      </c>
      <c r="E375" s="69" t="s">
        <v>125</v>
      </c>
      <c r="F375" s="69" t="s">
        <v>143</v>
      </c>
      <c r="G375" s="69" t="s">
        <v>235</v>
      </c>
      <c r="H375" s="0" t="n">
        <v>13</v>
      </c>
      <c r="I375" s="70" t="n">
        <v>93.1</v>
      </c>
      <c r="J375" s="70" t="n">
        <v>47.98</v>
      </c>
      <c r="K375" s="70" t="n">
        <f aca="false">IF(ISTEXT(H375),VALUE(H375),H375)*I375</f>
        <v>1210.3</v>
      </c>
    </row>
    <row r="376" customFormat="false" ht="15" hidden="false" customHeight="false" outlineLevel="0" collapsed="false">
      <c r="A376" s="0" t="n">
        <v>643</v>
      </c>
      <c r="B376" s="68" t="n">
        <v>45493</v>
      </c>
      <c r="C376" s="69" t="s">
        <v>152</v>
      </c>
      <c r="D376" s="69" t="s">
        <v>109</v>
      </c>
      <c r="E376" s="69" t="s">
        <v>121</v>
      </c>
      <c r="F376" s="69" t="s">
        <v>26</v>
      </c>
      <c r="G376" s="69" t="s">
        <v>43</v>
      </c>
      <c r="H376" s="0" t="n">
        <v>9</v>
      </c>
      <c r="I376" s="70" t="n">
        <v>441</v>
      </c>
      <c r="J376" s="70" t="n">
        <v>272.25</v>
      </c>
      <c r="K376" s="70" t="n">
        <f aca="false">IF(ISTEXT(H376),VALUE(H376),H376)*I376</f>
        <v>3969</v>
      </c>
    </row>
    <row r="377" customFormat="false" ht="15" hidden="false" customHeight="false" outlineLevel="0" collapsed="false">
      <c r="A377" s="0" t="n">
        <v>1030</v>
      </c>
      <c r="B377" s="68" t="n">
        <v>45598</v>
      </c>
      <c r="C377" s="69" t="s">
        <v>27</v>
      </c>
      <c r="D377" s="69" t="s">
        <v>86</v>
      </c>
      <c r="E377" s="69" t="s">
        <v>87</v>
      </c>
      <c r="F377" s="69" t="s">
        <v>28</v>
      </c>
      <c r="G377" s="69" t="s">
        <v>235</v>
      </c>
      <c r="H377" s="0" t="n">
        <v>31</v>
      </c>
      <c r="I377" s="70" t="n">
        <v>93.1</v>
      </c>
      <c r="J377" s="70" t="n">
        <v>47.98</v>
      </c>
      <c r="K377" s="70" t="n">
        <f aca="false">IF(ISTEXT(H377),VALUE(H377),H377)*I377</f>
        <v>2886.1</v>
      </c>
    </row>
    <row r="378" customFormat="false" ht="15" hidden="false" customHeight="false" outlineLevel="0" collapsed="false">
      <c r="A378" s="0" t="n">
        <v>882</v>
      </c>
      <c r="B378" s="68" t="n">
        <v>45554</v>
      </c>
      <c r="C378" s="69" t="s">
        <v>133</v>
      </c>
      <c r="D378" s="69" t="s">
        <v>112</v>
      </c>
      <c r="E378" s="69" t="s">
        <v>87</v>
      </c>
      <c r="F378" s="69" t="s">
        <v>139</v>
      </c>
      <c r="G378" s="69" t="s">
        <v>154</v>
      </c>
      <c r="H378" s="0" t="n">
        <v>3</v>
      </c>
      <c r="I378" s="70" t="n">
        <v>1176</v>
      </c>
      <c r="J378" s="70" t="n">
        <v>744</v>
      </c>
      <c r="K378" s="70" t="n">
        <f aca="false">IF(ISTEXT(H378),VALUE(H378),H378)*I378</f>
        <v>3528</v>
      </c>
    </row>
    <row r="379" customFormat="false" ht="15" hidden="false" customHeight="false" outlineLevel="0" collapsed="false">
      <c r="A379" s="0" t="n">
        <v>396</v>
      </c>
      <c r="B379" s="68" t="n">
        <v>45401</v>
      </c>
      <c r="C379" s="69" t="s">
        <v>34</v>
      </c>
      <c r="D379" s="69" t="s">
        <v>112</v>
      </c>
      <c r="E379" s="69" t="s">
        <v>119</v>
      </c>
      <c r="F379" s="69" t="s">
        <v>31</v>
      </c>
      <c r="G379" s="69" t="s">
        <v>51</v>
      </c>
      <c r="H379" s="0" t="n">
        <v>5</v>
      </c>
      <c r="I379" s="70" t="n">
        <v>83.3</v>
      </c>
      <c r="J379" s="70" t="n">
        <v>48.03</v>
      </c>
      <c r="K379" s="70" t="n">
        <f aca="false">IF(ISTEXT(H379),VALUE(H379),H379)*I379</f>
        <v>416.5</v>
      </c>
    </row>
    <row r="380" customFormat="false" ht="15" hidden="false" customHeight="false" outlineLevel="0" collapsed="false">
      <c r="A380" s="0" t="n">
        <v>1502</v>
      </c>
      <c r="B380" s="68" t="n">
        <v>45759</v>
      </c>
      <c r="C380" s="69" t="s">
        <v>124</v>
      </c>
      <c r="D380" s="69"/>
      <c r="E380" s="69" t="s">
        <v>107</v>
      </c>
      <c r="F380" s="69" t="s">
        <v>135</v>
      </c>
      <c r="G380" s="69" t="s">
        <v>151</v>
      </c>
      <c r="H380" s="0" t="n">
        <v>11</v>
      </c>
      <c r="I380" s="70" t="n">
        <v>1155.06</v>
      </c>
      <c r="J380" s="70" t="n">
        <v>766.32</v>
      </c>
      <c r="K380" s="70" t="n">
        <f aca="false">IF(ISTEXT(H380),VALUE(H380),H380)*I380</f>
        <v>12705.66</v>
      </c>
    </row>
    <row r="381" customFormat="false" ht="15" hidden="false" customHeight="false" outlineLevel="0" collapsed="false">
      <c r="A381" s="0" t="n">
        <v>1548</v>
      </c>
      <c r="B381" s="68" t="n">
        <v>45757</v>
      </c>
      <c r="C381" s="69" t="s">
        <v>152</v>
      </c>
      <c r="D381" s="69" t="s">
        <v>109</v>
      </c>
      <c r="E381" s="69" t="s">
        <v>107</v>
      </c>
      <c r="F381" s="69" t="s">
        <v>143</v>
      </c>
      <c r="G381" s="69" t="s">
        <v>47</v>
      </c>
      <c r="H381" s="0" t="n">
        <v>25</v>
      </c>
      <c r="I381" s="70" t="n">
        <v>27.82</v>
      </c>
      <c r="J381" s="70" t="n">
        <v>13.84</v>
      </c>
      <c r="K381" s="70" t="n">
        <f aca="false">IF(ISTEXT(H381),VALUE(H381),H381)*I381</f>
        <v>695.5</v>
      </c>
    </row>
    <row r="382" customFormat="false" ht="15" hidden="false" customHeight="false" outlineLevel="0" collapsed="false">
      <c r="A382" s="0" t="n">
        <v>251</v>
      </c>
      <c r="B382" s="68" t="n">
        <v>45354</v>
      </c>
      <c r="C382" s="69" t="s">
        <v>108</v>
      </c>
      <c r="D382" s="69" t="s">
        <v>109</v>
      </c>
      <c r="E382" s="69" t="s">
        <v>110</v>
      </c>
      <c r="F382" s="69" t="s">
        <v>143</v>
      </c>
      <c r="G382" s="69" t="s">
        <v>49</v>
      </c>
      <c r="H382" s="0" t="n">
        <v>42</v>
      </c>
      <c r="I382" s="70" t="n">
        <v>63.7</v>
      </c>
      <c r="J382" s="70" t="n">
        <v>35.43</v>
      </c>
      <c r="K382" s="70" t="n">
        <f aca="false">IF(ISTEXT(H382),VALUE(H382),H382)*I382</f>
        <v>2675.4</v>
      </c>
    </row>
    <row r="383" customFormat="false" ht="15" hidden="false" customHeight="false" outlineLevel="0" collapsed="false">
      <c r="A383" s="0" t="n">
        <v>1521</v>
      </c>
      <c r="B383" s="68" t="n">
        <v>45757</v>
      </c>
      <c r="C383" s="69" t="s">
        <v>159</v>
      </c>
      <c r="D383" s="69" t="s">
        <v>86</v>
      </c>
      <c r="E383" s="69" t="s">
        <v>121</v>
      </c>
      <c r="F383" s="69" t="s">
        <v>147</v>
      </c>
      <c r="G383" s="69" t="s">
        <v>151</v>
      </c>
      <c r="H383" s="0" t="n">
        <v>11</v>
      </c>
      <c r="I383" s="70" t="n">
        <v>1155.06</v>
      </c>
      <c r="J383" s="70" t="n">
        <v>766.32</v>
      </c>
      <c r="K383" s="70" t="n">
        <f aca="false">IF(ISTEXT(H383),VALUE(H383),H383)*I383</f>
        <v>12705.66</v>
      </c>
    </row>
    <row r="384" customFormat="false" ht="15" hidden="false" customHeight="false" outlineLevel="0" collapsed="false">
      <c r="A384" s="0" t="n">
        <v>1126</v>
      </c>
      <c r="B384" s="68" t="n">
        <v>45652</v>
      </c>
      <c r="C384" s="69" t="s">
        <v>120</v>
      </c>
      <c r="D384" s="69" t="s">
        <v>86</v>
      </c>
      <c r="E384" s="69" t="s">
        <v>119</v>
      </c>
      <c r="F384" s="69" t="s">
        <v>26</v>
      </c>
      <c r="G384" s="69" t="s">
        <v>157</v>
      </c>
      <c r="H384" s="0" t="n">
        <v>6</v>
      </c>
      <c r="I384" s="70" t="n">
        <v>1617</v>
      </c>
      <c r="J384" s="70" t="n">
        <v>1122</v>
      </c>
      <c r="K384" s="70" t="n">
        <f aca="false">IF(ISTEXT(H384),VALUE(H384),H384)*I384</f>
        <v>9702</v>
      </c>
    </row>
    <row r="385" customFormat="false" ht="15" hidden="false" customHeight="false" outlineLevel="0" collapsed="false">
      <c r="A385" s="0" t="n">
        <v>971</v>
      </c>
      <c r="B385" s="68" t="n">
        <v>45586</v>
      </c>
      <c r="C385" s="69" t="s">
        <v>184</v>
      </c>
      <c r="D385" s="69" t="s">
        <v>137</v>
      </c>
      <c r="E385" s="69" t="s">
        <v>92</v>
      </c>
      <c r="F385" s="69" t="s">
        <v>155</v>
      </c>
      <c r="G385" s="69" t="s">
        <v>49</v>
      </c>
      <c r="H385" s="0" t="n">
        <v>34</v>
      </c>
      <c r="I385" s="70" t="n">
        <v>63.7</v>
      </c>
      <c r="J385" s="70" t="n">
        <v>35.43</v>
      </c>
      <c r="K385" s="70" t="n">
        <f aca="false">IF(ISTEXT(H385),VALUE(H385),H385)*I385</f>
        <v>2165.8</v>
      </c>
    </row>
    <row r="386" customFormat="false" ht="15" hidden="false" customHeight="false" outlineLevel="0" collapsed="false">
      <c r="A386" s="0" t="n">
        <v>520</v>
      </c>
      <c r="B386" s="69" t="s">
        <v>314</v>
      </c>
      <c r="C386" s="69" t="s">
        <v>96</v>
      </c>
      <c r="D386" s="69" t="s">
        <v>97</v>
      </c>
      <c r="E386" s="69" t="s">
        <v>107</v>
      </c>
      <c r="F386" s="69" t="s">
        <v>182</v>
      </c>
      <c r="G386" s="69" t="s">
        <v>94</v>
      </c>
      <c r="H386" s="0" t="n">
        <v>24</v>
      </c>
      <c r="I386" s="70" t="n">
        <v>34.3</v>
      </c>
      <c r="J386" s="70" t="n">
        <v>17.85</v>
      </c>
      <c r="K386" s="70" t="n">
        <f aca="false">IF(ISTEXT(H386),VALUE(H386),H386)*I386</f>
        <v>823.2</v>
      </c>
    </row>
    <row r="387" customFormat="false" ht="15" hidden="false" customHeight="false" outlineLevel="0" collapsed="false">
      <c r="A387" s="0" t="n">
        <v>1907</v>
      </c>
      <c r="B387" s="68" t="n">
        <v>45881</v>
      </c>
      <c r="C387" s="69" t="s">
        <v>170</v>
      </c>
      <c r="D387" s="69"/>
      <c r="E387" s="69" t="s">
        <v>101</v>
      </c>
      <c r="F387" s="69" t="s">
        <v>102</v>
      </c>
      <c r="G387" s="69" t="s">
        <v>47</v>
      </c>
      <c r="H387" s="0" t="n">
        <v>99</v>
      </c>
      <c r="I387" s="70" t="n">
        <v>28.11</v>
      </c>
      <c r="J387" s="70" t="n">
        <v>13.84</v>
      </c>
      <c r="K387" s="70" t="n">
        <f aca="false">IF(ISTEXT(H387),VALUE(H387),H387)*I387</f>
        <v>2782.89</v>
      </c>
    </row>
    <row r="388" customFormat="false" ht="15" hidden="false" customHeight="false" outlineLevel="0" collapsed="false">
      <c r="A388" s="0" t="n">
        <v>1438</v>
      </c>
      <c r="B388" s="68" t="n">
        <v>45739</v>
      </c>
      <c r="C388" s="69" t="s">
        <v>159</v>
      </c>
      <c r="D388" s="69" t="s">
        <v>86</v>
      </c>
      <c r="E388" s="69" t="s">
        <v>119</v>
      </c>
      <c r="F388" s="69" t="s">
        <v>168</v>
      </c>
      <c r="G388" s="69" t="s">
        <v>130</v>
      </c>
      <c r="H388" s="0" t="n">
        <v>23</v>
      </c>
      <c r="I388" s="70" t="n">
        <v>129.17</v>
      </c>
      <c r="J388" s="70" t="n">
        <v>78.33</v>
      </c>
      <c r="K388" s="70" t="n">
        <f aca="false">IF(ISTEXT(H388),VALUE(H388),H388)*I388</f>
        <v>2970.91</v>
      </c>
    </row>
    <row r="389" customFormat="false" ht="15" hidden="false" customHeight="false" outlineLevel="0" collapsed="false">
      <c r="A389" s="0" t="n">
        <v>477</v>
      </c>
      <c r="B389" s="68" t="n">
        <v>45431</v>
      </c>
      <c r="C389" s="69" t="s">
        <v>193</v>
      </c>
      <c r="D389" s="69"/>
      <c r="E389" s="69" t="s">
        <v>121</v>
      </c>
      <c r="F389" s="69" t="s">
        <v>33</v>
      </c>
      <c r="G389" s="69" t="s">
        <v>52</v>
      </c>
      <c r="H389" s="0" t="n">
        <v>15</v>
      </c>
      <c r="I389" s="70" t="n">
        <v>127.4</v>
      </c>
      <c r="J389" s="70" t="n">
        <v>76.05</v>
      </c>
      <c r="K389" s="70" t="n">
        <f aca="false">IF(ISTEXT(H389),VALUE(H389),H389)*I389</f>
        <v>1911</v>
      </c>
    </row>
    <row r="390" customFormat="false" ht="15" hidden="false" customHeight="false" outlineLevel="0" collapsed="false">
      <c r="A390" s="0" t="n">
        <v>1137</v>
      </c>
      <c r="B390" s="68" t="n">
        <v>45648</v>
      </c>
      <c r="C390" s="69" t="s">
        <v>27</v>
      </c>
      <c r="D390" s="69" t="s">
        <v>86</v>
      </c>
      <c r="E390" s="69" t="s">
        <v>101</v>
      </c>
      <c r="F390" s="69" t="s">
        <v>93</v>
      </c>
      <c r="G390" s="69" t="s">
        <v>127</v>
      </c>
      <c r="H390" s="0" t="n">
        <v>42</v>
      </c>
      <c r="I390" s="70" t="n">
        <v>127.4</v>
      </c>
      <c r="J390" s="70" t="n">
        <v>76.05</v>
      </c>
      <c r="K390" s="70" t="n">
        <f aca="false">IF(ISTEXT(H390),VALUE(H390),H390)*I390</f>
        <v>5350.8</v>
      </c>
    </row>
    <row r="391" customFormat="false" ht="15" hidden="false" customHeight="false" outlineLevel="0" collapsed="false">
      <c r="A391" s="0" t="n">
        <v>1004</v>
      </c>
      <c r="B391" s="68" t="n">
        <v>45605</v>
      </c>
      <c r="C391" s="69" t="s">
        <v>150</v>
      </c>
      <c r="D391" s="69" t="s">
        <v>97</v>
      </c>
      <c r="E391" s="69" t="s">
        <v>119</v>
      </c>
      <c r="F391" s="69" t="s">
        <v>88</v>
      </c>
      <c r="G391" s="69" t="s">
        <v>43</v>
      </c>
      <c r="H391" s="0" t="n">
        <v>9</v>
      </c>
      <c r="I391" s="70" t="n">
        <v>441</v>
      </c>
      <c r="J391" s="70" t="n">
        <v>272.25</v>
      </c>
      <c r="K391" s="70" t="n">
        <f aca="false">IF(ISTEXT(H391),VALUE(H391),H391)*I391</f>
        <v>3969</v>
      </c>
    </row>
    <row r="392" customFormat="false" ht="15" hidden="false" customHeight="false" outlineLevel="0" collapsed="false">
      <c r="A392" s="0" t="n">
        <v>1602</v>
      </c>
      <c r="B392" s="69" t="s">
        <v>199</v>
      </c>
      <c r="C392" s="69" t="s">
        <v>124</v>
      </c>
      <c r="D392" s="69" t="s">
        <v>97</v>
      </c>
      <c r="E392" s="69" t="s">
        <v>119</v>
      </c>
      <c r="F392" s="69" t="s">
        <v>139</v>
      </c>
      <c r="G392" s="69" t="s">
        <v>154</v>
      </c>
      <c r="H392" s="0" t="n">
        <v>15</v>
      </c>
      <c r="I392" s="70" t="n">
        <v>1155.06</v>
      </c>
      <c r="J392" s="70" t="n">
        <v>766.32</v>
      </c>
      <c r="K392" s="70" t="n">
        <f aca="false">IF(ISTEXT(H392),VALUE(H392),H392)*I392</f>
        <v>17325.9</v>
      </c>
    </row>
    <row r="393" customFormat="false" ht="15" hidden="false" customHeight="false" outlineLevel="0" collapsed="false">
      <c r="A393" s="0" t="n">
        <v>827</v>
      </c>
      <c r="B393" s="68" t="n">
        <v>45547</v>
      </c>
      <c r="C393" s="69" t="s">
        <v>159</v>
      </c>
      <c r="D393" s="69" t="s">
        <v>86</v>
      </c>
      <c r="E393" s="69" t="s">
        <v>121</v>
      </c>
      <c r="F393" s="69" t="s">
        <v>28</v>
      </c>
      <c r="G393" s="69" t="s">
        <v>103</v>
      </c>
      <c r="H393" s="0" t="n">
        <v>50</v>
      </c>
      <c r="I393" s="70" t="n">
        <v>27.44</v>
      </c>
      <c r="J393" s="70" t="n">
        <v>13.44</v>
      </c>
      <c r="K393" s="70" t="n">
        <f aca="false">IF(ISTEXT(H393),VALUE(H393),H393)*I393</f>
        <v>1372</v>
      </c>
    </row>
    <row r="394" customFormat="false" ht="15" hidden="false" customHeight="false" outlineLevel="0" collapsed="false">
      <c r="A394" s="0" t="n">
        <v>1035</v>
      </c>
      <c r="B394" s="68" t="n">
        <v>45606</v>
      </c>
      <c r="C394" s="69" t="s">
        <v>159</v>
      </c>
      <c r="D394" s="69" t="s">
        <v>86</v>
      </c>
      <c r="E394" s="69" t="s">
        <v>121</v>
      </c>
      <c r="F394" s="69" t="s">
        <v>166</v>
      </c>
      <c r="G394" s="69" t="s">
        <v>116</v>
      </c>
      <c r="H394" s="0" t="n">
        <v>30</v>
      </c>
      <c r="I394" s="70" t="n">
        <v>83.3</v>
      </c>
      <c r="J394" s="70" t="n">
        <v>48.03</v>
      </c>
      <c r="K394" s="70" t="n">
        <f aca="false">IF(ISTEXT(H394),VALUE(H394),H394)*I394</f>
        <v>2499</v>
      </c>
    </row>
    <row r="395" customFormat="false" ht="15" hidden="false" customHeight="false" outlineLevel="0" collapsed="false">
      <c r="A395" s="0" t="n">
        <v>1952</v>
      </c>
      <c r="B395" s="68" t="n">
        <v>45872</v>
      </c>
      <c r="C395" s="69" t="s">
        <v>152</v>
      </c>
      <c r="D395" s="69" t="s">
        <v>109</v>
      </c>
      <c r="E395" s="69" t="s">
        <v>180</v>
      </c>
      <c r="F395" s="69" t="s">
        <v>155</v>
      </c>
      <c r="G395" s="69" t="s">
        <v>208</v>
      </c>
      <c r="H395" s="0" t="n">
        <v>30</v>
      </c>
      <c r="I395" s="70" t="n">
        <v>65.26</v>
      </c>
      <c r="J395" s="70" t="n">
        <v>36.49</v>
      </c>
      <c r="K395" s="70" t="n">
        <f aca="false">IF(ISTEXT(H395),VALUE(H395),H395)*I395</f>
        <v>1957.8</v>
      </c>
    </row>
    <row r="396" customFormat="false" ht="15" hidden="false" customHeight="false" outlineLevel="0" collapsed="false">
      <c r="A396" s="0" t="n">
        <v>1746</v>
      </c>
      <c r="B396" s="68" t="n">
        <v>45827</v>
      </c>
      <c r="C396" s="69" t="s">
        <v>118</v>
      </c>
      <c r="D396" s="69" t="s">
        <v>109</v>
      </c>
      <c r="E396" s="69" t="s">
        <v>125</v>
      </c>
      <c r="F396" s="69" t="s">
        <v>147</v>
      </c>
      <c r="G396" s="69" t="s">
        <v>141</v>
      </c>
      <c r="H396" s="0" t="n">
        <v>7</v>
      </c>
      <c r="I396" s="70" t="n">
        <v>1588.21</v>
      </c>
      <c r="J396" s="70" t="n">
        <v>1155.66</v>
      </c>
      <c r="K396" s="70" t="n">
        <f aca="false">IF(ISTEXT(H396),VALUE(H396),H396)*I396</f>
        <v>11117.47</v>
      </c>
    </row>
    <row r="397" customFormat="false" ht="15" hidden="false" customHeight="false" outlineLevel="0" collapsed="false">
      <c r="A397" s="0" t="n">
        <v>1029</v>
      </c>
      <c r="B397" s="68" t="n">
        <v>45618</v>
      </c>
      <c r="C397" s="69" t="s">
        <v>159</v>
      </c>
      <c r="D397" s="69" t="s">
        <v>86</v>
      </c>
      <c r="E397" s="69" t="s">
        <v>121</v>
      </c>
      <c r="F397" s="69" t="s">
        <v>28</v>
      </c>
      <c r="G397" s="69" t="s">
        <v>48</v>
      </c>
      <c r="H397" s="0" t="n">
        <v>73</v>
      </c>
      <c r="I397" s="70" t="n">
        <v>93.1</v>
      </c>
      <c r="J397" s="70" t="n">
        <v>47.98</v>
      </c>
      <c r="K397" s="70" t="n">
        <f aca="false">IF(ISTEXT(H397),VALUE(H397),H397)*I397</f>
        <v>6796.3</v>
      </c>
    </row>
    <row r="398" customFormat="false" ht="15" hidden="false" customHeight="false" outlineLevel="0" collapsed="false">
      <c r="A398" s="0" t="n">
        <v>834</v>
      </c>
      <c r="B398" s="68" t="n">
        <v>45542</v>
      </c>
      <c r="C398" s="69" t="s">
        <v>159</v>
      </c>
      <c r="D398" s="69" t="s">
        <v>86</v>
      </c>
      <c r="E398" s="69" t="s">
        <v>98</v>
      </c>
      <c r="F398" s="69" t="s">
        <v>31</v>
      </c>
      <c r="G398" s="69" t="s">
        <v>171</v>
      </c>
      <c r="H398" s="0" t="n">
        <v>10</v>
      </c>
      <c r="I398" s="70" t="n">
        <v>117.6</v>
      </c>
      <c r="J398" s="70" t="n">
        <v>63.6</v>
      </c>
      <c r="K398" s="70" t="n">
        <f aca="false">IF(ISTEXT(H398),VALUE(H398),H398)*I398</f>
        <v>1176</v>
      </c>
    </row>
    <row r="399" customFormat="false" ht="15" hidden="false" customHeight="false" outlineLevel="0" collapsed="false">
      <c r="A399" s="0" t="n">
        <v>2349</v>
      </c>
      <c r="B399" s="68" t="n">
        <v>45992</v>
      </c>
      <c r="C399" s="69" t="s">
        <v>152</v>
      </c>
      <c r="D399" s="69" t="s">
        <v>109</v>
      </c>
      <c r="E399" s="69" t="s">
        <v>134</v>
      </c>
      <c r="F399" s="69" t="s">
        <v>102</v>
      </c>
      <c r="G399" s="69" t="s">
        <v>48</v>
      </c>
      <c r="H399" s="0" t="n">
        <v>58</v>
      </c>
      <c r="I399" s="70" t="n">
        <v>95.38</v>
      </c>
      <c r="J399" s="70" t="n">
        <v>49.41</v>
      </c>
      <c r="K399" s="70" t="n">
        <f aca="false">IF(ISTEXT(H399),VALUE(H399),H399)*I399</f>
        <v>5532.04</v>
      </c>
    </row>
    <row r="400" customFormat="false" ht="15" hidden="false" customHeight="false" outlineLevel="0" collapsed="false">
      <c r="A400" s="0" t="n">
        <v>1561</v>
      </c>
      <c r="B400" s="68" t="n">
        <v>45767</v>
      </c>
      <c r="C400" s="69" t="s">
        <v>193</v>
      </c>
      <c r="D400" s="69" t="s">
        <v>137</v>
      </c>
      <c r="E400" s="69" t="s">
        <v>138</v>
      </c>
      <c r="F400" s="69" t="s">
        <v>153</v>
      </c>
      <c r="G400" s="69" t="s">
        <v>151</v>
      </c>
      <c r="H400" s="0" t="n">
        <v>5</v>
      </c>
      <c r="I400" s="70" t="n">
        <v>1155.06</v>
      </c>
      <c r="J400" s="70" t="n">
        <v>766.32</v>
      </c>
      <c r="K400" s="70" t="n">
        <f aca="false">IF(ISTEXT(H400),VALUE(H400),H400)*I400</f>
        <v>5775.3</v>
      </c>
    </row>
    <row r="401" customFormat="false" ht="15" hidden="false" customHeight="false" outlineLevel="0" collapsed="false">
      <c r="A401" s="0" t="n">
        <v>773</v>
      </c>
      <c r="B401" s="69" t="s">
        <v>315</v>
      </c>
      <c r="C401" s="69" t="s">
        <v>193</v>
      </c>
      <c r="D401" s="69" t="s">
        <v>137</v>
      </c>
      <c r="E401" s="69" t="s">
        <v>110</v>
      </c>
      <c r="F401" s="69" t="s">
        <v>166</v>
      </c>
      <c r="G401" s="69" t="s">
        <v>171</v>
      </c>
      <c r="H401" s="0" t="n">
        <v>12</v>
      </c>
      <c r="I401" s="70" t="n">
        <v>117.6</v>
      </c>
      <c r="J401" s="70" t="n">
        <v>63.6</v>
      </c>
      <c r="K401" s="70" t="n">
        <f aca="false">IF(ISTEXT(H401),VALUE(H401),H401)*I401</f>
        <v>1411.2</v>
      </c>
    </row>
    <row r="402" customFormat="false" ht="15" hidden="false" customHeight="false" outlineLevel="0" collapsed="false">
      <c r="A402" s="0" t="n">
        <v>2373</v>
      </c>
      <c r="B402" s="68" t="n">
        <v>45998</v>
      </c>
      <c r="C402" s="69" t="s">
        <v>136</v>
      </c>
      <c r="D402" s="69" t="s">
        <v>137</v>
      </c>
      <c r="E402" s="69" t="s">
        <v>92</v>
      </c>
      <c r="F402" s="69" t="s">
        <v>166</v>
      </c>
      <c r="G402" s="69" t="s">
        <v>156</v>
      </c>
      <c r="H402" s="0" t="n">
        <v>17</v>
      </c>
      <c r="I402" s="70" t="n">
        <v>120.47</v>
      </c>
      <c r="J402" s="70" t="n">
        <v>65.51</v>
      </c>
      <c r="K402" s="70" t="n">
        <f aca="false">IF(ISTEXT(H402),VALUE(H402),H402)*I402</f>
        <v>2047.99</v>
      </c>
    </row>
    <row r="403" customFormat="false" ht="15" hidden="false" customHeight="false" outlineLevel="0" collapsed="false">
      <c r="A403" s="0" t="n">
        <v>1813</v>
      </c>
      <c r="B403" s="68" t="n">
        <v>45840</v>
      </c>
      <c r="C403" s="69" t="s">
        <v>170</v>
      </c>
      <c r="D403" s="69" t="s">
        <v>97</v>
      </c>
      <c r="E403" s="69" t="s">
        <v>101</v>
      </c>
      <c r="F403" s="69" t="s">
        <v>166</v>
      </c>
      <c r="G403" s="69" t="s">
        <v>156</v>
      </c>
      <c r="H403" s="0" t="n">
        <v>44</v>
      </c>
      <c r="I403" s="70" t="n">
        <v>120.47</v>
      </c>
      <c r="J403" s="70" t="n">
        <v>65.51</v>
      </c>
      <c r="K403" s="70" t="n">
        <f aca="false">IF(ISTEXT(H403),VALUE(H403),H403)*I403</f>
        <v>5300.68</v>
      </c>
    </row>
    <row r="404" customFormat="false" ht="15" hidden="false" customHeight="false" outlineLevel="0" collapsed="false">
      <c r="A404" s="0" t="n">
        <v>1017</v>
      </c>
      <c r="B404" s="69" t="s">
        <v>316</v>
      </c>
      <c r="C404" s="69" t="s">
        <v>124</v>
      </c>
      <c r="D404" s="69" t="s">
        <v>97</v>
      </c>
      <c r="E404" s="69" t="s">
        <v>110</v>
      </c>
      <c r="F404" s="69" t="s">
        <v>168</v>
      </c>
      <c r="G404" s="69" t="s">
        <v>52</v>
      </c>
      <c r="H404" s="0" t="s">
        <v>317</v>
      </c>
      <c r="I404" s="70" t="n">
        <v>127.4</v>
      </c>
      <c r="J404" s="70" t="n">
        <v>76.05</v>
      </c>
      <c r="K404" s="70" t="n">
        <f aca="false">IF(ISTEXT(H404),VALUE(H404),H404)*I404</f>
        <v>8663.2</v>
      </c>
    </row>
    <row r="405" customFormat="false" ht="15" hidden="false" customHeight="false" outlineLevel="0" collapsed="false">
      <c r="A405" s="0" t="n">
        <v>2218</v>
      </c>
      <c r="B405" s="69" t="s">
        <v>318</v>
      </c>
      <c r="C405" s="69" t="s">
        <v>170</v>
      </c>
      <c r="D405" s="69" t="s">
        <v>97</v>
      </c>
      <c r="E405" s="69" t="s">
        <v>107</v>
      </c>
      <c r="F405" s="69" t="s">
        <v>182</v>
      </c>
      <c r="G405" s="69" t="s">
        <v>52</v>
      </c>
      <c r="H405" s="0" t="n">
        <v>42</v>
      </c>
      <c r="I405" s="70" t="n">
        <v>130.51</v>
      </c>
      <c r="J405" s="70" t="n">
        <v>78.33</v>
      </c>
      <c r="K405" s="70" t="n">
        <f aca="false">IF(ISTEXT(H405),VALUE(H405),H405)*I405</f>
        <v>5481.42</v>
      </c>
    </row>
    <row r="406" customFormat="false" ht="15" hidden="false" customHeight="false" outlineLevel="0" collapsed="false">
      <c r="A406" s="0" t="n">
        <v>2010</v>
      </c>
      <c r="B406" s="69" t="s">
        <v>319</v>
      </c>
      <c r="C406" s="69" t="s">
        <v>124</v>
      </c>
      <c r="D406" s="69"/>
      <c r="E406" s="69" t="s">
        <v>119</v>
      </c>
      <c r="F406" s="69" t="s">
        <v>99</v>
      </c>
      <c r="G406" s="69" t="s">
        <v>172</v>
      </c>
      <c r="H406" s="0" t="n">
        <v>57</v>
      </c>
      <c r="I406" s="70" t="n">
        <v>95.38</v>
      </c>
      <c r="J406" s="70" t="n">
        <v>49.41</v>
      </c>
      <c r="K406" s="70" t="n">
        <f aca="false">IF(ISTEXT(H406),VALUE(H406),H406)*I406</f>
        <v>5436.66</v>
      </c>
    </row>
    <row r="407" customFormat="false" ht="15" hidden="false" customHeight="false" outlineLevel="0" collapsed="false">
      <c r="A407" s="0" t="n">
        <v>1188</v>
      </c>
      <c r="B407" s="68" t="n">
        <v>45627</v>
      </c>
      <c r="C407" s="69" t="s">
        <v>34</v>
      </c>
      <c r="D407" s="69" t="s">
        <v>112</v>
      </c>
      <c r="E407" s="69" t="s">
        <v>125</v>
      </c>
      <c r="F407" s="69" t="s">
        <v>102</v>
      </c>
      <c r="G407" s="69" t="s">
        <v>103</v>
      </c>
      <c r="H407" s="0" t="n">
        <v>19</v>
      </c>
      <c r="I407" s="70" t="n">
        <v>27.44</v>
      </c>
      <c r="J407" s="70" t="n">
        <v>13.44</v>
      </c>
      <c r="K407" s="70" t="n">
        <f aca="false">IF(ISTEXT(H407),VALUE(H407),H407)*I407</f>
        <v>521.36</v>
      </c>
    </row>
    <row r="408" customFormat="false" ht="15" hidden="false" customHeight="false" outlineLevel="0" collapsed="false">
      <c r="A408" s="0" t="n">
        <v>1277</v>
      </c>
      <c r="B408" s="68" t="n">
        <v>45660</v>
      </c>
      <c r="C408" s="69" t="s">
        <v>136</v>
      </c>
      <c r="D408" s="69" t="s">
        <v>137</v>
      </c>
      <c r="E408" s="69" t="s">
        <v>138</v>
      </c>
      <c r="F408" s="69" t="s">
        <v>182</v>
      </c>
      <c r="G408" s="69" t="s">
        <v>130</v>
      </c>
      <c r="H408" s="0" t="n">
        <v>15</v>
      </c>
      <c r="I408" s="70" t="n">
        <v>129.17</v>
      </c>
      <c r="J408" s="70" t="n">
        <v>78.33</v>
      </c>
      <c r="K408" s="70" t="n">
        <f aca="false">IF(ISTEXT(H408),VALUE(H408),H408)*I408</f>
        <v>1937.55</v>
      </c>
    </row>
    <row r="409" customFormat="false" ht="15" hidden="false" customHeight="false" outlineLevel="0" collapsed="false">
      <c r="A409" s="0" t="n">
        <v>731</v>
      </c>
      <c r="B409" s="68" t="n">
        <v>45519</v>
      </c>
      <c r="C409" s="69" t="s">
        <v>159</v>
      </c>
      <c r="D409" s="69" t="s">
        <v>86</v>
      </c>
      <c r="E409" s="69" t="s">
        <v>92</v>
      </c>
      <c r="F409" s="69" t="s">
        <v>155</v>
      </c>
      <c r="G409" s="69" t="s">
        <v>208</v>
      </c>
      <c r="H409" s="0" t="n">
        <v>58</v>
      </c>
      <c r="I409" s="70" t="n">
        <v>63.7</v>
      </c>
      <c r="J409" s="70" t="n">
        <v>35.43</v>
      </c>
      <c r="K409" s="70" t="n">
        <f aca="false">IF(ISTEXT(H409),VALUE(H409),H409)*I409</f>
        <v>3694.6</v>
      </c>
    </row>
    <row r="410" customFormat="false" ht="15" hidden="false" customHeight="false" outlineLevel="0" collapsed="false">
      <c r="A410" s="0" t="n">
        <v>563</v>
      </c>
      <c r="B410" s="69" t="s">
        <v>320</v>
      </c>
      <c r="C410" s="69" t="s">
        <v>136</v>
      </c>
      <c r="D410" s="69" t="s">
        <v>137</v>
      </c>
      <c r="E410" s="69" t="s">
        <v>101</v>
      </c>
      <c r="F410" s="69" t="s">
        <v>153</v>
      </c>
      <c r="G410" s="69" t="s">
        <v>89</v>
      </c>
      <c r="H410" s="0" t="n">
        <v>7</v>
      </c>
      <c r="I410" s="70" t="n">
        <v>441</v>
      </c>
      <c r="J410" s="70" t="n">
        <v>272.25</v>
      </c>
      <c r="K410" s="70" t="n">
        <f aca="false">IF(ISTEXT(H410),VALUE(H410),H410)*I410</f>
        <v>3087</v>
      </c>
    </row>
    <row r="411" customFormat="false" ht="15" hidden="false" customHeight="false" outlineLevel="0" collapsed="false">
      <c r="A411" s="0" t="n">
        <v>1882</v>
      </c>
      <c r="B411" s="69" t="s">
        <v>321</v>
      </c>
      <c r="C411" s="69" t="s">
        <v>161</v>
      </c>
      <c r="D411" s="69" t="s">
        <v>112</v>
      </c>
      <c r="E411" s="69" t="s">
        <v>125</v>
      </c>
      <c r="F411" s="69" t="s">
        <v>26</v>
      </c>
      <c r="G411" s="69" t="s">
        <v>154</v>
      </c>
      <c r="H411" s="0" t="n">
        <v>5</v>
      </c>
      <c r="I411" s="70" t="n">
        <v>1204.74</v>
      </c>
      <c r="J411" s="70" t="n">
        <v>766.32</v>
      </c>
      <c r="K411" s="70" t="n">
        <f aca="false">IF(ISTEXT(H411),VALUE(H411),H411)*I411</f>
        <v>6023.7</v>
      </c>
    </row>
    <row r="412" customFormat="false" ht="15" hidden="false" customHeight="false" outlineLevel="0" collapsed="false">
      <c r="A412" s="0" t="n">
        <v>1275</v>
      </c>
      <c r="B412" s="68" t="n">
        <v>45673</v>
      </c>
      <c r="C412" s="69" t="s">
        <v>136</v>
      </c>
      <c r="D412" s="69" t="s">
        <v>137</v>
      </c>
      <c r="E412" s="69" t="s">
        <v>138</v>
      </c>
      <c r="F412" s="69" t="s">
        <v>166</v>
      </c>
      <c r="G412" s="69" t="s">
        <v>111</v>
      </c>
      <c r="H412" s="0" t="n">
        <v>11</v>
      </c>
      <c r="I412" s="70" t="n">
        <v>84.46</v>
      </c>
      <c r="J412" s="70" t="n">
        <v>49.47</v>
      </c>
      <c r="K412" s="70" t="n">
        <f aca="false">IF(ISTEXT(H412),VALUE(H412),H412)*I412</f>
        <v>929.06</v>
      </c>
    </row>
    <row r="413" customFormat="false" ht="15" hidden="false" customHeight="false" outlineLevel="0" collapsed="false">
      <c r="A413" s="0" t="n">
        <v>264</v>
      </c>
      <c r="B413" s="68" t="n">
        <v>45364</v>
      </c>
      <c r="C413" s="69" t="s">
        <v>136</v>
      </c>
      <c r="D413" s="69" t="s">
        <v>137</v>
      </c>
      <c r="E413" s="69" t="s">
        <v>125</v>
      </c>
      <c r="F413" s="69" t="s">
        <v>153</v>
      </c>
      <c r="G413" s="69" t="s">
        <v>89</v>
      </c>
      <c r="H413" s="0" t="n">
        <v>2</v>
      </c>
      <c r="I413" s="70" t="n">
        <v>441</v>
      </c>
      <c r="J413" s="70" t="n">
        <v>272.25</v>
      </c>
      <c r="K413" s="70" t="n">
        <f aca="false">IF(ISTEXT(H413),VALUE(H413),H413)*I413</f>
        <v>882</v>
      </c>
    </row>
    <row r="414" customFormat="false" ht="15" hidden="false" customHeight="false" outlineLevel="0" collapsed="false">
      <c r="A414" s="0" t="n">
        <v>1028</v>
      </c>
      <c r="B414" s="68" t="n">
        <v>45611</v>
      </c>
      <c r="C414" s="69" t="s">
        <v>120</v>
      </c>
      <c r="D414" s="69" t="s">
        <v>86</v>
      </c>
      <c r="E414" s="69" t="s">
        <v>87</v>
      </c>
      <c r="F414" s="69" t="s">
        <v>99</v>
      </c>
      <c r="G414" s="69" t="s">
        <v>47</v>
      </c>
      <c r="H414" s="0" t="s">
        <v>322</v>
      </c>
      <c r="I414" s="70" t="n">
        <v>27.44</v>
      </c>
      <c r="J414" s="70" t="n">
        <v>13.44</v>
      </c>
      <c r="K414" s="70" t="n">
        <f aca="false">IF(ISTEXT(H414),VALUE(H414),H414)*I414</f>
        <v>740.88</v>
      </c>
    </row>
    <row r="415" customFormat="false" ht="15" hidden="false" customHeight="false" outlineLevel="0" collapsed="false">
      <c r="A415" s="0" t="n">
        <v>1678</v>
      </c>
      <c r="B415" s="68" t="n">
        <v>45779</v>
      </c>
      <c r="C415" s="69" t="s">
        <v>136</v>
      </c>
      <c r="D415" s="69" t="s">
        <v>137</v>
      </c>
      <c r="E415" s="69" t="s">
        <v>125</v>
      </c>
      <c r="F415" s="69" t="s">
        <v>33</v>
      </c>
      <c r="G415" s="69" t="s">
        <v>52</v>
      </c>
      <c r="H415" s="0" t="n">
        <v>11</v>
      </c>
      <c r="I415" s="70" t="n">
        <v>129.17</v>
      </c>
      <c r="J415" s="70" t="n">
        <v>78.33</v>
      </c>
      <c r="K415" s="70" t="n">
        <f aca="false">IF(ISTEXT(H415),VALUE(H415),H415)*I415</f>
        <v>1420.87</v>
      </c>
    </row>
    <row r="416" customFormat="false" ht="15" hidden="false" customHeight="false" outlineLevel="0" collapsed="false">
      <c r="A416" s="0" t="n">
        <v>1222</v>
      </c>
      <c r="B416" s="69" t="s">
        <v>323</v>
      </c>
      <c r="C416" s="69" t="s">
        <v>159</v>
      </c>
      <c r="D416" s="69" t="s">
        <v>86</v>
      </c>
      <c r="E416" s="69" t="s">
        <v>87</v>
      </c>
      <c r="F416" s="69" t="s">
        <v>147</v>
      </c>
      <c r="G416" s="69" t="s">
        <v>151</v>
      </c>
      <c r="H416" s="0" t="s">
        <v>222</v>
      </c>
      <c r="I416" s="70" t="n">
        <v>1155.06</v>
      </c>
      <c r="J416" s="70" t="n">
        <v>766.32</v>
      </c>
      <c r="K416" s="70" t="n">
        <f aca="false">IF(ISTEXT(H416),VALUE(H416),H416)*I416</f>
        <v>6930.36</v>
      </c>
    </row>
    <row r="417" customFormat="false" ht="15" hidden="false" customHeight="false" outlineLevel="0" collapsed="false">
      <c r="A417" s="0" t="n">
        <v>42</v>
      </c>
      <c r="B417" s="68" t="n">
        <v>45316</v>
      </c>
      <c r="C417" s="69" t="s">
        <v>152</v>
      </c>
      <c r="D417" s="69" t="s">
        <v>109</v>
      </c>
      <c r="E417" s="69" t="s">
        <v>180</v>
      </c>
      <c r="F417" s="69" t="s">
        <v>147</v>
      </c>
      <c r="G417" s="69" t="s">
        <v>151</v>
      </c>
      <c r="H417" s="0" t="n">
        <v>3</v>
      </c>
      <c r="I417" s="70" t="n">
        <v>1176</v>
      </c>
      <c r="J417" s="70" t="n">
        <v>744</v>
      </c>
      <c r="K417" s="70" t="n">
        <f aca="false">IF(ISTEXT(H417),VALUE(H417),H417)*I417</f>
        <v>3528</v>
      </c>
    </row>
    <row r="418" customFormat="false" ht="15" hidden="false" customHeight="false" outlineLevel="0" collapsed="false">
      <c r="A418" s="0" t="n">
        <v>1214</v>
      </c>
      <c r="B418" s="68" t="n">
        <v>45678</v>
      </c>
      <c r="C418" s="69" t="s">
        <v>25</v>
      </c>
      <c r="D418" s="69" t="s">
        <v>97</v>
      </c>
      <c r="E418" s="69" t="s">
        <v>87</v>
      </c>
      <c r="F418" s="69" t="s">
        <v>115</v>
      </c>
      <c r="G418" s="69" t="s">
        <v>171</v>
      </c>
      <c r="H418" s="0" t="n">
        <v>27</v>
      </c>
      <c r="I418" s="70" t="n">
        <v>119.23</v>
      </c>
      <c r="J418" s="70" t="n">
        <v>65.51</v>
      </c>
      <c r="K418" s="70" t="n">
        <f aca="false">IF(ISTEXT(H418),VALUE(H418),H418)*I418</f>
        <v>3219.21</v>
      </c>
    </row>
    <row r="419" customFormat="false" ht="15" hidden="false" customHeight="false" outlineLevel="0" collapsed="false">
      <c r="A419" s="0" t="n">
        <v>1432</v>
      </c>
      <c r="B419" s="69" t="s">
        <v>324</v>
      </c>
      <c r="C419" s="69" t="s">
        <v>120</v>
      </c>
      <c r="D419" s="69" t="s">
        <v>86</v>
      </c>
      <c r="E419" s="69" t="s">
        <v>87</v>
      </c>
      <c r="F419" s="69" t="s">
        <v>99</v>
      </c>
      <c r="G419" s="69" t="s">
        <v>144</v>
      </c>
      <c r="H419" s="0" t="n">
        <v>30</v>
      </c>
      <c r="I419" s="70" t="n">
        <v>64.58</v>
      </c>
      <c r="J419" s="70" t="n">
        <v>36.49</v>
      </c>
      <c r="K419" s="70" t="n">
        <f aca="false">IF(ISTEXT(H419),VALUE(H419),H419)*I419</f>
        <v>1937.4</v>
      </c>
    </row>
    <row r="420" customFormat="false" ht="15" hidden="false" customHeight="false" outlineLevel="0" collapsed="false">
      <c r="A420" s="0" t="n">
        <v>2216</v>
      </c>
      <c r="B420" s="68" t="n">
        <v>45976</v>
      </c>
      <c r="C420" s="69" t="s">
        <v>170</v>
      </c>
      <c r="D420" s="69"/>
      <c r="E420" s="69" t="s">
        <v>119</v>
      </c>
      <c r="F420" s="69" t="s">
        <v>115</v>
      </c>
      <c r="G420" s="69" t="s">
        <v>116</v>
      </c>
      <c r="H420" s="0" t="s">
        <v>325</v>
      </c>
      <c r="I420" s="70" t="n">
        <v>85.34</v>
      </c>
      <c r="J420" s="70" t="n">
        <v>49.47</v>
      </c>
      <c r="K420" s="70" t="n">
        <f aca="false">IF(ISTEXT(H420),VALUE(H420),H420)*I420</f>
        <v>3328.26</v>
      </c>
    </row>
    <row r="421" customFormat="false" ht="15" hidden="false" customHeight="false" outlineLevel="0" collapsed="false">
      <c r="A421" s="0" t="n">
        <v>2065</v>
      </c>
      <c r="B421" s="68" t="n">
        <v>45911</v>
      </c>
      <c r="C421" s="69" t="s">
        <v>136</v>
      </c>
      <c r="D421" s="69" t="s">
        <v>137</v>
      </c>
      <c r="E421" s="69" t="s">
        <v>138</v>
      </c>
      <c r="F421" s="69" t="s">
        <v>153</v>
      </c>
      <c r="G421" s="69" t="s">
        <v>45</v>
      </c>
      <c r="H421" s="0" t="n">
        <v>6</v>
      </c>
      <c r="I421" s="70" t="n">
        <v>1656.52</v>
      </c>
      <c r="J421" s="70" t="n">
        <v>1155.66</v>
      </c>
      <c r="K421" s="70" t="n">
        <f aca="false">IF(ISTEXT(H421),VALUE(H421),H421)*I421</f>
        <v>9939.12</v>
      </c>
    </row>
    <row r="422" customFormat="false" ht="15" hidden="false" customHeight="false" outlineLevel="0" collapsed="false">
      <c r="A422" s="0" t="n">
        <v>1759</v>
      </c>
      <c r="B422" s="69" t="s">
        <v>326</v>
      </c>
      <c r="C422" s="69" t="s">
        <v>30</v>
      </c>
      <c r="D422" s="69" t="s">
        <v>109</v>
      </c>
      <c r="E422" s="69" t="s">
        <v>121</v>
      </c>
      <c r="F422" s="69" t="s">
        <v>93</v>
      </c>
      <c r="G422" s="69" t="s">
        <v>94</v>
      </c>
      <c r="H422" s="0" t="n">
        <v>28</v>
      </c>
      <c r="I422" s="70" t="n">
        <v>34.78</v>
      </c>
      <c r="J422" s="70" t="n">
        <v>18.39</v>
      </c>
      <c r="K422" s="70" t="n">
        <f aca="false">IF(ISTEXT(H422),VALUE(H422),H422)*I422</f>
        <v>973.84</v>
      </c>
    </row>
    <row r="423" customFormat="false" ht="15" hidden="false" customHeight="false" outlineLevel="0" collapsed="false">
      <c r="A423" s="0" t="n">
        <v>771</v>
      </c>
      <c r="B423" s="69" t="s">
        <v>327</v>
      </c>
      <c r="C423" s="69" t="s">
        <v>32</v>
      </c>
      <c r="D423" s="69" t="s">
        <v>137</v>
      </c>
      <c r="E423" s="69" t="s">
        <v>101</v>
      </c>
      <c r="F423" s="69" t="s">
        <v>99</v>
      </c>
      <c r="G423" s="69" t="s">
        <v>208</v>
      </c>
      <c r="H423" s="0" t="n">
        <v>33</v>
      </c>
      <c r="I423" s="70" t="n">
        <v>63.7</v>
      </c>
      <c r="J423" s="70" t="n">
        <v>35.43</v>
      </c>
      <c r="K423" s="70" t="n">
        <f aca="false">IF(ISTEXT(H423),VALUE(H423),H423)*I423</f>
        <v>2102.1</v>
      </c>
    </row>
    <row r="424" customFormat="false" ht="15" hidden="false" customHeight="false" outlineLevel="0" collapsed="false">
      <c r="A424" s="0" t="n">
        <v>48</v>
      </c>
      <c r="B424" s="68" t="n">
        <v>45304</v>
      </c>
      <c r="C424" s="69" t="s">
        <v>30</v>
      </c>
      <c r="D424" s="69" t="s">
        <v>109</v>
      </c>
      <c r="E424" s="69" t="s">
        <v>107</v>
      </c>
      <c r="F424" s="69" t="s">
        <v>99</v>
      </c>
      <c r="G424" s="69" t="s">
        <v>47</v>
      </c>
      <c r="H424" s="0" t="s">
        <v>328</v>
      </c>
      <c r="I424" s="70" t="n">
        <v>27.44</v>
      </c>
      <c r="J424" s="70" t="n">
        <v>13.44</v>
      </c>
      <c r="K424" s="70" t="n">
        <f aca="false">IF(ISTEXT(H424),VALUE(H424),H424)*I424</f>
        <v>329.28</v>
      </c>
    </row>
    <row r="425" customFormat="false" ht="15" hidden="false" customHeight="false" outlineLevel="0" collapsed="false">
      <c r="A425" s="0" t="n">
        <v>1470</v>
      </c>
      <c r="B425" s="69" t="s">
        <v>329</v>
      </c>
      <c r="C425" s="69" t="s">
        <v>136</v>
      </c>
      <c r="D425" s="69" t="s">
        <v>137</v>
      </c>
      <c r="E425" s="69" t="s">
        <v>107</v>
      </c>
      <c r="F425" s="69" t="s">
        <v>155</v>
      </c>
      <c r="G425" s="69" t="s">
        <v>172</v>
      </c>
      <c r="H425" s="0" t="s">
        <v>221</v>
      </c>
      <c r="I425" s="70" t="n">
        <v>94.39</v>
      </c>
      <c r="J425" s="70" t="n">
        <v>49.41</v>
      </c>
      <c r="K425" s="70" t="n">
        <f aca="false">IF(ISTEXT(H425),VALUE(H425),H425)*I425</f>
        <v>2170.97</v>
      </c>
    </row>
    <row r="426" customFormat="false" ht="15" hidden="false" customHeight="false" outlineLevel="0" collapsed="false">
      <c r="A426" s="0" t="n">
        <v>1802</v>
      </c>
      <c r="B426" s="68" t="n">
        <v>45844</v>
      </c>
      <c r="C426" s="69" t="s">
        <v>150</v>
      </c>
      <c r="D426" s="69" t="s">
        <v>97</v>
      </c>
      <c r="E426" s="69" t="s">
        <v>180</v>
      </c>
      <c r="F426" s="69" t="s">
        <v>139</v>
      </c>
      <c r="G426" s="69" t="s">
        <v>41</v>
      </c>
      <c r="H426" s="0" t="n">
        <v>13</v>
      </c>
      <c r="I426" s="70" t="n">
        <v>1204.74</v>
      </c>
      <c r="J426" s="70" t="n">
        <v>766.32</v>
      </c>
      <c r="K426" s="70" t="n">
        <f aca="false">IF(ISTEXT(H426),VALUE(H426),H426)*I426</f>
        <v>15661.62</v>
      </c>
    </row>
    <row r="427" customFormat="false" ht="15" hidden="false" customHeight="false" outlineLevel="0" collapsed="false">
      <c r="A427" s="0" t="n">
        <v>256</v>
      </c>
      <c r="B427" s="69" t="s">
        <v>330</v>
      </c>
      <c r="C427" s="69" t="s">
        <v>152</v>
      </c>
      <c r="D427" s="69" t="s">
        <v>109</v>
      </c>
      <c r="E427" s="69" t="s">
        <v>125</v>
      </c>
      <c r="F427" s="69" t="s">
        <v>162</v>
      </c>
      <c r="G427" s="69" t="s">
        <v>116</v>
      </c>
      <c r="H427" s="0" t="n">
        <v>7</v>
      </c>
      <c r="I427" s="70" t="n">
        <v>83.3</v>
      </c>
      <c r="J427" s="70" t="n">
        <v>48.03</v>
      </c>
      <c r="K427" s="70" t="n">
        <f aca="false">IF(ISTEXT(H427),VALUE(H427),H427)*I427</f>
        <v>583.1</v>
      </c>
    </row>
    <row r="428" customFormat="false" ht="15" hidden="false" customHeight="false" outlineLevel="0" collapsed="false">
      <c r="A428" s="0" t="n">
        <v>1989</v>
      </c>
      <c r="B428" s="68" t="n">
        <v>45888</v>
      </c>
      <c r="C428" s="69" t="s">
        <v>34</v>
      </c>
      <c r="D428" s="69" t="s">
        <v>112</v>
      </c>
      <c r="E428" s="69" t="s">
        <v>92</v>
      </c>
      <c r="F428" s="69" t="s">
        <v>102</v>
      </c>
      <c r="G428" s="69" t="s">
        <v>235</v>
      </c>
      <c r="H428" s="0" t="n">
        <v>28</v>
      </c>
      <c r="I428" s="70" t="n">
        <v>95.38</v>
      </c>
      <c r="J428" s="70" t="n">
        <v>49.41</v>
      </c>
      <c r="K428" s="70" t="n">
        <f aca="false">IF(ISTEXT(H428),VALUE(H428),H428)*I428</f>
        <v>2670.64</v>
      </c>
    </row>
    <row r="429" customFormat="false" ht="15" hidden="false" customHeight="false" outlineLevel="0" collapsed="false">
      <c r="A429" s="0" t="n">
        <v>393</v>
      </c>
      <c r="B429" s="68" t="n">
        <v>45407</v>
      </c>
      <c r="C429" s="69" t="s">
        <v>142</v>
      </c>
      <c r="D429" s="69" t="s">
        <v>112</v>
      </c>
      <c r="E429" s="69" t="s">
        <v>101</v>
      </c>
      <c r="F429" s="69" t="s">
        <v>162</v>
      </c>
      <c r="G429" s="69" t="s">
        <v>171</v>
      </c>
      <c r="H429" s="0" t="n">
        <v>15</v>
      </c>
      <c r="I429" s="70" t="n">
        <v>117.6</v>
      </c>
      <c r="J429" s="70" t="n">
        <v>63.6</v>
      </c>
      <c r="K429" s="70" t="n">
        <f aca="false">IF(ISTEXT(H429),VALUE(H429),H429)*I429</f>
        <v>1764</v>
      </c>
    </row>
    <row r="430" customFormat="false" ht="15" hidden="false" customHeight="false" outlineLevel="0" collapsed="false">
      <c r="A430" s="0" t="n">
        <v>997</v>
      </c>
      <c r="B430" s="69" t="s">
        <v>331</v>
      </c>
      <c r="C430" s="69" t="s">
        <v>161</v>
      </c>
      <c r="D430" s="69" t="s">
        <v>112</v>
      </c>
      <c r="E430" s="69" t="s">
        <v>101</v>
      </c>
      <c r="F430" s="69" t="s">
        <v>168</v>
      </c>
      <c r="G430" s="69" t="s">
        <v>127</v>
      </c>
      <c r="H430" s="0" t="n">
        <v>21</v>
      </c>
      <c r="I430" s="70" t="n">
        <v>127.4</v>
      </c>
      <c r="J430" s="70" t="n">
        <v>76.05</v>
      </c>
      <c r="K430" s="70" t="n">
        <f aca="false">IF(ISTEXT(H430),VALUE(H430),H430)*I430</f>
        <v>2675.4</v>
      </c>
    </row>
    <row r="431" customFormat="false" ht="15" hidden="false" customHeight="false" outlineLevel="0" collapsed="false">
      <c r="A431" s="0" t="n">
        <v>2013</v>
      </c>
      <c r="B431" s="68" t="n">
        <v>45925</v>
      </c>
      <c r="C431" s="69" t="s">
        <v>170</v>
      </c>
      <c r="D431" s="69" t="s">
        <v>97</v>
      </c>
      <c r="E431" s="69" t="s">
        <v>110</v>
      </c>
      <c r="F431" s="69" t="s">
        <v>115</v>
      </c>
      <c r="G431" s="69" t="s">
        <v>156</v>
      </c>
      <c r="H431" s="0" t="n">
        <v>46</v>
      </c>
      <c r="I431" s="70" t="n">
        <v>120.47</v>
      </c>
      <c r="J431" s="70" t="n">
        <v>65.51</v>
      </c>
      <c r="K431" s="70" t="n">
        <f aca="false">IF(ISTEXT(H431),VALUE(H431),H431)*I431</f>
        <v>5541.62</v>
      </c>
    </row>
    <row r="432" customFormat="false" ht="15" hidden="false" customHeight="false" outlineLevel="0" collapsed="false">
      <c r="A432" s="0" t="n">
        <v>1182</v>
      </c>
      <c r="B432" s="68" t="n">
        <v>45639</v>
      </c>
      <c r="C432" s="69" t="s">
        <v>161</v>
      </c>
      <c r="D432" s="69" t="s">
        <v>112</v>
      </c>
      <c r="E432" s="69" t="s">
        <v>125</v>
      </c>
      <c r="F432" s="69" t="s">
        <v>135</v>
      </c>
      <c r="G432" s="69" t="s">
        <v>154</v>
      </c>
      <c r="H432" s="0" t="n">
        <v>4</v>
      </c>
      <c r="I432" s="70" t="n">
        <v>1176</v>
      </c>
      <c r="J432" s="70" t="n">
        <v>744</v>
      </c>
      <c r="K432" s="70" t="n">
        <f aca="false">IF(ISTEXT(H432),VALUE(H432),H432)*I432</f>
        <v>4704</v>
      </c>
    </row>
    <row r="433" customFormat="false" ht="15" hidden="false" customHeight="false" outlineLevel="0" collapsed="false">
      <c r="A433" s="0" t="n">
        <v>2155</v>
      </c>
      <c r="B433" s="68" t="n">
        <v>45950</v>
      </c>
      <c r="C433" s="69" t="s">
        <v>152</v>
      </c>
      <c r="D433" s="69" t="s">
        <v>109</v>
      </c>
      <c r="E433" s="69" t="s">
        <v>101</v>
      </c>
      <c r="F433" s="69" t="s">
        <v>166</v>
      </c>
      <c r="G433" s="69" t="s">
        <v>51</v>
      </c>
      <c r="H433" s="0" t="n">
        <v>16</v>
      </c>
      <c r="I433" s="70" t="n">
        <v>85.34</v>
      </c>
      <c r="J433" s="70" t="n">
        <v>49.47</v>
      </c>
      <c r="K433" s="70" t="n">
        <f aca="false">IF(ISTEXT(H433),VALUE(H433),H433)*I433</f>
        <v>1365.44</v>
      </c>
    </row>
    <row r="434" customFormat="false" ht="15" hidden="false" customHeight="false" outlineLevel="0" collapsed="false">
      <c r="A434" s="0" t="n">
        <v>1086</v>
      </c>
      <c r="B434" s="69" t="s">
        <v>332</v>
      </c>
      <c r="C434" s="69" t="s">
        <v>34</v>
      </c>
      <c r="D434" s="69" t="s">
        <v>112</v>
      </c>
      <c r="E434" s="69" t="s">
        <v>87</v>
      </c>
      <c r="F434" s="69" t="s">
        <v>147</v>
      </c>
      <c r="G434" s="69" t="s">
        <v>141</v>
      </c>
      <c r="H434" s="0" t="n">
        <v>3</v>
      </c>
      <c r="I434" s="70" t="n">
        <v>1617</v>
      </c>
      <c r="J434" s="70" t="n">
        <v>1122</v>
      </c>
      <c r="K434" s="70" t="n">
        <f aca="false">IF(ISTEXT(H434),VALUE(H434),H434)*I434</f>
        <v>4851</v>
      </c>
    </row>
    <row r="435" customFormat="false" ht="15" hidden="false" customHeight="false" outlineLevel="0" collapsed="false">
      <c r="A435" s="0" t="n">
        <v>2227</v>
      </c>
      <c r="B435" s="68" t="n">
        <v>45972</v>
      </c>
      <c r="C435" s="69" t="s">
        <v>120</v>
      </c>
      <c r="D435" s="69" t="s">
        <v>86</v>
      </c>
      <c r="E435" s="69" t="s">
        <v>134</v>
      </c>
      <c r="F435" s="69" t="s">
        <v>102</v>
      </c>
      <c r="G435" s="69" t="s">
        <v>47</v>
      </c>
      <c r="H435" s="0" t="n">
        <v>57</v>
      </c>
      <c r="I435" s="70" t="n">
        <v>28.11</v>
      </c>
      <c r="J435" s="70" t="n">
        <v>13.84</v>
      </c>
      <c r="K435" s="70" t="n">
        <f aca="false">IF(ISTEXT(H435),VALUE(H435),H435)*I435</f>
        <v>1602.27</v>
      </c>
    </row>
    <row r="436" customFormat="false" ht="15" hidden="false" customHeight="false" outlineLevel="0" collapsed="false">
      <c r="A436" s="0" t="n">
        <v>31</v>
      </c>
      <c r="B436" s="68" t="n">
        <v>45293</v>
      </c>
      <c r="C436" s="69" t="s">
        <v>120</v>
      </c>
      <c r="D436" s="69" t="s">
        <v>86</v>
      </c>
      <c r="E436" s="69" t="s">
        <v>101</v>
      </c>
      <c r="F436" s="69" t="s">
        <v>28</v>
      </c>
      <c r="G436" s="69" t="s">
        <v>49</v>
      </c>
      <c r="H436" s="0" t="n">
        <v>57</v>
      </c>
      <c r="I436" s="70" t="n">
        <v>63.7</v>
      </c>
      <c r="J436" s="70" t="n">
        <v>35.43</v>
      </c>
      <c r="K436" s="70" t="n">
        <f aca="false">IF(ISTEXT(H436),VALUE(H436),H436)*I436</f>
        <v>3630.9</v>
      </c>
    </row>
    <row r="437" customFormat="false" ht="15" hidden="false" customHeight="false" outlineLevel="0" collapsed="false">
      <c r="A437" s="0" t="n">
        <v>1764</v>
      </c>
      <c r="B437" s="68" t="n">
        <v>45818</v>
      </c>
      <c r="C437" s="69" t="s">
        <v>136</v>
      </c>
      <c r="D437" s="69" t="s">
        <v>137</v>
      </c>
      <c r="E437" s="69" t="s">
        <v>119</v>
      </c>
      <c r="F437" s="69" t="s">
        <v>147</v>
      </c>
      <c r="G437" s="69" t="s">
        <v>177</v>
      </c>
      <c r="H437" s="0" t="n">
        <v>5</v>
      </c>
      <c r="I437" s="70" t="n">
        <v>433.15</v>
      </c>
      <c r="J437" s="70" t="n">
        <v>280.42</v>
      </c>
      <c r="K437" s="70" t="n">
        <f aca="false">IF(ISTEXT(H437),VALUE(H437),H437)*I437</f>
        <v>2165.75</v>
      </c>
    </row>
    <row r="438" customFormat="false" ht="15" hidden="false" customHeight="false" outlineLevel="0" collapsed="false">
      <c r="A438" s="0" t="n">
        <v>2094</v>
      </c>
      <c r="B438" s="69" t="s">
        <v>333</v>
      </c>
      <c r="C438" s="69" t="s">
        <v>34</v>
      </c>
      <c r="D438" s="69" t="s">
        <v>112</v>
      </c>
      <c r="E438" s="69" t="s">
        <v>119</v>
      </c>
      <c r="F438" s="69" t="s">
        <v>115</v>
      </c>
      <c r="G438" s="69" t="s">
        <v>156</v>
      </c>
      <c r="H438" s="0" t="n">
        <v>8</v>
      </c>
      <c r="I438" s="70" t="n">
        <v>120.47</v>
      </c>
      <c r="J438" s="70" t="n">
        <v>65.51</v>
      </c>
      <c r="K438" s="70" t="n">
        <f aca="false">IF(ISTEXT(H438),VALUE(H438),H438)*I438</f>
        <v>963.76</v>
      </c>
    </row>
    <row r="439" customFormat="false" ht="15" hidden="false" customHeight="false" outlineLevel="0" collapsed="false">
      <c r="A439" s="0" t="n">
        <v>778</v>
      </c>
      <c r="B439" s="69" t="s">
        <v>334</v>
      </c>
      <c r="C439" s="69" t="s">
        <v>136</v>
      </c>
      <c r="D439" s="69" t="s">
        <v>137</v>
      </c>
      <c r="E439" s="69" t="s">
        <v>119</v>
      </c>
      <c r="F439" s="69" t="s">
        <v>93</v>
      </c>
      <c r="G439" s="69" t="s">
        <v>130</v>
      </c>
      <c r="H439" s="0" t="n">
        <v>7</v>
      </c>
      <c r="I439" s="70" t="n">
        <v>127.4</v>
      </c>
      <c r="J439" s="70" t="n">
        <v>76.05</v>
      </c>
      <c r="K439" s="70" t="n">
        <f aca="false">IF(ISTEXT(H439),VALUE(H439),H439)*I439</f>
        <v>891.8</v>
      </c>
    </row>
    <row r="440" customFormat="false" ht="15" hidden="false" customHeight="false" outlineLevel="0" collapsed="false">
      <c r="A440" s="0" t="n">
        <v>2132</v>
      </c>
      <c r="B440" s="69" t="s">
        <v>335</v>
      </c>
      <c r="C440" s="69" t="s">
        <v>27</v>
      </c>
      <c r="D440" s="69" t="s">
        <v>86</v>
      </c>
      <c r="E440" s="69" t="s">
        <v>180</v>
      </c>
      <c r="F440" s="69" t="s">
        <v>28</v>
      </c>
      <c r="G440" s="69" t="s">
        <v>49</v>
      </c>
      <c r="H440" s="0" t="n">
        <v>39</v>
      </c>
      <c r="I440" s="70" t="n">
        <v>65.26</v>
      </c>
      <c r="J440" s="70" t="n">
        <v>36.49</v>
      </c>
      <c r="K440" s="70" t="n">
        <f aca="false">IF(ISTEXT(H440),VALUE(H440),H440)*I440</f>
        <v>2545.14</v>
      </c>
    </row>
    <row r="441" customFormat="false" ht="15" hidden="false" customHeight="false" outlineLevel="0" collapsed="false">
      <c r="A441" s="0" t="n">
        <v>2393</v>
      </c>
      <c r="B441" s="69" t="s">
        <v>336</v>
      </c>
      <c r="C441" s="69" t="s">
        <v>142</v>
      </c>
      <c r="D441" s="69" t="s">
        <v>112</v>
      </c>
      <c r="E441" s="69" t="s">
        <v>110</v>
      </c>
      <c r="F441" s="69" t="s">
        <v>162</v>
      </c>
      <c r="G441" s="69" t="s">
        <v>156</v>
      </c>
      <c r="H441" s="0" t="n">
        <v>17</v>
      </c>
      <c r="I441" s="70" t="n">
        <v>120.47</v>
      </c>
      <c r="J441" s="70" t="n">
        <v>65.51</v>
      </c>
      <c r="K441" s="70" t="n">
        <f aca="false">IF(ISTEXT(H441),VALUE(H441),H441)*I441</f>
        <v>2047.99</v>
      </c>
    </row>
    <row r="442" customFormat="false" ht="15" hidden="false" customHeight="false" outlineLevel="0" collapsed="false">
      <c r="A442" s="0" t="n">
        <v>405</v>
      </c>
      <c r="B442" s="68" t="n">
        <v>45413</v>
      </c>
      <c r="C442" s="69" t="s">
        <v>170</v>
      </c>
      <c r="D442" s="69" t="s">
        <v>97</v>
      </c>
      <c r="E442" s="69" t="s">
        <v>110</v>
      </c>
      <c r="F442" s="69" t="s">
        <v>139</v>
      </c>
      <c r="G442" s="69" t="s">
        <v>141</v>
      </c>
      <c r="H442" s="0" t="n">
        <v>18</v>
      </c>
      <c r="I442" s="70" t="n">
        <v>1617</v>
      </c>
      <c r="J442" s="70" t="n">
        <v>1122</v>
      </c>
      <c r="K442" s="70" t="n">
        <f aca="false">IF(ISTEXT(H442),VALUE(H442),H442)*I442</f>
        <v>29106</v>
      </c>
    </row>
    <row r="443" customFormat="false" ht="15" hidden="false" customHeight="false" outlineLevel="0" collapsed="false">
      <c r="A443" s="0" t="n">
        <v>1361</v>
      </c>
      <c r="B443" s="68" t="n">
        <v>45712</v>
      </c>
      <c r="C443" s="69" t="s">
        <v>32</v>
      </c>
      <c r="D443" s="69" t="s">
        <v>137</v>
      </c>
      <c r="E443" s="69" t="s">
        <v>92</v>
      </c>
      <c r="F443" s="69" t="s">
        <v>135</v>
      </c>
      <c r="G443" s="69" t="s">
        <v>154</v>
      </c>
      <c r="H443" s="0" t="n">
        <v>5</v>
      </c>
      <c r="I443" s="70" t="n">
        <v>1155.06</v>
      </c>
      <c r="J443" s="70" t="n">
        <v>766.32</v>
      </c>
      <c r="K443" s="70" t="n">
        <f aca="false">IF(ISTEXT(H443),VALUE(H443),H443)*I443</f>
        <v>5775.3</v>
      </c>
    </row>
    <row r="444" customFormat="false" ht="15" hidden="false" customHeight="false" outlineLevel="0" collapsed="false">
      <c r="A444" s="0" t="n">
        <v>2253</v>
      </c>
      <c r="B444" s="68" t="n">
        <v>45965</v>
      </c>
      <c r="C444" s="69" t="s">
        <v>108</v>
      </c>
      <c r="D444" s="69" t="s">
        <v>109</v>
      </c>
      <c r="E444" s="69" t="s">
        <v>110</v>
      </c>
      <c r="F444" s="69" t="s">
        <v>115</v>
      </c>
      <c r="G444" s="69" t="s">
        <v>156</v>
      </c>
      <c r="H444" s="0" t="n">
        <v>22</v>
      </c>
      <c r="I444" s="70" t="n">
        <v>120.47</v>
      </c>
      <c r="J444" s="70" t="n">
        <v>65.51</v>
      </c>
      <c r="K444" s="70" t="n">
        <f aca="false">IF(ISTEXT(H444),VALUE(H444),H444)*I444</f>
        <v>2650.34</v>
      </c>
    </row>
    <row r="445" customFormat="false" ht="15" hidden="false" customHeight="false" outlineLevel="0" collapsed="false">
      <c r="A445" s="0" t="n">
        <v>2137</v>
      </c>
      <c r="B445" s="68" t="n">
        <v>45932</v>
      </c>
      <c r="C445" s="69" t="s">
        <v>159</v>
      </c>
      <c r="D445" s="69" t="s">
        <v>86</v>
      </c>
      <c r="E445" s="69" t="s">
        <v>92</v>
      </c>
      <c r="F445" s="69" t="s">
        <v>182</v>
      </c>
      <c r="G445" s="69" t="s">
        <v>130</v>
      </c>
      <c r="H445" s="0" t="n">
        <v>28</v>
      </c>
      <c r="I445" s="70" t="n">
        <v>130.51</v>
      </c>
      <c r="J445" s="70" t="n">
        <v>78.33</v>
      </c>
      <c r="K445" s="70" t="n">
        <f aca="false">IF(ISTEXT(H445),VALUE(H445),H445)*I445</f>
        <v>3654.28</v>
      </c>
    </row>
    <row r="446" customFormat="false" ht="15" hidden="false" customHeight="false" outlineLevel="0" collapsed="false">
      <c r="A446" s="0" t="n">
        <v>2152</v>
      </c>
      <c r="B446" s="68" t="n">
        <v>45956</v>
      </c>
      <c r="C446" s="69" t="s">
        <v>30</v>
      </c>
      <c r="D446" s="69" t="s">
        <v>109</v>
      </c>
      <c r="E446" s="69" t="s">
        <v>119</v>
      </c>
      <c r="F446" s="69" t="s">
        <v>155</v>
      </c>
      <c r="G446" s="69" t="s">
        <v>144</v>
      </c>
      <c r="H446" s="0" t="n">
        <v>33</v>
      </c>
      <c r="I446" s="70" t="n">
        <v>65.26</v>
      </c>
      <c r="J446" s="70" t="n">
        <v>36.49</v>
      </c>
      <c r="K446" s="70" t="n">
        <f aca="false">IF(ISTEXT(H446),VALUE(H446),H446)*I446</f>
        <v>2153.58</v>
      </c>
    </row>
    <row r="447" customFormat="false" ht="15" hidden="false" customHeight="false" outlineLevel="0" collapsed="false">
      <c r="A447" s="0" t="n">
        <v>58</v>
      </c>
      <c r="B447" s="69" t="s">
        <v>337</v>
      </c>
      <c r="C447" s="69" t="s">
        <v>118</v>
      </c>
      <c r="D447" s="69" t="s">
        <v>109</v>
      </c>
      <c r="E447" s="69" t="s">
        <v>180</v>
      </c>
      <c r="F447" s="69" t="s">
        <v>183</v>
      </c>
      <c r="G447" s="69" t="s">
        <v>52</v>
      </c>
      <c r="H447" s="0" t="n">
        <v>7</v>
      </c>
      <c r="I447" s="70" t="n">
        <v>127.4</v>
      </c>
      <c r="J447" s="70" t="n">
        <v>76.05</v>
      </c>
      <c r="K447" s="70" t="n">
        <f aca="false">IF(ISTEXT(H447),VALUE(H447),H447)*I447</f>
        <v>891.8</v>
      </c>
    </row>
    <row r="448" customFormat="false" ht="15" hidden="false" customHeight="false" outlineLevel="0" collapsed="false">
      <c r="A448" s="0" t="n">
        <v>339</v>
      </c>
      <c r="B448" s="69" t="s">
        <v>198</v>
      </c>
      <c r="C448" s="69" t="s">
        <v>91</v>
      </c>
      <c r="D448" s="69"/>
      <c r="E448" s="69" t="s">
        <v>101</v>
      </c>
      <c r="F448" s="69" t="s">
        <v>33</v>
      </c>
      <c r="G448" s="69" t="s">
        <v>217</v>
      </c>
      <c r="H448" s="0" t="n">
        <v>34</v>
      </c>
      <c r="I448" s="70" t="n">
        <v>34.3</v>
      </c>
      <c r="J448" s="70" t="n">
        <v>17.85</v>
      </c>
      <c r="K448" s="70" t="n">
        <f aca="false">IF(ISTEXT(H448),VALUE(H448),H448)*I448</f>
        <v>1166.2</v>
      </c>
    </row>
    <row r="449" customFormat="false" ht="15" hidden="false" customHeight="false" outlineLevel="0" collapsed="false">
      <c r="A449" s="0" t="n">
        <v>2045</v>
      </c>
      <c r="B449" s="68" t="n">
        <v>45906</v>
      </c>
      <c r="C449" s="69" t="s">
        <v>118</v>
      </c>
      <c r="D449" s="69" t="s">
        <v>109</v>
      </c>
      <c r="E449" s="69" t="s">
        <v>134</v>
      </c>
      <c r="F449" s="69" t="s">
        <v>153</v>
      </c>
      <c r="G449" s="69" t="s">
        <v>45</v>
      </c>
      <c r="H449" s="0" t="n">
        <v>10</v>
      </c>
      <c r="I449" s="70" t="n">
        <v>1656.52</v>
      </c>
      <c r="J449" s="70" t="n">
        <v>1155.66</v>
      </c>
      <c r="K449" s="70" t="n">
        <f aca="false">IF(ISTEXT(H449),VALUE(H449),H449)*I449</f>
        <v>16565.2</v>
      </c>
    </row>
    <row r="450" customFormat="false" ht="15" hidden="false" customHeight="false" outlineLevel="0" collapsed="false">
      <c r="A450" s="0" t="n">
        <v>404</v>
      </c>
      <c r="B450" s="68" t="n">
        <v>45433</v>
      </c>
      <c r="C450" s="69" t="s">
        <v>25</v>
      </c>
      <c r="D450" s="69" t="s">
        <v>97</v>
      </c>
      <c r="E450" s="69" t="s">
        <v>180</v>
      </c>
      <c r="F450" s="69" t="s">
        <v>26</v>
      </c>
      <c r="G450" s="69" t="s">
        <v>89</v>
      </c>
      <c r="H450" s="0" t="n">
        <v>9</v>
      </c>
      <c r="I450" s="70" t="n">
        <v>441</v>
      </c>
      <c r="J450" s="70" t="n">
        <v>272.25</v>
      </c>
      <c r="K450" s="70" t="n">
        <f aca="false">IF(ISTEXT(H450),VALUE(H450),H450)*I450</f>
        <v>3969</v>
      </c>
    </row>
    <row r="451" customFormat="false" ht="15" hidden="false" customHeight="false" outlineLevel="0" collapsed="false">
      <c r="A451" s="0" t="n">
        <v>1297</v>
      </c>
      <c r="B451" s="69" t="s">
        <v>338</v>
      </c>
      <c r="C451" s="69" t="s">
        <v>161</v>
      </c>
      <c r="D451" s="69" t="s">
        <v>112</v>
      </c>
      <c r="E451" s="69" t="s">
        <v>92</v>
      </c>
      <c r="F451" s="69" t="s">
        <v>183</v>
      </c>
      <c r="G451" s="69" t="s">
        <v>52</v>
      </c>
      <c r="H451" s="0" t="n">
        <v>13</v>
      </c>
      <c r="I451" s="70" t="n">
        <v>129.17</v>
      </c>
      <c r="J451" s="70" t="n">
        <v>78.33</v>
      </c>
      <c r="K451" s="70" t="n">
        <f aca="false">IF(ISTEXT(H451),VALUE(H451),H451)*I451</f>
        <v>1679.21</v>
      </c>
    </row>
    <row r="452" customFormat="false" ht="15" hidden="false" customHeight="false" outlineLevel="0" collapsed="false">
      <c r="A452" s="0" t="n">
        <v>1815</v>
      </c>
      <c r="B452" s="69" t="s">
        <v>339</v>
      </c>
      <c r="C452" s="69" t="s">
        <v>170</v>
      </c>
      <c r="D452" s="69" t="s">
        <v>97</v>
      </c>
      <c r="E452" s="69" t="s">
        <v>110</v>
      </c>
      <c r="F452" s="69" t="s">
        <v>31</v>
      </c>
      <c r="G452" s="69" t="s">
        <v>51</v>
      </c>
      <c r="H452" s="0" t="n">
        <v>50</v>
      </c>
      <c r="I452" s="70" t="n">
        <v>85.34</v>
      </c>
      <c r="J452" s="70" t="n">
        <v>49.47</v>
      </c>
      <c r="K452" s="70" t="n">
        <f aca="false">IF(ISTEXT(H452),VALUE(H452),H452)*I452</f>
        <v>4267</v>
      </c>
    </row>
    <row r="453" customFormat="false" ht="15" hidden="false" customHeight="false" outlineLevel="0" collapsed="false">
      <c r="A453" s="0" t="n">
        <v>1925</v>
      </c>
      <c r="B453" s="68" t="n">
        <v>45872</v>
      </c>
      <c r="C453" s="69" t="s">
        <v>120</v>
      </c>
      <c r="D453" s="69" t="s">
        <v>86</v>
      </c>
      <c r="E453" s="69" t="s">
        <v>110</v>
      </c>
      <c r="F453" s="69" t="s">
        <v>26</v>
      </c>
      <c r="G453" s="69" t="s">
        <v>45</v>
      </c>
      <c r="H453" s="0" t="n">
        <v>11</v>
      </c>
      <c r="I453" s="70" t="n">
        <v>1656.52</v>
      </c>
      <c r="J453" s="70" t="n">
        <v>1155.66</v>
      </c>
      <c r="K453" s="70" t="n">
        <f aca="false">IF(ISTEXT(H453),VALUE(H453),H453)*I453</f>
        <v>18221.72</v>
      </c>
    </row>
    <row r="454" customFormat="false" ht="15" hidden="false" customHeight="false" outlineLevel="0" collapsed="false">
      <c r="A454" s="0" t="n">
        <v>977</v>
      </c>
      <c r="B454" s="68" t="n">
        <v>45574</v>
      </c>
      <c r="C454" s="69" t="s">
        <v>184</v>
      </c>
      <c r="D454" s="69" t="s">
        <v>137</v>
      </c>
      <c r="E454" s="69" t="s">
        <v>121</v>
      </c>
      <c r="F454" s="69" t="s">
        <v>183</v>
      </c>
      <c r="G454" s="69" t="s">
        <v>52</v>
      </c>
      <c r="H454" s="0" t="n">
        <v>22</v>
      </c>
      <c r="I454" s="70" t="n">
        <v>127.4</v>
      </c>
      <c r="J454" s="70" t="n">
        <v>76.05</v>
      </c>
      <c r="K454" s="70" t="n">
        <f aca="false">IF(ISTEXT(H454),VALUE(H454),H454)*I454</f>
        <v>2802.8</v>
      </c>
    </row>
    <row r="455" customFormat="false" ht="15" hidden="false" customHeight="false" outlineLevel="0" collapsed="false">
      <c r="A455" s="0" t="n">
        <v>1698</v>
      </c>
      <c r="B455" s="69" t="s">
        <v>340</v>
      </c>
      <c r="C455" s="69" t="s">
        <v>34</v>
      </c>
      <c r="D455" s="69" t="s">
        <v>112</v>
      </c>
      <c r="E455" s="69" t="s">
        <v>87</v>
      </c>
      <c r="F455" s="69" t="s">
        <v>93</v>
      </c>
      <c r="G455" s="69" t="s">
        <v>127</v>
      </c>
      <c r="H455" s="0" t="n">
        <v>12</v>
      </c>
      <c r="I455" s="70" t="n">
        <v>129.17</v>
      </c>
      <c r="J455" s="70" t="n">
        <v>78.33</v>
      </c>
      <c r="K455" s="70" t="n">
        <f aca="false">IF(ISTEXT(H455),VALUE(H455),H455)*I455</f>
        <v>1550.04</v>
      </c>
    </row>
    <row r="456" customFormat="false" ht="15" hidden="false" customHeight="false" outlineLevel="0" collapsed="false">
      <c r="A456" s="0" t="n">
        <v>1898</v>
      </c>
      <c r="B456" s="69" t="s">
        <v>185</v>
      </c>
      <c r="C456" s="69" t="s">
        <v>34</v>
      </c>
      <c r="D456" s="69" t="s">
        <v>112</v>
      </c>
      <c r="E456" s="69" t="s">
        <v>125</v>
      </c>
      <c r="F456" s="69" t="s">
        <v>33</v>
      </c>
      <c r="G456" s="69" t="s">
        <v>130</v>
      </c>
      <c r="H456" s="0" t="n">
        <v>12</v>
      </c>
      <c r="I456" s="70" t="n">
        <v>130.51</v>
      </c>
      <c r="J456" s="70" t="n">
        <v>78.33</v>
      </c>
      <c r="K456" s="70" t="n">
        <f aca="false">IF(ISTEXT(H456),VALUE(H456),H456)*I456</f>
        <v>1566.12</v>
      </c>
    </row>
    <row r="457" customFormat="false" ht="15" hidden="false" customHeight="false" outlineLevel="0" collapsed="false">
      <c r="A457" s="0" t="n">
        <v>179</v>
      </c>
      <c r="B457" s="68" t="n">
        <v>45334</v>
      </c>
      <c r="C457" s="69" t="s">
        <v>136</v>
      </c>
      <c r="D457" s="69" t="s">
        <v>137</v>
      </c>
      <c r="E457" s="69" t="s">
        <v>134</v>
      </c>
      <c r="F457" s="69" t="s">
        <v>93</v>
      </c>
      <c r="G457" s="69" t="s">
        <v>217</v>
      </c>
      <c r="H457" s="0" t="n">
        <v>13</v>
      </c>
      <c r="I457" s="70" t="n">
        <v>34.3</v>
      </c>
      <c r="J457" s="70" t="n">
        <v>17.85</v>
      </c>
      <c r="K457" s="70" t="n">
        <f aca="false">IF(ISTEXT(H457),VALUE(H457),H457)*I457</f>
        <v>445.9</v>
      </c>
    </row>
    <row r="458" customFormat="false" ht="15" hidden="false" customHeight="false" outlineLevel="0" collapsed="false">
      <c r="A458" s="0" t="n">
        <v>1373</v>
      </c>
      <c r="B458" s="69" t="s">
        <v>341</v>
      </c>
      <c r="C458" s="69" t="s">
        <v>184</v>
      </c>
      <c r="D458" s="69" t="s">
        <v>137</v>
      </c>
      <c r="E458" s="69" t="s">
        <v>121</v>
      </c>
      <c r="F458" s="69" t="s">
        <v>115</v>
      </c>
      <c r="G458" s="69" t="s">
        <v>50</v>
      </c>
      <c r="H458" s="0" t="n">
        <v>12</v>
      </c>
      <c r="I458" s="70" t="n">
        <v>119.23</v>
      </c>
      <c r="J458" s="70" t="n">
        <v>65.51</v>
      </c>
      <c r="K458" s="70" t="n">
        <f aca="false">IF(ISTEXT(H458),VALUE(H458),H458)*I458</f>
        <v>1430.76</v>
      </c>
    </row>
    <row r="459" customFormat="false" ht="15" hidden="false" customHeight="false" outlineLevel="0" collapsed="false">
      <c r="A459" s="0" t="n">
        <v>2264</v>
      </c>
      <c r="B459" s="68" t="n">
        <v>45988</v>
      </c>
      <c r="C459" s="69" t="s">
        <v>32</v>
      </c>
      <c r="D459" s="69" t="s">
        <v>137</v>
      </c>
      <c r="E459" s="69" t="s">
        <v>87</v>
      </c>
      <c r="F459" s="69" t="s">
        <v>153</v>
      </c>
      <c r="G459" s="69" t="s">
        <v>89</v>
      </c>
      <c r="H459" s="0" t="n">
        <v>6</v>
      </c>
      <c r="I459" s="70" t="n">
        <v>451.78</v>
      </c>
      <c r="J459" s="70" t="n">
        <v>280.42</v>
      </c>
      <c r="K459" s="70" t="n">
        <f aca="false">IF(ISTEXT(H459),VALUE(H459),H459)*I459</f>
        <v>2710.68</v>
      </c>
    </row>
    <row r="460" customFormat="false" ht="15" hidden="false" customHeight="false" outlineLevel="0" collapsed="false">
      <c r="A460" s="0" t="n">
        <v>953</v>
      </c>
      <c r="B460" s="68" t="n">
        <v>45568</v>
      </c>
      <c r="C460" s="69" t="s">
        <v>152</v>
      </c>
      <c r="D460" s="69" t="s">
        <v>109</v>
      </c>
      <c r="E460" s="69" t="s">
        <v>134</v>
      </c>
      <c r="F460" s="69" t="s">
        <v>31</v>
      </c>
      <c r="G460" s="69" t="s">
        <v>171</v>
      </c>
      <c r="H460" s="0" t="n">
        <v>18</v>
      </c>
      <c r="I460" s="70" t="n">
        <v>117.6</v>
      </c>
      <c r="J460" s="70" t="n">
        <v>63.6</v>
      </c>
      <c r="K460" s="70" t="n">
        <f aca="false">IF(ISTEXT(H460),VALUE(H460),H460)*I460</f>
        <v>2116.8</v>
      </c>
    </row>
    <row r="461" customFormat="false" ht="15" hidden="false" customHeight="false" outlineLevel="0" collapsed="false">
      <c r="A461" s="0" t="n">
        <v>2179</v>
      </c>
      <c r="B461" s="69" t="s">
        <v>342</v>
      </c>
      <c r="C461" s="69" t="s">
        <v>193</v>
      </c>
      <c r="D461" s="69" t="s">
        <v>137</v>
      </c>
      <c r="E461" s="69" t="s">
        <v>92</v>
      </c>
      <c r="F461" s="69" t="s">
        <v>33</v>
      </c>
      <c r="G461" s="69" t="s">
        <v>217</v>
      </c>
      <c r="H461" s="0" t="n">
        <v>19</v>
      </c>
      <c r="I461" s="70" t="n">
        <v>35.14</v>
      </c>
      <c r="J461" s="70" t="n">
        <v>18.39</v>
      </c>
      <c r="K461" s="70" t="n">
        <f aca="false">IF(ISTEXT(H461),VALUE(H461),H461)*I461</f>
        <v>667.66</v>
      </c>
    </row>
    <row r="462" customFormat="false" ht="15" hidden="false" customHeight="false" outlineLevel="0" collapsed="false">
      <c r="A462" s="0" t="n">
        <v>1428</v>
      </c>
      <c r="B462" s="68" t="n">
        <v>45723</v>
      </c>
      <c r="C462" s="69" t="s">
        <v>27</v>
      </c>
      <c r="D462" s="69" t="s">
        <v>86</v>
      </c>
      <c r="E462" s="69" t="s">
        <v>107</v>
      </c>
      <c r="F462" s="69" t="s">
        <v>155</v>
      </c>
      <c r="G462" s="69" t="s">
        <v>103</v>
      </c>
      <c r="H462" s="0" t="n">
        <v>40</v>
      </c>
      <c r="I462" s="70" t="n">
        <v>27.82</v>
      </c>
      <c r="J462" s="70" t="n">
        <v>13.84</v>
      </c>
      <c r="K462" s="70" t="n">
        <f aca="false">IF(ISTEXT(H462),VALUE(H462),H462)*I462</f>
        <v>1112.8</v>
      </c>
    </row>
    <row r="463" customFormat="false" ht="15" hidden="false" customHeight="false" outlineLevel="0" collapsed="false">
      <c r="A463" s="0" t="n">
        <v>2180</v>
      </c>
      <c r="B463" s="68" t="n">
        <v>45936</v>
      </c>
      <c r="C463" s="69" t="s">
        <v>136</v>
      </c>
      <c r="D463" s="69" t="s">
        <v>137</v>
      </c>
      <c r="E463" s="69" t="s">
        <v>119</v>
      </c>
      <c r="F463" s="69" t="s">
        <v>183</v>
      </c>
      <c r="G463" s="69" t="s">
        <v>53</v>
      </c>
      <c r="H463" s="0" t="n">
        <v>12</v>
      </c>
      <c r="I463" s="70" t="n">
        <v>35.14</v>
      </c>
      <c r="J463" s="70" t="n">
        <v>18.39</v>
      </c>
      <c r="K463" s="70" t="n">
        <f aca="false">IF(ISTEXT(H463),VALUE(H463),H463)*I463</f>
        <v>421.68</v>
      </c>
    </row>
    <row r="464" customFormat="false" ht="15" hidden="false" customHeight="false" outlineLevel="0" collapsed="false">
      <c r="A464" s="0" t="n">
        <v>1013</v>
      </c>
      <c r="B464" s="69" t="s">
        <v>343</v>
      </c>
      <c r="C464" s="69" t="s">
        <v>150</v>
      </c>
      <c r="D464" s="69" t="s">
        <v>97</v>
      </c>
      <c r="E464" s="69" t="s">
        <v>138</v>
      </c>
      <c r="F464" s="69" t="s">
        <v>115</v>
      </c>
      <c r="G464" s="69" t="s">
        <v>50</v>
      </c>
      <c r="H464" s="0" t="n">
        <v>57</v>
      </c>
      <c r="I464" s="70" t="n">
        <v>117.6</v>
      </c>
      <c r="J464" s="70" t="n">
        <v>63.6</v>
      </c>
      <c r="K464" s="70" t="n">
        <f aca="false">IF(ISTEXT(H464),VALUE(H464),H464)*I464</f>
        <v>6703.2</v>
      </c>
    </row>
    <row r="465" customFormat="false" ht="15" hidden="false" customHeight="false" outlineLevel="0" collapsed="false">
      <c r="A465" s="0" t="n">
        <v>710</v>
      </c>
      <c r="B465" s="69" t="s">
        <v>344</v>
      </c>
      <c r="C465" s="69" t="s">
        <v>170</v>
      </c>
      <c r="D465" s="69" t="s">
        <v>97</v>
      </c>
      <c r="E465" s="69" t="s">
        <v>180</v>
      </c>
      <c r="F465" s="69" t="s">
        <v>28</v>
      </c>
      <c r="G465" s="69" t="s">
        <v>235</v>
      </c>
      <c r="H465" s="0" t="n">
        <v>42</v>
      </c>
      <c r="I465" s="70" t="n">
        <v>93.1</v>
      </c>
      <c r="J465" s="70" t="n">
        <v>47.98</v>
      </c>
      <c r="K465" s="70" t="n">
        <f aca="false">IF(ISTEXT(H465),VALUE(H465),H465)*I465</f>
        <v>3910.2</v>
      </c>
    </row>
    <row r="466" customFormat="false" ht="15" hidden="false" customHeight="false" outlineLevel="0" collapsed="false">
      <c r="A466" s="0" t="n">
        <v>1531</v>
      </c>
      <c r="B466" s="68" t="n">
        <v>45773</v>
      </c>
      <c r="C466" s="69" t="s">
        <v>91</v>
      </c>
      <c r="D466" s="69" t="s">
        <v>86</v>
      </c>
      <c r="E466" s="69" t="s">
        <v>121</v>
      </c>
      <c r="F466" s="69" t="s">
        <v>99</v>
      </c>
      <c r="G466" s="69" t="s">
        <v>208</v>
      </c>
      <c r="H466" s="0" t="n">
        <v>54</v>
      </c>
      <c r="I466" s="70" t="n">
        <v>64.58</v>
      </c>
      <c r="J466" s="70" t="n">
        <v>36.49</v>
      </c>
      <c r="K466" s="70" t="n">
        <f aca="false">IF(ISTEXT(H466),VALUE(H466),H466)*I466</f>
        <v>3487.32</v>
      </c>
    </row>
    <row r="467" customFormat="false" ht="15" hidden="false" customHeight="false" outlineLevel="0" collapsed="false">
      <c r="A467" s="0" t="n">
        <v>1408</v>
      </c>
      <c r="B467" s="68" t="n">
        <v>45718</v>
      </c>
      <c r="C467" s="69" t="s">
        <v>25</v>
      </c>
      <c r="D467" s="69"/>
      <c r="E467" s="69" t="s">
        <v>119</v>
      </c>
      <c r="F467" s="69" t="s">
        <v>143</v>
      </c>
      <c r="G467" s="69" t="s">
        <v>113</v>
      </c>
      <c r="H467" s="0" t="n">
        <v>57</v>
      </c>
      <c r="I467" s="70" t="n">
        <v>27.82</v>
      </c>
      <c r="J467" s="70" t="n">
        <v>13.84</v>
      </c>
      <c r="K467" s="70" t="n">
        <f aca="false">IF(ISTEXT(H467),VALUE(H467),H467)*I467</f>
        <v>1585.74</v>
      </c>
    </row>
    <row r="468" customFormat="false" ht="15" hidden="false" customHeight="false" outlineLevel="0" collapsed="false">
      <c r="A468" s="0" t="n">
        <v>2376</v>
      </c>
      <c r="B468" s="68" t="n">
        <v>45992</v>
      </c>
      <c r="C468" s="69" t="s">
        <v>193</v>
      </c>
      <c r="D468" s="69" t="s">
        <v>137</v>
      </c>
      <c r="E468" s="69" t="s">
        <v>87</v>
      </c>
      <c r="F468" s="69" t="s">
        <v>115</v>
      </c>
      <c r="G468" s="69" t="s">
        <v>51</v>
      </c>
      <c r="H468" s="0" t="n">
        <v>14</v>
      </c>
      <c r="I468" s="70" t="n">
        <v>85.34</v>
      </c>
      <c r="J468" s="70" t="n">
        <v>49.47</v>
      </c>
      <c r="K468" s="70" t="n">
        <f aca="false">IF(ISTEXT(H468),VALUE(H468),H468)*I468</f>
        <v>1194.76</v>
      </c>
    </row>
    <row r="469" customFormat="false" ht="15" hidden="false" customHeight="false" outlineLevel="0" collapsed="false">
      <c r="A469" s="0" t="n">
        <v>1671</v>
      </c>
      <c r="B469" s="69" t="s">
        <v>340</v>
      </c>
      <c r="C469" s="69" t="s">
        <v>32</v>
      </c>
      <c r="D469" s="69"/>
      <c r="E469" s="69" t="s">
        <v>134</v>
      </c>
      <c r="F469" s="69" t="s">
        <v>143</v>
      </c>
      <c r="G469" s="69" t="s">
        <v>208</v>
      </c>
      <c r="H469" s="0" t="n">
        <v>26</v>
      </c>
      <c r="I469" s="70" t="n">
        <v>64.58</v>
      </c>
      <c r="J469" s="70" t="n">
        <v>36.49</v>
      </c>
      <c r="K469" s="70" t="n">
        <f aca="false">IF(ISTEXT(H469),VALUE(H469),H469)*I469</f>
        <v>1679.08</v>
      </c>
    </row>
    <row r="470" customFormat="false" ht="15" hidden="false" customHeight="false" outlineLevel="0" collapsed="false">
      <c r="A470" s="0" t="n">
        <v>1790</v>
      </c>
      <c r="B470" s="68" t="n">
        <v>45811</v>
      </c>
      <c r="C470" s="69" t="s">
        <v>161</v>
      </c>
      <c r="D470" s="69" t="s">
        <v>112</v>
      </c>
      <c r="E470" s="69" t="s">
        <v>119</v>
      </c>
      <c r="F470" s="69" t="s">
        <v>143</v>
      </c>
      <c r="G470" s="69" t="s">
        <v>172</v>
      </c>
      <c r="H470" s="0" t="n">
        <v>24</v>
      </c>
      <c r="I470" s="70" t="n">
        <v>94.39</v>
      </c>
      <c r="J470" s="70" t="n">
        <v>49.41</v>
      </c>
      <c r="K470" s="70" t="n">
        <f aca="false">IF(ISTEXT(H470),VALUE(H470),H470)*I470</f>
        <v>2265.36</v>
      </c>
    </row>
    <row r="471" customFormat="false" ht="15" hidden="false" customHeight="false" outlineLevel="0" collapsed="false">
      <c r="A471" s="0" t="n">
        <v>546</v>
      </c>
      <c r="B471" s="68" t="n">
        <v>45459</v>
      </c>
      <c r="C471" s="69" t="s">
        <v>152</v>
      </c>
      <c r="D471" s="69" t="s">
        <v>109</v>
      </c>
      <c r="E471" s="69" t="s">
        <v>119</v>
      </c>
      <c r="F471" s="69" t="s">
        <v>153</v>
      </c>
      <c r="G471" s="69" t="s">
        <v>157</v>
      </c>
      <c r="H471" s="0" t="n">
        <v>4</v>
      </c>
      <c r="I471" s="70" t="n">
        <v>1617</v>
      </c>
      <c r="J471" s="70" t="n">
        <v>1122</v>
      </c>
      <c r="K471" s="70" t="n">
        <f aca="false">IF(ISTEXT(H471),VALUE(H471),H471)*I471</f>
        <v>6468</v>
      </c>
    </row>
    <row r="472" customFormat="false" ht="15" hidden="false" customHeight="false" outlineLevel="0" collapsed="false">
      <c r="A472" s="0" t="n">
        <v>195</v>
      </c>
      <c r="B472" s="68" t="n">
        <v>45338</v>
      </c>
      <c r="C472" s="69" t="s">
        <v>161</v>
      </c>
      <c r="D472" s="69" t="s">
        <v>112</v>
      </c>
      <c r="E472" s="69" t="s">
        <v>92</v>
      </c>
      <c r="F472" s="69" t="s">
        <v>31</v>
      </c>
      <c r="G472" s="69" t="s">
        <v>51</v>
      </c>
      <c r="H472" s="0" t="n">
        <v>12</v>
      </c>
      <c r="I472" s="70" t="n">
        <v>83.3</v>
      </c>
      <c r="J472" s="70" t="n">
        <v>48.03</v>
      </c>
      <c r="K472" s="70" t="n">
        <f aca="false">IF(ISTEXT(H472),VALUE(H472),H472)*I472</f>
        <v>999.6</v>
      </c>
    </row>
    <row r="473" customFormat="false" ht="15" hidden="false" customHeight="false" outlineLevel="0" collapsed="false">
      <c r="A473" s="0" t="n">
        <v>211</v>
      </c>
      <c r="B473" s="68" t="n">
        <v>45371</v>
      </c>
      <c r="C473" s="69" t="s">
        <v>124</v>
      </c>
      <c r="D473" s="69" t="s">
        <v>97</v>
      </c>
      <c r="E473" s="69" t="s">
        <v>134</v>
      </c>
      <c r="F473" s="69" t="s">
        <v>102</v>
      </c>
      <c r="G473" s="69" t="s">
        <v>49</v>
      </c>
      <c r="H473" s="0" t="n">
        <v>107</v>
      </c>
      <c r="I473" s="70" t="n">
        <v>63.7</v>
      </c>
      <c r="J473" s="70" t="n">
        <v>35.43</v>
      </c>
      <c r="K473" s="70" t="n">
        <f aca="false">IF(ISTEXT(H473),VALUE(H473),H473)*I473</f>
        <v>6815.9</v>
      </c>
    </row>
    <row r="474" customFormat="false" ht="15" hidden="false" customHeight="false" outlineLevel="0" collapsed="false">
      <c r="A474" s="0" t="n">
        <v>1539</v>
      </c>
      <c r="B474" s="68" t="n">
        <v>45748</v>
      </c>
      <c r="C474" s="69" t="s">
        <v>159</v>
      </c>
      <c r="D474" s="69" t="s">
        <v>86</v>
      </c>
      <c r="E474" s="69" t="s">
        <v>134</v>
      </c>
      <c r="F474" s="69" t="s">
        <v>93</v>
      </c>
      <c r="G474" s="69" t="s">
        <v>53</v>
      </c>
      <c r="H474" s="0" t="s">
        <v>345</v>
      </c>
      <c r="I474" s="70" t="n">
        <v>34.78</v>
      </c>
      <c r="J474" s="70" t="n">
        <v>18.39</v>
      </c>
      <c r="K474" s="70" t="n">
        <f aca="false">IF(ISTEXT(H474),VALUE(H474),H474)*I474</f>
        <v>1008.62</v>
      </c>
    </row>
    <row r="475" customFormat="false" ht="15" hidden="false" customHeight="false" outlineLevel="0" collapsed="false">
      <c r="A475" s="0" t="n">
        <v>1415</v>
      </c>
      <c r="B475" s="68" t="n">
        <v>45740</v>
      </c>
      <c r="C475" s="69" t="s">
        <v>124</v>
      </c>
      <c r="D475" s="69" t="s">
        <v>97</v>
      </c>
      <c r="E475" s="69" t="s">
        <v>134</v>
      </c>
      <c r="F475" s="69" t="s">
        <v>162</v>
      </c>
      <c r="G475" s="69" t="s">
        <v>111</v>
      </c>
      <c r="H475" s="0" t="n">
        <v>36</v>
      </c>
      <c r="I475" s="70" t="n">
        <v>84.46</v>
      </c>
      <c r="J475" s="70" t="n">
        <v>49.47</v>
      </c>
      <c r="K475" s="70" t="n">
        <f aca="false">IF(ISTEXT(H475),VALUE(H475),H475)*I475</f>
        <v>3040.56</v>
      </c>
    </row>
    <row r="476" customFormat="false" ht="15" hidden="false" customHeight="false" outlineLevel="0" collapsed="false">
      <c r="A476" s="0" t="n">
        <v>375</v>
      </c>
      <c r="B476" s="69" t="s">
        <v>346</v>
      </c>
      <c r="C476" s="69" t="s">
        <v>184</v>
      </c>
      <c r="D476" s="69" t="s">
        <v>137</v>
      </c>
      <c r="E476" s="69" t="s">
        <v>134</v>
      </c>
      <c r="F476" s="69" t="s">
        <v>115</v>
      </c>
      <c r="G476" s="69" t="s">
        <v>116</v>
      </c>
      <c r="H476" s="0" t="s">
        <v>175</v>
      </c>
      <c r="I476" s="70" t="n">
        <v>83.3</v>
      </c>
      <c r="J476" s="70" t="n">
        <v>48.03</v>
      </c>
      <c r="K476" s="70" t="n">
        <f aca="false">IF(ISTEXT(H476),VALUE(H476),H476)*I476</f>
        <v>1249.5</v>
      </c>
    </row>
    <row r="477" customFormat="false" ht="15" hidden="false" customHeight="false" outlineLevel="0" collapsed="false">
      <c r="A477" s="0" t="n">
        <v>618</v>
      </c>
      <c r="B477" s="69" t="s">
        <v>347</v>
      </c>
      <c r="C477" s="69" t="s">
        <v>25</v>
      </c>
      <c r="D477" s="69" t="s">
        <v>97</v>
      </c>
      <c r="E477" s="69" t="s">
        <v>125</v>
      </c>
      <c r="F477" s="69" t="s">
        <v>182</v>
      </c>
      <c r="G477" s="69" t="s">
        <v>52</v>
      </c>
      <c r="H477" s="0" t="n">
        <v>27</v>
      </c>
      <c r="I477" s="70" t="n">
        <v>127.4</v>
      </c>
      <c r="J477" s="70" t="n">
        <v>76.05</v>
      </c>
      <c r="K477" s="70" t="n">
        <f aca="false">IF(ISTEXT(H477),VALUE(H477),H477)*I477</f>
        <v>3439.8</v>
      </c>
    </row>
    <row r="478" customFormat="false" ht="15" hidden="false" customHeight="false" outlineLevel="0" collapsed="false">
      <c r="A478" s="0" t="n">
        <v>855</v>
      </c>
      <c r="B478" s="68" t="n">
        <v>45554</v>
      </c>
      <c r="C478" s="69" t="s">
        <v>108</v>
      </c>
      <c r="D478" s="69" t="s">
        <v>109</v>
      </c>
      <c r="E478" s="69" t="s">
        <v>121</v>
      </c>
      <c r="F478" s="69" t="s">
        <v>31</v>
      </c>
      <c r="G478" s="69" t="s">
        <v>51</v>
      </c>
      <c r="H478" s="0" t="n">
        <v>19</v>
      </c>
      <c r="I478" s="70" t="n">
        <v>83.3</v>
      </c>
      <c r="J478" s="70" t="n">
        <v>48.03</v>
      </c>
      <c r="K478" s="70" t="n">
        <f aca="false">IF(ISTEXT(H478),VALUE(H478),H478)*I478</f>
        <v>1582.7</v>
      </c>
    </row>
    <row r="479" customFormat="false" ht="15" hidden="false" customHeight="false" outlineLevel="0" collapsed="false">
      <c r="A479" s="0" t="n">
        <v>704</v>
      </c>
      <c r="B479" s="68" t="n">
        <v>45519</v>
      </c>
      <c r="C479" s="69" t="s">
        <v>150</v>
      </c>
      <c r="D479" s="69" t="s">
        <v>97</v>
      </c>
      <c r="E479" s="69" t="s">
        <v>107</v>
      </c>
      <c r="F479" s="69" t="s">
        <v>88</v>
      </c>
      <c r="G479" s="69" t="s">
        <v>89</v>
      </c>
      <c r="H479" s="0" t="n">
        <v>8</v>
      </c>
      <c r="I479" s="70" t="n">
        <v>441</v>
      </c>
      <c r="J479" s="70" t="n">
        <v>272.25</v>
      </c>
      <c r="K479" s="70" t="n">
        <f aca="false">IF(ISTEXT(H479),VALUE(H479),H479)*I479</f>
        <v>3528</v>
      </c>
    </row>
    <row r="480" customFormat="false" ht="15" hidden="false" customHeight="false" outlineLevel="0" collapsed="false">
      <c r="A480" s="0" t="n">
        <v>1664</v>
      </c>
      <c r="B480" s="68" t="n">
        <v>45789</v>
      </c>
      <c r="C480" s="69" t="s">
        <v>32</v>
      </c>
      <c r="D480" s="69" t="s">
        <v>137</v>
      </c>
      <c r="E480" s="69" t="s">
        <v>125</v>
      </c>
      <c r="F480" s="69" t="s">
        <v>88</v>
      </c>
      <c r="G480" s="69" t="s">
        <v>89</v>
      </c>
      <c r="H480" s="0" t="n">
        <v>4</v>
      </c>
      <c r="I480" s="70" t="n">
        <v>433.15</v>
      </c>
      <c r="J480" s="70" t="n">
        <v>280.42</v>
      </c>
      <c r="K480" s="70" t="n">
        <f aca="false">IF(ISTEXT(H480),VALUE(H480),H480)*I480</f>
        <v>1732.6</v>
      </c>
    </row>
    <row r="481" customFormat="false" ht="15" hidden="false" customHeight="false" outlineLevel="0" collapsed="false">
      <c r="A481" s="0" t="n">
        <v>2232</v>
      </c>
      <c r="B481" s="69" t="s">
        <v>348</v>
      </c>
      <c r="C481" s="69" t="s">
        <v>159</v>
      </c>
      <c r="D481" s="69" t="s">
        <v>86</v>
      </c>
      <c r="E481" s="69" t="s">
        <v>87</v>
      </c>
      <c r="F481" s="69" t="s">
        <v>28</v>
      </c>
      <c r="G481" s="69" t="s">
        <v>144</v>
      </c>
      <c r="H481" s="0" t="n">
        <v>55</v>
      </c>
      <c r="I481" s="70" t="n">
        <v>65.26</v>
      </c>
      <c r="J481" s="70" t="n">
        <v>36.49</v>
      </c>
      <c r="K481" s="70" t="n">
        <f aca="false">IF(ISTEXT(H481),VALUE(H481),H481)*I481</f>
        <v>3589.3</v>
      </c>
    </row>
    <row r="482" customFormat="false" ht="15" hidden="false" customHeight="false" outlineLevel="0" collapsed="false">
      <c r="A482" s="0" t="n">
        <v>502</v>
      </c>
      <c r="B482" s="68" t="n">
        <v>45448</v>
      </c>
      <c r="C482" s="69" t="s">
        <v>170</v>
      </c>
      <c r="D482" s="69" t="s">
        <v>97</v>
      </c>
      <c r="E482" s="69" t="s">
        <v>87</v>
      </c>
      <c r="F482" s="69" t="s">
        <v>139</v>
      </c>
      <c r="G482" s="69" t="s">
        <v>151</v>
      </c>
      <c r="H482" s="0" t="n">
        <v>7</v>
      </c>
      <c r="I482" s="70" t="n">
        <v>1176</v>
      </c>
      <c r="J482" s="70" t="n">
        <v>744</v>
      </c>
      <c r="K482" s="70" t="n">
        <f aca="false">IF(ISTEXT(H482),VALUE(H482),H482)*I482</f>
        <v>8232</v>
      </c>
    </row>
    <row r="483" customFormat="false" ht="15" hidden="false" customHeight="false" outlineLevel="0" collapsed="false">
      <c r="A483" s="0" t="n">
        <v>1707</v>
      </c>
      <c r="B483" s="68" t="n">
        <v>45824</v>
      </c>
      <c r="C483" s="69" t="s">
        <v>25</v>
      </c>
      <c r="D483" s="69" t="s">
        <v>97</v>
      </c>
      <c r="E483" s="69" t="s">
        <v>134</v>
      </c>
      <c r="F483" s="69" t="s">
        <v>143</v>
      </c>
      <c r="G483" s="69" t="s">
        <v>113</v>
      </c>
      <c r="H483" s="0" t="n">
        <v>83</v>
      </c>
      <c r="I483" s="70" t="n">
        <v>27.82</v>
      </c>
      <c r="J483" s="70" t="n">
        <v>13.84</v>
      </c>
      <c r="K483" s="70" t="n">
        <f aca="false">IF(ISTEXT(H483),VALUE(H483),H483)*I483</f>
        <v>2309.06</v>
      </c>
    </row>
    <row r="484" customFormat="false" ht="15" hidden="false" customHeight="false" outlineLevel="0" collapsed="false">
      <c r="A484" s="0" t="n">
        <v>2025</v>
      </c>
      <c r="B484" s="68" t="n">
        <v>45901</v>
      </c>
      <c r="C484" s="69" t="s">
        <v>120</v>
      </c>
      <c r="D484" s="69" t="s">
        <v>86</v>
      </c>
      <c r="E484" s="69" t="s">
        <v>110</v>
      </c>
      <c r="F484" s="69" t="s">
        <v>153</v>
      </c>
      <c r="G484" s="69" t="s">
        <v>141</v>
      </c>
      <c r="H484" s="0" t="n">
        <v>14</v>
      </c>
      <c r="I484" s="70" t="n">
        <v>1656.52</v>
      </c>
      <c r="J484" s="70" t="n">
        <v>1155.66</v>
      </c>
      <c r="K484" s="70" t="n">
        <f aca="false">IF(ISTEXT(H484),VALUE(H484),H484)*I484</f>
        <v>23191.28</v>
      </c>
    </row>
    <row r="485" customFormat="false" ht="15" hidden="false" customHeight="false" outlineLevel="0" collapsed="false">
      <c r="A485" s="0" t="n">
        <v>1610</v>
      </c>
      <c r="B485" s="68" t="n">
        <v>45789</v>
      </c>
      <c r="C485" s="69" t="s">
        <v>124</v>
      </c>
      <c r="D485" s="69" t="s">
        <v>97</v>
      </c>
      <c r="E485" s="69" t="s">
        <v>107</v>
      </c>
      <c r="F485" s="69" t="s">
        <v>143</v>
      </c>
      <c r="G485" s="69" t="s">
        <v>235</v>
      </c>
      <c r="H485" s="0" t="n">
        <v>71</v>
      </c>
      <c r="I485" s="70" t="n">
        <v>94.39</v>
      </c>
      <c r="J485" s="70" t="n">
        <v>49.41</v>
      </c>
      <c r="K485" s="70" t="n">
        <f aca="false">IF(ISTEXT(H485),VALUE(H485),H485)*I485</f>
        <v>6701.69</v>
      </c>
    </row>
    <row r="486" customFormat="false" ht="15" hidden="false" customHeight="false" outlineLevel="0" collapsed="false">
      <c r="A486" s="0" t="n">
        <v>318</v>
      </c>
      <c r="B486" s="68" t="n">
        <v>45395</v>
      </c>
      <c r="C486" s="69" t="s">
        <v>124</v>
      </c>
      <c r="D486" s="69" t="s">
        <v>97</v>
      </c>
      <c r="E486" s="69" t="s">
        <v>125</v>
      </c>
      <c r="F486" s="69" t="s">
        <v>183</v>
      </c>
      <c r="G486" s="69" t="s">
        <v>127</v>
      </c>
      <c r="H486" s="0" t="n">
        <v>17</v>
      </c>
      <c r="I486" s="70" t="n">
        <v>127.4</v>
      </c>
      <c r="J486" s="70" t="n">
        <v>76.05</v>
      </c>
      <c r="K486" s="70" t="n">
        <f aca="false">IF(ISTEXT(H486),VALUE(H486),H486)*I486</f>
        <v>2165.8</v>
      </c>
    </row>
    <row r="487" customFormat="false" ht="15" hidden="false" customHeight="false" outlineLevel="0" collapsed="false">
      <c r="A487" s="0" t="n">
        <v>2210</v>
      </c>
      <c r="B487" s="68" t="n">
        <v>45988</v>
      </c>
      <c r="C487" s="69" t="s">
        <v>124</v>
      </c>
      <c r="D487" s="69" t="s">
        <v>97</v>
      </c>
      <c r="E487" s="69" t="s">
        <v>180</v>
      </c>
      <c r="F487" s="69" t="s">
        <v>28</v>
      </c>
      <c r="G487" s="69" t="s">
        <v>172</v>
      </c>
      <c r="H487" s="0" t="s">
        <v>349</v>
      </c>
      <c r="I487" s="70" t="n">
        <v>95.38</v>
      </c>
      <c r="J487" s="70" t="n">
        <v>49.41</v>
      </c>
      <c r="K487" s="70" t="n">
        <f aca="false">IF(ISTEXT(H487),VALUE(H487),H487)*I487</f>
        <v>7439.64</v>
      </c>
    </row>
    <row r="488" customFormat="false" ht="15" hidden="false" customHeight="false" outlineLevel="0" collapsed="false">
      <c r="A488" s="0" t="n">
        <v>1077</v>
      </c>
      <c r="B488" s="68" t="n">
        <v>45603</v>
      </c>
      <c r="C488" s="69" t="s">
        <v>193</v>
      </c>
      <c r="D488" s="69" t="s">
        <v>137</v>
      </c>
      <c r="E488" s="69" t="s">
        <v>134</v>
      </c>
      <c r="F488" s="69" t="s">
        <v>182</v>
      </c>
      <c r="G488" s="69" t="s">
        <v>130</v>
      </c>
      <c r="H488" s="0" t="s">
        <v>350</v>
      </c>
      <c r="I488" s="70" t="n">
        <v>127.4</v>
      </c>
      <c r="J488" s="70" t="n">
        <v>76.05</v>
      </c>
      <c r="K488" s="70" t="n">
        <f aca="false">IF(ISTEXT(H488),VALUE(H488),H488)*I488</f>
        <v>2802.8</v>
      </c>
    </row>
    <row r="489" customFormat="false" ht="15" hidden="false" customHeight="false" outlineLevel="0" collapsed="false">
      <c r="A489" s="0" t="n">
        <v>1434</v>
      </c>
      <c r="B489" s="68" t="n">
        <v>45738</v>
      </c>
      <c r="C489" s="69" t="s">
        <v>159</v>
      </c>
      <c r="D489" s="69" t="s">
        <v>86</v>
      </c>
      <c r="E489" s="69" t="s">
        <v>119</v>
      </c>
      <c r="F489" s="69" t="s">
        <v>31</v>
      </c>
      <c r="G489" s="69" t="s">
        <v>171</v>
      </c>
      <c r="H489" s="0" t="n">
        <v>15</v>
      </c>
      <c r="I489" s="70" t="n">
        <v>119.23</v>
      </c>
      <c r="J489" s="70" t="n">
        <v>65.51</v>
      </c>
      <c r="K489" s="70" t="n">
        <f aca="false">IF(ISTEXT(H489),VALUE(H489),H489)*I489</f>
        <v>1788.45</v>
      </c>
    </row>
    <row r="490" customFormat="false" ht="15" hidden="false" customHeight="false" outlineLevel="0" collapsed="false">
      <c r="A490" s="0" t="n">
        <v>2317</v>
      </c>
      <c r="B490" s="68" t="n">
        <v>46011</v>
      </c>
      <c r="C490" s="69" t="s">
        <v>150</v>
      </c>
      <c r="D490" s="69" t="s">
        <v>97</v>
      </c>
      <c r="E490" s="69" t="s">
        <v>134</v>
      </c>
      <c r="F490" s="69" t="s">
        <v>168</v>
      </c>
      <c r="G490" s="69" t="s">
        <v>127</v>
      </c>
      <c r="H490" s="0" t="n">
        <v>71</v>
      </c>
      <c r="I490" s="70" t="n">
        <v>130.51</v>
      </c>
      <c r="J490" s="70" t="n">
        <v>78.33</v>
      </c>
      <c r="K490" s="70" t="n">
        <f aca="false">IF(ISTEXT(H490),VALUE(H490),H490)*I490</f>
        <v>9266.21</v>
      </c>
    </row>
    <row r="491" customFormat="false" ht="15" hidden="false" customHeight="false" outlineLevel="0" collapsed="false">
      <c r="A491" s="0" t="n">
        <v>1400</v>
      </c>
      <c r="B491" s="68" t="n">
        <v>45715</v>
      </c>
      <c r="C491" s="69" t="s">
        <v>133</v>
      </c>
      <c r="D491" s="69" t="s">
        <v>112</v>
      </c>
      <c r="E491" s="69" t="s">
        <v>87</v>
      </c>
      <c r="F491" s="69" t="s">
        <v>182</v>
      </c>
      <c r="G491" s="69" t="s">
        <v>53</v>
      </c>
      <c r="H491" s="0" t="n">
        <v>10</v>
      </c>
      <c r="I491" s="70" t="n">
        <v>34.78</v>
      </c>
      <c r="J491" s="70" t="n">
        <v>18.39</v>
      </c>
      <c r="K491" s="70" t="n">
        <f aca="false">IF(ISTEXT(H491),VALUE(H491),H491)*I491</f>
        <v>347.8</v>
      </c>
    </row>
    <row r="492" customFormat="false" ht="15" hidden="false" customHeight="false" outlineLevel="0" collapsed="false">
      <c r="A492" s="0" t="n">
        <v>1328</v>
      </c>
      <c r="B492" s="68" t="n">
        <v>45697</v>
      </c>
      <c r="C492" s="69" t="s">
        <v>159</v>
      </c>
      <c r="D492" s="69" t="s">
        <v>86</v>
      </c>
      <c r="E492" s="69" t="s">
        <v>119</v>
      </c>
      <c r="F492" s="69" t="s">
        <v>155</v>
      </c>
      <c r="G492" s="69" t="s">
        <v>103</v>
      </c>
      <c r="H492" s="0" t="n">
        <v>25</v>
      </c>
      <c r="I492" s="70" t="n">
        <v>27.82</v>
      </c>
      <c r="J492" s="70" t="n">
        <v>13.84</v>
      </c>
      <c r="K492" s="70" t="n">
        <f aca="false">IF(ISTEXT(H492),VALUE(H492),H492)*I492</f>
        <v>695.5</v>
      </c>
    </row>
    <row r="493" customFormat="false" ht="15" hidden="false" customHeight="false" outlineLevel="0" collapsed="false">
      <c r="A493" s="0" t="n">
        <v>1854</v>
      </c>
      <c r="B493" s="68" t="n">
        <v>45857</v>
      </c>
      <c r="C493" s="69" t="s">
        <v>152</v>
      </c>
      <c r="D493" s="69" t="s">
        <v>109</v>
      </c>
      <c r="E493" s="69" t="s">
        <v>87</v>
      </c>
      <c r="F493" s="69" t="s">
        <v>162</v>
      </c>
      <c r="G493" s="69" t="s">
        <v>171</v>
      </c>
      <c r="H493" s="0" t="s">
        <v>328</v>
      </c>
      <c r="I493" s="70" t="n">
        <v>120.47</v>
      </c>
      <c r="J493" s="70" t="n">
        <v>65.51</v>
      </c>
      <c r="K493" s="70" t="n">
        <f aca="false">IF(ISTEXT(H493),VALUE(H493),H493)*I493</f>
        <v>1445.64</v>
      </c>
    </row>
    <row r="494" customFormat="false" ht="15" hidden="false" customHeight="false" outlineLevel="0" collapsed="false">
      <c r="A494" s="0" t="n">
        <v>784</v>
      </c>
      <c r="B494" s="69" t="s">
        <v>351</v>
      </c>
      <c r="C494" s="69" t="s">
        <v>133</v>
      </c>
      <c r="D494" s="69" t="s">
        <v>112</v>
      </c>
      <c r="E494" s="69" t="s">
        <v>125</v>
      </c>
      <c r="F494" s="69" t="s">
        <v>147</v>
      </c>
      <c r="G494" s="69" t="s">
        <v>177</v>
      </c>
      <c r="H494" s="0" t="n">
        <v>2</v>
      </c>
      <c r="I494" s="70" t="n">
        <v>441</v>
      </c>
      <c r="J494" s="70" t="n">
        <v>272.25</v>
      </c>
      <c r="K494" s="70" t="n">
        <f aca="false">IF(ISTEXT(H494),VALUE(H494),H494)*I494</f>
        <v>882</v>
      </c>
    </row>
    <row r="495" customFormat="false" ht="15" hidden="false" customHeight="false" outlineLevel="0" collapsed="false">
      <c r="A495" s="0" t="n">
        <v>2352</v>
      </c>
      <c r="B495" s="68" t="n">
        <v>46013</v>
      </c>
      <c r="C495" s="69" t="s">
        <v>30</v>
      </c>
      <c r="D495" s="69" t="s">
        <v>109</v>
      </c>
      <c r="E495" s="69" t="s">
        <v>98</v>
      </c>
      <c r="F495" s="69" t="s">
        <v>28</v>
      </c>
      <c r="G495" s="69" t="s">
        <v>49</v>
      </c>
      <c r="H495" s="0" t="n">
        <v>44</v>
      </c>
      <c r="I495" s="70" t="n">
        <v>65.26</v>
      </c>
      <c r="J495" s="70" t="n">
        <v>36.49</v>
      </c>
      <c r="K495" s="70" t="n">
        <f aca="false">IF(ISTEXT(H495),VALUE(H495),H495)*I495</f>
        <v>2871.44</v>
      </c>
    </row>
    <row r="496" customFormat="false" ht="15" hidden="false" customHeight="false" outlineLevel="0" collapsed="false">
      <c r="A496" s="0" t="n">
        <v>891</v>
      </c>
      <c r="B496" s="69" t="s">
        <v>352</v>
      </c>
      <c r="C496" s="69" t="s">
        <v>161</v>
      </c>
      <c r="D496" s="69" t="s">
        <v>112</v>
      </c>
      <c r="E496" s="69" t="s">
        <v>101</v>
      </c>
      <c r="F496" s="69" t="s">
        <v>155</v>
      </c>
      <c r="G496" s="69" t="s">
        <v>208</v>
      </c>
      <c r="H496" s="0" t="n">
        <v>30</v>
      </c>
      <c r="I496" s="70" t="n">
        <v>63.7</v>
      </c>
      <c r="J496" s="70" t="n">
        <v>35.43</v>
      </c>
      <c r="K496" s="70" t="n">
        <f aca="false">IF(ISTEXT(H496),VALUE(H496),H496)*I496</f>
        <v>1911</v>
      </c>
    </row>
    <row r="497" customFormat="false" ht="15" hidden="false" customHeight="false" outlineLevel="0" collapsed="false">
      <c r="A497" s="0" t="n">
        <v>80</v>
      </c>
      <c r="B497" s="69" t="s">
        <v>353</v>
      </c>
      <c r="C497" s="69" t="s">
        <v>193</v>
      </c>
      <c r="D497" s="69" t="s">
        <v>137</v>
      </c>
      <c r="E497" s="69" t="s">
        <v>87</v>
      </c>
      <c r="F497" s="69" t="s">
        <v>33</v>
      </c>
      <c r="G497" s="69" t="s">
        <v>94</v>
      </c>
      <c r="H497" s="0" t="n">
        <v>6</v>
      </c>
      <c r="I497" s="70" t="n">
        <v>34.3</v>
      </c>
      <c r="J497" s="70" t="n">
        <v>17.85</v>
      </c>
      <c r="K497" s="70" t="n">
        <f aca="false">IF(ISTEXT(H497),VALUE(H497),H497)*I497</f>
        <v>205.8</v>
      </c>
    </row>
    <row r="498" customFormat="false" ht="15" hidden="false" customHeight="false" outlineLevel="0" collapsed="false">
      <c r="A498" s="0" t="n">
        <v>336</v>
      </c>
      <c r="B498" s="68" t="n">
        <v>45386</v>
      </c>
      <c r="C498" s="69" t="s">
        <v>159</v>
      </c>
      <c r="D498" s="69" t="s">
        <v>86</v>
      </c>
      <c r="E498" s="69" t="s">
        <v>125</v>
      </c>
      <c r="F498" s="69" t="s">
        <v>166</v>
      </c>
      <c r="G498" s="69" t="s">
        <v>51</v>
      </c>
      <c r="H498" s="0" t="n">
        <v>11</v>
      </c>
      <c r="I498" s="70" t="n">
        <v>83.3</v>
      </c>
      <c r="J498" s="70" t="n">
        <v>48.03</v>
      </c>
      <c r="K498" s="70" t="n">
        <f aca="false">IF(ISTEXT(H498),VALUE(H498),H498)*I498</f>
        <v>916.3</v>
      </c>
    </row>
    <row r="499" customFormat="false" ht="15" hidden="false" customHeight="false" outlineLevel="0" collapsed="false">
      <c r="A499" s="0" t="n">
        <v>2382</v>
      </c>
      <c r="B499" s="68" t="n">
        <v>46007</v>
      </c>
      <c r="C499" s="69" t="s">
        <v>142</v>
      </c>
      <c r="D499" s="69" t="s">
        <v>112</v>
      </c>
      <c r="E499" s="69" t="s">
        <v>180</v>
      </c>
      <c r="F499" s="69" t="s">
        <v>135</v>
      </c>
      <c r="G499" s="69" t="s">
        <v>41</v>
      </c>
      <c r="H499" s="0" t="n">
        <v>7</v>
      </c>
      <c r="I499" s="70" t="n">
        <v>1204.74</v>
      </c>
      <c r="J499" s="70" t="n">
        <v>766.32</v>
      </c>
      <c r="K499" s="70" t="n">
        <f aca="false">IF(ISTEXT(H499),VALUE(H499),H499)*I499</f>
        <v>8433.18</v>
      </c>
    </row>
    <row r="500" customFormat="false" ht="15" hidden="false" customHeight="false" outlineLevel="0" collapsed="false">
      <c r="A500" s="0" t="n">
        <v>1419</v>
      </c>
      <c r="B500" s="69" t="s">
        <v>354</v>
      </c>
      <c r="C500" s="69" t="s">
        <v>25</v>
      </c>
      <c r="D500" s="69" t="s">
        <v>97</v>
      </c>
      <c r="E500" s="69" t="s">
        <v>138</v>
      </c>
      <c r="F500" s="69" t="s">
        <v>183</v>
      </c>
      <c r="G500" s="69" t="s">
        <v>94</v>
      </c>
      <c r="H500" s="0" t="n">
        <v>44</v>
      </c>
      <c r="I500" s="70" t="n">
        <v>34.78</v>
      </c>
      <c r="J500" s="70" t="n">
        <v>18.39</v>
      </c>
      <c r="K500" s="70" t="n">
        <f aca="false">IF(ISTEXT(H500),VALUE(H500),H500)*I500</f>
        <v>1530.32</v>
      </c>
    </row>
    <row r="501" customFormat="false" ht="15" hidden="false" customHeight="false" outlineLevel="0" collapsed="false">
      <c r="A501" s="0" t="n">
        <v>619</v>
      </c>
      <c r="B501" s="68" t="n">
        <v>45487</v>
      </c>
      <c r="C501" s="69" t="s">
        <v>124</v>
      </c>
      <c r="D501" s="69" t="s">
        <v>97</v>
      </c>
      <c r="E501" s="69" t="s">
        <v>110</v>
      </c>
      <c r="F501" s="69" t="s">
        <v>93</v>
      </c>
      <c r="G501" s="69" t="s">
        <v>94</v>
      </c>
      <c r="H501" s="0" t="s">
        <v>355</v>
      </c>
      <c r="I501" s="70" t="n">
        <v>34.3</v>
      </c>
      <c r="J501" s="70" t="n">
        <v>17.85</v>
      </c>
      <c r="K501" s="70" t="n">
        <f aca="false">IF(ISTEXT(H501),VALUE(H501),H501)*I501</f>
        <v>1920.8</v>
      </c>
    </row>
    <row r="502" customFormat="false" ht="15" hidden="false" customHeight="false" outlineLevel="0" collapsed="false">
      <c r="A502" s="0" t="n">
        <v>2100</v>
      </c>
      <c r="B502" s="68" t="n">
        <v>45913</v>
      </c>
      <c r="C502" s="69" t="s">
        <v>161</v>
      </c>
      <c r="D502" s="69" t="s">
        <v>112</v>
      </c>
      <c r="E502" s="69" t="s">
        <v>125</v>
      </c>
      <c r="F502" s="69" t="s">
        <v>168</v>
      </c>
      <c r="G502" s="69" t="s">
        <v>53</v>
      </c>
      <c r="H502" s="0" t="n">
        <v>14</v>
      </c>
      <c r="I502" s="70" t="n">
        <v>35.14</v>
      </c>
      <c r="J502" s="70" t="n">
        <v>18.39</v>
      </c>
      <c r="K502" s="70" t="n">
        <f aca="false">IF(ISTEXT(H502),VALUE(H502),H502)*I502</f>
        <v>491.96</v>
      </c>
    </row>
    <row r="503" customFormat="false" ht="15" hidden="false" customHeight="false" outlineLevel="0" collapsed="false">
      <c r="A503" s="0" t="n">
        <v>506</v>
      </c>
      <c r="B503" s="68" t="n">
        <v>45449</v>
      </c>
      <c r="C503" s="69" t="s">
        <v>170</v>
      </c>
      <c r="D503" s="69" t="s">
        <v>97</v>
      </c>
      <c r="E503" s="69" t="s">
        <v>125</v>
      </c>
      <c r="F503" s="69" t="s">
        <v>153</v>
      </c>
      <c r="G503" s="69" t="s">
        <v>157</v>
      </c>
      <c r="H503" s="0" t="n">
        <v>9</v>
      </c>
      <c r="I503" s="70" t="n">
        <v>1617</v>
      </c>
      <c r="J503" s="70" t="n">
        <v>1122</v>
      </c>
      <c r="K503" s="70" t="n">
        <f aca="false">IF(ISTEXT(H503),VALUE(H503),H503)*I503</f>
        <v>14553</v>
      </c>
    </row>
    <row r="504" customFormat="false" ht="15" hidden="false" customHeight="false" outlineLevel="0" collapsed="false">
      <c r="A504" s="0" t="n">
        <v>587</v>
      </c>
      <c r="B504" s="68" t="n">
        <v>45449</v>
      </c>
      <c r="C504" s="69" t="s">
        <v>161</v>
      </c>
      <c r="D504" s="69" t="s">
        <v>112</v>
      </c>
      <c r="E504" s="69" t="s">
        <v>134</v>
      </c>
      <c r="F504" s="69" t="s">
        <v>28</v>
      </c>
      <c r="G504" s="69" t="s">
        <v>103</v>
      </c>
      <c r="H504" s="0" t="n">
        <v>35</v>
      </c>
      <c r="I504" s="70" t="n">
        <v>27.44</v>
      </c>
      <c r="J504" s="70" t="n">
        <v>13.44</v>
      </c>
      <c r="K504" s="70" t="n">
        <f aca="false">IF(ISTEXT(H504),VALUE(H504),H504)*I504</f>
        <v>960.4</v>
      </c>
    </row>
    <row r="505" customFormat="false" ht="15" hidden="false" customHeight="false" outlineLevel="0" collapsed="false">
      <c r="A505" s="0" t="n">
        <v>221</v>
      </c>
      <c r="B505" s="69" t="s">
        <v>356</v>
      </c>
      <c r="C505" s="69" t="s">
        <v>91</v>
      </c>
      <c r="D505" s="69" t="s">
        <v>86</v>
      </c>
      <c r="E505" s="69" t="s">
        <v>138</v>
      </c>
      <c r="F505" s="69" t="s">
        <v>88</v>
      </c>
      <c r="G505" s="69" t="s">
        <v>154</v>
      </c>
      <c r="H505" s="0" t="n">
        <v>13</v>
      </c>
      <c r="I505" s="70" t="n">
        <v>1176</v>
      </c>
      <c r="J505" s="70" t="n">
        <v>744</v>
      </c>
      <c r="K505" s="70" t="n">
        <f aca="false">IF(ISTEXT(H505),VALUE(H505),H505)*I505</f>
        <v>15288</v>
      </c>
    </row>
    <row r="506" customFormat="false" ht="15" hidden="false" customHeight="false" outlineLevel="0" collapsed="false">
      <c r="A506" s="0" t="n">
        <v>1541</v>
      </c>
      <c r="B506" s="68" t="n">
        <v>45762</v>
      </c>
      <c r="C506" s="69" t="s">
        <v>152</v>
      </c>
      <c r="D506" s="69"/>
      <c r="E506" s="69" t="s">
        <v>110</v>
      </c>
      <c r="F506" s="69" t="s">
        <v>139</v>
      </c>
      <c r="G506" s="69" t="s">
        <v>151</v>
      </c>
      <c r="H506" s="0" t="n">
        <v>7</v>
      </c>
      <c r="I506" s="70" t="n">
        <v>1155.06</v>
      </c>
      <c r="J506" s="70" t="n">
        <v>766.32</v>
      </c>
      <c r="K506" s="70" t="n">
        <f aca="false">IF(ISTEXT(H506),VALUE(H506),H506)*I506</f>
        <v>8085.42</v>
      </c>
    </row>
    <row r="507" customFormat="false" ht="15" hidden="false" customHeight="false" outlineLevel="0" collapsed="false">
      <c r="A507" s="0" t="n">
        <v>2357</v>
      </c>
      <c r="B507" s="69" t="s">
        <v>357</v>
      </c>
      <c r="C507" s="69" t="s">
        <v>118</v>
      </c>
      <c r="D507" s="69" t="s">
        <v>109</v>
      </c>
      <c r="E507" s="69" t="s">
        <v>134</v>
      </c>
      <c r="F507" s="69" t="s">
        <v>183</v>
      </c>
      <c r="G507" s="69" t="s">
        <v>52</v>
      </c>
      <c r="H507" s="0" t="n">
        <v>29</v>
      </c>
      <c r="I507" s="70" t="n">
        <v>130.51</v>
      </c>
      <c r="J507" s="70" t="n">
        <v>78.33</v>
      </c>
      <c r="K507" s="70" t="n">
        <f aca="false">IF(ISTEXT(H507),VALUE(H507),H507)*I507</f>
        <v>3784.79</v>
      </c>
    </row>
    <row r="508" customFormat="false" ht="15" hidden="false" customHeight="false" outlineLevel="0" collapsed="false">
      <c r="A508" s="0" t="n">
        <v>1899</v>
      </c>
      <c r="B508" s="68" t="n">
        <v>45848</v>
      </c>
      <c r="C508" s="69" t="s">
        <v>161</v>
      </c>
      <c r="D508" s="69" t="s">
        <v>112</v>
      </c>
      <c r="E508" s="69" t="s">
        <v>134</v>
      </c>
      <c r="F508" s="69" t="s">
        <v>93</v>
      </c>
      <c r="G508" s="69" t="s">
        <v>217</v>
      </c>
      <c r="H508" s="0" t="n">
        <v>20</v>
      </c>
      <c r="I508" s="70" t="n">
        <v>35.14</v>
      </c>
      <c r="J508" s="70" t="n">
        <v>18.39</v>
      </c>
      <c r="K508" s="70" t="n">
        <f aca="false">IF(ISTEXT(H508),VALUE(H508),H508)*I508</f>
        <v>702.8</v>
      </c>
    </row>
    <row r="509" customFormat="false" ht="15" hidden="false" customHeight="false" outlineLevel="0" collapsed="false">
      <c r="A509" s="0" t="n">
        <v>1968</v>
      </c>
      <c r="B509" s="68" t="n">
        <v>45876</v>
      </c>
      <c r="C509" s="69" t="s">
        <v>193</v>
      </c>
      <c r="D509" s="69" t="s">
        <v>137</v>
      </c>
      <c r="E509" s="69" t="s">
        <v>180</v>
      </c>
      <c r="F509" s="69" t="s">
        <v>28</v>
      </c>
      <c r="G509" s="69" t="s">
        <v>113</v>
      </c>
      <c r="H509" s="0" t="n">
        <v>18</v>
      </c>
      <c r="I509" s="70" t="n">
        <v>28.11</v>
      </c>
      <c r="J509" s="70" t="n">
        <v>13.84</v>
      </c>
      <c r="K509" s="70" t="n">
        <f aca="false">IF(ISTEXT(H509),VALUE(H509),H509)*I509</f>
        <v>505.98</v>
      </c>
    </row>
    <row r="510" customFormat="false" ht="15" hidden="false" customHeight="false" outlineLevel="0" collapsed="false">
      <c r="A510" s="0" t="n">
        <v>845</v>
      </c>
      <c r="B510" s="68" t="n">
        <v>45538</v>
      </c>
      <c r="C510" s="69" t="s">
        <v>118</v>
      </c>
      <c r="D510" s="69" t="s">
        <v>109</v>
      </c>
      <c r="E510" s="69" t="s">
        <v>92</v>
      </c>
      <c r="F510" s="69" t="s">
        <v>88</v>
      </c>
      <c r="G510" s="69" t="s">
        <v>157</v>
      </c>
      <c r="H510" s="0" t="n">
        <v>8</v>
      </c>
      <c r="I510" s="70" t="n">
        <v>1617</v>
      </c>
      <c r="J510" s="70" t="n">
        <v>1122</v>
      </c>
      <c r="K510" s="70" t="n">
        <f aca="false">IF(ISTEXT(H510),VALUE(H510),H510)*I510</f>
        <v>12936</v>
      </c>
    </row>
    <row r="511" customFormat="false" ht="15" hidden="false" customHeight="false" outlineLevel="0" collapsed="false">
      <c r="A511" s="0" t="n">
        <v>2379</v>
      </c>
      <c r="B511" s="68" t="n">
        <v>46013</v>
      </c>
      <c r="C511" s="69" t="s">
        <v>32</v>
      </c>
      <c r="D511" s="69" t="s">
        <v>137</v>
      </c>
      <c r="E511" s="69" t="s">
        <v>92</v>
      </c>
      <c r="F511" s="69" t="s">
        <v>33</v>
      </c>
      <c r="G511" s="69" t="s">
        <v>217</v>
      </c>
      <c r="H511" s="0" t="n">
        <v>26</v>
      </c>
      <c r="I511" s="70" t="n">
        <v>35.14</v>
      </c>
      <c r="J511" s="70" t="n">
        <v>18.39</v>
      </c>
      <c r="K511" s="70" t="n">
        <f aca="false">IF(ISTEXT(H511),VALUE(H511),H511)*I511</f>
        <v>913.64</v>
      </c>
    </row>
    <row r="512" customFormat="false" ht="15" hidden="false" customHeight="false" outlineLevel="0" collapsed="false">
      <c r="A512" s="0" t="n">
        <v>1570</v>
      </c>
      <c r="B512" s="69" t="s">
        <v>358</v>
      </c>
      <c r="C512" s="69" t="s">
        <v>136</v>
      </c>
      <c r="D512" s="69" t="s">
        <v>137</v>
      </c>
      <c r="E512" s="69" t="s">
        <v>98</v>
      </c>
      <c r="F512" s="69" t="s">
        <v>143</v>
      </c>
      <c r="G512" s="69" t="s">
        <v>172</v>
      </c>
      <c r="H512" s="0" t="n">
        <v>17</v>
      </c>
      <c r="I512" s="70" t="n">
        <v>94.39</v>
      </c>
      <c r="J512" s="70" t="n">
        <v>49.41</v>
      </c>
      <c r="K512" s="70" t="n">
        <f aca="false">IF(ISTEXT(H512),VALUE(H512),H512)*I512</f>
        <v>1604.63</v>
      </c>
    </row>
    <row r="513" customFormat="false" ht="15" hidden="false" customHeight="false" outlineLevel="0" collapsed="false">
      <c r="A513" s="0" t="n">
        <v>2034</v>
      </c>
      <c r="B513" s="68" t="n">
        <v>45910</v>
      </c>
      <c r="C513" s="69" t="s">
        <v>91</v>
      </c>
      <c r="D513" s="69" t="s">
        <v>86</v>
      </c>
      <c r="E513" s="69" t="s">
        <v>87</v>
      </c>
      <c r="F513" s="69" t="s">
        <v>31</v>
      </c>
      <c r="G513" s="69" t="s">
        <v>171</v>
      </c>
      <c r="H513" s="0" t="n">
        <v>16</v>
      </c>
      <c r="I513" s="70" t="n">
        <v>120.47</v>
      </c>
      <c r="J513" s="70" t="n">
        <v>65.51</v>
      </c>
      <c r="K513" s="70" t="n">
        <f aca="false">IF(ISTEXT(H513),VALUE(H513),H513)*I513</f>
        <v>1927.52</v>
      </c>
    </row>
    <row r="514" customFormat="false" ht="15" hidden="false" customHeight="false" outlineLevel="0" collapsed="false">
      <c r="A514" s="0" t="n">
        <v>1779</v>
      </c>
      <c r="B514" s="69" t="s">
        <v>359</v>
      </c>
      <c r="C514" s="69" t="s">
        <v>32</v>
      </c>
      <c r="D514" s="69" t="s">
        <v>137</v>
      </c>
      <c r="E514" s="69" t="s">
        <v>101</v>
      </c>
      <c r="F514" s="69" t="s">
        <v>182</v>
      </c>
      <c r="G514" s="69" t="s">
        <v>94</v>
      </c>
      <c r="H514" s="0" t="n">
        <v>21</v>
      </c>
      <c r="I514" s="70" t="n">
        <v>34.78</v>
      </c>
      <c r="J514" s="70" t="n">
        <v>18.39</v>
      </c>
      <c r="K514" s="70" t="n">
        <f aca="false">IF(ISTEXT(H514),VALUE(H514),H514)*I514</f>
        <v>730.38</v>
      </c>
    </row>
    <row r="515" customFormat="false" ht="15" hidden="false" customHeight="false" outlineLevel="0" collapsed="false">
      <c r="A515" s="0" t="n">
        <v>1859</v>
      </c>
      <c r="B515" s="69" t="s">
        <v>360</v>
      </c>
      <c r="C515" s="69" t="s">
        <v>30</v>
      </c>
      <c r="D515" s="69" t="s">
        <v>109</v>
      </c>
      <c r="E515" s="69" t="s">
        <v>121</v>
      </c>
      <c r="F515" s="69" t="s">
        <v>168</v>
      </c>
      <c r="G515" s="69" t="s">
        <v>53</v>
      </c>
      <c r="H515" s="0" t="n">
        <v>29</v>
      </c>
      <c r="I515" s="70" t="n">
        <v>35.14</v>
      </c>
      <c r="J515" s="70" t="n">
        <v>18.39</v>
      </c>
      <c r="K515" s="70" t="n">
        <f aca="false">IF(ISTEXT(H515),VALUE(H515),H515)*I515</f>
        <v>1019.06</v>
      </c>
    </row>
    <row r="516" customFormat="false" ht="15" hidden="false" customHeight="false" outlineLevel="0" collapsed="false">
      <c r="A516" s="0" t="n">
        <v>1833</v>
      </c>
      <c r="B516" s="68" t="n">
        <v>45845</v>
      </c>
      <c r="C516" s="69" t="s">
        <v>27</v>
      </c>
      <c r="D516" s="69" t="s">
        <v>86</v>
      </c>
      <c r="E516" s="69" t="s">
        <v>121</v>
      </c>
      <c r="F516" s="69" t="s">
        <v>162</v>
      </c>
      <c r="G516" s="69" t="s">
        <v>171</v>
      </c>
      <c r="H516" s="0" t="n">
        <v>24</v>
      </c>
      <c r="I516" s="70" t="n">
        <v>120.47</v>
      </c>
      <c r="J516" s="70" t="n">
        <v>65.51</v>
      </c>
      <c r="K516" s="70" t="n">
        <f aca="false">IF(ISTEXT(H516),VALUE(H516),H516)*I516</f>
        <v>2891.28</v>
      </c>
    </row>
    <row r="517" customFormat="false" ht="15" hidden="false" customHeight="false" outlineLevel="0" collapsed="false">
      <c r="A517" s="0" t="n">
        <v>2017</v>
      </c>
      <c r="B517" s="68" t="n">
        <v>45926</v>
      </c>
      <c r="C517" s="69" t="s">
        <v>124</v>
      </c>
      <c r="D517" s="69" t="s">
        <v>97</v>
      </c>
      <c r="E517" s="69" t="s">
        <v>138</v>
      </c>
      <c r="F517" s="69" t="s">
        <v>168</v>
      </c>
      <c r="G517" s="69" t="s">
        <v>52</v>
      </c>
      <c r="H517" s="0" t="n">
        <v>56</v>
      </c>
      <c r="I517" s="70" t="n">
        <v>130.51</v>
      </c>
      <c r="J517" s="70" t="n">
        <v>78.33</v>
      </c>
      <c r="K517" s="70" t="n">
        <f aca="false">IF(ISTEXT(H517),VALUE(H517),H517)*I517</f>
        <v>7308.56</v>
      </c>
    </row>
    <row r="518" customFormat="false" ht="15" hidden="false" customHeight="false" outlineLevel="0" collapsed="false">
      <c r="A518" s="0" t="n">
        <v>697</v>
      </c>
      <c r="B518" s="68" t="n">
        <v>45493</v>
      </c>
      <c r="C518" s="69" t="s">
        <v>142</v>
      </c>
      <c r="D518" s="69" t="s">
        <v>112</v>
      </c>
      <c r="E518" s="69" t="s">
        <v>92</v>
      </c>
      <c r="F518" s="69" t="s">
        <v>33</v>
      </c>
      <c r="G518" s="69" t="s">
        <v>130</v>
      </c>
      <c r="H518" s="0" t="n">
        <v>23</v>
      </c>
      <c r="I518" s="70" t="n">
        <v>127.4</v>
      </c>
      <c r="J518" s="70" t="n">
        <v>76.05</v>
      </c>
      <c r="K518" s="70" t="n">
        <f aca="false">IF(ISTEXT(H518),VALUE(H518),H518)*I518</f>
        <v>2930.2</v>
      </c>
    </row>
    <row r="519" customFormat="false" ht="15" hidden="false" customHeight="false" outlineLevel="0" collapsed="false">
      <c r="A519" s="0" t="n">
        <v>311</v>
      </c>
      <c r="B519" s="68" t="n">
        <v>45400</v>
      </c>
      <c r="C519" s="69" t="s">
        <v>150</v>
      </c>
      <c r="D519" s="69" t="s">
        <v>97</v>
      </c>
      <c r="E519" s="69" t="s">
        <v>121</v>
      </c>
      <c r="F519" s="69" t="s">
        <v>28</v>
      </c>
      <c r="G519" s="69" t="s">
        <v>208</v>
      </c>
      <c r="H519" s="0" t="n">
        <v>104</v>
      </c>
      <c r="I519" s="70" t="n">
        <v>63.7</v>
      </c>
      <c r="J519" s="70" t="n">
        <v>35.43</v>
      </c>
      <c r="K519" s="70" t="n">
        <f aca="false">IF(ISTEXT(H519),VALUE(H519),H519)*I519</f>
        <v>6624.8</v>
      </c>
    </row>
    <row r="520" customFormat="false" ht="15" hidden="false" customHeight="false" outlineLevel="0" collapsed="false">
      <c r="A520" s="0" t="n">
        <v>365</v>
      </c>
      <c r="B520" s="68" t="n">
        <v>45400</v>
      </c>
      <c r="C520" s="69" t="s">
        <v>136</v>
      </c>
      <c r="D520" s="69" t="s">
        <v>137</v>
      </c>
      <c r="E520" s="69" t="s">
        <v>134</v>
      </c>
      <c r="F520" s="69" t="s">
        <v>147</v>
      </c>
      <c r="G520" s="69" t="s">
        <v>157</v>
      </c>
      <c r="H520" s="0" t="n">
        <v>6</v>
      </c>
      <c r="I520" s="70" t="n">
        <v>1617</v>
      </c>
      <c r="J520" s="70" t="n">
        <v>1122</v>
      </c>
      <c r="K520" s="70" t="n">
        <f aca="false">IF(ISTEXT(H520),VALUE(H520),H520)*I520</f>
        <v>9702</v>
      </c>
    </row>
    <row r="521" customFormat="false" ht="15" hidden="false" customHeight="false" outlineLevel="0" collapsed="false">
      <c r="A521" s="0" t="n">
        <v>184</v>
      </c>
      <c r="B521" s="68" t="n">
        <v>45342</v>
      </c>
      <c r="C521" s="69" t="s">
        <v>34</v>
      </c>
      <c r="D521" s="69" t="s">
        <v>112</v>
      </c>
      <c r="E521" s="69" t="s">
        <v>180</v>
      </c>
      <c r="F521" s="69" t="s">
        <v>153</v>
      </c>
      <c r="G521" s="69" t="s">
        <v>43</v>
      </c>
      <c r="H521" s="0" t="n">
        <v>2</v>
      </c>
      <c r="I521" s="70" t="n">
        <v>441</v>
      </c>
      <c r="J521" s="70" t="n">
        <v>272.25</v>
      </c>
      <c r="K521" s="70" t="n">
        <f aca="false">IF(ISTEXT(H521),VALUE(H521),H521)*I521</f>
        <v>882</v>
      </c>
    </row>
    <row r="522" customFormat="false" ht="15" hidden="false" customHeight="false" outlineLevel="0" collapsed="false">
      <c r="A522" s="0" t="n">
        <v>1155</v>
      </c>
      <c r="B522" s="68" t="n">
        <v>45639</v>
      </c>
      <c r="C522" s="69" t="s">
        <v>30</v>
      </c>
      <c r="D522" s="69" t="s">
        <v>109</v>
      </c>
      <c r="E522" s="69" t="s">
        <v>121</v>
      </c>
      <c r="F522" s="69" t="s">
        <v>162</v>
      </c>
      <c r="G522" s="69" t="s">
        <v>111</v>
      </c>
      <c r="H522" s="0" t="n">
        <v>27</v>
      </c>
      <c r="I522" s="70" t="n">
        <v>83.3</v>
      </c>
      <c r="J522" s="70" t="n">
        <v>48.03</v>
      </c>
      <c r="K522" s="70" t="n">
        <f aca="false">IF(ISTEXT(H522),VALUE(H522),H522)*I522</f>
        <v>2249.1</v>
      </c>
    </row>
    <row r="523" customFormat="false" ht="15" hidden="false" customHeight="false" outlineLevel="0" collapsed="false">
      <c r="A523" s="0" t="n">
        <v>543</v>
      </c>
      <c r="B523" s="69" t="s">
        <v>361</v>
      </c>
      <c r="C523" s="69" t="s">
        <v>152</v>
      </c>
      <c r="D523" s="69" t="s">
        <v>109</v>
      </c>
      <c r="E523" s="69" t="s">
        <v>110</v>
      </c>
      <c r="F523" s="69" t="s">
        <v>26</v>
      </c>
      <c r="G523" s="69" t="s">
        <v>177</v>
      </c>
      <c r="H523" s="0" t="n">
        <v>10</v>
      </c>
      <c r="I523" s="70" t="n">
        <v>441</v>
      </c>
      <c r="J523" s="70" t="n">
        <v>272.25</v>
      </c>
      <c r="K523" s="70" t="n">
        <f aca="false">IF(ISTEXT(H523),VALUE(H523),H523)*I523</f>
        <v>4410</v>
      </c>
    </row>
    <row r="524" customFormat="false" ht="15" hidden="false" customHeight="false" outlineLevel="0" collapsed="false">
      <c r="A524" s="0" t="n">
        <v>2120</v>
      </c>
      <c r="B524" s="69" t="s">
        <v>362</v>
      </c>
      <c r="C524" s="69" t="s">
        <v>25</v>
      </c>
      <c r="D524" s="69" t="s">
        <v>97</v>
      </c>
      <c r="E524" s="69" t="s">
        <v>87</v>
      </c>
      <c r="F524" s="69" t="s">
        <v>182</v>
      </c>
      <c r="G524" s="69" t="s">
        <v>217</v>
      </c>
      <c r="H524" s="0" t="s">
        <v>363</v>
      </c>
      <c r="I524" s="70" t="n">
        <v>35.14</v>
      </c>
      <c r="J524" s="70" t="n">
        <v>18.39</v>
      </c>
      <c r="K524" s="70" t="n">
        <f aca="false">IF(ISTEXT(H524),VALUE(H524),H524)*I524</f>
        <v>1440.74</v>
      </c>
    </row>
    <row r="525" customFormat="false" ht="15" hidden="false" customHeight="false" outlineLevel="0" collapsed="false">
      <c r="A525" s="0" t="n">
        <v>1208</v>
      </c>
      <c r="B525" s="69" t="s">
        <v>364</v>
      </c>
      <c r="C525" s="69" t="s">
        <v>25</v>
      </c>
      <c r="D525" s="69" t="s">
        <v>97</v>
      </c>
      <c r="E525" s="69" t="s">
        <v>87</v>
      </c>
      <c r="F525" s="69" t="s">
        <v>99</v>
      </c>
      <c r="G525" s="69" t="s">
        <v>47</v>
      </c>
      <c r="H525" s="0" t="n">
        <v>47</v>
      </c>
      <c r="I525" s="70" t="n">
        <v>27.82</v>
      </c>
      <c r="J525" s="70" t="n">
        <v>13.84</v>
      </c>
      <c r="K525" s="70" t="n">
        <f aca="false">IF(ISTEXT(H525),VALUE(H525),H525)*I525</f>
        <v>1307.54</v>
      </c>
    </row>
    <row r="526" customFormat="false" ht="15" hidden="false" customHeight="false" outlineLevel="0" collapsed="false">
      <c r="A526" s="0" t="n">
        <v>952</v>
      </c>
      <c r="B526" s="68" t="n">
        <v>45588</v>
      </c>
      <c r="C526" s="69" t="s">
        <v>152</v>
      </c>
      <c r="D526" s="69" t="s">
        <v>109</v>
      </c>
      <c r="E526" s="69" t="s">
        <v>125</v>
      </c>
      <c r="F526" s="69" t="s">
        <v>28</v>
      </c>
      <c r="G526" s="69" t="s">
        <v>49</v>
      </c>
      <c r="H526" s="0" t="n">
        <v>17</v>
      </c>
      <c r="I526" s="70" t="n">
        <v>63.7</v>
      </c>
      <c r="J526" s="70" t="n">
        <v>35.43</v>
      </c>
      <c r="K526" s="70" t="n">
        <f aca="false">IF(ISTEXT(H526),VALUE(H526),H526)*I526</f>
        <v>1082.9</v>
      </c>
    </row>
    <row r="527" customFormat="false" ht="15" hidden="false" customHeight="false" outlineLevel="0" collapsed="false">
      <c r="A527" s="0" t="n">
        <v>2091</v>
      </c>
      <c r="B527" s="68" t="n">
        <v>45904</v>
      </c>
      <c r="C527" s="69" t="s">
        <v>133</v>
      </c>
      <c r="D527" s="69" t="s">
        <v>112</v>
      </c>
      <c r="E527" s="69" t="s">
        <v>101</v>
      </c>
      <c r="F527" s="69" t="s">
        <v>99</v>
      </c>
      <c r="G527" s="69" t="s">
        <v>208</v>
      </c>
      <c r="H527" s="0" t="n">
        <v>32</v>
      </c>
      <c r="I527" s="70" t="n">
        <v>65.26</v>
      </c>
      <c r="J527" s="70" t="n">
        <v>36.49</v>
      </c>
      <c r="K527" s="70" t="n">
        <f aca="false">IF(ISTEXT(H527),VALUE(H527),H527)*I527</f>
        <v>2088.32</v>
      </c>
    </row>
    <row r="528" customFormat="false" ht="15" hidden="false" customHeight="false" outlineLevel="0" collapsed="false">
      <c r="A528" s="0" t="n">
        <v>769</v>
      </c>
      <c r="B528" s="68" t="n">
        <v>45515</v>
      </c>
      <c r="C528" s="69" t="s">
        <v>32</v>
      </c>
      <c r="D528" s="69" t="s">
        <v>137</v>
      </c>
      <c r="E528" s="69" t="s">
        <v>121</v>
      </c>
      <c r="F528" s="69" t="s">
        <v>102</v>
      </c>
      <c r="G528" s="69" t="s">
        <v>235</v>
      </c>
      <c r="H528" s="0" t="n">
        <v>26</v>
      </c>
      <c r="I528" s="70" t="n">
        <v>93.1</v>
      </c>
      <c r="J528" s="70" t="n">
        <v>47.98</v>
      </c>
      <c r="K528" s="70" t="n">
        <f aca="false">IF(ISTEXT(H528),VALUE(H528),H528)*I528</f>
        <v>2420.6</v>
      </c>
    </row>
    <row r="529" customFormat="false" ht="15" hidden="false" customHeight="false" outlineLevel="0" collapsed="false">
      <c r="A529" s="0" t="n">
        <v>1649</v>
      </c>
      <c r="B529" s="68" t="n">
        <v>45792</v>
      </c>
      <c r="C529" s="69" t="s">
        <v>152</v>
      </c>
      <c r="D529" s="69" t="s">
        <v>109</v>
      </c>
      <c r="E529" s="69" t="s">
        <v>134</v>
      </c>
      <c r="F529" s="69" t="s">
        <v>155</v>
      </c>
      <c r="G529" s="69" t="s">
        <v>48</v>
      </c>
      <c r="H529" s="0" t="n">
        <v>37</v>
      </c>
      <c r="I529" s="70" t="n">
        <v>94.39</v>
      </c>
      <c r="J529" s="70" t="n">
        <v>49.41</v>
      </c>
      <c r="K529" s="70" t="n">
        <f aca="false">IF(ISTEXT(H529),VALUE(H529),H529)*I529</f>
        <v>3492.43</v>
      </c>
    </row>
    <row r="530" customFormat="false" ht="15" hidden="false" customHeight="false" outlineLevel="0" collapsed="false">
      <c r="A530" s="0" t="n">
        <v>1845</v>
      </c>
      <c r="B530" s="68" t="n">
        <v>45848</v>
      </c>
      <c r="C530" s="69" t="s">
        <v>108</v>
      </c>
      <c r="D530" s="69" t="s">
        <v>109</v>
      </c>
      <c r="E530" s="69" t="s">
        <v>92</v>
      </c>
      <c r="F530" s="69" t="s">
        <v>139</v>
      </c>
      <c r="G530" s="69" t="s">
        <v>45</v>
      </c>
      <c r="H530" s="0" t="n">
        <v>11</v>
      </c>
      <c r="I530" s="70" t="n">
        <v>1656.52</v>
      </c>
      <c r="J530" s="70" t="n">
        <v>1155.66</v>
      </c>
      <c r="K530" s="70" t="n">
        <f aca="false">IF(ISTEXT(H530),VALUE(H530),H530)*I530</f>
        <v>18221.72</v>
      </c>
    </row>
    <row r="531" customFormat="false" ht="15" hidden="false" customHeight="false" outlineLevel="0" collapsed="false">
      <c r="A531" s="0" t="n">
        <v>310</v>
      </c>
      <c r="B531" s="69" t="s">
        <v>365</v>
      </c>
      <c r="C531" s="69" t="s">
        <v>96</v>
      </c>
      <c r="D531" s="69" t="s">
        <v>97</v>
      </c>
      <c r="E531" s="69" t="s">
        <v>98</v>
      </c>
      <c r="F531" s="69" t="s">
        <v>99</v>
      </c>
      <c r="G531" s="69" t="s">
        <v>172</v>
      </c>
      <c r="H531" s="0" t="n">
        <v>35</v>
      </c>
      <c r="I531" s="70" t="n">
        <v>93.1</v>
      </c>
      <c r="J531" s="70" t="n">
        <v>47.98</v>
      </c>
      <c r="K531" s="70" t="n">
        <f aca="false">IF(ISTEXT(H531),VALUE(H531),H531)*I531</f>
        <v>3258.5</v>
      </c>
    </row>
    <row r="532" customFormat="false" ht="15" hidden="false" customHeight="false" outlineLevel="0" collapsed="false">
      <c r="A532" s="0" t="n">
        <v>427</v>
      </c>
      <c r="B532" s="69" t="s">
        <v>366</v>
      </c>
      <c r="C532" s="69" t="s">
        <v>91</v>
      </c>
      <c r="D532" s="69" t="s">
        <v>86</v>
      </c>
      <c r="E532" s="69" t="s">
        <v>134</v>
      </c>
      <c r="F532" s="69" t="s">
        <v>28</v>
      </c>
      <c r="G532" s="69" t="s">
        <v>103</v>
      </c>
      <c r="H532" s="0" t="n">
        <v>52</v>
      </c>
      <c r="I532" s="70" t="n">
        <v>27.44</v>
      </c>
      <c r="J532" s="70" t="n">
        <v>13.44</v>
      </c>
      <c r="K532" s="70" t="n">
        <f aca="false">IF(ISTEXT(H532),VALUE(H532),H532)*I532</f>
        <v>1426.88</v>
      </c>
    </row>
    <row r="533" customFormat="false" ht="15" hidden="false" customHeight="false" outlineLevel="0" collapsed="false">
      <c r="A533" s="0" t="n">
        <v>1039</v>
      </c>
      <c r="B533" s="68" t="n">
        <v>45607</v>
      </c>
      <c r="C533" s="69" t="s">
        <v>120</v>
      </c>
      <c r="D533" s="69" t="s">
        <v>86</v>
      </c>
      <c r="E533" s="69" t="s">
        <v>92</v>
      </c>
      <c r="F533" s="69" t="s">
        <v>33</v>
      </c>
      <c r="G533" s="69" t="s">
        <v>217</v>
      </c>
      <c r="H533" s="0" t="n">
        <v>43</v>
      </c>
      <c r="I533" s="70" t="n">
        <v>34.3</v>
      </c>
      <c r="J533" s="70" t="n">
        <v>17.85</v>
      </c>
      <c r="K533" s="70" t="n">
        <f aca="false">IF(ISTEXT(H533),VALUE(H533),H533)*I533</f>
        <v>1474.9</v>
      </c>
    </row>
    <row r="534" customFormat="false" ht="15" hidden="false" customHeight="false" outlineLevel="0" collapsed="false">
      <c r="A534" s="0" t="n">
        <v>1692</v>
      </c>
      <c r="B534" s="68" t="n">
        <v>45796</v>
      </c>
      <c r="C534" s="69" t="s">
        <v>133</v>
      </c>
      <c r="D534" s="69" t="s">
        <v>112</v>
      </c>
      <c r="E534" s="69" t="s">
        <v>119</v>
      </c>
      <c r="F534" s="69" t="s">
        <v>143</v>
      </c>
      <c r="G534" s="69" t="s">
        <v>144</v>
      </c>
      <c r="H534" s="0" t="n">
        <v>22</v>
      </c>
      <c r="I534" s="70" t="n">
        <v>64.58</v>
      </c>
      <c r="J534" s="70" t="n">
        <v>36.49</v>
      </c>
      <c r="K534" s="70" t="n">
        <f aca="false">IF(ISTEXT(H534),VALUE(H534),H534)*I534</f>
        <v>1420.76</v>
      </c>
    </row>
    <row r="535" customFormat="false" ht="15" hidden="false" customHeight="false" outlineLevel="0" collapsed="false">
      <c r="A535" s="0" t="n">
        <v>1307</v>
      </c>
      <c r="B535" s="69" t="s">
        <v>367</v>
      </c>
      <c r="C535" s="69" t="s">
        <v>124</v>
      </c>
      <c r="D535" s="69" t="s">
        <v>97</v>
      </c>
      <c r="E535" s="69" t="s">
        <v>110</v>
      </c>
      <c r="F535" s="69" t="s">
        <v>143</v>
      </c>
      <c r="G535" s="69" t="s">
        <v>47</v>
      </c>
      <c r="H535" s="0" t="n">
        <v>87</v>
      </c>
      <c r="I535" s="70" t="n">
        <v>27.82</v>
      </c>
      <c r="J535" s="70" t="n">
        <v>13.84</v>
      </c>
      <c r="K535" s="70" t="n">
        <f aca="false">IF(ISTEXT(H535),VALUE(H535),H535)*I535</f>
        <v>2420.34</v>
      </c>
    </row>
    <row r="536" customFormat="false" ht="15" hidden="false" customHeight="false" outlineLevel="0" collapsed="false">
      <c r="A536" s="0" t="n">
        <v>1726</v>
      </c>
      <c r="B536" s="69" t="s">
        <v>368</v>
      </c>
      <c r="C536" s="69" t="s">
        <v>120</v>
      </c>
      <c r="D536" s="69" t="s">
        <v>86</v>
      </c>
      <c r="E536" s="69" t="s">
        <v>180</v>
      </c>
      <c r="F536" s="69" t="s">
        <v>139</v>
      </c>
      <c r="G536" s="69" t="s">
        <v>141</v>
      </c>
      <c r="H536" s="0" t="n">
        <v>7</v>
      </c>
      <c r="I536" s="70" t="n">
        <v>1588.21</v>
      </c>
      <c r="J536" s="70" t="n">
        <v>1155.66</v>
      </c>
      <c r="K536" s="70" t="n">
        <f aca="false">IF(ISTEXT(H536),VALUE(H536),H536)*I536</f>
        <v>11117.47</v>
      </c>
    </row>
    <row r="537" customFormat="false" ht="15" hidden="false" customHeight="false" outlineLevel="0" collapsed="false">
      <c r="A537" s="0" t="n">
        <v>78</v>
      </c>
      <c r="B537" s="68" t="n">
        <v>45298</v>
      </c>
      <c r="C537" s="69" t="s">
        <v>184</v>
      </c>
      <c r="D537" s="69" t="s">
        <v>137</v>
      </c>
      <c r="E537" s="69" t="s">
        <v>119</v>
      </c>
      <c r="F537" s="69" t="s">
        <v>33</v>
      </c>
      <c r="G537" s="69" t="s">
        <v>52</v>
      </c>
      <c r="H537" s="0" t="n">
        <v>6</v>
      </c>
      <c r="I537" s="70" t="n">
        <v>127.4</v>
      </c>
      <c r="J537" s="70" t="n">
        <v>76.05</v>
      </c>
      <c r="K537" s="70" t="n">
        <f aca="false">IF(ISTEXT(H537),VALUE(H537),H537)*I537</f>
        <v>764.4</v>
      </c>
    </row>
    <row r="538" customFormat="false" ht="15" hidden="false" customHeight="false" outlineLevel="0" collapsed="false">
      <c r="A538" s="0" t="n">
        <v>1932</v>
      </c>
      <c r="B538" s="68" t="n">
        <v>45894</v>
      </c>
      <c r="C538" s="69" t="s">
        <v>27</v>
      </c>
      <c r="D538" s="69" t="s">
        <v>86</v>
      </c>
      <c r="E538" s="69" t="s">
        <v>107</v>
      </c>
      <c r="F538" s="69" t="s">
        <v>99</v>
      </c>
      <c r="G538" s="69" t="s">
        <v>208</v>
      </c>
      <c r="H538" s="0" t="n">
        <v>42</v>
      </c>
      <c r="I538" s="70" t="n">
        <v>65.26</v>
      </c>
      <c r="J538" s="70" t="n">
        <v>36.49</v>
      </c>
      <c r="K538" s="70" t="n">
        <f aca="false">IF(ISTEXT(H538),VALUE(H538),H538)*I538</f>
        <v>2740.92</v>
      </c>
    </row>
    <row r="539" customFormat="false" ht="15" hidden="false" customHeight="false" outlineLevel="0" collapsed="false">
      <c r="A539" s="0" t="n">
        <v>2299</v>
      </c>
      <c r="B539" s="68" t="n">
        <v>45963</v>
      </c>
      <c r="C539" s="69" t="s">
        <v>34</v>
      </c>
      <c r="D539" s="69" t="s">
        <v>112</v>
      </c>
      <c r="E539" s="69" t="s">
        <v>121</v>
      </c>
      <c r="F539" s="69" t="s">
        <v>168</v>
      </c>
      <c r="G539" s="69" t="s">
        <v>94</v>
      </c>
      <c r="H539" s="0" t="n">
        <v>19</v>
      </c>
      <c r="I539" s="70" t="n">
        <v>35.14</v>
      </c>
      <c r="J539" s="70" t="n">
        <v>18.39</v>
      </c>
      <c r="K539" s="70" t="n">
        <f aca="false">IF(ISTEXT(H539),VALUE(H539),H539)*I539</f>
        <v>667.66</v>
      </c>
    </row>
    <row r="540" customFormat="false" ht="15" hidden="false" customHeight="false" outlineLevel="0" collapsed="false">
      <c r="A540" s="0" t="n">
        <v>265</v>
      </c>
      <c r="B540" s="69" t="s">
        <v>369</v>
      </c>
      <c r="C540" s="69" t="s">
        <v>136</v>
      </c>
      <c r="D540" s="69" t="s">
        <v>137</v>
      </c>
      <c r="E540" s="69" t="s">
        <v>121</v>
      </c>
      <c r="F540" s="69" t="s">
        <v>139</v>
      </c>
      <c r="G540" s="69" t="s">
        <v>141</v>
      </c>
      <c r="H540" s="0" t="n">
        <v>6</v>
      </c>
      <c r="I540" s="70" t="n">
        <v>1617</v>
      </c>
      <c r="J540" s="70" t="n">
        <v>1122</v>
      </c>
      <c r="K540" s="70" t="n">
        <f aca="false">IF(ISTEXT(H540),VALUE(H540),H540)*I540</f>
        <v>9702</v>
      </c>
    </row>
    <row r="541" customFormat="false" ht="15" hidden="false" customHeight="false" outlineLevel="0" collapsed="false">
      <c r="A541" s="0" t="n">
        <v>562</v>
      </c>
      <c r="B541" s="68" t="n">
        <v>45463</v>
      </c>
      <c r="C541" s="69" t="s">
        <v>136</v>
      </c>
      <c r="D541" s="69" t="s">
        <v>137</v>
      </c>
      <c r="E541" s="69" t="s">
        <v>107</v>
      </c>
      <c r="F541" s="69" t="s">
        <v>139</v>
      </c>
      <c r="G541" s="69" t="s">
        <v>154</v>
      </c>
      <c r="H541" s="0" t="n">
        <v>3</v>
      </c>
      <c r="I541" s="70" t="n">
        <v>1176</v>
      </c>
      <c r="J541" s="70" t="n">
        <v>744</v>
      </c>
      <c r="K541" s="70" t="n">
        <f aca="false">IF(ISTEXT(H541),VALUE(H541),H541)*I541</f>
        <v>3528</v>
      </c>
    </row>
    <row r="542" customFormat="false" ht="15" hidden="false" customHeight="false" outlineLevel="0" collapsed="false">
      <c r="A542" s="0" t="n">
        <v>420</v>
      </c>
      <c r="B542" s="68" t="n">
        <v>45437</v>
      </c>
      <c r="C542" s="69" t="s">
        <v>150</v>
      </c>
      <c r="D542" s="69" t="s">
        <v>97</v>
      </c>
      <c r="E542" s="69" t="s">
        <v>119</v>
      </c>
      <c r="F542" s="69" t="s">
        <v>93</v>
      </c>
      <c r="G542" s="69" t="s">
        <v>53</v>
      </c>
      <c r="H542" s="0" t="n">
        <v>25</v>
      </c>
      <c r="I542" s="70" t="n">
        <v>34.3</v>
      </c>
      <c r="J542" s="70" t="n">
        <v>17.85</v>
      </c>
      <c r="K542" s="70" t="n">
        <f aca="false">IF(ISTEXT(H542),VALUE(H542),H542)*I542</f>
        <v>857.5</v>
      </c>
    </row>
    <row r="543" customFormat="false" ht="15" hidden="false" customHeight="false" outlineLevel="0" collapsed="false">
      <c r="A543" s="0" t="n">
        <v>270</v>
      </c>
      <c r="B543" s="68" t="n">
        <v>45352</v>
      </c>
      <c r="C543" s="69" t="s">
        <v>32</v>
      </c>
      <c r="D543" s="69" t="s">
        <v>137</v>
      </c>
      <c r="E543" s="69" t="s">
        <v>119</v>
      </c>
      <c r="F543" s="69" t="s">
        <v>99</v>
      </c>
      <c r="G543" s="69" t="s">
        <v>235</v>
      </c>
      <c r="H543" s="0" t="s">
        <v>370</v>
      </c>
      <c r="I543" s="70" t="n">
        <v>93.1</v>
      </c>
      <c r="J543" s="70" t="n">
        <v>47.98</v>
      </c>
      <c r="K543" s="70" t="n">
        <f aca="false">IF(ISTEXT(H543),VALUE(H543),H543)*I543</f>
        <v>1210.3</v>
      </c>
    </row>
    <row r="544" customFormat="false" ht="15" hidden="false" customHeight="false" outlineLevel="0" collapsed="false">
      <c r="A544" s="0" t="n">
        <v>2031</v>
      </c>
      <c r="B544" s="69" t="s">
        <v>371</v>
      </c>
      <c r="C544" s="69" t="s">
        <v>159</v>
      </c>
      <c r="D544" s="69" t="s">
        <v>86</v>
      </c>
      <c r="E544" s="69" t="s">
        <v>121</v>
      </c>
      <c r="F544" s="69" t="s">
        <v>99</v>
      </c>
      <c r="G544" s="69" t="s">
        <v>49</v>
      </c>
      <c r="H544" s="0" t="n">
        <v>48</v>
      </c>
      <c r="I544" s="70" t="n">
        <v>65.26</v>
      </c>
      <c r="J544" s="70" t="n">
        <v>36.49</v>
      </c>
      <c r="K544" s="70" t="n">
        <f aca="false">IF(ISTEXT(H544),VALUE(H544),H544)*I544</f>
        <v>3132.48</v>
      </c>
    </row>
    <row r="545" customFormat="false" ht="15" hidden="false" customHeight="false" outlineLevel="0" collapsed="false">
      <c r="A545" s="0" t="n">
        <v>1883</v>
      </c>
      <c r="B545" s="68" t="n">
        <v>45844</v>
      </c>
      <c r="C545" s="69" t="s">
        <v>161</v>
      </c>
      <c r="D545" s="69" t="s">
        <v>112</v>
      </c>
      <c r="E545" s="69" t="s">
        <v>101</v>
      </c>
      <c r="F545" s="69" t="s">
        <v>135</v>
      </c>
      <c r="G545" s="69" t="s">
        <v>43</v>
      </c>
      <c r="H545" s="0" t="n">
        <v>7</v>
      </c>
      <c r="I545" s="70" t="n">
        <v>451.78</v>
      </c>
      <c r="J545" s="70" t="n">
        <v>280.42</v>
      </c>
      <c r="K545" s="70" t="n">
        <f aca="false">IF(ISTEXT(H545),VALUE(H545),H545)*I545</f>
        <v>3162.46</v>
      </c>
    </row>
    <row r="546" customFormat="false" ht="15" hidden="false" customHeight="false" outlineLevel="0" collapsed="false">
      <c r="A546" s="0" t="n">
        <v>1196</v>
      </c>
      <c r="B546" s="68" t="n">
        <v>45629</v>
      </c>
      <c r="C546" s="69" t="s">
        <v>34</v>
      </c>
      <c r="D546" s="69" t="s">
        <v>112</v>
      </c>
      <c r="E546" s="69" t="s">
        <v>125</v>
      </c>
      <c r="F546" s="69" t="s">
        <v>115</v>
      </c>
      <c r="G546" s="69" t="s">
        <v>116</v>
      </c>
      <c r="H546" s="0" t="n">
        <v>9</v>
      </c>
      <c r="I546" s="70" t="n">
        <v>83.3</v>
      </c>
      <c r="J546" s="70" t="n">
        <v>48.03</v>
      </c>
      <c r="K546" s="70" t="n">
        <f aca="false">IF(ISTEXT(H546),VALUE(H546),H546)*I546</f>
        <v>749.7</v>
      </c>
    </row>
    <row r="547" customFormat="false" ht="15" hidden="false" customHeight="false" outlineLevel="0" collapsed="false">
      <c r="A547" s="0" t="n">
        <v>592</v>
      </c>
      <c r="B547" s="68" t="n">
        <v>45457</v>
      </c>
      <c r="C547" s="69" t="s">
        <v>34</v>
      </c>
      <c r="D547" s="69" t="s">
        <v>112</v>
      </c>
      <c r="E547" s="69" t="s">
        <v>107</v>
      </c>
      <c r="F547" s="69" t="s">
        <v>102</v>
      </c>
      <c r="G547" s="69" t="s">
        <v>208</v>
      </c>
      <c r="H547" s="0" t="s">
        <v>372</v>
      </c>
      <c r="I547" s="70" t="n">
        <v>63.7</v>
      </c>
      <c r="J547" s="70" t="n">
        <v>35.43</v>
      </c>
      <c r="K547" s="70" t="n">
        <f aca="false">IF(ISTEXT(H547),VALUE(H547),H547)*I547</f>
        <v>700.7</v>
      </c>
    </row>
    <row r="548" customFormat="false" ht="15" hidden="false" customHeight="false" outlineLevel="0" collapsed="false">
      <c r="A548" s="0" t="n">
        <v>1262</v>
      </c>
      <c r="B548" s="69" t="s">
        <v>364</v>
      </c>
      <c r="C548" s="69" t="s">
        <v>184</v>
      </c>
      <c r="D548" s="69" t="s">
        <v>137</v>
      </c>
      <c r="E548" s="69" t="s">
        <v>119</v>
      </c>
      <c r="F548" s="69" t="s">
        <v>26</v>
      </c>
      <c r="G548" s="69" t="s">
        <v>41</v>
      </c>
      <c r="H548" s="0" t="n">
        <v>4</v>
      </c>
      <c r="I548" s="70" t="n">
        <v>1155.06</v>
      </c>
      <c r="J548" s="70" t="n">
        <v>766.32</v>
      </c>
      <c r="K548" s="70" t="n">
        <f aca="false">IF(ISTEXT(H548),VALUE(H548),H548)*I548</f>
        <v>4620.24</v>
      </c>
    </row>
    <row r="549" customFormat="false" ht="15" hidden="false" customHeight="false" outlineLevel="0" collapsed="false">
      <c r="A549" s="0" t="n">
        <v>2256</v>
      </c>
      <c r="B549" s="69" t="s">
        <v>373</v>
      </c>
      <c r="C549" s="69" t="s">
        <v>108</v>
      </c>
      <c r="D549" s="69" t="s">
        <v>109</v>
      </c>
      <c r="E549" s="69" t="s">
        <v>107</v>
      </c>
      <c r="F549" s="69" t="s">
        <v>162</v>
      </c>
      <c r="G549" s="69" t="s">
        <v>116</v>
      </c>
      <c r="H549" s="0" t="n">
        <v>18</v>
      </c>
      <c r="I549" s="70" t="n">
        <v>85.34</v>
      </c>
      <c r="J549" s="70" t="n">
        <v>49.47</v>
      </c>
      <c r="K549" s="70" t="n">
        <f aca="false">IF(ISTEXT(H549),VALUE(H549),H549)*I549</f>
        <v>1536.12</v>
      </c>
    </row>
    <row r="550" customFormat="false" ht="15" hidden="false" customHeight="false" outlineLevel="0" collapsed="false">
      <c r="A550" s="0" t="n">
        <v>1191</v>
      </c>
      <c r="B550" s="68" t="n">
        <v>45648</v>
      </c>
      <c r="C550" s="69" t="s">
        <v>142</v>
      </c>
      <c r="D550" s="69" t="s">
        <v>112</v>
      </c>
      <c r="E550" s="69" t="s">
        <v>134</v>
      </c>
      <c r="F550" s="69" t="s">
        <v>143</v>
      </c>
      <c r="G550" s="69" t="s">
        <v>208</v>
      </c>
      <c r="H550" s="0" t="n">
        <v>53</v>
      </c>
      <c r="I550" s="70" t="n">
        <v>63.7</v>
      </c>
      <c r="J550" s="70" t="n">
        <v>35.43</v>
      </c>
      <c r="K550" s="70" t="n">
        <f aca="false">IF(ISTEXT(H550),VALUE(H550),H550)*I550</f>
        <v>3376.1</v>
      </c>
    </row>
    <row r="551" customFormat="false" ht="15" hidden="false" customHeight="false" outlineLevel="0" collapsed="false">
      <c r="A551" s="0" t="n">
        <v>2279</v>
      </c>
      <c r="B551" s="69" t="s">
        <v>269</v>
      </c>
      <c r="C551" s="69" t="s">
        <v>32</v>
      </c>
      <c r="D551" s="69" t="s">
        <v>137</v>
      </c>
      <c r="E551" s="69" t="s">
        <v>121</v>
      </c>
      <c r="F551" s="69" t="s">
        <v>183</v>
      </c>
      <c r="G551" s="69" t="s">
        <v>217</v>
      </c>
      <c r="H551" s="0" t="n">
        <v>25</v>
      </c>
      <c r="I551" s="70" t="n">
        <v>35.14</v>
      </c>
      <c r="J551" s="70" t="n">
        <v>18.39</v>
      </c>
      <c r="K551" s="70" t="n">
        <f aca="false">IF(ISTEXT(H551),VALUE(H551),H551)*I551</f>
        <v>878.5</v>
      </c>
    </row>
    <row r="552" customFormat="false" ht="15" hidden="false" customHeight="false" outlineLevel="0" collapsed="false">
      <c r="A552" s="0" t="n">
        <v>159</v>
      </c>
      <c r="B552" s="68" t="n">
        <v>45329</v>
      </c>
      <c r="C552" s="69" t="s">
        <v>152</v>
      </c>
      <c r="D552" s="69" t="s">
        <v>109</v>
      </c>
      <c r="E552" s="69" t="s">
        <v>121</v>
      </c>
      <c r="F552" s="69" t="s">
        <v>183</v>
      </c>
      <c r="G552" s="69" t="s">
        <v>53</v>
      </c>
      <c r="H552" s="0" t="n">
        <v>18</v>
      </c>
      <c r="I552" s="70" t="n">
        <v>34.3</v>
      </c>
      <c r="J552" s="70" t="n">
        <v>17.85</v>
      </c>
      <c r="K552" s="70" t="n">
        <f aca="false">IF(ISTEXT(H552),VALUE(H552),H552)*I552</f>
        <v>617.4</v>
      </c>
    </row>
    <row r="553" customFormat="false" ht="15" hidden="false" customHeight="false" outlineLevel="0" collapsed="false">
      <c r="A553" s="0" t="n">
        <v>509</v>
      </c>
      <c r="B553" s="68" t="n">
        <v>45470</v>
      </c>
      <c r="C553" s="69" t="s">
        <v>25</v>
      </c>
      <c r="D553" s="69" t="s">
        <v>97</v>
      </c>
      <c r="E553" s="69" t="s">
        <v>101</v>
      </c>
      <c r="F553" s="69" t="s">
        <v>102</v>
      </c>
      <c r="G553" s="69" t="s">
        <v>48</v>
      </c>
      <c r="H553" s="0" t="n">
        <v>112</v>
      </c>
      <c r="I553" s="70" t="n">
        <v>93.1</v>
      </c>
      <c r="J553" s="70" t="n">
        <v>47.98</v>
      </c>
      <c r="K553" s="70" t="n">
        <f aca="false">IF(ISTEXT(H553),VALUE(H553),H553)*I553</f>
        <v>10427.2</v>
      </c>
    </row>
    <row r="554" customFormat="false" ht="15" hidden="false" customHeight="false" outlineLevel="0" collapsed="false">
      <c r="A554" s="0" t="n">
        <v>2231</v>
      </c>
      <c r="B554" s="68" t="n">
        <v>45973</v>
      </c>
      <c r="C554" s="69" t="s">
        <v>91</v>
      </c>
      <c r="D554" s="69" t="s">
        <v>86</v>
      </c>
      <c r="E554" s="69" t="s">
        <v>138</v>
      </c>
      <c r="F554" s="69" t="s">
        <v>28</v>
      </c>
      <c r="G554" s="69" t="s">
        <v>49</v>
      </c>
      <c r="H554" s="0" t="n">
        <v>62</v>
      </c>
      <c r="I554" s="70" t="n">
        <v>65.26</v>
      </c>
      <c r="J554" s="70" t="n">
        <v>36.49</v>
      </c>
      <c r="K554" s="70" t="n">
        <f aca="false">IF(ISTEXT(H554),VALUE(H554),H554)*I554</f>
        <v>4046.12</v>
      </c>
    </row>
    <row r="555" customFormat="false" ht="15" hidden="false" customHeight="false" outlineLevel="0" collapsed="false">
      <c r="A555" s="0" t="n">
        <v>1967</v>
      </c>
      <c r="B555" s="68" t="n">
        <v>45896</v>
      </c>
      <c r="C555" s="69" t="s">
        <v>193</v>
      </c>
      <c r="D555" s="69"/>
      <c r="E555" s="69" t="s">
        <v>138</v>
      </c>
      <c r="F555" s="69" t="s">
        <v>99</v>
      </c>
      <c r="G555" s="69" t="s">
        <v>113</v>
      </c>
      <c r="H555" s="0" t="n">
        <v>27</v>
      </c>
      <c r="I555" s="70" t="n">
        <v>28.11</v>
      </c>
      <c r="J555" s="70" t="n">
        <v>13.84</v>
      </c>
      <c r="K555" s="70" t="n">
        <f aca="false">IF(ISTEXT(H555),VALUE(H555),H555)*I555</f>
        <v>758.97</v>
      </c>
    </row>
    <row r="556" customFormat="false" ht="15" hidden="false" customHeight="false" outlineLevel="0" collapsed="false">
      <c r="A556" s="0" t="n">
        <v>68</v>
      </c>
      <c r="B556" s="69" t="s">
        <v>374</v>
      </c>
      <c r="C556" s="69" t="s">
        <v>32</v>
      </c>
      <c r="D556" s="69" t="s">
        <v>137</v>
      </c>
      <c r="E556" s="69" t="s">
        <v>180</v>
      </c>
      <c r="F556" s="69" t="s">
        <v>143</v>
      </c>
      <c r="G556" s="69" t="s">
        <v>47</v>
      </c>
      <c r="H556" s="0" t="n">
        <v>11</v>
      </c>
      <c r="I556" s="70" t="n">
        <v>27.44</v>
      </c>
      <c r="J556" s="70" t="n">
        <v>13.44</v>
      </c>
      <c r="K556" s="70" t="n">
        <f aca="false">IF(ISTEXT(H556),VALUE(H556),H556)*I556</f>
        <v>301.84</v>
      </c>
    </row>
    <row r="557" customFormat="false" ht="15" hidden="false" customHeight="false" outlineLevel="0" collapsed="false">
      <c r="A557" s="0" t="n">
        <v>1444</v>
      </c>
      <c r="B557" s="69" t="s">
        <v>375</v>
      </c>
      <c r="C557" s="69" t="s">
        <v>108</v>
      </c>
      <c r="D557" s="69" t="s">
        <v>109</v>
      </c>
      <c r="E557" s="69" t="s">
        <v>107</v>
      </c>
      <c r="F557" s="69" t="s">
        <v>139</v>
      </c>
      <c r="G557" s="69" t="s">
        <v>43</v>
      </c>
      <c r="H557" s="0" t="n">
        <v>5</v>
      </c>
      <c r="I557" s="70" t="n">
        <v>433.15</v>
      </c>
      <c r="J557" s="70" t="n">
        <v>280.42</v>
      </c>
      <c r="K557" s="70" t="n">
        <f aca="false">IF(ISTEXT(H557),VALUE(H557),H557)*I557</f>
        <v>2165.75</v>
      </c>
    </row>
    <row r="558" customFormat="false" ht="15" hidden="false" customHeight="false" outlineLevel="0" collapsed="false">
      <c r="A558" s="0" t="n">
        <v>2327</v>
      </c>
      <c r="B558" s="68" t="n">
        <v>46000</v>
      </c>
      <c r="C558" s="69" t="s">
        <v>159</v>
      </c>
      <c r="D558" s="69" t="s">
        <v>86</v>
      </c>
      <c r="E558" s="69" t="s">
        <v>138</v>
      </c>
      <c r="F558" s="69" t="s">
        <v>155</v>
      </c>
      <c r="G558" s="69" t="s">
        <v>113</v>
      </c>
      <c r="H558" s="0" t="n">
        <v>89</v>
      </c>
      <c r="I558" s="70" t="n">
        <v>28.11</v>
      </c>
      <c r="J558" s="70" t="n">
        <v>13.84</v>
      </c>
      <c r="K558" s="70" t="n">
        <f aca="false">IF(ISTEXT(H558),VALUE(H558),H558)*I558</f>
        <v>2501.79</v>
      </c>
    </row>
    <row r="559" customFormat="false" ht="15" hidden="false" customHeight="false" outlineLevel="0" collapsed="false">
      <c r="A559" s="0" t="n">
        <v>1005</v>
      </c>
      <c r="B559" s="68" t="n">
        <v>45612</v>
      </c>
      <c r="C559" s="69" t="s">
        <v>25</v>
      </c>
      <c r="D559" s="69" t="s">
        <v>97</v>
      </c>
      <c r="E559" s="69" t="s">
        <v>121</v>
      </c>
      <c r="F559" s="69" t="s">
        <v>147</v>
      </c>
      <c r="G559" s="69" t="s">
        <v>157</v>
      </c>
      <c r="H559" s="0" t="n">
        <v>23</v>
      </c>
      <c r="I559" s="70" t="n">
        <v>1617</v>
      </c>
      <c r="J559" s="70" t="n">
        <v>1122</v>
      </c>
      <c r="K559" s="70" t="n">
        <f aca="false">IF(ISTEXT(H559),VALUE(H559),H559)*I559</f>
        <v>37191</v>
      </c>
    </row>
    <row r="560" customFormat="false" ht="15" hidden="false" customHeight="false" outlineLevel="0" collapsed="false">
      <c r="A560" s="0" t="n">
        <v>250</v>
      </c>
      <c r="B560" s="68" t="n">
        <v>45374</v>
      </c>
      <c r="C560" s="69" t="s">
        <v>30</v>
      </c>
      <c r="D560" s="69" t="s">
        <v>109</v>
      </c>
      <c r="E560" s="69" t="s">
        <v>98</v>
      </c>
      <c r="F560" s="69" t="s">
        <v>28</v>
      </c>
      <c r="G560" s="69" t="s">
        <v>172</v>
      </c>
      <c r="H560" s="0" t="n">
        <v>17</v>
      </c>
      <c r="I560" s="70" t="n">
        <v>93.1</v>
      </c>
      <c r="J560" s="70" t="n">
        <v>47.98</v>
      </c>
      <c r="K560" s="70" t="n">
        <f aca="false">IF(ISTEXT(H560),VALUE(H560),H560)*I560</f>
        <v>1582.7</v>
      </c>
    </row>
    <row r="561" customFormat="false" ht="15" hidden="false" customHeight="false" outlineLevel="0" collapsed="false">
      <c r="A561" s="0" t="n">
        <v>1330</v>
      </c>
      <c r="B561" s="68" t="n">
        <v>45711</v>
      </c>
      <c r="C561" s="69" t="s">
        <v>120</v>
      </c>
      <c r="D561" s="69" t="s">
        <v>86</v>
      </c>
      <c r="E561" s="69" t="s">
        <v>119</v>
      </c>
      <c r="F561" s="69" t="s">
        <v>28</v>
      </c>
      <c r="G561" s="69" t="s">
        <v>48</v>
      </c>
      <c r="H561" s="0" t="n">
        <v>34</v>
      </c>
      <c r="I561" s="70" t="n">
        <v>94.39</v>
      </c>
      <c r="J561" s="70" t="n">
        <v>49.41</v>
      </c>
      <c r="K561" s="70" t="n">
        <f aca="false">IF(ISTEXT(H561),VALUE(H561),H561)*I561</f>
        <v>3209.26</v>
      </c>
    </row>
    <row r="562" customFormat="false" ht="15" hidden="false" customHeight="false" outlineLevel="0" collapsed="false">
      <c r="A562" s="0" t="n">
        <v>1110</v>
      </c>
      <c r="B562" s="68" t="n">
        <v>45648</v>
      </c>
      <c r="C562" s="69" t="s">
        <v>124</v>
      </c>
      <c r="D562" s="69" t="s">
        <v>97</v>
      </c>
      <c r="E562" s="69" t="s">
        <v>180</v>
      </c>
      <c r="F562" s="69" t="s">
        <v>143</v>
      </c>
      <c r="G562" s="69" t="s">
        <v>48</v>
      </c>
      <c r="H562" s="0" t="n">
        <v>49</v>
      </c>
      <c r="I562" s="70" t="n">
        <v>93.1</v>
      </c>
      <c r="J562" s="70" t="n">
        <v>47.98</v>
      </c>
      <c r="K562" s="70" t="n">
        <f aca="false">IF(ISTEXT(H562),VALUE(H562),H562)*I562</f>
        <v>4561.9</v>
      </c>
    </row>
    <row r="563" customFormat="false" ht="15" hidden="false" customHeight="false" outlineLevel="0" collapsed="false">
      <c r="A563" s="0" t="n">
        <v>50</v>
      </c>
      <c r="B563" s="68" t="n">
        <v>45318</v>
      </c>
      <c r="C563" s="69" t="s">
        <v>118</v>
      </c>
      <c r="D563" s="69" t="s">
        <v>109</v>
      </c>
      <c r="E563" s="69" t="s">
        <v>107</v>
      </c>
      <c r="F563" s="69" t="s">
        <v>143</v>
      </c>
      <c r="G563" s="69" t="s">
        <v>48</v>
      </c>
      <c r="H563" s="0" t="n">
        <v>13</v>
      </c>
      <c r="I563" s="70" t="n">
        <v>93.1</v>
      </c>
      <c r="J563" s="70" t="n">
        <v>47.98</v>
      </c>
      <c r="K563" s="70" t="n">
        <f aca="false">IF(ISTEXT(H563),VALUE(H563),H563)*I563</f>
        <v>1210.3</v>
      </c>
    </row>
    <row r="564" customFormat="false" ht="15" hidden="false" customHeight="false" outlineLevel="0" collapsed="false">
      <c r="A564" s="0" t="n">
        <v>913</v>
      </c>
      <c r="B564" s="68" t="n">
        <v>45585</v>
      </c>
      <c r="C564" s="69" t="s">
        <v>170</v>
      </c>
      <c r="D564" s="69" t="s">
        <v>97</v>
      </c>
      <c r="E564" s="69" t="s">
        <v>110</v>
      </c>
      <c r="F564" s="69" t="s">
        <v>162</v>
      </c>
      <c r="G564" s="69" t="s">
        <v>50</v>
      </c>
      <c r="H564" s="0" t="n">
        <v>43</v>
      </c>
      <c r="I564" s="70" t="n">
        <v>117.6</v>
      </c>
      <c r="J564" s="70" t="n">
        <v>63.6</v>
      </c>
      <c r="K564" s="70" t="n">
        <f aca="false">IF(ISTEXT(H564),VALUE(H564),H564)*I564</f>
        <v>5056.8</v>
      </c>
    </row>
    <row r="565" customFormat="false" ht="15" hidden="false" customHeight="false" outlineLevel="0" collapsed="false">
      <c r="A565" s="0" t="n">
        <v>2362</v>
      </c>
      <c r="B565" s="68" t="n">
        <v>46002</v>
      </c>
      <c r="C565" s="69" t="s">
        <v>136</v>
      </c>
      <c r="D565" s="69"/>
      <c r="E565" s="69" t="s">
        <v>87</v>
      </c>
      <c r="F565" s="69" t="s">
        <v>147</v>
      </c>
      <c r="G565" s="69" t="s">
        <v>151</v>
      </c>
      <c r="H565" s="0" t="n">
        <v>6</v>
      </c>
      <c r="I565" s="70" t="n">
        <v>1204.74</v>
      </c>
      <c r="J565" s="70" t="n">
        <v>766.32</v>
      </c>
      <c r="K565" s="70" t="n">
        <f aca="false">IF(ISTEXT(H565),VALUE(H565),H565)*I565</f>
        <v>7228.44</v>
      </c>
    </row>
    <row r="566" customFormat="false" ht="15" hidden="false" customHeight="false" outlineLevel="0" collapsed="false">
      <c r="A566" s="0" t="n">
        <v>537</v>
      </c>
      <c r="B566" s="68" t="n">
        <v>45450</v>
      </c>
      <c r="C566" s="69" t="s">
        <v>91</v>
      </c>
      <c r="D566" s="69" t="s">
        <v>86</v>
      </c>
      <c r="E566" s="69" t="s">
        <v>134</v>
      </c>
      <c r="F566" s="69" t="s">
        <v>93</v>
      </c>
      <c r="G566" s="69" t="s">
        <v>127</v>
      </c>
      <c r="H566" s="0" t="n">
        <v>36</v>
      </c>
      <c r="I566" s="70" t="n">
        <v>127.4</v>
      </c>
      <c r="J566" s="70" t="n">
        <v>76.05</v>
      </c>
      <c r="K566" s="70" t="n">
        <f aca="false">IF(ISTEXT(H566),VALUE(H566),H566)*I566</f>
        <v>4586.4</v>
      </c>
    </row>
    <row r="567" customFormat="false" ht="15" hidden="false" customHeight="false" outlineLevel="0" collapsed="false">
      <c r="A567" s="0" t="n">
        <v>2265</v>
      </c>
      <c r="B567" s="68" t="n">
        <v>45968</v>
      </c>
      <c r="C567" s="69" t="s">
        <v>136</v>
      </c>
      <c r="D567" s="69" t="s">
        <v>137</v>
      </c>
      <c r="E567" s="69" t="s">
        <v>138</v>
      </c>
      <c r="F567" s="69" t="s">
        <v>139</v>
      </c>
      <c r="G567" s="69" t="s">
        <v>157</v>
      </c>
      <c r="H567" s="0" t="n">
        <v>9</v>
      </c>
      <c r="I567" s="70" t="n">
        <v>1656.52</v>
      </c>
      <c r="J567" s="70" t="n">
        <v>1155.66</v>
      </c>
      <c r="K567" s="70" t="n">
        <f aca="false">IF(ISTEXT(H567),VALUE(H567),H567)*I567</f>
        <v>14908.68</v>
      </c>
    </row>
    <row r="568" customFormat="false" ht="15" hidden="false" customHeight="false" outlineLevel="0" collapsed="false">
      <c r="A568" s="0" t="n">
        <v>1920</v>
      </c>
      <c r="B568" s="68" t="n">
        <v>45891</v>
      </c>
      <c r="C568" s="69" t="s">
        <v>170</v>
      </c>
      <c r="D568" s="69" t="s">
        <v>97</v>
      </c>
      <c r="E568" s="69" t="s">
        <v>125</v>
      </c>
      <c r="F568" s="69" t="s">
        <v>182</v>
      </c>
      <c r="G568" s="69" t="s">
        <v>94</v>
      </c>
      <c r="H568" s="0" t="n">
        <v>31</v>
      </c>
      <c r="I568" s="70" t="n">
        <v>35.14</v>
      </c>
      <c r="J568" s="70" t="n">
        <v>18.39</v>
      </c>
      <c r="K568" s="70" t="n">
        <f aca="false">IF(ISTEXT(H568),VALUE(H568),H568)*I568</f>
        <v>1089.34</v>
      </c>
    </row>
    <row r="569" customFormat="false" ht="15" hidden="false" customHeight="false" outlineLevel="0" collapsed="false">
      <c r="A569" s="0" t="n">
        <v>918</v>
      </c>
      <c r="B569" s="68" t="n">
        <v>45566</v>
      </c>
      <c r="C569" s="69" t="s">
        <v>170</v>
      </c>
      <c r="D569" s="69" t="s">
        <v>97</v>
      </c>
      <c r="E569" s="69" t="s">
        <v>98</v>
      </c>
      <c r="F569" s="69" t="s">
        <v>168</v>
      </c>
      <c r="G569" s="69" t="s">
        <v>130</v>
      </c>
      <c r="H569" s="0" t="n">
        <v>25</v>
      </c>
      <c r="I569" s="70" t="n">
        <v>127.4</v>
      </c>
      <c r="J569" s="70" t="n">
        <v>76.05</v>
      </c>
      <c r="K569" s="70" t="n">
        <f aca="false">IF(ISTEXT(H569),VALUE(H569),H569)*I569</f>
        <v>3185</v>
      </c>
    </row>
    <row r="570" customFormat="false" ht="15" hidden="false" customHeight="false" outlineLevel="0" collapsed="false">
      <c r="A570" s="0" t="n">
        <v>1500</v>
      </c>
      <c r="B570" s="69" t="s">
        <v>376</v>
      </c>
      <c r="C570" s="69" t="s">
        <v>34</v>
      </c>
      <c r="D570" s="69" t="s">
        <v>112</v>
      </c>
      <c r="E570" s="69" t="s">
        <v>98</v>
      </c>
      <c r="F570" s="69" t="s">
        <v>168</v>
      </c>
      <c r="G570" s="69" t="s">
        <v>94</v>
      </c>
      <c r="H570" s="0" t="n">
        <v>10</v>
      </c>
      <c r="I570" s="70" t="n">
        <v>34.78</v>
      </c>
      <c r="J570" s="70" t="n">
        <v>18.39</v>
      </c>
      <c r="K570" s="70" t="n">
        <f aca="false">IF(ISTEXT(H570),VALUE(H570),H570)*I570</f>
        <v>347.8</v>
      </c>
    </row>
    <row r="571" customFormat="false" ht="15" hidden="false" customHeight="false" outlineLevel="0" collapsed="false">
      <c r="A571" s="0" t="n">
        <v>1747</v>
      </c>
      <c r="B571" s="69" t="s">
        <v>377</v>
      </c>
      <c r="C571" s="69" t="s">
        <v>30</v>
      </c>
      <c r="D571" s="69" t="s">
        <v>109</v>
      </c>
      <c r="E571" s="69" t="s">
        <v>134</v>
      </c>
      <c r="F571" s="69" t="s">
        <v>102</v>
      </c>
      <c r="G571" s="69" t="s">
        <v>113</v>
      </c>
      <c r="H571" s="0" t="s">
        <v>378</v>
      </c>
      <c r="I571" s="70" t="n">
        <v>27.82</v>
      </c>
      <c r="J571" s="70" t="n">
        <v>13.84</v>
      </c>
      <c r="K571" s="70" t="n">
        <f aca="false">IF(ISTEXT(H571),VALUE(H571),H571)*I571</f>
        <v>1307.54</v>
      </c>
    </row>
    <row r="572" customFormat="false" ht="15" hidden="false" customHeight="false" outlineLevel="0" collapsed="false">
      <c r="A572" s="0" t="n">
        <v>923</v>
      </c>
      <c r="B572" s="68" t="n">
        <v>45574</v>
      </c>
      <c r="C572" s="69" t="s">
        <v>27</v>
      </c>
      <c r="D572" s="69" t="s">
        <v>86</v>
      </c>
      <c r="E572" s="69" t="s">
        <v>92</v>
      </c>
      <c r="F572" s="69" t="s">
        <v>139</v>
      </c>
      <c r="G572" s="69" t="s">
        <v>177</v>
      </c>
      <c r="H572" s="0" t="n">
        <v>14</v>
      </c>
      <c r="I572" s="70" t="n">
        <v>441</v>
      </c>
      <c r="J572" s="70" t="n">
        <v>272.25</v>
      </c>
      <c r="K572" s="70" t="n">
        <f aca="false">IF(ISTEXT(H572),VALUE(H572),H572)*I572</f>
        <v>6174</v>
      </c>
    </row>
    <row r="573" customFormat="false" ht="15" hidden="false" customHeight="false" outlineLevel="0" collapsed="false">
      <c r="A573" s="0" t="n">
        <v>481</v>
      </c>
      <c r="B573" s="68" t="n">
        <v>45432</v>
      </c>
      <c r="C573" s="69" t="s">
        <v>161</v>
      </c>
      <c r="D573" s="69" t="s">
        <v>112</v>
      </c>
      <c r="E573" s="69" t="s">
        <v>110</v>
      </c>
      <c r="F573" s="69" t="s">
        <v>139</v>
      </c>
      <c r="G573" s="69" t="s">
        <v>151</v>
      </c>
      <c r="H573" s="0" t="n">
        <v>8</v>
      </c>
      <c r="I573" s="70" t="n">
        <v>1176</v>
      </c>
      <c r="J573" s="70" t="n">
        <v>744</v>
      </c>
      <c r="K573" s="70" t="n">
        <f aca="false">IF(ISTEXT(H573),VALUE(H573),H573)*I573</f>
        <v>9408</v>
      </c>
    </row>
    <row r="574" customFormat="false" ht="15" hidden="false" customHeight="false" outlineLevel="0" collapsed="false">
      <c r="A574" s="0" t="n">
        <v>2378</v>
      </c>
      <c r="B574" s="68" t="n">
        <v>46006</v>
      </c>
      <c r="C574" s="69" t="s">
        <v>136</v>
      </c>
      <c r="D574" s="69" t="s">
        <v>137</v>
      </c>
      <c r="E574" s="69" t="s">
        <v>119</v>
      </c>
      <c r="F574" s="69" t="s">
        <v>33</v>
      </c>
      <c r="G574" s="69" t="s">
        <v>52</v>
      </c>
      <c r="H574" s="0" t="n">
        <v>18</v>
      </c>
      <c r="I574" s="70" t="n">
        <v>130.51</v>
      </c>
      <c r="J574" s="70" t="n">
        <v>78.33</v>
      </c>
      <c r="K574" s="70" t="n">
        <f aca="false">IF(ISTEXT(H574),VALUE(H574),H574)*I574</f>
        <v>2349.18</v>
      </c>
    </row>
    <row r="575" customFormat="false" ht="15" hidden="false" customHeight="false" outlineLevel="0" collapsed="false">
      <c r="A575" s="0" t="n">
        <v>658</v>
      </c>
      <c r="B575" s="69" t="s">
        <v>379</v>
      </c>
      <c r="C575" s="69" t="s">
        <v>152</v>
      </c>
      <c r="D575" s="69" t="s">
        <v>109</v>
      </c>
      <c r="E575" s="69" t="s">
        <v>87</v>
      </c>
      <c r="F575" s="69" t="s">
        <v>93</v>
      </c>
      <c r="G575" s="69" t="s">
        <v>127</v>
      </c>
      <c r="H575" s="0" t="n">
        <v>11</v>
      </c>
      <c r="I575" s="70" t="n">
        <v>127.4</v>
      </c>
      <c r="J575" s="70" t="n">
        <v>76.05</v>
      </c>
      <c r="K575" s="70" t="n">
        <f aca="false">IF(ISTEXT(H575),VALUE(H575),H575)*I575</f>
        <v>1401.4</v>
      </c>
    </row>
    <row r="576" customFormat="false" ht="15" hidden="false" customHeight="false" outlineLevel="0" collapsed="false">
      <c r="A576" s="0" t="n">
        <v>1729</v>
      </c>
      <c r="B576" s="68" t="n">
        <v>45816</v>
      </c>
      <c r="C576" s="69" t="s">
        <v>120</v>
      </c>
      <c r="D576" s="69"/>
      <c r="E576" s="69" t="s">
        <v>134</v>
      </c>
      <c r="F576" s="69" t="s">
        <v>99</v>
      </c>
      <c r="G576" s="69" t="s">
        <v>48</v>
      </c>
      <c r="H576" s="0" t="s">
        <v>380</v>
      </c>
      <c r="I576" s="70" t="n">
        <v>94.39</v>
      </c>
      <c r="J576" s="70" t="n">
        <v>49.41</v>
      </c>
      <c r="K576" s="70" t="n">
        <f aca="false">IF(ISTEXT(H576),VALUE(H576),H576)*I576</f>
        <v>5474.62</v>
      </c>
    </row>
    <row r="577" customFormat="false" ht="15" hidden="false" customHeight="false" outlineLevel="0" collapsed="false">
      <c r="A577" s="0" t="n">
        <v>1255</v>
      </c>
      <c r="B577" s="68" t="n">
        <v>45668</v>
      </c>
      <c r="C577" s="69" t="s">
        <v>30</v>
      </c>
      <c r="D577" s="69" t="s">
        <v>109</v>
      </c>
      <c r="E577" s="69" t="s">
        <v>101</v>
      </c>
      <c r="F577" s="69" t="s">
        <v>31</v>
      </c>
      <c r="G577" s="69" t="s">
        <v>51</v>
      </c>
      <c r="H577" s="0" t="n">
        <v>16</v>
      </c>
      <c r="I577" s="70" t="n">
        <v>84.46</v>
      </c>
      <c r="J577" s="70" t="n">
        <v>49.47</v>
      </c>
      <c r="K577" s="70" t="n">
        <f aca="false">IF(ISTEXT(H577),VALUE(H577),H577)*I577</f>
        <v>1351.36</v>
      </c>
    </row>
    <row r="578" customFormat="false" ht="15" hidden="false" customHeight="false" outlineLevel="0" collapsed="false">
      <c r="A578" s="0" t="n">
        <v>1720</v>
      </c>
      <c r="B578" s="68" t="n">
        <v>45834</v>
      </c>
      <c r="C578" s="69" t="s">
        <v>170</v>
      </c>
      <c r="D578" s="69" t="s">
        <v>97</v>
      </c>
      <c r="E578" s="69" t="s">
        <v>119</v>
      </c>
      <c r="F578" s="69" t="s">
        <v>182</v>
      </c>
      <c r="G578" s="69" t="s">
        <v>217</v>
      </c>
      <c r="H578" s="0" t="n">
        <v>41</v>
      </c>
      <c r="I578" s="70" t="n">
        <v>34.78</v>
      </c>
      <c r="J578" s="70" t="n">
        <v>18.39</v>
      </c>
      <c r="K578" s="70" t="n">
        <f aca="false">IF(ISTEXT(H578),VALUE(H578),H578)*I578</f>
        <v>1425.98</v>
      </c>
    </row>
    <row r="579" customFormat="false" ht="15" hidden="false" customHeight="false" outlineLevel="0" collapsed="false">
      <c r="A579" s="0" t="n">
        <v>1622</v>
      </c>
      <c r="B579" s="68" t="n">
        <v>45792</v>
      </c>
      <c r="C579" s="69" t="s">
        <v>91</v>
      </c>
      <c r="D579" s="69" t="s">
        <v>86</v>
      </c>
      <c r="E579" s="69" t="s">
        <v>87</v>
      </c>
      <c r="F579" s="69" t="s">
        <v>147</v>
      </c>
      <c r="G579" s="69" t="s">
        <v>154</v>
      </c>
      <c r="H579" s="0" t="n">
        <v>8</v>
      </c>
      <c r="I579" s="70" t="n">
        <v>1155.06</v>
      </c>
      <c r="J579" s="70" t="n">
        <v>766.32</v>
      </c>
      <c r="K579" s="70" t="n">
        <f aca="false">IF(ISTEXT(H579),VALUE(H579),H579)*I579</f>
        <v>9240.48</v>
      </c>
    </row>
    <row r="580" customFormat="false" ht="15" hidden="false" customHeight="false" outlineLevel="0" collapsed="false">
      <c r="A580" s="0" t="n">
        <v>571</v>
      </c>
      <c r="B580" s="68" t="n">
        <v>45445</v>
      </c>
      <c r="C580" s="69" t="s">
        <v>136</v>
      </c>
      <c r="D580" s="69" t="s">
        <v>137</v>
      </c>
      <c r="E580" s="69" t="s">
        <v>121</v>
      </c>
      <c r="F580" s="69" t="s">
        <v>28</v>
      </c>
      <c r="G580" s="69" t="s">
        <v>208</v>
      </c>
      <c r="H580" s="0" t="n">
        <v>31</v>
      </c>
      <c r="I580" s="70" t="n">
        <v>63.7</v>
      </c>
      <c r="J580" s="70" t="n">
        <v>35.43</v>
      </c>
      <c r="K580" s="70" t="n">
        <f aca="false">IF(ISTEXT(H580),VALUE(H580),H580)*I580</f>
        <v>1974.7</v>
      </c>
    </row>
    <row r="581" customFormat="false" ht="15" hidden="false" customHeight="false" outlineLevel="0" collapsed="false">
      <c r="A581" s="0" t="n">
        <v>2109</v>
      </c>
      <c r="B581" s="69" t="s">
        <v>381</v>
      </c>
      <c r="C581" s="69" t="s">
        <v>150</v>
      </c>
      <c r="D581" s="69" t="s">
        <v>97</v>
      </c>
      <c r="E581" s="69" t="s">
        <v>101</v>
      </c>
      <c r="F581" s="69" t="s">
        <v>99</v>
      </c>
      <c r="G581" s="69" t="s">
        <v>48</v>
      </c>
      <c r="H581" s="0" t="n">
        <v>90</v>
      </c>
      <c r="I581" s="70" t="n">
        <v>95.38</v>
      </c>
      <c r="J581" s="70" t="n">
        <v>49.41</v>
      </c>
      <c r="K581" s="70" t="n">
        <f aca="false">IF(ISTEXT(H581),VALUE(H581),H581)*I581</f>
        <v>8584.2</v>
      </c>
    </row>
    <row r="582" customFormat="false" ht="15" hidden="false" customHeight="false" outlineLevel="0" collapsed="false">
      <c r="A582" s="0" t="n">
        <v>305</v>
      </c>
      <c r="B582" s="69" t="s">
        <v>382</v>
      </c>
      <c r="C582" s="69" t="s">
        <v>150</v>
      </c>
      <c r="D582" s="69"/>
      <c r="E582" s="69" t="s">
        <v>138</v>
      </c>
      <c r="F582" s="69" t="s">
        <v>88</v>
      </c>
      <c r="G582" s="69" t="s">
        <v>45</v>
      </c>
      <c r="H582" s="0" t="n">
        <v>17</v>
      </c>
      <c r="I582" s="70" t="n">
        <v>1617</v>
      </c>
      <c r="J582" s="70" t="n">
        <v>1122</v>
      </c>
      <c r="K582" s="70" t="n">
        <f aca="false">IF(ISTEXT(H582),VALUE(H582),H582)*I582</f>
        <v>27489</v>
      </c>
    </row>
    <row r="583" customFormat="false" ht="15" hidden="false" customHeight="false" outlineLevel="0" collapsed="false">
      <c r="A583" s="0" t="n">
        <v>756</v>
      </c>
      <c r="B583" s="68" t="n">
        <v>45505</v>
      </c>
      <c r="C583" s="69" t="s">
        <v>108</v>
      </c>
      <c r="D583" s="69" t="s">
        <v>109</v>
      </c>
      <c r="E583" s="69" t="s">
        <v>180</v>
      </c>
      <c r="F583" s="69" t="s">
        <v>162</v>
      </c>
      <c r="G583" s="69" t="s">
        <v>116</v>
      </c>
      <c r="H583" s="0" t="n">
        <v>7</v>
      </c>
      <c r="I583" s="70" t="n">
        <v>83.3</v>
      </c>
      <c r="J583" s="70" t="n">
        <v>48.03</v>
      </c>
      <c r="K583" s="70" t="n">
        <f aca="false">IF(ISTEXT(H583),VALUE(H583),H583)*I583</f>
        <v>583.1</v>
      </c>
    </row>
    <row r="584" customFormat="false" ht="15" hidden="false" customHeight="false" outlineLevel="0" collapsed="false">
      <c r="A584" s="0" t="n">
        <v>207</v>
      </c>
      <c r="B584" s="68" t="n">
        <v>45370</v>
      </c>
      <c r="C584" s="69" t="s">
        <v>124</v>
      </c>
      <c r="D584" s="69" t="s">
        <v>97</v>
      </c>
      <c r="E584" s="69" t="s">
        <v>110</v>
      </c>
      <c r="F584" s="69" t="s">
        <v>102</v>
      </c>
      <c r="G584" s="69" t="s">
        <v>113</v>
      </c>
      <c r="H584" s="0" t="n">
        <v>98</v>
      </c>
      <c r="I584" s="70" t="n">
        <v>27.44</v>
      </c>
      <c r="J584" s="70" t="n">
        <v>13.44</v>
      </c>
      <c r="K584" s="70" t="n">
        <f aca="false">IF(ISTEXT(H584),VALUE(H584),H584)*I584</f>
        <v>2689.12</v>
      </c>
    </row>
    <row r="585" customFormat="false" ht="15" hidden="false" customHeight="false" outlineLevel="0" collapsed="false">
      <c r="A585" s="0" t="n">
        <v>192</v>
      </c>
      <c r="B585" s="68" t="n">
        <v>45344</v>
      </c>
      <c r="C585" s="69" t="s">
        <v>34</v>
      </c>
      <c r="D585" s="69"/>
      <c r="E585" s="69" t="s">
        <v>119</v>
      </c>
      <c r="F585" s="69" t="s">
        <v>102</v>
      </c>
      <c r="G585" s="69" t="s">
        <v>144</v>
      </c>
      <c r="H585" s="0" t="n">
        <v>10</v>
      </c>
      <c r="I585" s="70" t="n">
        <v>63.7</v>
      </c>
      <c r="J585" s="70" t="n">
        <v>35.43</v>
      </c>
      <c r="K585" s="70" t="n">
        <f aca="false">IF(ISTEXT(H585),VALUE(H585),H585)*I585</f>
        <v>637</v>
      </c>
    </row>
    <row r="586" customFormat="false" ht="15" hidden="false" customHeight="false" outlineLevel="0" collapsed="false">
      <c r="A586" s="0" t="n">
        <v>2204</v>
      </c>
      <c r="B586" s="68" t="n">
        <v>45973</v>
      </c>
      <c r="C586" s="69" t="s">
        <v>96</v>
      </c>
      <c r="D586" s="69" t="s">
        <v>97</v>
      </c>
      <c r="E586" s="69" t="s">
        <v>87</v>
      </c>
      <c r="F586" s="69" t="s">
        <v>135</v>
      </c>
      <c r="G586" s="69" t="s">
        <v>43</v>
      </c>
      <c r="H586" s="0" t="n">
        <v>20</v>
      </c>
      <c r="I586" s="70" t="n">
        <v>451.78</v>
      </c>
      <c r="J586" s="70" t="n">
        <v>280.42</v>
      </c>
      <c r="K586" s="70" t="n">
        <f aca="false">IF(ISTEXT(H586),VALUE(H586),H586)*I586</f>
        <v>9035.6</v>
      </c>
    </row>
    <row r="587" customFormat="false" ht="15" hidden="false" customHeight="false" outlineLevel="0" collapsed="false">
      <c r="A587" s="0" t="n">
        <v>1443</v>
      </c>
      <c r="B587" s="69" t="s">
        <v>383</v>
      </c>
      <c r="C587" s="69" t="s">
        <v>108</v>
      </c>
      <c r="D587" s="69" t="s">
        <v>109</v>
      </c>
      <c r="E587" s="69" t="s">
        <v>138</v>
      </c>
      <c r="F587" s="69" t="s">
        <v>139</v>
      </c>
      <c r="G587" s="69" t="s">
        <v>89</v>
      </c>
      <c r="H587" s="0" t="n">
        <v>9</v>
      </c>
      <c r="I587" s="70" t="n">
        <v>433.15</v>
      </c>
      <c r="J587" s="70" t="n">
        <v>280.42</v>
      </c>
      <c r="K587" s="70" t="n">
        <f aca="false">IF(ISTEXT(H587),VALUE(H587),H587)*I587</f>
        <v>3898.35</v>
      </c>
    </row>
    <row r="588" customFormat="false" ht="15" hidden="false" customHeight="false" outlineLevel="0" collapsed="false">
      <c r="A588" s="0" t="n">
        <v>390</v>
      </c>
      <c r="B588" s="68" t="n">
        <v>45386</v>
      </c>
      <c r="C588" s="69" t="s">
        <v>34</v>
      </c>
      <c r="D588" s="69" t="s">
        <v>112</v>
      </c>
      <c r="E588" s="69" t="s">
        <v>107</v>
      </c>
      <c r="F588" s="69" t="s">
        <v>155</v>
      </c>
      <c r="G588" s="69" t="s">
        <v>172</v>
      </c>
      <c r="H588" s="0" t="n">
        <v>12</v>
      </c>
      <c r="I588" s="70" t="n">
        <v>93.1</v>
      </c>
      <c r="J588" s="70" t="n">
        <v>47.98</v>
      </c>
      <c r="K588" s="70" t="n">
        <f aca="false">IF(ISTEXT(H588),VALUE(H588),H588)*I588</f>
        <v>1117.2</v>
      </c>
    </row>
    <row r="589" customFormat="false" ht="15" hidden="false" customHeight="false" outlineLevel="0" collapsed="false">
      <c r="A589" s="0" t="n">
        <v>511</v>
      </c>
      <c r="B589" s="68" t="n">
        <v>45457</v>
      </c>
      <c r="C589" s="69" t="s">
        <v>96</v>
      </c>
      <c r="D589" s="69" t="s">
        <v>97</v>
      </c>
      <c r="E589" s="69" t="s">
        <v>101</v>
      </c>
      <c r="F589" s="69" t="s">
        <v>143</v>
      </c>
      <c r="G589" s="69" t="s">
        <v>144</v>
      </c>
      <c r="H589" s="0" t="s">
        <v>384</v>
      </c>
      <c r="I589" s="70" t="n">
        <v>63.7</v>
      </c>
      <c r="J589" s="70" t="n">
        <v>35.43</v>
      </c>
      <c r="K589" s="70" t="n">
        <f aca="false">IF(ISTEXT(H589),VALUE(H589),H589)*I589</f>
        <v>7261.8</v>
      </c>
    </row>
    <row r="590" customFormat="false" ht="15" hidden="false" customHeight="false" outlineLevel="0" collapsed="false">
      <c r="A590" s="0" t="n">
        <v>289</v>
      </c>
      <c r="B590" s="69" t="s">
        <v>385</v>
      </c>
      <c r="C590" s="69" t="s">
        <v>161</v>
      </c>
      <c r="D590" s="69" t="s">
        <v>112</v>
      </c>
      <c r="E590" s="69" t="s">
        <v>134</v>
      </c>
      <c r="F590" s="69" t="s">
        <v>143</v>
      </c>
      <c r="G590" s="69" t="s">
        <v>172</v>
      </c>
      <c r="H590" s="0" t="n">
        <v>25</v>
      </c>
      <c r="I590" s="70" t="n">
        <v>93.1</v>
      </c>
      <c r="J590" s="70" t="n">
        <v>47.98</v>
      </c>
      <c r="K590" s="70" t="n">
        <f aca="false">IF(ISTEXT(H590),VALUE(H590),H590)*I590</f>
        <v>2327.5</v>
      </c>
    </row>
    <row r="591" customFormat="false" ht="15" hidden="false" customHeight="false" outlineLevel="0" collapsed="false">
      <c r="A591" s="0" t="n">
        <v>734</v>
      </c>
      <c r="B591" s="69" t="s">
        <v>386</v>
      </c>
      <c r="C591" s="69" t="s">
        <v>91</v>
      </c>
      <c r="D591" s="69" t="s">
        <v>86</v>
      </c>
      <c r="E591" s="69" t="s">
        <v>87</v>
      </c>
      <c r="F591" s="69" t="s">
        <v>31</v>
      </c>
      <c r="G591" s="69" t="s">
        <v>50</v>
      </c>
      <c r="H591" s="0" t="s">
        <v>122</v>
      </c>
      <c r="I591" s="70" t="n">
        <v>117.6</v>
      </c>
      <c r="J591" s="70" t="n">
        <v>63.6</v>
      </c>
      <c r="K591" s="70" t="n">
        <f aca="false">IF(ISTEXT(H591),VALUE(H591),H591)*I591</f>
        <v>1058.4</v>
      </c>
    </row>
    <row r="592" customFormat="false" ht="15" hidden="false" customHeight="false" outlineLevel="0" collapsed="false">
      <c r="A592" s="0" t="n">
        <v>1972</v>
      </c>
      <c r="B592" s="68" t="n">
        <v>45877</v>
      </c>
      <c r="C592" s="69" t="s">
        <v>193</v>
      </c>
      <c r="D592" s="69" t="s">
        <v>137</v>
      </c>
      <c r="E592" s="69" t="s">
        <v>107</v>
      </c>
      <c r="F592" s="69" t="s">
        <v>102</v>
      </c>
      <c r="G592" s="69" t="s">
        <v>49</v>
      </c>
      <c r="H592" s="0" t="n">
        <v>22</v>
      </c>
      <c r="I592" s="70" t="n">
        <v>65.26</v>
      </c>
      <c r="J592" s="70" t="n">
        <v>36.49</v>
      </c>
      <c r="K592" s="70" t="n">
        <f aca="false">IF(ISTEXT(H592),VALUE(H592),H592)*I592</f>
        <v>1435.72</v>
      </c>
    </row>
    <row r="593" customFormat="false" ht="15" hidden="false" customHeight="false" outlineLevel="0" collapsed="false">
      <c r="A593" s="0" t="n">
        <v>1117</v>
      </c>
      <c r="B593" s="68" t="n">
        <v>45643</v>
      </c>
      <c r="C593" s="69" t="s">
        <v>124</v>
      </c>
      <c r="D593" s="69" t="s">
        <v>97</v>
      </c>
      <c r="E593" s="69" t="s">
        <v>138</v>
      </c>
      <c r="F593" s="69" t="s">
        <v>183</v>
      </c>
      <c r="G593" s="69" t="s">
        <v>127</v>
      </c>
      <c r="H593" s="0" t="n">
        <v>81</v>
      </c>
      <c r="I593" s="70" t="n">
        <v>127.4</v>
      </c>
      <c r="J593" s="70" t="n">
        <v>76.05</v>
      </c>
      <c r="K593" s="70" t="n">
        <f aca="false">IF(ISTEXT(H593),VALUE(H593),H593)*I593</f>
        <v>10319.4</v>
      </c>
    </row>
    <row r="594" customFormat="false" ht="15" hidden="false" customHeight="false" outlineLevel="0" collapsed="false">
      <c r="A594" s="0" t="n">
        <v>322</v>
      </c>
      <c r="B594" s="69" t="s">
        <v>387</v>
      </c>
      <c r="C594" s="69" t="s">
        <v>159</v>
      </c>
      <c r="D594" s="69" t="s">
        <v>86</v>
      </c>
      <c r="E594" s="69" t="s">
        <v>107</v>
      </c>
      <c r="F594" s="69" t="s">
        <v>135</v>
      </c>
      <c r="G594" s="69" t="s">
        <v>151</v>
      </c>
      <c r="H594" s="0" t="n">
        <v>5</v>
      </c>
      <c r="I594" s="70" t="n">
        <v>1176</v>
      </c>
      <c r="J594" s="70" t="n">
        <v>744</v>
      </c>
      <c r="K594" s="70" t="n">
        <f aca="false">IF(ISTEXT(H594),VALUE(H594),H594)*I594</f>
        <v>5880</v>
      </c>
    </row>
    <row r="595" customFormat="false" ht="15" hidden="false" customHeight="false" outlineLevel="0" collapsed="false">
      <c r="A595" s="0" t="n">
        <v>2326</v>
      </c>
      <c r="B595" s="69" t="s">
        <v>195</v>
      </c>
      <c r="C595" s="69" t="s">
        <v>91</v>
      </c>
      <c r="D595" s="69" t="s">
        <v>86</v>
      </c>
      <c r="E595" s="69" t="s">
        <v>180</v>
      </c>
      <c r="F595" s="69" t="s">
        <v>153</v>
      </c>
      <c r="G595" s="69" t="s">
        <v>141</v>
      </c>
      <c r="H595" s="0" t="n">
        <v>11</v>
      </c>
      <c r="I595" s="70" t="n">
        <v>1656.52</v>
      </c>
      <c r="J595" s="70" t="n">
        <v>1155.66</v>
      </c>
      <c r="K595" s="70" t="n">
        <f aca="false">IF(ISTEXT(H595),VALUE(H595),H595)*I595</f>
        <v>18221.72</v>
      </c>
    </row>
    <row r="596" customFormat="false" ht="15" hidden="false" customHeight="false" outlineLevel="0" collapsed="false">
      <c r="A596" s="0" t="n">
        <v>792</v>
      </c>
      <c r="B596" s="69" t="s">
        <v>388</v>
      </c>
      <c r="C596" s="69" t="s">
        <v>133</v>
      </c>
      <c r="D596" s="69" t="s">
        <v>112</v>
      </c>
      <c r="E596" s="69" t="s">
        <v>87</v>
      </c>
      <c r="F596" s="69" t="s">
        <v>143</v>
      </c>
      <c r="G596" s="69" t="s">
        <v>208</v>
      </c>
      <c r="H596" s="0" t="n">
        <v>13</v>
      </c>
      <c r="I596" s="70" t="n">
        <v>63.7</v>
      </c>
      <c r="J596" s="70" t="n">
        <v>35.43</v>
      </c>
      <c r="K596" s="70" t="n">
        <f aca="false">IF(ISTEXT(H596),VALUE(H596),H596)*I596</f>
        <v>828.1</v>
      </c>
    </row>
    <row r="597" customFormat="false" ht="15" hidden="false" customHeight="false" outlineLevel="0" collapsed="false">
      <c r="A597" s="0" t="n">
        <v>795</v>
      </c>
      <c r="B597" s="68" t="n">
        <v>45508</v>
      </c>
      <c r="C597" s="69" t="s">
        <v>142</v>
      </c>
      <c r="D597" s="69" t="s">
        <v>112</v>
      </c>
      <c r="E597" s="69" t="s">
        <v>92</v>
      </c>
      <c r="F597" s="69" t="s">
        <v>31</v>
      </c>
      <c r="G597" s="69" t="s">
        <v>116</v>
      </c>
      <c r="H597" s="0" t="s">
        <v>370</v>
      </c>
      <c r="I597" s="70" t="n">
        <v>83.3</v>
      </c>
      <c r="J597" s="70" t="n">
        <v>48.03</v>
      </c>
      <c r="K597" s="70" t="n">
        <f aca="false">IF(ISTEXT(H597),VALUE(H597),H597)*I597</f>
        <v>1082.9</v>
      </c>
    </row>
    <row r="598" customFormat="false" ht="15" hidden="false" customHeight="false" outlineLevel="0" collapsed="false">
      <c r="A598" s="0" t="n">
        <v>881</v>
      </c>
      <c r="B598" s="68" t="n">
        <v>45547</v>
      </c>
      <c r="C598" s="69" t="s">
        <v>161</v>
      </c>
      <c r="D598" s="69" t="s">
        <v>112</v>
      </c>
      <c r="E598" s="69" t="s">
        <v>121</v>
      </c>
      <c r="F598" s="69" t="s">
        <v>135</v>
      </c>
      <c r="G598" s="69" t="s">
        <v>41</v>
      </c>
      <c r="H598" s="0" t="n">
        <v>6</v>
      </c>
      <c r="I598" s="70" t="n">
        <v>1176</v>
      </c>
      <c r="J598" s="70" t="n">
        <v>744</v>
      </c>
      <c r="K598" s="70" t="n">
        <f aca="false">IF(ISTEXT(H598),VALUE(H598),H598)*I598</f>
        <v>7056</v>
      </c>
    </row>
    <row r="599" customFormat="false" ht="15" hidden="false" customHeight="false" outlineLevel="0" collapsed="false">
      <c r="A599" s="0" t="n">
        <v>51</v>
      </c>
      <c r="B599" s="69" t="s">
        <v>389</v>
      </c>
      <c r="C599" s="69" t="s">
        <v>118</v>
      </c>
      <c r="D599" s="69" t="s">
        <v>109</v>
      </c>
      <c r="E599" s="69" t="s">
        <v>110</v>
      </c>
      <c r="F599" s="69" t="s">
        <v>155</v>
      </c>
      <c r="G599" s="69" t="s">
        <v>208</v>
      </c>
      <c r="H599" s="0" t="n">
        <v>33</v>
      </c>
      <c r="I599" s="70" t="n">
        <v>63.7</v>
      </c>
      <c r="J599" s="70" t="n">
        <v>35.43</v>
      </c>
      <c r="K599" s="70" t="n">
        <f aca="false">IF(ISTEXT(H599),VALUE(H599),H599)*I599</f>
        <v>2102.1</v>
      </c>
    </row>
    <row r="600" customFormat="false" ht="15" hidden="false" customHeight="false" outlineLevel="0" collapsed="false">
      <c r="A600" s="0" t="n">
        <v>402</v>
      </c>
      <c r="B600" s="68" t="n">
        <v>45419</v>
      </c>
      <c r="C600" s="69" t="s">
        <v>124</v>
      </c>
      <c r="D600" s="69" t="s">
        <v>97</v>
      </c>
      <c r="E600" s="69" t="s">
        <v>107</v>
      </c>
      <c r="F600" s="69" t="s">
        <v>147</v>
      </c>
      <c r="G600" s="69" t="s">
        <v>154</v>
      </c>
      <c r="H600" s="0" t="n">
        <v>7</v>
      </c>
      <c r="I600" s="70" t="n">
        <v>1176</v>
      </c>
      <c r="J600" s="70" t="n">
        <v>744</v>
      </c>
      <c r="K600" s="70" t="n">
        <f aca="false">IF(ISTEXT(H600),VALUE(H600),H600)*I600</f>
        <v>8232</v>
      </c>
    </row>
    <row r="601" customFormat="false" ht="15" hidden="false" customHeight="false" outlineLevel="0" collapsed="false">
      <c r="A601" s="0" t="n">
        <v>2205</v>
      </c>
      <c r="B601" s="68" t="n">
        <v>45980</v>
      </c>
      <c r="C601" s="69" t="s">
        <v>25</v>
      </c>
      <c r="D601" s="69" t="s">
        <v>97</v>
      </c>
      <c r="E601" s="69" t="s">
        <v>101</v>
      </c>
      <c r="F601" s="69" t="s">
        <v>139</v>
      </c>
      <c r="G601" s="69" t="s">
        <v>45</v>
      </c>
      <c r="H601" s="0" t="n">
        <v>22</v>
      </c>
      <c r="I601" s="70" t="n">
        <v>1656.52</v>
      </c>
      <c r="J601" s="70" t="n">
        <v>1155.66</v>
      </c>
      <c r="K601" s="70" t="n">
        <f aca="false">IF(ISTEXT(H601),VALUE(H601),H601)*I601</f>
        <v>36443.44</v>
      </c>
    </row>
    <row r="602" customFormat="false" ht="15" hidden="false" customHeight="false" outlineLevel="0" collapsed="false">
      <c r="A602" s="0" t="n">
        <v>1812</v>
      </c>
      <c r="B602" s="69" t="s">
        <v>390</v>
      </c>
      <c r="C602" s="69" t="s">
        <v>124</v>
      </c>
      <c r="D602" s="69" t="s">
        <v>97</v>
      </c>
      <c r="E602" s="69" t="s">
        <v>180</v>
      </c>
      <c r="F602" s="69" t="s">
        <v>99</v>
      </c>
      <c r="G602" s="69" t="s">
        <v>49</v>
      </c>
      <c r="H602" s="0" t="n">
        <v>67</v>
      </c>
      <c r="I602" s="70" t="n">
        <v>65.26</v>
      </c>
      <c r="J602" s="70" t="n">
        <v>36.49</v>
      </c>
      <c r="K602" s="70" t="n">
        <f aca="false">IF(ISTEXT(H602),VALUE(H602),H602)*I602</f>
        <v>4372.42</v>
      </c>
    </row>
    <row r="603" customFormat="false" ht="15" hidden="false" customHeight="false" outlineLevel="0" collapsed="false">
      <c r="A603" s="0" t="n">
        <v>1677</v>
      </c>
      <c r="B603" s="69" t="s">
        <v>391</v>
      </c>
      <c r="C603" s="69" t="s">
        <v>32</v>
      </c>
      <c r="D603" s="69" t="s">
        <v>137</v>
      </c>
      <c r="E603" s="69" t="s">
        <v>138</v>
      </c>
      <c r="F603" s="69" t="s">
        <v>168</v>
      </c>
      <c r="G603" s="69" t="s">
        <v>127</v>
      </c>
      <c r="H603" s="0" t="n">
        <v>15</v>
      </c>
      <c r="I603" s="70" t="n">
        <v>129.17</v>
      </c>
      <c r="J603" s="70" t="n">
        <v>78.33</v>
      </c>
      <c r="K603" s="70" t="n">
        <f aca="false">IF(ISTEXT(H603),VALUE(H603),H603)*I603</f>
        <v>1937.55</v>
      </c>
    </row>
    <row r="604" customFormat="false" ht="15" hidden="false" customHeight="false" outlineLevel="0" collapsed="false">
      <c r="A604" s="0" t="n">
        <v>2334</v>
      </c>
      <c r="B604" s="68" t="n">
        <v>45995</v>
      </c>
      <c r="C604" s="69" t="s">
        <v>91</v>
      </c>
      <c r="D604" s="69"/>
      <c r="E604" s="69" t="s">
        <v>98</v>
      </c>
      <c r="F604" s="69" t="s">
        <v>166</v>
      </c>
      <c r="G604" s="69" t="s">
        <v>156</v>
      </c>
      <c r="H604" s="0" t="n">
        <v>26</v>
      </c>
      <c r="I604" s="70" t="n">
        <v>120.47</v>
      </c>
      <c r="J604" s="70" t="n">
        <v>65.51</v>
      </c>
      <c r="K604" s="70" t="n">
        <f aca="false">IF(ISTEXT(H604),VALUE(H604),H604)*I604</f>
        <v>3132.22</v>
      </c>
    </row>
    <row r="605" customFormat="false" ht="15" hidden="false" customHeight="false" outlineLevel="0" collapsed="false">
      <c r="A605" s="0" t="n">
        <v>1212</v>
      </c>
      <c r="B605" s="69" t="s">
        <v>392</v>
      </c>
      <c r="C605" s="69" t="s">
        <v>25</v>
      </c>
      <c r="D605" s="69"/>
      <c r="E605" s="69" t="s">
        <v>125</v>
      </c>
      <c r="F605" s="69" t="s">
        <v>102</v>
      </c>
      <c r="G605" s="69" t="s">
        <v>208</v>
      </c>
      <c r="H605" s="0" t="n">
        <v>54</v>
      </c>
      <c r="I605" s="70" t="n">
        <v>64.58</v>
      </c>
      <c r="J605" s="70" t="n">
        <v>36.49</v>
      </c>
      <c r="K605" s="70" t="n">
        <f aca="false">IF(ISTEXT(H605),VALUE(H605),H605)*I605</f>
        <v>3487.32</v>
      </c>
    </row>
    <row r="606" customFormat="false" ht="15" hidden="false" customHeight="false" outlineLevel="0" collapsed="false">
      <c r="A606" s="0" t="n">
        <v>271</v>
      </c>
      <c r="B606" s="68" t="n">
        <v>45359</v>
      </c>
      <c r="C606" s="69" t="s">
        <v>184</v>
      </c>
      <c r="D606" s="69" t="s">
        <v>137</v>
      </c>
      <c r="E606" s="69" t="s">
        <v>121</v>
      </c>
      <c r="F606" s="69" t="s">
        <v>28</v>
      </c>
      <c r="G606" s="69" t="s">
        <v>144</v>
      </c>
      <c r="H606" s="0" t="n">
        <v>32</v>
      </c>
      <c r="I606" s="70" t="n">
        <v>63.7</v>
      </c>
      <c r="J606" s="70" t="n">
        <v>35.43</v>
      </c>
      <c r="K606" s="70" t="n">
        <f aca="false">IF(ISTEXT(H606),VALUE(H606),H606)*I606</f>
        <v>2038.4</v>
      </c>
    </row>
    <row r="607" customFormat="false" ht="15" hidden="false" customHeight="false" outlineLevel="0" collapsed="false">
      <c r="A607" s="0" t="n">
        <v>172</v>
      </c>
      <c r="B607" s="69" t="s">
        <v>393</v>
      </c>
      <c r="C607" s="69" t="s">
        <v>193</v>
      </c>
      <c r="D607" s="69" t="s">
        <v>137</v>
      </c>
      <c r="E607" s="69" t="s">
        <v>125</v>
      </c>
      <c r="F607" s="69" t="s">
        <v>28</v>
      </c>
      <c r="G607" s="69" t="s">
        <v>49</v>
      </c>
      <c r="H607" s="0" t="n">
        <v>10</v>
      </c>
      <c r="I607" s="70" t="n">
        <v>63.7</v>
      </c>
      <c r="J607" s="70" t="n">
        <v>35.43</v>
      </c>
      <c r="K607" s="70" t="n">
        <f aca="false">IF(ISTEXT(H607),VALUE(H607),H607)*I607</f>
        <v>637</v>
      </c>
    </row>
    <row r="608" customFormat="false" ht="15" hidden="false" customHeight="false" outlineLevel="0" collapsed="false">
      <c r="A608" s="0" t="n">
        <v>1085</v>
      </c>
      <c r="B608" s="68" t="n">
        <v>45605</v>
      </c>
      <c r="C608" s="69" t="s">
        <v>133</v>
      </c>
      <c r="D608" s="69" t="s">
        <v>112</v>
      </c>
      <c r="E608" s="69" t="s">
        <v>138</v>
      </c>
      <c r="F608" s="69" t="s">
        <v>147</v>
      </c>
      <c r="G608" s="69" t="s">
        <v>157</v>
      </c>
      <c r="H608" s="0" t="n">
        <v>7</v>
      </c>
      <c r="I608" s="70" t="n">
        <v>1617</v>
      </c>
      <c r="J608" s="70" t="n">
        <v>1122</v>
      </c>
      <c r="K608" s="70" t="n">
        <f aca="false">IF(ISTEXT(H608),VALUE(H608),H608)*I608</f>
        <v>11319</v>
      </c>
    </row>
    <row r="609" customFormat="false" ht="15" hidden="false" customHeight="false" outlineLevel="0" collapsed="false">
      <c r="A609" s="0" t="n">
        <v>1273</v>
      </c>
      <c r="B609" s="68" t="n">
        <v>45659</v>
      </c>
      <c r="C609" s="69" t="s">
        <v>184</v>
      </c>
      <c r="D609" s="69" t="s">
        <v>137</v>
      </c>
      <c r="E609" s="69" t="s">
        <v>92</v>
      </c>
      <c r="F609" s="69" t="s">
        <v>31</v>
      </c>
      <c r="G609" s="69" t="s">
        <v>50</v>
      </c>
      <c r="H609" s="0" t="n">
        <v>12</v>
      </c>
      <c r="I609" s="70" t="n">
        <v>119.23</v>
      </c>
      <c r="J609" s="70" t="n">
        <v>65.51</v>
      </c>
      <c r="K609" s="70" t="n">
        <f aca="false">IF(ISTEXT(H609),VALUE(H609),H609)*I609</f>
        <v>1430.76</v>
      </c>
    </row>
    <row r="610" customFormat="false" ht="15" hidden="false" customHeight="false" outlineLevel="0" collapsed="false">
      <c r="A610" s="0" t="n">
        <v>2059</v>
      </c>
      <c r="B610" s="68" t="n">
        <v>45923</v>
      </c>
      <c r="C610" s="69" t="s">
        <v>152</v>
      </c>
      <c r="D610" s="69" t="s">
        <v>109</v>
      </c>
      <c r="E610" s="69" t="s">
        <v>92</v>
      </c>
      <c r="F610" s="69" t="s">
        <v>93</v>
      </c>
      <c r="G610" s="69" t="s">
        <v>217</v>
      </c>
      <c r="H610" s="0" t="n">
        <v>24</v>
      </c>
      <c r="I610" s="70" t="n">
        <v>35.14</v>
      </c>
      <c r="J610" s="70" t="n">
        <v>18.39</v>
      </c>
      <c r="K610" s="70" t="n">
        <f aca="false">IF(ISTEXT(H610),VALUE(H610),H610)*I610</f>
        <v>843.36</v>
      </c>
    </row>
    <row r="611" customFormat="false" ht="15" hidden="false" customHeight="false" outlineLevel="0" collapsed="false">
      <c r="A611" s="0" t="n">
        <v>1205</v>
      </c>
      <c r="B611" s="68" t="n">
        <v>45669</v>
      </c>
      <c r="C611" s="69" t="s">
        <v>150</v>
      </c>
      <c r="D611" s="69" t="s">
        <v>97</v>
      </c>
      <c r="E611" s="69" t="s">
        <v>138</v>
      </c>
      <c r="F611" s="69" t="s">
        <v>135</v>
      </c>
      <c r="G611" s="69" t="s">
        <v>157</v>
      </c>
      <c r="H611" s="0" t="n">
        <v>15</v>
      </c>
      <c r="I611" s="70" t="n">
        <v>1588.21</v>
      </c>
      <c r="J611" s="70" t="n">
        <v>1155.66</v>
      </c>
      <c r="K611" s="70" t="n">
        <f aca="false">IF(ISTEXT(H611),VALUE(H611),H611)*I611</f>
        <v>23823.15</v>
      </c>
    </row>
    <row r="612" customFormat="false" ht="15" hidden="false" customHeight="false" outlineLevel="0" collapsed="false">
      <c r="A612" s="0" t="n">
        <v>1381</v>
      </c>
      <c r="B612" s="68" t="n">
        <v>45690</v>
      </c>
      <c r="C612" s="69" t="s">
        <v>133</v>
      </c>
      <c r="D612" s="69" t="s">
        <v>112</v>
      </c>
      <c r="E612" s="69" t="s">
        <v>138</v>
      </c>
      <c r="F612" s="69" t="s">
        <v>147</v>
      </c>
      <c r="G612" s="69" t="s">
        <v>154</v>
      </c>
      <c r="H612" s="0" t="n">
        <v>5</v>
      </c>
      <c r="I612" s="70" t="n">
        <v>1155.06</v>
      </c>
      <c r="J612" s="70" t="n">
        <v>766.32</v>
      </c>
      <c r="K612" s="70" t="n">
        <f aca="false">IF(ISTEXT(H612),VALUE(H612),H612)*I612</f>
        <v>5775.3</v>
      </c>
    </row>
    <row r="613" customFormat="false" ht="15" hidden="false" customHeight="false" outlineLevel="0" collapsed="false">
      <c r="A613" s="0" t="n">
        <v>1254</v>
      </c>
      <c r="B613" s="68" t="n">
        <v>45661</v>
      </c>
      <c r="C613" s="69" t="s">
        <v>108</v>
      </c>
      <c r="D613" s="69" t="s">
        <v>109</v>
      </c>
      <c r="E613" s="69" t="s">
        <v>119</v>
      </c>
      <c r="F613" s="69" t="s">
        <v>162</v>
      </c>
      <c r="G613" s="69" t="s">
        <v>171</v>
      </c>
      <c r="H613" s="0" t="n">
        <v>11</v>
      </c>
      <c r="I613" s="70" t="n">
        <v>119.23</v>
      </c>
      <c r="J613" s="70" t="n">
        <v>65.51</v>
      </c>
      <c r="K613" s="70" t="n">
        <f aca="false">IF(ISTEXT(H613),VALUE(H613),H613)*I613</f>
        <v>1311.53</v>
      </c>
    </row>
    <row r="614" customFormat="false" ht="15" hidden="false" customHeight="false" outlineLevel="0" collapsed="false">
      <c r="A614" s="0" t="n">
        <v>805</v>
      </c>
      <c r="B614" s="69" t="s">
        <v>394</v>
      </c>
      <c r="C614" s="69" t="s">
        <v>150</v>
      </c>
      <c r="D614" s="69" t="s">
        <v>97</v>
      </c>
      <c r="E614" s="69" t="s">
        <v>121</v>
      </c>
      <c r="F614" s="69" t="s">
        <v>135</v>
      </c>
      <c r="G614" s="69" t="s">
        <v>157</v>
      </c>
      <c r="H614" s="0" t="n">
        <v>20</v>
      </c>
      <c r="I614" s="70" t="n">
        <v>1617</v>
      </c>
      <c r="J614" s="70" t="n">
        <v>1122</v>
      </c>
      <c r="K614" s="70" t="n">
        <f aca="false">IF(ISTEXT(H614),VALUE(H614),H614)*I614</f>
        <v>32340</v>
      </c>
    </row>
    <row r="615" customFormat="false" ht="15" hidden="false" customHeight="false" outlineLevel="0" collapsed="false">
      <c r="A615" s="0" t="n">
        <v>2092</v>
      </c>
      <c r="B615" s="68" t="n">
        <v>45911</v>
      </c>
      <c r="C615" s="69" t="s">
        <v>133</v>
      </c>
      <c r="D615" s="69" t="s">
        <v>112</v>
      </c>
      <c r="E615" s="69" t="s">
        <v>125</v>
      </c>
      <c r="F615" s="69" t="s">
        <v>155</v>
      </c>
      <c r="G615" s="69" t="s">
        <v>208</v>
      </c>
      <c r="H615" s="0" t="n">
        <v>19</v>
      </c>
      <c r="I615" s="70" t="n">
        <v>65.26</v>
      </c>
      <c r="J615" s="70" t="n">
        <v>36.49</v>
      </c>
      <c r="K615" s="70" t="n">
        <f aca="false">IF(ISTEXT(H615),VALUE(H615),H615)*I615</f>
        <v>1239.94</v>
      </c>
    </row>
    <row r="616" customFormat="false" ht="15" hidden="false" customHeight="false" outlineLevel="0" collapsed="false">
      <c r="A616" s="0" t="n">
        <v>1349</v>
      </c>
      <c r="B616" s="69" t="s">
        <v>395</v>
      </c>
      <c r="C616" s="69" t="s">
        <v>108</v>
      </c>
      <c r="D616" s="69" t="s">
        <v>109</v>
      </c>
      <c r="E616" s="69" t="s">
        <v>92</v>
      </c>
      <c r="F616" s="69" t="s">
        <v>155</v>
      </c>
      <c r="G616" s="69" t="s">
        <v>172</v>
      </c>
      <c r="H616" s="0" t="s">
        <v>322</v>
      </c>
      <c r="I616" s="70" t="n">
        <v>94.39</v>
      </c>
      <c r="J616" s="70" t="n">
        <v>49.41</v>
      </c>
      <c r="K616" s="70" t="n">
        <f aca="false">IF(ISTEXT(H616),VALUE(H616),H616)*I616</f>
        <v>2548.53</v>
      </c>
    </row>
    <row r="617" customFormat="false" ht="15" hidden="false" customHeight="false" outlineLevel="0" collapsed="false">
      <c r="A617" s="0" t="n">
        <v>867</v>
      </c>
      <c r="B617" s="69" t="s">
        <v>396</v>
      </c>
      <c r="C617" s="69" t="s">
        <v>136</v>
      </c>
      <c r="D617" s="69"/>
      <c r="E617" s="69" t="s">
        <v>110</v>
      </c>
      <c r="F617" s="69" t="s">
        <v>102</v>
      </c>
      <c r="G617" s="69" t="s">
        <v>113</v>
      </c>
      <c r="H617" s="0" t="n">
        <v>27</v>
      </c>
      <c r="I617" s="70" t="n">
        <v>27.44</v>
      </c>
      <c r="J617" s="70" t="n">
        <v>13.44</v>
      </c>
      <c r="K617" s="70" t="n">
        <f aca="false">IF(ISTEXT(H617),VALUE(H617),H617)*I617</f>
        <v>740.88</v>
      </c>
    </row>
    <row r="618" customFormat="false" ht="15" hidden="false" customHeight="false" outlineLevel="0" collapsed="false">
      <c r="A618" s="0" t="n">
        <v>841</v>
      </c>
      <c r="B618" s="68" t="n">
        <v>45537</v>
      </c>
      <c r="C618" s="69" t="s">
        <v>118</v>
      </c>
      <c r="D618" s="69" t="s">
        <v>109</v>
      </c>
      <c r="E618" s="69" t="s">
        <v>110</v>
      </c>
      <c r="F618" s="69" t="s">
        <v>139</v>
      </c>
      <c r="G618" s="69" t="s">
        <v>41</v>
      </c>
      <c r="H618" s="0" t="n">
        <v>10</v>
      </c>
      <c r="I618" s="70" t="n">
        <v>1176</v>
      </c>
      <c r="J618" s="70" t="n">
        <v>744</v>
      </c>
      <c r="K618" s="70" t="n">
        <f aca="false">IF(ISTEXT(H618),VALUE(H618),H618)*I618</f>
        <v>11760</v>
      </c>
    </row>
    <row r="619" customFormat="false" ht="15" hidden="false" customHeight="false" outlineLevel="0" collapsed="false">
      <c r="A619" s="0" t="n">
        <v>410</v>
      </c>
      <c r="B619" s="69" t="s">
        <v>397</v>
      </c>
      <c r="C619" s="69" t="s">
        <v>150</v>
      </c>
      <c r="D619" s="69" t="s">
        <v>97</v>
      </c>
      <c r="E619" s="69" t="s">
        <v>125</v>
      </c>
      <c r="F619" s="69" t="s">
        <v>28</v>
      </c>
      <c r="G619" s="69" t="s">
        <v>48</v>
      </c>
      <c r="H619" s="0" t="n">
        <v>37</v>
      </c>
      <c r="I619" s="70" t="n">
        <v>93.1</v>
      </c>
      <c r="J619" s="70" t="n">
        <v>47.98</v>
      </c>
      <c r="K619" s="70" t="n">
        <f aca="false">IF(ISTEXT(H619),VALUE(H619),H619)*I619</f>
        <v>3444.7</v>
      </c>
    </row>
    <row r="620" customFormat="false" ht="15" hidden="false" customHeight="false" outlineLevel="0" collapsed="false">
      <c r="A620" s="0" t="n">
        <v>973</v>
      </c>
      <c r="B620" s="69" t="s">
        <v>398</v>
      </c>
      <c r="C620" s="69" t="s">
        <v>32</v>
      </c>
      <c r="D620" s="69" t="s">
        <v>137</v>
      </c>
      <c r="E620" s="69" t="s">
        <v>92</v>
      </c>
      <c r="F620" s="69" t="s">
        <v>115</v>
      </c>
      <c r="G620" s="69" t="s">
        <v>171</v>
      </c>
      <c r="H620" s="0" t="n">
        <v>13</v>
      </c>
      <c r="I620" s="70" t="n">
        <v>117.6</v>
      </c>
      <c r="J620" s="70" t="n">
        <v>63.6</v>
      </c>
      <c r="K620" s="70" t="n">
        <f aca="false">IF(ISTEXT(H620),VALUE(H620),H620)*I620</f>
        <v>1528.8</v>
      </c>
    </row>
    <row r="621" customFormat="false" ht="15" hidden="false" customHeight="false" outlineLevel="0" collapsed="false">
      <c r="A621" s="0" t="n">
        <v>453</v>
      </c>
      <c r="B621" s="68" t="n">
        <v>45425</v>
      </c>
      <c r="C621" s="69" t="s">
        <v>152</v>
      </c>
      <c r="D621" s="69"/>
      <c r="E621" s="69" t="s">
        <v>134</v>
      </c>
      <c r="F621" s="69" t="s">
        <v>115</v>
      </c>
      <c r="G621" s="69" t="s">
        <v>50</v>
      </c>
      <c r="H621" s="0" t="n">
        <v>18</v>
      </c>
      <c r="I621" s="70" t="n">
        <v>117.6</v>
      </c>
      <c r="J621" s="70" t="n">
        <v>63.6</v>
      </c>
      <c r="K621" s="70" t="n">
        <f aca="false">IF(ISTEXT(H621),VALUE(H621),H621)*I621</f>
        <v>2116.8</v>
      </c>
    </row>
    <row r="622" customFormat="false" ht="15" hidden="false" customHeight="false" outlineLevel="0" collapsed="false">
      <c r="A622" s="0" t="n">
        <v>2066</v>
      </c>
      <c r="B622" s="68" t="n">
        <v>45918</v>
      </c>
      <c r="C622" s="69" t="s">
        <v>184</v>
      </c>
      <c r="D622" s="69"/>
      <c r="E622" s="69" t="s">
        <v>98</v>
      </c>
      <c r="F622" s="69" t="s">
        <v>135</v>
      </c>
      <c r="G622" s="69" t="s">
        <v>45</v>
      </c>
      <c r="H622" s="0" t="n">
        <v>5</v>
      </c>
      <c r="I622" s="70" t="n">
        <v>1656.52</v>
      </c>
      <c r="J622" s="70" t="n">
        <v>1155.66</v>
      </c>
      <c r="K622" s="70" t="n">
        <f aca="false">IF(ISTEXT(H622),VALUE(H622),H622)*I622</f>
        <v>8282.6</v>
      </c>
    </row>
    <row r="623" customFormat="false" ht="15" hidden="false" customHeight="false" outlineLevel="0" collapsed="false">
      <c r="A623" s="0" t="n">
        <v>1936</v>
      </c>
      <c r="B623" s="68" t="n">
        <v>45895</v>
      </c>
      <c r="C623" s="69" t="s">
        <v>120</v>
      </c>
      <c r="D623" s="69" t="s">
        <v>86</v>
      </c>
      <c r="E623" s="69" t="s">
        <v>119</v>
      </c>
      <c r="F623" s="69" t="s">
        <v>31</v>
      </c>
      <c r="G623" s="69" t="s">
        <v>116</v>
      </c>
      <c r="H623" s="0" t="n">
        <v>15</v>
      </c>
      <c r="I623" s="70" t="n">
        <v>85.34</v>
      </c>
      <c r="J623" s="70" t="n">
        <v>49.47</v>
      </c>
      <c r="K623" s="70" t="n">
        <f aca="false">IF(ISTEXT(H623),VALUE(H623),H623)*I623</f>
        <v>1280.1</v>
      </c>
    </row>
    <row r="624" customFormat="false" ht="15" hidden="false" customHeight="false" outlineLevel="0" collapsed="false">
      <c r="A624" s="0" t="n">
        <v>1153</v>
      </c>
      <c r="B624" s="68" t="n">
        <v>45652</v>
      </c>
      <c r="C624" s="69" t="s">
        <v>30</v>
      </c>
      <c r="D624" s="69"/>
      <c r="E624" s="69" t="s">
        <v>110</v>
      </c>
      <c r="F624" s="69" t="s">
        <v>166</v>
      </c>
      <c r="G624" s="69" t="s">
        <v>50</v>
      </c>
      <c r="H624" s="0" t="n">
        <v>29</v>
      </c>
      <c r="I624" s="70" t="n">
        <v>117.6</v>
      </c>
      <c r="J624" s="70" t="n">
        <v>63.6</v>
      </c>
      <c r="K624" s="70" t="n">
        <f aca="false">IF(ISTEXT(H624),VALUE(H624),H624)*I624</f>
        <v>3410.4</v>
      </c>
    </row>
    <row r="625" customFormat="false" ht="15" hidden="false" customHeight="false" outlineLevel="0" collapsed="false">
      <c r="A625" s="0" t="n">
        <v>1773</v>
      </c>
      <c r="B625" s="68" t="n">
        <v>45827</v>
      </c>
      <c r="C625" s="69" t="s">
        <v>193</v>
      </c>
      <c r="D625" s="69" t="s">
        <v>137</v>
      </c>
      <c r="E625" s="69" t="s">
        <v>121</v>
      </c>
      <c r="F625" s="69" t="s">
        <v>162</v>
      </c>
      <c r="G625" s="69" t="s">
        <v>156</v>
      </c>
      <c r="H625" s="0" t="n">
        <v>14</v>
      </c>
      <c r="I625" s="70" t="n">
        <v>119.23</v>
      </c>
      <c r="J625" s="70" t="n">
        <v>65.51</v>
      </c>
      <c r="K625" s="70" t="n">
        <f aca="false">IF(ISTEXT(H625),VALUE(H625),H625)*I625</f>
        <v>1669.22</v>
      </c>
    </row>
    <row r="626" customFormat="false" ht="15" hidden="false" customHeight="false" outlineLevel="0" collapsed="false">
      <c r="A626" s="0" t="n">
        <v>1379</v>
      </c>
      <c r="B626" s="69" t="s">
        <v>399</v>
      </c>
      <c r="C626" s="69" t="s">
        <v>184</v>
      </c>
      <c r="D626" s="69"/>
      <c r="E626" s="69" t="s">
        <v>92</v>
      </c>
      <c r="F626" s="69" t="s">
        <v>168</v>
      </c>
      <c r="G626" s="69" t="s">
        <v>53</v>
      </c>
      <c r="H626" s="0" t="n">
        <v>16</v>
      </c>
      <c r="I626" s="70" t="n">
        <v>34.78</v>
      </c>
      <c r="J626" s="70" t="n">
        <v>18.39</v>
      </c>
      <c r="K626" s="70" t="n">
        <f aca="false">IF(ISTEXT(H626),VALUE(H626),H626)*I626</f>
        <v>556.48</v>
      </c>
    </row>
    <row r="627" customFormat="false" ht="15" hidden="false" customHeight="false" outlineLevel="0" collapsed="false">
      <c r="A627" s="0" t="n">
        <v>2243</v>
      </c>
      <c r="B627" s="68" t="n">
        <v>45976</v>
      </c>
      <c r="C627" s="69" t="s">
        <v>152</v>
      </c>
      <c r="D627" s="69" t="s">
        <v>109</v>
      </c>
      <c r="E627" s="69" t="s">
        <v>110</v>
      </c>
      <c r="F627" s="69" t="s">
        <v>135</v>
      </c>
      <c r="G627" s="69" t="s">
        <v>43</v>
      </c>
      <c r="H627" s="0" t="n">
        <v>11</v>
      </c>
      <c r="I627" s="70" t="n">
        <v>451.78</v>
      </c>
      <c r="J627" s="70" t="n">
        <v>280.42</v>
      </c>
      <c r="K627" s="70" t="n">
        <f aca="false">IF(ISTEXT(H627),VALUE(H627),H627)*I627</f>
        <v>4969.58</v>
      </c>
    </row>
    <row r="628" customFormat="false" ht="15" hidden="false" customHeight="false" outlineLevel="0" collapsed="false">
      <c r="A628" s="0" t="n">
        <v>1508</v>
      </c>
      <c r="B628" s="69" t="s">
        <v>204</v>
      </c>
      <c r="C628" s="69" t="s">
        <v>124</v>
      </c>
      <c r="D628" s="69"/>
      <c r="E628" s="69" t="s">
        <v>125</v>
      </c>
      <c r="F628" s="69" t="s">
        <v>143</v>
      </c>
      <c r="G628" s="69" t="s">
        <v>47</v>
      </c>
      <c r="H628" s="0" t="n">
        <v>57</v>
      </c>
      <c r="I628" s="70" t="n">
        <v>27.82</v>
      </c>
      <c r="J628" s="70" t="n">
        <v>13.84</v>
      </c>
      <c r="K628" s="70" t="n">
        <f aca="false">IF(ISTEXT(H628),VALUE(H628),H628)*I628</f>
        <v>1585.74</v>
      </c>
    </row>
    <row r="629" customFormat="false" ht="15" hidden="false" customHeight="false" outlineLevel="0" collapsed="false">
      <c r="A629" s="0" t="n">
        <v>2124</v>
      </c>
      <c r="B629" s="68" t="n">
        <v>45949</v>
      </c>
      <c r="C629" s="69" t="s">
        <v>120</v>
      </c>
      <c r="D629" s="69" t="s">
        <v>86</v>
      </c>
      <c r="E629" s="69" t="s">
        <v>119</v>
      </c>
      <c r="F629" s="69" t="s">
        <v>139</v>
      </c>
      <c r="G629" s="69" t="s">
        <v>177</v>
      </c>
      <c r="H629" s="0" t="n">
        <v>9</v>
      </c>
      <c r="I629" s="70" t="n">
        <v>451.78</v>
      </c>
      <c r="J629" s="70" t="n">
        <v>280.42</v>
      </c>
      <c r="K629" s="70" t="n">
        <f aca="false">IF(ISTEXT(H629),VALUE(H629),H629)*I629</f>
        <v>4066.02</v>
      </c>
    </row>
    <row r="630" customFormat="false" ht="15" hidden="false" customHeight="false" outlineLevel="0" collapsed="false">
      <c r="A630" s="0" t="n">
        <v>948</v>
      </c>
      <c r="B630" s="68" t="n">
        <v>45587</v>
      </c>
      <c r="C630" s="69" t="s">
        <v>30</v>
      </c>
      <c r="D630" s="69" t="s">
        <v>109</v>
      </c>
      <c r="E630" s="69" t="s">
        <v>119</v>
      </c>
      <c r="F630" s="69" t="s">
        <v>102</v>
      </c>
      <c r="G630" s="69" t="s">
        <v>113</v>
      </c>
      <c r="H630" s="0" t="n">
        <v>19</v>
      </c>
      <c r="I630" s="70" t="n">
        <v>27.44</v>
      </c>
      <c r="J630" s="70" t="n">
        <v>13.44</v>
      </c>
      <c r="K630" s="70" t="n">
        <f aca="false">IF(ISTEXT(H630),VALUE(H630),H630)*I630</f>
        <v>521.36</v>
      </c>
    </row>
    <row r="631" customFormat="false" ht="15" hidden="false" customHeight="false" outlineLevel="0" collapsed="false">
      <c r="A631" s="0" t="n">
        <v>2251</v>
      </c>
      <c r="B631" s="68" t="n">
        <v>45978</v>
      </c>
      <c r="C631" s="69" t="s">
        <v>108</v>
      </c>
      <c r="D631" s="69" t="s">
        <v>109</v>
      </c>
      <c r="E631" s="69" t="s">
        <v>110</v>
      </c>
      <c r="F631" s="69" t="s">
        <v>143</v>
      </c>
      <c r="G631" s="69" t="s">
        <v>49</v>
      </c>
      <c r="H631" s="0" t="n">
        <v>51</v>
      </c>
      <c r="I631" s="70" t="n">
        <v>65.26</v>
      </c>
      <c r="J631" s="70" t="n">
        <v>36.49</v>
      </c>
      <c r="K631" s="70" t="n">
        <f aca="false">IF(ISTEXT(H631),VALUE(H631),H631)*I631</f>
        <v>3328.26</v>
      </c>
    </row>
    <row r="632" customFormat="false" ht="15" hidden="false" customHeight="false" outlineLevel="0" collapsed="false">
      <c r="A632" s="0" t="n">
        <v>419</v>
      </c>
      <c r="B632" s="68" t="n">
        <v>45430</v>
      </c>
      <c r="C632" s="69" t="s">
        <v>124</v>
      </c>
      <c r="D632" s="69"/>
      <c r="E632" s="69" t="s">
        <v>101</v>
      </c>
      <c r="F632" s="69" t="s">
        <v>183</v>
      </c>
      <c r="G632" s="69" t="s">
        <v>217</v>
      </c>
      <c r="H632" s="0" t="n">
        <v>64</v>
      </c>
      <c r="I632" s="70" t="n">
        <v>34.3</v>
      </c>
      <c r="J632" s="70" t="n">
        <v>17.85</v>
      </c>
      <c r="K632" s="70" t="n">
        <f aca="false">IF(ISTEXT(H632),VALUE(H632),H632)*I632</f>
        <v>2195.2</v>
      </c>
    </row>
    <row r="633" customFormat="false" ht="15" hidden="false" customHeight="false" outlineLevel="0" collapsed="false">
      <c r="A633" s="0" t="n">
        <v>166</v>
      </c>
      <c r="B633" s="68" t="n">
        <v>45324</v>
      </c>
      <c r="C633" s="69" t="s">
        <v>184</v>
      </c>
      <c r="D633" s="69" t="s">
        <v>137</v>
      </c>
      <c r="E633" s="69" t="s">
        <v>98</v>
      </c>
      <c r="F633" s="69" t="s">
        <v>153</v>
      </c>
      <c r="G633" s="69" t="s">
        <v>45</v>
      </c>
      <c r="H633" s="0" t="n">
        <v>2</v>
      </c>
      <c r="I633" s="70" t="n">
        <v>1617</v>
      </c>
      <c r="J633" s="70" t="n">
        <v>1122</v>
      </c>
      <c r="K633" s="70" t="n">
        <f aca="false">IF(ISTEXT(H633),VALUE(H633),H633)*I633</f>
        <v>3234</v>
      </c>
    </row>
    <row r="634" customFormat="false" ht="15" hidden="false" customHeight="false" outlineLevel="0" collapsed="false">
      <c r="A634" s="0" t="n">
        <v>785</v>
      </c>
      <c r="B634" s="68" t="n">
        <v>45519</v>
      </c>
      <c r="C634" s="69" t="s">
        <v>34</v>
      </c>
      <c r="D634" s="69" t="s">
        <v>112</v>
      </c>
      <c r="E634" s="69" t="s">
        <v>121</v>
      </c>
      <c r="F634" s="69" t="s">
        <v>135</v>
      </c>
      <c r="G634" s="69" t="s">
        <v>157</v>
      </c>
      <c r="H634" s="0" t="n">
        <v>7</v>
      </c>
      <c r="I634" s="70" t="n">
        <v>1617</v>
      </c>
      <c r="J634" s="70" t="n">
        <v>1122</v>
      </c>
      <c r="K634" s="70" t="n">
        <f aca="false">IF(ISTEXT(H634),VALUE(H634),H634)*I634</f>
        <v>11319</v>
      </c>
    </row>
    <row r="635" customFormat="false" ht="15" hidden="false" customHeight="false" outlineLevel="0" collapsed="false">
      <c r="A635" s="0" t="n">
        <v>820</v>
      </c>
      <c r="B635" s="69" t="s">
        <v>281</v>
      </c>
      <c r="C635" s="69" t="s">
        <v>150</v>
      </c>
      <c r="D635" s="69" t="s">
        <v>97</v>
      </c>
      <c r="E635" s="69" t="s">
        <v>180</v>
      </c>
      <c r="F635" s="69" t="s">
        <v>168</v>
      </c>
      <c r="G635" s="69" t="s">
        <v>94</v>
      </c>
      <c r="H635" s="0" t="n">
        <v>21</v>
      </c>
      <c r="I635" s="70" t="n">
        <v>34.3</v>
      </c>
      <c r="J635" s="70" t="n">
        <v>17.85</v>
      </c>
      <c r="K635" s="70" t="n">
        <f aca="false">IF(ISTEXT(H635),VALUE(H635),H635)*I635</f>
        <v>720.3</v>
      </c>
    </row>
    <row r="636" customFormat="false" ht="15" hidden="false" customHeight="false" outlineLevel="0" collapsed="false">
      <c r="A636" s="0" t="n">
        <v>2038</v>
      </c>
      <c r="B636" s="69" t="s">
        <v>400</v>
      </c>
      <c r="C636" s="69" t="s">
        <v>120</v>
      </c>
      <c r="D636" s="69" t="s">
        <v>86</v>
      </c>
      <c r="E636" s="69" t="s">
        <v>87</v>
      </c>
      <c r="F636" s="69" t="s">
        <v>168</v>
      </c>
      <c r="G636" s="69" t="s">
        <v>52</v>
      </c>
      <c r="H636" s="0" t="n">
        <v>22</v>
      </c>
      <c r="I636" s="70" t="n">
        <v>130.51</v>
      </c>
      <c r="J636" s="70" t="n">
        <v>78.33</v>
      </c>
      <c r="K636" s="70" t="n">
        <f aca="false">IF(ISTEXT(H636),VALUE(H636),H636)*I636</f>
        <v>2871.22</v>
      </c>
    </row>
    <row r="637" customFormat="false" ht="15" hidden="false" customHeight="false" outlineLevel="0" collapsed="false">
      <c r="A637" s="0" t="n">
        <v>186</v>
      </c>
      <c r="B637" s="68" t="n">
        <v>45329</v>
      </c>
      <c r="C637" s="69" t="s">
        <v>34</v>
      </c>
      <c r="D637" s="69" t="s">
        <v>112</v>
      </c>
      <c r="E637" s="69" t="s">
        <v>125</v>
      </c>
      <c r="F637" s="69" t="s">
        <v>147</v>
      </c>
      <c r="G637" s="69" t="s">
        <v>45</v>
      </c>
      <c r="H637" s="0" t="n">
        <v>2</v>
      </c>
      <c r="I637" s="70" t="n">
        <v>1617</v>
      </c>
      <c r="J637" s="70" t="n">
        <v>1122</v>
      </c>
      <c r="K637" s="70" t="n">
        <f aca="false">IF(ISTEXT(H637),VALUE(H637),H637)*I637</f>
        <v>3234</v>
      </c>
    </row>
    <row r="638" customFormat="false" ht="15" hidden="false" customHeight="false" outlineLevel="0" collapsed="false">
      <c r="A638" s="0" t="n">
        <v>803</v>
      </c>
      <c r="B638" s="68" t="n">
        <v>45541</v>
      </c>
      <c r="C638" s="69" t="s">
        <v>25</v>
      </c>
      <c r="D638" s="69" t="s">
        <v>97</v>
      </c>
      <c r="E638" s="69" t="s">
        <v>92</v>
      </c>
      <c r="F638" s="69" t="s">
        <v>153</v>
      </c>
      <c r="G638" s="69" t="s">
        <v>177</v>
      </c>
      <c r="H638" s="0" t="s">
        <v>205</v>
      </c>
      <c r="I638" s="70" t="n">
        <v>441</v>
      </c>
      <c r="J638" s="70" t="n">
        <v>272.25</v>
      </c>
      <c r="K638" s="70" t="n">
        <f aca="false">IF(ISTEXT(H638),VALUE(H638),H638)*I638</f>
        <v>9261</v>
      </c>
    </row>
    <row r="639" customFormat="false" ht="15" hidden="false" customHeight="false" outlineLevel="0" collapsed="false">
      <c r="A639" s="0" t="n">
        <v>788</v>
      </c>
      <c r="B639" s="68" t="n">
        <v>45513</v>
      </c>
      <c r="C639" s="69" t="s">
        <v>34</v>
      </c>
      <c r="D639" s="69" t="s">
        <v>112</v>
      </c>
      <c r="E639" s="69" t="s">
        <v>125</v>
      </c>
      <c r="F639" s="69" t="s">
        <v>143</v>
      </c>
      <c r="G639" s="69" t="s">
        <v>47</v>
      </c>
      <c r="H639" s="0" t="s">
        <v>299</v>
      </c>
      <c r="I639" s="70" t="n">
        <v>27.44</v>
      </c>
      <c r="J639" s="70" t="n">
        <v>13.44</v>
      </c>
      <c r="K639" s="70" t="n">
        <f aca="false">IF(ISTEXT(H639),VALUE(H639),H639)*I639</f>
        <v>274.4</v>
      </c>
    </row>
    <row r="640" customFormat="false" ht="15" hidden="false" customHeight="false" outlineLevel="0" collapsed="false">
      <c r="A640" s="0" t="n">
        <v>609</v>
      </c>
      <c r="B640" s="68" t="n">
        <v>45498</v>
      </c>
      <c r="C640" s="69" t="s">
        <v>124</v>
      </c>
      <c r="D640" s="69" t="s">
        <v>97</v>
      </c>
      <c r="E640" s="69" t="s">
        <v>101</v>
      </c>
      <c r="F640" s="69" t="s">
        <v>155</v>
      </c>
      <c r="G640" s="69" t="s">
        <v>172</v>
      </c>
      <c r="H640" s="0" t="n">
        <v>125</v>
      </c>
      <c r="I640" s="70" t="n">
        <v>93.1</v>
      </c>
      <c r="J640" s="70" t="n">
        <v>47.98</v>
      </c>
      <c r="K640" s="70" t="n">
        <f aca="false">IF(ISTEXT(H640),VALUE(H640),H640)*I640</f>
        <v>11637.5</v>
      </c>
    </row>
    <row r="641" customFormat="false" ht="15" hidden="false" customHeight="false" outlineLevel="0" collapsed="false">
      <c r="A641" s="0" t="n">
        <v>438</v>
      </c>
      <c r="B641" s="68" t="n">
        <v>45428</v>
      </c>
      <c r="C641" s="69" t="s">
        <v>159</v>
      </c>
      <c r="D641" s="69" t="s">
        <v>86</v>
      </c>
      <c r="E641" s="69" t="s">
        <v>98</v>
      </c>
      <c r="F641" s="69" t="s">
        <v>183</v>
      </c>
      <c r="G641" s="69" t="s">
        <v>127</v>
      </c>
      <c r="H641" s="0" t="n">
        <v>11</v>
      </c>
      <c r="I641" s="70" t="n">
        <v>127.4</v>
      </c>
      <c r="J641" s="70" t="n">
        <v>76.05</v>
      </c>
      <c r="K641" s="70" t="n">
        <f aca="false">IF(ISTEXT(H641),VALUE(H641),H641)*I641</f>
        <v>1401.4</v>
      </c>
    </row>
    <row r="642" customFormat="false" ht="15" hidden="false" customHeight="false" outlineLevel="0" collapsed="false">
      <c r="A642" s="0" t="n">
        <v>1375</v>
      </c>
      <c r="B642" s="69" t="s">
        <v>401</v>
      </c>
      <c r="C642" s="69" t="s">
        <v>32</v>
      </c>
      <c r="D642" s="69" t="s">
        <v>137</v>
      </c>
      <c r="E642" s="69" t="s">
        <v>101</v>
      </c>
      <c r="F642" s="69" t="s">
        <v>166</v>
      </c>
      <c r="G642" s="69" t="s">
        <v>111</v>
      </c>
      <c r="H642" s="0" t="n">
        <v>9</v>
      </c>
      <c r="I642" s="70" t="n">
        <v>84.46</v>
      </c>
      <c r="J642" s="70" t="n">
        <v>49.47</v>
      </c>
      <c r="K642" s="70" t="n">
        <f aca="false">IF(ISTEXT(H642),VALUE(H642),H642)*I642</f>
        <v>760.14</v>
      </c>
    </row>
    <row r="643" customFormat="false" ht="15" hidden="false" customHeight="false" outlineLevel="0" collapsed="false">
      <c r="A643" s="0" t="n">
        <v>887</v>
      </c>
      <c r="B643" s="68" t="n">
        <v>45562</v>
      </c>
      <c r="C643" s="69" t="s">
        <v>161</v>
      </c>
      <c r="D643" s="69" t="s">
        <v>112</v>
      </c>
      <c r="E643" s="69" t="s">
        <v>134</v>
      </c>
      <c r="F643" s="69" t="s">
        <v>99</v>
      </c>
      <c r="G643" s="69" t="s">
        <v>47</v>
      </c>
      <c r="H643" s="0" t="n">
        <v>26</v>
      </c>
      <c r="I643" s="70" t="n">
        <v>27.44</v>
      </c>
      <c r="J643" s="70" t="n">
        <v>13.44</v>
      </c>
      <c r="K643" s="70" t="n">
        <f aca="false">IF(ISTEXT(H643),VALUE(H643),H643)*I643</f>
        <v>713.44</v>
      </c>
    </row>
    <row r="644" customFormat="false" ht="15" hidden="false" customHeight="false" outlineLevel="0" collapsed="false">
      <c r="A644" s="0" t="n">
        <v>1243</v>
      </c>
      <c r="B644" s="68" t="n">
        <v>45665</v>
      </c>
      <c r="C644" s="69" t="s">
        <v>152</v>
      </c>
      <c r="D644" s="69" t="s">
        <v>109</v>
      </c>
      <c r="E644" s="69" t="s">
        <v>138</v>
      </c>
      <c r="F644" s="69" t="s">
        <v>147</v>
      </c>
      <c r="G644" s="69" t="s">
        <v>43</v>
      </c>
      <c r="H644" s="0" t="n">
        <v>7</v>
      </c>
      <c r="I644" s="70" t="n">
        <v>433.15</v>
      </c>
      <c r="J644" s="70" t="n">
        <v>280.42</v>
      </c>
      <c r="K644" s="70" t="n">
        <f aca="false">IF(ISTEXT(H644),VALUE(H644),H644)*I644</f>
        <v>3032.05</v>
      </c>
    </row>
    <row r="645" customFormat="false" ht="15" hidden="false" customHeight="false" outlineLevel="0" collapsed="false">
      <c r="A645" s="0" t="n">
        <v>61</v>
      </c>
      <c r="B645" s="69" t="s">
        <v>402</v>
      </c>
      <c r="C645" s="69" t="s">
        <v>193</v>
      </c>
      <c r="D645" s="69" t="s">
        <v>137</v>
      </c>
      <c r="E645" s="69" t="s">
        <v>138</v>
      </c>
      <c r="F645" s="69" t="s">
        <v>135</v>
      </c>
      <c r="G645" s="69" t="s">
        <v>151</v>
      </c>
      <c r="H645" s="0" t="n">
        <v>5</v>
      </c>
      <c r="I645" s="70" t="n">
        <v>1176</v>
      </c>
      <c r="J645" s="70" t="n">
        <v>744</v>
      </c>
      <c r="K645" s="70" t="n">
        <f aca="false">IF(ISTEXT(H645),VALUE(H645),H645)*I645</f>
        <v>5880</v>
      </c>
    </row>
    <row r="646" customFormat="false" ht="15" hidden="false" customHeight="false" outlineLevel="0" collapsed="false">
      <c r="A646" s="0" t="n">
        <v>1282</v>
      </c>
      <c r="B646" s="68" t="n">
        <v>45668</v>
      </c>
      <c r="C646" s="69" t="s">
        <v>133</v>
      </c>
      <c r="D646" s="69" t="s">
        <v>112</v>
      </c>
      <c r="E646" s="69" t="s">
        <v>107</v>
      </c>
      <c r="F646" s="69" t="s">
        <v>139</v>
      </c>
      <c r="G646" s="69" t="s">
        <v>151</v>
      </c>
      <c r="H646" s="0" t="n">
        <v>3</v>
      </c>
      <c r="I646" s="70" t="n">
        <v>1155.06</v>
      </c>
      <c r="J646" s="70" t="n">
        <v>766.32</v>
      </c>
      <c r="K646" s="70" t="n">
        <f aca="false">IF(ISTEXT(H646),VALUE(H646),H646)*I646</f>
        <v>3465.18</v>
      </c>
    </row>
    <row r="647" customFormat="false" ht="15" hidden="false" customHeight="false" outlineLevel="0" collapsed="false">
      <c r="A647" s="0" t="n">
        <v>1652</v>
      </c>
      <c r="B647" s="69" t="s">
        <v>403</v>
      </c>
      <c r="C647" s="69" t="s">
        <v>108</v>
      </c>
      <c r="D647" s="69" t="s">
        <v>109</v>
      </c>
      <c r="E647" s="69" t="s">
        <v>125</v>
      </c>
      <c r="F647" s="69" t="s">
        <v>155</v>
      </c>
      <c r="G647" s="69" t="s">
        <v>208</v>
      </c>
      <c r="H647" s="0" t="n">
        <v>26</v>
      </c>
      <c r="I647" s="70" t="n">
        <v>64.58</v>
      </c>
      <c r="J647" s="70" t="n">
        <v>36.49</v>
      </c>
      <c r="K647" s="70" t="n">
        <f aca="false">IF(ISTEXT(H647),VALUE(H647),H647)*I647</f>
        <v>1679.08</v>
      </c>
    </row>
    <row r="648" customFormat="false" ht="15" hidden="false" customHeight="false" outlineLevel="0" collapsed="false">
      <c r="A648" s="0" t="n">
        <v>1140</v>
      </c>
      <c r="B648" s="69" t="s">
        <v>404</v>
      </c>
      <c r="C648" s="69" t="s">
        <v>91</v>
      </c>
      <c r="D648" s="69" t="s">
        <v>86</v>
      </c>
      <c r="E648" s="69" t="s">
        <v>87</v>
      </c>
      <c r="F648" s="69" t="s">
        <v>168</v>
      </c>
      <c r="G648" s="69" t="s">
        <v>53</v>
      </c>
      <c r="H648" s="0" t="n">
        <v>20</v>
      </c>
      <c r="I648" s="70" t="n">
        <v>34.3</v>
      </c>
      <c r="J648" s="70" t="n">
        <v>17.85</v>
      </c>
      <c r="K648" s="70" t="n">
        <f aca="false">IF(ISTEXT(H648),VALUE(H648),H648)*I648</f>
        <v>686</v>
      </c>
    </row>
    <row r="649" customFormat="false" ht="15" hidden="false" customHeight="false" outlineLevel="0" collapsed="false">
      <c r="A649" s="0" t="n">
        <v>1098</v>
      </c>
      <c r="B649" s="68" t="n">
        <v>45615</v>
      </c>
      <c r="C649" s="69" t="s">
        <v>142</v>
      </c>
      <c r="D649" s="69" t="s">
        <v>112</v>
      </c>
      <c r="E649" s="69" t="s">
        <v>87</v>
      </c>
      <c r="F649" s="69" t="s">
        <v>93</v>
      </c>
      <c r="G649" s="69" t="s">
        <v>130</v>
      </c>
      <c r="H649" s="0" t="n">
        <v>10</v>
      </c>
      <c r="I649" s="70" t="n">
        <v>127.4</v>
      </c>
      <c r="J649" s="70" t="n">
        <v>76.05</v>
      </c>
      <c r="K649" s="70" t="n">
        <f aca="false">IF(ISTEXT(H649),VALUE(H649),H649)*I649</f>
        <v>1274</v>
      </c>
    </row>
    <row r="650" customFormat="false" ht="15" hidden="false" customHeight="false" outlineLevel="0" collapsed="false">
      <c r="A650" s="0" t="n">
        <v>1718</v>
      </c>
      <c r="B650" s="69" t="s">
        <v>405</v>
      </c>
      <c r="C650" s="69" t="s">
        <v>25</v>
      </c>
      <c r="D650" s="69" t="s">
        <v>97</v>
      </c>
      <c r="E650" s="69" t="s">
        <v>98</v>
      </c>
      <c r="F650" s="69" t="s">
        <v>168</v>
      </c>
      <c r="G650" s="69" t="s">
        <v>127</v>
      </c>
      <c r="H650" s="0" t="n">
        <v>36</v>
      </c>
      <c r="I650" s="70" t="n">
        <v>129.17</v>
      </c>
      <c r="J650" s="70" t="n">
        <v>78.33</v>
      </c>
      <c r="K650" s="70" t="n">
        <f aca="false">IF(ISTEXT(H650),VALUE(H650),H650)*I650</f>
        <v>4650.12</v>
      </c>
    </row>
    <row r="651" customFormat="false" ht="15" hidden="false" customHeight="false" outlineLevel="0" collapsed="false">
      <c r="A651" s="0" t="n">
        <v>342</v>
      </c>
      <c r="B651" s="68" t="n">
        <v>45401</v>
      </c>
      <c r="C651" s="69" t="s">
        <v>152</v>
      </c>
      <c r="D651" s="69" t="s">
        <v>109</v>
      </c>
      <c r="E651" s="69" t="s">
        <v>107</v>
      </c>
      <c r="F651" s="69" t="s">
        <v>147</v>
      </c>
      <c r="G651" s="69" t="s">
        <v>151</v>
      </c>
      <c r="H651" s="0" t="n">
        <v>4</v>
      </c>
      <c r="I651" s="70" t="n">
        <v>1176</v>
      </c>
      <c r="J651" s="70" t="n">
        <v>744</v>
      </c>
      <c r="K651" s="70" t="n">
        <f aca="false">IF(ISTEXT(H651),VALUE(H651),H651)*I651</f>
        <v>4704</v>
      </c>
    </row>
    <row r="652" customFormat="false" ht="15" hidden="false" customHeight="false" outlineLevel="0" collapsed="false">
      <c r="A652" s="0" t="n">
        <v>556</v>
      </c>
      <c r="B652" s="69" t="s">
        <v>406</v>
      </c>
      <c r="C652" s="69" t="s">
        <v>118</v>
      </c>
      <c r="D652" s="69" t="s">
        <v>109</v>
      </c>
      <c r="E652" s="69" t="s">
        <v>107</v>
      </c>
      <c r="F652" s="69" t="s">
        <v>115</v>
      </c>
      <c r="G652" s="69" t="s">
        <v>111</v>
      </c>
      <c r="H652" s="0" t="n">
        <v>8</v>
      </c>
      <c r="I652" s="70" t="n">
        <v>83.3</v>
      </c>
      <c r="J652" s="70" t="n">
        <v>48.03</v>
      </c>
      <c r="K652" s="70" t="n">
        <f aca="false">IF(ISTEXT(H652),VALUE(H652),H652)*I652</f>
        <v>666.4</v>
      </c>
    </row>
    <row r="653" customFormat="false" ht="15" hidden="false" customHeight="false" outlineLevel="0" collapsed="false">
      <c r="A653" s="0" t="n">
        <v>1623</v>
      </c>
      <c r="B653" s="68" t="n">
        <v>45799</v>
      </c>
      <c r="C653" s="69" t="s">
        <v>120</v>
      </c>
      <c r="D653" s="69" t="s">
        <v>86</v>
      </c>
      <c r="E653" s="69" t="s">
        <v>101</v>
      </c>
      <c r="F653" s="69" t="s">
        <v>147</v>
      </c>
      <c r="G653" s="69" t="s">
        <v>43</v>
      </c>
      <c r="H653" s="0" t="n">
        <v>11</v>
      </c>
      <c r="I653" s="70" t="n">
        <v>433.15</v>
      </c>
      <c r="J653" s="70" t="n">
        <v>280.42</v>
      </c>
      <c r="K653" s="70" t="n">
        <f aca="false">IF(ISTEXT(H653),VALUE(H653),H653)*I653</f>
        <v>4764.65</v>
      </c>
    </row>
    <row r="654" customFormat="false" ht="15" hidden="false" customHeight="false" outlineLevel="0" collapsed="false">
      <c r="A654" s="0" t="n">
        <v>534</v>
      </c>
      <c r="B654" s="69" t="s">
        <v>407</v>
      </c>
      <c r="C654" s="69" t="s">
        <v>91</v>
      </c>
      <c r="D654" s="69" t="s">
        <v>86</v>
      </c>
      <c r="E654" s="69" t="s">
        <v>107</v>
      </c>
      <c r="F654" s="69" t="s">
        <v>162</v>
      </c>
      <c r="G654" s="69" t="s">
        <v>50</v>
      </c>
      <c r="H654" s="0" t="n">
        <v>13</v>
      </c>
      <c r="I654" s="70" t="n">
        <v>117.6</v>
      </c>
      <c r="J654" s="70" t="n">
        <v>63.6</v>
      </c>
      <c r="K654" s="70" t="n">
        <f aca="false">IF(ISTEXT(H654),VALUE(H654),H654)*I654</f>
        <v>1528.8</v>
      </c>
    </row>
    <row r="655" customFormat="false" ht="15" hidden="false" customHeight="false" outlineLevel="0" collapsed="false">
      <c r="A655" s="0" t="n">
        <v>2369</v>
      </c>
      <c r="B655" s="68" t="n">
        <v>45997</v>
      </c>
      <c r="C655" s="69" t="s">
        <v>32</v>
      </c>
      <c r="D655" s="69" t="s">
        <v>137</v>
      </c>
      <c r="E655" s="69" t="s">
        <v>110</v>
      </c>
      <c r="F655" s="69" t="s">
        <v>143</v>
      </c>
      <c r="G655" s="69" t="s">
        <v>235</v>
      </c>
      <c r="H655" s="0" t="n">
        <v>40</v>
      </c>
      <c r="I655" s="70" t="n">
        <v>95.38</v>
      </c>
      <c r="J655" s="70" t="n">
        <v>49.41</v>
      </c>
      <c r="K655" s="70" t="n">
        <f aca="false">IF(ISTEXT(H655),VALUE(H655),H655)*I655</f>
        <v>3815.2</v>
      </c>
    </row>
    <row r="656" customFormat="false" ht="15" hidden="false" customHeight="false" outlineLevel="0" collapsed="false">
      <c r="A656" s="0" t="n">
        <v>676</v>
      </c>
      <c r="B656" s="68" t="n">
        <v>45481</v>
      </c>
      <c r="C656" s="69" t="s">
        <v>184</v>
      </c>
      <c r="D656" s="69" t="s">
        <v>137</v>
      </c>
      <c r="E656" s="69" t="s">
        <v>87</v>
      </c>
      <c r="F656" s="69" t="s">
        <v>162</v>
      </c>
      <c r="G656" s="69" t="s">
        <v>116</v>
      </c>
      <c r="H656" s="0" t="n">
        <v>5</v>
      </c>
      <c r="I656" s="70" t="n">
        <v>83.3</v>
      </c>
      <c r="J656" s="70" t="n">
        <v>48.03</v>
      </c>
      <c r="K656" s="70" t="n">
        <f aca="false">IF(ISTEXT(H656),VALUE(H656),H656)*I656</f>
        <v>416.5</v>
      </c>
    </row>
    <row r="657" customFormat="false" ht="15" hidden="false" customHeight="false" outlineLevel="0" collapsed="false">
      <c r="A657" s="0" t="n">
        <v>129</v>
      </c>
      <c r="B657" s="69" t="s">
        <v>408</v>
      </c>
      <c r="C657" s="69" t="s">
        <v>159</v>
      </c>
      <c r="D657" s="69" t="s">
        <v>86</v>
      </c>
      <c r="E657" s="69" t="s">
        <v>134</v>
      </c>
      <c r="F657" s="69" t="s">
        <v>28</v>
      </c>
      <c r="G657" s="69" t="s">
        <v>48</v>
      </c>
      <c r="H657" s="0" t="s">
        <v>409</v>
      </c>
      <c r="I657" s="70" t="n">
        <v>93.1</v>
      </c>
      <c r="J657" s="70" t="n">
        <v>47.98</v>
      </c>
      <c r="K657" s="70" t="n">
        <f aca="false">IF(ISTEXT(H657),VALUE(H657),H657)*I657</f>
        <v>4189.5</v>
      </c>
    </row>
    <row r="658" customFormat="false" ht="15" hidden="false" customHeight="false" outlineLevel="0" collapsed="false">
      <c r="A658" s="0" t="n">
        <v>2291</v>
      </c>
      <c r="B658" s="69" t="s">
        <v>410</v>
      </c>
      <c r="C658" s="69" t="s">
        <v>161</v>
      </c>
      <c r="D658" s="69" t="s">
        <v>112</v>
      </c>
      <c r="E658" s="69" t="s">
        <v>101</v>
      </c>
      <c r="F658" s="69" t="s">
        <v>99</v>
      </c>
      <c r="G658" s="69" t="s">
        <v>144</v>
      </c>
      <c r="H658" s="0" t="n">
        <v>41</v>
      </c>
      <c r="I658" s="70" t="n">
        <v>65.26</v>
      </c>
      <c r="J658" s="70" t="n">
        <v>36.49</v>
      </c>
      <c r="K658" s="70" t="n">
        <f aca="false">IF(ISTEXT(H658),VALUE(H658),H658)*I658</f>
        <v>2675.66</v>
      </c>
    </row>
    <row r="659" customFormat="false" ht="15" hidden="false" customHeight="false" outlineLevel="0" collapsed="false">
      <c r="A659" s="0" t="n">
        <v>1130</v>
      </c>
      <c r="B659" s="68" t="n">
        <v>45653</v>
      </c>
      <c r="C659" s="69" t="s">
        <v>159</v>
      </c>
      <c r="D659" s="69" t="s">
        <v>86</v>
      </c>
      <c r="E659" s="69" t="s">
        <v>180</v>
      </c>
      <c r="F659" s="69" t="s">
        <v>99</v>
      </c>
      <c r="G659" s="69" t="s">
        <v>235</v>
      </c>
      <c r="H659" s="0" t="n">
        <v>28</v>
      </c>
      <c r="I659" s="70" t="n">
        <v>93.1</v>
      </c>
      <c r="J659" s="70" t="n">
        <v>47.98</v>
      </c>
      <c r="K659" s="70" t="n">
        <f aca="false">IF(ISTEXT(H659),VALUE(H659),H659)*I659</f>
        <v>2606.8</v>
      </c>
    </row>
    <row r="660" customFormat="false" ht="15" hidden="false" customHeight="false" outlineLevel="0" collapsed="false">
      <c r="A660" s="0" t="n">
        <v>655</v>
      </c>
      <c r="B660" s="68" t="n">
        <v>45496</v>
      </c>
      <c r="C660" s="69" t="s">
        <v>152</v>
      </c>
      <c r="D660" s="69" t="s">
        <v>109</v>
      </c>
      <c r="E660" s="69" t="s">
        <v>138</v>
      </c>
      <c r="F660" s="69" t="s">
        <v>166</v>
      </c>
      <c r="G660" s="69" t="s">
        <v>116</v>
      </c>
      <c r="H660" s="0" t="n">
        <v>22</v>
      </c>
      <c r="I660" s="70" t="n">
        <v>83.3</v>
      </c>
      <c r="J660" s="70" t="n">
        <v>48.03</v>
      </c>
      <c r="K660" s="70" t="n">
        <f aca="false">IF(ISTEXT(H660),VALUE(H660),H660)*I660</f>
        <v>1832.6</v>
      </c>
    </row>
    <row r="661" customFormat="false" ht="15" hidden="false" customHeight="false" outlineLevel="0" collapsed="false">
      <c r="A661" s="0" t="n">
        <v>1309</v>
      </c>
      <c r="B661" s="68" t="n">
        <v>45699</v>
      </c>
      <c r="C661" s="69" t="s">
        <v>96</v>
      </c>
      <c r="D661" s="69" t="s">
        <v>97</v>
      </c>
      <c r="E661" s="69" t="s">
        <v>138</v>
      </c>
      <c r="F661" s="69" t="s">
        <v>143</v>
      </c>
      <c r="G661" s="69" t="s">
        <v>235</v>
      </c>
      <c r="H661" s="0" t="n">
        <v>83</v>
      </c>
      <c r="I661" s="70" t="n">
        <v>94.39</v>
      </c>
      <c r="J661" s="70" t="n">
        <v>49.41</v>
      </c>
      <c r="K661" s="70" t="n">
        <f aca="false">IF(ISTEXT(H661),VALUE(H661),H661)*I661</f>
        <v>7834.37</v>
      </c>
    </row>
    <row r="662" customFormat="false" ht="15" hidden="false" customHeight="false" outlineLevel="0" collapsed="false">
      <c r="A662" s="0" t="n">
        <v>2090</v>
      </c>
      <c r="B662" s="69" t="s">
        <v>411</v>
      </c>
      <c r="C662" s="69" t="s">
        <v>133</v>
      </c>
      <c r="D662" s="69" t="s">
        <v>112</v>
      </c>
      <c r="E662" s="69" t="s">
        <v>98</v>
      </c>
      <c r="F662" s="69" t="s">
        <v>155</v>
      </c>
      <c r="G662" s="69" t="s">
        <v>172</v>
      </c>
      <c r="H662" s="0" t="n">
        <v>21</v>
      </c>
      <c r="I662" s="70" t="n">
        <v>95.38</v>
      </c>
      <c r="J662" s="70" t="n">
        <v>49.41</v>
      </c>
      <c r="K662" s="70" t="n">
        <f aca="false">IF(ISTEXT(H662),VALUE(H662),H662)*I662</f>
        <v>2002.98</v>
      </c>
    </row>
    <row r="663" customFormat="false" ht="15" hidden="false" customHeight="false" outlineLevel="0" collapsed="false">
      <c r="A663" s="0" t="n">
        <v>2073</v>
      </c>
      <c r="B663" s="68" t="n">
        <v>45913</v>
      </c>
      <c r="C663" s="69" t="s">
        <v>184</v>
      </c>
      <c r="D663" s="69"/>
      <c r="E663" s="69" t="s">
        <v>134</v>
      </c>
      <c r="F663" s="69" t="s">
        <v>115</v>
      </c>
      <c r="G663" s="69" t="s">
        <v>50</v>
      </c>
      <c r="H663" s="0" t="n">
        <v>15</v>
      </c>
      <c r="I663" s="70" t="n">
        <v>120.47</v>
      </c>
      <c r="J663" s="70" t="n">
        <v>65.51</v>
      </c>
      <c r="K663" s="70" t="n">
        <f aca="false">IF(ISTEXT(H663),VALUE(H663),H663)*I663</f>
        <v>1807.05</v>
      </c>
    </row>
    <row r="664" customFormat="false" ht="15" hidden="false" customHeight="false" outlineLevel="0" collapsed="false">
      <c r="A664" s="0" t="n">
        <v>893</v>
      </c>
      <c r="B664" s="69" t="s">
        <v>412</v>
      </c>
      <c r="C664" s="69" t="s">
        <v>34</v>
      </c>
      <c r="D664" s="69" t="s">
        <v>112</v>
      </c>
      <c r="E664" s="69" t="s">
        <v>138</v>
      </c>
      <c r="F664" s="69" t="s">
        <v>166</v>
      </c>
      <c r="G664" s="69" t="s">
        <v>50</v>
      </c>
      <c r="H664" s="0" t="n">
        <v>17</v>
      </c>
      <c r="I664" s="70" t="n">
        <v>117.6</v>
      </c>
      <c r="J664" s="70" t="n">
        <v>63.6</v>
      </c>
      <c r="K664" s="70" t="n">
        <f aca="false">IF(ISTEXT(H664),VALUE(H664),H664)*I664</f>
        <v>1999.2</v>
      </c>
    </row>
    <row r="665" customFormat="false" ht="15" hidden="false" customHeight="false" outlineLevel="0" collapsed="false">
      <c r="A665" s="0" t="n">
        <v>2397</v>
      </c>
      <c r="B665" s="68" t="n">
        <v>46004</v>
      </c>
      <c r="C665" s="69" t="s">
        <v>142</v>
      </c>
      <c r="D665" s="69" t="s">
        <v>112</v>
      </c>
      <c r="E665" s="69" t="s">
        <v>101</v>
      </c>
      <c r="F665" s="69" t="s">
        <v>183</v>
      </c>
      <c r="G665" s="69" t="s">
        <v>130</v>
      </c>
      <c r="H665" s="0" t="n">
        <v>29</v>
      </c>
      <c r="I665" s="70" t="n">
        <v>130.51</v>
      </c>
      <c r="J665" s="70" t="n">
        <v>78.33</v>
      </c>
      <c r="K665" s="70" t="n">
        <f aca="false">IF(ISTEXT(H665),VALUE(H665),H665)*I665</f>
        <v>3784.79</v>
      </c>
    </row>
    <row r="666" customFormat="false" ht="15" hidden="false" customHeight="false" outlineLevel="0" collapsed="false">
      <c r="A666" s="0" t="n">
        <v>1409</v>
      </c>
      <c r="B666" s="68" t="n">
        <v>45725</v>
      </c>
      <c r="C666" s="69" t="s">
        <v>25</v>
      </c>
      <c r="D666" s="69" t="s">
        <v>97</v>
      </c>
      <c r="E666" s="69" t="s">
        <v>110</v>
      </c>
      <c r="F666" s="69" t="s">
        <v>155</v>
      </c>
      <c r="G666" s="69" t="s">
        <v>48</v>
      </c>
      <c r="H666" s="0" t="n">
        <v>78</v>
      </c>
      <c r="I666" s="70" t="n">
        <v>94.39</v>
      </c>
      <c r="J666" s="70" t="n">
        <v>49.41</v>
      </c>
      <c r="K666" s="70" t="n">
        <f aca="false">IF(ISTEXT(H666),VALUE(H666),H666)*I666</f>
        <v>7362.42</v>
      </c>
    </row>
    <row r="667" customFormat="false" ht="15" hidden="false" customHeight="false" outlineLevel="0" collapsed="false">
      <c r="A667" s="0" t="n">
        <v>2064</v>
      </c>
      <c r="B667" s="68" t="n">
        <v>45904</v>
      </c>
      <c r="C667" s="69" t="s">
        <v>32</v>
      </c>
      <c r="D667" s="69" t="s">
        <v>137</v>
      </c>
      <c r="E667" s="69" t="s">
        <v>125</v>
      </c>
      <c r="F667" s="69" t="s">
        <v>88</v>
      </c>
      <c r="G667" s="69" t="s">
        <v>177</v>
      </c>
      <c r="H667" s="0" t="n">
        <v>4</v>
      </c>
      <c r="I667" s="70" t="n">
        <v>451.78</v>
      </c>
      <c r="J667" s="70" t="n">
        <v>280.42</v>
      </c>
      <c r="K667" s="70" t="n">
        <f aca="false">IF(ISTEXT(H667),VALUE(H667),H667)*I667</f>
        <v>1807.12</v>
      </c>
    </row>
    <row r="668" customFormat="false" ht="15" hidden="false" customHeight="false" outlineLevel="0" collapsed="false">
      <c r="A668" s="0" t="n">
        <v>783</v>
      </c>
      <c r="B668" s="68" t="n">
        <v>45505</v>
      </c>
      <c r="C668" s="69" t="s">
        <v>34</v>
      </c>
      <c r="D668" s="69" t="s">
        <v>112</v>
      </c>
      <c r="E668" s="69" t="s">
        <v>134</v>
      </c>
      <c r="F668" s="69" t="s">
        <v>153</v>
      </c>
      <c r="G668" s="69" t="s">
        <v>177</v>
      </c>
      <c r="H668" s="0" t="n">
        <v>7</v>
      </c>
      <c r="I668" s="70" t="n">
        <v>441</v>
      </c>
      <c r="J668" s="70" t="n">
        <v>272.25</v>
      </c>
      <c r="K668" s="70" t="n">
        <f aca="false">IF(ISTEXT(H668),VALUE(H668),H668)*I668</f>
        <v>3087</v>
      </c>
    </row>
    <row r="669" customFormat="false" ht="15" hidden="false" customHeight="false" outlineLevel="0" collapsed="false">
      <c r="A669" s="0" t="n">
        <v>1138</v>
      </c>
      <c r="B669" s="69" t="s">
        <v>413</v>
      </c>
      <c r="C669" s="69" t="s">
        <v>91</v>
      </c>
      <c r="D669" s="69" t="s">
        <v>86</v>
      </c>
      <c r="E669" s="69" t="s">
        <v>87</v>
      </c>
      <c r="F669" s="69" t="s">
        <v>33</v>
      </c>
      <c r="G669" s="69" t="s">
        <v>52</v>
      </c>
      <c r="H669" s="0" t="n">
        <v>17</v>
      </c>
      <c r="I669" s="70" t="n">
        <v>127.4</v>
      </c>
      <c r="J669" s="70" t="n">
        <v>76.05</v>
      </c>
      <c r="K669" s="70" t="n">
        <f aca="false">IF(ISTEXT(H669),VALUE(H669),H669)*I669</f>
        <v>2165.8</v>
      </c>
    </row>
    <row r="670" customFormat="false" ht="15" hidden="false" customHeight="false" outlineLevel="0" collapsed="false">
      <c r="A670" s="0" t="n">
        <v>1600</v>
      </c>
      <c r="B670" s="68" t="n">
        <v>45770</v>
      </c>
      <c r="C670" s="69" t="s">
        <v>34</v>
      </c>
      <c r="D670" s="69" t="s">
        <v>112</v>
      </c>
      <c r="E670" s="69" t="s">
        <v>180</v>
      </c>
      <c r="F670" s="69" t="s">
        <v>183</v>
      </c>
      <c r="G670" s="69" t="s">
        <v>217</v>
      </c>
      <c r="H670" s="0" t="n">
        <v>10</v>
      </c>
      <c r="I670" s="70" t="n">
        <v>34.78</v>
      </c>
      <c r="J670" s="70" t="n">
        <v>18.39</v>
      </c>
      <c r="K670" s="70" t="n">
        <f aca="false">IF(ISTEXT(H670),VALUE(H670),H670)*I670</f>
        <v>347.8</v>
      </c>
    </row>
    <row r="671" customFormat="false" ht="15" hidden="false" customHeight="false" outlineLevel="0" collapsed="false">
      <c r="A671" s="0" t="n">
        <v>1933</v>
      </c>
      <c r="B671" s="68" t="n">
        <v>45874</v>
      </c>
      <c r="C671" s="69" t="s">
        <v>91</v>
      </c>
      <c r="D671" s="69" t="s">
        <v>86</v>
      </c>
      <c r="E671" s="69" t="s">
        <v>110</v>
      </c>
      <c r="F671" s="69" t="s">
        <v>115</v>
      </c>
      <c r="G671" s="69" t="s">
        <v>171</v>
      </c>
      <c r="H671" s="0" t="n">
        <v>28</v>
      </c>
      <c r="I671" s="70" t="n">
        <v>120.47</v>
      </c>
      <c r="J671" s="70" t="n">
        <v>65.51</v>
      </c>
      <c r="K671" s="70" t="n">
        <f aca="false">IF(ISTEXT(H671),VALUE(H671),H671)*I671</f>
        <v>3373.16</v>
      </c>
    </row>
    <row r="672" customFormat="false" ht="15" hidden="false" customHeight="false" outlineLevel="0" collapsed="false">
      <c r="A672" s="0" t="n">
        <v>1810</v>
      </c>
      <c r="B672" s="69" t="s">
        <v>414</v>
      </c>
      <c r="C672" s="69" t="s">
        <v>96</v>
      </c>
      <c r="D672" s="69" t="s">
        <v>97</v>
      </c>
      <c r="E672" s="69" t="s">
        <v>107</v>
      </c>
      <c r="F672" s="69" t="s">
        <v>28</v>
      </c>
      <c r="G672" s="69" t="s">
        <v>172</v>
      </c>
      <c r="H672" s="0" t="n">
        <v>60</v>
      </c>
      <c r="I672" s="70" t="n">
        <v>95.38</v>
      </c>
      <c r="J672" s="70" t="n">
        <v>49.41</v>
      </c>
      <c r="K672" s="70" t="n">
        <f aca="false">IF(ISTEXT(H672),VALUE(H672),H672)*I672</f>
        <v>5722.8</v>
      </c>
    </row>
    <row r="673" customFormat="false" ht="15" hidden="false" customHeight="false" outlineLevel="0" collapsed="false">
      <c r="A673" s="0" t="n">
        <v>2308</v>
      </c>
      <c r="B673" s="68" t="n">
        <v>46002</v>
      </c>
      <c r="C673" s="69" t="s">
        <v>170</v>
      </c>
      <c r="D673" s="69" t="s">
        <v>97</v>
      </c>
      <c r="E673" s="69" t="s">
        <v>98</v>
      </c>
      <c r="F673" s="69" t="s">
        <v>99</v>
      </c>
      <c r="G673" s="69" t="s">
        <v>47</v>
      </c>
      <c r="H673" s="0" t="n">
        <v>93</v>
      </c>
      <c r="I673" s="70" t="n">
        <v>28.11</v>
      </c>
      <c r="J673" s="70" t="n">
        <v>13.84</v>
      </c>
      <c r="K673" s="70" t="n">
        <f aca="false">IF(ISTEXT(H673),VALUE(H673),H673)*I673</f>
        <v>2614.23</v>
      </c>
    </row>
    <row r="674" customFormat="false" ht="15" hidden="false" customHeight="false" outlineLevel="0" collapsed="false">
      <c r="A674" s="0" t="n">
        <v>2352</v>
      </c>
      <c r="B674" s="68" t="n">
        <v>46013</v>
      </c>
      <c r="C674" s="69" t="s">
        <v>30</v>
      </c>
      <c r="D674" s="69" t="s">
        <v>109</v>
      </c>
      <c r="E674" s="69" t="s">
        <v>98</v>
      </c>
      <c r="F674" s="69" t="s">
        <v>28</v>
      </c>
      <c r="G674" s="69" t="s">
        <v>49</v>
      </c>
      <c r="H674" s="0" t="n">
        <v>44</v>
      </c>
      <c r="I674" s="70" t="n">
        <v>65.26</v>
      </c>
      <c r="J674" s="70" t="n">
        <v>36.49</v>
      </c>
      <c r="K674" s="70" t="n">
        <f aca="false">IF(ISTEXT(H674),VALUE(H674),H674)*I674</f>
        <v>2871.44</v>
      </c>
    </row>
    <row r="675" customFormat="false" ht="15" hidden="false" customHeight="false" outlineLevel="0" collapsed="false">
      <c r="A675" s="0" t="n">
        <v>572</v>
      </c>
      <c r="B675" s="69" t="s">
        <v>415</v>
      </c>
      <c r="C675" s="69" t="s">
        <v>32</v>
      </c>
      <c r="D675" s="69" t="s">
        <v>137</v>
      </c>
      <c r="E675" s="69" t="s">
        <v>119</v>
      </c>
      <c r="F675" s="69" t="s">
        <v>155</v>
      </c>
      <c r="G675" s="69" t="s">
        <v>144</v>
      </c>
      <c r="H675" s="0" t="s">
        <v>372</v>
      </c>
      <c r="I675" s="70" t="n">
        <v>63.7</v>
      </c>
      <c r="J675" s="70" t="n">
        <v>35.43</v>
      </c>
      <c r="K675" s="70" t="n">
        <f aca="false">IF(ISTEXT(H675),VALUE(H675),H675)*I675</f>
        <v>700.7</v>
      </c>
    </row>
    <row r="676" customFormat="false" ht="15" hidden="false" customHeight="false" outlineLevel="0" collapsed="false">
      <c r="A676" s="0" t="n">
        <v>1865</v>
      </c>
      <c r="B676" s="68" t="n">
        <v>45853</v>
      </c>
      <c r="C676" s="69" t="s">
        <v>32</v>
      </c>
      <c r="D676" s="69" t="s">
        <v>137</v>
      </c>
      <c r="E676" s="69" t="s">
        <v>134</v>
      </c>
      <c r="F676" s="69" t="s">
        <v>139</v>
      </c>
      <c r="G676" s="69" t="s">
        <v>141</v>
      </c>
      <c r="H676" s="0" t="n">
        <v>7</v>
      </c>
      <c r="I676" s="70" t="n">
        <v>1656.52</v>
      </c>
      <c r="J676" s="70" t="n">
        <v>1155.66</v>
      </c>
      <c r="K676" s="70" t="n">
        <f aca="false">IF(ISTEXT(H676),VALUE(H676),H676)*I676</f>
        <v>11595.64</v>
      </c>
    </row>
    <row r="677" customFormat="false" ht="15" hidden="false" customHeight="false" outlineLevel="0" collapsed="false">
      <c r="A677" s="0" t="n">
        <v>919</v>
      </c>
      <c r="B677" s="69" t="s">
        <v>416</v>
      </c>
      <c r="C677" s="69" t="s">
        <v>96</v>
      </c>
      <c r="D677" s="69" t="s">
        <v>97</v>
      </c>
      <c r="E677" s="69" t="s">
        <v>138</v>
      </c>
      <c r="F677" s="69" t="s">
        <v>33</v>
      </c>
      <c r="G677" s="69" t="s">
        <v>94</v>
      </c>
      <c r="H677" s="0" t="s">
        <v>417</v>
      </c>
      <c r="I677" s="70" t="n">
        <v>34.3</v>
      </c>
      <c r="J677" s="70" t="n">
        <v>17.85</v>
      </c>
      <c r="K677" s="70" t="n">
        <f aca="false">IF(ISTEXT(H677),VALUE(H677),H677)*I677</f>
        <v>2263.8</v>
      </c>
    </row>
    <row r="678" customFormat="false" ht="15" hidden="false" customHeight="false" outlineLevel="0" collapsed="false">
      <c r="A678" s="0" t="n">
        <v>208</v>
      </c>
      <c r="B678" s="68" t="n">
        <v>45377</v>
      </c>
      <c r="C678" s="69" t="s">
        <v>170</v>
      </c>
      <c r="D678" s="69"/>
      <c r="E678" s="69" t="s">
        <v>180</v>
      </c>
      <c r="F678" s="69" t="s">
        <v>155</v>
      </c>
      <c r="G678" s="69" t="s">
        <v>103</v>
      </c>
      <c r="H678" s="0" t="n">
        <v>41</v>
      </c>
      <c r="I678" s="70" t="n">
        <v>27.44</v>
      </c>
      <c r="J678" s="70" t="n">
        <v>13.44</v>
      </c>
      <c r="K678" s="70" t="n">
        <f aca="false">IF(ISTEXT(H678),VALUE(H678),H678)*I678</f>
        <v>1125.04</v>
      </c>
    </row>
    <row r="679" customFormat="false" ht="15" hidden="false" customHeight="false" outlineLevel="0" collapsed="false">
      <c r="A679" s="0" t="n">
        <v>1336</v>
      </c>
      <c r="B679" s="68" t="n">
        <v>45699</v>
      </c>
      <c r="C679" s="69" t="s">
        <v>27</v>
      </c>
      <c r="D679" s="69" t="s">
        <v>86</v>
      </c>
      <c r="E679" s="69" t="s">
        <v>107</v>
      </c>
      <c r="F679" s="69" t="s">
        <v>166</v>
      </c>
      <c r="G679" s="69" t="s">
        <v>116</v>
      </c>
      <c r="H679" s="0" t="n">
        <v>15</v>
      </c>
      <c r="I679" s="70" t="n">
        <v>84.46</v>
      </c>
      <c r="J679" s="70" t="n">
        <v>49.47</v>
      </c>
      <c r="K679" s="70" t="n">
        <f aca="false">IF(ISTEXT(H679),VALUE(H679),H679)*I679</f>
        <v>1266.9</v>
      </c>
    </row>
    <row r="680" customFormat="false" ht="15" hidden="false" customHeight="false" outlineLevel="0" collapsed="false">
      <c r="A680" s="0" t="n">
        <v>1259</v>
      </c>
      <c r="B680" s="68" t="n">
        <v>45669</v>
      </c>
      <c r="C680" s="69" t="s">
        <v>152</v>
      </c>
      <c r="D680" s="69" t="s">
        <v>109</v>
      </c>
      <c r="E680" s="69" t="s">
        <v>138</v>
      </c>
      <c r="F680" s="69" t="s">
        <v>183</v>
      </c>
      <c r="G680" s="69" t="s">
        <v>94</v>
      </c>
      <c r="H680" s="0" t="n">
        <v>22</v>
      </c>
      <c r="I680" s="70" t="n">
        <v>34.78</v>
      </c>
      <c r="J680" s="70" t="n">
        <v>18.39</v>
      </c>
      <c r="K680" s="70" t="n">
        <f aca="false">IF(ISTEXT(H680),VALUE(H680),H680)*I680</f>
        <v>765.16</v>
      </c>
    </row>
    <row r="681" customFormat="false" ht="15" hidden="false" customHeight="false" outlineLevel="0" collapsed="false">
      <c r="A681" s="0" t="n">
        <v>1397</v>
      </c>
      <c r="B681" s="68" t="n">
        <v>45694</v>
      </c>
      <c r="C681" s="69" t="s">
        <v>34</v>
      </c>
      <c r="D681" s="69" t="s">
        <v>112</v>
      </c>
      <c r="E681" s="69" t="s">
        <v>101</v>
      </c>
      <c r="F681" s="69" t="s">
        <v>183</v>
      </c>
      <c r="G681" s="69" t="s">
        <v>130</v>
      </c>
      <c r="H681" s="0" t="n">
        <v>13</v>
      </c>
      <c r="I681" s="70" t="n">
        <v>129.17</v>
      </c>
      <c r="J681" s="70" t="n">
        <v>78.33</v>
      </c>
      <c r="K681" s="70" t="n">
        <f aca="false">IF(ISTEXT(H681),VALUE(H681),H681)*I681</f>
        <v>1679.21</v>
      </c>
    </row>
    <row r="682" customFormat="false" ht="15" hidden="false" customHeight="false" outlineLevel="0" collapsed="false">
      <c r="A682" s="0" t="n">
        <v>373</v>
      </c>
      <c r="B682" s="68" t="n">
        <v>45402</v>
      </c>
      <c r="C682" s="69" t="s">
        <v>32</v>
      </c>
      <c r="D682" s="69" t="s">
        <v>137</v>
      </c>
      <c r="E682" s="69" t="s">
        <v>134</v>
      </c>
      <c r="F682" s="69" t="s">
        <v>166</v>
      </c>
      <c r="G682" s="69" t="s">
        <v>171</v>
      </c>
      <c r="H682" s="0" t="n">
        <v>11</v>
      </c>
      <c r="I682" s="70" t="n">
        <v>117.6</v>
      </c>
      <c r="J682" s="70" t="n">
        <v>63.6</v>
      </c>
      <c r="K682" s="70" t="n">
        <f aca="false">IF(ISTEXT(H682),VALUE(H682),H682)*I682</f>
        <v>1293.6</v>
      </c>
    </row>
    <row r="683" customFormat="false" ht="15" hidden="false" customHeight="false" outlineLevel="0" collapsed="false">
      <c r="A683" s="0" t="n">
        <v>512</v>
      </c>
      <c r="B683" s="69" t="s">
        <v>418</v>
      </c>
      <c r="C683" s="69" t="s">
        <v>96</v>
      </c>
      <c r="D683" s="69" t="s">
        <v>97</v>
      </c>
      <c r="E683" s="69" t="s">
        <v>87</v>
      </c>
      <c r="F683" s="69" t="s">
        <v>102</v>
      </c>
      <c r="G683" s="69" t="s">
        <v>49</v>
      </c>
      <c r="H683" s="0" t="n">
        <v>46</v>
      </c>
      <c r="I683" s="70" t="n">
        <v>63.7</v>
      </c>
      <c r="J683" s="70" t="n">
        <v>35.43</v>
      </c>
      <c r="K683" s="70" t="n">
        <f aca="false">IF(ISTEXT(H683),VALUE(H683),H683)*I683</f>
        <v>2930.2</v>
      </c>
    </row>
    <row r="684" customFormat="false" ht="15" hidden="false" customHeight="false" outlineLevel="0" collapsed="false">
      <c r="A684" s="0" t="n">
        <v>1439</v>
      </c>
      <c r="B684" s="68" t="n">
        <v>45719</v>
      </c>
      <c r="C684" s="69" t="s">
        <v>27</v>
      </c>
      <c r="D684" s="69"/>
      <c r="E684" s="69" t="s">
        <v>134</v>
      </c>
      <c r="F684" s="69" t="s">
        <v>182</v>
      </c>
      <c r="G684" s="69" t="s">
        <v>94</v>
      </c>
      <c r="H684" s="0" t="n">
        <v>31</v>
      </c>
      <c r="I684" s="70" t="n">
        <v>34.78</v>
      </c>
      <c r="J684" s="70" t="n">
        <v>18.39</v>
      </c>
      <c r="K684" s="70" t="n">
        <f aca="false">IF(ISTEXT(H684),VALUE(H684),H684)*I684</f>
        <v>1078.18</v>
      </c>
    </row>
    <row r="685" customFormat="false" ht="15" hidden="false" customHeight="false" outlineLevel="0" collapsed="false">
      <c r="A685" s="0" t="n">
        <v>1658</v>
      </c>
      <c r="B685" s="68" t="n">
        <v>45801</v>
      </c>
      <c r="C685" s="69" t="s">
        <v>30</v>
      </c>
      <c r="D685" s="69" t="s">
        <v>109</v>
      </c>
      <c r="E685" s="69" t="s">
        <v>119</v>
      </c>
      <c r="F685" s="69" t="s">
        <v>33</v>
      </c>
      <c r="G685" s="69" t="s">
        <v>52</v>
      </c>
      <c r="H685" s="0" t="n">
        <v>18</v>
      </c>
      <c r="I685" s="70" t="n">
        <v>129.17</v>
      </c>
      <c r="J685" s="70" t="n">
        <v>78.33</v>
      </c>
      <c r="K685" s="70" t="n">
        <f aca="false">IF(ISTEXT(H685),VALUE(H685),H685)*I685</f>
        <v>2325.06</v>
      </c>
    </row>
    <row r="686" customFormat="false" ht="15" hidden="false" customHeight="false" outlineLevel="0" collapsed="false">
      <c r="A686" s="0" t="n">
        <v>2241</v>
      </c>
      <c r="B686" s="68" t="n">
        <v>45962</v>
      </c>
      <c r="C686" s="69" t="s">
        <v>30</v>
      </c>
      <c r="D686" s="69" t="s">
        <v>109</v>
      </c>
      <c r="E686" s="69" t="s">
        <v>110</v>
      </c>
      <c r="F686" s="69" t="s">
        <v>147</v>
      </c>
      <c r="G686" s="69" t="s">
        <v>154</v>
      </c>
      <c r="H686" s="0" t="n">
        <v>9</v>
      </c>
      <c r="I686" s="70" t="n">
        <v>1204.74</v>
      </c>
      <c r="J686" s="70" t="n">
        <v>766.32</v>
      </c>
      <c r="K686" s="70" t="n">
        <f aca="false">IF(ISTEXT(H686),VALUE(H686),H686)*I686</f>
        <v>10842.66</v>
      </c>
    </row>
    <row r="687" customFormat="false" ht="15" hidden="false" customHeight="false" outlineLevel="0" collapsed="false">
      <c r="A687" s="0" t="n">
        <v>2150</v>
      </c>
      <c r="B687" s="68" t="n">
        <v>45942</v>
      </c>
      <c r="C687" s="69" t="s">
        <v>118</v>
      </c>
      <c r="D687" s="69" t="s">
        <v>109</v>
      </c>
      <c r="E687" s="69" t="s">
        <v>119</v>
      </c>
      <c r="F687" s="69" t="s">
        <v>143</v>
      </c>
      <c r="G687" s="69" t="s">
        <v>235</v>
      </c>
      <c r="H687" s="0" t="n">
        <v>26</v>
      </c>
      <c r="I687" s="70" t="n">
        <v>95.38</v>
      </c>
      <c r="J687" s="70" t="n">
        <v>49.41</v>
      </c>
      <c r="K687" s="70" t="n">
        <f aca="false">IF(ISTEXT(H687),VALUE(H687),H687)*I687</f>
        <v>2479.88</v>
      </c>
    </row>
    <row r="688" customFormat="false" ht="15" hidden="false" customHeight="false" outlineLevel="0" collapsed="false">
      <c r="A688" s="0" t="n">
        <v>829</v>
      </c>
      <c r="B688" s="69" t="s">
        <v>419</v>
      </c>
      <c r="C688" s="69" t="s">
        <v>91</v>
      </c>
      <c r="D688" s="69"/>
      <c r="E688" s="69" t="s">
        <v>110</v>
      </c>
      <c r="F688" s="69" t="s">
        <v>99</v>
      </c>
      <c r="G688" s="69" t="s">
        <v>172</v>
      </c>
      <c r="H688" s="0" t="s">
        <v>420</v>
      </c>
      <c r="I688" s="70" t="n">
        <v>93.1</v>
      </c>
      <c r="J688" s="70" t="n">
        <v>47.98</v>
      </c>
      <c r="K688" s="70" t="n">
        <f aca="false">IF(ISTEXT(H688),VALUE(H688),H688)*I688</f>
        <v>5120.5</v>
      </c>
    </row>
    <row r="689" customFormat="false" ht="15" hidden="false" customHeight="false" outlineLevel="0" collapsed="false">
      <c r="A689" s="0" t="n">
        <v>1735</v>
      </c>
      <c r="B689" s="68" t="n">
        <v>45831</v>
      </c>
      <c r="C689" s="69" t="s">
        <v>120</v>
      </c>
      <c r="D689" s="69" t="s">
        <v>86</v>
      </c>
      <c r="E689" s="69" t="s">
        <v>101</v>
      </c>
      <c r="F689" s="69" t="s">
        <v>166</v>
      </c>
      <c r="G689" s="69" t="s">
        <v>51</v>
      </c>
      <c r="H689" s="0" t="n">
        <v>30</v>
      </c>
      <c r="I689" s="70" t="n">
        <v>84.46</v>
      </c>
      <c r="J689" s="70" t="n">
        <v>49.47</v>
      </c>
      <c r="K689" s="70" t="n">
        <f aca="false">IF(ISTEXT(H689),VALUE(H689),H689)*I689</f>
        <v>2533.8</v>
      </c>
    </row>
    <row r="690" customFormat="false" ht="15" hidden="false" customHeight="false" outlineLevel="0" collapsed="false">
      <c r="A690" s="0" t="n">
        <v>660</v>
      </c>
      <c r="B690" s="68" t="n">
        <v>45477</v>
      </c>
      <c r="C690" s="69" t="s">
        <v>118</v>
      </c>
      <c r="D690" s="69" t="s">
        <v>109</v>
      </c>
      <c r="E690" s="69" t="s">
        <v>107</v>
      </c>
      <c r="F690" s="69" t="s">
        <v>168</v>
      </c>
      <c r="G690" s="69" t="s">
        <v>94</v>
      </c>
      <c r="H690" s="0" t="n">
        <v>12</v>
      </c>
      <c r="I690" s="70" t="n">
        <v>34.3</v>
      </c>
      <c r="J690" s="70" t="n">
        <v>17.85</v>
      </c>
      <c r="K690" s="70" t="n">
        <f aca="false">IF(ISTEXT(H690),VALUE(H690),H690)*I690</f>
        <v>411.6</v>
      </c>
    </row>
    <row r="691" customFormat="false" ht="15" hidden="false" customHeight="false" outlineLevel="0" collapsed="false">
      <c r="A691" s="0" t="n">
        <v>400</v>
      </c>
      <c r="B691" s="68" t="n">
        <v>45402</v>
      </c>
      <c r="C691" s="69" t="s">
        <v>34</v>
      </c>
      <c r="D691" s="69" t="s">
        <v>112</v>
      </c>
      <c r="E691" s="69" t="s">
        <v>107</v>
      </c>
      <c r="F691" s="69" t="s">
        <v>182</v>
      </c>
      <c r="G691" s="69" t="s">
        <v>94</v>
      </c>
      <c r="H691" s="0" t="n">
        <v>5</v>
      </c>
      <c r="I691" s="70" t="n">
        <v>34.3</v>
      </c>
      <c r="J691" s="70" t="n">
        <v>17.85</v>
      </c>
      <c r="K691" s="70" t="n">
        <f aca="false">IF(ISTEXT(H691),VALUE(H691),H691)*I691</f>
        <v>171.5</v>
      </c>
    </row>
    <row r="692" customFormat="false" ht="15" hidden="false" customHeight="false" outlineLevel="0" collapsed="false">
      <c r="A692" s="0" t="n">
        <v>666</v>
      </c>
      <c r="B692" s="69" t="s">
        <v>421</v>
      </c>
      <c r="C692" s="69" t="s">
        <v>193</v>
      </c>
      <c r="D692" s="69" t="s">
        <v>137</v>
      </c>
      <c r="E692" s="69" t="s">
        <v>119</v>
      </c>
      <c r="F692" s="69" t="s">
        <v>135</v>
      </c>
      <c r="G692" s="69" t="s">
        <v>157</v>
      </c>
      <c r="H692" s="0" t="n">
        <v>3</v>
      </c>
      <c r="I692" s="70" t="n">
        <v>1617</v>
      </c>
      <c r="J692" s="70" t="n">
        <v>1122</v>
      </c>
      <c r="K692" s="70" t="n">
        <f aca="false">IF(ISTEXT(H692),VALUE(H692),H692)*I692</f>
        <v>4851</v>
      </c>
    </row>
    <row r="693" customFormat="false" ht="15" hidden="false" customHeight="false" outlineLevel="0" collapsed="false">
      <c r="A693" s="0" t="n">
        <v>2071</v>
      </c>
      <c r="B693" s="69" t="s">
        <v>264</v>
      </c>
      <c r="C693" s="69" t="s">
        <v>184</v>
      </c>
      <c r="D693" s="69" t="s">
        <v>137</v>
      </c>
      <c r="E693" s="69" t="s">
        <v>134</v>
      </c>
      <c r="F693" s="69" t="s">
        <v>143</v>
      </c>
      <c r="G693" s="69" t="s">
        <v>49</v>
      </c>
      <c r="H693" s="0" t="n">
        <v>30</v>
      </c>
      <c r="I693" s="70" t="n">
        <v>65.26</v>
      </c>
      <c r="J693" s="70" t="n">
        <v>36.49</v>
      </c>
      <c r="K693" s="70" t="n">
        <f aca="false">IF(ISTEXT(H693),VALUE(H693),H693)*I693</f>
        <v>1957.8</v>
      </c>
    </row>
    <row r="694" customFormat="false" ht="15" hidden="false" customHeight="false" outlineLevel="0" collapsed="false">
      <c r="A694" s="0" t="n">
        <v>1423</v>
      </c>
      <c r="B694" s="69" t="s">
        <v>422</v>
      </c>
      <c r="C694" s="69" t="s">
        <v>91</v>
      </c>
      <c r="D694" s="69" t="s">
        <v>86</v>
      </c>
      <c r="E694" s="69" t="s">
        <v>92</v>
      </c>
      <c r="F694" s="69" t="s">
        <v>139</v>
      </c>
      <c r="G694" s="69" t="s">
        <v>177</v>
      </c>
      <c r="H694" s="0" t="n">
        <v>11</v>
      </c>
      <c r="I694" s="70" t="n">
        <v>433.15</v>
      </c>
      <c r="J694" s="70" t="n">
        <v>280.42</v>
      </c>
      <c r="K694" s="70" t="n">
        <f aca="false">IF(ISTEXT(H694),VALUE(H694),H694)*I694</f>
        <v>4764.65</v>
      </c>
    </row>
    <row r="695" customFormat="false" ht="15" hidden="false" customHeight="false" outlineLevel="0" collapsed="false">
      <c r="A695" s="0" t="n">
        <v>491</v>
      </c>
      <c r="B695" s="68" t="n">
        <v>45421</v>
      </c>
      <c r="C695" s="69" t="s">
        <v>142</v>
      </c>
      <c r="D695" s="69" t="s">
        <v>112</v>
      </c>
      <c r="E695" s="69" t="s">
        <v>92</v>
      </c>
      <c r="F695" s="69" t="s">
        <v>155</v>
      </c>
      <c r="G695" s="69" t="s">
        <v>208</v>
      </c>
      <c r="H695" s="0" t="s">
        <v>423</v>
      </c>
      <c r="I695" s="70" t="n">
        <v>63.7</v>
      </c>
      <c r="J695" s="70" t="n">
        <v>35.43</v>
      </c>
      <c r="K695" s="70" t="n">
        <f aca="false">IF(ISTEXT(H695),VALUE(H695),H695)*I695</f>
        <v>2229.5</v>
      </c>
    </row>
    <row r="696" customFormat="false" ht="15" hidden="false" customHeight="false" outlineLevel="0" collapsed="false">
      <c r="A696" s="0" t="n">
        <v>1280</v>
      </c>
      <c r="B696" s="68" t="n">
        <v>45681</v>
      </c>
      <c r="C696" s="69" t="s">
        <v>32</v>
      </c>
      <c r="D696" s="69" t="s">
        <v>137</v>
      </c>
      <c r="E696" s="69" t="s">
        <v>107</v>
      </c>
      <c r="F696" s="69" t="s">
        <v>93</v>
      </c>
      <c r="G696" s="69" t="s">
        <v>217</v>
      </c>
      <c r="H696" s="0" t="n">
        <v>10</v>
      </c>
      <c r="I696" s="70" t="n">
        <v>34.78</v>
      </c>
      <c r="J696" s="70" t="n">
        <v>18.39</v>
      </c>
      <c r="K696" s="70" t="n">
        <f aca="false">IF(ISTEXT(H696),VALUE(H696),H696)*I696</f>
        <v>347.8</v>
      </c>
    </row>
    <row r="697" customFormat="false" ht="15" hidden="false" customHeight="false" outlineLevel="0" collapsed="false">
      <c r="A697" s="0" t="n">
        <v>210</v>
      </c>
      <c r="B697" s="68" t="n">
        <v>45364</v>
      </c>
      <c r="C697" s="69" t="s">
        <v>124</v>
      </c>
      <c r="D697" s="69" t="s">
        <v>97</v>
      </c>
      <c r="E697" s="69" t="s">
        <v>107</v>
      </c>
      <c r="F697" s="69" t="s">
        <v>102</v>
      </c>
      <c r="G697" s="69" t="s">
        <v>235</v>
      </c>
      <c r="H697" s="0" t="n">
        <v>31</v>
      </c>
      <c r="I697" s="70" t="n">
        <v>93.1</v>
      </c>
      <c r="J697" s="70" t="n">
        <v>47.98</v>
      </c>
      <c r="K697" s="70" t="n">
        <f aca="false">IF(ISTEXT(H697),VALUE(H697),H697)*I697</f>
        <v>2886.1</v>
      </c>
    </row>
    <row r="698" customFormat="false" ht="15" hidden="false" customHeight="false" outlineLevel="0" collapsed="false">
      <c r="A698" s="0" t="n">
        <v>754</v>
      </c>
      <c r="B698" s="69" t="s">
        <v>424</v>
      </c>
      <c r="C698" s="69" t="s">
        <v>30</v>
      </c>
      <c r="D698" s="69" t="s">
        <v>109</v>
      </c>
      <c r="E698" s="69" t="s">
        <v>87</v>
      </c>
      <c r="F698" s="69" t="s">
        <v>31</v>
      </c>
      <c r="G698" s="69" t="s">
        <v>171</v>
      </c>
      <c r="H698" s="0" t="n">
        <v>7</v>
      </c>
      <c r="I698" s="70" t="n">
        <v>117.6</v>
      </c>
      <c r="J698" s="70" t="n">
        <v>63.6</v>
      </c>
      <c r="K698" s="70" t="n">
        <f aca="false">IF(ISTEXT(H698),VALUE(H698),H698)*I698</f>
        <v>823.2</v>
      </c>
    </row>
    <row r="699" customFormat="false" ht="15" hidden="false" customHeight="false" outlineLevel="0" collapsed="false">
      <c r="A699" s="0" t="n">
        <v>449</v>
      </c>
      <c r="B699" s="68" t="n">
        <v>45424</v>
      </c>
      <c r="C699" s="69" t="s">
        <v>30</v>
      </c>
      <c r="D699" s="69" t="s">
        <v>109</v>
      </c>
      <c r="E699" s="69" t="s">
        <v>92</v>
      </c>
      <c r="F699" s="69" t="s">
        <v>143</v>
      </c>
      <c r="G699" s="69" t="s">
        <v>172</v>
      </c>
      <c r="H699" s="0" t="n">
        <v>38</v>
      </c>
      <c r="I699" s="70" t="n">
        <v>93.1</v>
      </c>
      <c r="J699" s="70" t="n">
        <v>47.98</v>
      </c>
      <c r="K699" s="70" t="n">
        <f aca="false">IF(ISTEXT(H699),VALUE(H699),H699)*I699</f>
        <v>3537.8</v>
      </c>
    </row>
    <row r="700" customFormat="false" ht="15" hidden="false" customHeight="false" outlineLevel="0" collapsed="false">
      <c r="A700" s="0" t="n">
        <v>580</v>
      </c>
      <c r="B700" s="69" t="s">
        <v>425</v>
      </c>
      <c r="C700" s="69" t="s">
        <v>193</v>
      </c>
      <c r="D700" s="69" t="s">
        <v>137</v>
      </c>
      <c r="E700" s="69" t="s">
        <v>119</v>
      </c>
      <c r="F700" s="69" t="s">
        <v>183</v>
      </c>
      <c r="G700" s="69" t="s">
        <v>94</v>
      </c>
      <c r="H700" s="0" t="n">
        <v>7</v>
      </c>
      <c r="I700" s="70" t="n">
        <v>34.3</v>
      </c>
      <c r="J700" s="70" t="n">
        <v>17.85</v>
      </c>
      <c r="K700" s="70" t="n">
        <f aca="false">IF(ISTEXT(H700),VALUE(H700),H700)*I700</f>
        <v>240.1</v>
      </c>
    </row>
    <row r="701" customFormat="false" ht="15" hidden="false" customHeight="false" outlineLevel="0" collapsed="false">
      <c r="A701" s="0" t="n">
        <v>1183</v>
      </c>
      <c r="B701" s="69" t="s">
        <v>426</v>
      </c>
      <c r="C701" s="69" t="s">
        <v>133</v>
      </c>
      <c r="D701" s="69" t="s">
        <v>112</v>
      </c>
      <c r="E701" s="69" t="s">
        <v>92</v>
      </c>
      <c r="F701" s="69" t="s">
        <v>153</v>
      </c>
      <c r="G701" s="69" t="s">
        <v>43</v>
      </c>
      <c r="H701" s="0" t="n">
        <v>9</v>
      </c>
      <c r="I701" s="70" t="n">
        <v>441</v>
      </c>
      <c r="J701" s="70" t="n">
        <v>272.25</v>
      </c>
      <c r="K701" s="70" t="n">
        <f aca="false">IF(ISTEXT(H701),VALUE(H701),H701)*I701</f>
        <v>3969</v>
      </c>
    </row>
    <row r="702" customFormat="false" ht="15" hidden="false" customHeight="false" outlineLevel="0" collapsed="false">
      <c r="A702" s="0" t="n">
        <v>1075</v>
      </c>
      <c r="B702" s="69" t="s">
        <v>427</v>
      </c>
      <c r="C702" s="69" t="s">
        <v>32</v>
      </c>
      <c r="D702" s="69" t="s">
        <v>137</v>
      </c>
      <c r="E702" s="69" t="s">
        <v>110</v>
      </c>
      <c r="F702" s="69" t="s">
        <v>162</v>
      </c>
      <c r="G702" s="69" t="s">
        <v>111</v>
      </c>
      <c r="H702" s="0" t="n">
        <v>17</v>
      </c>
      <c r="I702" s="70" t="n">
        <v>83.3</v>
      </c>
      <c r="J702" s="70" t="n">
        <v>48.03</v>
      </c>
      <c r="K702" s="70" t="n">
        <f aca="false">IF(ISTEXT(H702),VALUE(H702),H702)*I702</f>
        <v>1416.1</v>
      </c>
    </row>
    <row r="703" customFormat="false" ht="15" hidden="false" customHeight="false" outlineLevel="0" collapsed="false">
      <c r="A703" s="0" t="n">
        <v>862</v>
      </c>
      <c r="B703" s="69" t="s">
        <v>428</v>
      </c>
      <c r="C703" s="69" t="s">
        <v>184</v>
      </c>
      <c r="D703" s="69" t="s">
        <v>137</v>
      </c>
      <c r="E703" s="69" t="s">
        <v>98</v>
      </c>
      <c r="F703" s="69" t="s">
        <v>139</v>
      </c>
      <c r="G703" s="69" t="s">
        <v>41</v>
      </c>
      <c r="H703" s="0" t="n">
        <v>2</v>
      </c>
      <c r="I703" s="70" t="n">
        <v>1176</v>
      </c>
      <c r="J703" s="70" t="n">
        <v>744</v>
      </c>
      <c r="K703" s="70" t="n">
        <f aca="false">IF(ISTEXT(H703),VALUE(H703),H703)*I703</f>
        <v>2352</v>
      </c>
    </row>
    <row r="704" customFormat="false" ht="15" hidden="false" customHeight="false" outlineLevel="0" collapsed="false">
      <c r="A704" s="0" t="n">
        <v>761</v>
      </c>
      <c r="B704" s="68" t="n">
        <v>45513</v>
      </c>
      <c r="C704" s="69" t="s">
        <v>136</v>
      </c>
      <c r="D704" s="69" t="s">
        <v>137</v>
      </c>
      <c r="E704" s="69" t="s">
        <v>134</v>
      </c>
      <c r="F704" s="69" t="s">
        <v>26</v>
      </c>
      <c r="G704" s="69" t="s">
        <v>151</v>
      </c>
      <c r="H704" s="0" t="n">
        <v>7</v>
      </c>
      <c r="I704" s="70" t="n">
        <v>1176</v>
      </c>
      <c r="J704" s="70" t="n">
        <v>744</v>
      </c>
      <c r="K704" s="70" t="n">
        <f aca="false">IF(ISTEXT(H704),VALUE(H704),H704)*I704</f>
        <v>8232</v>
      </c>
    </row>
    <row r="705" customFormat="false" ht="15" hidden="false" customHeight="false" outlineLevel="0" collapsed="false">
      <c r="A705" s="0" t="n">
        <v>1973</v>
      </c>
      <c r="B705" s="68" t="n">
        <v>45884</v>
      </c>
      <c r="C705" s="69" t="s">
        <v>32</v>
      </c>
      <c r="D705" s="69" t="s">
        <v>137</v>
      </c>
      <c r="E705" s="69" t="s">
        <v>138</v>
      </c>
      <c r="F705" s="69" t="s">
        <v>115</v>
      </c>
      <c r="G705" s="69" t="s">
        <v>171</v>
      </c>
      <c r="H705" s="0" t="n">
        <v>13</v>
      </c>
      <c r="I705" s="70" t="n">
        <v>120.47</v>
      </c>
      <c r="J705" s="70" t="n">
        <v>65.51</v>
      </c>
      <c r="K705" s="70" t="n">
        <f aca="false">IF(ISTEXT(H705),VALUE(H705),H705)*I705</f>
        <v>1566.11</v>
      </c>
    </row>
    <row r="706" customFormat="false" ht="15" hidden="false" customHeight="false" outlineLevel="0" collapsed="false">
      <c r="A706" s="0" t="n">
        <v>1756</v>
      </c>
      <c r="B706" s="68" t="n">
        <v>45816</v>
      </c>
      <c r="C706" s="69" t="s">
        <v>152</v>
      </c>
      <c r="D706" s="69" t="s">
        <v>109</v>
      </c>
      <c r="E706" s="69" t="s">
        <v>98</v>
      </c>
      <c r="F706" s="69" t="s">
        <v>162</v>
      </c>
      <c r="G706" s="69" t="s">
        <v>51</v>
      </c>
      <c r="H706" s="0" t="n">
        <v>14</v>
      </c>
      <c r="I706" s="70" t="n">
        <v>84.46</v>
      </c>
      <c r="J706" s="70" t="n">
        <v>49.47</v>
      </c>
      <c r="K706" s="70" t="n">
        <f aca="false">IF(ISTEXT(H706),VALUE(H706),H706)*I706</f>
        <v>1182.44</v>
      </c>
    </row>
    <row r="707" customFormat="false" ht="15" hidden="false" customHeight="false" outlineLevel="0" collapsed="false">
      <c r="A707" s="0" t="n">
        <v>1957</v>
      </c>
      <c r="B707" s="69" t="s">
        <v>429</v>
      </c>
      <c r="C707" s="69" t="s">
        <v>152</v>
      </c>
      <c r="D707" s="69"/>
      <c r="E707" s="69" t="s">
        <v>138</v>
      </c>
      <c r="F707" s="69" t="s">
        <v>168</v>
      </c>
      <c r="G707" s="69" t="s">
        <v>52</v>
      </c>
      <c r="H707" s="0" t="n">
        <v>20</v>
      </c>
      <c r="I707" s="70" t="n">
        <v>130.51</v>
      </c>
      <c r="J707" s="70" t="n">
        <v>78.33</v>
      </c>
      <c r="K707" s="70" t="n">
        <f aca="false">IF(ISTEXT(H707),VALUE(H707),H707)*I707</f>
        <v>2610.2</v>
      </c>
    </row>
    <row r="708" customFormat="false" ht="15" hidden="false" customHeight="false" outlineLevel="0" collapsed="false">
      <c r="A708" s="0" t="n">
        <v>2171</v>
      </c>
      <c r="B708" s="69" t="s">
        <v>430</v>
      </c>
      <c r="C708" s="69" t="s">
        <v>32</v>
      </c>
      <c r="D708" s="69" t="s">
        <v>137</v>
      </c>
      <c r="E708" s="69" t="s">
        <v>101</v>
      </c>
      <c r="F708" s="69" t="s">
        <v>28</v>
      </c>
      <c r="G708" s="69" t="s">
        <v>49</v>
      </c>
      <c r="H708" s="0" t="s">
        <v>431</v>
      </c>
      <c r="I708" s="70" t="n">
        <v>65.26</v>
      </c>
      <c r="J708" s="70" t="n">
        <v>36.49</v>
      </c>
      <c r="K708" s="70" t="n">
        <f aca="false">IF(ISTEXT(H708),VALUE(H708),H708)*I708</f>
        <v>2349.36</v>
      </c>
    </row>
    <row r="709" customFormat="false" ht="15" hidden="false" customHeight="false" outlineLevel="0" collapsed="false">
      <c r="A709" s="0" t="n">
        <v>696</v>
      </c>
      <c r="B709" s="68" t="n">
        <v>45486</v>
      </c>
      <c r="C709" s="69" t="s">
        <v>133</v>
      </c>
      <c r="D709" s="69" t="s">
        <v>112</v>
      </c>
      <c r="E709" s="69" t="s">
        <v>107</v>
      </c>
      <c r="F709" s="69" t="s">
        <v>31</v>
      </c>
      <c r="G709" s="69" t="s">
        <v>111</v>
      </c>
      <c r="H709" s="0" t="n">
        <v>6</v>
      </c>
      <c r="I709" s="70" t="n">
        <v>83.3</v>
      </c>
      <c r="J709" s="70" t="n">
        <v>48.03</v>
      </c>
      <c r="K709" s="70" t="n">
        <f aca="false">IF(ISTEXT(H709),VALUE(H709),H709)*I709</f>
        <v>499.8</v>
      </c>
    </row>
    <row r="710" customFormat="false" ht="15" hidden="false" customHeight="false" outlineLevel="0" collapsed="false">
      <c r="A710" s="0" t="n">
        <v>1322</v>
      </c>
      <c r="B710" s="68" t="n">
        <v>45709</v>
      </c>
      <c r="C710" s="69" t="s">
        <v>159</v>
      </c>
      <c r="D710" s="69"/>
      <c r="E710" s="69" t="s">
        <v>119</v>
      </c>
      <c r="F710" s="69" t="s">
        <v>153</v>
      </c>
      <c r="G710" s="69" t="s">
        <v>154</v>
      </c>
      <c r="H710" s="0" t="n">
        <v>6</v>
      </c>
      <c r="I710" s="70" t="n">
        <v>1155.06</v>
      </c>
      <c r="J710" s="70" t="n">
        <v>766.32</v>
      </c>
      <c r="K710" s="70" t="n">
        <f aca="false">IF(ISTEXT(H710),VALUE(H710),H710)*I710</f>
        <v>6930.36</v>
      </c>
    </row>
    <row r="711" customFormat="false" ht="15" hidden="false" customHeight="false" outlineLevel="0" collapsed="false">
      <c r="A711" s="0" t="n">
        <v>1645</v>
      </c>
      <c r="B711" s="69" t="s">
        <v>432</v>
      </c>
      <c r="C711" s="69" t="s">
        <v>30</v>
      </c>
      <c r="D711" s="69" t="s">
        <v>109</v>
      </c>
      <c r="E711" s="69" t="s">
        <v>101</v>
      </c>
      <c r="F711" s="69" t="s">
        <v>26</v>
      </c>
      <c r="G711" s="69" t="s">
        <v>45</v>
      </c>
      <c r="H711" s="0" t="n">
        <v>9</v>
      </c>
      <c r="I711" s="70" t="n">
        <v>1588.21</v>
      </c>
      <c r="J711" s="70" t="n">
        <v>1155.66</v>
      </c>
      <c r="K711" s="70" t="n">
        <f aca="false">IF(ISTEXT(H711),VALUE(H711),H711)*I711</f>
        <v>14293.89</v>
      </c>
    </row>
    <row r="712" customFormat="false" ht="15" hidden="false" customHeight="false" outlineLevel="0" collapsed="false">
      <c r="A712" s="0" t="n">
        <v>728</v>
      </c>
      <c r="B712" s="68" t="n">
        <v>45525</v>
      </c>
      <c r="C712" s="69" t="s">
        <v>91</v>
      </c>
      <c r="D712" s="69" t="s">
        <v>86</v>
      </c>
      <c r="E712" s="69" t="s">
        <v>98</v>
      </c>
      <c r="F712" s="69" t="s">
        <v>28</v>
      </c>
      <c r="G712" s="69" t="s">
        <v>47</v>
      </c>
      <c r="H712" s="0" t="n">
        <v>25</v>
      </c>
      <c r="I712" s="70" t="n">
        <v>27.44</v>
      </c>
      <c r="J712" s="70" t="n">
        <v>13.44</v>
      </c>
      <c r="K712" s="70" t="n">
        <f aca="false">IF(ISTEXT(H712),VALUE(H712),H712)*I712</f>
        <v>686</v>
      </c>
    </row>
    <row r="713" customFormat="false" ht="15" hidden="false" customHeight="false" outlineLevel="0" collapsed="false">
      <c r="A713" s="0" t="n">
        <v>1970</v>
      </c>
      <c r="B713" s="68" t="n">
        <v>45890</v>
      </c>
      <c r="C713" s="69" t="s">
        <v>193</v>
      </c>
      <c r="D713" s="69" t="s">
        <v>137</v>
      </c>
      <c r="E713" s="69" t="s">
        <v>107</v>
      </c>
      <c r="F713" s="69" t="s">
        <v>102</v>
      </c>
      <c r="G713" s="69" t="s">
        <v>172</v>
      </c>
      <c r="H713" s="0" t="n">
        <v>20</v>
      </c>
      <c r="I713" s="70" t="n">
        <v>95.38</v>
      </c>
      <c r="J713" s="70" t="n">
        <v>49.41</v>
      </c>
      <c r="K713" s="70" t="n">
        <f aca="false">IF(ISTEXT(H713),VALUE(H713),H713)*I713</f>
        <v>1907.6</v>
      </c>
    </row>
    <row r="714" customFormat="false" ht="15" hidden="false" customHeight="false" outlineLevel="0" collapsed="false">
      <c r="A714" s="0" t="n">
        <v>1091</v>
      </c>
      <c r="B714" s="68" t="n">
        <v>45620</v>
      </c>
      <c r="C714" s="69" t="s">
        <v>34</v>
      </c>
      <c r="D714" s="69" t="s">
        <v>112</v>
      </c>
      <c r="E714" s="69" t="s">
        <v>121</v>
      </c>
      <c r="F714" s="69" t="s">
        <v>102</v>
      </c>
      <c r="G714" s="69" t="s">
        <v>208</v>
      </c>
      <c r="H714" s="0" t="n">
        <v>33</v>
      </c>
      <c r="I714" s="70" t="n">
        <v>63.7</v>
      </c>
      <c r="J714" s="70" t="n">
        <v>35.43</v>
      </c>
      <c r="K714" s="70" t="n">
        <f aca="false">IF(ISTEXT(H714),VALUE(H714),H714)*I714</f>
        <v>2102.1</v>
      </c>
    </row>
    <row r="715" customFormat="false" ht="15" hidden="false" customHeight="false" outlineLevel="0" collapsed="false">
      <c r="A715" s="0" t="n">
        <v>1937</v>
      </c>
      <c r="B715" s="69" t="s">
        <v>433</v>
      </c>
      <c r="C715" s="69" t="s">
        <v>91</v>
      </c>
      <c r="D715" s="69" t="s">
        <v>86</v>
      </c>
      <c r="E715" s="69" t="s">
        <v>121</v>
      </c>
      <c r="F715" s="69" t="s">
        <v>93</v>
      </c>
      <c r="G715" s="69" t="s">
        <v>127</v>
      </c>
      <c r="H715" s="0" t="n">
        <v>34</v>
      </c>
      <c r="I715" s="70" t="n">
        <v>130.51</v>
      </c>
      <c r="J715" s="70" t="n">
        <v>78.33</v>
      </c>
      <c r="K715" s="70" t="n">
        <f aca="false">IF(ISTEXT(H715),VALUE(H715),H715)*I715</f>
        <v>4437.34</v>
      </c>
    </row>
    <row r="716" customFormat="false" ht="15" hidden="false" customHeight="false" outlineLevel="0" collapsed="false">
      <c r="A716" s="0" t="n">
        <v>1175</v>
      </c>
      <c r="B716" s="68" t="n">
        <v>45644</v>
      </c>
      <c r="C716" s="69" t="s">
        <v>184</v>
      </c>
      <c r="D716" s="69" t="s">
        <v>137</v>
      </c>
      <c r="E716" s="69" t="s">
        <v>110</v>
      </c>
      <c r="F716" s="69" t="s">
        <v>162</v>
      </c>
      <c r="G716" s="69" t="s">
        <v>111</v>
      </c>
      <c r="H716" s="0" t="n">
        <v>21</v>
      </c>
      <c r="I716" s="70" t="n">
        <v>83.3</v>
      </c>
      <c r="J716" s="70" t="n">
        <v>48.03</v>
      </c>
      <c r="K716" s="70" t="n">
        <f aca="false">IF(ISTEXT(H716),VALUE(H716),H716)*I716</f>
        <v>1749.3</v>
      </c>
    </row>
    <row r="717" customFormat="false" ht="15" hidden="false" customHeight="false" outlineLevel="0" collapsed="false">
      <c r="A717" s="0" t="n">
        <v>1048</v>
      </c>
      <c r="B717" s="68" t="n">
        <v>45616</v>
      </c>
      <c r="C717" s="69" t="s">
        <v>118</v>
      </c>
      <c r="D717" s="69" t="s">
        <v>109</v>
      </c>
      <c r="E717" s="69" t="s">
        <v>180</v>
      </c>
      <c r="F717" s="69" t="s">
        <v>28</v>
      </c>
      <c r="G717" s="69" t="s">
        <v>103</v>
      </c>
      <c r="H717" s="0" t="s">
        <v>284</v>
      </c>
      <c r="I717" s="70" t="n">
        <v>27.44</v>
      </c>
      <c r="J717" s="70" t="n">
        <v>13.44</v>
      </c>
      <c r="K717" s="70" t="n">
        <f aca="false">IF(ISTEXT(H717),VALUE(H717),H717)*I717</f>
        <v>521.36</v>
      </c>
    </row>
    <row r="718" customFormat="false" ht="15" hidden="false" customHeight="false" outlineLevel="0" collapsed="false">
      <c r="A718" s="0" t="n">
        <v>1611</v>
      </c>
      <c r="B718" s="68" t="n">
        <v>45796</v>
      </c>
      <c r="C718" s="69" t="s">
        <v>25</v>
      </c>
      <c r="D718" s="69"/>
      <c r="E718" s="69" t="s">
        <v>121</v>
      </c>
      <c r="F718" s="69" t="s">
        <v>28</v>
      </c>
      <c r="G718" s="69" t="s">
        <v>49</v>
      </c>
      <c r="H718" s="0" t="n">
        <v>77</v>
      </c>
      <c r="I718" s="70" t="n">
        <v>64.58</v>
      </c>
      <c r="J718" s="70" t="n">
        <v>36.49</v>
      </c>
      <c r="K718" s="70" t="n">
        <f aca="false">IF(ISTEXT(H718),VALUE(H718),H718)*I718</f>
        <v>4972.66</v>
      </c>
    </row>
    <row r="719" customFormat="false" ht="15" hidden="false" customHeight="false" outlineLevel="0" collapsed="false">
      <c r="A719" s="0" t="n">
        <v>983</v>
      </c>
      <c r="B719" s="69" t="s">
        <v>434</v>
      </c>
      <c r="C719" s="69" t="s">
        <v>34</v>
      </c>
      <c r="D719" s="69" t="s">
        <v>112</v>
      </c>
      <c r="E719" s="69" t="s">
        <v>121</v>
      </c>
      <c r="F719" s="69" t="s">
        <v>147</v>
      </c>
      <c r="G719" s="69" t="s">
        <v>43</v>
      </c>
      <c r="H719" s="0" t="n">
        <v>7</v>
      </c>
      <c r="I719" s="70" t="n">
        <v>441</v>
      </c>
      <c r="J719" s="70" t="n">
        <v>272.25</v>
      </c>
      <c r="K719" s="70" t="n">
        <f aca="false">IF(ISTEXT(H719),VALUE(H719),H719)*I719</f>
        <v>3087</v>
      </c>
    </row>
    <row r="720" customFormat="false" ht="15" hidden="false" customHeight="false" outlineLevel="0" collapsed="false">
      <c r="A720" s="0" t="n">
        <v>1308</v>
      </c>
      <c r="B720" s="68" t="n">
        <v>45692</v>
      </c>
      <c r="C720" s="69" t="s">
        <v>124</v>
      </c>
      <c r="D720" s="69" t="s">
        <v>97</v>
      </c>
      <c r="E720" s="69" t="s">
        <v>98</v>
      </c>
      <c r="F720" s="69" t="s">
        <v>28</v>
      </c>
      <c r="G720" s="69" t="s">
        <v>47</v>
      </c>
      <c r="H720" s="0" t="n">
        <v>43</v>
      </c>
      <c r="I720" s="70" t="n">
        <v>27.82</v>
      </c>
      <c r="J720" s="70" t="n">
        <v>13.84</v>
      </c>
      <c r="K720" s="70" t="n">
        <f aca="false">IF(ISTEXT(H720),VALUE(H720),H720)*I720</f>
        <v>1196.26</v>
      </c>
    </row>
    <row r="721" customFormat="false" ht="15" hidden="false" customHeight="false" outlineLevel="0" collapsed="false">
      <c r="A721" s="0" t="n">
        <v>204</v>
      </c>
      <c r="B721" s="68" t="n">
        <v>45376</v>
      </c>
      <c r="C721" s="69" t="s">
        <v>25</v>
      </c>
      <c r="D721" s="69" t="s">
        <v>97</v>
      </c>
      <c r="E721" s="69" t="s">
        <v>87</v>
      </c>
      <c r="F721" s="69" t="s">
        <v>153</v>
      </c>
      <c r="G721" s="69" t="s">
        <v>43</v>
      </c>
      <c r="H721" s="0" t="n">
        <v>8</v>
      </c>
      <c r="I721" s="70" t="n">
        <v>441</v>
      </c>
      <c r="J721" s="70" t="n">
        <v>272.25</v>
      </c>
      <c r="K721" s="70" t="n">
        <f aca="false">IF(ISTEXT(H721),VALUE(H721),H721)*I721</f>
        <v>3528</v>
      </c>
    </row>
    <row r="722" customFormat="false" ht="15" hidden="false" customHeight="false" outlineLevel="0" collapsed="false">
      <c r="A722" s="0" t="n">
        <v>1629</v>
      </c>
      <c r="B722" s="68" t="n">
        <v>45787</v>
      </c>
      <c r="C722" s="69" t="s">
        <v>159</v>
      </c>
      <c r="D722" s="69" t="s">
        <v>86</v>
      </c>
      <c r="E722" s="69" t="s">
        <v>110</v>
      </c>
      <c r="F722" s="69" t="s">
        <v>155</v>
      </c>
      <c r="G722" s="69" t="s">
        <v>172</v>
      </c>
      <c r="H722" s="0" t="n">
        <v>46</v>
      </c>
      <c r="I722" s="70" t="n">
        <v>94.39</v>
      </c>
      <c r="J722" s="70" t="n">
        <v>49.41</v>
      </c>
      <c r="K722" s="70" t="n">
        <f aca="false">IF(ISTEXT(H722),VALUE(H722),H722)*I722</f>
        <v>4341.94</v>
      </c>
    </row>
    <row r="723" customFormat="false" ht="15" hidden="false" customHeight="false" outlineLevel="0" collapsed="false">
      <c r="A723" s="0" t="n">
        <v>177</v>
      </c>
      <c r="B723" s="68" t="n">
        <v>45347</v>
      </c>
      <c r="C723" s="69" t="s">
        <v>136</v>
      </c>
      <c r="D723" s="69" t="s">
        <v>137</v>
      </c>
      <c r="E723" s="69" t="s">
        <v>101</v>
      </c>
      <c r="F723" s="69" t="s">
        <v>168</v>
      </c>
      <c r="G723" s="69" t="s">
        <v>130</v>
      </c>
      <c r="H723" s="0" t="s">
        <v>260</v>
      </c>
      <c r="I723" s="70" t="n">
        <v>127.4</v>
      </c>
      <c r="J723" s="70" t="n">
        <v>76.05</v>
      </c>
      <c r="K723" s="70" t="n">
        <f aca="false">IF(ISTEXT(H723),VALUE(H723),H723)*I723</f>
        <v>1783.6</v>
      </c>
    </row>
    <row r="724" customFormat="false" ht="15" hidden="false" customHeight="false" outlineLevel="0" collapsed="false">
      <c r="A724" s="0" t="n">
        <v>1744</v>
      </c>
      <c r="B724" s="69" t="s">
        <v>435</v>
      </c>
      <c r="C724" s="69" t="s">
        <v>108</v>
      </c>
      <c r="D724" s="69" t="s">
        <v>109</v>
      </c>
      <c r="E724" s="69" t="s">
        <v>180</v>
      </c>
      <c r="F724" s="69" t="s">
        <v>88</v>
      </c>
      <c r="G724" s="69" t="s">
        <v>177</v>
      </c>
      <c r="H724" s="0" t="n">
        <v>6</v>
      </c>
      <c r="I724" s="70" t="n">
        <v>433.15</v>
      </c>
      <c r="J724" s="70" t="n">
        <v>280.42</v>
      </c>
      <c r="K724" s="70" t="n">
        <f aca="false">IF(ISTEXT(H724),VALUE(H724),H724)*I724</f>
        <v>2598.9</v>
      </c>
    </row>
    <row r="725" customFormat="false" ht="15" hidden="false" customHeight="false" outlineLevel="0" collapsed="false">
      <c r="A725" s="0" t="n">
        <v>2319</v>
      </c>
      <c r="B725" s="68" t="n">
        <v>45998</v>
      </c>
      <c r="C725" s="69" t="s">
        <v>150</v>
      </c>
      <c r="D725" s="69" t="s">
        <v>97</v>
      </c>
      <c r="E725" s="69" t="s">
        <v>121</v>
      </c>
      <c r="F725" s="69" t="s">
        <v>182</v>
      </c>
      <c r="G725" s="69" t="s">
        <v>53</v>
      </c>
      <c r="H725" s="0" t="n">
        <v>88</v>
      </c>
      <c r="I725" s="70" t="n">
        <v>35.14</v>
      </c>
      <c r="J725" s="70" t="n">
        <v>18.39</v>
      </c>
      <c r="K725" s="70" t="n">
        <f aca="false">IF(ISTEXT(H725),VALUE(H725),H725)*I725</f>
        <v>3092.32</v>
      </c>
    </row>
    <row r="726" customFormat="false" ht="15" hidden="false" customHeight="false" outlineLevel="0" collapsed="false">
      <c r="A726" s="0" t="n">
        <v>2322</v>
      </c>
      <c r="B726" s="69" t="s">
        <v>436</v>
      </c>
      <c r="C726" s="69" t="s">
        <v>120</v>
      </c>
      <c r="D726" s="69" t="s">
        <v>86</v>
      </c>
      <c r="E726" s="69" t="s">
        <v>87</v>
      </c>
      <c r="F726" s="69" t="s">
        <v>26</v>
      </c>
      <c r="G726" s="69" t="s">
        <v>41</v>
      </c>
      <c r="H726" s="0" t="n">
        <v>12</v>
      </c>
      <c r="I726" s="70" t="n">
        <v>1204.74</v>
      </c>
      <c r="J726" s="70" t="n">
        <v>766.32</v>
      </c>
      <c r="K726" s="70" t="n">
        <f aca="false">IF(ISTEXT(H726),VALUE(H726),H726)*I726</f>
        <v>14456.88</v>
      </c>
    </row>
    <row r="727" customFormat="false" ht="15" hidden="false" customHeight="false" outlineLevel="0" collapsed="false">
      <c r="A727" s="0" t="n">
        <v>425</v>
      </c>
      <c r="B727" s="69" t="s">
        <v>437</v>
      </c>
      <c r="C727" s="69" t="s">
        <v>91</v>
      </c>
      <c r="D727" s="69" t="s">
        <v>86</v>
      </c>
      <c r="E727" s="69" t="s">
        <v>101</v>
      </c>
      <c r="F727" s="69" t="s">
        <v>153</v>
      </c>
      <c r="G727" s="69" t="s">
        <v>157</v>
      </c>
      <c r="H727" s="0" t="n">
        <v>11</v>
      </c>
      <c r="I727" s="70" t="n">
        <v>1617</v>
      </c>
      <c r="J727" s="70" t="n">
        <v>1122</v>
      </c>
      <c r="K727" s="70" t="n">
        <f aca="false">IF(ISTEXT(H727),VALUE(H727),H727)*I727</f>
        <v>17787</v>
      </c>
    </row>
    <row r="728" customFormat="false" ht="15" hidden="false" customHeight="false" outlineLevel="0" collapsed="false">
      <c r="A728" s="0" t="n">
        <v>606</v>
      </c>
      <c r="B728" s="68" t="n">
        <v>45477</v>
      </c>
      <c r="C728" s="69" t="s">
        <v>170</v>
      </c>
      <c r="D728" s="69" t="s">
        <v>97</v>
      </c>
      <c r="E728" s="69" t="s">
        <v>107</v>
      </c>
      <c r="F728" s="69" t="s">
        <v>135</v>
      </c>
      <c r="G728" s="69" t="s">
        <v>157</v>
      </c>
      <c r="H728" s="0" t="n">
        <v>10</v>
      </c>
      <c r="I728" s="70" t="n">
        <v>1617</v>
      </c>
      <c r="J728" s="70" t="n">
        <v>1122</v>
      </c>
      <c r="K728" s="70" t="n">
        <f aca="false">IF(ISTEXT(H728),VALUE(H728),H728)*I728</f>
        <v>16170</v>
      </c>
    </row>
    <row r="729" customFormat="false" ht="15" hidden="false" customHeight="false" outlineLevel="0" collapsed="false">
      <c r="A729" s="0" t="n">
        <v>102</v>
      </c>
      <c r="B729" s="68" t="n">
        <v>45335</v>
      </c>
      <c r="C729" s="69" t="s">
        <v>150</v>
      </c>
      <c r="D729" s="69" t="s">
        <v>97</v>
      </c>
      <c r="E729" s="69" t="s">
        <v>107</v>
      </c>
      <c r="F729" s="69" t="s">
        <v>147</v>
      </c>
      <c r="G729" s="69" t="s">
        <v>151</v>
      </c>
      <c r="H729" s="0" t="n">
        <v>6</v>
      </c>
      <c r="I729" s="70" t="n">
        <v>1176</v>
      </c>
      <c r="J729" s="70" t="n">
        <v>744</v>
      </c>
      <c r="K729" s="70" t="n">
        <f aca="false">IF(ISTEXT(H729),VALUE(H729),H729)*I729</f>
        <v>7056</v>
      </c>
    </row>
    <row r="730" customFormat="false" ht="15" hidden="false" customHeight="false" outlineLevel="0" collapsed="false">
      <c r="A730" s="0" t="n">
        <v>1244</v>
      </c>
      <c r="B730" s="69" t="s">
        <v>438</v>
      </c>
      <c r="C730" s="69" t="s">
        <v>30</v>
      </c>
      <c r="D730" s="69" t="s">
        <v>109</v>
      </c>
      <c r="E730" s="69" t="s">
        <v>98</v>
      </c>
      <c r="F730" s="69" t="s">
        <v>88</v>
      </c>
      <c r="G730" s="69" t="s">
        <v>43</v>
      </c>
      <c r="H730" s="0" t="n">
        <v>5</v>
      </c>
      <c r="I730" s="70" t="n">
        <v>433.15</v>
      </c>
      <c r="J730" s="70" t="n">
        <v>280.42</v>
      </c>
      <c r="K730" s="70" t="n">
        <f aca="false">IF(ISTEXT(H730),VALUE(H730),H730)*I730</f>
        <v>2165.75</v>
      </c>
    </row>
    <row r="731" customFormat="false" ht="15" hidden="false" customHeight="false" outlineLevel="0" collapsed="false">
      <c r="A731" s="0" t="n">
        <v>60</v>
      </c>
      <c r="B731" s="68" t="n">
        <v>45307</v>
      </c>
      <c r="C731" s="69" t="s">
        <v>108</v>
      </c>
      <c r="D731" s="69"/>
      <c r="E731" s="69" t="s">
        <v>107</v>
      </c>
      <c r="F731" s="69" t="s">
        <v>183</v>
      </c>
      <c r="G731" s="69" t="s">
        <v>53</v>
      </c>
      <c r="H731" s="0" t="n">
        <v>8</v>
      </c>
      <c r="I731" s="70" t="n">
        <v>34.3</v>
      </c>
      <c r="J731" s="70" t="n">
        <v>17.85</v>
      </c>
      <c r="K731" s="70" t="n">
        <f aca="false">IF(ISTEXT(H731),VALUE(H731),H731)*I731</f>
        <v>274.4</v>
      </c>
    </row>
    <row r="732" customFormat="false" ht="15" hidden="false" customHeight="false" outlineLevel="0" collapsed="false">
      <c r="A732" s="0" t="n">
        <v>860</v>
      </c>
      <c r="B732" s="69" t="s">
        <v>439</v>
      </c>
      <c r="C732" s="69" t="s">
        <v>30</v>
      </c>
      <c r="D732" s="69" t="s">
        <v>109</v>
      </c>
      <c r="E732" s="69" t="s">
        <v>87</v>
      </c>
      <c r="F732" s="69" t="s">
        <v>33</v>
      </c>
      <c r="G732" s="69" t="s">
        <v>217</v>
      </c>
      <c r="H732" s="0" t="n">
        <v>11</v>
      </c>
      <c r="I732" s="70" t="n">
        <v>34.3</v>
      </c>
      <c r="J732" s="70" t="n">
        <v>17.85</v>
      </c>
      <c r="K732" s="70" t="n">
        <f aca="false">IF(ISTEXT(H732),VALUE(H732),H732)*I732</f>
        <v>377.3</v>
      </c>
    </row>
    <row r="733" customFormat="false" ht="15" hidden="false" customHeight="false" outlineLevel="0" collapsed="false">
      <c r="A733" s="0" t="n">
        <v>690</v>
      </c>
      <c r="B733" s="68" t="n">
        <v>45498</v>
      </c>
      <c r="C733" s="69" t="s">
        <v>142</v>
      </c>
      <c r="D733" s="69" t="s">
        <v>112</v>
      </c>
      <c r="E733" s="69" t="s">
        <v>119</v>
      </c>
      <c r="F733" s="69" t="s">
        <v>28</v>
      </c>
      <c r="G733" s="69" t="s">
        <v>48</v>
      </c>
      <c r="H733" s="0" t="n">
        <v>13</v>
      </c>
      <c r="I733" s="70" t="n">
        <v>93.1</v>
      </c>
      <c r="J733" s="70" t="n">
        <v>47.98</v>
      </c>
      <c r="K733" s="70" t="n">
        <f aca="false">IF(ISTEXT(H733),VALUE(H733),H733)*I733</f>
        <v>1210.3</v>
      </c>
    </row>
    <row r="734" customFormat="false" ht="15" hidden="false" customHeight="false" outlineLevel="0" collapsed="false">
      <c r="A734" s="0" t="n">
        <v>552</v>
      </c>
      <c r="B734" s="68" t="n">
        <v>45447</v>
      </c>
      <c r="C734" s="69" t="s">
        <v>152</v>
      </c>
      <c r="D734" s="69" t="s">
        <v>109</v>
      </c>
      <c r="E734" s="69" t="s">
        <v>119</v>
      </c>
      <c r="F734" s="69" t="s">
        <v>99</v>
      </c>
      <c r="G734" s="69" t="s">
        <v>49</v>
      </c>
      <c r="H734" s="0" t="n">
        <v>16</v>
      </c>
      <c r="I734" s="70" t="n">
        <v>63.7</v>
      </c>
      <c r="J734" s="70" t="n">
        <v>35.43</v>
      </c>
      <c r="K734" s="70" t="n">
        <f aca="false">IF(ISTEXT(H734),VALUE(H734),H734)*I734</f>
        <v>1019.2</v>
      </c>
    </row>
    <row r="735" customFormat="false" ht="15" hidden="false" customHeight="false" outlineLevel="0" collapsed="false">
      <c r="A735" s="0" t="n">
        <v>1752</v>
      </c>
      <c r="B735" s="69" t="s">
        <v>359</v>
      </c>
      <c r="C735" s="69" t="s">
        <v>108</v>
      </c>
      <c r="D735" s="69" t="s">
        <v>109</v>
      </c>
      <c r="E735" s="69" t="s">
        <v>119</v>
      </c>
      <c r="F735" s="69" t="s">
        <v>102</v>
      </c>
      <c r="G735" s="69" t="s">
        <v>144</v>
      </c>
      <c r="H735" s="0" t="n">
        <v>29</v>
      </c>
      <c r="I735" s="70" t="n">
        <v>64.58</v>
      </c>
      <c r="J735" s="70" t="n">
        <v>36.49</v>
      </c>
      <c r="K735" s="70" t="n">
        <f aca="false">IF(ISTEXT(H735),VALUE(H735),H735)*I735</f>
        <v>1872.82</v>
      </c>
    </row>
    <row r="736" customFormat="false" ht="15" hidden="false" customHeight="false" outlineLevel="0" collapsed="false">
      <c r="A736" s="0" t="n">
        <v>938</v>
      </c>
      <c r="B736" s="68" t="n">
        <v>45571</v>
      </c>
      <c r="C736" s="69" t="s">
        <v>159</v>
      </c>
      <c r="D736" s="69" t="s">
        <v>86</v>
      </c>
      <c r="E736" s="69" t="s">
        <v>125</v>
      </c>
      <c r="F736" s="69" t="s">
        <v>33</v>
      </c>
      <c r="G736" s="69" t="s">
        <v>52</v>
      </c>
      <c r="H736" s="0" t="n">
        <v>15</v>
      </c>
      <c r="I736" s="70" t="n">
        <v>127.4</v>
      </c>
      <c r="J736" s="70" t="n">
        <v>76.05</v>
      </c>
      <c r="K736" s="70" t="n">
        <f aca="false">IF(ISTEXT(H736),VALUE(H736),H736)*I736</f>
        <v>1911</v>
      </c>
    </row>
    <row r="737" customFormat="false" ht="15" hidden="false" customHeight="false" outlineLevel="0" collapsed="false">
      <c r="A737" s="0" t="n">
        <v>126</v>
      </c>
      <c r="B737" s="68" t="n">
        <v>45341</v>
      </c>
      <c r="C737" s="69" t="s">
        <v>159</v>
      </c>
      <c r="D737" s="69" t="s">
        <v>86</v>
      </c>
      <c r="E737" s="69" t="s">
        <v>98</v>
      </c>
      <c r="F737" s="69" t="s">
        <v>153</v>
      </c>
      <c r="G737" s="69" t="s">
        <v>141</v>
      </c>
      <c r="H737" s="0" t="n">
        <v>4</v>
      </c>
      <c r="I737" s="70" t="n">
        <v>1617</v>
      </c>
      <c r="J737" s="70" t="n">
        <v>1122</v>
      </c>
      <c r="K737" s="70" t="n">
        <f aca="false">IF(ISTEXT(H737),VALUE(H737),H737)*I737</f>
        <v>6468</v>
      </c>
    </row>
    <row r="738" customFormat="false" ht="15" hidden="false" customHeight="false" outlineLevel="0" collapsed="false">
      <c r="A738" s="0" t="n">
        <v>2053</v>
      </c>
      <c r="B738" s="68" t="n">
        <v>45908</v>
      </c>
      <c r="C738" s="69" t="s">
        <v>30</v>
      </c>
      <c r="D738" s="69" t="s">
        <v>109</v>
      </c>
      <c r="E738" s="69" t="s">
        <v>121</v>
      </c>
      <c r="F738" s="69" t="s">
        <v>162</v>
      </c>
      <c r="G738" s="69" t="s">
        <v>171</v>
      </c>
      <c r="H738" s="0" t="n">
        <v>21</v>
      </c>
      <c r="I738" s="70" t="n">
        <v>120.47</v>
      </c>
      <c r="J738" s="70" t="n">
        <v>65.51</v>
      </c>
      <c r="K738" s="70" t="n">
        <f aca="false">IF(ISTEXT(H738),VALUE(H738),H738)*I738</f>
        <v>2529.87</v>
      </c>
    </row>
    <row r="739" customFormat="false" ht="15" hidden="false" customHeight="false" outlineLevel="0" collapsed="false">
      <c r="A739" s="0" t="n">
        <v>1506</v>
      </c>
      <c r="B739" s="69" t="s">
        <v>225</v>
      </c>
      <c r="C739" s="69" t="s">
        <v>150</v>
      </c>
      <c r="D739" s="69"/>
      <c r="E739" s="69" t="s">
        <v>180</v>
      </c>
      <c r="F739" s="69" t="s">
        <v>88</v>
      </c>
      <c r="G739" s="69" t="s">
        <v>45</v>
      </c>
      <c r="H739" s="0" t="n">
        <v>11</v>
      </c>
      <c r="I739" s="70" t="n">
        <v>1588.21</v>
      </c>
      <c r="J739" s="70" t="n">
        <v>1155.66</v>
      </c>
      <c r="K739" s="70" t="n">
        <f aca="false">IF(ISTEXT(H739),VALUE(H739),H739)*I739</f>
        <v>17470.31</v>
      </c>
    </row>
    <row r="740" customFormat="false" ht="15" hidden="false" customHeight="false" outlineLevel="0" collapsed="false">
      <c r="A740" s="0" t="n">
        <v>1011</v>
      </c>
      <c r="B740" s="68" t="n">
        <v>45600</v>
      </c>
      <c r="C740" s="69" t="s">
        <v>25</v>
      </c>
      <c r="D740" s="69" t="s">
        <v>97</v>
      </c>
      <c r="E740" s="69" t="s">
        <v>92</v>
      </c>
      <c r="F740" s="69" t="s">
        <v>102</v>
      </c>
      <c r="G740" s="69" t="s">
        <v>208</v>
      </c>
      <c r="H740" s="0" t="n">
        <v>127</v>
      </c>
      <c r="I740" s="70" t="n">
        <v>63.7</v>
      </c>
      <c r="J740" s="70" t="n">
        <v>35.43</v>
      </c>
      <c r="K740" s="70" t="n">
        <f aca="false">IF(ISTEXT(H740),VALUE(H740),H740)*I740</f>
        <v>8089.9</v>
      </c>
    </row>
    <row r="741" customFormat="false" ht="15" hidden="false" customHeight="false" outlineLevel="0" collapsed="false">
      <c r="A741" s="0" t="n">
        <v>244</v>
      </c>
      <c r="B741" s="68" t="n">
        <v>45359</v>
      </c>
      <c r="C741" s="69" t="s">
        <v>118</v>
      </c>
      <c r="D741" s="69" t="s">
        <v>109</v>
      </c>
      <c r="E741" s="69" t="s">
        <v>180</v>
      </c>
      <c r="F741" s="69" t="s">
        <v>153</v>
      </c>
      <c r="G741" s="69" t="s">
        <v>43</v>
      </c>
      <c r="H741" s="0" t="n">
        <v>3</v>
      </c>
      <c r="I741" s="70" t="n">
        <v>441</v>
      </c>
      <c r="J741" s="70" t="n">
        <v>272.25</v>
      </c>
      <c r="K741" s="70" t="n">
        <f aca="false">IF(ISTEXT(H741),VALUE(H741),H741)*I741</f>
        <v>1323</v>
      </c>
    </row>
    <row r="742" customFormat="false" ht="15" hidden="false" customHeight="false" outlineLevel="0" collapsed="false">
      <c r="A742" s="0" t="n">
        <v>613</v>
      </c>
      <c r="B742" s="69" t="s">
        <v>440</v>
      </c>
      <c r="C742" s="69" t="s">
        <v>124</v>
      </c>
      <c r="D742" s="69" t="s">
        <v>97</v>
      </c>
      <c r="E742" s="69" t="s">
        <v>92</v>
      </c>
      <c r="F742" s="69" t="s">
        <v>115</v>
      </c>
      <c r="G742" s="69" t="s">
        <v>156</v>
      </c>
      <c r="H742" s="0" t="n">
        <v>48</v>
      </c>
      <c r="I742" s="70" t="n">
        <v>117.6</v>
      </c>
      <c r="J742" s="70" t="n">
        <v>63.6</v>
      </c>
      <c r="K742" s="70" t="n">
        <f aca="false">IF(ISTEXT(H742),VALUE(H742),H742)*I742</f>
        <v>5644.8</v>
      </c>
    </row>
    <row r="743" customFormat="false" ht="15" hidden="false" customHeight="false" outlineLevel="0" collapsed="false">
      <c r="A743" s="0" t="n">
        <v>912</v>
      </c>
      <c r="B743" s="68" t="n">
        <v>45578</v>
      </c>
      <c r="C743" s="69" t="s">
        <v>124</v>
      </c>
      <c r="D743" s="69" t="s">
        <v>97</v>
      </c>
      <c r="E743" s="69" t="s">
        <v>180</v>
      </c>
      <c r="F743" s="69" t="s">
        <v>99</v>
      </c>
      <c r="G743" s="69" t="s">
        <v>144</v>
      </c>
      <c r="H743" s="0" t="s">
        <v>441</v>
      </c>
      <c r="I743" s="70" t="n">
        <v>63.7</v>
      </c>
      <c r="J743" s="70" t="n">
        <v>35.43</v>
      </c>
      <c r="K743" s="70" t="n">
        <f aca="false">IF(ISTEXT(H743),VALUE(H743),H743)*I743</f>
        <v>2420.6</v>
      </c>
    </row>
    <row r="744" customFormat="false" ht="15" hidden="false" customHeight="false" outlineLevel="0" collapsed="false">
      <c r="A744" s="0" t="n">
        <v>722</v>
      </c>
      <c r="B744" s="68" t="n">
        <v>45510</v>
      </c>
      <c r="C744" s="69" t="s">
        <v>91</v>
      </c>
      <c r="D744" s="69" t="s">
        <v>86</v>
      </c>
      <c r="E744" s="69" t="s">
        <v>98</v>
      </c>
      <c r="F744" s="69" t="s">
        <v>135</v>
      </c>
      <c r="G744" s="69" t="s">
        <v>41</v>
      </c>
      <c r="H744" s="0" t="n">
        <v>4</v>
      </c>
      <c r="I744" s="70" t="n">
        <v>1176</v>
      </c>
      <c r="J744" s="70" t="n">
        <v>744</v>
      </c>
      <c r="K744" s="70" t="n">
        <f aca="false">IF(ISTEXT(H744),VALUE(H744),H744)*I744</f>
        <v>4704</v>
      </c>
    </row>
    <row r="745" customFormat="false" ht="15" hidden="false" customHeight="false" outlineLevel="0" collapsed="false">
      <c r="A745" s="0" t="n">
        <v>26</v>
      </c>
      <c r="B745" s="68" t="n">
        <v>45312</v>
      </c>
      <c r="C745" s="69" t="s">
        <v>120</v>
      </c>
      <c r="D745" s="69" t="s">
        <v>86</v>
      </c>
      <c r="E745" s="69" t="s">
        <v>180</v>
      </c>
      <c r="F745" s="69" t="s">
        <v>26</v>
      </c>
      <c r="G745" s="69" t="s">
        <v>141</v>
      </c>
      <c r="H745" s="0" t="n">
        <v>3</v>
      </c>
      <c r="I745" s="70" t="n">
        <v>1617</v>
      </c>
      <c r="J745" s="70" t="n">
        <v>1122</v>
      </c>
      <c r="K745" s="70" t="n">
        <f aca="false">IF(ISTEXT(H745),VALUE(H745),H745)*I745</f>
        <v>4851</v>
      </c>
    </row>
    <row r="746" customFormat="false" ht="15" hidden="false" customHeight="false" outlineLevel="0" collapsed="false">
      <c r="A746" s="0" t="n">
        <v>254</v>
      </c>
      <c r="B746" s="68" t="n">
        <v>45375</v>
      </c>
      <c r="C746" s="69" t="s">
        <v>108</v>
      </c>
      <c r="D746" s="69" t="s">
        <v>109</v>
      </c>
      <c r="E746" s="69" t="s">
        <v>87</v>
      </c>
      <c r="F746" s="69" t="s">
        <v>166</v>
      </c>
      <c r="G746" s="69" t="s">
        <v>50</v>
      </c>
      <c r="H746" s="0" t="n">
        <v>6</v>
      </c>
      <c r="I746" s="70" t="n">
        <v>117.6</v>
      </c>
      <c r="J746" s="70" t="n">
        <v>63.6</v>
      </c>
      <c r="K746" s="70" t="n">
        <f aca="false">IF(ISTEXT(H746),VALUE(H746),H746)*I746</f>
        <v>705.6</v>
      </c>
    </row>
    <row r="747" customFormat="false" ht="15" hidden="false" customHeight="false" outlineLevel="0" collapsed="false">
      <c r="A747" s="0" t="n">
        <v>1404</v>
      </c>
      <c r="B747" s="68" t="n">
        <v>45717</v>
      </c>
      <c r="C747" s="69" t="s">
        <v>170</v>
      </c>
      <c r="D747" s="69" t="s">
        <v>97</v>
      </c>
      <c r="E747" s="69" t="s">
        <v>98</v>
      </c>
      <c r="F747" s="69" t="s">
        <v>153</v>
      </c>
      <c r="G747" s="69" t="s">
        <v>177</v>
      </c>
      <c r="H747" s="0" t="n">
        <v>16</v>
      </c>
      <c r="I747" s="70" t="n">
        <v>433.15</v>
      </c>
      <c r="J747" s="70" t="n">
        <v>280.42</v>
      </c>
      <c r="K747" s="70" t="n">
        <f aca="false">IF(ISTEXT(H747),VALUE(H747),H747)*I747</f>
        <v>6930.4</v>
      </c>
    </row>
    <row r="748" customFormat="false" ht="15" hidden="false" customHeight="false" outlineLevel="0" collapsed="false">
      <c r="A748" s="0" t="n">
        <v>527</v>
      </c>
      <c r="B748" s="68" t="n">
        <v>45461</v>
      </c>
      <c r="C748" s="69" t="s">
        <v>120</v>
      </c>
      <c r="D748" s="69" t="s">
        <v>86</v>
      </c>
      <c r="E748" s="69" t="s">
        <v>92</v>
      </c>
      <c r="F748" s="69" t="s">
        <v>99</v>
      </c>
      <c r="G748" s="69" t="s">
        <v>47</v>
      </c>
      <c r="H748" s="0" t="n">
        <v>70</v>
      </c>
      <c r="I748" s="70" t="n">
        <v>27.44</v>
      </c>
      <c r="J748" s="70" t="n">
        <v>13.44</v>
      </c>
      <c r="K748" s="70" t="n">
        <f aca="false">IF(ISTEXT(H748),VALUE(H748),H748)*I748</f>
        <v>1920.8</v>
      </c>
    </row>
    <row r="749" customFormat="false" ht="15" hidden="false" customHeight="false" outlineLevel="0" collapsed="false">
      <c r="A749" s="0" t="n">
        <v>1475</v>
      </c>
      <c r="B749" s="68" t="n">
        <v>45728</v>
      </c>
      <c r="C749" s="69" t="s">
        <v>193</v>
      </c>
      <c r="D749" s="69" t="s">
        <v>137</v>
      </c>
      <c r="E749" s="69" t="s">
        <v>110</v>
      </c>
      <c r="F749" s="69" t="s">
        <v>115</v>
      </c>
      <c r="G749" s="69" t="s">
        <v>111</v>
      </c>
      <c r="H749" s="0" t="n">
        <v>13</v>
      </c>
      <c r="I749" s="70" t="n">
        <v>84.46</v>
      </c>
      <c r="J749" s="70" t="n">
        <v>49.47</v>
      </c>
      <c r="K749" s="70" t="n">
        <f aca="false">IF(ISTEXT(H749),VALUE(H749),H749)*I749</f>
        <v>1097.98</v>
      </c>
    </row>
    <row r="750" customFormat="false" ht="15" hidden="false" customHeight="false" outlineLevel="0" collapsed="false">
      <c r="A750" s="0" t="n">
        <v>472</v>
      </c>
      <c r="B750" s="68" t="n">
        <v>45423</v>
      </c>
      <c r="C750" s="69" t="s">
        <v>32</v>
      </c>
      <c r="D750" s="69" t="s">
        <v>137</v>
      </c>
      <c r="E750" s="69" t="s">
        <v>125</v>
      </c>
      <c r="F750" s="69" t="s">
        <v>99</v>
      </c>
      <c r="G750" s="69" t="s">
        <v>144</v>
      </c>
      <c r="H750" s="0" t="n">
        <v>11</v>
      </c>
      <c r="I750" s="70" t="n">
        <v>63.7</v>
      </c>
      <c r="J750" s="70" t="n">
        <v>35.43</v>
      </c>
      <c r="K750" s="70" t="n">
        <f aca="false">IF(ISTEXT(H750),VALUE(H750),H750)*I750</f>
        <v>700.7</v>
      </c>
    </row>
    <row r="751" customFormat="false" ht="15" hidden="false" customHeight="false" outlineLevel="0" collapsed="false">
      <c r="A751" s="0" t="n">
        <v>1609</v>
      </c>
      <c r="B751" s="69" t="s">
        <v>266</v>
      </c>
      <c r="C751" s="69" t="s">
        <v>96</v>
      </c>
      <c r="D751" s="69" t="s">
        <v>97</v>
      </c>
      <c r="E751" s="69" t="s">
        <v>121</v>
      </c>
      <c r="F751" s="69" t="s">
        <v>143</v>
      </c>
      <c r="G751" s="69" t="s">
        <v>172</v>
      </c>
      <c r="H751" s="0" t="n">
        <v>83</v>
      </c>
      <c r="I751" s="70" t="n">
        <v>94.39</v>
      </c>
      <c r="J751" s="70" t="n">
        <v>49.41</v>
      </c>
      <c r="K751" s="70" t="n">
        <f aca="false">IF(ISTEXT(H751),VALUE(H751),H751)*I751</f>
        <v>7834.37</v>
      </c>
    </row>
    <row r="752" customFormat="false" ht="15" hidden="false" customHeight="false" outlineLevel="0" collapsed="false">
      <c r="A752" s="0" t="n">
        <v>1711</v>
      </c>
      <c r="B752" s="68" t="n">
        <v>45825</v>
      </c>
      <c r="C752" s="69" t="s">
        <v>25</v>
      </c>
      <c r="D752" s="69" t="s">
        <v>97</v>
      </c>
      <c r="E752" s="69" t="s">
        <v>92</v>
      </c>
      <c r="F752" s="69" t="s">
        <v>143</v>
      </c>
      <c r="G752" s="69" t="s">
        <v>144</v>
      </c>
      <c r="H752" s="0" t="n">
        <v>87</v>
      </c>
      <c r="I752" s="70" t="n">
        <v>64.58</v>
      </c>
      <c r="J752" s="70" t="n">
        <v>36.49</v>
      </c>
      <c r="K752" s="70" t="n">
        <f aca="false">IF(ISTEXT(H752),VALUE(H752),H752)*I752</f>
        <v>5618.46</v>
      </c>
    </row>
    <row r="753" customFormat="false" ht="15" hidden="false" customHeight="false" outlineLevel="0" collapsed="false">
      <c r="A753" s="0" t="n">
        <v>1407</v>
      </c>
      <c r="B753" s="68" t="n">
        <v>45738</v>
      </c>
      <c r="C753" s="69" t="s">
        <v>150</v>
      </c>
      <c r="D753" s="69" t="s">
        <v>97</v>
      </c>
      <c r="E753" s="69" t="s">
        <v>138</v>
      </c>
      <c r="F753" s="69" t="s">
        <v>143</v>
      </c>
      <c r="G753" s="69" t="s">
        <v>113</v>
      </c>
      <c r="H753" s="0" t="n">
        <v>77</v>
      </c>
      <c r="I753" s="70" t="n">
        <v>27.82</v>
      </c>
      <c r="J753" s="70" t="n">
        <v>13.84</v>
      </c>
      <c r="K753" s="70" t="n">
        <f aca="false">IF(ISTEXT(H753),VALUE(H753),H753)*I753</f>
        <v>2142.14</v>
      </c>
    </row>
    <row r="754" customFormat="false" ht="15" hidden="false" customHeight="false" outlineLevel="0" collapsed="false">
      <c r="A754" s="0" t="n">
        <v>2096</v>
      </c>
      <c r="B754" s="68" t="n">
        <v>45912</v>
      </c>
      <c r="C754" s="69" t="s">
        <v>34</v>
      </c>
      <c r="D754" s="69" t="s">
        <v>112</v>
      </c>
      <c r="E754" s="69" t="s">
        <v>107</v>
      </c>
      <c r="F754" s="69" t="s">
        <v>162</v>
      </c>
      <c r="G754" s="69" t="s">
        <v>116</v>
      </c>
      <c r="H754" s="0" t="s">
        <v>299</v>
      </c>
      <c r="I754" s="70" t="n">
        <v>85.34</v>
      </c>
      <c r="J754" s="70" t="n">
        <v>49.47</v>
      </c>
      <c r="K754" s="70" t="n">
        <f aca="false">IF(ISTEXT(H754),VALUE(H754),H754)*I754</f>
        <v>853.4</v>
      </c>
    </row>
    <row r="755" customFormat="false" ht="15" hidden="false" customHeight="false" outlineLevel="0" collapsed="false">
      <c r="A755" s="0" t="n">
        <v>1728</v>
      </c>
      <c r="B755" s="69" t="s">
        <v>442</v>
      </c>
      <c r="C755" s="69" t="s">
        <v>120</v>
      </c>
      <c r="D755" s="69" t="s">
        <v>86</v>
      </c>
      <c r="E755" s="69" t="s">
        <v>119</v>
      </c>
      <c r="F755" s="69" t="s">
        <v>143</v>
      </c>
      <c r="G755" s="69" t="s">
        <v>47</v>
      </c>
      <c r="H755" s="0" t="n">
        <v>37</v>
      </c>
      <c r="I755" s="70" t="n">
        <v>27.82</v>
      </c>
      <c r="J755" s="70" t="n">
        <v>13.84</v>
      </c>
      <c r="K755" s="70" t="n">
        <f aca="false">IF(ISTEXT(H755),VALUE(H755),H755)*I755</f>
        <v>1029.34</v>
      </c>
    </row>
    <row r="756" customFormat="false" ht="15" hidden="false" customHeight="false" outlineLevel="0" collapsed="false">
      <c r="A756" s="0" t="n">
        <v>1065</v>
      </c>
      <c r="B756" s="69" t="s">
        <v>443</v>
      </c>
      <c r="C756" s="69" t="s">
        <v>193</v>
      </c>
      <c r="D756" s="69" t="s">
        <v>137</v>
      </c>
      <c r="E756" s="69" t="s">
        <v>121</v>
      </c>
      <c r="F756" s="69" t="s">
        <v>88</v>
      </c>
      <c r="G756" s="69" t="s">
        <v>141</v>
      </c>
      <c r="H756" s="0" t="n">
        <v>7</v>
      </c>
      <c r="I756" s="70" t="n">
        <v>1617</v>
      </c>
      <c r="J756" s="70" t="n">
        <v>1122</v>
      </c>
      <c r="K756" s="70" t="n">
        <f aca="false">IF(ISTEXT(H756),VALUE(H756),H756)*I756</f>
        <v>11319</v>
      </c>
    </row>
    <row r="757" customFormat="false" ht="15" hidden="false" customHeight="false" outlineLevel="0" collapsed="false">
      <c r="A757" s="0" t="n">
        <v>1018</v>
      </c>
      <c r="B757" s="69" t="s">
        <v>444</v>
      </c>
      <c r="C757" s="69" t="s">
        <v>150</v>
      </c>
      <c r="D757" s="69" t="s">
        <v>97</v>
      </c>
      <c r="E757" s="69" t="s">
        <v>180</v>
      </c>
      <c r="F757" s="69" t="s">
        <v>168</v>
      </c>
      <c r="G757" s="69" t="s">
        <v>52</v>
      </c>
      <c r="H757" s="0" t="n">
        <v>33</v>
      </c>
      <c r="I757" s="70" t="n">
        <v>127.4</v>
      </c>
      <c r="J757" s="70" t="n">
        <v>76.05</v>
      </c>
      <c r="K757" s="70" t="n">
        <f aca="false">IF(ISTEXT(H757),VALUE(H757),H757)*I757</f>
        <v>4204.2</v>
      </c>
    </row>
    <row r="758" customFormat="false" ht="15" hidden="false" customHeight="false" outlineLevel="0" collapsed="false">
      <c r="A758" s="0" t="n">
        <v>715</v>
      </c>
      <c r="B758" s="69" t="s">
        <v>445</v>
      </c>
      <c r="C758" s="69" t="s">
        <v>25</v>
      </c>
      <c r="D758" s="69" t="s">
        <v>97</v>
      </c>
      <c r="E758" s="69" t="s">
        <v>134</v>
      </c>
      <c r="F758" s="69" t="s">
        <v>115</v>
      </c>
      <c r="G758" s="69" t="s">
        <v>51</v>
      </c>
      <c r="H758" s="0" t="n">
        <v>37</v>
      </c>
      <c r="I758" s="70" t="n">
        <v>83.3</v>
      </c>
      <c r="J758" s="70" t="n">
        <v>48.03</v>
      </c>
      <c r="K758" s="70" t="n">
        <f aca="false">IF(ISTEXT(H758),VALUE(H758),H758)*I758</f>
        <v>3082.1</v>
      </c>
    </row>
    <row r="759" customFormat="false" ht="15" hidden="false" customHeight="false" outlineLevel="0" collapsed="false">
      <c r="A759" s="0" t="n">
        <v>1616</v>
      </c>
      <c r="B759" s="68" t="n">
        <v>45804</v>
      </c>
      <c r="C759" s="69" t="s">
        <v>170</v>
      </c>
      <c r="D759" s="69" t="s">
        <v>97</v>
      </c>
      <c r="E759" s="69" t="s">
        <v>180</v>
      </c>
      <c r="F759" s="69" t="s">
        <v>31</v>
      </c>
      <c r="G759" s="69" t="s">
        <v>111</v>
      </c>
      <c r="H759" s="0" t="n">
        <v>31</v>
      </c>
      <c r="I759" s="70" t="n">
        <v>84.46</v>
      </c>
      <c r="J759" s="70" t="n">
        <v>49.47</v>
      </c>
      <c r="K759" s="70" t="n">
        <f aca="false">IF(ISTEXT(H759),VALUE(H759),H759)*I759</f>
        <v>2618.26</v>
      </c>
    </row>
    <row r="760" customFormat="false" ht="15" hidden="false" customHeight="false" outlineLevel="0" collapsed="false">
      <c r="A760" s="0" t="n">
        <v>241</v>
      </c>
      <c r="B760" s="69" t="s">
        <v>446</v>
      </c>
      <c r="C760" s="69" t="s">
        <v>30</v>
      </c>
      <c r="D760" s="69" t="s">
        <v>109</v>
      </c>
      <c r="E760" s="69" t="s">
        <v>121</v>
      </c>
      <c r="F760" s="69" t="s">
        <v>135</v>
      </c>
      <c r="G760" s="69" t="s">
        <v>41</v>
      </c>
      <c r="H760" s="0" t="n">
        <v>10</v>
      </c>
      <c r="I760" s="70" t="n">
        <v>1176</v>
      </c>
      <c r="J760" s="70" t="n">
        <v>744</v>
      </c>
      <c r="K760" s="70" t="n">
        <f aca="false">IF(ISTEXT(H760),VALUE(H760),H760)*I760</f>
        <v>11760</v>
      </c>
    </row>
    <row r="761" customFormat="false" ht="15" hidden="false" customHeight="false" outlineLevel="0" collapsed="false">
      <c r="A761" s="0" t="n">
        <v>2112</v>
      </c>
      <c r="B761" s="69" t="s">
        <v>447</v>
      </c>
      <c r="C761" s="69" t="s">
        <v>124</v>
      </c>
      <c r="D761" s="69" t="s">
        <v>97</v>
      </c>
      <c r="E761" s="69" t="s">
        <v>107</v>
      </c>
      <c r="F761" s="69" t="s">
        <v>102</v>
      </c>
      <c r="G761" s="69" t="s">
        <v>49</v>
      </c>
      <c r="H761" s="0" t="n">
        <v>77</v>
      </c>
      <c r="I761" s="70" t="n">
        <v>65.26</v>
      </c>
      <c r="J761" s="70" t="n">
        <v>36.49</v>
      </c>
      <c r="K761" s="70" t="n">
        <f aca="false">IF(ISTEXT(H761),VALUE(H761),H761)*I761</f>
        <v>5025.02</v>
      </c>
    </row>
    <row r="762" customFormat="false" ht="15" hidden="false" customHeight="false" outlineLevel="0" collapsed="false">
      <c r="A762" s="0" t="n">
        <v>823</v>
      </c>
      <c r="B762" s="69" t="s">
        <v>448</v>
      </c>
      <c r="C762" s="69" t="s">
        <v>159</v>
      </c>
      <c r="D762" s="69" t="s">
        <v>86</v>
      </c>
      <c r="E762" s="69" t="s">
        <v>92</v>
      </c>
      <c r="F762" s="69" t="s">
        <v>147</v>
      </c>
      <c r="G762" s="69" t="s">
        <v>177</v>
      </c>
      <c r="H762" s="0" t="n">
        <v>12</v>
      </c>
      <c r="I762" s="70" t="n">
        <v>441</v>
      </c>
      <c r="J762" s="70" t="n">
        <v>272.25</v>
      </c>
      <c r="K762" s="70" t="n">
        <f aca="false">IF(ISTEXT(H762),VALUE(H762),H762)*I762</f>
        <v>5292</v>
      </c>
    </row>
    <row r="763" customFormat="false" ht="15" hidden="false" customHeight="false" outlineLevel="0" collapsed="false">
      <c r="A763" s="0" t="n">
        <v>1527</v>
      </c>
      <c r="B763" s="69" t="s">
        <v>449</v>
      </c>
      <c r="C763" s="69" t="s">
        <v>27</v>
      </c>
      <c r="D763" s="69" t="s">
        <v>86</v>
      </c>
      <c r="E763" s="69" t="s">
        <v>110</v>
      </c>
      <c r="F763" s="69" t="s">
        <v>155</v>
      </c>
      <c r="G763" s="69" t="s">
        <v>113</v>
      </c>
      <c r="H763" s="0" t="n">
        <v>50</v>
      </c>
      <c r="I763" s="70" t="n">
        <v>27.82</v>
      </c>
      <c r="J763" s="70" t="n">
        <v>13.84</v>
      </c>
      <c r="K763" s="70" t="n">
        <f aca="false">IF(ISTEXT(H763),VALUE(H763),H763)*I763</f>
        <v>1391</v>
      </c>
    </row>
    <row r="764" customFormat="false" ht="15" hidden="false" customHeight="false" outlineLevel="0" collapsed="false">
      <c r="A764" s="0" t="n">
        <v>896</v>
      </c>
      <c r="B764" s="69" t="s">
        <v>450</v>
      </c>
      <c r="C764" s="69" t="s">
        <v>142</v>
      </c>
      <c r="D764" s="69" t="s">
        <v>112</v>
      </c>
      <c r="E764" s="69" t="s">
        <v>98</v>
      </c>
      <c r="F764" s="69" t="s">
        <v>115</v>
      </c>
      <c r="G764" s="69" t="s">
        <v>111</v>
      </c>
      <c r="H764" s="0" t="n">
        <v>6</v>
      </c>
      <c r="I764" s="70" t="n">
        <v>83.3</v>
      </c>
      <c r="J764" s="70" t="n">
        <v>48.03</v>
      </c>
      <c r="K764" s="70" t="n">
        <f aca="false">IF(ISTEXT(H764),VALUE(H764),H764)*I764</f>
        <v>499.8</v>
      </c>
    </row>
    <row r="765" customFormat="false" ht="15" hidden="false" customHeight="false" outlineLevel="0" collapsed="false">
      <c r="A765" s="0" t="n">
        <v>1009</v>
      </c>
      <c r="B765" s="68" t="n">
        <v>45613</v>
      </c>
      <c r="C765" s="69" t="s">
        <v>150</v>
      </c>
      <c r="D765" s="69" t="s">
        <v>97</v>
      </c>
      <c r="E765" s="69" t="s">
        <v>134</v>
      </c>
      <c r="F765" s="69" t="s">
        <v>155</v>
      </c>
      <c r="G765" s="69" t="s">
        <v>172</v>
      </c>
      <c r="H765" s="0" t="n">
        <v>113</v>
      </c>
      <c r="I765" s="70" t="n">
        <v>93.1</v>
      </c>
      <c r="J765" s="70" t="n">
        <v>47.98</v>
      </c>
      <c r="K765" s="70" t="n">
        <f aca="false">IF(ISTEXT(H765),VALUE(H765),H765)*I765</f>
        <v>10520.3</v>
      </c>
    </row>
    <row r="766" customFormat="false" ht="15" hidden="false" customHeight="false" outlineLevel="0" collapsed="false">
      <c r="A766" s="0" t="n">
        <v>711</v>
      </c>
      <c r="B766" s="68" t="n">
        <v>45514</v>
      </c>
      <c r="C766" s="69" t="s">
        <v>124</v>
      </c>
      <c r="D766" s="69" t="s">
        <v>97</v>
      </c>
      <c r="E766" s="69" t="s">
        <v>121</v>
      </c>
      <c r="F766" s="69" t="s">
        <v>28</v>
      </c>
      <c r="G766" s="69" t="s">
        <v>49</v>
      </c>
      <c r="H766" s="0" t="n">
        <v>87</v>
      </c>
      <c r="I766" s="70" t="n">
        <v>63.7</v>
      </c>
      <c r="J766" s="70" t="n">
        <v>35.43</v>
      </c>
      <c r="K766" s="70" t="n">
        <f aca="false">IF(ISTEXT(H766),VALUE(H766),H766)*I766</f>
        <v>5541.9</v>
      </c>
    </row>
    <row r="767" customFormat="false" ht="15" hidden="false" customHeight="false" outlineLevel="0" collapsed="false">
      <c r="A767" s="0" t="n">
        <v>1160</v>
      </c>
      <c r="B767" s="68" t="n">
        <v>45647</v>
      </c>
      <c r="C767" s="69" t="s">
        <v>108</v>
      </c>
      <c r="D767" s="69"/>
      <c r="E767" s="69" t="s">
        <v>107</v>
      </c>
      <c r="F767" s="69" t="s">
        <v>182</v>
      </c>
      <c r="G767" s="69" t="s">
        <v>53</v>
      </c>
      <c r="H767" s="0" t="s">
        <v>260</v>
      </c>
      <c r="I767" s="70" t="n">
        <v>34.3</v>
      </c>
      <c r="J767" s="70" t="n">
        <v>17.85</v>
      </c>
      <c r="K767" s="70" t="n">
        <f aca="false">IF(ISTEXT(H767),VALUE(H767),H767)*I767</f>
        <v>480.2</v>
      </c>
    </row>
    <row r="768" customFormat="false" ht="15" hidden="false" customHeight="false" outlineLevel="0" collapsed="false">
      <c r="A768" s="0" t="n">
        <v>1468</v>
      </c>
      <c r="B768" s="68" t="n">
        <v>45733</v>
      </c>
      <c r="C768" s="69" t="s">
        <v>184</v>
      </c>
      <c r="D768" s="69" t="s">
        <v>137</v>
      </c>
      <c r="E768" s="69" t="s">
        <v>119</v>
      </c>
      <c r="F768" s="69" t="s">
        <v>102</v>
      </c>
      <c r="G768" s="69" t="s">
        <v>103</v>
      </c>
      <c r="H768" s="0" t="n">
        <v>20</v>
      </c>
      <c r="I768" s="70" t="n">
        <v>27.82</v>
      </c>
      <c r="J768" s="70" t="n">
        <v>13.84</v>
      </c>
      <c r="K768" s="70" t="n">
        <f aca="false">IF(ISTEXT(H768),VALUE(H768),H768)*I768</f>
        <v>556.4</v>
      </c>
    </row>
    <row r="769" customFormat="false" ht="15" hidden="false" customHeight="false" outlineLevel="0" collapsed="false">
      <c r="A769" s="0" t="n">
        <v>14</v>
      </c>
      <c r="B769" s="68" t="n">
        <v>45309</v>
      </c>
      <c r="C769" s="69" t="s">
        <v>170</v>
      </c>
      <c r="D769" s="69" t="s">
        <v>97</v>
      </c>
      <c r="E769" s="69" t="s">
        <v>119</v>
      </c>
      <c r="F769" s="69" t="s">
        <v>166</v>
      </c>
      <c r="G769" s="69" t="s">
        <v>50</v>
      </c>
      <c r="H769" s="0" t="n">
        <v>14</v>
      </c>
      <c r="I769" s="70" t="n">
        <v>117.6</v>
      </c>
      <c r="J769" s="70" t="n">
        <v>63.6</v>
      </c>
      <c r="K769" s="70" t="n">
        <f aca="false">IF(ISTEXT(H769),VALUE(H769),H769)*I769</f>
        <v>1646.4</v>
      </c>
    </row>
    <row r="770" customFormat="false" ht="15" hidden="false" customHeight="false" outlineLevel="0" collapsed="false">
      <c r="A770" s="0" t="n">
        <v>1258</v>
      </c>
      <c r="B770" s="68" t="n">
        <v>45662</v>
      </c>
      <c r="C770" s="69" t="s">
        <v>30</v>
      </c>
      <c r="D770" s="69"/>
      <c r="E770" s="69" t="s">
        <v>87</v>
      </c>
      <c r="F770" s="69" t="s">
        <v>182</v>
      </c>
      <c r="G770" s="69" t="s">
        <v>130</v>
      </c>
      <c r="H770" s="0" t="n">
        <v>15</v>
      </c>
      <c r="I770" s="70" t="n">
        <v>129.17</v>
      </c>
      <c r="J770" s="70" t="n">
        <v>78.33</v>
      </c>
      <c r="K770" s="70" t="n">
        <f aca="false">IF(ISTEXT(H770),VALUE(H770),H770)*I770</f>
        <v>1937.55</v>
      </c>
    </row>
    <row r="771" customFormat="false" ht="15" hidden="false" customHeight="false" outlineLevel="0" collapsed="false">
      <c r="A771" s="0" t="n">
        <v>2247</v>
      </c>
      <c r="B771" s="69" t="s">
        <v>286</v>
      </c>
      <c r="C771" s="69" t="s">
        <v>118</v>
      </c>
      <c r="D771" s="69" t="s">
        <v>109</v>
      </c>
      <c r="E771" s="69" t="s">
        <v>138</v>
      </c>
      <c r="F771" s="69" t="s">
        <v>99</v>
      </c>
      <c r="G771" s="69" t="s">
        <v>47</v>
      </c>
      <c r="H771" s="0" t="n">
        <v>42</v>
      </c>
      <c r="I771" s="70" t="n">
        <v>28.11</v>
      </c>
      <c r="J771" s="70" t="n">
        <v>13.84</v>
      </c>
      <c r="K771" s="70" t="n">
        <f aca="false">IF(ISTEXT(H771),VALUE(H771),H771)*I771</f>
        <v>1180.62</v>
      </c>
    </row>
    <row r="772" customFormat="false" ht="15" hidden="false" customHeight="false" outlineLevel="0" collapsed="false">
      <c r="A772" s="0" t="n">
        <v>1449</v>
      </c>
      <c r="B772" s="68" t="n">
        <v>45735</v>
      </c>
      <c r="C772" s="69" t="s">
        <v>30</v>
      </c>
      <c r="D772" s="69" t="s">
        <v>109</v>
      </c>
      <c r="E772" s="69" t="s">
        <v>101</v>
      </c>
      <c r="F772" s="69" t="s">
        <v>155</v>
      </c>
      <c r="G772" s="69" t="s">
        <v>48</v>
      </c>
      <c r="H772" s="0" t="n">
        <v>40</v>
      </c>
      <c r="I772" s="70" t="n">
        <v>94.39</v>
      </c>
      <c r="J772" s="70" t="n">
        <v>49.41</v>
      </c>
      <c r="K772" s="70" t="n">
        <f aca="false">IF(ISTEXT(H772),VALUE(H772),H772)*I772</f>
        <v>3775.6</v>
      </c>
    </row>
    <row r="773" customFormat="false" ht="15" hidden="false" customHeight="false" outlineLevel="0" collapsed="false">
      <c r="A773" s="0" t="n">
        <v>1587</v>
      </c>
      <c r="B773" s="68" t="n">
        <v>45760</v>
      </c>
      <c r="C773" s="69" t="s">
        <v>142</v>
      </c>
      <c r="D773" s="69" t="s">
        <v>112</v>
      </c>
      <c r="E773" s="69" t="s">
        <v>134</v>
      </c>
      <c r="F773" s="69" t="s">
        <v>155</v>
      </c>
      <c r="G773" s="69" t="s">
        <v>113</v>
      </c>
      <c r="H773" s="0" t="n">
        <v>28</v>
      </c>
      <c r="I773" s="70" t="n">
        <v>27.82</v>
      </c>
      <c r="J773" s="70" t="n">
        <v>13.84</v>
      </c>
      <c r="K773" s="70" t="n">
        <f aca="false">IF(ISTEXT(H773),VALUE(H773),H773)*I773</f>
        <v>778.96</v>
      </c>
    </row>
    <row r="774" customFormat="false" ht="15" hidden="false" customHeight="false" outlineLevel="0" collapsed="false">
      <c r="A774" s="0" t="n">
        <v>513</v>
      </c>
      <c r="B774" s="68" t="n">
        <v>45444</v>
      </c>
      <c r="C774" s="69" t="s">
        <v>96</v>
      </c>
      <c r="D774" s="69" t="s">
        <v>97</v>
      </c>
      <c r="E774" s="69" t="s">
        <v>92</v>
      </c>
      <c r="F774" s="69" t="s">
        <v>115</v>
      </c>
      <c r="G774" s="69" t="s">
        <v>50</v>
      </c>
      <c r="H774" s="0" t="n">
        <v>40</v>
      </c>
      <c r="I774" s="70" t="n">
        <v>117.6</v>
      </c>
      <c r="J774" s="70" t="n">
        <v>63.6</v>
      </c>
      <c r="K774" s="70" t="n">
        <f aca="false">IF(ISTEXT(H774),VALUE(H774),H774)*I774</f>
        <v>4704</v>
      </c>
    </row>
    <row r="775" customFormat="false" ht="15" hidden="false" customHeight="false" outlineLevel="0" collapsed="false">
      <c r="A775" s="0" t="n">
        <v>840</v>
      </c>
      <c r="B775" s="68" t="n">
        <v>45557</v>
      </c>
      <c r="C775" s="69" t="s">
        <v>120</v>
      </c>
      <c r="D775" s="69" t="s">
        <v>86</v>
      </c>
      <c r="E775" s="69" t="s">
        <v>87</v>
      </c>
      <c r="F775" s="69" t="s">
        <v>33</v>
      </c>
      <c r="G775" s="69" t="s">
        <v>53</v>
      </c>
      <c r="H775" s="0" t="n">
        <v>12</v>
      </c>
      <c r="I775" s="70" t="n">
        <v>34.3</v>
      </c>
      <c r="J775" s="70" t="n">
        <v>17.85</v>
      </c>
      <c r="K775" s="70" t="n">
        <f aca="false">IF(ISTEXT(H775),VALUE(H775),H775)*I775</f>
        <v>411.6</v>
      </c>
    </row>
    <row r="776" customFormat="false" ht="15" hidden="false" customHeight="false" outlineLevel="0" collapsed="false">
      <c r="A776" s="0" t="n">
        <v>1914</v>
      </c>
      <c r="B776" s="68" t="n">
        <v>45876</v>
      </c>
      <c r="C776" s="69" t="s">
        <v>25</v>
      </c>
      <c r="D776" s="69" t="s">
        <v>97</v>
      </c>
      <c r="E776" s="69" t="s">
        <v>107</v>
      </c>
      <c r="F776" s="69" t="s">
        <v>115</v>
      </c>
      <c r="G776" s="69" t="s">
        <v>50</v>
      </c>
      <c r="H776" s="0" t="n">
        <v>32</v>
      </c>
      <c r="I776" s="70" t="n">
        <v>120.47</v>
      </c>
      <c r="J776" s="70" t="n">
        <v>65.51</v>
      </c>
      <c r="K776" s="70" t="n">
        <f aca="false">IF(ISTEXT(H776),VALUE(H776),H776)*I776</f>
        <v>3855.04</v>
      </c>
    </row>
    <row r="777" customFormat="false" ht="15" hidden="false" customHeight="false" outlineLevel="0" collapsed="false">
      <c r="A777" s="0" t="n">
        <v>518</v>
      </c>
      <c r="B777" s="69" t="s">
        <v>415</v>
      </c>
      <c r="C777" s="69" t="s">
        <v>25</v>
      </c>
      <c r="D777" s="69" t="s">
        <v>97</v>
      </c>
      <c r="E777" s="69" t="s">
        <v>87</v>
      </c>
      <c r="F777" s="69" t="s">
        <v>183</v>
      </c>
      <c r="G777" s="69" t="s">
        <v>130</v>
      </c>
      <c r="H777" s="0" t="s">
        <v>350</v>
      </c>
      <c r="I777" s="70" t="n">
        <v>127.4</v>
      </c>
      <c r="J777" s="70" t="n">
        <v>76.05</v>
      </c>
      <c r="K777" s="70" t="n">
        <f aca="false">IF(ISTEXT(H777),VALUE(H777),H777)*I777</f>
        <v>2802.8</v>
      </c>
    </row>
    <row r="778" customFormat="false" ht="15" hidden="false" customHeight="false" outlineLevel="0" collapsed="false">
      <c r="A778" s="0" t="n">
        <v>1353</v>
      </c>
      <c r="B778" s="68" t="n">
        <v>45710</v>
      </c>
      <c r="C778" s="69" t="s">
        <v>30</v>
      </c>
      <c r="D778" s="69" t="s">
        <v>109</v>
      </c>
      <c r="E778" s="69" t="s">
        <v>138</v>
      </c>
      <c r="F778" s="69" t="s">
        <v>31</v>
      </c>
      <c r="G778" s="69" t="s">
        <v>156</v>
      </c>
      <c r="H778" s="0" t="n">
        <v>16</v>
      </c>
      <c r="I778" s="70" t="n">
        <v>119.23</v>
      </c>
      <c r="J778" s="70" t="n">
        <v>65.51</v>
      </c>
      <c r="K778" s="70" t="n">
        <f aca="false">IF(ISTEXT(H778),VALUE(H778),H778)*I778</f>
        <v>1907.68</v>
      </c>
    </row>
    <row r="779" customFormat="false" ht="15" hidden="false" customHeight="false" outlineLevel="0" collapsed="false">
      <c r="A779" s="0" t="n">
        <v>2301</v>
      </c>
      <c r="B779" s="68" t="n">
        <v>46007</v>
      </c>
      <c r="C779" s="69" t="s">
        <v>124</v>
      </c>
      <c r="D779" s="69" t="s">
        <v>97</v>
      </c>
      <c r="E779" s="69" t="s">
        <v>134</v>
      </c>
      <c r="F779" s="69" t="s">
        <v>88</v>
      </c>
      <c r="G779" s="69" t="s">
        <v>151</v>
      </c>
      <c r="H779" s="0" t="n">
        <v>31</v>
      </c>
      <c r="I779" s="70" t="n">
        <v>1204.74</v>
      </c>
      <c r="J779" s="70" t="n">
        <v>766.32</v>
      </c>
      <c r="K779" s="70" t="n">
        <f aca="false">IF(ISTEXT(H779),VALUE(H779),H779)*I779</f>
        <v>37346.94</v>
      </c>
    </row>
    <row r="780" customFormat="false" ht="15" hidden="false" customHeight="false" outlineLevel="0" collapsed="false">
      <c r="A780" s="0" t="n">
        <v>2321</v>
      </c>
      <c r="B780" s="68" t="n">
        <v>46012</v>
      </c>
      <c r="C780" s="69" t="s">
        <v>159</v>
      </c>
      <c r="D780" s="69" t="s">
        <v>86</v>
      </c>
      <c r="E780" s="69" t="s">
        <v>110</v>
      </c>
      <c r="F780" s="69" t="s">
        <v>153</v>
      </c>
      <c r="G780" s="69" t="s">
        <v>151</v>
      </c>
      <c r="H780" s="0" t="n">
        <v>15</v>
      </c>
      <c r="I780" s="70" t="n">
        <v>1204.74</v>
      </c>
      <c r="J780" s="70" t="n">
        <v>766.32</v>
      </c>
      <c r="K780" s="70" t="n">
        <f aca="false">IF(ISTEXT(H780),VALUE(H780),H780)*I780</f>
        <v>18071.1</v>
      </c>
    </row>
    <row r="781" customFormat="false" ht="15" hidden="false" customHeight="false" outlineLevel="0" collapsed="false">
      <c r="A781" s="0" t="n">
        <v>2248</v>
      </c>
      <c r="B781" s="69" t="s">
        <v>451</v>
      </c>
      <c r="C781" s="69" t="s">
        <v>30</v>
      </c>
      <c r="D781" s="69" t="s">
        <v>109</v>
      </c>
      <c r="E781" s="69" t="s">
        <v>119</v>
      </c>
      <c r="F781" s="69" t="s">
        <v>143</v>
      </c>
      <c r="G781" s="69" t="s">
        <v>113</v>
      </c>
      <c r="H781" s="0" t="n">
        <v>30</v>
      </c>
      <c r="I781" s="70" t="n">
        <v>28.11</v>
      </c>
      <c r="J781" s="70" t="n">
        <v>13.84</v>
      </c>
      <c r="K781" s="70" t="n">
        <f aca="false">IF(ISTEXT(H781),VALUE(H781),H781)*I781</f>
        <v>843.3</v>
      </c>
    </row>
    <row r="782" customFormat="false" ht="15" hidden="false" customHeight="false" outlineLevel="0" collapsed="false">
      <c r="A782" s="0" t="n">
        <v>1228</v>
      </c>
      <c r="B782" s="69" t="s">
        <v>452</v>
      </c>
      <c r="C782" s="69" t="s">
        <v>27</v>
      </c>
      <c r="D782" s="69" t="s">
        <v>86</v>
      </c>
      <c r="E782" s="69" t="s">
        <v>98</v>
      </c>
      <c r="F782" s="69" t="s">
        <v>102</v>
      </c>
      <c r="G782" s="69" t="s">
        <v>103</v>
      </c>
      <c r="H782" s="0" t="s">
        <v>301</v>
      </c>
      <c r="I782" s="70" t="n">
        <v>27.82</v>
      </c>
      <c r="J782" s="70" t="n">
        <v>13.84</v>
      </c>
      <c r="K782" s="70" t="n">
        <f aca="false">IF(ISTEXT(H782),VALUE(H782),H782)*I782</f>
        <v>918.06</v>
      </c>
    </row>
    <row r="783" customFormat="false" ht="15" hidden="false" customHeight="false" outlineLevel="0" collapsed="false">
      <c r="A783" s="0" t="n">
        <v>1887</v>
      </c>
      <c r="B783" s="68" t="n">
        <v>45845</v>
      </c>
      <c r="C783" s="69" t="s">
        <v>161</v>
      </c>
      <c r="D783" s="69" t="s">
        <v>112</v>
      </c>
      <c r="E783" s="69" t="s">
        <v>92</v>
      </c>
      <c r="F783" s="69" t="s">
        <v>155</v>
      </c>
      <c r="G783" s="69" t="s">
        <v>113</v>
      </c>
      <c r="H783" s="0" t="n">
        <v>33</v>
      </c>
      <c r="I783" s="70" t="n">
        <v>28.11</v>
      </c>
      <c r="J783" s="70" t="n">
        <v>13.84</v>
      </c>
      <c r="K783" s="70" t="n">
        <f aca="false">IF(ISTEXT(H783),VALUE(H783),H783)*I783</f>
        <v>927.63</v>
      </c>
    </row>
    <row r="784" customFormat="false" ht="15" hidden="false" customHeight="false" outlineLevel="0" collapsed="false">
      <c r="A784" s="0" t="n">
        <v>1666</v>
      </c>
      <c r="B784" s="68" t="n">
        <v>45803</v>
      </c>
      <c r="C784" s="69" t="s">
        <v>184</v>
      </c>
      <c r="D784" s="69" t="s">
        <v>137</v>
      </c>
      <c r="E784" s="69" t="s">
        <v>87</v>
      </c>
      <c r="F784" s="69" t="s">
        <v>26</v>
      </c>
      <c r="G784" s="69" t="s">
        <v>157</v>
      </c>
      <c r="H784" s="0" t="n">
        <v>5</v>
      </c>
      <c r="I784" s="70" t="n">
        <v>1588.21</v>
      </c>
      <c r="J784" s="70" t="n">
        <v>1155.66</v>
      </c>
      <c r="K784" s="70" t="n">
        <f aca="false">IF(ISTEXT(H784),VALUE(H784),H784)*I784</f>
        <v>7941.05</v>
      </c>
    </row>
    <row r="785" customFormat="false" ht="15" hidden="false" customHeight="false" outlineLevel="0" collapsed="false">
      <c r="A785" s="0" t="n">
        <v>1108</v>
      </c>
      <c r="B785" s="68" t="n">
        <v>45634</v>
      </c>
      <c r="C785" s="69" t="s">
        <v>96</v>
      </c>
      <c r="D785" s="69" t="s">
        <v>97</v>
      </c>
      <c r="E785" s="69" t="s">
        <v>125</v>
      </c>
      <c r="F785" s="69" t="s">
        <v>99</v>
      </c>
      <c r="G785" s="69" t="s">
        <v>113</v>
      </c>
      <c r="H785" s="0" t="n">
        <v>58</v>
      </c>
      <c r="I785" s="70" t="n">
        <v>27.44</v>
      </c>
      <c r="J785" s="70" t="n">
        <v>13.44</v>
      </c>
      <c r="K785" s="70" t="n">
        <f aca="false">IF(ISTEXT(H785),VALUE(H785),H785)*I785</f>
        <v>1591.52</v>
      </c>
    </row>
    <row r="786" customFormat="false" ht="15" hidden="false" customHeight="false" outlineLevel="0" collapsed="false">
      <c r="A786" s="0" t="n">
        <v>1227</v>
      </c>
      <c r="B786" s="69" t="s">
        <v>453</v>
      </c>
      <c r="C786" s="69" t="s">
        <v>91</v>
      </c>
      <c r="D786" s="69" t="s">
        <v>86</v>
      </c>
      <c r="E786" s="69" t="s">
        <v>138</v>
      </c>
      <c r="F786" s="69" t="s">
        <v>143</v>
      </c>
      <c r="G786" s="69" t="s">
        <v>113</v>
      </c>
      <c r="H786" s="0" t="n">
        <v>38</v>
      </c>
      <c r="I786" s="70" t="n">
        <v>27.82</v>
      </c>
      <c r="J786" s="70" t="n">
        <v>13.84</v>
      </c>
      <c r="K786" s="70" t="n">
        <f aca="false">IF(ISTEXT(H786),VALUE(H786),H786)*I786</f>
        <v>1057.16</v>
      </c>
    </row>
    <row r="787" customFormat="false" ht="15" hidden="false" customHeight="false" outlineLevel="0" collapsed="false">
      <c r="A787" s="0" t="n">
        <v>1136</v>
      </c>
      <c r="B787" s="69" t="s">
        <v>454</v>
      </c>
      <c r="C787" s="69" t="s">
        <v>27</v>
      </c>
      <c r="D787" s="69" t="s">
        <v>86</v>
      </c>
      <c r="E787" s="69" t="s">
        <v>119</v>
      </c>
      <c r="F787" s="69" t="s">
        <v>115</v>
      </c>
      <c r="G787" s="69" t="s">
        <v>51</v>
      </c>
      <c r="H787" s="0" t="n">
        <v>13</v>
      </c>
      <c r="I787" s="70" t="n">
        <v>83.3</v>
      </c>
      <c r="J787" s="70" t="n">
        <v>48.03</v>
      </c>
      <c r="K787" s="70" t="n">
        <f aca="false">IF(ISTEXT(H787),VALUE(H787),H787)*I787</f>
        <v>1082.9</v>
      </c>
    </row>
    <row r="788" customFormat="false" ht="15" hidden="false" customHeight="false" outlineLevel="0" collapsed="false">
      <c r="A788" s="0" t="n">
        <v>417</v>
      </c>
      <c r="B788" s="68" t="n">
        <v>45416</v>
      </c>
      <c r="C788" s="69" t="s">
        <v>170</v>
      </c>
      <c r="D788" s="69" t="s">
        <v>97</v>
      </c>
      <c r="E788" s="69" t="s">
        <v>121</v>
      </c>
      <c r="F788" s="69" t="s">
        <v>182</v>
      </c>
      <c r="G788" s="69" t="s">
        <v>130</v>
      </c>
      <c r="H788" s="0" t="n">
        <v>48</v>
      </c>
      <c r="I788" s="70" t="n">
        <v>127.4</v>
      </c>
      <c r="J788" s="70" t="n">
        <v>76.05</v>
      </c>
      <c r="K788" s="70" t="n">
        <f aca="false">IF(ISTEXT(H788),VALUE(H788),H788)*I788</f>
        <v>6115.2</v>
      </c>
    </row>
    <row r="789" customFormat="false" ht="15" hidden="false" customHeight="false" outlineLevel="0" collapsed="false">
      <c r="A789" s="0" t="n">
        <v>2102</v>
      </c>
      <c r="B789" s="68" t="n">
        <v>45957</v>
      </c>
      <c r="C789" s="69" t="s">
        <v>124</v>
      </c>
      <c r="D789" s="69" t="s">
        <v>97</v>
      </c>
      <c r="E789" s="69" t="s">
        <v>119</v>
      </c>
      <c r="F789" s="69" t="s">
        <v>147</v>
      </c>
      <c r="G789" s="69" t="s">
        <v>154</v>
      </c>
      <c r="H789" s="0" t="n">
        <v>12</v>
      </c>
      <c r="I789" s="70" t="n">
        <v>1204.74</v>
      </c>
      <c r="J789" s="70" t="n">
        <v>766.32</v>
      </c>
      <c r="K789" s="70" t="n">
        <f aca="false">IF(ISTEXT(H789),VALUE(H789),H789)*I789</f>
        <v>14456.88</v>
      </c>
    </row>
    <row r="790" customFormat="false" ht="15" hidden="false" customHeight="false" outlineLevel="0" collapsed="false">
      <c r="A790" s="0" t="n">
        <v>182</v>
      </c>
      <c r="B790" s="69" t="s">
        <v>455</v>
      </c>
      <c r="C790" s="69" t="s">
        <v>133</v>
      </c>
      <c r="D790" s="69" t="s">
        <v>112</v>
      </c>
      <c r="E790" s="69" t="s">
        <v>98</v>
      </c>
      <c r="F790" s="69" t="s">
        <v>153</v>
      </c>
      <c r="G790" s="69" t="s">
        <v>41</v>
      </c>
      <c r="H790" s="0" t="n">
        <v>2</v>
      </c>
      <c r="I790" s="70" t="n">
        <v>1176</v>
      </c>
      <c r="J790" s="70" t="n">
        <v>744</v>
      </c>
      <c r="K790" s="70" t="n">
        <f aca="false">IF(ISTEXT(H790),VALUE(H790),H790)*I790</f>
        <v>2352</v>
      </c>
    </row>
    <row r="791" customFormat="false" ht="15" hidden="false" customHeight="false" outlineLevel="0" collapsed="false">
      <c r="A791" s="0" t="n">
        <v>178</v>
      </c>
      <c r="B791" s="68" t="n">
        <v>45327</v>
      </c>
      <c r="C791" s="69" t="s">
        <v>193</v>
      </c>
      <c r="D791" s="69" t="s">
        <v>137</v>
      </c>
      <c r="E791" s="69" t="s">
        <v>107</v>
      </c>
      <c r="F791" s="69" t="s">
        <v>93</v>
      </c>
      <c r="G791" s="69" t="s">
        <v>130</v>
      </c>
      <c r="H791" s="0" t="n">
        <v>6</v>
      </c>
      <c r="I791" s="70" t="n">
        <v>127.4</v>
      </c>
      <c r="J791" s="70" t="n">
        <v>76.05</v>
      </c>
      <c r="K791" s="70" t="n">
        <f aca="false">IF(ISTEXT(H791),VALUE(H791),H791)*I791</f>
        <v>764.4</v>
      </c>
    </row>
    <row r="792" customFormat="false" ht="15" hidden="false" customHeight="false" outlineLevel="0" collapsed="false">
      <c r="A792" s="0" t="n">
        <v>707</v>
      </c>
      <c r="B792" s="68" t="n">
        <v>45513</v>
      </c>
      <c r="C792" s="69" t="s">
        <v>96</v>
      </c>
      <c r="D792" s="69" t="s">
        <v>97</v>
      </c>
      <c r="E792" s="69" t="s">
        <v>101</v>
      </c>
      <c r="F792" s="69" t="s">
        <v>28</v>
      </c>
      <c r="G792" s="69" t="s">
        <v>103</v>
      </c>
      <c r="H792" s="0" t="n">
        <v>102</v>
      </c>
      <c r="I792" s="70" t="n">
        <v>27.44</v>
      </c>
      <c r="J792" s="70" t="n">
        <v>13.44</v>
      </c>
      <c r="K792" s="70" t="n">
        <f aca="false">IF(ISTEXT(H792),VALUE(H792),H792)*I792</f>
        <v>2798.88</v>
      </c>
    </row>
    <row r="793" customFormat="false" ht="15" hidden="false" customHeight="false" outlineLevel="0" collapsed="false">
      <c r="A793" s="0" t="n">
        <v>1298</v>
      </c>
      <c r="B793" s="69" t="s">
        <v>438</v>
      </c>
      <c r="C793" s="69" t="s">
        <v>161</v>
      </c>
      <c r="D793" s="69" t="s">
        <v>112</v>
      </c>
      <c r="E793" s="69" t="s">
        <v>87</v>
      </c>
      <c r="F793" s="69" t="s">
        <v>168</v>
      </c>
      <c r="G793" s="69" t="s">
        <v>130</v>
      </c>
      <c r="H793" s="0" t="n">
        <v>9</v>
      </c>
      <c r="I793" s="70" t="n">
        <v>129.17</v>
      </c>
      <c r="J793" s="70" t="n">
        <v>78.33</v>
      </c>
      <c r="K793" s="70" t="n">
        <f aca="false">IF(ISTEXT(H793),VALUE(H793),H793)*I793</f>
        <v>1162.53</v>
      </c>
    </row>
    <row r="794" customFormat="false" ht="15" hidden="false" customHeight="false" outlineLevel="0" collapsed="false">
      <c r="A794" s="0" t="n">
        <v>2307</v>
      </c>
      <c r="B794" s="69" t="s">
        <v>456</v>
      </c>
      <c r="C794" s="69" t="s">
        <v>170</v>
      </c>
      <c r="D794" s="69" t="s">
        <v>97</v>
      </c>
      <c r="E794" s="69" t="s">
        <v>134</v>
      </c>
      <c r="F794" s="69" t="s">
        <v>102</v>
      </c>
      <c r="G794" s="69" t="s">
        <v>47</v>
      </c>
      <c r="H794" s="0" t="n">
        <v>119</v>
      </c>
      <c r="I794" s="70" t="n">
        <v>28.11</v>
      </c>
      <c r="J794" s="70" t="n">
        <v>13.84</v>
      </c>
      <c r="K794" s="70" t="n">
        <f aca="false">IF(ISTEXT(H794),VALUE(H794),H794)*I794</f>
        <v>3345.09</v>
      </c>
    </row>
    <row r="795" customFormat="false" ht="15" hidden="false" customHeight="false" outlineLevel="0" collapsed="false">
      <c r="A795" s="0" t="n">
        <v>1378</v>
      </c>
      <c r="B795" s="69" t="s">
        <v>457</v>
      </c>
      <c r="C795" s="69" t="s">
        <v>193</v>
      </c>
      <c r="D795" s="69" t="s">
        <v>137</v>
      </c>
      <c r="E795" s="69" t="s">
        <v>98</v>
      </c>
      <c r="F795" s="69" t="s">
        <v>168</v>
      </c>
      <c r="G795" s="69" t="s">
        <v>127</v>
      </c>
      <c r="H795" s="0" t="n">
        <v>8</v>
      </c>
      <c r="I795" s="70" t="n">
        <v>129.17</v>
      </c>
      <c r="J795" s="70" t="n">
        <v>78.33</v>
      </c>
      <c r="K795" s="70" t="n">
        <f aca="false">IF(ISTEXT(H795),VALUE(H795),H795)*I795</f>
        <v>1033.36</v>
      </c>
    </row>
    <row r="796" customFormat="false" ht="15" hidden="false" customHeight="false" outlineLevel="0" collapsed="false">
      <c r="A796" s="0" t="n">
        <v>1901</v>
      </c>
      <c r="B796" s="68" t="n">
        <v>45893</v>
      </c>
      <c r="C796" s="69" t="s">
        <v>25</v>
      </c>
      <c r="D796" s="69" t="s">
        <v>97</v>
      </c>
      <c r="E796" s="69" t="s">
        <v>92</v>
      </c>
      <c r="F796" s="69" t="s">
        <v>26</v>
      </c>
      <c r="G796" s="69" t="s">
        <v>151</v>
      </c>
      <c r="H796" s="0" t="n">
        <v>20</v>
      </c>
      <c r="I796" s="70" t="n">
        <v>1204.74</v>
      </c>
      <c r="J796" s="70" t="n">
        <v>766.32</v>
      </c>
      <c r="K796" s="70" t="n">
        <f aca="false">IF(ISTEXT(H796),VALUE(H796),H796)*I796</f>
        <v>24094.8</v>
      </c>
    </row>
    <row r="797" customFormat="false" ht="15" hidden="false" customHeight="false" outlineLevel="0" collapsed="false">
      <c r="A797" s="0" t="n">
        <v>397</v>
      </c>
      <c r="B797" s="68" t="n">
        <v>45408</v>
      </c>
      <c r="C797" s="69" t="s">
        <v>161</v>
      </c>
      <c r="D797" s="69" t="s">
        <v>112</v>
      </c>
      <c r="E797" s="69" t="s">
        <v>134</v>
      </c>
      <c r="F797" s="69" t="s">
        <v>182</v>
      </c>
      <c r="G797" s="69" t="s">
        <v>52</v>
      </c>
      <c r="H797" s="0" t="s">
        <v>284</v>
      </c>
      <c r="I797" s="70" t="n">
        <v>127.4</v>
      </c>
      <c r="J797" s="70" t="n">
        <v>76.05</v>
      </c>
      <c r="K797" s="70" t="n">
        <f aca="false">IF(ISTEXT(H797),VALUE(H797),H797)*I797</f>
        <v>2420.6</v>
      </c>
    </row>
    <row r="798" customFormat="false" ht="15" hidden="false" customHeight="false" outlineLevel="0" collapsed="false">
      <c r="A798" s="0" t="n">
        <v>2080</v>
      </c>
      <c r="B798" s="68" t="n">
        <v>45908</v>
      </c>
      <c r="C798" s="69" t="s">
        <v>32</v>
      </c>
      <c r="D798" s="69" t="s">
        <v>137</v>
      </c>
      <c r="E798" s="69" t="s">
        <v>87</v>
      </c>
      <c r="F798" s="69" t="s">
        <v>168</v>
      </c>
      <c r="G798" s="69" t="s">
        <v>53</v>
      </c>
      <c r="H798" s="0" t="n">
        <v>14</v>
      </c>
      <c r="I798" s="70" t="n">
        <v>35.14</v>
      </c>
      <c r="J798" s="70" t="n">
        <v>18.39</v>
      </c>
      <c r="K798" s="70" t="n">
        <f aca="false">IF(ISTEXT(H798),VALUE(H798),H798)*I798</f>
        <v>491.96</v>
      </c>
    </row>
    <row r="799" customFormat="false" ht="15" hidden="false" customHeight="false" outlineLevel="0" collapsed="false">
      <c r="A799" s="0" t="n">
        <v>245</v>
      </c>
      <c r="B799" s="68" t="n">
        <v>45366</v>
      </c>
      <c r="C799" s="69" t="s">
        <v>108</v>
      </c>
      <c r="D799" s="69" t="s">
        <v>109</v>
      </c>
      <c r="E799" s="69" t="s">
        <v>134</v>
      </c>
      <c r="F799" s="69" t="s">
        <v>135</v>
      </c>
      <c r="G799" s="69" t="s">
        <v>157</v>
      </c>
      <c r="H799" s="0" t="n">
        <v>9</v>
      </c>
      <c r="I799" s="70" t="n">
        <v>1617</v>
      </c>
      <c r="J799" s="70" t="n">
        <v>1122</v>
      </c>
      <c r="K799" s="70" t="n">
        <f aca="false">IF(ISTEXT(H799),VALUE(H799),H799)*I799</f>
        <v>14553</v>
      </c>
    </row>
    <row r="800" customFormat="false" ht="15" hidden="false" customHeight="false" outlineLevel="0" collapsed="false">
      <c r="A800" s="0" t="n">
        <v>1749</v>
      </c>
      <c r="B800" s="68" t="n">
        <v>45821</v>
      </c>
      <c r="C800" s="69" t="s">
        <v>152</v>
      </c>
      <c r="D800" s="69" t="s">
        <v>109</v>
      </c>
      <c r="E800" s="69" t="s">
        <v>138</v>
      </c>
      <c r="F800" s="69" t="s">
        <v>99</v>
      </c>
      <c r="G800" s="69" t="s">
        <v>48</v>
      </c>
      <c r="H800" s="0" t="n">
        <v>44</v>
      </c>
      <c r="I800" s="70" t="n">
        <v>94.39</v>
      </c>
      <c r="J800" s="70" t="n">
        <v>49.41</v>
      </c>
      <c r="K800" s="70" t="n">
        <f aca="false">IF(ISTEXT(H800),VALUE(H800),H800)*I800</f>
        <v>4153.16</v>
      </c>
    </row>
    <row r="801" customFormat="false" ht="15" hidden="false" customHeight="false" outlineLevel="0" collapsed="false">
      <c r="A801" s="0" t="n">
        <v>864</v>
      </c>
      <c r="B801" s="68" t="n">
        <v>45536</v>
      </c>
      <c r="C801" s="69" t="s">
        <v>184</v>
      </c>
      <c r="D801" s="69" t="s">
        <v>137</v>
      </c>
      <c r="E801" s="69" t="s">
        <v>87</v>
      </c>
      <c r="F801" s="69" t="s">
        <v>88</v>
      </c>
      <c r="G801" s="69" t="s">
        <v>89</v>
      </c>
      <c r="H801" s="0" t="n">
        <v>3</v>
      </c>
      <c r="I801" s="70" t="n">
        <v>441</v>
      </c>
      <c r="J801" s="70" t="n">
        <v>272.25</v>
      </c>
      <c r="K801" s="70" t="n">
        <f aca="false">IF(ISTEXT(H801),VALUE(H801),H801)*I801</f>
        <v>1323</v>
      </c>
    </row>
    <row r="802" customFormat="false" ht="15" hidden="false" customHeight="false" outlineLevel="0" collapsed="false">
      <c r="A802" s="0" t="n">
        <v>1560</v>
      </c>
      <c r="B802" s="68" t="n">
        <v>45760</v>
      </c>
      <c r="C802" s="69" t="s">
        <v>118</v>
      </c>
      <c r="D802" s="69" t="s">
        <v>109</v>
      </c>
      <c r="E802" s="69" t="s">
        <v>107</v>
      </c>
      <c r="F802" s="69" t="s">
        <v>183</v>
      </c>
      <c r="G802" s="69" t="s">
        <v>94</v>
      </c>
      <c r="H802" s="0" t="n">
        <v>17</v>
      </c>
      <c r="I802" s="70" t="n">
        <v>34.78</v>
      </c>
      <c r="J802" s="70" t="n">
        <v>18.39</v>
      </c>
      <c r="K802" s="70" t="n">
        <f aca="false">IF(ISTEXT(H802),VALUE(H802),H802)*I802</f>
        <v>591.26</v>
      </c>
    </row>
    <row r="803" customFormat="false" ht="15" hidden="false" customHeight="false" outlineLevel="0" collapsed="false">
      <c r="A803" s="0" t="n">
        <v>1440</v>
      </c>
      <c r="B803" s="68" t="n">
        <v>45726</v>
      </c>
      <c r="C803" s="69" t="s">
        <v>91</v>
      </c>
      <c r="D803" s="69" t="s">
        <v>86</v>
      </c>
      <c r="E803" s="69" t="s">
        <v>180</v>
      </c>
      <c r="F803" s="69" t="s">
        <v>182</v>
      </c>
      <c r="G803" s="69" t="s">
        <v>53</v>
      </c>
      <c r="H803" s="0" t="n">
        <v>20</v>
      </c>
      <c r="I803" s="70" t="n">
        <v>34.78</v>
      </c>
      <c r="J803" s="70" t="n">
        <v>18.39</v>
      </c>
      <c r="K803" s="70" t="n">
        <f aca="false">IF(ISTEXT(H803),VALUE(H803),H803)*I803</f>
        <v>695.6</v>
      </c>
    </row>
    <row r="804" customFormat="false" ht="15" hidden="false" customHeight="false" outlineLevel="0" collapsed="false">
      <c r="A804" s="0" t="n">
        <v>712</v>
      </c>
      <c r="B804" s="69" t="s">
        <v>458</v>
      </c>
      <c r="C804" s="69" t="s">
        <v>25</v>
      </c>
      <c r="D804" s="69" t="s">
        <v>97</v>
      </c>
      <c r="E804" s="69" t="s">
        <v>107</v>
      </c>
      <c r="F804" s="69" t="s">
        <v>99</v>
      </c>
      <c r="G804" s="69" t="s">
        <v>49</v>
      </c>
      <c r="H804" s="0" t="n">
        <v>43</v>
      </c>
      <c r="I804" s="70" t="n">
        <v>63.7</v>
      </c>
      <c r="J804" s="70" t="n">
        <v>35.43</v>
      </c>
      <c r="K804" s="70" t="n">
        <f aca="false">IF(ISTEXT(H804),VALUE(H804),H804)*I804</f>
        <v>2739.1</v>
      </c>
    </row>
    <row r="805" customFormat="false" ht="15" hidden="false" customHeight="false" outlineLevel="0" collapsed="false">
      <c r="A805" s="0" t="n">
        <v>1346</v>
      </c>
      <c r="B805" s="69" t="s">
        <v>341</v>
      </c>
      <c r="C805" s="69" t="s">
        <v>108</v>
      </c>
      <c r="D805" s="69" t="s">
        <v>109</v>
      </c>
      <c r="E805" s="69" t="s">
        <v>98</v>
      </c>
      <c r="F805" s="69" t="s">
        <v>147</v>
      </c>
      <c r="G805" s="69" t="s">
        <v>157</v>
      </c>
      <c r="H805" s="0" t="n">
        <v>4</v>
      </c>
      <c r="I805" s="70" t="n">
        <v>1588.21</v>
      </c>
      <c r="J805" s="70" t="n">
        <v>1155.66</v>
      </c>
      <c r="K805" s="70" t="n">
        <f aca="false">IF(ISTEXT(H805),VALUE(H805),H805)*I805</f>
        <v>6352.84</v>
      </c>
    </row>
    <row r="806" customFormat="false" ht="15" hidden="false" customHeight="false" outlineLevel="0" collapsed="false">
      <c r="A806" s="0" t="n">
        <v>2135</v>
      </c>
      <c r="B806" s="68" t="n">
        <v>45945</v>
      </c>
      <c r="C806" s="69" t="s">
        <v>159</v>
      </c>
      <c r="D806" s="69" t="s">
        <v>86</v>
      </c>
      <c r="E806" s="69" t="s">
        <v>138</v>
      </c>
      <c r="F806" s="69" t="s">
        <v>162</v>
      </c>
      <c r="G806" s="69" t="s">
        <v>111</v>
      </c>
      <c r="H806" s="0" t="n">
        <v>26</v>
      </c>
      <c r="I806" s="70" t="n">
        <v>85.34</v>
      </c>
      <c r="J806" s="70" t="n">
        <v>49.47</v>
      </c>
      <c r="K806" s="70" t="n">
        <f aca="false">IF(ISTEXT(H806),VALUE(H806),H806)*I806</f>
        <v>2218.84</v>
      </c>
    </row>
    <row r="807" customFormat="false" ht="15" hidden="false" customHeight="false" outlineLevel="0" collapsed="false">
      <c r="A807" s="0" t="n">
        <v>1362</v>
      </c>
      <c r="B807" s="68" t="n">
        <v>45692</v>
      </c>
      <c r="C807" s="69" t="s">
        <v>184</v>
      </c>
      <c r="D807" s="69"/>
      <c r="E807" s="69" t="s">
        <v>119</v>
      </c>
      <c r="F807" s="69" t="s">
        <v>139</v>
      </c>
      <c r="G807" s="69" t="s">
        <v>41</v>
      </c>
      <c r="H807" s="0" t="n">
        <v>4</v>
      </c>
      <c r="I807" s="70" t="n">
        <v>1155.06</v>
      </c>
      <c r="J807" s="70" t="n">
        <v>766.32</v>
      </c>
      <c r="K807" s="70" t="n">
        <f aca="false">IF(ISTEXT(H807),VALUE(H807),H807)*I807</f>
        <v>4620.24</v>
      </c>
    </row>
    <row r="808" customFormat="false" ht="15" hidden="false" customHeight="false" outlineLevel="0" collapsed="false">
      <c r="A808" s="0" t="n">
        <v>1325</v>
      </c>
      <c r="B808" s="68" t="n">
        <v>45703</v>
      </c>
      <c r="C808" s="69" t="s">
        <v>120</v>
      </c>
      <c r="D808" s="69" t="s">
        <v>86</v>
      </c>
      <c r="E808" s="69" t="s">
        <v>138</v>
      </c>
      <c r="F808" s="69" t="s">
        <v>147</v>
      </c>
      <c r="G808" s="69" t="s">
        <v>157</v>
      </c>
      <c r="H808" s="0" t="n">
        <v>8</v>
      </c>
      <c r="I808" s="70" t="n">
        <v>1588.21</v>
      </c>
      <c r="J808" s="70" t="n">
        <v>1155.66</v>
      </c>
      <c r="K808" s="70" t="n">
        <f aca="false">IF(ISTEXT(H808),VALUE(H808),H808)*I808</f>
        <v>12705.68</v>
      </c>
    </row>
    <row r="809" customFormat="false" ht="15" hidden="false" customHeight="false" outlineLevel="0" collapsed="false">
      <c r="A809" s="0" t="n">
        <v>844</v>
      </c>
      <c r="B809" s="68" t="n">
        <v>45558</v>
      </c>
      <c r="C809" s="69" t="s">
        <v>108</v>
      </c>
      <c r="D809" s="69" t="s">
        <v>109</v>
      </c>
      <c r="E809" s="69" t="s">
        <v>107</v>
      </c>
      <c r="F809" s="69" t="s">
        <v>26</v>
      </c>
      <c r="G809" s="69" t="s">
        <v>43</v>
      </c>
      <c r="H809" s="0" t="n">
        <v>3</v>
      </c>
      <c r="I809" s="70" t="n">
        <v>441</v>
      </c>
      <c r="J809" s="70" t="n">
        <v>272.25</v>
      </c>
      <c r="K809" s="70" t="n">
        <f aca="false">IF(ISTEXT(H809),VALUE(H809),H809)*I809</f>
        <v>1323</v>
      </c>
    </row>
    <row r="810" customFormat="false" ht="15" hidden="false" customHeight="false" outlineLevel="0" collapsed="false">
      <c r="A810" s="0" t="n">
        <v>1271</v>
      </c>
      <c r="B810" s="68" t="n">
        <v>45672</v>
      </c>
      <c r="C810" s="69" t="s">
        <v>32</v>
      </c>
      <c r="D810" s="69" t="s">
        <v>137</v>
      </c>
      <c r="E810" s="69" t="s">
        <v>110</v>
      </c>
      <c r="F810" s="69" t="s">
        <v>28</v>
      </c>
      <c r="G810" s="69" t="s">
        <v>208</v>
      </c>
      <c r="H810" s="0" t="n">
        <v>25</v>
      </c>
      <c r="I810" s="70" t="n">
        <v>64.58</v>
      </c>
      <c r="J810" s="70" t="n">
        <v>36.49</v>
      </c>
      <c r="K810" s="70" t="n">
        <f aca="false">IF(ISTEXT(H810),VALUE(H810),H810)*I810</f>
        <v>1614.5</v>
      </c>
    </row>
    <row r="811" customFormat="false" ht="15" hidden="false" customHeight="false" outlineLevel="0" collapsed="false">
      <c r="A811" s="0" t="n">
        <v>1599</v>
      </c>
      <c r="B811" s="68" t="n">
        <v>45763</v>
      </c>
      <c r="C811" s="69" t="s">
        <v>133</v>
      </c>
      <c r="D811" s="69" t="s">
        <v>112</v>
      </c>
      <c r="E811" s="69" t="s">
        <v>134</v>
      </c>
      <c r="F811" s="69" t="s">
        <v>93</v>
      </c>
      <c r="G811" s="69" t="s">
        <v>217</v>
      </c>
      <c r="H811" s="0" t="n">
        <v>16</v>
      </c>
      <c r="I811" s="70" t="n">
        <v>34.78</v>
      </c>
      <c r="J811" s="70" t="n">
        <v>18.39</v>
      </c>
      <c r="K811" s="70" t="n">
        <f aca="false">IF(ISTEXT(H811),VALUE(H811),H811)*I811</f>
        <v>556.48</v>
      </c>
    </row>
    <row r="812" customFormat="false" ht="15" hidden="false" customHeight="false" outlineLevel="0" collapsed="false">
      <c r="A812" s="0" t="n">
        <v>1697</v>
      </c>
      <c r="B812" s="68" t="n">
        <v>45804</v>
      </c>
      <c r="C812" s="69" t="s">
        <v>133</v>
      </c>
      <c r="D812" s="69" t="s">
        <v>112</v>
      </c>
      <c r="E812" s="69" t="s">
        <v>138</v>
      </c>
      <c r="F812" s="69" t="s">
        <v>168</v>
      </c>
      <c r="G812" s="69" t="s">
        <v>127</v>
      </c>
      <c r="H812" s="0" t="n">
        <v>18</v>
      </c>
      <c r="I812" s="70" t="n">
        <v>129.17</v>
      </c>
      <c r="J812" s="70" t="n">
        <v>78.33</v>
      </c>
      <c r="K812" s="70" t="n">
        <f aca="false">IF(ISTEXT(H812),VALUE(H812),H812)*I812</f>
        <v>2325.06</v>
      </c>
    </row>
    <row r="813" customFormat="false" ht="15" hidden="false" customHeight="false" outlineLevel="0" collapsed="false">
      <c r="A813" s="0" t="n">
        <v>573</v>
      </c>
      <c r="B813" s="69" t="s">
        <v>459</v>
      </c>
      <c r="C813" s="69" t="s">
        <v>193</v>
      </c>
      <c r="D813" s="69" t="s">
        <v>137</v>
      </c>
      <c r="E813" s="69" t="s">
        <v>92</v>
      </c>
      <c r="F813" s="69" t="s">
        <v>162</v>
      </c>
      <c r="G813" s="69" t="s">
        <v>156</v>
      </c>
      <c r="H813" s="0" t="n">
        <v>16</v>
      </c>
      <c r="I813" s="70" t="n">
        <v>117.6</v>
      </c>
      <c r="J813" s="70" t="n">
        <v>63.6</v>
      </c>
      <c r="K813" s="70" t="n">
        <f aca="false">IF(ISTEXT(H813),VALUE(H813),H813)*I813</f>
        <v>1881.6</v>
      </c>
    </row>
    <row r="814" customFormat="false" ht="15" hidden="false" customHeight="false" outlineLevel="0" collapsed="false">
      <c r="A814" s="0" t="n">
        <v>1991</v>
      </c>
      <c r="B814" s="68" t="n">
        <v>45875</v>
      </c>
      <c r="C814" s="69" t="s">
        <v>161</v>
      </c>
      <c r="D814" s="69" t="s">
        <v>112</v>
      </c>
      <c r="E814" s="69" t="s">
        <v>92</v>
      </c>
      <c r="F814" s="69" t="s">
        <v>28</v>
      </c>
      <c r="G814" s="69" t="s">
        <v>144</v>
      </c>
      <c r="H814" s="0" t="n">
        <v>33</v>
      </c>
      <c r="I814" s="70" t="n">
        <v>65.26</v>
      </c>
      <c r="J814" s="70" t="n">
        <v>36.49</v>
      </c>
      <c r="K814" s="70" t="n">
        <f aca="false">IF(ISTEXT(H814),VALUE(H814),H814)*I814</f>
        <v>2153.58</v>
      </c>
    </row>
    <row r="815" customFormat="false" ht="15" hidden="false" customHeight="false" outlineLevel="0" collapsed="false">
      <c r="A815" s="0" t="n">
        <v>2224</v>
      </c>
      <c r="B815" s="68" t="n">
        <v>45978</v>
      </c>
      <c r="C815" s="69" t="s">
        <v>91</v>
      </c>
      <c r="D815" s="69" t="s">
        <v>86</v>
      </c>
      <c r="E815" s="69" t="s">
        <v>119</v>
      </c>
      <c r="F815" s="69" t="s">
        <v>147</v>
      </c>
      <c r="G815" s="69" t="s">
        <v>89</v>
      </c>
      <c r="H815" s="0" t="n">
        <v>12</v>
      </c>
      <c r="I815" s="70" t="n">
        <v>451.78</v>
      </c>
      <c r="J815" s="70" t="n">
        <v>280.42</v>
      </c>
      <c r="K815" s="70" t="n">
        <f aca="false">IF(ISTEXT(H815),VALUE(H815),H815)*I815</f>
        <v>5421.36</v>
      </c>
    </row>
    <row r="816" customFormat="false" ht="15" hidden="false" customHeight="false" outlineLevel="0" collapsed="false">
      <c r="A816" s="0" t="n">
        <v>768</v>
      </c>
      <c r="B816" s="68" t="n">
        <v>45508</v>
      </c>
      <c r="C816" s="69" t="s">
        <v>193</v>
      </c>
      <c r="D816" s="69" t="s">
        <v>137</v>
      </c>
      <c r="E816" s="69" t="s">
        <v>87</v>
      </c>
      <c r="F816" s="69" t="s">
        <v>28</v>
      </c>
      <c r="G816" s="69" t="s">
        <v>47</v>
      </c>
      <c r="H816" s="0" t="n">
        <v>14</v>
      </c>
      <c r="I816" s="70" t="n">
        <v>27.44</v>
      </c>
      <c r="J816" s="70" t="n">
        <v>13.44</v>
      </c>
      <c r="K816" s="70" t="n">
        <f aca="false">IF(ISTEXT(H816),VALUE(H816),H816)*I816</f>
        <v>384.16</v>
      </c>
    </row>
    <row r="817" customFormat="false" ht="15" hidden="false" customHeight="false" outlineLevel="0" collapsed="false">
      <c r="A817" s="0" t="n">
        <v>1725</v>
      </c>
      <c r="B817" s="68" t="n">
        <v>45815</v>
      </c>
      <c r="C817" s="69" t="s">
        <v>120</v>
      </c>
      <c r="D817" s="69" t="s">
        <v>86</v>
      </c>
      <c r="E817" s="69" t="s">
        <v>92</v>
      </c>
      <c r="F817" s="69" t="s">
        <v>139</v>
      </c>
      <c r="G817" s="69" t="s">
        <v>141</v>
      </c>
      <c r="H817" s="0" t="n">
        <v>10</v>
      </c>
      <c r="I817" s="70" t="n">
        <v>1588.21</v>
      </c>
      <c r="J817" s="70" t="n">
        <v>1155.66</v>
      </c>
      <c r="K817" s="70" t="n">
        <f aca="false">IF(ISTEXT(H817),VALUE(H817),H817)*I817</f>
        <v>15882.1</v>
      </c>
    </row>
    <row r="818" customFormat="false" ht="15" hidden="false" customHeight="false" outlineLevel="0" collapsed="false">
      <c r="A818" s="0" t="n">
        <v>1871</v>
      </c>
      <c r="B818" s="68" t="n">
        <v>45841</v>
      </c>
      <c r="C818" s="69" t="s">
        <v>184</v>
      </c>
      <c r="D818" s="69" t="s">
        <v>137</v>
      </c>
      <c r="E818" s="69" t="s">
        <v>101</v>
      </c>
      <c r="F818" s="69" t="s">
        <v>99</v>
      </c>
      <c r="G818" s="69" t="s">
        <v>208</v>
      </c>
      <c r="H818" s="0" t="s">
        <v>218</v>
      </c>
      <c r="I818" s="70" t="n">
        <v>65.26</v>
      </c>
      <c r="J818" s="70" t="n">
        <v>36.49</v>
      </c>
      <c r="K818" s="70" t="n">
        <f aca="false">IF(ISTEXT(H818),VALUE(H818),H818)*I818</f>
        <v>1827.28</v>
      </c>
    </row>
    <row r="819" customFormat="false" ht="15" hidden="false" customHeight="false" outlineLevel="0" collapsed="false">
      <c r="A819" s="0" t="n">
        <v>759</v>
      </c>
      <c r="B819" s="68" t="n">
        <v>45526</v>
      </c>
      <c r="C819" s="69" t="s">
        <v>118</v>
      </c>
      <c r="D819" s="69" t="s">
        <v>109</v>
      </c>
      <c r="E819" s="69" t="s">
        <v>110</v>
      </c>
      <c r="F819" s="69" t="s">
        <v>93</v>
      </c>
      <c r="G819" s="69" t="s">
        <v>53</v>
      </c>
      <c r="H819" s="0" t="n">
        <v>26</v>
      </c>
      <c r="I819" s="70" t="n">
        <v>34.3</v>
      </c>
      <c r="J819" s="70" t="n">
        <v>17.85</v>
      </c>
      <c r="K819" s="70" t="n">
        <f aca="false">IF(ISTEXT(H819),VALUE(H819),H819)*I819</f>
        <v>891.8</v>
      </c>
    </row>
    <row r="820" customFormat="false" ht="15" hidden="false" customHeight="false" outlineLevel="0" collapsed="false">
      <c r="A820" s="0" t="n">
        <v>2049</v>
      </c>
      <c r="B820" s="69" t="s">
        <v>460</v>
      </c>
      <c r="C820" s="69" t="s">
        <v>152</v>
      </c>
      <c r="D820" s="69" t="s">
        <v>109</v>
      </c>
      <c r="E820" s="69" t="s">
        <v>110</v>
      </c>
      <c r="F820" s="69" t="s">
        <v>155</v>
      </c>
      <c r="G820" s="69" t="s">
        <v>48</v>
      </c>
      <c r="H820" s="0" t="n">
        <v>43</v>
      </c>
      <c r="I820" s="70" t="n">
        <v>95.38</v>
      </c>
      <c r="J820" s="70" t="n">
        <v>49.41</v>
      </c>
      <c r="K820" s="70" t="n">
        <f aca="false">IF(ISTEXT(H820),VALUE(H820),H820)*I820</f>
        <v>4101.34</v>
      </c>
    </row>
    <row r="821" customFormat="false" ht="15" hidden="false" customHeight="false" outlineLevel="0" collapsed="false">
      <c r="A821" s="0" t="n">
        <v>726</v>
      </c>
      <c r="B821" s="68" t="n">
        <v>45511</v>
      </c>
      <c r="C821" s="69" t="s">
        <v>159</v>
      </c>
      <c r="D821" s="69" t="s">
        <v>86</v>
      </c>
      <c r="E821" s="69" t="s">
        <v>87</v>
      </c>
      <c r="F821" s="69" t="s">
        <v>139</v>
      </c>
      <c r="G821" s="69" t="s">
        <v>141</v>
      </c>
      <c r="H821" s="0" t="n">
        <v>4</v>
      </c>
      <c r="I821" s="70" t="n">
        <v>1617</v>
      </c>
      <c r="J821" s="70" t="n">
        <v>1122</v>
      </c>
      <c r="K821" s="70" t="n">
        <f aca="false">IF(ISTEXT(H821),VALUE(H821),H821)*I821</f>
        <v>6468</v>
      </c>
    </row>
    <row r="822" customFormat="false" ht="15" hidden="false" customHeight="false" outlineLevel="0" collapsed="false">
      <c r="A822" s="0" t="n">
        <v>1916</v>
      </c>
      <c r="B822" s="68" t="n">
        <v>45890</v>
      </c>
      <c r="C822" s="69" t="s">
        <v>25</v>
      </c>
      <c r="D822" s="69" t="s">
        <v>97</v>
      </c>
      <c r="E822" s="69" t="s">
        <v>87</v>
      </c>
      <c r="F822" s="69" t="s">
        <v>162</v>
      </c>
      <c r="G822" s="69" t="s">
        <v>116</v>
      </c>
      <c r="H822" s="0" t="n">
        <v>24</v>
      </c>
      <c r="I822" s="70" t="n">
        <v>85.34</v>
      </c>
      <c r="J822" s="70" t="n">
        <v>49.47</v>
      </c>
      <c r="K822" s="70" t="n">
        <f aca="false">IF(ISTEXT(H822),VALUE(H822),H822)*I822</f>
        <v>2048.16</v>
      </c>
    </row>
    <row r="823" customFormat="false" ht="15" hidden="false" customHeight="false" outlineLevel="0" collapsed="false">
      <c r="A823" s="0" t="n">
        <v>1045</v>
      </c>
      <c r="B823" s="68" t="n">
        <v>45622</v>
      </c>
      <c r="C823" s="69" t="s">
        <v>30</v>
      </c>
      <c r="D823" s="69" t="s">
        <v>109</v>
      </c>
      <c r="E823" s="69" t="s">
        <v>138</v>
      </c>
      <c r="F823" s="69" t="s">
        <v>135</v>
      </c>
      <c r="G823" s="69" t="s">
        <v>157</v>
      </c>
      <c r="H823" s="0" t="n">
        <v>13</v>
      </c>
      <c r="I823" s="70" t="n">
        <v>1617</v>
      </c>
      <c r="J823" s="70" t="n">
        <v>1122</v>
      </c>
      <c r="K823" s="70" t="n">
        <f aca="false">IF(ISTEXT(H823),VALUE(H823),H823)*I823</f>
        <v>21021</v>
      </c>
    </row>
    <row r="824" customFormat="false" ht="15" hidden="false" customHeight="false" outlineLevel="0" collapsed="false">
      <c r="A824" s="0" t="n">
        <v>1141</v>
      </c>
      <c r="B824" s="68" t="n">
        <v>45649</v>
      </c>
      <c r="C824" s="69" t="s">
        <v>152</v>
      </c>
      <c r="D824" s="69"/>
      <c r="E824" s="69" t="s">
        <v>138</v>
      </c>
      <c r="F824" s="69" t="s">
        <v>139</v>
      </c>
      <c r="G824" s="69" t="s">
        <v>154</v>
      </c>
      <c r="H824" s="0" t="n">
        <v>12</v>
      </c>
      <c r="I824" s="70" t="n">
        <v>1176</v>
      </c>
      <c r="J824" s="70" t="n">
        <v>744</v>
      </c>
      <c r="K824" s="70" t="n">
        <f aca="false">IF(ISTEXT(H824),VALUE(H824),H824)*I824</f>
        <v>14112</v>
      </c>
    </row>
    <row r="825" customFormat="false" ht="15" hidden="false" customHeight="false" outlineLevel="0" collapsed="false">
      <c r="A825" s="0" t="n">
        <v>1978</v>
      </c>
      <c r="B825" s="68" t="n">
        <v>45892</v>
      </c>
      <c r="C825" s="69" t="s">
        <v>32</v>
      </c>
      <c r="D825" s="69" t="s">
        <v>137</v>
      </c>
      <c r="E825" s="69" t="s">
        <v>180</v>
      </c>
      <c r="F825" s="69" t="s">
        <v>33</v>
      </c>
      <c r="G825" s="69" t="s">
        <v>52</v>
      </c>
      <c r="H825" s="0" t="s">
        <v>370</v>
      </c>
      <c r="I825" s="70" t="n">
        <v>130.51</v>
      </c>
      <c r="J825" s="70" t="n">
        <v>78.33</v>
      </c>
      <c r="K825" s="70" t="n">
        <f aca="false">IF(ISTEXT(H825),VALUE(H825),H825)*I825</f>
        <v>1696.63</v>
      </c>
    </row>
    <row r="826" customFormat="false" ht="15" hidden="false" customHeight="false" outlineLevel="0" collapsed="false">
      <c r="A826" s="0" t="n">
        <v>142</v>
      </c>
      <c r="B826" s="68" t="n">
        <v>45345</v>
      </c>
      <c r="C826" s="69" t="s">
        <v>108</v>
      </c>
      <c r="D826" s="69"/>
      <c r="E826" s="69" t="s">
        <v>107</v>
      </c>
      <c r="F826" s="69" t="s">
        <v>139</v>
      </c>
      <c r="G826" s="69" t="s">
        <v>41</v>
      </c>
      <c r="H826" s="0" t="n">
        <v>3</v>
      </c>
      <c r="I826" s="70" t="n">
        <v>1176</v>
      </c>
      <c r="J826" s="70" t="n">
        <v>744</v>
      </c>
      <c r="K826" s="70" t="n">
        <f aca="false">IF(ISTEXT(H826),VALUE(H826),H826)*I826</f>
        <v>3528</v>
      </c>
    </row>
    <row r="827" customFormat="false" ht="15" hidden="false" customHeight="false" outlineLevel="0" collapsed="false">
      <c r="A827" s="0" t="n">
        <v>1517</v>
      </c>
      <c r="B827" s="69" t="s">
        <v>461</v>
      </c>
      <c r="C827" s="69" t="s">
        <v>25</v>
      </c>
      <c r="D827" s="69" t="s">
        <v>97</v>
      </c>
      <c r="E827" s="69" t="s">
        <v>92</v>
      </c>
      <c r="F827" s="69" t="s">
        <v>168</v>
      </c>
      <c r="G827" s="69" t="s">
        <v>52</v>
      </c>
      <c r="H827" s="0" t="n">
        <v>45</v>
      </c>
      <c r="I827" s="70" t="n">
        <v>129.17</v>
      </c>
      <c r="J827" s="70" t="n">
        <v>78.33</v>
      </c>
      <c r="K827" s="70" t="n">
        <f aca="false">IF(ISTEXT(H827),VALUE(H827),H827)*I827</f>
        <v>5812.65</v>
      </c>
    </row>
    <row r="828" customFormat="false" ht="15" hidden="false" customHeight="false" outlineLevel="0" collapsed="false">
      <c r="A828" s="0" t="n">
        <v>1170</v>
      </c>
      <c r="B828" s="68" t="n">
        <v>45636</v>
      </c>
      <c r="C828" s="69" t="s">
        <v>136</v>
      </c>
      <c r="D828" s="69"/>
      <c r="E828" s="69" t="s">
        <v>87</v>
      </c>
      <c r="F828" s="69" t="s">
        <v>28</v>
      </c>
      <c r="G828" s="69" t="s">
        <v>172</v>
      </c>
      <c r="H828" s="0" t="n">
        <v>19</v>
      </c>
      <c r="I828" s="70" t="n">
        <v>93.1</v>
      </c>
      <c r="J828" s="70" t="n">
        <v>47.98</v>
      </c>
      <c r="K828" s="70" t="n">
        <f aca="false">IF(ISTEXT(H828),VALUE(H828),H828)*I828</f>
        <v>1768.9</v>
      </c>
    </row>
    <row r="829" customFormat="false" ht="15" hidden="false" customHeight="false" outlineLevel="0" collapsed="false">
      <c r="A829" s="0" t="n">
        <v>1911</v>
      </c>
      <c r="B829" s="68" t="n">
        <v>45882</v>
      </c>
      <c r="C829" s="69" t="s">
        <v>150</v>
      </c>
      <c r="D829" s="69" t="s">
        <v>97</v>
      </c>
      <c r="E829" s="69" t="s">
        <v>134</v>
      </c>
      <c r="F829" s="69" t="s">
        <v>102</v>
      </c>
      <c r="G829" s="69" t="s">
        <v>208</v>
      </c>
      <c r="H829" s="0" t="s">
        <v>462</v>
      </c>
      <c r="I829" s="70" t="n">
        <v>65.26</v>
      </c>
      <c r="J829" s="70" t="n">
        <v>36.49</v>
      </c>
      <c r="K829" s="70" t="n">
        <f aca="false">IF(ISTEXT(H829),VALUE(H829),H829)*I829</f>
        <v>5677.62</v>
      </c>
    </row>
    <row r="830" customFormat="false" ht="15" hidden="false" customHeight="false" outlineLevel="0" collapsed="false">
      <c r="A830" s="0" t="n">
        <v>2149</v>
      </c>
      <c r="B830" s="68" t="n">
        <v>45935</v>
      </c>
      <c r="C830" s="69" t="s">
        <v>30</v>
      </c>
      <c r="D830" s="69" t="s">
        <v>109</v>
      </c>
      <c r="E830" s="69" t="s">
        <v>101</v>
      </c>
      <c r="F830" s="69" t="s">
        <v>99</v>
      </c>
      <c r="G830" s="69" t="s">
        <v>172</v>
      </c>
      <c r="H830" s="0" t="n">
        <v>44</v>
      </c>
      <c r="I830" s="70" t="n">
        <v>95.38</v>
      </c>
      <c r="J830" s="70" t="n">
        <v>49.41</v>
      </c>
      <c r="K830" s="70" t="n">
        <f aca="false">IF(ISTEXT(H830),VALUE(H830),H830)*I830</f>
        <v>4196.72</v>
      </c>
    </row>
    <row r="831" customFormat="false" ht="15" hidden="false" customHeight="false" outlineLevel="0" collapsed="false">
      <c r="A831" s="0" t="n">
        <v>800</v>
      </c>
      <c r="B831" s="68" t="n">
        <v>45516</v>
      </c>
      <c r="C831" s="69" t="s">
        <v>161</v>
      </c>
      <c r="D831" s="69" t="s">
        <v>112</v>
      </c>
      <c r="E831" s="69" t="s">
        <v>119</v>
      </c>
      <c r="F831" s="69" t="s">
        <v>33</v>
      </c>
      <c r="G831" s="69" t="s">
        <v>217</v>
      </c>
      <c r="H831" s="0" t="n">
        <v>8</v>
      </c>
      <c r="I831" s="70" t="n">
        <v>34.3</v>
      </c>
      <c r="J831" s="70" t="n">
        <v>17.85</v>
      </c>
      <c r="K831" s="70" t="n">
        <f aca="false">IF(ISTEXT(H831),VALUE(H831),H831)*I831</f>
        <v>274.4</v>
      </c>
    </row>
    <row r="832" customFormat="false" ht="15" hidden="false" customHeight="false" outlineLevel="0" collapsed="false">
      <c r="A832" s="0" t="n">
        <v>458</v>
      </c>
      <c r="B832" s="68" t="n">
        <v>45433</v>
      </c>
      <c r="C832" s="69" t="s">
        <v>118</v>
      </c>
      <c r="D832" s="69" t="s">
        <v>109</v>
      </c>
      <c r="E832" s="69" t="s">
        <v>125</v>
      </c>
      <c r="F832" s="69" t="s">
        <v>183</v>
      </c>
      <c r="G832" s="69" t="s">
        <v>130</v>
      </c>
      <c r="H832" s="0" t="n">
        <v>8</v>
      </c>
      <c r="I832" s="70" t="n">
        <v>127.4</v>
      </c>
      <c r="J832" s="70" t="n">
        <v>76.05</v>
      </c>
      <c r="K832" s="70" t="n">
        <f aca="false">IF(ISTEXT(H832),VALUE(H832),H832)*I832</f>
        <v>1019.2</v>
      </c>
    </row>
    <row r="833" customFormat="false" ht="15" hidden="false" customHeight="false" outlineLevel="0" collapsed="false">
      <c r="A833" s="0" t="n">
        <v>767</v>
      </c>
      <c r="B833" s="68" t="n">
        <v>45528</v>
      </c>
      <c r="C833" s="69" t="s">
        <v>32</v>
      </c>
      <c r="D833" s="69" t="s">
        <v>137</v>
      </c>
      <c r="E833" s="69" t="s">
        <v>110</v>
      </c>
      <c r="F833" s="69" t="s">
        <v>99</v>
      </c>
      <c r="G833" s="69" t="s">
        <v>47</v>
      </c>
      <c r="H833" s="0" t="n">
        <v>26</v>
      </c>
      <c r="I833" s="70" t="n">
        <v>27.44</v>
      </c>
      <c r="J833" s="70" t="n">
        <v>13.44</v>
      </c>
      <c r="K833" s="70" t="n">
        <f aca="false">IF(ISTEXT(H833),VALUE(H833),H833)*I833</f>
        <v>713.44</v>
      </c>
    </row>
    <row r="834" customFormat="false" ht="15" hidden="false" customHeight="false" outlineLevel="0" collapsed="false">
      <c r="A834" s="0" t="n">
        <v>859</v>
      </c>
      <c r="B834" s="68" t="n">
        <v>45555</v>
      </c>
      <c r="C834" s="69" t="s">
        <v>30</v>
      </c>
      <c r="D834" s="69" t="s">
        <v>109</v>
      </c>
      <c r="E834" s="69" t="s">
        <v>138</v>
      </c>
      <c r="F834" s="69" t="s">
        <v>183</v>
      </c>
      <c r="G834" s="69" t="s">
        <v>94</v>
      </c>
      <c r="H834" s="0" t="n">
        <v>28</v>
      </c>
      <c r="I834" s="70" t="n">
        <v>34.3</v>
      </c>
      <c r="J834" s="70" t="n">
        <v>17.85</v>
      </c>
      <c r="K834" s="70" t="n">
        <f aca="false">IF(ISTEXT(H834),VALUE(H834),H834)*I834</f>
        <v>960.4</v>
      </c>
    </row>
    <row r="835" customFormat="false" ht="15" hidden="false" customHeight="false" outlineLevel="0" collapsed="false">
      <c r="A835" s="0" t="n">
        <v>2330</v>
      </c>
      <c r="B835" s="69" t="s">
        <v>463</v>
      </c>
      <c r="C835" s="69" t="s">
        <v>91</v>
      </c>
      <c r="D835" s="69" t="s">
        <v>86</v>
      </c>
      <c r="E835" s="69" t="s">
        <v>98</v>
      </c>
      <c r="F835" s="69" t="s">
        <v>143</v>
      </c>
      <c r="G835" s="69" t="s">
        <v>48</v>
      </c>
      <c r="H835" s="0" t="n">
        <v>58</v>
      </c>
      <c r="I835" s="70" t="n">
        <v>95.38</v>
      </c>
      <c r="J835" s="70" t="n">
        <v>49.41</v>
      </c>
      <c r="K835" s="70" t="n">
        <f aca="false">IF(ISTEXT(H835),VALUE(H835),H835)*I835</f>
        <v>5532.04</v>
      </c>
    </row>
    <row r="836" customFormat="false" ht="15" hidden="false" customHeight="false" outlineLevel="0" collapsed="false">
      <c r="A836" s="0" t="n">
        <v>319</v>
      </c>
      <c r="B836" s="69" t="s">
        <v>464</v>
      </c>
      <c r="C836" s="69" t="s">
        <v>25</v>
      </c>
      <c r="D836" s="69" t="s">
        <v>97</v>
      </c>
      <c r="E836" s="69" t="s">
        <v>110</v>
      </c>
      <c r="F836" s="69" t="s">
        <v>183</v>
      </c>
      <c r="G836" s="69" t="s">
        <v>53</v>
      </c>
      <c r="H836" s="0" t="n">
        <v>53</v>
      </c>
      <c r="I836" s="70" t="n">
        <v>34.3</v>
      </c>
      <c r="J836" s="70" t="n">
        <v>17.85</v>
      </c>
      <c r="K836" s="70" t="n">
        <f aca="false">IF(ISTEXT(H836),VALUE(H836),H836)*I836</f>
        <v>1817.9</v>
      </c>
    </row>
    <row r="837" customFormat="false" ht="15" hidden="false" customHeight="false" outlineLevel="0" collapsed="false">
      <c r="A837" s="0" t="n">
        <v>1559</v>
      </c>
      <c r="B837" s="69" t="s">
        <v>465</v>
      </c>
      <c r="C837" s="69" t="s">
        <v>30</v>
      </c>
      <c r="D837" s="69" t="s">
        <v>109</v>
      </c>
      <c r="E837" s="69" t="s">
        <v>138</v>
      </c>
      <c r="F837" s="69" t="s">
        <v>183</v>
      </c>
      <c r="G837" s="69" t="s">
        <v>94</v>
      </c>
      <c r="H837" s="0" t="n">
        <v>23</v>
      </c>
      <c r="I837" s="70" t="n">
        <v>34.78</v>
      </c>
      <c r="J837" s="70" t="n">
        <v>18.39</v>
      </c>
      <c r="K837" s="70" t="n">
        <f aca="false">IF(ISTEXT(H837),VALUE(H837),H837)*I837</f>
        <v>799.94</v>
      </c>
    </row>
    <row r="838" customFormat="false" ht="15" hidden="false" customHeight="false" outlineLevel="0" collapsed="false">
      <c r="A838" s="0" t="n">
        <v>1006</v>
      </c>
      <c r="B838" s="69" t="s">
        <v>466</v>
      </c>
      <c r="C838" s="69" t="s">
        <v>96</v>
      </c>
      <c r="D838" s="69" t="s">
        <v>97</v>
      </c>
      <c r="E838" s="69" t="s">
        <v>107</v>
      </c>
      <c r="F838" s="69" t="s">
        <v>26</v>
      </c>
      <c r="G838" s="69" t="s">
        <v>141</v>
      </c>
      <c r="H838" s="0" t="n">
        <v>11</v>
      </c>
      <c r="I838" s="70" t="n">
        <v>1617</v>
      </c>
      <c r="J838" s="70" t="n">
        <v>1122</v>
      </c>
      <c r="K838" s="70" t="n">
        <f aca="false">IF(ISTEXT(H838),VALUE(H838),H838)*I838</f>
        <v>17787</v>
      </c>
    </row>
    <row r="839" customFormat="false" ht="15" hidden="false" customHeight="false" outlineLevel="0" collapsed="false">
      <c r="A839" s="0" t="n">
        <v>2028</v>
      </c>
      <c r="B839" s="69" t="s">
        <v>467</v>
      </c>
      <c r="C839" s="69" t="s">
        <v>159</v>
      </c>
      <c r="D839" s="69" t="s">
        <v>86</v>
      </c>
      <c r="E839" s="69" t="s">
        <v>87</v>
      </c>
      <c r="F839" s="69" t="s">
        <v>28</v>
      </c>
      <c r="G839" s="69" t="s">
        <v>47</v>
      </c>
      <c r="H839" s="0" t="n">
        <v>44</v>
      </c>
      <c r="I839" s="70" t="n">
        <v>28.11</v>
      </c>
      <c r="J839" s="70" t="n">
        <v>13.84</v>
      </c>
      <c r="K839" s="70" t="n">
        <f aca="false">IF(ISTEXT(H839),VALUE(H839),H839)*I839</f>
        <v>1236.84</v>
      </c>
    </row>
    <row r="840" customFormat="false" ht="15" hidden="false" customHeight="false" outlineLevel="0" collapsed="false">
      <c r="A840" s="0" t="n">
        <v>1163</v>
      </c>
      <c r="B840" s="68" t="n">
        <v>45641</v>
      </c>
      <c r="C840" s="69" t="s">
        <v>32</v>
      </c>
      <c r="D840" s="69" t="s">
        <v>137</v>
      </c>
      <c r="E840" s="69" t="s">
        <v>110</v>
      </c>
      <c r="F840" s="69" t="s">
        <v>135</v>
      </c>
      <c r="G840" s="69" t="s">
        <v>89</v>
      </c>
      <c r="H840" s="0" t="n">
        <v>9</v>
      </c>
      <c r="I840" s="70" t="n">
        <v>441</v>
      </c>
      <c r="J840" s="70" t="n">
        <v>272.25</v>
      </c>
      <c r="K840" s="70" t="n">
        <f aca="false">IF(ISTEXT(H840),VALUE(H840),H840)*I840</f>
        <v>3969</v>
      </c>
    </row>
    <row r="841" customFormat="false" ht="15" hidden="false" customHeight="false" outlineLevel="0" collapsed="false">
      <c r="A841" s="0" t="n">
        <v>790</v>
      </c>
      <c r="B841" s="69" t="s">
        <v>468</v>
      </c>
      <c r="C841" s="69" t="s">
        <v>34</v>
      </c>
      <c r="D841" s="69" t="s">
        <v>112</v>
      </c>
      <c r="E841" s="69" t="s">
        <v>125</v>
      </c>
      <c r="F841" s="69" t="s">
        <v>102</v>
      </c>
      <c r="G841" s="69" t="s">
        <v>172</v>
      </c>
      <c r="H841" s="0" t="n">
        <v>12</v>
      </c>
      <c r="I841" s="70" t="n">
        <v>93.1</v>
      </c>
      <c r="J841" s="70" t="n">
        <v>47.98</v>
      </c>
      <c r="K841" s="70" t="n">
        <f aca="false">IF(ISTEXT(H841),VALUE(H841),H841)*I841</f>
        <v>1117.2</v>
      </c>
    </row>
    <row r="842" customFormat="false" ht="15" hidden="false" customHeight="false" outlineLevel="0" collapsed="false">
      <c r="A842" s="0" t="n">
        <v>1830</v>
      </c>
      <c r="B842" s="68" t="n">
        <v>45851</v>
      </c>
      <c r="C842" s="69" t="s">
        <v>91</v>
      </c>
      <c r="D842" s="69" t="s">
        <v>86</v>
      </c>
      <c r="E842" s="69" t="s">
        <v>119</v>
      </c>
      <c r="F842" s="69" t="s">
        <v>102</v>
      </c>
      <c r="G842" s="69" t="s">
        <v>172</v>
      </c>
      <c r="H842" s="0" t="n">
        <v>37</v>
      </c>
      <c r="I842" s="70" t="n">
        <v>95.38</v>
      </c>
      <c r="J842" s="70" t="n">
        <v>49.41</v>
      </c>
      <c r="K842" s="70" t="n">
        <f aca="false">IF(ISTEXT(H842),VALUE(H842),H842)*I842</f>
        <v>3529.06</v>
      </c>
    </row>
    <row r="843" customFormat="false" ht="15" hidden="false" customHeight="false" outlineLevel="0" collapsed="false">
      <c r="A843" s="0" t="n">
        <v>1651</v>
      </c>
      <c r="B843" s="69" t="s">
        <v>469</v>
      </c>
      <c r="C843" s="69" t="s">
        <v>30</v>
      </c>
      <c r="D843" s="69" t="s">
        <v>109</v>
      </c>
      <c r="E843" s="69" t="s">
        <v>134</v>
      </c>
      <c r="F843" s="69" t="s">
        <v>99</v>
      </c>
      <c r="G843" s="69" t="s">
        <v>49</v>
      </c>
      <c r="H843" s="0" t="n">
        <v>44</v>
      </c>
      <c r="I843" s="70" t="n">
        <v>64.58</v>
      </c>
      <c r="J843" s="70" t="n">
        <v>36.49</v>
      </c>
      <c r="K843" s="70" t="n">
        <f aca="false">IF(ISTEXT(H843),VALUE(H843),H843)*I843</f>
        <v>2841.52</v>
      </c>
    </row>
    <row r="844" customFormat="false" ht="15" hidden="false" customHeight="false" outlineLevel="0" collapsed="false">
      <c r="A844" s="0" t="n">
        <v>2370</v>
      </c>
      <c r="B844" s="68" t="n">
        <v>46004</v>
      </c>
      <c r="C844" s="69" t="s">
        <v>136</v>
      </c>
      <c r="D844" s="69" t="s">
        <v>137</v>
      </c>
      <c r="E844" s="69" t="s">
        <v>98</v>
      </c>
      <c r="F844" s="69" t="s">
        <v>102</v>
      </c>
      <c r="G844" s="69" t="s">
        <v>48</v>
      </c>
      <c r="H844" s="0" t="n">
        <v>30</v>
      </c>
      <c r="I844" s="70" t="n">
        <v>95.38</v>
      </c>
      <c r="J844" s="70" t="n">
        <v>49.41</v>
      </c>
      <c r="K844" s="70" t="n">
        <f aca="false">IF(ISTEXT(H844),VALUE(H844),H844)*I844</f>
        <v>2861.4</v>
      </c>
    </row>
    <row r="845" customFormat="false" ht="15" hidden="false" customHeight="false" outlineLevel="0" collapsed="false">
      <c r="A845" s="0" t="n">
        <v>718</v>
      </c>
      <c r="B845" s="68" t="n">
        <v>45509</v>
      </c>
      <c r="C845" s="69" t="s">
        <v>96</v>
      </c>
      <c r="D845" s="69" t="s">
        <v>97</v>
      </c>
      <c r="E845" s="69" t="s">
        <v>87</v>
      </c>
      <c r="F845" s="69" t="s">
        <v>93</v>
      </c>
      <c r="G845" s="69" t="s">
        <v>52</v>
      </c>
      <c r="H845" s="0" t="s">
        <v>284</v>
      </c>
      <c r="I845" s="70" t="n">
        <v>127.4</v>
      </c>
      <c r="J845" s="70" t="n">
        <v>76.05</v>
      </c>
      <c r="K845" s="70" t="n">
        <f aca="false">IF(ISTEXT(H845),VALUE(H845),H845)*I845</f>
        <v>2420.6</v>
      </c>
    </row>
    <row r="846" customFormat="false" ht="15" hidden="false" customHeight="false" outlineLevel="0" collapsed="false">
      <c r="A846" s="0" t="n">
        <v>2015</v>
      </c>
      <c r="B846" s="69" t="s">
        <v>470</v>
      </c>
      <c r="C846" s="69" t="s">
        <v>96</v>
      </c>
      <c r="D846" s="69" t="s">
        <v>97</v>
      </c>
      <c r="E846" s="69" t="s">
        <v>110</v>
      </c>
      <c r="F846" s="69" t="s">
        <v>162</v>
      </c>
      <c r="G846" s="69" t="s">
        <v>51</v>
      </c>
      <c r="H846" s="0" t="n">
        <v>36</v>
      </c>
      <c r="I846" s="70" t="n">
        <v>85.34</v>
      </c>
      <c r="J846" s="70" t="n">
        <v>49.47</v>
      </c>
      <c r="K846" s="70" t="n">
        <f aca="false">IF(ISTEXT(H846),VALUE(H846),H846)*I846</f>
        <v>3072.24</v>
      </c>
    </row>
    <row r="847" customFormat="false" ht="15" hidden="false" customHeight="false" outlineLevel="0" collapsed="false">
      <c r="A847" s="0" t="n">
        <v>262</v>
      </c>
      <c r="B847" s="68" t="n">
        <v>45377</v>
      </c>
      <c r="C847" s="69" t="s">
        <v>184</v>
      </c>
      <c r="D847" s="69" t="s">
        <v>137</v>
      </c>
      <c r="E847" s="69" t="s">
        <v>125</v>
      </c>
      <c r="F847" s="69" t="s">
        <v>26</v>
      </c>
      <c r="G847" s="69" t="s">
        <v>41</v>
      </c>
      <c r="H847" s="0" t="n">
        <v>2</v>
      </c>
      <c r="I847" s="70" t="n">
        <v>1176</v>
      </c>
      <c r="J847" s="70" t="n">
        <v>744</v>
      </c>
      <c r="K847" s="70" t="n">
        <f aca="false">IF(ISTEXT(H847),VALUE(H847),H847)*I847</f>
        <v>2352</v>
      </c>
    </row>
    <row r="848" customFormat="false" ht="15" hidden="false" customHeight="false" outlineLevel="0" collapsed="false">
      <c r="A848" s="0" t="n">
        <v>1435</v>
      </c>
      <c r="B848" s="68" t="n">
        <v>45718</v>
      </c>
      <c r="C848" s="69" t="s">
        <v>91</v>
      </c>
      <c r="D848" s="69" t="s">
        <v>86</v>
      </c>
      <c r="E848" s="69" t="s">
        <v>138</v>
      </c>
      <c r="F848" s="69" t="s">
        <v>31</v>
      </c>
      <c r="G848" s="69" t="s">
        <v>111</v>
      </c>
      <c r="H848" s="0" t="s">
        <v>254</v>
      </c>
      <c r="I848" s="70" t="n">
        <v>84.46</v>
      </c>
      <c r="J848" s="70" t="n">
        <v>49.47</v>
      </c>
      <c r="K848" s="70" t="n">
        <f aca="false">IF(ISTEXT(H848),VALUE(H848),H848)*I848</f>
        <v>1689.2</v>
      </c>
    </row>
    <row r="849" customFormat="false" ht="15" hidden="false" customHeight="false" outlineLevel="0" collapsed="false">
      <c r="A849" s="0" t="n">
        <v>2181</v>
      </c>
      <c r="B849" s="68" t="n">
        <v>45943</v>
      </c>
      <c r="C849" s="69" t="s">
        <v>133</v>
      </c>
      <c r="D849" s="69" t="s">
        <v>112</v>
      </c>
      <c r="E849" s="69" t="s">
        <v>110</v>
      </c>
      <c r="F849" s="69" t="s">
        <v>26</v>
      </c>
      <c r="G849" s="69" t="s">
        <v>151</v>
      </c>
      <c r="H849" s="0" t="n">
        <v>7</v>
      </c>
      <c r="I849" s="70" t="n">
        <v>1204.74</v>
      </c>
      <c r="J849" s="70" t="n">
        <v>766.32</v>
      </c>
      <c r="K849" s="70" t="n">
        <f aca="false">IF(ISTEXT(H849),VALUE(H849),H849)*I849</f>
        <v>8433.18</v>
      </c>
    </row>
    <row r="850" customFormat="false" ht="15" hidden="false" customHeight="false" outlineLevel="0" collapsed="false">
      <c r="A850" s="0" t="n">
        <v>2320</v>
      </c>
      <c r="B850" s="69" t="s">
        <v>471</v>
      </c>
      <c r="C850" s="69" t="s">
        <v>150</v>
      </c>
      <c r="D850" s="69" t="s">
        <v>97</v>
      </c>
      <c r="E850" s="69" t="s">
        <v>107</v>
      </c>
      <c r="F850" s="69" t="s">
        <v>168</v>
      </c>
      <c r="G850" s="69" t="s">
        <v>53</v>
      </c>
      <c r="H850" s="0" t="n">
        <v>47</v>
      </c>
      <c r="I850" s="70" t="n">
        <v>35.14</v>
      </c>
      <c r="J850" s="70" t="n">
        <v>18.39</v>
      </c>
      <c r="K850" s="70" t="n">
        <f aca="false">IF(ISTEXT(H850),VALUE(H850),H850)*I850</f>
        <v>1651.58</v>
      </c>
    </row>
    <row r="851" customFormat="false" ht="15" hidden="false" customHeight="false" outlineLevel="0" collapsed="false">
      <c r="A851" s="0" t="n">
        <v>163</v>
      </c>
      <c r="B851" s="68" t="n">
        <v>45330</v>
      </c>
      <c r="C851" s="69" t="s">
        <v>32</v>
      </c>
      <c r="D851" s="69" t="s">
        <v>137</v>
      </c>
      <c r="E851" s="69" t="s">
        <v>121</v>
      </c>
      <c r="F851" s="69" t="s">
        <v>139</v>
      </c>
      <c r="G851" s="69" t="s">
        <v>89</v>
      </c>
      <c r="H851" s="0" t="n">
        <v>6</v>
      </c>
      <c r="I851" s="70" t="n">
        <v>441</v>
      </c>
      <c r="J851" s="70" t="n">
        <v>272.25</v>
      </c>
      <c r="K851" s="70" t="n">
        <f aca="false">IF(ISTEXT(H851),VALUE(H851),H851)*I851</f>
        <v>2646</v>
      </c>
    </row>
    <row r="852" customFormat="false" ht="15" hidden="false" customHeight="false" outlineLevel="0" collapsed="false">
      <c r="A852" s="0" t="n">
        <v>2198</v>
      </c>
      <c r="B852" s="68" t="n">
        <v>45954</v>
      </c>
      <c r="C852" s="69" t="s">
        <v>133</v>
      </c>
      <c r="D852" s="69" t="s">
        <v>112</v>
      </c>
      <c r="E852" s="69" t="s">
        <v>125</v>
      </c>
      <c r="F852" s="69" t="s">
        <v>33</v>
      </c>
      <c r="G852" s="69" t="s">
        <v>52</v>
      </c>
      <c r="H852" s="0" t="n">
        <v>12</v>
      </c>
      <c r="I852" s="70" t="n">
        <v>130.51</v>
      </c>
      <c r="J852" s="70" t="n">
        <v>78.33</v>
      </c>
      <c r="K852" s="70" t="n">
        <f aca="false">IF(ISTEXT(H852),VALUE(H852),H852)*I852</f>
        <v>1566.12</v>
      </c>
    </row>
    <row r="853" customFormat="false" ht="15" hidden="false" customHeight="false" outlineLevel="0" collapsed="false">
      <c r="A853" s="0" t="n">
        <v>1501</v>
      </c>
      <c r="B853" s="69" t="s">
        <v>307</v>
      </c>
      <c r="C853" s="69" t="s">
        <v>96</v>
      </c>
      <c r="D853" s="69" t="s">
        <v>97</v>
      </c>
      <c r="E853" s="69" t="s">
        <v>110</v>
      </c>
      <c r="F853" s="69" t="s">
        <v>139</v>
      </c>
      <c r="G853" s="69" t="s">
        <v>151</v>
      </c>
      <c r="H853" s="0" t="n">
        <v>19</v>
      </c>
      <c r="I853" s="70" t="n">
        <v>1155.06</v>
      </c>
      <c r="J853" s="70" t="n">
        <v>766.32</v>
      </c>
      <c r="K853" s="70" t="n">
        <f aca="false">IF(ISTEXT(H853),VALUE(H853),H853)*I853</f>
        <v>21946.14</v>
      </c>
    </row>
    <row r="854" customFormat="false" ht="15" hidden="false" customHeight="false" outlineLevel="0" collapsed="false">
      <c r="A854" s="0" t="n">
        <v>17</v>
      </c>
      <c r="B854" s="68" t="n">
        <v>45303</v>
      </c>
      <c r="C854" s="69" t="s">
        <v>96</v>
      </c>
      <c r="D854" s="69" t="s">
        <v>97</v>
      </c>
      <c r="E854" s="69" t="s">
        <v>92</v>
      </c>
      <c r="F854" s="69" t="s">
        <v>93</v>
      </c>
      <c r="G854" s="69" t="s">
        <v>127</v>
      </c>
      <c r="H854" s="0" t="n">
        <v>49</v>
      </c>
      <c r="I854" s="70" t="n">
        <v>127.4</v>
      </c>
      <c r="J854" s="70" t="n">
        <v>76.05</v>
      </c>
      <c r="K854" s="70" t="n">
        <f aca="false">IF(ISTEXT(H854),VALUE(H854),H854)*I854</f>
        <v>6242.6</v>
      </c>
    </row>
    <row r="855" customFormat="false" ht="15" hidden="false" customHeight="false" outlineLevel="0" collapsed="false">
      <c r="A855" s="0" t="n">
        <v>1474</v>
      </c>
      <c r="B855" s="68" t="n">
        <v>45721</v>
      </c>
      <c r="C855" s="69" t="s">
        <v>136</v>
      </c>
      <c r="D855" s="69" t="s">
        <v>137</v>
      </c>
      <c r="E855" s="69" t="s">
        <v>180</v>
      </c>
      <c r="F855" s="69" t="s">
        <v>115</v>
      </c>
      <c r="G855" s="69" t="s">
        <v>50</v>
      </c>
      <c r="H855" s="0" t="s">
        <v>148</v>
      </c>
      <c r="I855" s="70" t="n">
        <v>119.23</v>
      </c>
      <c r="J855" s="70" t="n">
        <v>65.51</v>
      </c>
      <c r="K855" s="70" t="n">
        <f aca="false">IF(ISTEXT(H855),VALUE(H855),H855)*I855</f>
        <v>953.84</v>
      </c>
    </row>
    <row r="856" customFormat="false" ht="15" hidden="false" customHeight="false" outlineLevel="0" collapsed="false">
      <c r="A856" s="0" t="n">
        <v>1054</v>
      </c>
      <c r="B856" s="69" t="s">
        <v>472</v>
      </c>
      <c r="C856" s="69" t="s">
        <v>118</v>
      </c>
      <c r="D856" s="69" t="s">
        <v>109</v>
      </c>
      <c r="E856" s="69" t="s">
        <v>87</v>
      </c>
      <c r="F856" s="69" t="s">
        <v>31</v>
      </c>
      <c r="G856" s="69" t="s">
        <v>171</v>
      </c>
      <c r="H856" s="0" t="n">
        <v>8</v>
      </c>
      <c r="I856" s="70" t="n">
        <v>117.6</v>
      </c>
      <c r="J856" s="70" t="n">
        <v>63.6</v>
      </c>
      <c r="K856" s="70" t="n">
        <f aca="false">IF(ISTEXT(H856),VALUE(H856),H856)*I856</f>
        <v>940.8</v>
      </c>
    </row>
    <row r="857" customFormat="false" ht="15" hidden="false" customHeight="false" outlineLevel="0" collapsed="false">
      <c r="A857" s="0" t="n">
        <v>1636</v>
      </c>
      <c r="B857" s="68" t="n">
        <v>45782</v>
      </c>
      <c r="C857" s="69" t="s">
        <v>91</v>
      </c>
      <c r="D857" s="69" t="s">
        <v>86</v>
      </c>
      <c r="E857" s="69" t="s">
        <v>180</v>
      </c>
      <c r="F857" s="69" t="s">
        <v>166</v>
      </c>
      <c r="G857" s="69" t="s">
        <v>51</v>
      </c>
      <c r="H857" s="0" t="n">
        <v>18</v>
      </c>
      <c r="I857" s="70" t="n">
        <v>84.46</v>
      </c>
      <c r="J857" s="70" t="n">
        <v>49.47</v>
      </c>
      <c r="K857" s="70" t="n">
        <f aca="false">IF(ISTEXT(H857),VALUE(H857),H857)*I857</f>
        <v>1520.28</v>
      </c>
    </row>
    <row r="858" customFormat="false" ht="15" hidden="false" customHeight="false" outlineLevel="0" collapsed="false">
      <c r="A858" s="0" t="n">
        <v>2019</v>
      </c>
      <c r="B858" s="68" t="n">
        <v>45913</v>
      </c>
      <c r="C858" s="69" t="s">
        <v>96</v>
      </c>
      <c r="D858" s="69" t="s">
        <v>97</v>
      </c>
      <c r="E858" s="69" t="s">
        <v>138</v>
      </c>
      <c r="F858" s="69" t="s">
        <v>168</v>
      </c>
      <c r="G858" s="69" t="s">
        <v>94</v>
      </c>
      <c r="H858" s="0" t="s">
        <v>293</v>
      </c>
      <c r="I858" s="70" t="n">
        <v>35.14</v>
      </c>
      <c r="J858" s="70" t="n">
        <v>18.39</v>
      </c>
      <c r="K858" s="70" t="n">
        <f aca="false">IF(ISTEXT(H858),VALUE(H858),H858)*I858</f>
        <v>1686.72</v>
      </c>
    </row>
    <row r="859" customFormat="false" ht="15" hidden="false" customHeight="false" outlineLevel="0" collapsed="false">
      <c r="A859" s="0" t="n">
        <v>1612</v>
      </c>
      <c r="B859" s="68" t="n">
        <v>45803</v>
      </c>
      <c r="C859" s="69" t="s">
        <v>124</v>
      </c>
      <c r="D859" s="69" t="s">
        <v>97</v>
      </c>
      <c r="E859" s="69" t="s">
        <v>119</v>
      </c>
      <c r="F859" s="69" t="s">
        <v>143</v>
      </c>
      <c r="G859" s="69" t="s">
        <v>49</v>
      </c>
      <c r="H859" s="0" t="n">
        <v>72</v>
      </c>
      <c r="I859" s="70" t="n">
        <v>64.58</v>
      </c>
      <c r="J859" s="70" t="n">
        <v>36.49</v>
      </c>
      <c r="K859" s="70" t="n">
        <f aca="false">IF(ISTEXT(H859),VALUE(H859),H859)*I859</f>
        <v>4649.76</v>
      </c>
    </row>
    <row r="860" customFormat="false" ht="15" hidden="false" customHeight="false" outlineLevel="0" collapsed="false">
      <c r="A860" s="0" t="n">
        <v>2175</v>
      </c>
      <c r="B860" s="69" t="s">
        <v>473</v>
      </c>
      <c r="C860" s="69" t="s">
        <v>32</v>
      </c>
      <c r="D860" s="69" t="s">
        <v>137</v>
      </c>
      <c r="E860" s="69" t="s">
        <v>138</v>
      </c>
      <c r="F860" s="69" t="s">
        <v>166</v>
      </c>
      <c r="G860" s="69" t="s">
        <v>51</v>
      </c>
      <c r="H860" s="0" t="n">
        <v>15</v>
      </c>
      <c r="I860" s="70" t="n">
        <v>85.34</v>
      </c>
      <c r="J860" s="70" t="n">
        <v>49.47</v>
      </c>
      <c r="K860" s="70" t="n">
        <f aca="false">IF(ISTEXT(H860),VALUE(H860),H860)*I860</f>
        <v>1280.1</v>
      </c>
    </row>
    <row r="861" customFormat="false" ht="15" hidden="false" customHeight="false" outlineLevel="0" collapsed="false">
      <c r="A861" s="0" t="n">
        <v>2040</v>
      </c>
      <c r="B861" s="68" t="n">
        <v>45925</v>
      </c>
      <c r="C861" s="69" t="s">
        <v>91</v>
      </c>
      <c r="D861" s="69" t="s">
        <v>86</v>
      </c>
      <c r="E861" s="69" t="s">
        <v>119</v>
      </c>
      <c r="F861" s="69" t="s">
        <v>168</v>
      </c>
      <c r="G861" s="69" t="s">
        <v>94</v>
      </c>
      <c r="H861" s="0" t="n">
        <v>19</v>
      </c>
      <c r="I861" s="70" t="n">
        <v>35.14</v>
      </c>
      <c r="J861" s="70" t="n">
        <v>18.39</v>
      </c>
      <c r="K861" s="70" t="n">
        <f aca="false">IF(ISTEXT(H861),VALUE(H861),H861)*I861</f>
        <v>667.66</v>
      </c>
    </row>
    <row r="862" customFormat="false" ht="15" hidden="false" customHeight="false" outlineLevel="0" collapsed="false">
      <c r="A862" s="0" t="n">
        <v>694</v>
      </c>
      <c r="B862" s="68" t="n">
        <v>45499</v>
      </c>
      <c r="C862" s="69" t="s">
        <v>34</v>
      </c>
      <c r="D862" s="69" t="s">
        <v>112</v>
      </c>
      <c r="E862" s="69" t="s">
        <v>107</v>
      </c>
      <c r="F862" s="69" t="s">
        <v>166</v>
      </c>
      <c r="G862" s="69" t="s">
        <v>50</v>
      </c>
      <c r="H862" s="0" t="n">
        <v>5</v>
      </c>
      <c r="I862" s="70" t="n">
        <v>117.6</v>
      </c>
      <c r="J862" s="70" t="n">
        <v>63.6</v>
      </c>
      <c r="K862" s="70" t="n">
        <f aca="false">IF(ISTEXT(H862),VALUE(H862),H862)*I862</f>
        <v>588</v>
      </c>
    </row>
    <row r="863" customFormat="false" ht="15" hidden="false" customHeight="false" outlineLevel="0" collapsed="false">
      <c r="A863" s="0" t="n">
        <v>2238</v>
      </c>
      <c r="B863" s="69" t="s">
        <v>474</v>
      </c>
      <c r="C863" s="69" t="s">
        <v>27</v>
      </c>
      <c r="D863" s="69" t="s">
        <v>86</v>
      </c>
      <c r="E863" s="69" t="s">
        <v>87</v>
      </c>
      <c r="F863" s="69" t="s">
        <v>33</v>
      </c>
      <c r="G863" s="69" t="s">
        <v>127</v>
      </c>
      <c r="H863" s="0" t="n">
        <v>30</v>
      </c>
      <c r="I863" s="70" t="n">
        <v>130.51</v>
      </c>
      <c r="J863" s="70" t="n">
        <v>78.33</v>
      </c>
      <c r="K863" s="70" t="n">
        <f aca="false">IF(ISTEXT(H863),VALUE(H863),H863)*I863</f>
        <v>3915.3</v>
      </c>
    </row>
    <row r="864" customFormat="false" ht="15" hidden="false" customHeight="false" outlineLevel="0" collapsed="false">
      <c r="A864" s="0" t="n">
        <v>247</v>
      </c>
      <c r="B864" s="69" t="s">
        <v>475</v>
      </c>
      <c r="C864" s="69" t="s">
        <v>30</v>
      </c>
      <c r="D864" s="69" t="s">
        <v>109</v>
      </c>
      <c r="E864" s="69" t="s">
        <v>101</v>
      </c>
      <c r="F864" s="69" t="s">
        <v>99</v>
      </c>
      <c r="G864" s="69" t="s">
        <v>47</v>
      </c>
      <c r="H864" s="0" t="n">
        <v>40</v>
      </c>
      <c r="I864" s="70" t="n">
        <v>27.44</v>
      </c>
      <c r="J864" s="70" t="n">
        <v>13.44</v>
      </c>
      <c r="K864" s="70" t="n">
        <f aca="false">IF(ISTEXT(H864),VALUE(H864),H864)*I864</f>
        <v>1097.6</v>
      </c>
    </row>
    <row r="865" customFormat="false" ht="15" hidden="false" customHeight="false" outlineLevel="0" collapsed="false">
      <c r="A865" s="0" t="n">
        <v>1094</v>
      </c>
      <c r="B865" s="69" t="s">
        <v>343</v>
      </c>
      <c r="C865" s="69" t="s">
        <v>142</v>
      </c>
      <c r="D865" s="69" t="s">
        <v>112</v>
      </c>
      <c r="E865" s="69" t="s">
        <v>107</v>
      </c>
      <c r="F865" s="69" t="s">
        <v>166</v>
      </c>
      <c r="G865" s="69" t="s">
        <v>156</v>
      </c>
      <c r="H865" s="0" t="n">
        <v>8</v>
      </c>
      <c r="I865" s="70" t="n">
        <v>117.6</v>
      </c>
      <c r="J865" s="70" t="n">
        <v>63.6</v>
      </c>
      <c r="K865" s="70" t="n">
        <f aca="false">IF(ISTEXT(H865),VALUE(H865),H865)*I865</f>
        <v>940.8</v>
      </c>
    </row>
    <row r="866" customFormat="false" ht="15" hidden="false" customHeight="false" outlineLevel="0" collapsed="false">
      <c r="A866" s="0" t="n">
        <v>623</v>
      </c>
      <c r="B866" s="69" t="s">
        <v>476</v>
      </c>
      <c r="C866" s="69" t="s">
        <v>27</v>
      </c>
      <c r="D866" s="69" t="s">
        <v>86</v>
      </c>
      <c r="E866" s="69" t="s">
        <v>92</v>
      </c>
      <c r="F866" s="69" t="s">
        <v>153</v>
      </c>
      <c r="G866" s="69" t="s">
        <v>43</v>
      </c>
      <c r="H866" s="0" t="n">
        <v>16</v>
      </c>
      <c r="I866" s="70" t="n">
        <v>441</v>
      </c>
      <c r="J866" s="70" t="n">
        <v>272.25</v>
      </c>
      <c r="K866" s="70" t="n">
        <f aca="false">IF(ISTEXT(H866),VALUE(H866),H866)*I866</f>
        <v>7056</v>
      </c>
    </row>
    <row r="867" customFormat="false" ht="15" hidden="false" customHeight="false" outlineLevel="0" collapsed="false">
      <c r="A867" s="0" t="n">
        <v>299</v>
      </c>
      <c r="B867" s="69" t="s">
        <v>477</v>
      </c>
      <c r="C867" s="69" t="s">
        <v>34</v>
      </c>
      <c r="D867" s="69" t="s">
        <v>112</v>
      </c>
      <c r="E867" s="69" t="s">
        <v>138</v>
      </c>
      <c r="F867" s="69" t="s">
        <v>93</v>
      </c>
      <c r="G867" s="69" t="s">
        <v>53</v>
      </c>
      <c r="H867" s="0" t="s">
        <v>213</v>
      </c>
      <c r="I867" s="70" t="n">
        <v>34.3</v>
      </c>
      <c r="J867" s="70" t="n">
        <v>17.85</v>
      </c>
      <c r="K867" s="70" t="n">
        <f aca="false">IF(ISTEXT(H867),VALUE(H867),H867)*I867</f>
        <v>583.1</v>
      </c>
    </row>
    <row r="868" customFormat="false" ht="15" hidden="false" customHeight="false" outlineLevel="0" collapsed="false">
      <c r="A868" s="0" t="n">
        <v>2011</v>
      </c>
      <c r="B868" s="69" t="s">
        <v>478</v>
      </c>
      <c r="C868" s="69" t="s">
        <v>96</v>
      </c>
      <c r="D868" s="69" t="s">
        <v>97</v>
      </c>
      <c r="E868" s="69" t="s">
        <v>92</v>
      </c>
      <c r="F868" s="69" t="s">
        <v>102</v>
      </c>
      <c r="G868" s="69" t="s">
        <v>49</v>
      </c>
      <c r="H868" s="0" t="n">
        <v>91</v>
      </c>
      <c r="I868" s="70" t="n">
        <v>65.26</v>
      </c>
      <c r="J868" s="70" t="n">
        <v>36.49</v>
      </c>
      <c r="K868" s="70" t="n">
        <f aca="false">IF(ISTEXT(H868),VALUE(H868),H868)*I868</f>
        <v>5938.66</v>
      </c>
    </row>
    <row r="869" customFormat="false" ht="15" hidden="false" customHeight="false" outlineLevel="0" collapsed="false">
      <c r="A869" s="0" t="n">
        <v>1270</v>
      </c>
      <c r="B869" s="68" t="n">
        <v>45665</v>
      </c>
      <c r="C869" s="69" t="s">
        <v>193</v>
      </c>
      <c r="D869" s="69" t="s">
        <v>137</v>
      </c>
      <c r="E869" s="69" t="s">
        <v>98</v>
      </c>
      <c r="F869" s="69" t="s">
        <v>102</v>
      </c>
      <c r="G869" s="69" t="s">
        <v>48</v>
      </c>
      <c r="H869" s="0" t="n">
        <v>20</v>
      </c>
      <c r="I869" s="70" t="n">
        <v>94.39</v>
      </c>
      <c r="J869" s="70" t="n">
        <v>49.41</v>
      </c>
      <c r="K869" s="70" t="n">
        <f aca="false">IF(ISTEXT(H869),VALUE(H869),H869)*I869</f>
        <v>1887.8</v>
      </c>
    </row>
    <row r="870" customFormat="false" ht="15" hidden="false" customHeight="false" outlineLevel="0" collapsed="false">
      <c r="A870" s="0" t="n">
        <v>680</v>
      </c>
      <c r="B870" s="68" t="n">
        <v>45482</v>
      </c>
      <c r="C870" s="69" t="s">
        <v>193</v>
      </c>
      <c r="D870" s="69" t="s">
        <v>137</v>
      </c>
      <c r="E870" s="69" t="s">
        <v>119</v>
      </c>
      <c r="F870" s="69" t="s">
        <v>168</v>
      </c>
      <c r="G870" s="69" t="s">
        <v>217</v>
      </c>
      <c r="H870" s="0" t="n">
        <v>8</v>
      </c>
      <c r="I870" s="70" t="n">
        <v>34.3</v>
      </c>
      <c r="J870" s="70" t="n">
        <v>17.85</v>
      </c>
      <c r="K870" s="70" t="n">
        <f aca="false">IF(ISTEXT(H870),VALUE(H870),H870)*I870</f>
        <v>274.4</v>
      </c>
    </row>
    <row r="871" customFormat="false" ht="15" hidden="false" customHeight="false" outlineLevel="0" collapsed="false">
      <c r="A871" s="0" t="n">
        <v>115</v>
      </c>
      <c r="B871" s="68" t="n">
        <v>45345</v>
      </c>
      <c r="C871" s="69" t="s">
        <v>96</v>
      </c>
      <c r="D871" s="69" t="s">
        <v>97</v>
      </c>
      <c r="E871" s="69" t="s">
        <v>138</v>
      </c>
      <c r="F871" s="69" t="s">
        <v>166</v>
      </c>
      <c r="G871" s="69" t="s">
        <v>51</v>
      </c>
      <c r="H871" s="0" t="n">
        <v>38</v>
      </c>
      <c r="I871" s="70" t="n">
        <v>83.3</v>
      </c>
      <c r="J871" s="70" t="n">
        <v>48.03</v>
      </c>
      <c r="K871" s="70" t="n">
        <f aca="false">IF(ISTEXT(H871),VALUE(H871),H871)*I871</f>
        <v>3165.4</v>
      </c>
    </row>
    <row r="872" customFormat="false" ht="15" hidden="false" customHeight="false" outlineLevel="0" collapsed="false">
      <c r="A872" s="0" t="n">
        <v>920</v>
      </c>
      <c r="B872" s="68" t="n">
        <v>45580</v>
      </c>
      <c r="C872" s="69" t="s">
        <v>96</v>
      </c>
      <c r="D872" s="69" t="s">
        <v>97</v>
      </c>
      <c r="E872" s="69" t="s">
        <v>125</v>
      </c>
      <c r="F872" s="69" t="s">
        <v>93</v>
      </c>
      <c r="G872" s="69" t="s">
        <v>53</v>
      </c>
      <c r="H872" s="0" t="n">
        <v>25</v>
      </c>
      <c r="I872" s="70" t="n">
        <v>34.3</v>
      </c>
      <c r="J872" s="70" t="n">
        <v>17.85</v>
      </c>
      <c r="K872" s="70" t="n">
        <f aca="false">IF(ISTEXT(H872),VALUE(H872),H872)*I872</f>
        <v>857.5</v>
      </c>
    </row>
    <row r="873" customFormat="false" ht="15" hidden="false" customHeight="false" outlineLevel="0" collapsed="false">
      <c r="A873" s="0" t="n">
        <v>698</v>
      </c>
      <c r="B873" s="69" t="s">
        <v>479</v>
      </c>
      <c r="C873" s="69" t="s">
        <v>161</v>
      </c>
      <c r="D873" s="69" t="s">
        <v>112</v>
      </c>
      <c r="E873" s="69" t="s">
        <v>119</v>
      </c>
      <c r="F873" s="69" t="s">
        <v>33</v>
      </c>
      <c r="G873" s="69" t="s">
        <v>127</v>
      </c>
      <c r="H873" s="0" t="n">
        <v>9</v>
      </c>
      <c r="I873" s="70" t="n">
        <v>127.4</v>
      </c>
      <c r="J873" s="70" t="n">
        <v>76.05</v>
      </c>
      <c r="K873" s="70" t="n">
        <f aca="false">IF(ISTEXT(H873),VALUE(H873),H873)*I873</f>
        <v>1146.6</v>
      </c>
    </row>
    <row r="874" customFormat="false" ht="15" hidden="false" customHeight="false" outlineLevel="0" collapsed="false">
      <c r="A874" s="0" t="n">
        <v>2351</v>
      </c>
      <c r="B874" s="69" t="s">
        <v>480</v>
      </c>
      <c r="C874" s="69" t="s">
        <v>30</v>
      </c>
      <c r="D874" s="69" t="s">
        <v>109</v>
      </c>
      <c r="E874" s="69" t="s">
        <v>134</v>
      </c>
      <c r="F874" s="69" t="s">
        <v>28</v>
      </c>
      <c r="G874" s="69" t="s">
        <v>144</v>
      </c>
      <c r="H874" s="0" t="n">
        <v>57</v>
      </c>
      <c r="I874" s="70" t="n">
        <v>65.26</v>
      </c>
      <c r="J874" s="70" t="n">
        <v>36.49</v>
      </c>
      <c r="K874" s="70" t="n">
        <f aca="false">IF(ISTEXT(H874),VALUE(H874),H874)*I874</f>
        <v>3719.82</v>
      </c>
    </row>
    <row r="875" customFormat="false" ht="15" hidden="false" customHeight="false" outlineLevel="0" collapsed="false">
      <c r="A875" s="0" t="n">
        <v>2016</v>
      </c>
      <c r="B875" s="69" t="s">
        <v>481</v>
      </c>
      <c r="C875" s="69" t="s">
        <v>25</v>
      </c>
      <c r="D875" s="69" t="s">
        <v>97</v>
      </c>
      <c r="E875" s="69" t="s">
        <v>98</v>
      </c>
      <c r="F875" s="69" t="s">
        <v>166</v>
      </c>
      <c r="G875" s="69" t="s">
        <v>111</v>
      </c>
      <c r="H875" s="0" t="n">
        <v>35</v>
      </c>
      <c r="I875" s="70" t="n">
        <v>85.34</v>
      </c>
      <c r="J875" s="70" t="n">
        <v>49.47</v>
      </c>
      <c r="K875" s="70" t="n">
        <f aca="false">IF(ISTEXT(H875),VALUE(H875),H875)*I875</f>
        <v>2986.9</v>
      </c>
    </row>
    <row r="876" customFormat="false" ht="15" hidden="false" customHeight="false" outlineLevel="0" collapsed="false">
      <c r="A876" s="0" t="n">
        <v>506</v>
      </c>
      <c r="B876" s="68" t="n">
        <v>45449</v>
      </c>
      <c r="C876" s="69" t="s">
        <v>170</v>
      </c>
      <c r="D876" s="69" t="s">
        <v>97</v>
      </c>
      <c r="E876" s="69" t="s">
        <v>125</v>
      </c>
      <c r="F876" s="69" t="s">
        <v>153</v>
      </c>
      <c r="G876" s="69" t="s">
        <v>157</v>
      </c>
      <c r="H876" s="0" t="n">
        <v>9</v>
      </c>
      <c r="I876" s="70" t="n">
        <v>1617</v>
      </c>
      <c r="J876" s="70" t="n">
        <v>1122</v>
      </c>
      <c r="K876" s="70" t="n">
        <f aca="false">IF(ISTEXT(H876),VALUE(H876),H876)*I876</f>
        <v>14553</v>
      </c>
    </row>
    <row r="877" customFormat="false" ht="15" hidden="false" customHeight="false" outlineLevel="0" collapsed="false">
      <c r="A877" s="0" t="n">
        <v>1601</v>
      </c>
      <c r="B877" s="68" t="n">
        <v>45780</v>
      </c>
      <c r="C877" s="69" t="s">
        <v>96</v>
      </c>
      <c r="D877" s="69" t="s">
        <v>97</v>
      </c>
      <c r="E877" s="69" t="s">
        <v>121</v>
      </c>
      <c r="F877" s="69" t="s">
        <v>26</v>
      </c>
      <c r="G877" s="69" t="s">
        <v>41</v>
      </c>
      <c r="H877" s="0" t="n">
        <v>23</v>
      </c>
      <c r="I877" s="70" t="n">
        <v>1155.06</v>
      </c>
      <c r="J877" s="70" t="n">
        <v>766.32</v>
      </c>
      <c r="K877" s="70" t="n">
        <f aca="false">IF(ISTEXT(H877),VALUE(H877),H877)*I877</f>
        <v>26566.38</v>
      </c>
    </row>
    <row r="878" customFormat="false" ht="15" hidden="false" customHeight="false" outlineLevel="0" collapsed="false">
      <c r="A878" s="0" t="n">
        <v>763</v>
      </c>
      <c r="B878" s="69" t="s">
        <v>468</v>
      </c>
      <c r="C878" s="69" t="s">
        <v>193</v>
      </c>
      <c r="D878" s="69" t="s">
        <v>137</v>
      </c>
      <c r="E878" s="69" t="s">
        <v>134</v>
      </c>
      <c r="F878" s="69" t="s">
        <v>153</v>
      </c>
      <c r="G878" s="69" t="s">
        <v>89</v>
      </c>
      <c r="H878" s="0" t="s">
        <v>229</v>
      </c>
      <c r="I878" s="70" t="n">
        <v>441</v>
      </c>
      <c r="J878" s="70" t="n">
        <v>272.25</v>
      </c>
      <c r="K878" s="70" t="n">
        <f aca="false">IF(ISTEXT(H878),VALUE(H878),H878)*I878</f>
        <v>3087</v>
      </c>
    </row>
    <row r="879" customFormat="false" ht="15" hidden="false" customHeight="false" outlineLevel="0" collapsed="false">
      <c r="A879" s="0" t="n">
        <v>1206</v>
      </c>
      <c r="B879" s="69" t="s">
        <v>482</v>
      </c>
      <c r="C879" s="69" t="s">
        <v>170</v>
      </c>
      <c r="D879" s="69" t="s">
        <v>97</v>
      </c>
      <c r="E879" s="69" t="s">
        <v>119</v>
      </c>
      <c r="F879" s="69" t="s">
        <v>26</v>
      </c>
      <c r="G879" s="69" t="s">
        <v>157</v>
      </c>
      <c r="H879" s="0" t="n">
        <v>12</v>
      </c>
      <c r="I879" s="70" t="n">
        <v>1588.21</v>
      </c>
      <c r="J879" s="70" t="n">
        <v>1155.66</v>
      </c>
      <c r="K879" s="70" t="n">
        <f aca="false">IF(ISTEXT(H879),VALUE(H879),H879)*I879</f>
        <v>19058.52</v>
      </c>
    </row>
    <row r="880" customFormat="false" ht="15" hidden="false" customHeight="false" outlineLevel="0" collapsed="false">
      <c r="A880" s="0" t="n">
        <v>401</v>
      </c>
      <c r="B880" s="68" t="n">
        <v>45439</v>
      </c>
      <c r="C880" s="69" t="s">
        <v>124</v>
      </c>
      <c r="D880" s="69" t="s">
        <v>97</v>
      </c>
      <c r="E880" s="69" t="s">
        <v>92</v>
      </c>
      <c r="F880" s="69" t="s">
        <v>26</v>
      </c>
      <c r="G880" s="69" t="s">
        <v>151</v>
      </c>
      <c r="H880" s="0" t="n">
        <v>21</v>
      </c>
      <c r="I880" s="70" t="n">
        <v>1176</v>
      </c>
      <c r="J880" s="70" t="n">
        <v>744</v>
      </c>
      <c r="K880" s="70" t="n">
        <f aca="false">IF(ISTEXT(H880),VALUE(H880),H880)*I880</f>
        <v>24696</v>
      </c>
    </row>
    <row r="881" customFormat="false" ht="15" hidden="false" customHeight="false" outlineLevel="0" collapsed="false">
      <c r="A881" s="0" t="n">
        <v>2139</v>
      </c>
      <c r="B881" s="68" t="n">
        <v>45946</v>
      </c>
      <c r="C881" s="69" t="s">
        <v>159</v>
      </c>
      <c r="D881" s="69" t="s">
        <v>86</v>
      </c>
      <c r="E881" s="69" t="s">
        <v>121</v>
      </c>
      <c r="F881" s="69" t="s">
        <v>93</v>
      </c>
      <c r="G881" s="69" t="s">
        <v>94</v>
      </c>
      <c r="H881" s="0" t="s">
        <v>483</v>
      </c>
      <c r="I881" s="70" t="n">
        <v>35.14</v>
      </c>
      <c r="J881" s="70" t="n">
        <v>18.39</v>
      </c>
      <c r="K881" s="70" t="n">
        <f aca="false">IF(ISTEXT(H881),VALUE(H881),H881)*I881</f>
        <v>1054.2</v>
      </c>
    </row>
    <row r="882" customFormat="false" ht="15" hidden="false" customHeight="false" outlineLevel="0" collapsed="false">
      <c r="A882" s="0" t="n">
        <v>1578</v>
      </c>
      <c r="B882" s="68" t="n">
        <v>45751</v>
      </c>
      <c r="C882" s="69" t="s">
        <v>32</v>
      </c>
      <c r="D882" s="69" t="s">
        <v>137</v>
      </c>
      <c r="E882" s="69" t="s">
        <v>107</v>
      </c>
      <c r="F882" s="69" t="s">
        <v>183</v>
      </c>
      <c r="G882" s="69" t="s">
        <v>130</v>
      </c>
      <c r="H882" s="0" t="n">
        <v>13</v>
      </c>
      <c r="I882" s="70" t="n">
        <v>129.17</v>
      </c>
      <c r="J882" s="70" t="n">
        <v>78.33</v>
      </c>
      <c r="K882" s="70" t="n">
        <f aca="false">IF(ISTEXT(H882),VALUE(H882),H882)*I882</f>
        <v>1679.21</v>
      </c>
    </row>
    <row r="883" customFormat="false" ht="15" hidden="false" customHeight="false" outlineLevel="0" collapsed="false">
      <c r="A883" s="0" t="n">
        <v>624</v>
      </c>
      <c r="B883" s="69" t="s">
        <v>484</v>
      </c>
      <c r="C883" s="69" t="s">
        <v>91</v>
      </c>
      <c r="D883" s="69" t="s">
        <v>86</v>
      </c>
      <c r="E883" s="69" t="s">
        <v>107</v>
      </c>
      <c r="F883" s="69" t="s">
        <v>139</v>
      </c>
      <c r="G883" s="69" t="s">
        <v>89</v>
      </c>
      <c r="H883" s="0" t="n">
        <v>5</v>
      </c>
      <c r="I883" s="70" t="n">
        <v>441</v>
      </c>
      <c r="J883" s="70" t="n">
        <v>272.25</v>
      </c>
      <c r="K883" s="70" t="n">
        <f aca="false">IF(ISTEXT(H883),VALUE(H883),H883)*I883</f>
        <v>2205</v>
      </c>
    </row>
    <row r="884" customFormat="false" ht="15" hidden="false" customHeight="false" outlineLevel="0" collapsed="false">
      <c r="A884" s="0" t="n">
        <v>218</v>
      </c>
      <c r="B884" s="68" t="n">
        <v>45366</v>
      </c>
      <c r="C884" s="69" t="s">
        <v>124</v>
      </c>
      <c r="D884" s="69" t="s">
        <v>97</v>
      </c>
      <c r="E884" s="69" t="s">
        <v>125</v>
      </c>
      <c r="F884" s="69" t="s">
        <v>168</v>
      </c>
      <c r="G884" s="69" t="s">
        <v>130</v>
      </c>
      <c r="H884" s="0" t="n">
        <v>19</v>
      </c>
      <c r="I884" s="70" t="n">
        <v>127.4</v>
      </c>
      <c r="J884" s="70" t="n">
        <v>76.05</v>
      </c>
      <c r="K884" s="70" t="n">
        <f aca="false">IF(ISTEXT(H884),VALUE(H884),H884)*I884</f>
        <v>2420.6</v>
      </c>
    </row>
    <row r="885" customFormat="false" ht="15" hidden="false" customHeight="false" outlineLevel="0" collapsed="false">
      <c r="A885" s="0" t="n">
        <v>1106</v>
      </c>
      <c r="B885" s="68" t="n">
        <v>45647</v>
      </c>
      <c r="C885" s="69" t="s">
        <v>96</v>
      </c>
      <c r="D885" s="69" t="s">
        <v>97</v>
      </c>
      <c r="E885" s="69" t="s">
        <v>98</v>
      </c>
      <c r="F885" s="69" t="s">
        <v>135</v>
      </c>
      <c r="G885" s="69" t="s">
        <v>157</v>
      </c>
      <c r="H885" s="0" t="s">
        <v>328</v>
      </c>
      <c r="I885" s="70" t="n">
        <v>1617</v>
      </c>
      <c r="J885" s="70" t="n">
        <v>1122</v>
      </c>
      <c r="K885" s="70" t="n">
        <f aca="false">IF(ISTEXT(H885),VALUE(H885),H885)*I885</f>
        <v>19404</v>
      </c>
    </row>
    <row r="886" customFormat="false" ht="15" hidden="false" customHeight="false" outlineLevel="0" collapsed="false">
      <c r="A886" s="0" t="n">
        <v>1238</v>
      </c>
      <c r="B886" s="69" t="s">
        <v>485</v>
      </c>
      <c r="C886" s="69" t="s">
        <v>120</v>
      </c>
      <c r="D886" s="69" t="s">
        <v>86</v>
      </c>
      <c r="E886" s="69" t="s">
        <v>125</v>
      </c>
      <c r="F886" s="69" t="s">
        <v>182</v>
      </c>
      <c r="G886" s="69" t="s">
        <v>127</v>
      </c>
      <c r="H886" s="0" t="n">
        <v>16</v>
      </c>
      <c r="I886" s="70" t="n">
        <v>129.17</v>
      </c>
      <c r="J886" s="70" t="n">
        <v>78.33</v>
      </c>
      <c r="K886" s="70" t="n">
        <f aca="false">IF(ISTEXT(H886),VALUE(H886),H886)*I886</f>
        <v>2066.72</v>
      </c>
    </row>
    <row r="887" customFormat="false" ht="15" hidden="false" customHeight="false" outlineLevel="0" collapsed="false">
      <c r="A887" s="0" t="n">
        <v>2208</v>
      </c>
      <c r="B887" s="68" t="n">
        <v>45974</v>
      </c>
      <c r="C887" s="69" t="s">
        <v>150</v>
      </c>
      <c r="D887" s="69" t="s">
        <v>97</v>
      </c>
      <c r="E887" s="69" t="s">
        <v>180</v>
      </c>
      <c r="F887" s="69" t="s">
        <v>99</v>
      </c>
      <c r="G887" s="69" t="s">
        <v>103</v>
      </c>
      <c r="H887" s="0" t="n">
        <v>72</v>
      </c>
      <c r="I887" s="70" t="n">
        <v>28.11</v>
      </c>
      <c r="J887" s="70" t="n">
        <v>13.84</v>
      </c>
      <c r="K887" s="70" t="n">
        <f aca="false">IF(ISTEXT(H887),VALUE(H887),H887)*I887</f>
        <v>2023.92</v>
      </c>
    </row>
    <row r="888" customFormat="false" ht="15" hidden="false" customHeight="false" outlineLevel="0" collapsed="false">
      <c r="A888" s="0" t="n">
        <v>1892</v>
      </c>
      <c r="B888" s="68" t="n">
        <v>45853</v>
      </c>
      <c r="C888" s="69" t="s">
        <v>142</v>
      </c>
      <c r="D888" s="69" t="s">
        <v>112</v>
      </c>
      <c r="E888" s="69" t="s">
        <v>180</v>
      </c>
      <c r="F888" s="69" t="s">
        <v>99</v>
      </c>
      <c r="G888" s="69" t="s">
        <v>144</v>
      </c>
      <c r="H888" s="0" t="n">
        <v>26</v>
      </c>
      <c r="I888" s="70" t="n">
        <v>65.26</v>
      </c>
      <c r="J888" s="70" t="n">
        <v>36.49</v>
      </c>
      <c r="K888" s="70" t="n">
        <f aca="false">IF(ISTEXT(H888),VALUE(H888),H888)*I888</f>
        <v>1696.76</v>
      </c>
    </row>
    <row r="889" customFormat="false" ht="15" hidden="false" customHeight="false" outlineLevel="0" collapsed="false">
      <c r="A889" s="0" t="n">
        <v>2183</v>
      </c>
      <c r="B889" s="69" t="s">
        <v>486</v>
      </c>
      <c r="C889" s="69" t="s">
        <v>133</v>
      </c>
      <c r="D889" s="69" t="s">
        <v>112</v>
      </c>
      <c r="E889" s="69" t="s">
        <v>134</v>
      </c>
      <c r="F889" s="69" t="s">
        <v>139</v>
      </c>
      <c r="G889" s="69" t="s">
        <v>43</v>
      </c>
      <c r="H889" s="0" t="n">
        <v>8</v>
      </c>
      <c r="I889" s="70" t="n">
        <v>451.78</v>
      </c>
      <c r="J889" s="70" t="n">
        <v>280.42</v>
      </c>
      <c r="K889" s="70" t="n">
        <f aca="false">IF(ISTEXT(H889),VALUE(H889),H889)*I889</f>
        <v>3614.24</v>
      </c>
    </row>
    <row r="890" customFormat="false" ht="15" hidden="false" customHeight="false" outlineLevel="0" collapsed="false">
      <c r="A890" s="0" t="n">
        <v>18</v>
      </c>
      <c r="B890" s="68" t="n">
        <v>45310</v>
      </c>
      <c r="C890" s="69" t="s">
        <v>25</v>
      </c>
      <c r="D890" s="69" t="s">
        <v>97</v>
      </c>
      <c r="E890" s="69" t="s">
        <v>98</v>
      </c>
      <c r="F890" s="69" t="s">
        <v>93</v>
      </c>
      <c r="G890" s="69" t="s">
        <v>127</v>
      </c>
      <c r="H890" s="0" t="n">
        <v>21</v>
      </c>
      <c r="I890" s="70" t="n">
        <v>127.4</v>
      </c>
      <c r="J890" s="70" t="n">
        <v>76.05</v>
      </c>
      <c r="K890" s="70" t="n">
        <f aca="false">IF(ISTEXT(H890),VALUE(H890),H890)*I890</f>
        <v>2675.4</v>
      </c>
    </row>
    <row r="891" customFormat="false" ht="15" hidden="false" customHeight="false" outlineLevel="0" collapsed="false">
      <c r="A891" s="0" t="n">
        <v>1661</v>
      </c>
      <c r="B891" s="69" t="s">
        <v>487</v>
      </c>
      <c r="C891" s="69" t="s">
        <v>136</v>
      </c>
      <c r="D891" s="69" t="s">
        <v>137</v>
      </c>
      <c r="E891" s="69" t="s">
        <v>92</v>
      </c>
      <c r="F891" s="69" t="s">
        <v>26</v>
      </c>
      <c r="G891" s="69" t="s">
        <v>154</v>
      </c>
      <c r="H891" s="0" t="n">
        <v>7</v>
      </c>
      <c r="I891" s="70" t="n">
        <v>1155.06</v>
      </c>
      <c r="J891" s="70" t="n">
        <v>766.32</v>
      </c>
      <c r="K891" s="70" t="n">
        <f aca="false">IF(ISTEXT(H891),VALUE(H891),H891)*I891</f>
        <v>8085.42</v>
      </c>
    </row>
    <row r="892" customFormat="false" ht="15" hidden="false" customHeight="false" outlineLevel="0" collapsed="false">
      <c r="A892" s="0" t="n">
        <v>1454</v>
      </c>
      <c r="B892" s="68" t="n">
        <v>45743</v>
      </c>
      <c r="C892" s="69" t="s">
        <v>108</v>
      </c>
      <c r="D892" s="69" t="s">
        <v>109</v>
      </c>
      <c r="E892" s="69" t="s">
        <v>107</v>
      </c>
      <c r="F892" s="69" t="s">
        <v>115</v>
      </c>
      <c r="G892" s="69" t="s">
        <v>50</v>
      </c>
      <c r="H892" s="0" t="n">
        <v>10</v>
      </c>
      <c r="I892" s="70" t="n">
        <v>119.23</v>
      </c>
      <c r="J892" s="70" t="n">
        <v>65.51</v>
      </c>
      <c r="K892" s="70" t="n">
        <f aca="false">IF(ISTEXT(H892),VALUE(H892),H892)*I892</f>
        <v>1192.3</v>
      </c>
    </row>
    <row r="893" customFormat="false" ht="15" hidden="false" customHeight="false" outlineLevel="0" collapsed="false">
      <c r="A893" s="0" t="n">
        <v>1430</v>
      </c>
      <c r="B893" s="69" t="s">
        <v>488</v>
      </c>
      <c r="C893" s="69" t="s">
        <v>27</v>
      </c>
      <c r="D893" s="69" t="s">
        <v>86</v>
      </c>
      <c r="E893" s="69" t="s">
        <v>125</v>
      </c>
      <c r="F893" s="69" t="s">
        <v>28</v>
      </c>
      <c r="G893" s="69" t="s">
        <v>172</v>
      </c>
      <c r="H893" s="0" t="n">
        <v>37</v>
      </c>
      <c r="I893" s="70" t="n">
        <v>94.39</v>
      </c>
      <c r="J893" s="70" t="n">
        <v>49.41</v>
      </c>
      <c r="K893" s="70" t="n">
        <f aca="false">IF(ISTEXT(H893),VALUE(H893),H893)*I893</f>
        <v>3492.43</v>
      </c>
    </row>
    <row r="894" customFormat="false" ht="15" hidden="false" customHeight="false" outlineLevel="0" collapsed="false">
      <c r="A894" s="0" t="n">
        <v>2157</v>
      </c>
      <c r="B894" s="68" t="n">
        <v>45937</v>
      </c>
      <c r="C894" s="69" t="s">
        <v>108</v>
      </c>
      <c r="D894" s="69" t="s">
        <v>109</v>
      </c>
      <c r="E894" s="69" t="s">
        <v>121</v>
      </c>
      <c r="F894" s="69" t="s">
        <v>93</v>
      </c>
      <c r="G894" s="69" t="s">
        <v>130</v>
      </c>
      <c r="H894" s="0" t="s">
        <v>251</v>
      </c>
      <c r="I894" s="70" t="n">
        <v>130.51</v>
      </c>
      <c r="J894" s="70" t="n">
        <v>78.33</v>
      </c>
      <c r="K894" s="70" t="n">
        <f aca="false">IF(ISTEXT(H894),VALUE(H894),H894)*I894</f>
        <v>3132.24</v>
      </c>
    </row>
    <row r="895" customFormat="false" ht="15" hidden="false" customHeight="false" outlineLevel="0" collapsed="false">
      <c r="A895" s="0" t="n">
        <v>2147</v>
      </c>
      <c r="B895" s="68" t="n">
        <v>45948</v>
      </c>
      <c r="C895" s="69" t="s">
        <v>152</v>
      </c>
      <c r="D895" s="69" t="s">
        <v>109</v>
      </c>
      <c r="E895" s="69" t="s">
        <v>121</v>
      </c>
      <c r="F895" s="69" t="s">
        <v>99</v>
      </c>
      <c r="G895" s="69" t="s">
        <v>113</v>
      </c>
      <c r="H895" s="0" t="n">
        <v>35</v>
      </c>
      <c r="I895" s="70" t="n">
        <v>28.11</v>
      </c>
      <c r="J895" s="70" t="n">
        <v>13.84</v>
      </c>
      <c r="K895" s="70" t="n">
        <f aca="false">IF(ISTEXT(H895),VALUE(H895),H895)*I895</f>
        <v>983.85</v>
      </c>
    </row>
    <row r="896" customFormat="false" ht="15" hidden="false" customHeight="false" outlineLevel="0" collapsed="false">
      <c r="A896" s="0" t="n">
        <v>385</v>
      </c>
      <c r="B896" s="69" t="s">
        <v>489</v>
      </c>
      <c r="C896" s="69" t="s">
        <v>133</v>
      </c>
      <c r="D896" s="69" t="s">
        <v>112</v>
      </c>
      <c r="E896" s="69" t="s">
        <v>101</v>
      </c>
      <c r="F896" s="69" t="s">
        <v>147</v>
      </c>
      <c r="G896" s="69" t="s">
        <v>141</v>
      </c>
      <c r="H896" s="0" t="n">
        <v>6</v>
      </c>
      <c r="I896" s="70" t="n">
        <v>1617</v>
      </c>
      <c r="J896" s="70" t="n">
        <v>1122</v>
      </c>
      <c r="K896" s="70" t="n">
        <f aca="false">IF(ISTEXT(H896),VALUE(H896),H896)*I896</f>
        <v>9702</v>
      </c>
    </row>
    <row r="897" customFormat="false" ht="15" hidden="false" customHeight="false" outlineLevel="0" collapsed="false">
      <c r="A897" s="0" t="n">
        <v>354</v>
      </c>
      <c r="B897" s="69" t="s">
        <v>490</v>
      </c>
      <c r="C897" s="69" t="s">
        <v>108</v>
      </c>
      <c r="D897" s="69" t="s">
        <v>109</v>
      </c>
      <c r="E897" s="69" t="s">
        <v>98</v>
      </c>
      <c r="F897" s="69" t="s">
        <v>162</v>
      </c>
      <c r="G897" s="69" t="s">
        <v>50</v>
      </c>
      <c r="H897" s="0" t="n">
        <v>6</v>
      </c>
      <c r="I897" s="70" t="n">
        <v>117.6</v>
      </c>
      <c r="J897" s="70" t="n">
        <v>63.6</v>
      </c>
      <c r="K897" s="70" t="n">
        <f aca="false">IF(ISTEXT(H897),VALUE(H897),H897)*I897</f>
        <v>705.6</v>
      </c>
    </row>
    <row r="898" customFormat="false" ht="15" hidden="false" customHeight="false" outlineLevel="0" collapsed="false">
      <c r="A898" s="0" t="n">
        <v>445</v>
      </c>
      <c r="B898" s="69" t="s">
        <v>491</v>
      </c>
      <c r="C898" s="69" t="s">
        <v>152</v>
      </c>
      <c r="D898" s="69" t="s">
        <v>109</v>
      </c>
      <c r="E898" s="69" t="s">
        <v>101</v>
      </c>
      <c r="F898" s="69" t="s">
        <v>26</v>
      </c>
      <c r="G898" s="69" t="s">
        <v>141</v>
      </c>
      <c r="H898" s="0" t="n">
        <v>10</v>
      </c>
      <c r="I898" s="70" t="n">
        <v>1617</v>
      </c>
      <c r="J898" s="70" t="n">
        <v>1122</v>
      </c>
      <c r="K898" s="70" t="n">
        <f aca="false">IF(ISTEXT(H898),VALUE(H898),H898)*I898</f>
        <v>16170</v>
      </c>
    </row>
    <row r="899" customFormat="false" ht="15" hidden="false" customHeight="false" outlineLevel="0" collapsed="false">
      <c r="A899" s="0" t="n">
        <v>1457</v>
      </c>
      <c r="B899" s="68" t="n">
        <v>45737</v>
      </c>
      <c r="C899" s="69" t="s">
        <v>118</v>
      </c>
      <c r="D899" s="69" t="s">
        <v>109</v>
      </c>
      <c r="E899" s="69" t="s">
        <v>121</v>
      </c>
      <c r="F899" s="69" t="s">
        <v>183</v>
      </c>
      <c r="G899" s="69" t="s">
        <v>130</v>
      </c>
      <c r="H899" s="0" t="n">
        <v>26</v>
      </c>
      <c r="I899" s="70" t="n">
        <v>129.17</v>
      </c>
      <c r="J899" s="70" t="n">
        <v>78.33</v>
      </c>
      <c r="K899" s="70" t="n">
        <f aca="false">IF(ISTEXT(H899),VALUE(H899),H899)*I899</f>
        <v>3358.42</v>
      </c>
    </row>
    <row r="900" customFormat="false" ht="15" hidden="false" customHeight="false" outlineLevel="0" collapsed="false">
      <c r="A900" s="0" t="n">
        <v>1944</v>
      </c>
      <c r="B900" s="68" t="n">
        <v>45870</v>
      </c>
      <c r="C900" s="69" t="s">
        <v>30</v>
      </c>
      <c r="D900" s="69" t="s">
        <v>109</v>
      </c>
      <c r="E900" s="69" t="s">
        <v>180</v>
      </c>
      <c r="F900" s="69" t="s">
        <v>135</v>
      </c>
      <c r="G900" s="69" t="s">
        <v>43</v>
      </c>
      <c r="H900" s="0" t="n">
        <v>6</v>
      </c>
      <c r="I900" s="70" t="n">
        <v>451.78</v>
      </c>
      <c r="J900" s="70" t="n">
        <v>280.42</v>
      </c>
      <c r="K900" s="70" t="n">
        <f aca="false">IF(ISTEXT(H900),VALUE(H900),H900)*I900</f>
        <v>2710.68</v>
      </c>
    </row>
    <row r="901" customFormat="false" ht="15" hidden="false" customHeight="false" outlineLevel="0" collapsed="false">
      <c r="A901" s="0" t="n">
        <v>1072</v>
      </c>
      <c r="B901" s="69" t="s">
        <v>444</v>
      </c>
      <c r="C901" s="69" t="s">
        <v>193</v>
      </c>
      <c r="D901" s="69"/>
      <c r="E901" s="69" t="s">
        <v>107</v>
      </c>
      <c r="F901" s="69" t="s">
        <v>143</v>
      </c>
      <c r="G901" s="69" t="s">
        <v>144</v>
      </c>
      <c r="H901" s="0" t="n">
        <v>18</v>
      </c>
      <c r="I901" s="70" t="n">
        <v>63.7</v>
      </c>
      <c r="J901" s="70" t="n">
        <v>35.43</v>
      </c>
      <c r="K901" s="70" t="n">
        <f aca="false">IF(ISTEXT(H901),VALUE(H901),H901)*I901</f>
        <v>1146.6</v>
      </c>
    </row>
    <row r="902" customFormat="false" ht="15" hidden="false" customHeight="false" outlineLevel="0" collapsed="false">
      <c r="A902" s="0" t="n">
        <v>1332</v>
      </c>
      <c r="B902" s="68" t="n">
        <v>45698</v>
      </c>
      <c r="C902" s="69" t="s">
        <v>27</v>
      </c>
      <c r="D902" s="69" t="s">
        <v>86</v>
      </c>
      <c r="E902" s="69" t="s">
        <v>107</v>
      </c>
      <c r="F902" s="69" t="s">
        <v>155</v>
      </c>
      <c r="G902" s="69" t="s">
        <v>49</v>
      </c>
      <c r="H902" s="0" t="n">
        <v>27</v>
      </c>
      <c r="I902" s="70" t="n">
        <v>64.58</v>
      </c>
      <c r="J902" s="70" t="n">
        <v>36.49</v>
      </c>
      <c r="K902" s="70" t="n">
        <f aca="false">IF(ISTEXT(H902),VALUE(H902),H902)*I902</f>
        <v>1743.66</v>
      </c>
    </row>
    <row r="903" customFormat="false" ht="15" hidden="false" customHeight="false" outlineLevel="0" collapsed="false">
      <c r="A903" s="0" t="n">
        <v>1569</v>
      </c>
      <c r="B903" s="68" t="n">
        <v>45769</v>
      </c>
      <c r="C903" s="69" t="s">
        <v>193</v>
      </c>
      <c r="D903" s="69" t="s">
        <v>137</v>
      </c>
      <c r="E903" s="69" t="s">
        <v>92</v>
      </c>
      <c r="F903" s="69" t="s">
        <v>28</v>
      </c>
      <c r="G903" s="69" t="s">
        <v>48</v>
      </c>
      <c r="H903" s="0" t="n">
        <v>24</v>
      </c>
      <c r="I903" s="70" t="n">
        <v>94.39</v>
      </c>
      <c r="J903" s="70" t="n">
        <v>49.41</v>
      </c>
      <c r="K903" s="70" t="n">
        <f aca="false">IF(ISTEXT(H903),VALUE(H903),H903)*I903</f>
        <v>2265.36</v>
      </c>
    </row>
    <row r="904" customFormat="false" ht="15" hidden="false" customHeight="false" outlineLevel="0" collapsed="false">
      <c r="A904" s="0" t="n">
        <v>1626</v>
      </c>
      <c r="B904" s="69" t="s">
        <v>492</v>
      </c>
      <c r="C904" s="69" t="s">
        <v>120</v>
      </c>
      <c r="D904" s="69" t="s">
        <v>86</v>
      </c>
      <c r="E904" s="69" t="s">
        <v>125</v>
      </c>
      <c r="F904" s="69" t="s">
        <v>153</v>
      </c>
      <c r="G904" s="69" t="s">
        <v>157</v>
      </c>
      <c r="H904" s="0" t="n">
        <v>9</v>
      </c>
      <c r="I904" s="70" t="n">
        <v>1588.21</v>
      </c>
      <c r="J904" s="70" t="n">
        <v>1155.66</v>
      </c>
      <c r="K904" s="70" t="n">
        <f aca="false">IF(ISTEXT(H904),VALUE(H904),H904)*I904</f>
        <v>14293.89</v>
      </c>
    </row>
    <row r="905" customFormat="false" ht="15" hidden="false" customHeight="false" outlineLevel="0" collapsed="false">
      <c r="A905" s="0" t="n">
        <v>1689</v>
      </c>
      <c r="B905" s="69" t="s">
        <v>493</v>
      </c>
      <c r="C905" s="69" t="s">
        <v>161</v>
      </c>
      <c r="D905" s="69" t="s">
        <v>112</v>
      </c>
      <c r="E905" s="69" t="s">
        <v>92</v>
      </c>
      <c r="F905" s="69" t="s">
        <v>102</v>
      </c>
      <c r="G905" s="69" t="s">
        <v>235</v>
      </c>
      <c r="H905" s="0" t="n">
        <v>27</v>
      </c>
      <c r="I905" s="70" t="n">
        <v>94.39</v>
      </c>
      <c r="J905" s="70" t="n">
        <v>49.41</v>
      </c>
      <c r="K905" s="70" t="n">
        <f aca="false">IF(ISTEXT(H905),VALUE(H905),H905)*I905</f>
        <v>2548.53</v>
      </c>
    </row>
    <row r="906" customFormat="false" ht="15" hidden="false" customHeight="false" outlineLevel="0" collapsed="false">
      <c r="A906" s="0" t="n">
        <v>610</v>
      </c>
      <c r="B906" s="68" t="n">
        <v>45478</v>
      </c>
      <c r="C906" s="69" t="s">
        <v>96</v>
      </c>
      <c r="D906" s="69" t="s">
        <v>97</v>
      </c>
      <c r="E906" s="69" t="s">
        <v>107</v>
      </c>
      <c r="F906" s="69" t="s">
        <v>143</v>
      </c>
      <c r="G906" s="69" t="s">
        <v>48</v>
      </c>
      <c r="H906" s="0" t="n">
        <v>49</v>
      </c>
      <c r="I906" s="70" t="n">
        <v>93.1</v>
      </c>
      <c r="J906" s="70" t="n">
        <v>47.98</v>
      </c>
      <c r="K906" s="70" t="n">
        <f aca="false">IF(ISTEXT(H906),VALUE(H906),H906)*I906</f>
        <v>4561.9</v>
      </c>
    </row>
    <row r="907" customFormat="false" ht="15" hidden="false" customHeight="false" outlineLevel="0" collapsed="false">
      <c r="A907" s="0" t="n">
        <v>493</v>
      </c>
      <c r="B907" s="68" t="n">
        <v>45435</v>
      </c>
      <c r="C907" s="69" t="s">
        <v>142</v>
      </c>
      <c r="D907" s="69" t="s">
        <v>112</v>
      </c>
      <c r="E907" s="69" t="s">
        <v>101</v>
      </c>
      <c r="F907" s="69" t="s">
        <v>115</v>
      </c>
      <c r="G907" s="69" t="s">
        <v>171</v>
      </c>
      <c r="H907" s="0" t="n">
        <v>16</v>
      </c>
      <c r="I907" s="70" t="n">
        <v>117.6</v>
      </c>
      <c r="J907" s="70" t="n">
        <v>63.6</v>
      </c>
      <c r="K907" s="70" t="n">
        <f aca="false">IF(ISTEXT(H907),VALUE(H907),H907)*I907</f>
        <v>1881.6</v>
      </c>
    </row>
    <row r="908" customFormat="false" ht="15" hidden="false" customHeight="false" outlineLevel="0" collapsed="false">
      <c r="A908" s="0" t="n">
        <v>2263</v>
      </c>
      <c r="B908" s="68" t="n">
        <v>45981</v>
      </c>
      <c r="C908" s="69" t="s">
        <v>32</v>
      </c>
      <c r="D908" s="69" t="s">
        <v>137</v>
      </c>
      <c r="E908" s="69" t="s">
        <v>138</v>
      </c>
      <c r="F908" s="69" t="s">
        <v>135</v>
      </c>
      <c r="G908" s="69" t="s">
        <v>177</v>
      </c>
      <c r="H908" s="0" t="n">
        <v>9</v>
      </c>
      <c r="I908" s="70" t="n">
        <v>451.78</v>
      </c>
      <c r="J908" s="70" t="n">
        <v>280.42</v>
      </c>
      <c r="K908" s="70" t="n">
        <f aca="false">IF(ISTEXT(H908),VALUE(H908),H908)*I908</f>
        <v>4066.02</v>
      </c>
    </row>
    <row r="909" customFormat="false" ht="15" hidden="false" customHeight="false" outlineLevel="0" collapsed="false">
      <c r="A909" s="0" t="n">
        <v>352</v>
      </c>
      <c r="B909" s="68" t="n">
        <v>45390</v>
      </c>
      <c r="C909" s="69" t="s">
        <v>118</v>
      </c>
      <c r="D909" s="69" t="s">
        <v>109</v>
      </c>
      <c r="E909" s="69" t="s">
        <v>180</v>
      </c>
      <c r="F909" s="69" t="s">
        <v>143</v>
      </c>
      <c r="G909" s="69" t="s">
        <v>208</v>
      </c>
      <c r="H909" s="0" t="n">
        <v>15</v>
      </c>
      <c r="I909" s="70" t="n">
        <v>63.7</v>
      </c>
      <c r="J909" s="70" t="n">
        <v>35.43</v>
      </c>
      <c r="K909" s="70" t="n">
        <f aca="false">IF(ISTEXT(H909),VALUE(H909),H909)*I909</f>
        <v>955.5</v>
      </c>
    </row>
    <row r="910" customFormat="false" ht="15" hidden="false" customHeight="false" outlineLevel="0" collapsed="false">
      <c r="A910" s="0" t="n">
        <v>1245</v>
      </c>
      <c r="B910" s="69" t="s">
        <v>494</v>
      </c>
      <c r="C910" s="69" t="s">
        <v>30</v>
      </c>
      <c r="D910" s="69" t="s">
        <v>109</v>
      </c>
      <c r="E910" s="69" t="s">
        <v>134</v>
      </c>
      <c r="F910" s="69" t="s">
        <v>135</v>
      </c>
      <c r="G910" s="69" t="s">
        <v>141</v>
      </c>
      <c r="H910" s="0" t="n">
        <v>8</v>
      </c>
      <c r="I910" s="70" t="n">
        <v>1588.21</v>
      </c>
      <c r="J910" s="70" t="n">
        <v>1155.66</v>
      </c>
      <c r="K910" s="70" t="n">
        <f aca="false">IF(ISTEXT(H910),VALUE(H910),H910)*I910</f>
        <v>12705.68</v>
      </c>
    </row>
    <row r="911" customFormat="false" ht="15" hidden="false" customHeight="false" outlineLevel="0" collapsed="false">
      <c r="A911" s="0" t="n">
        <v>916</v>
      </c>
      <c r="B911" s="68" t="n">
        <v>45579</v>
      </c>
      <c r="C911" s="69" t="s">
        <v>150</v>
      </c>
      <c r="D911" s="69"/>
      <c r="E911" s="69" t="s">
        <v>107</v>
      </c>
      <c r="F911" s="69" t="s">
        <v>31</v>
      </c>
      <c r="G911" s="69" t="s">
        <v>51</v>
      </c>
      <c r="H911" s="0" t="n">
        <v>17</v>
      </c>
      <c r="I911" s="70" t="n">
        <v>83.3</v>
      </c>
      <c r="J911" s="70" t="n">
        <v>48.03</v>
      </c>
      <c r="K911" s="70" t="n">
        <f aca="false">IF(ISTEXT(H911),VALUE(H911),H911)*I911</f>
        <v>1416.1</v>
      </c>
    </row>
    <row r="912" customFormat="false" ht="15" hidden="false" customHeight="false" outlineLevel="0" collapsed="false">
      <c r="A912" s="0" t="n">
        <v>2300</v>
      </c>
      <c r="B912" s="69" t="s">
        <v>495</v>
      </c>
      <c r="C912" s="69" t="s">
        <v>161</v>
      </c>
      <c r="D912" s="69" t="s">
        <v>112</v>
      </c>
      <c r="E912" s="69" t="s">
        <v>107</v>
      </c>
      <c r="F912" s="69" t="s">
        <v>182</v>
      </c>
      <c r="G912" s="69" t="s">
        <v>53</v>
      </c>
      <c r="H912" s="0" t="n">
        <v>14</v>
      </c>
      <c r="I912" s="70" t="n">
        <v>35.14</v>
      </c>
      <c r="J912" s="70" t="n">
        <v>18.39</v>
      </c>
      <c r="K912" s="70" t="n">
        <f aca="false">IF(ISTEXT(H912),VALUE(H912),H912)*I912</f>
        <v>491.96</v>
      </c>
    </row>
    <row r="913" customFormat="false" ht="15" hidden="false" customHeight="false" outlineLevel="0" collapsed="false">
      <c r="A913" s="0" t="n">
        <v>1604</v>
      </c>
      <c r="B913" s="68" t="n">
        <v>45801</v>
      </c>
      <c r="C913" s="69" t="s">
        <v>96</v>
      </c>
      <c r="D913" s="69" t="s">
        <v>97</v>
      </c>
      <c r="E913" s="69" t="s">
        <v>119</v>
      </c>
      <c r="F913" s="69" t="s">
        <v>88</v>
      </c>
      <c r="G913" s="69" t="s">
        <v>89</v>
      </c>
      <c r="H913" s="0" t="n">
        <v>16</v>
      </c>
      <c r="I913" s="70" t="n">
        <v>433.15</v>
      </c>
      <c r="J913" s="70" t="n">
        <v>280.42</v>
      </c>
      <c r="K913" s="70" t="n">
        <f aca="false">IF(ISTEXT(H913),VALUE(H913),H913)*I913</f>
        <v>6930.4</v>
      </c>
    </row>
    <row r="914" customFormat="false" ht="15" hidden="false" customHeight="false" outlineLevel="0" collapsed="false">
      <c r="A914" s="0" t="n">
        <v>325</v>
      </c>
      <c r="B914" s="69" t="s">
        <v>496</v>
      </c>
      <c r="C914" s="69" t="s">
        <v>159</v>
      </c>
      <c r="D914" s="69" t="s">
        <v>86</v>
      </c>
      <c r="E914" s="69" t="s">
        <v>121</v>
      </c>
      <c r="F914" s="69" t="s">
        <v>135</v>
      </c>
      <c r="G914" s="69" t="s">
        <v>157</v>
      </c>
      <c r="H914" s="0" t="n">
        <v>10</v>
      </c>
      <c r="I914" s="70" t="n">
        <v>1617</v>
      </c>
      <c r="J914" s="70" t="n">
        <v>1122</v>
      </c>
      <c r="K914" s="70" t="n">
        <f aca="false">IF(ISTEXT(H914),VALUE(H914),H914)*I914</f>
        <v>16170</v>
      </c>
    </row>
    <row r="915" customFormat="false" ht="15" hidden="false" customHeight="false" outlineLevel="0" collapsed="false">
      <c r="A915" s="0" t="n">
        <v>2399</v>
      </c>
      <c r="B915" s="69" t="s">
        <v>497</v>
      </c>
      <c r="C915" s="69" t="s">
        <v>133</v>
      </c>
      <c r="D915" s="69" t="s">
        <v>112</v>
      </c>
      <c r="E915" s="69" t="s">
        <v>101</v>
      </c>
      <c r="F915" s="69" t="s">
        <v>182</v>
      </c>
      <c r="G915" s="69" t="s">
        <v>217</v>
      </c>
      <c r="H915" s="0" t="n">
        <v>23</v>
      </c>
      <c r="I915" s="70" t="n">
        <v>35.14</v>
      </c>
      <c r="J915" s="70" t="n">
        <v>18.39</v>
      </c>
      <c r="K915" s="70" t="n">
        <f aca="false">IF(ISTEXT(H915),VALUE(H915),H915)*I915</f>
        <v>808.22</v>
      </c>
    </row>
    <row r="916" customFormat="false" ht="15" hidden="false" customHeight="false" outlineLevel="0" collapsed="false">
      <c r="A916" s="0" t="n">
        <v>1577</v>
      </c>
      <c r="B916" s="68" t="n">
        <v>45771</v>
      </c>
      <c r="C916" s="69" t="s">
        <v>193</v>
      </c>
      <c r="D916" s="69" t="s">
        <v>137</v>
      </c>
      <c r="E916" s="69" t="s">
        <v>138</v>
      </c>
      <c r="F916" s="69" t="s">
        <v>33</v>
      </c>
      <c r="G916" s="69" t="s">
        <v>130</v>
      </c>
      <c r="H916" s="0" t="n">
        <v>17</v>
      </c>
      <c r="I916" s="70" t="n">
        <v>129.17</v>
      </c>
      <c r="J916" s="70" t="n">
        <v>78.33</v>
      </c>
      <c r="K916" s="70" t="n">
        <f aca="false">IF(ISTEXT(H916),VALUE(H916),H916)*I916</f>
        <v>2195.89</v>
      </c>
    </row>
    <row r="917" customFormat="false" ht="15" hidden="false" customHeight="false" outlineLevel="0" collapsed="false">
      <c r="A917" s="0" t="n">
        <v>1109</v>
      </c>
      <c r="B917" s="68" t="n">
        <v>45641</v>
      </c>
      <c r="C917" s="69" t="s">
        <v>25</v>
      </c>
      <c r="D917" s="69" t="s">
        <v>97</v>
      </c>
      <c r="E917" s="69" t="s">
        <v>121</v>
      </c>
      <c r="F917" s="69" t="s">
        <v>155</v>
      </c>
      <c r="G917" s="69" t="s">
        <v>48</v>
      </c>
      <c r="H917" s="0" t="n">
        <v>153</v>
      </c>
      <c r="I917" s="70" t="n">
        <v>93.1</v>
      </c>
      <c r="J917" s="70" t="n">
        <v>47.98</v>
      </c>
      <c r="K917" s="70" t="n">
        <f aca="false">IF(ISTEXT(H917),VALUE(H917),H917)*I917</f>
        <v>14244.3</v>
      </c>
    </row>
    <row r="918" customFormat="false" ht="15" hidden="false" customHeight="false" outlineLevel="0" collapsed="false">
      <c r="A918" s="0" t="n">
        <v>255</v>
      </c>
      <c r="B918" s="68" t="n">
        <v>45355</v>
      </c>
      <c r="C918" s="69" t="s">
        <v>118</v>
      </c>
      <c r="D918" s="69" t="s">
        <v>109</v>
      </c>
      <c r="E918" s="69" t="s">
        <v>101</v>
      </c>
      <c r="F918" s="69" t="s">
        <v>115</v>
      </c>
      <c r="G918" s="69" t="s">
        <v>116</v>
      </c>
      <c r="H918" s="0" t="s">
        <v>284</v>
      </c>
      <c r="I918" s="70" t="n">
        <v>83.3</v>
      </c>
      <c r="J918" s="70" t="n">
        <v>48.03</v>
      </c>
      <c r="K918" s="70" t="n">
        <f aca="false">IF(ISTEXT(H918),VALUE(H918),H918)*I918</f>
        <v>1582.7</v>
      </c>
    </row>
    <row r="919" customFormat="false" ht="15" hidden="false" customHeight="false" outlineLevel="0" collapsed="false">
      <c r="A919" s="0" t="n">
        <v>1922</v>
      </c>
      <c r="B919" s="68" t="n">
        <v>45878</v>
      </c>
      <c r="C919" s="69" t="s">
        <v>159</v>
      </c>
      <c r="D919" s="69" t="s">
        <v>86</v>
      </c>
      <c r="E919" s="69" t="s">
        <v>87</v>
      </c>
      <c r="F919" s="69" t="s">
        <v>153</v>
      </c>
      <c r="G919" s="69" t="s">
        <v>41</v>
      </c>
      <c r="H919" s="0" t="n">
        <v>8</v>
      </c>
      <c r="I919" s="70" t="n">
        <v>1204.74</v>
      </c>
      <c r="J919" s="70" t="n">
        <v>766.32</v>
      </c>
      <c r="K919" s="70" t="n">
        <f aca="false">IF(ISTEXT(H919),VALUE(H919),H919)*I919</f>
        <v>9637.92</v>
      </c>
    </row>
    <row r="920" customFormat="false" ht="15" hidden="false" customHeight="false" outlineLevel="0" collapsed="false">
      <c r="A920" s="0" t="n">
        <v>1226</v>
      </c>
      <c r="B920" s="68" t="n">
        <v>45681</v>
      </c>
      <c r="C920" s="69" t="s">
        <v>91</v>
      </c>
      <c r="D920" s="69" t="s">
        <v>86</v>
      </c>
      <c r="E920" s="69" t="s">
        <v>180</v>
      </c>
      <c r="F920" s="69" t="s">
        <v>139</v>
      </c>
      <c r="G920" s="69" t="s">
        <v>157</v>
      </c>
      <c r="H920" s="0" t="n">
        <v>8</v>
      </c>
      <c r="I920" s="70" t="n">
        <v>1588.21</v>
      </c>
      <c r="J920" s="70" t="n">
        <v>1155.66</v>
      </c>
      <c r="K920" s="70" t="n">
        <f aca="false">IF(ISTEXT(H920),VALUE(H920),H920)*I920</f>
        <v>12705.68</v>
      </c>
    </row>
    <row r="921" customFormat="false" ht="15" hidden="false" customHeight="false" outlineLevel="0" collapsed="false">
      <c r="A921" s="0" t="n">
        <v>2130</v>
      </c>
      <c r="B921" s="68" t="n">
        <v>45937</v>
      </c>
      <c r="C921" s="69" t="s">
        <v>27</v>
      </c>
      <c r="D921" s="69" t="s">
        <v>86</v>
      </c>
      <c r="E921" s="69" t="s">
        <v>180</v>
      </c>
      <c r="F921" s="69" t="s">
        <v>143</v>
      </c>
      <c r="G921" s="69" t="s">
        <v>172</v>
      </c>
      <c r="H921" s="0" t="n">
        <v>40</v>
      </c>
      <c r="I921" s="70" t="n">
        <v>95.38</v>
      </c>
      <c r="J921" s="70" t="n">
        <v>49.41</v>
      </c>
      <c r="K921" s="70" t="n">
        <f aca="false">IF(ISTEXT(H921),VALUE(H921),H921)*I921</f>
        <v>3815.2</v>
      </c>
    </row>
    <row r="922" customFormat="false" ht="15" hidden="false" customHeight="false" outlineLevel="0" collapsed="false">
      <c r="A922" s="0" t="n">
        <v>89</v>
      </c>
      <c r="B922" s="68" t="n">
        <v>45294</v>
      </c>
      <c r="C922" s="69" t="s">
        <v>161</v>
      </c>
      <c r="D922" s="69" t="s">
        <v>112</v>
      </c>
      <c r="E922" s="69" t="s">
        <v>121</v>
      </c>
      <c r="F922" s="69" t="s">
        <v>143</v>
      </c>
      <c r="G922" s="69" t="s">
        <v>235</v>
      </c>
      <c r="H922" s="0" t="n">
        <v>29</v>
      </c>
      <c r="I922" s="70" t="n">
        <v>93.1</v>
      </c>
      <c r="J922" s="70" t="n">
        <v>47.98</v>
      </c>
      <c r="K922" s="70" t="n">
        <f aca="false">IF(ISTEXT(H922),VALUE(H922),H922)*I922</f>
        <v>2699.9</v>
      </c>
    </row>
    <row r="923" customFormat="false" ht="15" hidden="false" customHeight="false" outlineLevel="0" collapsed="false">
      <c r="A923" s="0" t="n">
        <v>1876</v>
      </c>
      <c r="B923" s="68" t="n">
        <v>45849</v>
      </c>
      <c r="C923" s="69" t="s">
        <v>32</v>
      </c>
      <c r="D923" s="69"/>
      <c r="E923" s="69" t="s">
        <v>125</v>
      </c>
      <c r="F923" s="69" t="s">
        <v>162</v>
      </c>
      <c r="G923" s="69" t="s">
        <v>116</v>
      </c>
      <c r="H923" s="0" t="n">
        <v>11</v>
      </c>
      <c r="I923" s="70" t="n">
        <v>85.34</v>
      </c>
      <c r="J923" s="70" t="n">
        <v>49.47</v>
      </c>
      <c r="K923" s="70" t="n">
        <f aca="false">IF(ISTEXT(H923),VALUE(H923),H923)*I923</f>
        <v>938.74</v>
      </c>
    </row>
    <row r="924" customFormat="false" ht="15" hidden="false" customHeight="false" outlineLevel="0" collapsed="false">
      <c r="A924" s="0" t="n">
        <v>909</v>
      </c>
      <c r="B924" s="68" t="n">
        <v>45584</v>
      </c>
      <c r="C924" s="69" t="s">
        <v>25</v>
      </c>
      <c r="D924" s="69" t="s">
        <v>97</v>
      </c>
      <c r="E924" s="69" t="s">
        <v>110</v>
      </c>
      <c r="F924" s="69" t="s">
        <v>143</v>
      </c>
      <c r="G924" s="69" t="s">
        <v>235</v>
      </c>
      <c r="H924" s="0" t="n">
        <v>110</v>
      </c>
      <c r="I924" s="70" t="n">
        <v>93.1</v>
      </c>
      <c r="J924" s="70" t="n">
        <v>47.98</v>
      </c>
      <c r="K924" s="70" t="n">
        <f aca="false">IF(ISTEXT(H924),VALUE(H924),H924)*I924</f>
        <v>10241</v>
      </c>
    </row>
    <row r="925" customFormat="false" ht="15" hidden="false" customHeight="false" outlineLevel="0" collapsed="false">
      <c r="A925" s="0" t="n">
        <v>2008</v>
      </c>
      <c r="B925" s="68" t="n">
        <v>45917</v>
      </c>
      <c r="C925" s="69" t="s">
        <v>96</v>
      </c>
      <c r="D925" s="69" t="s">
        <v>97</v>
      </c>
      <c r="E925" s="69" t="s">
        <v>87</v>
      </c>
      <c r="F925" s="69" t="s">
        <v>143</v>
      </c>
      <c r="G925" s="69" t="s">
        <v>47</v>
      </c>
      <c r="H925" s="0" t="n">
        <v>56</v>
      </c>
      <c r="I925" s="70" t="n">
        <v>28.11</v>
      </c>
      <c r="J925" s="70" t="n">
        <v>13.84</v>
      </c>
      <c r="K925" s="70" t="n">
        <f aca="false">IF(ISTEXT(H925),VALUE(H925),H925)*I925</f>
        <v>1574.16</v>
      </c>
    </row>
    <row r="926" customFormat="false" ht="15" hidden="false" customHeight="false" outlineLevel="0" collapsed="false">
      <c r="A926" s="0" t="n">
        <v>1272</v>
      </c>
      <c r="B926" s="68" t="n">
        <v>45679</v>
      </c>
      <c r="C926" s="69" t="s">
        <v>193</v>
      </c>
      <c r="D926" s="69" t="s">
        <v>137</v>
      </c>
      <c r="E926" s="69" t="s">
        <v>180</v>
      </c>
      <c r="F926" s="69" t="s">
        <v>143</v>
      </c>
      <c r="G926" s="69" t="s">
        <v>49</v>
      </c>
      <c r="H926" s="0" t="n">
        <v>16</v>
      </c>
      <c r="I926" s="70" t="n">
        <v>64.58</v>
      </c>
      <c r="J926" s="70" t="n">
        <v>36.49</v>
      </c>
      <c r="K926" s="70" t="n">
        <f aca="false">IF(ISTEXT(H926),VALUE(H926),H926)*I926</f>
        <v>1033.28</v>
      </c>
    </row>
    <row r="927" customFormat="false" ht="15" hidden="false" customHeight="false" outlineLevel="0" collapsed="false">
      <c r="A927" s="0" t="n">
        <v>565</v>
      </c>
      <c r="B927" s="69" t="s">
        <v>498</v>
      </c>
      <c r="C927" s="69" t="s">
        <v>193</v>
      </c>
      <c r="D927" s="69" t="s">
        <v>137</v>
      </c>
      <c r="E927" s="69" t="s">
        <v>101</v>
      </c>
      <c r="F927" s="69" t="s">
        <v>139</v>
      </c>
      <c r="G927" s="69" t="s">
        <v>141</v>
      </c>
      <c r="H927" s="0" t="n">
        <v>8</v>
      </c>
      <c r="I927" s="70" t="n">
        <v>1617</v>
      </c>
      <c r="J927" s="70" t="n">
        <v>1122</v>
      </c>
      <c r="K927" s="70" t="n">
        <f aca="false">IF(ISTEXT(H927),VALUE(H927),H927)*I927</f>
        <v>12936</v>
      </c>
    </row>
    <row r="928" customFormat="false" ht="15" hidden="false" customHeight="false" outlineLevel="0" collapsed="false">
      <c r="A928" s="0" t="n">
        <v>1424</v>
      </c>
      <c r="B928" s="68" t="n">
        <v>45722</v>
      </c>
      <c r="C928" s="69" t="s">
        <v>159</v>
      </c>
      <c r="D928" s="69" t="s">
        <v>86</v>
      </c>
      <c r="E928" s="69" t="s">
        <v>125</v>
      </c>
      <c r="F928" s="69" t="s">
        <v>26</v>
      </c>
      <c r="G928" s="69" t="s">
        <v>43</v>
      </c>
      <c r="H928" s="0" t="n">
        <v>8</v>
      </c>
      <c r="I928" s="70" t="n">
        <v>433.15</v>
      </c>
      <c r="J928" s="70" t="n">
        <v>280.42</v>
      </c>
      <c r="K928" s="70" t="n">
        <f aca="false">IF(ISTEXT(H928),VALUE(H928),H928)*I928</f>
        <v>3465.2</v>
      </c>
    </row>
    <row r="929" customFormat="false" ht="15" hidden="false" customHeight="false" outlineLevel="0" collapsed="false">
      <c r="A929" s="0" t="n">
        <v>1894</v>
      </c>
      <c r="B929" s="68" t="n">
        <v>45840</v>
      </c>
      <c r="C929" s="69" t="s">
        <v>161</v>
      </c>
      <c r="D929" s="69" t="s">
        <v>112</v>
      </c>
      <c r="E929" s="69" t="s">
        <v>125</v>
      </c>
      <c r="F929" s="69" t="s">
        <v>166</v>
      </c>
      <c r="G929" s="69" t="s">
        <v>171</v>
      </c>
      <c r="H929" s="0" t="n">
        <v>9</v>
      </c>
      <c r="I929" s="70" t="n">
        <v>120.47</v>
      </c>
      <c r="J929" s="70" t="n">
        <v>65.51</v>
      </c>
      <c r="K929" s="70" t="n">
        <f aca="false">IF(ISTEXT(H929),VALUE(H929),H929)*I929</f>
        <v>1084.23</v>
      </c>
    </row>
    <row r="930" customFormat="false" ht="15" hidden="false" customHeight="false" outlineLevel="0" collapsed="false">
      <c r="A930" s="0" t="n">
        <v>1474</v>
      </c>
      <c r="B930" s="68" t="n">
        <v>45721</v>
      </c>
      <c r="C930" s="69" t="s">
        <v>136</v>
      </c>
      <c r="D930" s="69" t="s">
        <v>137</v>
      </c>
      <c r="E930" s="69" t="s">
        <v>180</v>
      </c>
      <c r="F930" s="69" t="s">
        <v>115</v>
      </c>
      <c r="G930" s="69" t="s">
        <v>50</v>
      </c>
      <c r="H930" s="0" t="s">
        <v>148</v>
      </c>
      <c r="I930" s="70" t="n">
        <v>119.23</v>
      </c>
      <c r="J930" s="70" t="n">
        <v>65.51</v>
      </c>
      <c r="K930" s="70" t="n">
        <f aca="false">IF(ISTEXT(H930),VALUE(H930),H930)*I930</f>
        <v>953.84</v>
      </c>
    </row>
    <row r="931" customFormat="false" ht="15" hidden="false" customHeight="false" outlineLevel="0" collapsed="false">
      <c r="A931" s="0" t="n">
        <v>1557</v>
      </c>
      <c r="B931" s="68" t="n">
        <v>45766</v>
      </c>
      <c r="C931" s="69" t="s">
        <v>108</v>
      </c>
      <c r="D931" s="69" t="s">
        <v>109</v>
      </c>
      <c r="E931" s="69" t="s">
        <v>121</v>
      </c>
      <c r="F931" s="69" t="s">
        <v>168</v>
      </c>
      <c r="G931" s="69" t="s">
        <v>127</v>
      </c>
      <c r="H931" s="0" t="n">
        <v>20</v>
      </c>
      <c r="I931" s="70" t="n">
        <v>129.17</v>
      </c>
      <c r="J931" s="70" t="n">
        <v>78.33</v>
      </c>
      <c r="K931" s="70" t="n">
        <f aca="false">IF(ISTEXT(H931),VALUE(H931),H931)*I931</f>
        <v>2583.4</v>
      </c>
    </row>
    <row r="932" customFormat="false" ht="15" hidden="false" customHeight="false" outlineLevel="0" collapsed="false">
      <c r="A932" s="0" t="n">
        <v>1512</v>
      </c>
      <c r="B932" s="69" t="s">
        <v>499</v>
      </c>
      <c r="C932" s="69" t="s">
        <v>150</v>
      </c>
      <c r="D932" s="69" t="s">
        <v>97</v>
      </c>
      <c r="E932" s="69" t="s">
        <v>98</v>
      </c>
      <c r="F932" s="69" t="s">
        <v>102</v>
      </c>
      <c r="G932" s="69" t="s">
        <v>208</v>
      </c>
      <c r="H932" s="0" t="n">
        <v>62</v>
      </c>
      <c r="I932" s="70" t="n">
        <v>64.58</v>
      </c>
      <c r="J932" s="70" t="n">
        <v>36.49</v>
      </c>
      <c r="K932" s="70" t="n">
        <f aca="false">IF(ISTEXT(H932),VALUE(H932),H932)*I932</f>
        <v>4003.96</v>
      </c>
    </row>
    <row r="933" customFormat="false" ht="15" hidden="false" customHeight="false" outlineLevel="0" collapsed="false">
      <c r="A933" s="0" t="n">
        <v>2000</v>
      </c>
      <c r="B933" s="69" t="s">
        <v>500</v>
      </c>
      <c r="C933" s="69" t="s">
        <v>34</v>
      </c>
      <c r="D933" s="69" t="s">
        <v>112</v>
      </c>
      <c r="E933" s="69" t="s">
        <v>87</v>
      </c>
      <c r="F933" s="69" t="s">
        <v>183</v>
      </c>
      <c r="G933" s="69" t="s">
        <v>53</v>
      </c>
      <c r="H933" s="0" t="n">
        <v>13</v>
      </c>
      <c r="I933" s="70" t="n">
        <v>35.14</v>
      </c>
      <c r="J933" s="70" t="n">
        <v>18.39</v>
      </c>
      <c r="K933" s="70" t="n">
        <f aca="false">IF(ISTEXT(H933),VALUE(H933),H933)*I933</f>
        <v>456.82</v>
      </c>
    </row>
    <row r="934" customFormat="false" ht="15" hidden="false" customHeight="false" outlineLevel="0" collapsed="false">
      <c r="A934" s="0" t="n">
        <v>1607</v>
      </c>
      <c r="B934" s="68" t="n">
        <v>45795</v>
      </c>
      <c r="C934" s="69" t="s">
        <v>96</v>
      </c>
      <c r="D934" s="69" t="s">
        <v>97</v>
      </c>
      <c r="E934" s="69" t="s">
        <v>138</v>
      </c>
      <c r="F934" s="69" t="s">
        <v>99</v>
      </c>
      <c r="G934" s="69" t="s">
        <v>113</v>
      </c>
      <c r="H934" s="0" t="n">
        <v>106</v>
      </c>
      <c r="I934" s="70" t="n">
        <v>27.82</v>
      </c>
      <c r="J934" s="70" t="n">
        <v>13.84</v>
      </c>
      <c r="K934" s="70" t="n">
        <f aca="false">IF(ISTEXT(H934),VALUE(H934),H934)*I934</f>
        <v>2948.92</v>
      </c>
    </row>
    <row r="935" customFormat="false" ht="15" hidden="false" customHeight="false" outlineLevel="0" collapsed="false">
      <c r="A935" s="0" t="n">
        <v>2156</v>
      </c>
      <c r="B935" s="68" t="n">
        <v>45957</v>
      </c>
      <c r="C935" s="69" t="s">
        <v>118</v>
      </c>
      <c r="D935" s="69" t="s">
        <v>109</v>
      </c>
      <c r="E935" s="69" t="s">
        <v>107</v>
      </c>
      <c r="F935" s="69" t="s">
        <v>166</v>
      </c>
      <c r="G935" s="69" t="s">
        <v>116</v>
      </c>
      <c r="H935" s="0" t="n">
        <v>14</v>
      </c>
      <c r="I935" s="70" t="n">
        <v>85.34</v>
      </c>
      <c r="J935" s="70" t="n">
        <v>49.47</v>
      </c>
      <c r="K935" s="70" t="n">
        <f aca="false">IF(ISTEXT(H935),VALUE(H935),H935)*I935</f>
        <v>1194.76</v>
      </c>
    </row>
    <row r="936" customFormat="false" ht="15" hidden="false" customHeight="false" outlineLevel="0" collapsed="false">
      <c r="A936" s="0" t="n">
        <v>2202</v>
      </c>
      <c r="B936" s="68" t="n">
        <v>45986</v>
      </c>
      <c r="C936" s="69" t="s">
        <v>124</v>
      </c>
      <c r="D936" s="69" t="s">
        <v>97</v>
      </c>
      <c r="E936" s="69" t="s">
        <v>125</v>
      </c>
      <c r="F936" s="69" t="s">
        <v>26</v>
      </c>
      <c r="G936" s="69" t="s">
        <v>41</v>
      </c>
      <c r="H936" s="0" t="n">
        <v>20</v>
      </c>
      <c r="I936" s="70" t="n">
        <v>1204.74</v>
      </c>
      <c r="J936" s="70" t="n">
        <v>766.32</v>
      </c>
      <c r="K936" s="70" t="n">
        <f aca="false">IF(ISTEXT(H936),VALUE(H936),H936)*I936</f>
        <v>24094.8</v>
      </c>
    </row>
    <row r="937" customFormat="false" ht="15" hidden="false" customHeight="false" outlineLevel="0" collapsed="false">
      <c r="A937" s="0" t="n">
        <v>981</v>
      </c>
      <c r="B937" s="69" t="s">
        <v>501</v>
      </c>
      <c r="C937" s="69" t="s">
        <v>161</v>
      </c>
      <c r="D937" s="69"/>
      <c r="E937" s="69" t="s">
        <v>121</v>
      </c>
      <c r="F937" s="69" t="s">
        <v>147</v>
      </c>
      <c r="G937" s="69" t="s">
        <v>41</v>
      </c>
      <c r="H937" s="0" t="n">
        <v>8</v>
      </c>
      <c r="I937" s="70" t="n">
        <v>1176</v>
      </c>
      <c r="J937" s="70" t="n">
        <v>744</v>
      </c>
      <c r="K937" s="70" t="n">
        <f aca="false">IF(ISTEXT(H937),VALUE(H937),H937)*I937</f>
        <v>9408</v>
      </c>
    </row>
    <row r="938" customFormat="false" ht="15" hidden="false" customHeight="false" outlineLevel="0" collapsed="false">
      <c r="A938" s="0" t="n">
        <v>723</v>
      </c>
      <c r="B938" s="69" t="s">
        <v>502</v>
      </c>
      <c r="C938" s="69" t="s">
        <v>27</v>
      </c>
      <c r="D938" s="69" t="s">
        <v>86</v>
      </c>
      <c r="E938" s="69" t="s">
        <v>121</v>
      </c>
      <c r="F938" s="69" t="s">
        <v>153</v>
      </c>
      <c r="G938" s="69" t="s">
        <v>43</v>
      </c>
      <c r="H938" s="0" t="n">
        <v>13</v>
      </c>
      <c r="I938" s="70" t="n">
        <v>441</v>
      </c>
      <c r="J938" s="70" t="n">
        <v>272.25</v>
      </c>
      <c r="K938" s="70" t="n">
        <f aca="false">IF(ISTEXT(H938),VALUE(H938),H938)*I938</f>
        <v>5733</v>
      </c>
    </row>
    <row r="939" customFormat="false" ht="15" hidden="false" customHeight="false" outlineLevel="0" collapsed="false">
      <c r="A939" s="0" t="n">
        <v>1194</v>
      </c>
      <c r="B939" s="69" t="s">
        <v>503</v>
      </c>
      <c r="C939" s="69" t="s">
        <v>161</v>
      </c>
      <c r="D939" s="69" t="s">
        <v>112</v>
      </c>
      <c r="E939" s="69" t="s">
        <v>180</v>
      </c>
      <c r="F939" s="69" t="s">
        <v>162</v>
      </c>
      <c r="G939" s="69" t="s">
        <v>156</v>
      </c>
      <c r="H939" s="0" t="n">
        <v>8</v>
      </c>
      <c r="I939" s="70" t="n">
        <v>117.6</v>
      </c>
      <c r="J939" s="70" t="n">
        <v>63.6</v>
      </c>
      <c r="K939" s="70" t="n">
        <f aca="false">IF(ISTEXT(H939),VALUE(H939),H939)*I939</f>
        <v>940.8</v>
      </c>
    </row>
    <row r="940" customFormat="false" ht="15" hidden="false" customHeight="false" outlineLevel="0" collapsed="false">
      <c r="A940" s="0" t="n">
        <v>16</v>
      </c>
      <c r="B940" s="69" t="s">
        <v>504</v>
      </c>
      <c r="C940" s="69" t="s">
        <v>25</v>
      </c>
      <c r="D940" s="69" t="s">
        <v>97</v>
      </c>
      <c r="E940" s="69" t="s">
        <v>119</v>
      </c>
      <c r="F940" s="69" t="s">
        <v>166</v>
      </c>
      <c r="G940" s="69" t="s">
        <v>116</v>
      </c>
      <c r="H940" s="0" t="n">
        <v>16</v>
      </c>
      <c r="I940" s="70" t="n">
        <v>83.3</v>
      </c>
      <c r="J940" s="70" t="n">
        <v>48.03</v>
      </c>
      <c r="K940" s="70" t="n">
        <f aca="false">IF(ISTEXT(H940),VALUE(H940),H940)*I940</f>
        <v>1332.8</v>
      </c>
    </row>
    <row r="941" customFormat="false" ht="15" hidden="false" customHeight="false" outlineLevel="0" collapsed="false">
      <c r="A941" s="0" t="n">
        <v>1850</v>
      </c>
      <c r="B941" s="68" t="n">
        <v>45856</v>
      </c>
      <c r="C941" s="69" t="s">
        <v>30</v>
      </c>
      <c r="D941" s="69" t="s">
        <v>109</v>
      </c>
      <c r="E941" s="69" t="s">
        <v>119</v>
      </c>
      <c r="F941" s="69" t="s">
        <v>155</v>
      </c>
      <c r="G941" s="69" t="s">
        <v>235</v>
      </c>
      <c r="H941" s="0" t="n">
        <v>32</v>
      </c>
      <c r="I941" s="70" t="n">
        <v>95.38</v>
      </c>
      <c r="J941" s="70" t="n">
        <v>49.41</v>
      </c>
      <c r="K941" s="70" t="n">
        <f aca="false">IF(ISTEXT(H941),VALUE(H941),H941)*I941</f>
        <v>3052.16</v>
      </c>
    </row>
    <row r="942" customFormat="false" ht="15" hidden="false" customHeight="false" outlineLevel="0" collapsed="false">
      <c r="A942" s="0" t="n">
        <v>665</v>
      </c>
      <c r="B942" s="69" t="s">
        <v>219</v>
      </c>
      <c r="C942" s="69" t="s">
        <v>193</v>
      </c>
      <c r="D942" s="69" t="s">
        <v>137</v>
      </c>
      <c r="E942" s="69" t="s">
        <v>134</v>
      </c>
      <c r="F942" s="69" t="s">
        <v>153</v>
      </c>
      <c r="G942" s="69" t="s">
        <v>157</v>
      </c>
      <c r="H942" s="0" t="n">
        <v>7</v>
      </c>
      <c r="I942" s="70" t="n">
        <v>1617</v>
      </c>
      <c r="J942" s="70" t="n">
        <v>1122</v>
      </c>
      <c r="K942" s="70" t="n">
        <f aca="false">IF(ISTEXT(H942),VALUE(H942),H942)*I942</f>
        <v>11319</v>
      </c>
    </row>
    <row r="943" customFormat="false" ht="15" hidden="false" customHeight="false" outlineLevel="0" collapsed="false">
      <c r="A943" s="0" t="n">
        <v>1220</v>
      </c>
      <c r="B943" s="68" t="n">
        <v>45666</v>
      </c>
      <c r="C943" s="69" t="s">
        <v>170</v>
      </c>
      <c r="D943" s="69" t="s">
        <v>97</v>
      </c>
      <c r="E943" s="69" t="s">
        <v>119</v>
      </c>
      <c r="F943" s="69" t="s">
        <v>182</v>
      </c>
      <c r="G943" s="69" t="s">
        <v>217</v>
      </c>
      <c r="H943" s="0" t="n">
        <v>33</v>
      </c>
      <c r="I943" s="70" t="n">
        <v>34.78</v>
      </c>
      <c r="J943" s="70" t="n">
        <v>18.39</v>
      </c>
      <c r="K943" s="70" t="n">
        <f aca="false">IF(ISTEXT(H943),VALUE(H943),H943)*I943</f>
        <v>1147.74</v>
      </c>
    </row>
    <row r="944" customFormat="false" ht="15" hidden="false" customHeight="false" outlineLevel="0" collapsed="false">
      <c r="A944" s="0" t="n">
        <v>149</v>
      </c>
      <c r="B944" s="68" t="n">
        <v>45340</v>
      </c>
      <c r="C944" s="69" t="s">
        <v>108</v>
      </c>
      <c r="D944" s="69" t="s">
        <v>109</v>
      </c>
      <c r="E944" s="69" t="s">
        <v>134</v>
      </c>
      <c r="F944" s="69" t="s">
        <v>143</v>
      </c>
      <c r="G944" s="69" t="s">
        <v>48</v>
      </c>
      <c r="H944" s="0" t="n">
        <v>34</v>
      </c>
      <c r="I944" s="70" t="n">
        <v>93.1</v>
      </c>
      <c r="J944" s="70" t="n">
        <v>47.98</v>
      </c>
      <c r="K944" s="70" t="n">
        <f aca="false">IF(ISTEXT(H944),VALUE(H944),H944)*I944</f>
        <v>3165.4</v>
      </c>
    </row>
    <row r="945" customFormat="false" ht="15" hidden="false" customHeight="false" outlineLevel="0" collapsed="false">
      <c r="A945" s="0" t="n">
        <v>66</v>
      </c>
      <c r="B945" s="68" t="n">
        <v>45295</v>
      </c>
      <c r="C945" s="69" t="s">
        <v>184</v>
      </c>
      <c r="D945" s="69" t="s">
        <v>137</v>
      </c>
      <c r="E945" s="69" t="s">
        <v>119</v>
      </c>
      <c r="F945" s="69" t="s">
        <v>153</v>
      </c>
      <c r="G945" s="69" t="s">
        <v>45</v>
      </c>
      <c r="H945" s="0" t="n">
        <v>2</v>
      </c>
      <c r="I945" s="70" t="n">
        <v>1617</v>
      </c>
      <c r="J945" s="70" t="n">
        <v>1122</v>
      </c>
      <c r="K945" s="70" t="n">
        <f aca="false">IF(ISTEXT(H945),VALUE(H945),H945)*I945</f>
        <v>3234</v>
      </c>
    </row>
    <row r="946" customFormat="false" ht="15" hidden="false" customHeight="false" outlineLevel="0" collapsed="false">
      <c r="A946" s="0" t="n">
        <v>1727</v>
      </c>
      <c r="B946" s="68" t="n">
        <v>45829</v>
      </c>
      <c r="C946" s="69" t="s">
        <v>120</v>
      </c>
      <c r="D946" s="69" t="s">
        <v>86</v>
      </c>
      <c r="E946" s="69" t="s">
        <v>110</v>
      </c>
      <c r="F946" s="69" t="s">
        <v>28</v>
      </c>
      <c r="G946" s="69" t="s">
        <v>103</v>
      </c>
      <c r="H946" s="0" t="n">
        <v>64</v>
      </c>
      <c r="I946" s="70" t="n">
        <v>27.82</v>
      </c>
      <c r="J946" s="70" t="n">
        <v>13.84</v>
      </c>
      <c r="K946" s="70" t="n">
        <f aca="false">IF(ISTEXT(H946),VALUE(H946),H946)*I946</f>
        <v>1780.48</v>
      </c>
    </row>
    <row r="947" customFormat="false" ht="15" hidden="false" customHeight="false" outlineLevel="0" collapsed="false">
      <c r="A947" s="0" t="n">
        <v>1679</v>
      </c>
      <c r="B947" s="68" t="n">
        <v>45786</v>
      </c>
      <c r="C947" s="69" t="s">
        <v>32</v>
      </c>
      <c r="D947" s="69" t="s">
        <v>137</v>
      </c>
      <c r="E947" s="69" t="s">
        <v>121</v>
      </c>
      <c r="F947" s="69" t="s">
        <v>183</v>
      </c>
      <c r="G947" s="69" t="s">
        <v>53</v>
      </c>
      <c r="H947" s="0" t="s">
        <v>201</v>
      </c>
      <c r="I947" s="70" t="n">
        <v>34.78</v>
      </c>
      <c r="J947" s="70" t="n">
        <v>18.39</v>
      </c>
      <c r="K947" s="70" t="n">
        <f aca="false">IF(ISTEXT(H947),VALUE(H947),H947)*I947</f>
        <v>556.48</v>
      </c>
    </row>
    <row r="948" customFormat="false" ht="15" hidden="false" customHeight="false" outlineLevel="0" collapsed="false">
      <c r="A948" s="0" t="n">
        <v>484</v>
      </c>
      <c r="B948" s="68" t="n">
        <v>45426</v>
      </c>
      <c r="C948" s="69" t="s">
        <v>133</v>
      </c>
      <c r="D948" s="69" t="s">
        <v>112</v>
      </c>
      <c r="E948" s="69" t="s">
        <v>107</v>
      </c>
      <c r="F948" s="69" t="s">
        <v>147</v>
      </c>
      <c r="G948" s="69" t="s">
        <v>43</v>
      </c>
      <c r="H948" s="0" t="n">
        <v>2</v>
      </c>
      <c r="I948" s="70" t="n">
        <v>441</v>
      </c>
      <c r="J948" s="70" t="n">
        <v>272.25</v>
      </c>
      <c r="K948" s="70" t="n">
        <f aca="false">IF(ISTEXT(H948),VALUE(H948),H948)*I948</f>
        <v>882</v>
      </c>
    </row>
    <row r="949" customFormat="false" ht="15" hidden="false" customHeight="false" outlineLevel="0" collapsed="false">
      <c r="A949" s="0" t="n">
        <v>27</v>
      </c>
      <c r="B949" s="68" t="n">
        <v>45292</v>
      </c>
      <c r="C949" s="69" t="s">
        <v>27</v>
      </c>
      <c r="D949" s="69" t="s">
        <v>86</v>
      </c>
      <c r="E949" s="69" t="s">
        <v>121</v>
      </c>
      <c r="F949" s="69" t="s">
        <v>102</v>
      </c>
      <c r="G949" s="69" t="s">
        <v>113</v>
      </c>
      <c r="H949" s="0" t="n">
        <v>57</v>
      </c>
      <c r="I949" s="70" t="n">
        <v>27.44</v>
      </c>
      <c r="J949" s="70" t="n">
        <v>13.44</v>
      </c>
      <c r="K949" s="70" t="n">
        <f aca="false">IF(ISTEXT(H949),VALUE(H949),H949)*I949</f>
        <v>1564.08</v>
      </c>
    </row>
    <row r="950" customFormat="false" ht="15" hidden="false" customHeight="false" outlineLevel="0" collapsed="false">
      <c r="A950" s="0" t="n">
        <v>1402</v>
      </c>
      <c r="B950" s="68" t="n">
        <v>45730</v>
      </c>
      <c r="C950" s="69" t="s">
        <v>150</v>
      </c>
      <c r="D950" s="69" t="s">
        <v>97</v>
      </c>
      <c r="E950" s="69" t="s">
        <v>107</v>
      </c>
      <c r="F950" s="69" t="s">
        <v>139</v>
      </c>
      <c r="G950" s="69" t="s">
        <v>154</v>
      </c>
      <c r="H950" s="0" t="n">
        <v>12</v>
      </c>
      <c r="I950" s="70" t="n">
        <v>1155.06</v>
      </c>
      <c r="J950" s="70" t="n">
        <v>766.32</v>
      </c>
      <c r="K950" s="70" t="n">
        <f aca="false">IF(ISTEXT(H950),VALUE(H950),H950)*I950</f>
        <v>13860.72</v>
      </c>
    </row>
    <row r="951" customFormat="false" ht="15" hidden="false" customHeight="false" outlineLevel="0" collapsed="false">
      <c r="A951" s="0" t="n">
        <v>1493</v>
      </c>
      <c r="B951" s="68" t="n">
        <v>45719</v>
      </c>
      <c r="C951" s="69" t="s">
        <v>161</v>
      </c>
      <c r="D951" s="69" t="s">
        <v>112</v>
      </c>
      <c r="E951" s="69" t="s">
        <v>110</v>
      </c>
      <c r="F951" s="69" t="s">
        <v>115</v>
      </c>
      <c r="G951" s="69" t="s">
        <v>171</v>
      </c>
      <c r="H951" s="0" t="s">
        <v>328</v>
      </c>
      <c r="I951" s="70" t="n">
        <v>119.23</v>
      </c>
      <c r="J951" s="70" t="n">
        <v>65.51</v>
      </c>
      <c r="K951" s="70" t="n">
        <f aca="false">IF(ISTEXT(H951),VALUE(H951),H951)*I951</f>
        <v>1430.76</v>
      </c>
    </row>
    <row r="952" customFormat="false" ht="15" hidden="false" customHeight="false" outlineLevel="0" collapsed="false">
      <c r="A952" s="0" t="n">
        <v>541</v>
      </c>
      <c r="B952" s="69" t="s">
        <v>505</v>
      </c>
      <c r="C952" s="69" t="s">
        <v>108</v>
      </c>
      <c r="D952" s="69" t="s">
        <v>109</v>
      </c>
      <c r="E952" s="69" t="s">
        <v>138</v>
      </c>
      <c r="F952" s="69" t="s">
        <v>139</v>
      </c>
      <c r="G952" s="69" t="s">
        <v>151</v>
      </c>
      <c r="H952" s="0" t="n">
        <v>8</v>
      </c>
      <c r="I952" s="70" t="n">
        <v>1176</v>
      </c>
      <c r="J952" s="70" t="n">
        <v>744</v>
      </c>
      <c r="K952" s="70" t="n">
        <f aca="false">IF(ISTEXT(H952),VALUE(H952),H952)*I952</f>
        <v>9408</v>
      </c>
    </row>
    <row r="953" customFormat="false" ht="15" hidden="false" customHeight="false" outlineLevel="0" collapsed="false">
      <c r="A953" s="0" t="n">
        <v>313</v>
      </c>
      <c r="B953" s="68" t="n">
        <v>45387</v>
      </c>
      <c r="C953" s="69" t="s">
        <v>96</v>
      </c>
      <c r="D953" s="69" t="s">
        <v>97</v>
      </c>
      <c r="E953" s="69" t="s">
        <v>134</v>
      </c>
      <c r="F953" s="69" t="s">
        <v>166</v>
      </c>
      <c r="G953" s="69" t="s">
        <v>171</v>
      </c>
      <c r="H953" s="0" t="n">
        <v>46</v>
      </c>
      <c r="I953" s="70" t="n">
        <v>117.6</v>
      </c>
      <c r="J953" s="70" t="n">
        <v>63.6</v>
      </c>
      <c r="K953" s="70" t="n">
        <f aca="false">IF(ISTEXT(H953),VALUE(H953),H953)*I953</f>
        <v>5409.6</v>
      </c>
    </row>
    <row r="954" customFormat="false" ht="15" hidden="false" customHeight="false" outlineLevel="0" collapsed="false">
      <c r="A954" s="0" t="n">
        <v>1022</v>
      </c>
      <c r="B954" s="69" t="s">
        <v>253</v>
      </c>
      <c r="C954" s="69" t="s">
        <v>91</v>
      </c>
      <c r="D954" s="69" t="s">
        <v>86</v>
      </c>
      <c r="E954" s="69" t="s">
        <v>125</v>
      </c>
      <c r="F954" s="69" t="s">
        <v>153</v>
      </c>
      <c r="G954" s="69" t="s">
        <v>41</v>
      </c>
      <c r="H954" s="0" t="n">
        <v>7</v>
      </c>
      <c r="I954" s="70" t="n">
        <v>1176</v>
      </c>
      <c r="J954" s="70" t="n">
        <v>744</v>
      </c>
      <c r="K954" s="70" t="n">
        <f aca="false">IF(ISTEXT(H954),VALUE(H954),H954)*I954</f>
        <v>8232</v>
      </c>
    </row>
    <row r="955" customFormat="false" ht="15" hidden="false" customHeight="false" outlineLevel="0" collapsed="false">
      <c r="A955" s="0" t="n">
        <v>1586</v>
      </c>
      <c r="B955" s="69" t="s">
        <v>465</v>
      </c>
      <c r="C955" s="69" t="s">
        <v>161</v>
      </c>
      <c r="D955" s="69" t="s">
        <v>112</v>
      </c>
      <c r="E955" s="69" t="s">
        <v>107</v>
      </c>
      <c r="F955" s="69" t="s">
        <v>135</v>
      </c>
      <c r="G955" s="69" t="s">
        <v>45</v>
      </c>
      <c r="H955" s="0" t="n">
        <v>4</v>
      </c>
      <c r="I955" s="70" t="n">
        <v>1588.21</v>
      </c>
      <c r="J955" s="70" t="n">
        <v>1155.66</v>
      </c>
      <c r="K955" s="70" t="n">
        <f aca="false">IF(ISTEXT(H955),VALUE(H955),H955)*I955</f>
        <v>6352.84</v>
      </c>
    </row>
    <row r="956" customFormat="false" ht="15" hidden="false" customHeight="false" outlineLevel="0" collapsed="false">
      <c r="A956" s="0" t="n">
        <v>403</v>
      </c>
      <c r="B956" s="68" t="n">
        <v>45426</v>
      </c>
      <c r="C956" s="69" t="s">
        <v>150</v>
      </c>
      <c r="D956" s="69" t="s">
        <v>97</v>
      </c>
      <c r="E956" s="69" t="s">
        <v>121</v>
      </c>
      <c r="F956" s="69" t="s">
        <v>153</v>
      </c>
      <c r="G956" s="69" t="s">
        <v>89</v>
      </c>
      <c r="H956" s="0" t="n">
        <v>22</v>
      </c>
      <c r="I956" s="70" t="n">
        <v>441</v>
      </c>
      <c r="J956" s="70" t="n">
        <v>272.25</v>
      </c>
      <c r="K956" s="70" t="n">
        <f aca="false">IF(ISTEXT(H956),VALUE(H956),H956)*I956</f>
        <v>9702</v>
      </c>
    </row>
    <row r="957" customFormat="false" ht="15" hidden="false" customHeight="false" outlineLevel="0" collapsed="false">
      <c r="A957" s="0" t="n">
        <v>220</v>
      </c>
      <c r="B957" s="68" t="n">
        <v>45353</v>
      </c>
      <c r="C957" s="69" t="s">
        <v>96</v>
      </c>
      <c r="D957" s="69" t="s">
        <v>97</v>
      </c>
      <c r="E957" s="69" t="s">
        <v>180</v>
      </c>
      <c r="F957" s="69" t="s">
        <v>183</v>
      </c>
      <c r="G957" s="69" t="s">
        <v>217</v>
      </c>
      <c r="H957" s="0" t="n">
        <v>25</v>
      </c>
      <c r="I957" s="70" t="n">
        <v>34.3</v>
      </c>
      <c r="J957" s="70" t="n">
        <v>17.85</v>
      </c>
      <c r="K957" s="70" t="n">
        <f aca="false">IF(ISTEXT(H957),VALUE(H957),H957)*I957</f>
        <v>857.5</v>
      </c>
    </row>
    <row r="958" customFormat="false" ht="15" hidden="false" customHeight="false" outlineLevel="0" collapsed="false">
      <c r="A958" s="0" t="n">
        <v>85</v>
      </c>
      <c r="B958" s="69" t="s">
        <v>337</v>
      </c>
      <c r="C958" s="69" t="s">
        <v>133</v>
      </c>
      <c r="D958" s="69" t="s">
        <v>112</v>
      </c>
      <c r="E958" s="69" t="s">
        <v>121</v>
      </c>
      <c r="F958" s="69" t="s">
        <v>135</v>
      </c>
      <c r="G958" s="69" t="s">
        <v>141</v>
      </c>
      <c r="H958" s="0" t="s">
        <v>229</v>
      </c>
      <c r="I958" s="70" t="n">
        <v>1617</v>
      </c>
      <c r="J958" s="70" t="n">
        <v>1122</v>
      </c>
      <c r="K958" s="70" t="n">
        <f aca="false">IF(ISTEXT(H958),VALUE(H958),H958)*I958</f>
        <v>11319</v>
      </c>
    </row>
    <row r="959" customFormat="false" ht="15" hidden="false" customHeight="false" outlineLevel="0" collapsed="false">
      <c r="A959" s="0" t="n">
        <v>898</v>
      </c>
      <c r="B959" s="68" t="n">
        <v>45558</v>
      </c>
      <c r="C959" s="69" t="s">
        <v>161</v>
      </c>
      <c r="D959" s="69" t="s">
        <v>112</v>
      </c>
      <c r="E959" s="69" t="s">
        <v>125</v>
      </c>
      <c r="F959" s="69" t="s">
        <v>93</v>
      </c>
      <c r="G959" s="69" t="s">
        <v>52</v>
      </c>
      <c r="H959" s="0" t="n">
        <v>6</v>
      </c>
      <c r="I959" s="70" t="n">
        <v>127.4</v>
      </c>
      <c r="J959" s="70" t="n">
        <v>76.05</v>
      </c>
      <c r="K959" s="70" t="n">
        <f aca="false">IF(ISTEXT(H959),VALUE(H959),H959)*I959</f>
        <v>764.4</v>
      </c>
    </row>
    <row r="960" customFormat="false" ht="15" hidden="false" customHeight="false" outlineLevel="0" collapsed="false">
      <c r="A960" s="0" t="n">
        <v>490</v>
      </c>
      <c r="B960" s="68" t="n">
        <v>45414</v>
      </c>
      <c r="C960" s="69" t="s">
        <v>161</v>
      </c>
      <c r="D960" s="69"/>
      <c r="E960" s="69" t="s">
        <v>98</v>
      </c>
      <c r="F960" s="69" t="s">
        <v>28</v>
      </c>
      <c r="G960" s="69" t="s">
        <v>172</v>
      </c>
      <c r="H960" s="0" t="n">
        <v>12</v>
      </c>
      <c r="I960" s="70" t="n">
        <v>93.1</v>
      </c>
      <c r="J960" s="70" t="n">
        <v>47.98</v>
      </c>
      <c r="K960" s="70" t="n">
        <f aca="false">IF(ISTEXT(H960),VALUE(H960),H960)*I960</f>
        <v>1117.2</v>
      </c>
    </row>
    <row r="961" customFormat="false" ht="15" hidden="false" customHeight="false" outlineLevel="0" collapsed="false">
      <c r="A961" s="0" t="n">
        <v>742</v>
      </c>
      <c r="B961" s="69" t="s">
        <v>506</v>
      </c>
      <c r="C961" s="69" t="s">
        <v>118</v>
      </c>
      <c r="D961" s="69" t="s">
        <v>109</v>
      </c>
      <c r="E961" s="69" t="s">
        <v>87</v>
      </c>
      <c r="F961" s="69" t="s">
        <v>88</v>
      </c>
      <c r="G961" s="69" t="s">
        <v>41</v>
      </c>
      <c r="H961" s="0" t="n">
        <v>4</v>
      </c>
      <c r="I961" s="70" t="n">
        <v>1176</v>
      </c>
      <c r="J961" s="70" t="n">
        <v>744</v>
      </c>
      <c r="K961" s="70" t="n">
        <f aca="false">IF(ISTEXT(H961),VALUE(H961),H961)*I961</f>
        <v>4704</v>
      </c>
    </row>
    <row r="962" customFormat="false" ht="15" hidden="false" customHeight="false" outlineLevel="0" collapsed="false">
      <c r="A962" s="0" t="n">
        <v>1917</v>
      </c>
      <c r="B962" s="69" t="s">
        <v>507</v>
      </c>
      <c r="C962" s="69" t="s">
        <v>150</v>
      </c>
      <c r="D962" s="69" t="s">
        <v>97</v>
      </c>
      <c r="E962" s="69" t="s">
        <v>138</v>
      </c>
      <c r="F962" s="69" t="s">
        <v>182</v>
      </c>
      <c r="G962" s="69" t="s">
        <v>127</v>
      </c>
      <c r="H962" s="0" t="n">
        <v>63</v>
      </c>
      <c r="I962" s="70" t="n">
        <v>130.51</v>
      </c>
      <c r="J962" s="70" t="n">
        <v>78.33</v>
      </c>
      <c r="K962" s="70" t="n">
        <f aca="false">IF(ISTEXT(H962),VALUE(H962),H962)*I962</f>
        <v>8222.13</v>
      </c>
    </row>
    <row r="963" customFormat="false" ht="15" hidden="false" customHeight="false" outlineLevel="0" collapsed="false">
      <c r="A963" s="0" t="n">
        <v>95</v>
      </c>
      <c r="B963" s="69" t="s">
        <v>508</v>
      </c>
      <c r="C963" s="69" t="s">
        <v>34</v>
      </c>
      <c r="D963" s="69" t="s">
        <v>112</v>
      </c>
      <c r="E963" s="69" t="s">
        <v>121</v>
      </c>
      <c r="F963" s="69" t="s">
        <v>162</v>
      </c>
      <c r="G963" s="69" t="s">
        <v>111</v>
      </c>
      <c r="H963" s="0" t="n">
        <v>11</v>
      </c>
      <c r="I963" s="70" t="n">
        <v>83.3</v>
      </c>
      <c r="J963" s="70" t="n">
        <v>48.03</v>
      </c>
      <c r="K963" s="70" t="n">
        <f aca="false">IF(ISTEXT(H963),VALUE(H963),H963)*I963</f>
        <v>916.3</v>
      </c>
    </row>
    <row r="964" customFormat="false" ht="15" hidden="false" customHeight="false" outlineLevel="0" collapsed="false">
      <c r="A964" s="0" t="n">
        <v>1525</v>
      </c>
      <c r="B964" s="68" t="n">
        <v>45758</v>
      </c>
      <c r="C964" s="69" t="s">
        <v>159</v>
      </c>
      <c r="D964" s="69" t="s">
        <v>86</v>
      </c>
      <c r="E964" s="69" t="s">
        <v>92</v>
      </c>
      <c r="F964" s="69" t="s">
        <v>26</v>
      </c>
      <c r="G964" s="69" t="s">
        <v>45</v>
      </c>
      <c r="H964" s="0" t="n">
        <v>10</v>
      </c>
      <c r="I964" s="70" t="n">
        <v>1588.21</v>
      </c>
      <c r="J964" s="70" t="n">
        <v>1155.66</v>
      </c>
      <c r="K964" s="70" t="n">
        <f aca="false">IF(ISTEXT(H964),VALUE(H964),H964)*I964</f>
        <v>15882.1</v>
      </c>
    </row>
    <row r="965" customFormat="false" ht="15" hidden="false" customHeight="false" outlineLevel="0" collapsed="false">
      <c r="A965" s="0" t="n">
        <v>2068</v>
      </c>
      <c r="B965" s="68" t="n">
        <v>45905</v>
      </c>
      <c r="C965" s="69" t="s">
        <v>32</v>
      </c>
      <c r="D965" s="69" t="s">
        <v>137</v>
      </c>
      <c r="E965" s="69" t="s">
        <v>125</v>
      </c>
      <c r="F965" s="69" t="s">
        <v>155</v>
      </c>
      <c r="G965" s="69" t="s">
        <v>113</v>
      </c>
      <c r="H965" s="0" t="n">
        <v>23</v>
      </c>
      <c r="I965" s="70" t="n">
        <v>28.11</v>
      </c>
      <c r="J965" s="70" t="n">
        <v>13.84</v>
      </c>
      <c r="K965" s="70" t="n">
        <f aca="false">IF(ISTEXT(H965),VALUE(H965),H965)*I965</f>
        <v>646.53</v>
      </c>
    </row>
    <row r="966" customFormat="false" ht="15" hidden="false" customHeight="false" outlineLevel="0" collapsed="false">
      <c r="A966" s="0" t="n">
        <v>865</v>
      </c>
      <c r="B966" s="68" t="n">
        <v>45543</v>
      </c>
      <c r="C966" s="69" t="s">
        <v>193</v>
      </c>
      <c r="D966" s="69" t="s">
        <v>137</v>
      </c>
      <c r="E966" s="69" t="s">
        <v>92</v>
      </c>
      <c r="F966" s="69" t="s">
        <v>147</v>
      </c>
      <c r="G966" s="69" t="s">
        <v>141</v>
      </c>
      <c r="H966" s="0" t="n">
        <v>8</v>
      </c>
      <c r="I966" s="70" t="n">
        <v>1617</v>
      </c>
      <c r="J966" s="70" t="n">
        <v>1122</v>
      </c>
      <c r="K966" s="70" t="n">
        <f aca="false">IF(ISTEXT(H966),VALUE(H966),H966)*I966</f>
        <v>12936</v>
      </c>
    </row>
    <row r="967" customFormat="false" ht="15" hidden="false" customHeight="false" outlineLevel="0" collapsed="false">
      <c r="A967" s="0" t="n">
        <v>1499</v>
      </c>
      <c r="B967" s="68" t="n">
        <v>45734</v>
      </c>
      <c r="C967" s="69" t="s">
        <v>142</v>
      </c>
      <c r="D967" s="69"/>
      <c r="E967" s="69" t="s">
        <v>138</v>
      </c>
      <c r="F967" s="69" t="s">
        <v>182</v>
      </c>
      <c r="G967" s="69" t="s">
        <v>94</v>
      </c>
      <c r="H967" s="0" t="s">
        <v>201</v>
      </c>
      <c r="I967" s="70" t="n">
        <v>34.78</v>
      </c>
      <c r="J967" s="70" t="n">
        <v>18.39</v>
      </c>
      <c r="K967" s="70" t="n">
        <f aca="false">IF(ISTEXT(H967),VALUE(H967),H967)*I967</f>
        <v>556.48</v>
      </c>
    </row>
    <row r="968" customFormat="false" ht="15" hidden="false" customHeight="false" outlineLevel="0" collapsed="false">
      <c r="A968" s="0" t="n">
        <v>1485</v>
      </c>
      <c r="B968" s="68" t="n">
        <v>45717</v>
      </c>
      <c r="C968" s="69" t="s">
        <v>133</v>
      </c>
      <c r="D968" s="69"/>
      <c r="E968" s="69" t="s">
        <v>121</v>
      </c>
      <c r="F968" s="69" t="s">
        <v>153</v>
      </c>
      <c r="G968" s="69" t="s">
        <v>141</v>
      </c>
      <c r="H968" s="0" t="n">
        <v>6</v>
      </c>
      <c r="I968" s="70" t="n">
        <v>1588.21</v>
      </c>
      <c r="J968" s="70" t="n">
        <v>1155.66</v>
      </c>
      <c r="K968" s="70" t="n">
        <f aca="false">IF(ISTEXT(H968),VALUE(H968),H968)*I968</f>
        <v>9529.26</v>
      </c>
    </row>
    <row r="969" customFormat="false" ht="15" hidden="false" customHeight="false" outlineLevel="0" collapsed="false">
      <c r="A969" s="0" t="n">
        <v>225</v>
      </c>
      <c r="B969" s="68" t="n">
        <v>45361</v>
      </c>
      <c r="C969" s="69" t="s">
        <v>120</v>
      </c>
      <c r="D969" s="69" t="s">
        <v>86</v>
      </c>
      <c r="E969" s="69" t="s">
        <v>134</v>
      </c>
      <c r="F969" s="69" t="s">
        <v>147</v>
      </c>
      <c r="G969" s="69" t="s">
        <v>45</v>
      </c>
      <c r="H969" s="0" t="n">
        <v>11</v>
      </c>
      <c r="I969" s="70" t="n">
        <v>1617</v>
      </c>
      <c r="J969" s="70" t="n">
        <v>1122</v>
      </c>
      <c r="K969" s="70" t="n">
        <f aca="false">IF(ISTEXT(H969),VALUE(H969),H969)*I969</f>
        <v>17787</v>
      </c>
    </row>
    <row r="970" customFormat="false" ht="15" hidden="false" customHeight="false" outlineLevel="0" collapsed="false">
      <c r="A970" s="0" t="n">
        <v>965</v>
      </c>
      <c r="B970" s="68" t="n">
        <v>45571</v>
      </c>
      <c r="C970" s="69" t="s">
        <v>136</v>
      </c>
      <c r="D970" s="69" t="s">
        <v>137</v>
      </c>
      <c r="E970" s="69" t="s">
        <v>110</v>
      </c>
      <c r="F970" s="69" t="s">
        <v>139</v>
      </c>
      <c r="G970" s="69" t="s">
        <v>157</v>
      </c>
      <c r="H970" s="0" t="n">
        <v>8</v>
      </c>
      <c r="I970" s="70" t="n">
        <v>1617</v>
      </c>
      <c r="J970" s="70" t="n">
        <v>1122</v>
      </c>
      <c r="K970" s="70" t="n">
        <f aca="false">IF(ISTEXT(H970),VALUE(H970),H970)*I970</f>
        <v>12936</v>
      </c>
    </row>
    <row r="971" customFormat="false" ht="15" hidden="false" customHeight="false" outlineLevel="0" collapsed="false">
      <c r="A971" s="0" t="n">
        <v>2230</v>
      </c>
      <c r="B971" s="68" t="n">
        <v>45966</v>
      </c>
      <c r="C971" s="69" t="s">
        <v>27</v>
      </c>
      <c r="D971" s="69" t="s">
        <v>86</v>
      </c>
      <c r="E971" s="69" t="s">
        <v>107</v>
      </c>
      <c r="F971" s="69" t="s">
        <v>155</v>
      </c>
      <c r="G971" s="69" t="s">
        <v>172</v>
      </c>
      <c r="H971" s="0" t="n">
        <v>49</v>
      </c>
      <c r="I971" s="70" t="n">
        <v>95.38</v>
      </c>
      <c r="J971" s="70" t="n">
        <v>49.41</v>
      </c>
      <c r="K971" s="70" t="n">
        <f aca="false">IF(ISTEXT(H971),VALUE(H971),H971)*I971</f>
        <v>4673.62</v>
      </c>
    </row>
    <row r="972" customFormat="false" ht="15" hidden="false" customHeight="false" outlineLevel="0" collapsed="false">
      <c r="A972" s="0" t="n">
        <v>1293</v>
      </c>
      <c r="B972" s="68" t="n">
        <v>45664</v>
      </c>
      <c r="C972" s="69" t="s">
        <v>161</v>
      </c>
      <c r="D972" s="69" t="s">
        <v>112</v>
      </c>
      <c r="E972" s="69" t="s">
        <v>138</v>
      </c>
      <c r="F972" s="69" t="s">
        <v>31</v>
      </c>
      <c r="G972" s="69" t="s">
        <v>156</v>
      </c>
      <c r="H972" s="0" t="n">
        <v>10</v>
      </c>
      <c r="I972" s="70" t="n">
        <v>119.23</v>
      </c>
      <c r="J972" s="70" t="n">
        <v>65.51</v>
      </c>
      <c r="K972" s="70" t="n">
        <f aca="false">IF(ISTEXT(H972),VALUE(H972),H972)*I972</f>
        <v>1192.3</v>
      </c>
    </row>
    <row r="973" customFormat="false" ht="15" hidden="false" customHeight="false" outlineLevel="0" collapsed="false">
      <c r="A973" s="0" t="n">
        <v>1819</v>
      </c>
      <c r="B973" s="68" t="n">
        <v>45855</v>
      </c>
      <c r="C973" s="69" t="s">
        <v>170</v>
      </c>
      <c r="D973" s="69" t="s">
        <v>97</v>
      </c>
      <c r="E973" s="69" t="s">
        <v>134</v>
      </c>
      <c r="F973" s="69" t="s">
        <v>183</v>
      </c>
      <c r="G973" s="69" t="s">
        <v>94</v>
      </c>
      <c r="H973" s="0" t="n">
        <v>52</v>
      </c>
      <c r="I973" s="70" t="n">
        <v>35.14</v>
      </c>
      <c r="J973" s="70" t="n">
        <v>18.39</v>
      </c>
      <c r="K973" s="70" t="n">
        <f aca="false">IF(ISTEXT(H973),VALUE(H973),H973)*I973</f>
        <v>1827.28</v>
      </c>
    </row>
    <row r="974" customFormat="false" ht="15" hidden="false" customHeight="false" outlineLevel="0" collapsed="false">
      <c r="A974" s="0" t="n">
        <v>1593</v>
      </c>
      <c r="B974" s="69" t="s">
        <v>509</v>
      </c>
      <c r="C974" s="69" t="s">
        <v>142</v>
      </c>
      <c r="D974" s="69" t="s">
        <v>112</v>
      </c>
      <c r="E974" s="69" t="s">
        <v>92</v>
      </c>
      <c r="F974" s="69" t="s">
        <v>166</v>
      </c>
      <c r="G974" s="69" t="s">
        <v>50</v>
      </c>
      <c r="H974" s="0" t="n">
        <v>14</v>
      </c>
      <c r="I974" s="70" t="n">
        <v>119.23</v>
      </c>
      <c r="J974" s="70" t="n">
        <v>65.51</v>
      </c>
      <c r="K974" s="70" t="n">
        <f aca="false">IF(ISTEXT(H974),VALUE(H974),H974)*I974</f>
        <v>1669.22</v>
      </c>
    </row>
    <row r="975" customFormat="false" ht="15" hidden="false" customHeight="false" outlineLevel="0" collapsed="false">
      <c r="A975" s="0" t="n">
        <v>2239</v>
      </c>
      <c r="B975" s="69" t="s">
        <v>510</v>
      </c>
      <c r="C975" s="69" t="s">
        <v>91</v>
      </c>
      <c r="D975" s="69" t="s">
        <v>86</v>
      </c>
      <c r="E975" s="69" t="s">
        <v>92</v>
      </c>
      <c r="F975" s="69" t="s">
        <v>183</v>
      </c>
      <c r="G975" s="69" t="s">
        <v>53</v>
      </c>
      <c r="H975" s="0" t="s">
        <v>431</v>
      </c>
      <c r="I975" s="70" t="n">
        <v>35.14</v>
      </c>
      <c r="J975" s="70" t="n">
        <v>18.39</v>
      </c>
      <c r="K975" s="70" t="n">
        <f aca="false">IF(ISTEXT(H975),VALUE(H975),H975)*I975</f>
        <v>1265.04</v>
      </c>
    </row>
    <row r="976" customFormat="false" ht="15" hidden="false" customHeight="false" outlineLevel="0" collapsed="false">
      <c r="A976" s="0" t="n">
        <v>1411</v>
      </c>
      <c r="B976" s="68" t="n">
        <v>45739</v>
      </c>
      <c r="C976" s="69" t="s">
        <v>170</v>
      </c>
      <c r="D976" s="69"/>
      <c r="E976" s="69" t="s">
        <v>121</v>
      </c>
      <c r="F976" s="69" t="s">
        <v>102</v>
      </c>
      <c r="G976" s="69" t="s">
        <v>49</v>
      </c>
      <c r="H976" s="0" t="n">
        <v>94</v>
      </c>
      <c r="I976" s="70" t="n">
        <v>64.58</v>
      </c>
      <c r="J976" s="70" t="n">
        <v>36.49</v>
      </c>
      <c r="K976" s="70" t="n">
        <f aca="false">IF(ISTEXT(H976),VALUE(H976),H976)*I976</f>
        <v>6070.52</v>
      </c>
    </row>
    <row r="977" customFormat="false" ht="15" hidden="false" customHeight="false" outlineLevel="0" collapsed="false">
      <c r="A977" s="0" t="n">
        <v>2173</v>
      </c>
      <c r="B977" s="68" t="n">
        <v>45941</v>
      </c>
      <c r="C977" s="69" t="s">
        <v>193</v>
      </c>
      <c r="D977" s="69"/>
      <c r="E977" s="69" t="s">
        <v>138</v>
      </c>
      <c r="F977" s="69" t="s">
        <v>162</v>
      </c>
      <c r="G977" s="69" t="s">
        <v>50</v>
      </c>
      <c r="H977" s="0" t="n">
        <v>14</v>
      </c>
      <c r="I977" s="70" t="n">
        <v>120.47</v>
      </c>
      <c r="J977" s="70" t="n">
        <v>65.51</v>
      </c>
      <c r="K977" s="70" t="n">
        <f aca="false">IF(ISTEXT(H977),VALUE(H977),H977)*I977</f>
        <v>1686.58</v>
      </c>
    </row>
    <row r="978" customFormat="false" ht="15" hidden="false" customHeight="false" outlineLevel="0" collapsed="false">
      <c r="A978" s="0" t="n">
        <v>496</v>
      </c>
      <c r="B978" s="68" t="n">
        <v>45429</v>
      </c>
      <c r="C978" s="69" t="s">
        <v>133</v>
      </c>
      <c r="D978" s="69" t="s">
        <v>112</v>
      </c>
      <c r="E978" s="69" t="s">
        <v>98</v>
      </c>
      <c r="F978" s="69" t="s">
        <v>31</v>
      </c>
      <c r="G978" s="69" t="s">
        <v>111</v>
      </c>
      <c r="H978" s="0" t="n">
        <v>6</v>
      </c>
      <c r="I978" s="70" t="n">
        <v>83.3</v>
      </c>
      <c r="J978" s="70" t="n">
        <v>48.03</v>
      </c>
      <c r="K978" s="70" t="n">
        <f aca="false">IF(ISTEXT(H978),VALUE(H978),H978)*I978</f>
        <v>499.8</v>
      </c>
    </row>
    <row r="979" customFormat="false" ht="15" hidden="false" customHeight="false" outlineLevel="0" collapsed="false">
      <c r="A979" s="0" t="n">
        <v>1484</v>
      </c>
      <c r="B979" s="68" t="n">
        <v>45737</v>
      </c>
      <c r="C979" s="69" t="s">
        <v>133</v>
      </c>
      <c r="D979" s="69" t="s">
        <v>112</v>
      </c>
      <c r="E979" s="69" t="s">
        <v>180</v>
      </c>
      <c r="F979" s="69" t="s">
        <v>147</v>
      </c>
      <c r="G979" s="69" t="s">
        <v>43</v>
      </c>
      <c r="H979" s="0" t="n">
        <v>5</v>
      </c>
      <c r="I979" s="70" t="n">
        <v>433.15</v>
      </c>
      <c r="J979" s="70" t="n">
        <v>280.42</v>
      </c>
      <c r="K979" s="70" t="n">
        <f aca="false">IF(ISTEXT(H979),VALUE(H979),H979)*I979</f>
        <v>2165.75</v>
      </c>
    </row>
    <row r="980" customFormat="false" ht="15" hidden="false" customHeight="false" outlineLevel="0" collapsed="false">
      <c r="A980" s="0" t="n">
        <v>93</v>
      </c>
      <c r="B980" s="69" t="s">
        <v>511</v>
      </c>
      <c r="C980" s="69" t="s">
        <v>133</v>
      </c>
      <c r="D980" s="69" t="s">
        <v>112</v>
      </c>
      <c r="E980" s="69" t="s">
        <v>121</v>
      </c>
      <c r="F980" s="69" t="s">
        <v>115</v>
      </c>
      <c r="G980" s="69" t="s">
        <v>50</v>
      </c>
      <c r="H980" s="0" t="n">
        <v>12</v>
      </c>
      <c r="I980" s="70" t="n">
        <v>117.6</v>
      </c>
      <c r="J980" s="70" t="n">
        <v>63.6</v>
      </c>
      <c r="K980" s="70" t="n">
        <f aca="false">IF(ISTEXT(H980),VALUE(H980),H980)*I980</f>
        <v>1411.2</v>
      </c>
    </row>
    <row r="981" customFormat="false" ht="15" hidden="false" customHeight="false" outlineLevel="0" collapsed="false">
      <c r="A981" s="0" t="n">
        <v>1595</v>
      </c>
      <c r="B981" s="68" t="n">
        <v>45762</v>
      </c>
      <c r="C981" s="69" t="s">
        <v>34</v>
      </c>
      <c r="D981" s="69" t="s">
        <v>112</v>
      </c>
      <c r="E981" s="69" t="s">
        <v>138</v>
      </c>
      <c r="F981" s="69" t="s">
        <v>31</v>
      </c>
      <c r="G981" s="69" t="s">
        <v>116</v>
      </c>
      <c r="H981" s="0" t="n">
        <v>13</v>
      </c>
      <c r="I981" s="70" t="n">
        <v>84.46</v>
      </c>
      <c r="J981" s="70" t="n">
        <v>49.47</v>
      </c>
      <c r="K981" s="70" t="n">
        <f aca="false">IF(ISTEXT(H981),VALUE(H981),H981)*I981</f>
        <v>1097.98</v>
      </c>
    </row>
    <row r="982" customFormat="false" ht="15" hidden="false" customHeight="false" outlineLevel="0" collapsed="false">
      <c r="A982" s="0" t="n">
        <v>237</v>
      </c>
      <c r="B982" s="68" t="n">
        <v>45364</v>
      </c>
      <c r="C982" s="69" t="s">
        <v>27</v>
      </c>
      <c r="D982" s="69"/>
      <c r="E982" s="69" t="s">
        <v>101</v>
      </c>
      <c r="F982" s="69" t="s">
        <v>183</v>
      </c>
      <c r="G982" s="69" t="s">
        <v>127</v>
      </c>
      <c r="H982" s="0" t="n">
        <v>37</v>
      </c>
      <c r="I982" s="70" t="n">
        <v>127.4</v>
      </c>
      <c r="J982" s="70" t="n">
        <v>76.05</v>
      </c>
      <c r="K982" s="70" t="n">
        <f aca="false">IF(ISTEXT(H982),VALUE(H982),H982)*I982</f>
        <v>4713.8</v>
      </c>
    </row>
    <row r="983" customFormat="false" ht="15" hidden="false" customHeight="false" outlineLevel="0" collapsed="false">
      <c r="A983" s="0" t="n">
        <v>448</v>
      </c>
      <c r="B983" s="69" t="s">
        <v>512</v>
      </c>
      <c r="C983" s="69" t="s">
        <v>108</v>
      </c>
      <c r="D983" s="69" t="s">
        <v>109</v>
      </c>
      <c r="E983" s="69" t="s">
        <v>98</v>
      </c>
      <c r="F983" s="69" t="s">
        <v>28</v>
      </c>
      <c r="G983" s="69" t="s">
        <v>103</v>
      </c>
      <c r="H983" s="0" t="n">
        <v>14</v>
      </c>
      <c r="I983" s="70" t="n">
        <v>27.44</v>
      </c>
      <c r="J983" s="70" t="n">
        <v>13.44</v>
      </c>
      <c r="K983" s="70" t="n">
        <f aca="false">IF(ISTEXT(H983),VALUE(H983),H983)*I983</f>
        <v>384.16</v>
      </c>
    </row>
    <row r="984" customFormat="false" ht="15" hidden="false" customHeight="false" outlineLevel="0" collapsed="false">
      <c r="A984" s="0" t="n">
        <v>584</v>
      </c>
      <c r="B984" s="68" t="n">
        <v>45455</v>
      </c>
      <c r="C984" s="69" t="s">
        <v>133</v>
      </c>
      <c r="D984" s="69"/>
      <c r="E984" s="69" t="s">
        <v>87</v>
      </c>
      <c r="F984" s="69" t="s">
        <v>153</v>
      </c>
      <c r="G984" s="69" t="s">
        <v>43</v>
      </c>
      <c r="H984" s="0" t="n">
        <v>3</v>
      </c>
      <c r="I984" s="70" t="n">
        <v>441</v>
      </c>
      <c r="J984" s="70" t="n">
        <v>272.25</v>
      </c>
      <c r="K984" s="70" t="n">
        <f aca="false">IF(ISTEXT(H984),VALUE(H984),H984)*I984</f>
        <v>1323</v>
      </c>
    </row>
    <row r="985" customFormat="false" ht="15" hidden="false" customHeight="false" outlineLevel="0" collapsed="false">
      <c r="A985" s="0" t="n">
        <v>1382</v>
      </c>
      <c r="B985" s="68" t="n">
        <v>45697</v>
      </c>
      <c r="C985" s="69" t="s">
        <v>161</v>
      </c>
      <c r="D985" s="69"/>
      <c r="E985" s="69" t="s">
        <v>107</v>
      </c>
      <c r="F985" s="69" t="s">
        <v>26</v>
      </c>
      <c r="G985" s="69" t="s">
        <v>154</v>
      </c>
      <c r="H985" s="0" t="n">
        <v>3</v>
      </c>
      <c r="I985" s="70" t="n">
        <v>1155.06</v>
      </c>
      <c r="J985" s="70" t="n">
        <v>766.32</v>
      </c>
      <c r="K985" s="70" t="n">
        <f aca="false">IF(ISTEXT(H985),VALUE(H985),H985)*I985</f>
        <v>3465.18</v>
      </c>
    </row>
    <row r="986" customFormat="false" ht="15" hidden="false" customHeight="false" outlineLevel="0" collapsed="false">
      <c r="A986" s="0" t="n">
        <v>1248</v>
      </c>
      <c r="B986" s="69" t="s">
        <v>513</v>
      </c>
      <c r="C986" s="69" t="s">
        <v>152</v>
      </c>
      <c r="D986" s="69" t="s">
        <v>109</v>
      </c>
      <c r="E986" s="69" t="s">
        <v>98</v>
      </c>
      <c r="F986" s="69" t="s">
        <v>155</v>
      </c>
      <c r="G986" s="69" t="s">
        <v>113</v>
      </c>
      <c r="H986" s="0" t="n">
        <v>27</v>
      </c>
      <c r="I986" s="70" t="n">
        <v>27.82</v>
      </c>
      <c r="J986" s="70" t="n">
        <v>13.84</v>
      </c>
      <c r="K986" s="70" t="n">
        <f aca="false">IF(ISTEXT(H986),VALUE(H986),H986)*I986</f>
        <v>751.14</v>
      </c>
    </row>
    <row r="987" customFormat="false" ht="15" hidden="false" customHeight="false" outlineLevel="0" collapsed="false">
      <c r="A987" s="0" t="n">
        <v>302</v>
      </c>
      <c r="B987" s="69" t="s">
        <v>514</v>
      </c>
      <c r="C987" s="69" t="s">
        <v>96</v>
      </c>
      <c r="D987" s="69" t="s">
        <v>97</v>
      </c>
      <c r="E987" s="69" t="s">
        <v>125</v>
      </c>
      <c r="F987" s="69" t="s">
        <v>147</v>
      </c>
      <c r="G987" s="69" t="s">
        <v>41</v>
      </c>
      <c r="H987" s="0" t="n">
        <v>9</v>
      </c>
      <c r="I987" s="70" t="n">
        <v>1176</v>
      </c>
      <c r="J987" s="70" t="n">
        <v>744</v>
      </c>
      <c r="K987" s="70" t="n">
        <f aca="false">IF(ISTEXT(H987),VALUE(H987),H987)*I987</f>
        <v>10584</v>
      </c>
    </row>
    <row r="988" customFormat="false" ht="15" hidden="false" customHeight="false" outlineLevel="0" collapsed="false">
      <c r="A988" s="0" t="n">
        <v>1660</v>
      </c>
      <c r="B988" s="68" t="n">
        <v>45788</v>
      </c>
      <c r="C988" s="69" t="s">
        <v>118</v>
      </c>
      <c r="D988" s="69"/>
      <c r="E988" s="69" t="s">
        <v>107</v>
      </c>
      <c r="F988" s="69" t="s">
        <v>33</v>
      </c>
      <c r="G988" s="69" t="s">
        <v>94</v>
      </c>
      <c r="H988" s="0" t="s">
        <v>175</v>
      </c>
      <c r="I988" s="70" t="n">
        <v>34.78</v>
      </c>
      <c r="J988" s="70" t="n">
        <v>18.39</v>
      </c>
      <c r="K988" s="70" t="n">
        <f aca="false">IF(ISTEXT(H988),VALUE(H988),H988)*I988</f>
        <v>521.7</v>
      </c>
    </row>
    <row r="989" customFormat="false" ht="15" hidden="false" customHeight="false" outlineLevel="0" collapsed="false">
      <c r="A989" s="0" t="n">
        <v>1166</v>
      </c>
      <c r="B989" s="68" t="n">
        <v>45635</v>
      </c>
      <c r="C989" s="69" t="s">
        <v>193</v>
      </c>
      <c r="D989" s="69" t="s">
        <v>137</v>
      </c>
      <c r="E989" s="69" t="s">
        <v>125</v>
      </c>
      <c r="F989" s="69" t="s">
        <v>147</v>
      </c>
      <c r="G989" s="69" t="s">
        <v>141</v>
      </c>
      <c r="H989" s="0" t="n">
        <v>3</v>
      </c>
      <c r="I989" s="70" t="n">
        <v>1617</v>
      </c>
      <c r="J989" s="70" t="n">
        <v>1122</v>
      </c>
      <c r="K989" s="70" t="n">
        <f aca="false">IF(ISTEXT(H989),VALUE(H989),H989)*I989</f>
        <v>4851</v>
      </c>
    </row>
    <row r="990" customFormat="false" ht="15" hidden="false" customHeight="false" outlineLevel="0" collapsed="false">
      <c r="A990" s="0" t="n">
        <v>673</v>
      </c>
      <c r="B990" s="69" t="s">
        <v>515</v>
      </c>
      <c r="C990" s="69" t="s">
        <v>136</v>
      </c>
      <c r="D990" s="69" t="s">
        <v>137</v>
      </c>
      <c r="E990" s="69" t="s">
        <v>121</v>
      </c>
      <c r="F990" s="69" t="s">
        <v>166</v>
      </c>
      <c r="G990" s="69" t="s">
        <v>156</v>
      </c>
      <c r="H990" s="0" t="n">
        <v>14</v>
      </c>
      <c r="I990" s="70" t="n">
        <v>117.6</v>
      </c>
      <c r="J990" s="70" t="n">
        <v>63.6</v>
      </c>
      <c r="K990" s="70" t="n">
        <f aca="false">IF(ISTEXT(H990),VALUE(H990),H990)*I990</f>
        <v>1646.4</v>
      </c>
    </row>
    <row r="991" customFormat="false" ht="15" hidden="false" customHeight="false" outlineLevel="0" collapsed="false">
      <c r="A991" s="0" t="n">
        <v>1225</v>
      </c>
      <c r="B991" s="68" t="n">
        <v>45674</v>
      </c>
      <c r="C991" s="69" t="s">
        <v>91</v>
      </c>
      <c r="D991" s="69" t="s">
        <v>86</v>
      </c>
      <c r="E991" s="69" t="s">
        <v>121</v>
      </c>
      <c r="F991" s="69" t="s">
        <v>153</v>
      </c>
      <c r="G991" s="69" t="s">
        <v>141</v>
      </c>
      <c r="H991" s="0" t="n">
        <v>11</v>
      </c>
      <c r="I991" s="70" t="n">
        <v>1588.21</v>
      </c>
      <c r="J991" s="70" t="n">
        <v>1155.66</v>
      </c>
      <c r="K991" s="70" t="n">
        <f aca="false">IF(ISTEXT(H991),VALUE(H991),H991)*I991</f>
        <v>17470.31</v>
      </c>
    </row>
    <row r="992" customFormat="false" ht="15" hidden="false" customHeight="false" outlineLevel="0" collapsed="false">
      <c r="A992" s="0" t="n">
        <v>1780</v>
      </c>
      <c r="B992" s="69" t="s">
        <v>368</v>
      </c>
      <c r="C992" s="69" t="s">
        <v>193</v>
      </c>
      <c r="D992" s="69" t="s">
        <v>137</v>
      </c>
      <c r="E992" s="69" t="s">
        <v>180</v>
      </c>
      <c r="F992" s="69" t="s">
        <v>183</v>
      </c>
      <c r="G992" s="69" t="s">
        <v>217</v>
      </c>
      <c r="H992" s="0" t="n">
        <v>12</v>
      </c>
      <c r="I992" s="70" t="n">
        <v>34.78</v>
      </c>
      <c r="J992" s="70" t="n">
        <v>18.39</v>
      </c>
      <c r="K992" s="70" t="n">
        <f aca="false">IF(ISTEXT(H992),VALUE(H992),H992)*I992</f>
        <v>417.36</v>
      </c>
    </row>
    <row r="993" customFormat="false" ht="15" hidden="false" customHeight="false" outlineLevel="0" collapsed="false">
      <c r="A993" s="0" t="n">
        <v>856</v>
      </c>
      <c r="B993" s="68" t="n">
        <v>45561</v>
      </c>
      <c r="C993" s="69" t="s">
        <v>30</v>
      </c>
      <c r="D993" s="69" t="s">
        <v>109</v>
      </c>
      <c r="E993" s="69" t="s">
        <v>98</v>
      </c>
      <c r="F993" s="69" t="s">
        <v>162</v>
      </c>
      <c r="G993" s="69" t="s">
        <v>111</v>
      </c>
      <c r="H993" s="0" t="n">
        <v>8</v>
      </c>
      <c r="I993" s="70" t="n">
        <v>83.3</v>
      </c>
      <c r="J993" s="70" t="n">
        <v>48.03</v>
      </c>
      <c r="K993" s="70" t="n">
        <f aca="false">IF(ISTEXT(H993),VALUE(H993),H993)*I993</f>
        <v>666.4</v>
      </c>
    </row>
    <row r="994" customFormat="false" ht="15" hidden="false" customHeight="false" outlineLevel="0" collapsed="false">
      <c r="A994" s="0" t="n">
        <v>1881</v>
      </c>
      <c r="B994" s="68" t="n">
        <v>45857</v>
      </c>
      <c r="C994" s="69" t="s">
        <v>161</v>
      </c>
      <c r="D994" s="69" t="s">
        <v>112</v>
      </c>
      <c r="E994" s="69" t="s">
        <v>110</v>
      </c>
      <c r="F994" s="69" t="s">
        <v>147</v>
      </c>
      <c r="G994" s="69" t="s">
        <v>151</v>
      </c>
      <c r="H994" s="0" t="s">
        <v>148</v>
      </c>
      <c r="I994" s="70" t="n">
        <v>1204.74</v>
      </c>
      <c r="J994" s="70" t="n">
        <v>766.32</v>
      </c>
      <c r="K994" s="70" t="n">
        <f aca="false">IF(ISTEXT(H994),VALUE(H994),H994)*I994</f>
        <v>9637.92</v>
      </c>
    </row>
    <row r="995" customFormat="false" ht="15" hidden="false" customHeight="false" outlineLevel="0" collapsed="false">
      <c r="A995" s="0" t="n">
        <v>698</v>
      </c>
      <c r="B995" s="69" t="s">
        <v>479</v>
      </c>
      <c r="C995" s="69" t="s">
        <v>161</v>
      </c>
      <c r="D995" s="69" t="s">
        <v>112</v>
      </c>
      <c r="E995" s="69" t="s">
        <v>119</v>
      </c>
      <c r="F995" s="69" t="s">
        <v>33</v>
      </c>
      <c r="G995" s="69" t="s">
        <v>127</v>
      </c>
      <c r="H995" s="0" t="n">
        <v>9</v>
      </c>
      <c r="I995" s="70" t="n">
        <v>127.4</v>
      </c>
      <c r="J995" s="70" t="n">
        <v>76.05</v>
      </c>
      <c r="K995" s="70" t="n">
        <f aca="false">IF(ISTEXT(H995),VALUE(H995),H995)*I995</f>
        <v>1146.6</v>
      </c>
    </row>
    <row r="996" customFormat="false" ht="15" hidden="false" customHeight="false" outlineLevel="0" collapsed="false">
      <c r="A996" s="0" t="n">
        <v>386</v>
      </c>
      <c r="B996" s="68" t="n">
        <v>45385</v>
      </c>
      <c r="C996" s="69" t="s">
        <v>34</v>
      </c>
      <c r="D996" s="69" t="s">
        <v>112</v>
      </c>
      <c r="E996" s="69" t="s">
        <v>119</v>
      </c>
      <c r="F996" s="69" t="s">
        <v>135</v>
      </c>
      <c r="G996" s="69" t="s">
        <v>45</v>
      </c>
      <c r="H996" s="0" t="n">
        <v>2</v>
      </c>
      <c r="I996" s="70" t="n">
        <v>1617</v>
      </c>
      <c r="J996" s="70" t="n">
        <v>1122</v>
      </c>
      <c r="K996" s="70" t="n">
        <f aca="false">IF(ISTEXT(H996),VALUE(H996),H996)*I996</f>
        <v>3234</v>
      </c>
    </row>
    <row r="997" customFormat="false" ht="15" hidden="false" customHeight="false" outlineLevel="0" collapsed="false">
      <c r="A997" s="0" t="n">
        <v>724</v>
      </c>
      <c r="B997" s="69" t="s">
        <v>334</v>
      </c>
      <c r="C997" s="69" t="s">
        <v>120</v>
      </c>
      <c r="D997" s="69" t="s">
        <v>86</v>
      </c>
      <c r="E997" s="69" t="s">
        <v>125</v>
      </c>
      <c r="F997" s="69" t="s">
        <v>147</v>
      </c>
      <c r="G997" s="69" t="s">
        <v>43</v>
      </c>
      <c r="H997" s="0" t="n">
        <v>4</v>
      </c>
      <c r="I997" s="70" t="n">
        <v>441</v>
      </c>
      <c r="J997" s="70" t="n">
        <v>272.25</v>
      </c>
      <c r="K997" s="70" t="n">
        <f aca="false">IF(ISTEXT(H997),VALUE(H997),H997)*I997</f>
        <v>1764</v>
      </c>
    </row>
    <row r="998" customFormat="false" ht="15" hidden="false" customHeight="false" outlineLevel="0" collapsed="false">
      <c r="A998" s="0" t="n">
        <v>379</v>
      </c>
      <c r="B998" s="69" t="s">
        <v>516</v>
      </c>
      <c r="C998" s="69" t="s">
        <v>193</v>
      </c>
      <c r="D998" s="69" t="s">
        <v>137</v>
      </c>
      <c r="E998" s="69" t="s">
        <v>110</v>
      </c>
      <c r="F998" s="69" t="s">
        <v>168</v>
      </c>
      <c r="G998" s="69" t="s">
        <v>94</v>
      </c>
      <c r="H998" s="0" t="n">
        <v>19</v>
      </c>
      <c r="I998" s="70" t="n">
        <v>34.3</v>
      </c>
      <c r="J998" s="70" t="n">
        <v>17.85</v>
      </c>
      <c r="K998" s="70" t="n">
        <f aca="false">IF(ISTEXT(H998),VALUE(H998),H998)*I998</f>
        <v>651.7</v>
      </c>
    </row>
    <row r="999" customFormat="false" ht="15" hidden="false" customHeight="false" outlineLevel="0" collapsed="false">
      <c r="A999" s="0" t="n">
        <v>503</v>
      </c>
      <c r="B999" s="68" t="n">
        <v>45455</v>
      </c>
      <c r="C999" s="69" t="s">
        <v>25</v>
      </c>
      <c r="D999" s="69" t="s">
        <v>97</v>
      </c>
      <c r="E999" s="69" t="s">
        <v>110</v>
      </c>
      <c r="F999" s="69" t="s">
        <v>135</v>
      </c>
      <c r="G999" s="69" t="s">
        <v>177</v>
      </c>
      <c r="H999" s="0" t="n">
        <v>24</v>
      </c>
      <c r="I999" s="70" t="n">
        <v>441</v>
      </c>
      <c r="J999" s="70" t="n">
        <v>272.25</v>
      </c>
      <c r="K999" s="70" t="n">
        <f aca="false">IF(ISTEXT(H999),VALUE(H999),H999)*I999</f>
        <v>10584</v>
      </c>
    </row>
    <row r="1000" customFormat="false" ht="15" hidden="false" customHeight="false" outlineLevel="0" collapsed="false">
      <c r="A1000" s="0" t="n">
        <v>228</v>
      </c>
      <c r="B1000" s="69" t="s">
        <v>517</v>
      </c>
      <c r="C1000" s="69" t="s">
        <v>91</v>
      </c>
      <c r="D1000" s="69" t="s">
        <v>86</v>
      </c>
      <c r="E1000" s="69" t="s">
        <v>119</v>
      </c>
      <c r="F1000" s="69" t="s">
        <v>99</v>
      </c>
      <c r="G1000" s="69" t="s">
        <v>47</v>
      </c>
      <c r="H1000" s="0" t="n">
        <v>18</v>
      </c>
      <c r="I1000" s="70" t="n">
        <v>27.44</v>
      </c>
      <c r="J1000" s="70" t="n">
        <v>13.44</v>
      </c>
      <c r="K1000" s="70" t="n">
        <f aca="false">IF(ISTEXT(H1000),VALUE(H1000),H1000)*I1000</f>
        <v>493.92</v>
      </c>
    </row>
    <row r="1001" customFormat="false" ht="15" hidden="false" customHeight="false" outlineLevel="0" collapsed="false">
      <c r="A1001" s="0" t="n">
        <v>70</v>
      </c>
      <c r="B1001" s="68" t="n">
        <v>45296</v>
      </c>
      <c r="C1001" s="69" t="s">
        <v>193</v>
      </c>
      <c r="D1001" s="69" t="s">
        <v>137</v>
      </c>
      <c r="E1001" s="69" t="s">
        <v>125</v>
      </c>
      <c r="F1001" s="69" t="s">
        <v>102</v>
      </c>
      <c r="G1001" s="69" t="s">
        <v>235</v>
      </c>
      <c r="H1001" s="0" t="n">
        <v>9</v>
      </c>
      <c r="I1001" s="70" t="n">
        <v>93.1</v>
      </c>
      <c r="J1001" s="70" t="n">
        <v>47.98</v>
      </c>
      <c r="K1001" s="70" t="n">
        <f aca="false">IF(ISTEXT(H1001),VALUE(H1001),H1001)*I1001</f>
        <v>837.9</v>
      </c>
    </row>
    <row r="1002" customFormat="false" ht="15" hidden="false" customHeight="false" outlineLevel="0" collapsed="false">
      <c r="A1002" s="0" t="n">
        <v>2154</v>
      </c>
      <c r="B1002" s="69" t="s">
        <v>190</v>
      </c>
      <c r="C1002" s="69" t="s">
        <v>118</v>
      </c>
      <c r="D1002" s="69" t="s">
        <v>109</v>
      </c>
      <c r="E1002" s="69" t="s">
        <v>98</v>
      </c>
      <c r="F1002" s="69" t="s">
        <v>115</v>
      </c>
      <c r="G1002" s="69" t="s">
        <v>50</v>
      </c>
      <c r="H1002" s="0" t="n">
        <v>15</v>
      </c>
      <c r="I1002" s="70" t="n">
        <v>120.47</v>
      </c>
      <c r="J1002" s="70" t="n">
        <v>65.51</v>
      </c>
      <c r="K1002" s="70" t="n">
        <f aca="false">IF(ISTEXT(H1002),VALUE(H1002),H1002)*I1002</f>
        <v>1807.05</v>
      </c>
    </row>
    <row r="1003" customFormat="false" ht="15" hidden="false" customHeight="false" outlineLevel="0" collapsed="false">
      <c r="A1003" s="0" t="n">
        <v>230</v>
      </c>
      <c r="B1003" s="68" t="n">
        <v>45369</v>
      </c>
      <c r="C1003" s="69" t="s">
        <v>27</v>
      </c>
      <c r="D1003" s="69" t="s">
        <v>86</v>
      </c>
      <c r="E1003" s="69" t="s">
        <v>125</v>
      </c>
      <c r="F1003" s="69" t="s">
        <v>155</v>
      </c>
      <c r="G1003" s="69" t="s">
        <v>172</v>
      </c>
      <c r="H1003" s="0" t="s">
        <v>350</v>
      </c>
      <c r="I1003" s="70" t="n">
        <v>93.1</v>
      </c>
      <c r="J1003" s="70" t="n">
        <v>47.98</v>
      </c>
      <c r="K1003" s="70" t="n">
        <f aca="false">IF(ISTEXT(H1003),VALUE(H1003),H1003)*I1003</f>
        <v>2048.2</v>
      </c>
    </row>
    <row r="1004" customFormat="false" ht="15" hidden="false" customHeight="false" outlineLevel="0" collapsed="false">
      <c r="A1004" s="0" t="n">
        <v>1550</v>
      </c>
      <c r="B1004" s="68" t="n">
        <v>45771</v>
      </c>
      <c r="C1004" s="69" t="s">
        <v>108</v>
      </c>
      <c r="D1004" s="69" t="s">
        <v>109</v>
      </c>
      <c r="E1004" s="69" t="s">
        <v>98</v>
      </c>
      <c r="F1004" s="69" t="s">
        <v>143</v>
      </c>
      <c r="G1004" s="69" t="s">
        <v>235</v>
      </c>
      <c r="H1004" s="0" t="n">
        <v>28</v>
      </c>
      <c r="I1004" s="70" t="n">
        <v>94.39</v>
      </c>
      <c r="J1004" s="70" t="n">
        <v>49.41</v>
      </c>
      <c r="K1004" s="70" t="n">
        <f aca="false">IF(ISTEXT(H1004),VALUE(H1004),H1004)*I1004</f>
        <v>2642.92</v>
      </c>
    </row>
    <row r="1005" customFormat="false" ht="15" hidden="false" customHeight="false" outlineLevel="0" collapsed="false">
      <c r="A1005" s="0" t="n">
        <v>1236</v>
      </c>
      <c r="B1005" s="68" t="n">
        <v>45670</v>
      </c>
      <c r="C1005" s="69" t="s">
        <v>120</v>
      </c>
      <c r="D1005" s="69" t="s">
        <v>86</v>
      </c>
      <c r="E1005" s="69" t="s">
        <v>180</v>
      </c>
      <c r="F1005" s="69" t="s">
        <v>115</v>
      </c>
      <c r="G1005" s="69" t="s">
        <v>51</v>
      </c>
      <c r="H1005" s="0" t="n">
        <v>14</v>
      </c>
      <c r="I1005" s="70" t="n">
        <v>84.46</v>
      </c>
      <c r="J1005" s="70" t="n">
        <v>49.47</v>
      </c>
      <c r="K1005" s="70" t="n">
        <f aca="false">IF(ISTEXT(H1005),VALUE(H1005),H1005)*I1005</f>
        <v>1182.44</v>
      </c>
    </row>
    <row r="1006" customFormat="false" ht="15" hidden="false" customHeight="false" outlineLevel="0" collapsed="false">
      <c r="A1006" s="0" t="n">
        <v>2296</v>
      </c>
      <c r="B1006" s="68" t="n">
        <v>45969</v>
      </c>
      <c r="C1006" s="69" t="s">
        <v>34</v>
      </c>
      <c r="D1006" s="69" t="s">
        <v>112</v>
      </c>
      <c r="E1006" s="69" t="s">
        <v>87</v>
      </c>
      <c r="F1006" s="69" t="s">
        <v>31</v>
      </c>
      <c r="G1006" s="69" t="s">
        <v>111</v>
      </c>
      <c r="H1006" s="0" t="n">
        <v>12</v>
      </c>
      <c r="I1006" s="70" t="n">
        <v>85.34</v>
      </c>
      <c r="J1006" s="70" t="n">
        <v>49.47</v>
      </c>
      <c r="K1006" s="70" t="n">
        <f aca="false">IF(ISTEXT(H1006),VALUE(H1006),H1006)*I1006</f>
        <v>1024.08</v>
      </c>
    </row>
    <row r="1007" customFormat="false" ht="15" hidden="false" customHeight="false" outlineLevel="0" collapsed="false">
      <c r="A1007" s="0" t="n">
        <v>1524</v>
      </c>
      <c r="B1007" s="68" t="n">
        <v>45751</v>
      </c>
      <c r="C1007" s="69" t="s">
        <v>159</v>
      </c>
      <c r="D1007" s="69" t="s">
        <v>86</v>
      </c>
      <c r="E1007" s="69" t="s">
        <v>125</v>
      </c>
      <c r="F1007" s="69" t="s">
        <v>88</v>
      </c>
      <c r="G1007" s="69" t="s">
        <v>43</v>
      </c>
      <c r="H1007" s="0" t="n">
        <v>8</v>
      </c>
      <c r="I1007" s="70" t="n">
        <v>433.15</v>
      </c>
      <c r="J1007" s="70" t="n">
        <v>280.42</v>
      </c>
      <c r="K1007" s="70" t="n">
        <f aca="false">IF(ISTEXT(H1007),VALUE(H1007),H1007)*I1007</f>
        <v>3465.2</v>
      </c>
    </row>
    <row r="1008" customFormat="false" ht="15" hidden="false" customHeight="false" outlineLevel="0" collapsed="false">
      <c r="A1008" s="0" t="n">
        <v>1589</v>
      </c>
      <c r="B1008" s="68" t="n">
        <v>45774</v>
      </c>
      <c r="C1008" s="69" t="s">
        <v>133</v>
      </c>
      <c r="D1008" s="69" t="s">
        <v>112</v>
      </c>
      <c r="E1008" s="69" t="s">
        <v>101</v>
      </c>
      <c r="F1008" s="69" t="s">
        <v>99</v>
      </c>
      <c r="G1008" s="69" t="s">
        <v>48</v>
      </c>
      <c r="H1008" s="0" t="s">
        <v>483</v>
      </c>
      <c r="I1008" s="70" t="n">
        <v>94.39</v>
      </c>
      <c r="J1008" s="70" t="n">
        <v>49.41</v>
      </c>
      <c r="K1008" s="70" t="n">
        <f aca="false">IF(ISTEXT(H1008),VALUE(H1008),H1008)*I1008</f>
        <v>2831.7</v>
      </c>
    </row>
    <row r="1009" customFormat="false" ht="15" hidden="false" customHeight="false" outlineLevel="0" collapsed="false">
      <c r="A1009" s="0" t="n">
        <v>39</v>
      </c>
      <c r="B1009" s="68" t="n">
        <v>45295</v>
      </c>
      <c r="C1009" s="69" t="s">
        <v>27</v>
      </c>
      <c r="D1009" s="69" t="s">
        <v>86</v>
      </c>
      <c r="E1009" s="69" t="s">
        <v>121</v>
      </c>
      <c r="F1009" s="69" t="s">
        <v>93</v>
      </c>
      <c r="G1009" s="69" t="s">
        <v>217</v>
      </c>
      <c r="H1009" s="0" t="n">
        <v>28</v>
      </c>
      <c r="I1009" s="70" t="n">
        <v>34.3</v>
      </c>
      <c r="J1009" s="70" t="n">
        <v>17.85</v>
      </c>
      <c r="K1009" s="70" t="n">
        <f aca="false">IF(ISTEXT(H1009),VALUE(H1009),H1009)*I1009</f>
        <v>960.4</v>
      </c>
    </row>
    <row r="1010" customFormat="false" ht="15" hidden="false" customHeight="false" outlineLevel="0" collapsed="false">
      <c r="A1010" s="0" t="n">
        <v>1829</v>
      </c>
      <c r="B1010" s="68" t="n">
        <v>45844</v>
      </c>
      <c r="C1010" s="69" t="s">
        <v>159</v>
      </c>
      <c r="D1010" s="69" t="s">
        <v>86</v>
      </c>
      <c r="E1010" s="69" t="s">
        <v>121</v>
      </c>
      <c r="F1010" s="69" t="s">
        <v>155</v>
      </c>
      <c r="G1010" s="69" t="s">
        <v>235</v>
      </c>
      <c r="H1010" s="0" t="n">
        <v>64</v>
      </c>
      <c r="I1010" s="70" t="n">
        <v>95.38</v>
      </c>
      <c r="J1010" s="70" t="n">
        <v>49.41</v>
      </c>
      <c r="K1010" s="70" t="n">
        <f aca="false">IF(ISTEXT(H1010),VALUE(H1010),H1010)*I1010</f>
        <v>6104.32</v>
      </c>
    </row>
    <row r="1011" customFormat="false" ht="15" hidden="false" customHeight="false" outlineLevel="0" collapsed="false">
      <c r="A1011" s="0" t="n">
        <v>1060</v>
      </c>
      <c r="B1011" s="69" t="s">
        <v>466</v>
      </c>
      <c r="C1011" s="69" t="s">
        <v>118</v>
      </c>
      <c r="D1011" s="69" t="s">
        <v>109</v>
      </c>
      <c r="E1011" s="69" t="s">
        <v>119</v>
      </c>
      <c r="F1011" s="69" t="s">
        <v>168</v>
      </c>
      <c r="G1011" s="69" t="s">
        <v>217</v>
      </c>
      <c r="H1011" s="0" t="n">
        <v>11</v>
      </c>
      <c r="I1011" s="70" t="n">
        <v>34.3</v>
      </c>
      <c r="J1011" s="70" t="n">
        <v>17.85</v>
      </c>
      <c r="K1011" s="70" t="n">
        <f aca="false">IF(ISTEXT(H1011),VALUE(H1011),H1011)*I1011</f>
        <v>377.3</v>
      </c>
    </row>
    <row r="1012" customFormat="false" ht="15" hidden="false" customHeight="false" outlineLevel="0" collapsed="false">
      <c r="A1012" s="0" t="n">
        <v>2348</v>
      </c>
      <c r="B1012" s="68" t="n">
        <v>46012</v>
      </c>
      <c r="C1012" s="69" t="s">
        <v>30</v>
      </c>
      <c r="D1012" s="69"/>
      <c r="E1012" s="69" t="s">
        <v>119</v>
      </c>
      <c r="F1012" s="69" t="s">
        <v>143</v>
      </c>
      <c r="G1012" s="69" t="s">
        <v>47</v>
      </c>
      <c r="H1012" s="0" t="n">
        <v>38</v>
      </c>
      <c r="I1012" s="70" t="n">
        <v>28.11</v>
      </c>
      <c r="J1012" s="70" t="n">
        <v>13.84</v>
      </c>
      <c r="K1012" s="70" t="n">
        <f aca="false">IF(ISTEXT(H1012),VALUE(H1012),H1012)*I1012</f>
        <v>1068.18</v>
      </c>
    </row>
    <row r="1013" customFormat="false" ht="15" hidden="false" customHeight="false" outlineLevel="0" collapsed="false">
      <c r="A1013" s="0" t="n">
        <v>636</v>
      </c>
      <c r="B1013" s="69" t="s">
        <v>518</v>
      </c>
      <c r="C1013" s="69" t="s">
        <v>120</v>
      </c>
      <c r="D1013" s="69" t="s">
        <v>86</v>
      </c>
      <c r="E1013" s="69" t="s">
        <v>119</v>
      </c>
      <c r="F1013" s="69" t="s">
        <v>166</v>
      </c>
      <c r="G1013" s="69" t="s">
        <v>111</v>
      </c>
      <c r="H1013" s="0" t="n">
        <v>11</v>
      </c>
      <c r="I1013" s="70" t="n">
        <v>83.3</v>
      </c>
      <c r="J1013" s="70" t="n">
        <v>48.03</v>
      </c>
      <c r="K1013" s="70" t="n">
        <f aca="false">IF(ISTEXT(H1013),VALUE(H1013),H1013)*I1013</f>
        <v>916.3</v>
      </c>
    </row>
    <row r="1014" customFormat="false" ht="15" hidden="false" customHeight="false" outlineLevel="0" collapsed="false">
      <c r="A1014" s="0" t="n">
        <v>1218</v>
      </c>
      <c r="B1014" s="68" t="n">
        <v>45679</v>
      </c>
      <c r="C1014" s="69" t="s">
        <v>124</v>
      </c>
      <c r="D1014" s="69" t="s">
        <v>97</v>
      </c>
      <c r="E1014" s="69" t="s">
        <v>119</v>
      </c>
      <c r="F1014" s="69" t="s">
        <v>33</v>
      </c>
      <c r="G1014" s="69" t="s">
        <v>52</v>
      </c>
      <c r="H1014" s="0" t="n">
        <v>36</v>
      </c>
      <c r="I1014" s="70" t="n">
        <v>129.17</v>
      </c>
      <c r="J1014" s="70" t="n">
        <v>78.33</v>
      </c>
      <c r="K1014" s="70" t="n">
        <f aca="false">IF(ISTEXT(H1014),VALUE(H1014),H1014)*I1014</f>
        <v>4650.12</v>
      </c>
    </row>
    <row r="1015" customFormat="false" ht="15" hidden="false" customHeight="false" outlineLevel="0" collapsed="false">
      <c r="A1015" s="0" t="n">
        <v>1246</v>
      </c>
      <c r="B1015" s="68" t="n">
        <v>45659</v>
      </c>
      <c r="C1015" s="69" t="s">
        <v>30</v>
      </c>
      <c r="D1015" s="69" t="s">
        <v>109</v>
      </c>
      <c r="E1015" s="69" t="s">
        <v>87</v>
      </c>
      <c r="F1015" s="69" t="s">
        <v>88</v>
      </c>
      <c r="G1015" s="69" t="s">
        <v>157</v>
      </c>
      <c r="H1015" s="0" t="n">
        <v>6</v>
      </c>
      <c r="I1015" s="70" t="n">
        <v>1588.21</v>
      </c>
      <c r="J1015" s="70" t="n">
        <v>1155.66</v>
      </c>
      <c r="K1015" s="70" t="n">
        <f aca="false">IF(ISTEXT(H1015),VALUE(H1015),H1015)*I1015</f>
        <v>9529.26</v>
      </c>
    </row>
    <row r="1016" customFormat="false" ht="15" hidden="false" customHeight="false" outlineLevel="0" collapsed="false">
      <c r="A1016" s="0" t="n">
        <v>1358</v>
      </c>
      <c r="B1016" s="69" t="s">
        <v>519</v>
      </c>
      <c r="C1016" s="69" t="s">
        <v>108</v>
      </c>
      <c r="D1016" s="69" t="s">
        <v>109</v>
      </c>
      <c r="E1016" s="69" t="s">
        <v>87</v>
      </c>
      <c r="F1016" s="69" t="s">
        <v>168</v>
      </c>
      <c r="G1016" s="69" t="s">
        <v>52</v>
      </c>
      <c r="H1016" s="0" t="s">
        <v>372</v>
      </c>
      <c r="I1016" s="70" t="n">
        <v>129.17</v>
      </c>
      <c r="J1016" s="70" t="n">
        <v>78.33</v>
      </c>
      <c r="K1016" s="70" t="n">
        <f aca="false">IF(ISTEXT(H1016),VALUE(H1016),H1016)*I1016</f>
        <v>1420.87</v>
      </c>
    </row>
    <row r="1017" customFormat="false" ht="15" hidden="false" customHeight="false" outlineLevel="0" collapsed="false">
      <c r="A1017" s="0" t="n">
        <v>1105</v>
      </c>
      <c r="B1017" s="68" t="n">
        <v>45640</v>
      </c>
      <c r="C1017" s="69" t="s">
        <v>25</v>
      </c>
      <c r="D1017" s="69" t="s">
        <v>97</v>
      </c>
      <c r="E1017" s="69" t="s">
        <v>138</v>
      </c>
      <c r="F1017" s="69" t="s">
        <v>147</v>
      </c>
      <c r="G1017" s="69" t="s">
        <v>141</v>
      </c>
      <c r="H1017" s="0" t="s">
        <v>207</v>
      </c>
      <c r="I1017" s="70" t="n">
        <v>1617</v>
      </c>
      <c r="J1017" s="70" t="n">
        <v>1122</v>
      </c>
      <c r="K1017" s="70" t="n">
        <f aca="false">IF(ISTEXT(H1017),VALUE(H1017),H1017)*I1017</f>
        <v>42042</v>
      </c>
    </row>
    <row r="1018" customFormat="false" ht="15" hidden="false" customHeight="false" outlineLevel="0" collapsed="false">
      <c r="A1018" s="0" t="n">
        <v>945</v>
      </c>
      <c r="B1018" s="69" t="s">
        <v>520</v>
      </c>
      <c r="C1018" s="69" t="s">
        <v>30</v>
      </c>
      <c r="D1018" s="69" t="s">
        <v>109</v>
      </c>
      <c r="E1018" s="69" t="s">
        <v>92</v>
      </c>
      <c r="F1018" s="69" t="s">
        <v>153</v>
      </c>
      <c r="G1018" s="69" t="s">
        <v>141</v>
      </c>
      <c r="H1018" s="0" t="n">
        <v>9</v>
      </c>
      <c r="I1018" s="70" t="n">
        <v>1617</v>
      </c>
      <c r="J1018" s="70" t="n">
        <v>1122</v>
      </c>
      <c r="K1018" s="70" t="n">
        <f aca="false">IF(ISTEXT(H1018),VALUE(H1018),H1018)*I1018</f>
        <v>14553</v>
      </c>
    </row>
    <row r="1019" customFormat="false" ht="15" hidden="false" customHeight="false" outlineLevel="0" collapsed="false">
      <c r="A1019" s="0" t="n">
        <v>1888</v>
      </c>
      <c r="B1019" s="68" t="n">
        <v>45852</v>
      </c>
      <c r="C1019" s="69" t="s">
        <v>34</v>
      </c>
      <c r="D1019" s="69" t="s">
        <v>112</v>
      </c>
      <c r="E1019" s="69" t="s">
        <v>98</v>
      </c>
      <c r="F1019" s="69" t="s">
        <v>99</v>
      </c>
      <c r="G1019" s="69" t="s">
        <v>113</v>
      </c>
      <c r="H1019" s="0" t="n">
        <v>24</v>
      </c>
      <c r="I1019" s="70" t="n">
        <v>28.11</v>
      </c>
      <c r="J1019" s="70" t="n">
        <v>13.84</v>
      </c>
      <c r="K1019" s="70" t="n">
        <f aca="false">IF(ISTEXT(H1019),VALUE(H1019),H1019)*I1019</f>
        <v>674.64</v>
      </c>
    </row>
    <row r="1020" customFormat="false" ht="15" hidden="false" customHeight="false" outlineLevel="0" collapsed="false">
      <c r="A1020" s="0" t="n">
        <v>2074</v>
      </c>
      <c r="B1020" s="69" t="s">
        <v>521</v>
      </c>
      <c r="C1020" s="69" t="s">
        <v>184</v>
      </c>
      <c r="D1020" s="69" t="s">
        <v>137</v>
      </c>
      <c r="E1020" s="69" t="s">
        <v>119</v>
      </c>
      <c r="F1020" s="69" t="s">
        <v>115</v>
      </c>
      <c r="G1020" s="69" t="s">
        <v>156</v>
      </c>
      <c r="H1020" s="0" t="n">
        <v>10</v>
      </c>
      <c r="I1020" s="70" t="n">
        <v>120.47</v>
      </c>
      <c r="J1020" s="70" t="n">
        <v>65.51</v>
      </c>
      <c r="K1020" s="70" t="n">
        <f aca="false">IF(ISTEXT(H1020),VALUE(H1020),H1020)*I1020</f>
        <v>1204.7</v>
      </c>
    </row>
    <row r="1021" customFormat="false" ht="15" hidden="false" customHeight="false" outlineLevel="0" collapsed="false">
      <c r="A1021" s="0" t="n">
        <v>1964</v>
      </c>
      <c r="B1021" s="68" t="n">
        <v>45875</v>
      </c>
      <c r="C1021" s="69" t="s">
        <v>193</v>
      </c>
      <c r="D1021" s="69" t="s">
        <v>137</v>
      </c>
      <c r="E1021" s="69" t="s">
        <v>98</v>
      </c>
      <c r="F1021" s="69" t="s">
        <v>135</v>
      </c>
      <c r="G1021" s="69" t="s">
        <v>43</v>
      </c>
      <c r="H1021" s="0" t="n">
        <v>5</v>
      </c>
      <c r="I1021" s="70" t="n">
        <v>451.78</v>
      </c>
      <c r="J1021" s="70" t="n">
        <v>280.42</v>
      </c>
      <c r="K1021" s="70" t="n">
        <f aca="false">IF(ISTEXT(H1021),VALUE(H1021),H1021)*I1021</f>
        <v>2258.9</v>
      </c>
    </row>
    <row r="1022" customFormat="false" ht="15" hidden="false" customHeight="false" outlineLevel="0" collapsed="false">
      <c r="A1022" s="0" t="n">
        <v>1889</v>
      </c>
      <c r="B1022" s="68" t="n">
        <v>45859</v>
      </c>
      <c r="C1022" s="69" t="s">
        <v>133</v>
      </c>
      <c r="D1022" s="69" t="s">
        <v>112</v>
      </c>
      <c r="E1022" s="69" t="s">
        <v>110</v>
      </c>
      <c r="F1022" s="69" t="s">
        <v>155</v>
      </c>
      <c r="G1022" s="69" t="s">
        <v>48</v>
      </c>
      <c r="H1022" s="0" t="n">
        <v>36</v>
      </c>
      <c r="I1022" s="70" t="n">
        <v>95.38</v>
      </c>
      <c r="J1022" s="70" t="n">
        <v>49.41</v>
      </c>
      <c r="K1022" s="70" t="n">
        <f aca="false">IF(ISTEXT(H1022),VALUE(H1022),H1022)*I1022</f>
        <v>3433.68</v>
      </c>
    </row>
    <row r="1023" customFormat="false" ht="15" hidden="false" customHeight="false" outlineLevel="0" collapsed="false">
      <c r="A1023" s="0" t="n">
        <v>1665</v>
      </c>
      <c r="B1023" s="68" t="n">
        <v>45796</v>
      </c>
      <c r="C1023" s="69" t="s">
        <v>32</v>
      </c>
      <c r="D1023" s="69" t="s">
        <v>137</v>
      </c>
      <c r="E1023" s="69" t="s">
        <v>110</v>
      </c>
      <c r="F1023" s="69" t="s">
        <v>139</v>
      </c>
      <c r="G1023" s="69" t="s">
        <v>157</v>
      </c>
      <c r="H1023" s="0" t="n">
        <v>7</v>
      </c>
      <c r="I1023" s="70" t="n">
        <v>1588.21</v>
      </c>
      <c r="J1023" s="70" t="n">
        <v>1155.66</v>
      </c>
      <c r="K1023" s="70" t="n">
        <f aca="false">IF(ISTEXT(H1023),VALUE(H1023),H1023)*I1023</f>
        <v>11117.47</v>
      </c>
    </row>
    <row r="1024" customFormat="false" ht="15" hidden="false" customHeight="false" outlineLevel="0" collapsed="false">
      <c r="A1024" s="0" t="n">
        <v>1575</v>
      </c>
      <c r="B1024" s="69" t="s">
        <v>522</v>
      </c>
      <c r="C1024" s="69" t="s">
        <v>32</v>
      </c>
      <c r="D1024" s="69" t="s">
        <v>137</v>
      </c>
      <c r="E1024" s="69" t="s">
        <v>92</v>
      </c>
      <c r="F1024" s="69" t="s">
        <v>166</v>
      </c>
      <c r="G1024" s="69" t="s">
        <v>51</v>
      </c>
      <c r="H1024" s="0" t="n">
        <v>12</v>
      </c>
      <c r="I1024" s="70" t="n">
        <v>84.46</v>
      </c>
      <c r="J1024" s="70" t="n">
        <v>49.47</v>
      </c>
      <c r="K1024" s="70" t="n">
        <f aca="false">IF(ISTEXT(H1024),VALUE(H1024),H1024)*I1024</f>
        <v>1013.52</v>
      </c>
    </row>
    <row r="1025" customFormat="false" ht="15" hidden="false" customHeight="false" outlineLevel="0" collapsed="false">
      <c r="A1025" s="0" t="n">
        <v>1742</v>
      </c>
      <c r="B1025" s="68" t="n">
        <v>45826</v>
      </c>
      <c r="C1025" s="69" t="s">
        <v>152</v>
      </c>
      <c r="D1025" s="69" t="s">
        <v>109</v>
      </c>
      <c r="E1025" s="69" t="s">
        <v>125</v>
      </c>
      <c r="F1025" s="69" t="s">
        <v>147</v>
      </c>
      <c r="G1025" s="69" t="s">
        <v>151</v>
      </c>
      <c r="H1025" s="0" t="n">
        <v>6</v>
      </c>
      <c r="I1025" s="70" t="n">
        <v>1155.06</v>
      </c>
      <c r="J1025" s="70" t="n">
        <v>766.32</v>
      </c>
      <c r="K1025" s="70" t="n">
        <f aca="false">IF(ISTEXT(H1025),VALUE(H1025),H1025)*I1025</f>
        <v>6930.36</v>
      </c>
    </row>
    <row r="1026" customFormat="false" ht="15" hidden="false" customHeight="false" outlineLevel="0" collapsed="false">
      <c r="A1026" s="0" t="n">
        <v>1598</v>
      </c>
      <c r="B1026" s="68" t="n">
        <v>45756</v>
      </c>
      <c r="C1026" s="69" t="s">
        <v>142</v>
      </c>
      <c r="D1026" s="69" t="s">
        <v>112</v>
      </c>
      <c r="E1026" s="69" t="s">
        <v>125</v>
      </c>
      <c r="F1026" s="69" t="s">
        <v>33</v>
      </c>
      <c r="G1026" s="69" t="s">
        <v>127</v>
      </c>
      <c r="H1026" s="0" t="n">
        <v>11</v>
      </c>
      <c r="I1026" s="70" t="n">
        <v>129.17</v>
      </c>
      <c r="J1026" s="70" t="n">
        <v>78.33</v>
      </c>
      <c r="K1026" s="70" t="n">
        <f aca="false">IF(ISTEXT(H1026),VALUE(H1026),H1026)*I1026</f>
        <v>1420.87</v>
      </c>
    </row>
    <row r="1027" customFormat="false" ht="15" hidden="false" customHeight="false" outlineLevel="0" collapsed="false">
      <c r="A1027" s="0" t="n">
        <v>646</v>
      </c>
      <c r="B1027" s="69" t="s">
        <v>523</v>
      </c>
      <c r="C1027" s="69" t="s">
        <v>118</v>
      </c>
      <c r="D1027" s="69" t="s">
        <v>109</v>
      </c>
      <c r="E1027" s="69" t="s">
        <v>87</v>
      </c>
      <c r="F1027" s="69" t="s">
        <v>139</v>
      </c>
      <c r="G1027" s="69" t="s">
        <v>141</v>
      </c>
      <c r="H1027" s="0" t="n">
        <v>4</v>
      </c>
      <c r="I1027" s="70" t="n">
        <v>1617</v>
      </c>
      <c r="J1027" s="70" t="n">
        <v>1122</v>
      </c>
      <c r="K1027" s="70" t="n">
        <f aca="false">IF(ISTEXT(H1027),VALUE(H1027),H1027)*I1027</f>
        <v>6468</v>
      </c>
    </row>
    <row r="1028" customFormat="false" ht="15" hidden="false" customHeight="false" outlineLevel="0" collapsed="false">
      <c r="A1028" s="0" t="n">
        <v>276</v>
      </c>
      <c r="B1028" s="68" t="n">
        <v>45367</v>
      </c>
      <c r="C1028" s="69" t="s">
        <v>136</v>
      </c>
      <c r="D1028" s="69" t="s">
        <v>137</v>
      </c>
      <c r="E1028" s="69" t="s">
        <v>125</v>
      </c>
      <c r="F1028" s="69" t="s">
        <v>162</v>
      </c>
      <c r="G1028" s="69" t="s">
        <v>116</v>
      </c>
      <c r="H1028" s="0" t="n">
        <v>6</v>
      </c>
      <c r="I1028" s="70" t="n">
        <v>83.3</v>
      </c>
      <c r="J1028" s="70" t="n">
        <v>48.03</v>
      </c>
      <c r="K1028" s="70" t="n">
        <f aca="false">IF(ISTEXT(H1028),VALUE(H1028),H1028)*I1028</f>
        <v>499.8</v>
      </c>
    </row>
    <row r="1029" customFormat="false" ht="15" hidden="false" customHeight="false" outlineLevel="0" collapsed="false">
      <c r="A1029" s="0" t="n">
        <v>426</v>
      </c>
      <c r="B1029" s="68" t="n">
        <v>45425</v>
      </c>
      <c r="C1029" s="69" t="s">
        <v>27</v>
      </c>
      <c r="D1029" s="69" t="s">
        <v>86</v>
      </c>
      <c r="E1029" s="69" t="s">
        <v>180</v>
      </c>
      <c r="F1029" s="69" t="s">
        <v>135</v>
      </c>
      <c r="G1029" s="69" t="s">
        <v>157</v>
      </c>
      <c r="H1029" s="0" t="n">
        <v>4</v>
      </c>
      <c r="I1029" s="70" t="n">
        <v>1617</v>
      </c>
      <c r="J1029" s="70" t="n">
        <v>1122</v>
      </c>
      <c r="K1029" s="70" t="n">
        <f aca="false">IF(ISTEXT(H1029),VALUE(H1029),H1029)*I1029</f>
        <v>6468</v>
      </c>
    </row>
    <row r="1030" customFormat="false" ht="15" hidden="false" customHeight="false" outlineLevel="0" collapsed="false">
      <c r="A1030" s="0" t="n">
        <v>1356</v>
      </c>
      <c r="B1030" s="68" t="n">
        <v>45704</v>
      </c>
      <c r="C1030" s="69" t="s">
        <v>30</v>
      </c>
      <c r="D1030" s="69" t="s">
        <v>109</v>
      </c>
      <c r="E1030" s="69" t="s">
        <v>98</v>
      </c>
      <c r="F1030" s="69" t="s">
        <v>166</v>
      </c>
      <c r="G1030" s="69" t="s">
        <v>116</v>
      </c>
      <c r="H1030" s="0" t="n">
        <v>11</v>
      </c>
      <c r="I1030" s="70" t="n">
        <v>84.46</v>
      </c>
      <c r="J1030" s="70" t="n">
        <v>49.47</v>
      </c>
      <c r="K1030" s="70" t="n">
        <f aca="false">IF(ISTEXT(H1030),VALUE(H1030),H1030)*I1030</f>
        <v>929.06</v>
      </c>
    </row>
    <row r="1031" customFormat="false" ht="15" hidden="false" customHeight="false" outlineLevel="0" collapsed="false">
      <c r="A1031" s="0" t="n">
        <v>1579</v>
      </c>
      <c r="B1031" s="68" t="n">
        <v>45758</v>
      </c>
      <c r="C1031" s="69" t="s">
        <v>193</v>
      </c>
      <c r="D1031" s="69" t="s">
        <v>137</v>
      </c>
      <c r="E1031" s="69" t="s">
        <v>121</v>
      </c>
      <c r="F1031" s="69" t="s">
        <v>33</v>
      </c>
      <c r="G1031" s="69" t="s">
        <v>53</v>
      </c>
      <c r="H1031" s="0" t="n">
        <v>18</v>
      </c>
      <c r="I1031" s="70" t="n">
        <v>34.78</v>
      </c>
      <c r="J1031" s="70" t="n">
        <v>18.39</v>
      </c>
      <c r="K1031" s="70" t="n">
        <f aca="false">IF(ISTEXT(H1031),VALUE(H1031),H1031)*I1031</f>
        <v>626.04</v>
      </c>
    </row>
    <row r="1032" customFormat="false" ht="15" hidden="false" customHeight="false" outlineLevel="0" collapsed="false">
      <c r="A1032" s="0" t="n">
        <v>897</v>
      </c>
      <c r="B1032" s="69" t="s">
        <v>524</v>
      </c>
      <c r="C1032" s="69" t="s">
        <v>133</v>
      </c>
      <c r="D1032" s="69" t="s">
        <v>112</v>
      </c>
      <c r="E1032" s="69" t="s">
        <v>134</v>
      </c>
      <c r="F1032" s="69" t="s">
        <v>182</v>
      </c>
      <c r="G1032" s="69" t="s">
        <v>127</v>
      </c>
      <c r="H1032" s="0" t="n">
        <v>15</v>
      </c>
      <c r="I1032" s="70" t="n">
        <v>127.4</v>
      </c>
      <c r="J1032" s="70" t="n">
        <v>76.05</v>
      </c>
      <c r="K1032" s="70" t="n">
        <f aca="false">IF(ISTEXT(H1032),VALUE(H1032),H1032)*I1032</f>
        <v>1911</v>
      </c>
    </row>
    <row r="1033" customFormat="false" ht="15" hidden="false" customHeight="false" outlineLevel="0" collapsed="false">
      <c r="A1033" s="0" t="n">
        <v>84</v>
      </c>
      <c r="B1033" s="68" t="n">
        <v>45313</v>
      </c>
      <c r="C1033" s="69" t="s">
        <v>161</v>
      </c>
      <c r="D1033" s="69" t="s">
        <v>112</v>
      </c>
      <c r="E1033" s="69" t="s">
        <v>98</v>
      </c>
      <c r="F1033" s="69" t="s">
        <v>147</v>
      </c>
      <c r="G1033" s="69" t="s">
        <v>89</v>
      </c>
      <c r="H1033" s="0" t="n">
        <v>2</v>
      </c>
      <c r="I1033" s="70" t="n">
        <v>441</v>
      </c>
      <c r="J1033" s="70" t="n">
        <v>272.25</v>
      </c>
      <c r="K1033" s="70" t="n">
        <f aca="false">IF(ISTEXT(H1033),VALUE(H1033),H1033)*I1033</f>
        <v>882</v>
      </c>
    </row>
    <row r="1034" customFormat="false" ht="15" hidden="false" customHeight="false" outlineLevel="0" collapsed="false">
      <c r="A1034" s="0" t="n">
        <v>437</v>
      </c>
      <c r="B1034" s="68" t="n">
        <v>45421</v>
      </c>
      <c r="C1034" s="69" t="s">
        <v>91</v>
      </c>
      <c r="D1034" s="69" t="s">
        <v>86</v>
      </c>
      <c r="E1034" s="69" t="s">
        <v>92</v>
      </c>
      <c r="F1034" s="69" t="s">
        <v>168</v>
      </c>
      <c r="G1034" s="69" t="s">
        <v>52</v>
      </c>
      <c r="H1034" s="0" t="s">
        <v>525</v>
      </c>
      <c r="I1034" s="70" t="n">
        <v>127.4</v>
      </c>
      <c r="J1034" s="70" t="n">
        <v>76.05</v>
      </c>
      <c r="K1034" s="70" t="n">
        <f aca="false">IF(ISTEXT(H1034),VALUE(H1034),H1034)*I1034</f>
        <v>4076.8</v>
      </c>
    </row>
    <row r="1035" customFormat="false" ht="15" hidden="false" customHeight="false" outlineLevel="0" collapsed="false">
      <c r="A1035" s="0" t="n">
        <v>853</v>
      </c>
      <c r="B1035" s="68" t="n">
        <v>45540</v>
      </c>
      <c r="C1035" s="69" t="s">
        <v>30</v>
      </c>
      <c r="D1035" s="69"/>
      <c r="E1035" s="69" t="s">
        <v>121</v>
      </c>
      <c r="F1035" s="69" t="s">
        <v>115</v>
      </c>
      <c r="G1035" s="69" t="s">
        <v>171</v>
      </c>
      <c r="H1035" s="0" t="s">
        <v>254</v>
      </c>
      <c r="I1035" s="70" t="n">
        <v>117.6</v>
      </c>
      <c r="J1035" s="70" t="n">
        <v>63.6</v>
      </c>
      <c r="K1035" s="70" t="n">
        <f aca="false">IF(ISTEXT(H1035),VALUE(H1035),H1035)*I1035</f>
        <v>2352</v>
      </c>
    </row>
    <row r="1036" customFormat="false" ht="15" hidden="false" customHeight="false" outlineLevel="0" collapsed="false">
      <c r="A1036" s="0" t="n">
        <v>1770</v>
      </c>
      <c r="B1036" s="68" t="n">
        <v>45833</v>
      </c>
      <c r="C1036" s="69" t="s">
        <v>184</v>
      </c>
      <c r="D1036" s="69" t="s">
        <v>137</v>
      </c>
      <c r="E1036" s="69" t="s">
        <v>98</v>
      </c>
      <c r="F1036" s="69" t="s">
        <v>99</v>
      </c>
      <c r="G1036" s="69" t="s">
        <v>235</v>
      </c>
      <c r="H1036" s="0" t="n">
        <v>19</v>
      </c>
      <c r="I1036" s="70" t="n">
        <v>94.39</v>
      </c>
      <c r="J1036" s="70" t="n">
        <v>49.41</v>
      </c>
      <c r="K1036" s="70" t="n">
        <f aca="false">IF(ISTEXT(H1036),VALUE(H1036),H1036)*I1036</f>
        <v>1793.41</v>
      </c>
    </row>
    <row r="1037" customFormat="false" ht="15" hidden="false" customHeight="false" outlineLevel="0" collapsed="false">
      <c r="A1037" s="0" t="n">
        <v>1189</v>
      </c>
      <c r="B1037" s="68" t="n">
        <v>45634</v>
      </c>
      <c r="C1037" s="69" t="s">
        <v>161</v>
      </c>
      <c r="D1037" s="69" t="s">
        <v>112</v>
      </c>
      <c r="E1037" s="69" t="s">
        <v>110</v>
      </c>
      <c r="F1037" s="69" t="s">
        <v>143</v>
      </c>
      <c r="G1037" s="69" t="s">
        <v>48</v>
      </c>
      <c r="H1037" s="0" t="n">
        <v>52</v>
      </c>
      <c r="I1037" s="70" t="n">
        <v>93.1</v>
      </c>
      <c r="J1037" s="70" t="n">
        <v>47.98</v>
      </c>
      <c r="K1037" s="70" t="n">
        <f aca="false">IF(ISTEXT(H1037),VALUE(H1037),H1037)*I1037</f>
        <v>4841.2</v>
      </c>
    </row>
    <row r="1038" customFormat="false" ht="15" hidden="false" customHeight="false" outlineLevel="0" collapsed="false">
      <c r="A1038" s="0" t="n">
        <v>695</v>
      </c>
      <c r="B1038" s="68" t="n">
        <v>45479</v>
      </c>
      <c r="C1038" s="69" t="s">
        <v>161</v>
      </c>
      <c r="D1038" s="69" t="s">
        <v>112</v>
      </c>
      <c r="E1038" s="69" t="s">
        <v>101</v>
      </c>
      <c r="F1038" s="69" t="s">
        <v>31</v>
      </c>
      <c r="G1038" s="69" t="s">
        <v>111</v>
      </c>
      <c r="H1038" s="0" t="n">
        <v>15</v>
      </c>
      <c r="I1038" s="70" t="n">
        <v>83.3</v>
      </c>
      <c r="J1038" s="70" t="n">
        <v>48.03</v>
      </c>
      <c r="K1038" s="70" t="n">
        <f aca="false">IF(ISTEXT(H1038),VALUE(H1038),H1038)*I1038</f>
        <v>1249.5</v>
      </c>
    </row>
    <row r="1039" customFormat="false" ht="15" hidden="false" customHeight="false" outlineLevel="0" collapsed="false">
      <c r="A1039" s="0" t="n">
        <v>1455</v>
      </c>
      <c r="B1039" s="68" t="n">
        <v>45723</v>
      </c>
      <c r="C1039" s="69" t="s">
        <v>152</v>
      </c>
      <c r="D1039" s="69" t="s">
        <v>109</v>
      </c>
      <c r="E1039" s="69" t="s">
        <v>134</v>
      </c>
      <c r="F1039" s="69" t="s">
        <v>166</v>
      </c>
      <c r="G1039" s="69" t="s">
        <v>111</v>
      </c>
      <c r="H1039" s="0" t="n">
        <v>15</v>
      </c>
      <c r="I1039" s="70" t="n">
        <v>84.46</v>
      </c>
      <c r="J1039" s="70" t="n">
        <v>49.47</v>
      </c>
      <c r="K1039" s="70" t="n">
        <f aca="false">IF(ISTEXT(H1039),VALUE(H1039),H1039)*I1039</f>
        <v>1266.9</v>
      </c>
    </row>
    <row r="1040" customFormat="false" ht="15" hidden="false" customHeight="false" outlineLevel="0" collapsed="false">
      <c r="A1040" s="0" t="n">
        <v>1741</v>
      </c>
      <c r="B1040" s="69" t="s">
        <v>227</v>
      </c>
      <c r="C1040" s="69" t="s">
        <v>152</v>
      </c>
      <c r="D1040" s="69" t="s">
        <v>109</v>
      </c>
      <c r="E1040" s="69" t="s">
        <v>92</v>
      </c>
      <c r="F1040" s="69" t="s">
        <v>135</v>
      </c>
      <c r="G1040" s="69" t="s">
        <v>151</v>
      </c>
      <c r="H1040" s="0" t="n">
        <v>8</v>
      </c>
      <c r="I1040" s="70" t="n">
        <v>1155.06</v>
      </c>
      <c r="J1040" s="70" t="n">
        <v>766.32</v>
      </c>
      <c r="K1040" s="70" t="n">
        <f aca="false">IF(ISTEXT(H1040),VALUE(H1040),H1040)*I1040</f>
        <v>9240.48</v>
      </c>
    </row>
    <row r="1041" customFormat="false" ht="15" hidden="false" customHeight="false" outlineLevel="0" collapsed="false">
      <c r="A1041" s="0" t="n">
        <v>2164</v>
      </c>
      <c r="B1041" s="68" t="n">
        <v>45932</v>
      </c>
      <c r="C1041" s="69" t="s">
        <v>32</v>
      </c>
      <c r="D1041" s="69" t="s">
        <v>137</v>
      </c>
      <c r="E1041" s="69" t="s">
        <v>87</v>
      </c>
      <c r="F1041" s="69" t="s">
        <v>26</v>
      </c>
      <c r="G1041" s="69" t="s">
        <v>43</v>
      </c>
      <c r="H1041" s="0" t="n">
        <v>4</v>
      </c>
      <c r="I1041" s="70" t="n">
        <v>451.78</v>
      </c>
      <c r="J1041" s="70" t="n">
        <v>280.42</v>
      </c>
      <c r="K1041" s="70" t="n">
        <f aca="false">IF(ISTEXT(H1041),VALUE(H1041),H1041)*I1041</f>
        <v>1807.12</v>
      </c>
    </row>
    <row r="1042" customFormat="false" ht="15" hidden="false" customHeight="false" outlineLevel="0" collapsed="false">
      <c r="A1042" s="0" t="n">
        <v>1051</v>
      </c>
      <c r="B1042" s="68" t="n">
        <v>45610</v>
      </c>
      <c r="C1042" s="69" t="s">
        <v>30</v>
      </c>
      <c r="D1042" s="69" t="s">
        <v>109</v>
      </c>
      <c r="E1042" s="69" t="s">
        <v>134</v>
      </c>
      <c r="F1042" s="69" t="s">
        <v>99</v>
      </c>
      <c r="G1042" s="69" t="s">
        <v>49</v>
      </c>
      <c r="H1042" s="0" t="n">
        <v>59</v>
      </c>
      <c r="I1042" s="70" t="n">
        <v>63.7</v>
      </c>
      <c r="J1042" s="70" t="n">
        <v>35.43</v>
      </c>
      <c r="K1042" s="70" t="n">
        <f aca="false">IF(ISTEXT(H1042),VALUE(H1042),H1042)*I1042</f>
        <v>3758.3</v>
      </c>
    </row>
    <row r="1043" customFormat="false" ht="15" hidden="false" customHeight="false" outlineLevel="0" collapsed="false">
      <c r="A1043" s="0" t="n">
        <v>1895</v>
      </c>
      <c r="B1043" s="68" t="n">
        <v>45847</v>
      </c>
      <c r="C1043" s="69" t="s">
        <v>161</v>
      </c>
      <c r="D1043" s="69" t="s">
        <v>112</v>
      </c>
      <c r="E1043" s="69" t="s">
        <v>101</v>
      </c>
      <c r="F1043" s="69" t="s">
        <v>166</v>
      </c>
      <c r="G1043" s="69" t="s">
        <v>111</v>
      </c>
      <c r="H1043" s="0" t="s">
        <v>175</v>
      </c>
      <c r="I1043" s="70" t="n">
        <v>85.34</v>
      </c>
      <c r="J1043" s="70" t="n">
        <v>49.47</v>
      </c>
      <c r="K1043" s="70" t="n">
        <f aca="false">IF(ISTEXT(H1043),VALUE(H1043),H1043)*I1043</f>
        <v>1280.1</v>
      </c>
    </row>
    <row r="1044" customFormat="false" ht="15" hidden="false" customHeight="false" outlineLevel="0" collapsed="false">
      <c r="A1044" s="0" t="n">
        <v>1031</v>
      </c>
      <c r="B1044" s="68" t="n">
        <v>45605</v>
      </c>
      <c r="C1044" s="69" t="s">
        <v>91</v>
      </c>
      <c r="D1044" s="69" t="s">
        <v>86</v>
      </c>
      <c r="E1044" s="69" t="s">
        <v>121</v>
      </c>
      <c r="F1044" s="69" t="s">
        <v>99</v>
      </c>
      <c r="G1044" s="69" t="s">
        <v>49</v>
      </c>
      <c r="H1044" s="0" t="s">
        <v>526</v>
      </c>
      <c r="I1044" s="70" t="n">
        <v>63.7</v>
      </c>
      <c r="J1044" s="70" t="n">
        <v>35.43</v>
      </c>
      <c r="K1044" s="70" t="n">
        <f aca="false">IF(ISTEXT(H1044),VALUE(H1044),H1044)*I1044</f>
        <v>5159.7</v>
      </c>
    </row>
    <row r="1045" customFormat="false" ht="15" hidden="false" customHeight="false" outlineLevel="0" collapsed="false">
      <c r="A1045" s="0" t="n">
        <v>1941</v>
      </c>
      <c r="B1045" s="69" t="s">
        <v>527</v>
      </c>
      <c r="C1045" s="69" t="s">
        <v>30</v>
      </c>
      <c r="D1045" s="69" t="s">
        <v>109</v>
      </c>
      <c r="E1045" s="69" t="s">
        <v>121</v>
      </c>
      <c r="F1045" s="69" t="s">
        <v>153</v>
      </c>
      <c r="G1045" s="69" t="s">
        <v>151</v>
      </c>
      <c r="H1045" s="0" t="n">
        <v>9</v>
      </c>
      <c r="I1045" s="70" t="n">
        <v>1204.74</v>
      </c>
      <c r="J1045" s="70" t="n">
        <v>766.32</v>
      </c>
      <c r="K1045" s="70" t="n">
        <f aca="false">IF(ISTEXT(H1045),VALUE(H1045),H1045)*I1045</f>
        <v>10842.66</v>
      </c>
    </row>
    <row r="1046" customFormat="false" ht="15" hidden="false" customHeight="false" outlineLevel="0" collapsed="false">
      <c r="A1046" s="0" t="n">
        <v>1101</v>
      </c>
      <c r="B1046" s="68" t="n">
        <v>45639</v>
      </c>
      <c r="C1046" s="69" t="s">
        <v>96</v>
      </c>
      <c r="D1046" s="69" t="s">
        <v>97</v>
      </c>
      <c r="E1046" s="69" t="s">
        <v>134</v>
      </c>
      <c r="F1046" s="69" t="s">
        <v>88</v>
      </c>
      <c r="G1046" s="69" t="s">
        <v>154</v>
      </c>
      <c r="H1046" s="0" t="n">
        <v>36</v>
      </c>
      <c r="I1046" s="70" t="n">
        <v>1176</v>
      </c>
      <c r="J1046" s="70" t="n">
        <v>744</v>
      </c>
      <c r="K1046" s="70" t="n">
        <f aca="false">IF(ISTEXT(H1046),VALUE(H1046),H1046)*I1046</f>
        <v>42336</v>
      </c>
    </row>
    <row r="1047" customFormat="false" ht="15" hidden="false" customHeight="false" outlineLevel="0" collapsed="false">
      <c r="A1047" s="0" t="n">
        <v>2339</v>
      </c>
      <c r="B1047" s="68" t="n">
        <v>46003</v>
      </c>
      <c r="C1047" s="69" t="s">
        <v>27</v>
      </c>
      <c r="D1047" s="69" t="s">
        <v>86</v>
      </c>
      <c r="E1047" s="69" t="s">
        <v>92</v>
      </c>
      <c r="F1047" s="69" t="s">
        <v>93</v>
      </c>
      <c r="G1047" s="69" t="s">
        <v>94</v>
      </c>
      <c r="H1047" s="0" t="n">
        <v>42</v>
      </c>
      <c r="I1047" s="70" t="n">
        <v>35.14</v>
      </c>
      <c r="J1047" s="70" t="n">
        <v>18.39</v>
      </c>
      <c r="K1047" s="70" t="n">
        <f aca="false">IF(ISTEXT(H1047),VALUE(H1047),H1047)*I1047</f>
        <v>1475.88</v>
      </c>
    </row>
    <row r="1048" customFormat="false" ht="15" hidden="false" customHeight="false" outlineLevel="0" collapsed="false">
      <c r="A1048" s="0" t="n">
        <v>1133</v>
      </c>
      <c r="B1048" s="69" t="s">
        <v>528</v>
      </c>
      <c r="C1048" s="69" t="s">
        <v>159</v>
      </c>
      <c r="D1048" s="69" t="s">
        <v>86</v>
      </c>
      <c r="E1048" s="69" t="s">
        <v>134</v>
      </c>
      <c r="F1048" s="69" t="s">
        <v>162</v>
      </c>
      <c r="G1048" s="69" t="s">
        <v>156</v>
      </c>
      <c r="H1048" s="0" t="n">
        <v>32</v>
      </c>
      <c r="I1048" s="70" t="n">
        <v>117.6</v>
      </c>
      <c r="J1048" s="70" t="n">
        <v>63.6</v>
      </c>
      <c r="K1048" s="70" t="n">
        <f aca="false">IF(ISTEXT(H1048),VALUE(H1048),H1048)*I1048</f>
        <v>3763.2</v>
      </c>
    </row>
    <row r="1049" customFormat="false" ht="15" hidden="false" customHeight="false" outlineLevel="0" collapsed="false">
      <c r="A1049" s="0" t="n">
        <v>614</v>
      </c>
      <c r="B1049" s="68" t="n">
        <v>45479</v>
      </c>
      <c r="C1049" s="69" t="s">
        <v>150</v>
      </c>
      <c r="D1049" s="69" t="s">
        <v>97</v>
      </c>
      <c r="E1049" s="69" t="s">
        <v>180</v>
      </c>
      <c r="F1049" s="69" t="s">
        <v>31</v>
      </c>
      <c r="G1049" s="69" t="s">
        <v>156</v>
      </c>
      <c r="H1049" s="0" t="n">
        <v>18</v>
      </c>
      <c r="I1049" s="70" t="n">
        <v>117.6</v>
      </c>
      <c r="J1049" s="70" t="n">
        <v>63.6</v>
      </c>
      <c r="K1049" s="70" t="n">
        <f aca="false">IF(ISTEXT(H1049),VALUE(H1049),H1049)*I1049</f>
        <v>2116.8</v>
      </c>
    </row>
    <row r="1050" customFormat="false" ht="15" hidden="false" customHeight="false" outlineLevel="0" collapsed="false">
      <c r="A1050" s="0" t="n">
        <v>2185</v>
      </c>
      <c r="B1050" s="68" t="n">
        <v>45944</v>
      </c>
      <c r="C1050" s="69" t="s">
        <v>142</v>
      </c>
      <c r="D1050" s="69" t="s">
        <v>112</v>
      </c>
      <c r="E1050" s="69" t="s">
        <v>101</v>
      </c>
      <c r="F1050" s="69" t="s">
        <v>26</v>
      </c>
      <c r="G1050" s="69" t="s">
        <v>45</v>
      </c>
      <c r="H1050" s="0" t="n">
        <v>7</v>
      </c>
      <c r="I1050" s="70" t="n">
        <v>1656.52</v>
      </c>
      <c r="J1050" s="70" t="n">
        <v>1155.66</v>
      </c>
      <c r="K1050" s="70" t="n">
        <f aca="false">IF(ISTEXT(H1050),VALUE(H1050),H1050)*I1050</f>
        <v>11595.64</v>
      </c>
    </row>
    <row r="1051" customFormat="false" ht="15" hidden="false" customHeight="false" outlineLevel="0" collapsed="false">
      <c r="A1051" s="0" t="n">
        <v>389</v>
      </c>
      <c r="B1051" s="68" t="n">
        <v>45406</v>
      </c>
      <c r="C1051" s="69" t="s">
        <v>133</v>
      </c>
      <c r="D1051" s="69" t="s">
        <v>112</v>
      </c>
      <c r="E1051" s="69" t="s">
        <v>138</v>
      </c>
      <c r="F1051" s="69" t="s">
        <v>28</v>
      </c>
      <c r="G1051" s="69" t="s">
        <v>48</v>
      </c>
      <c r="H1051" s="0" t="n">
        <v>27</v>
      </c>
      <c r="I1051" s="70" t="n">
        <v>93.1</v>
      </c>
      <c r="J1051" s="70" t="n">
        <v>47.98</v>
      </c>
      <c r="K1051" s="70" t="n">
        <f aca="false">IF(ISTEXT(H1051),VALUE(H1051),H1051)*I1051</f>
        <v>2513.7</v>
      </c>
    </row>
    <row r="1052" customFormat="false" ht="15" hidden="false" customHeight="false" outlineLevel="0" collapsed="false">
      <c r="A1052" s="0" t="n">
        <v>2198</v>
      </c>
      <c r="B1052" s="68" t="n">
        <v>45954</v>
      </c>
      <c r="C1052" s="69" t="s">
        <v>133</v>
      </c>
      <c r="D1052" s="69" t="s">
        <v>112</v>
      </c>
      <c r="E1052" s="69" t="s">
        <v>125</v>
      </c>
      <c r="F1052" s="69" t="s">
        <v>33</v>
      </c>
      <c r="G1052" s="69" t="s">
        <v>52</v>
      </c>
      <c r="H1052" s="0" t="n">
        <v>12</v>
      </c>
      <c r="I1052" s="70" t="n">
        <v>130.51</v>
      </c>
      <c r="J1052" s="70" t="n">
        <v>78.33</v>
      </c>
      <c r="K1052" s="70" t="n">
        <f aca="false">IF(ISTEXT(H1052),VALUE(H1052),H1052)*I1052</f>
        <v>1566.12</v>
      </c>
    </row>
    <row r="1053" customFormat="false" ht="15" hidden="false" customHeight="false" outlineLevel="0" collapsed="false">
      <c r="A1053" s="0" t="n">
        <v>337</v>
      </c>
      <c r="B1053" s="68" t="n">
        <v>45393</v>
      </c>
      <c r="C1053" s="69" t="s">
        <v>120</v>
      </c>
      <c r="D1053" s="69" t="s">
        <v>86</v>
      </c>
      <c r="E1053" s="69" t="s">
        <v>92</v>
      </c>
      <c r="F1053" s="69" t="s">
        <v>93</v>
      </c>
      <c r="G1053" s="69" t="s">
        <v>127</v>
      </c>
      <c r="H1053" s="0" t="s">
        <v>215</v>
      </c>
      <c r="I1053" s="70" t="n">
        <v>127.4</v>
      </c>
      <c r="J1053" s="70" t="n">
        <v>76.05</v>
      </c>
      <c r="K1053" s="70" t="n">
        <f aca="false">IF(ISTEXT(H1053),VALUE(H1053),H1053)*I1053</f>
        <v>3949.4</v>
      </c>
    </row>
    <row r="1054" customFormat="false" ht="15" hidden="false" customHeight="false" outlineLevel="0" collapsed="false">
      <c r="A1054" s="0" t="n">
        <v>1458</v>
      </c>
      <c r="B1054" s="68" t="n">
        <v>45717</v>
      </c>
      <c r="C1054" s="69" t="s">
        <v>152</v>
      </c>
      <c r="D1054" s="69"/>
      <c r="E1054" s="69" t="s">
        <v>119</v>
      </c>
      <c r="F1054" s="69" t="s">
        <v>168</v>
      </c>
      <c r="G1054" s="69" t="s">
        <v>52</v>
      </c>
      <c r="H1054" s="0" t="s">
        <v>211</v>
      </c>
      <c r="I1054" s="70" t="n">
        <v>129.17</v>
      </c>
      <c r="J1054" s="70" t="n">
        <v>78.33</v>
      </c>
      <c r="K1054" s="70" t="n">
        <f aca="false">IF(ISTEXT(H1054),VALUE(H1054),H1054)*I1054</f>
        <v>2325.06</v>
      </c>
    </row>
    <row r="1055" customFormat="false" ht="15" hidden="false" customHeight="false" outlineLevel="0" collapsed="false">
      <c r="A1055" s="0" t="n">
        <v>2356</v>
      </c>
      <c r="B1055" s="68" t="n">
        <v>46014</v>
      </c>
      <c r="C1055" s="69" t="s">
        <v>30</v>
      </c>
      <c r="D1055" s="69" t="s">
        <v>109</v>
      </c>
      <c r="E1055" s="69" t="s">
        <v>98</v>
      </c>
      <c r="F1055" s="69" t="s">
        <v>162</v>
      </c>
      <c r="G1055" s="69" t="s">
        <v>111</v>
      </c>
      <c r="H1055" s="0" t="n">
        <v>16</v>
      </c>
      <c r="I1055" s="70" t="n">
        <v>85.34</v>
      </c>
      <c r="J1055" s="70" t="n">
        <v>49.47</v>
      </c>
      <c r="K1055" s="70" t="n">
        <f aca="false">IF(ISTEXT(H1055),VALUE(H1055),H1055)*I1055</f>
        <v>1365.44</v>
      </c>
    </row>
    <row r="1056" customFormat="false" ht="15" hidden="false" customHeight="false" outlineLevel="0" collapsed="false">
      <c r="A1056" s="0" t="n">
        <v>591</v>
      </c>
      <c r="B1056" s="69" t="s">
        <v>529</v>
      </c>
      <c r="C1056" s="69" t="s">
        <v>34</v>
      </c>
      <c r="D1056" s="69" t="s">
        <v>112</v>
      </c>
      <c r="E1056" s="69" t="s">
        <v>92</v>
      </c>
      <c r="F1056" s="69" t="s">
        <v>28</v>
      </c>
      <c r="G1056" s="69" t="s">
        <v>208</v>
      </c>
      <c r="H1056" s="0" t="s">
        <v>525</v>
      </c>
      <c r="I1056" s="70" t="n">
        <v>63.7</v>
      </c>
      <c r="J1056" s="70" t="n">
        <v>35.43</v>
      </c>
      <c r="K1056" s="70" t="n">
        <f aca="false">IF(ISTEXT(H1056),VALUE(H1056),H1056)*I1056</f>
        <v>2038.4</v>
      </c>
    </row>
    <row r="1057" customFormat="false" ht="15" hidden="false" customHeight="false" outlineLevel="0" collapsed="false">
      <c r="A1057" s="0" t="n">
        <v>1213</v>
      </c>
      <c r="B1057" s="68" t="n">
        <v>45671</v>
      </c>
      <c r="C1057" s="69" t="s">
        <v>96</v>
      </c>
      <c r="D1057" s="69"/>
      <c r="E1057" s="69" t="s">
        <v>92</v>
      </c>
      <c r="F1057" s="69" t="s">
        <v>115</v>
      </c>
      <c r="G1057" s="69" t="s">
        <v>50</v>
      </c>
      <c r="H1057" s="0" t="n">
        <v>36</v>
      </c>
      <c r="I1057" s="70" t="n">
        <v>119.23</v>
      </c>
      <c r="J1057" s="70" t="n">
        <v>65.51</v>
      </c>
      <c r="K1057" s="70" t="n">
        <f aca="false">IF(ISTEXT(H1057),VALUE(H1057),H1057)*I1057</f>
        <v>4292.28</v>
      </c>
    </row>
    <row r="1058" customFormat="false" ht="15" hidden="false" customHeight="false" outlineLevel="0" collapsed="false">
      <c r="A1058" s="0" t="n">
        <v>2133</v>
      </c>
      <c r="B1058" s="68" t="n">
        <v>45931</v>
      </c>
      <c r="C1058" s="69" t="s">
        <v>159</v>
      </c>
      <c r="D1058" s="69" t="s">
        <v>86</v>
      </c>
      <c r="E1058" s="69" t="s">
        <v>92</v>
      </c>
      <c r="F1058" s="69" t="s">
        <v>166</v>
      </c>
      <c r="G1058" s="69" t="s">
        <v>171</v>
      </c>
      <c r="H1058" s="0" t="n">
        <v>28</v>
      </c>
      <c r="I1058" s="70" t="n">
        <v>120.47</v>
      </c>
      <c r="J1058" s="70" t="n">
        <v>65.51</v>
      </c>
      <c r="K1058" s="70" t="n">
        <f aca="false">IF(ISTEXT(H1058),VALUE(H1058),H1058)*I1058</f>
        <v>3373.16</v>
      </c>
    </row>
    <row r="1059" customFormat="false" ht="15" hidden="false" customHeight="false" outlineLevel="0" collapsed="false">
      <c r="A1059" s="0" t="n">
        <v>457</v>
      </c>
      <c r="B1059" s="68" t="n">
        <v>45426</v>
      </c>
      <c r="C1059" s="69" t="s">
        <v>152</v>
      </c>
      <c r="D1059" s="69" t="s">
        <v>109</v>
      </c>
      <c r="E1059" s="69" t="s">
        <v>101</v>
      </c>
      <c r="F1059" s="69" t="s">
        <v>33</v>
      </c>
      <c r="G1059" s="69" t="s">
        <v>130</v>
      </c>
      <c r="H1059" s="0" t="n">
        <v>25</v>
      </c>
      <c r="I1059" s="70" t="n">
        <v>127.4</v>
      </c>
      <c r="J1059" s="70" t="n">
        <v>76.05</v>
      </c>
      <c r="K1059" s="70" t="n">
        <f aca="false">IF(ISTEXT(H1059),VALUE(H1059),H1059)*I1059</f>
        <v>3185</v>
      </c>
    </row>
    <row r="1060" customFormat="false" ht="15" hidden="false" customHeight="false" outlineLevel="0" collapsed="false">
      <c r="A1060" s="0" t="n">
        <v>1093</v>
      </c>
      <c r="B1060" s="69" t="s">
        <v>530</v>
      </c>
      <c r="C1060" s="69" t="s">
        <v>34</v>
      </c>
      <c r="D1060" s="69" t="s">
        <v>112</v>
      </c>
      <c r="E1060" s="69" t="s">
        <v>121</v>
      </c>
      <c r="F1060" s="69" t="s">
        <v>162</v>
      </c>
      <c r="G1060" s="69" t="s">
        <v>171</v>
      </c>
      <c r="H1060" s="0" t="n">
        <v>15</v>
      </c>
      <c r="I1060" s="70" t="n">
        <v>117.6</v>
      </c>
      <c r="J1060" s="70" t="n">
        <v>63.6</v>
      </c>
      <c r="K1060" s="70" t="n">
        <f aca="false">IF(ISTEXT(H1060),VALUE(H1060),H1060)*I1060</f>
        <v>1764</v>
      </c>
    </row>
    <row r="1061" customFormat="false" ht="15" hidden="false" customHeight="false" outlineLevel="0" collapsed="false">
      <c r="A1061" s="0" t="n">
        <v>1855</v>
      </c>
      <c r="B1061" s="69" t="s">
        <v>321</v>
      </c>
      <c r="C1061" s="69" t="s">
        <v>108</v>
      </c>
      <c r="D1061" s="69" t="s">
        <v>109</v>
      </c>
      <c r="E1061" s="69" t="s">
        <v>110</v>
      </c>
      <c r="F1061" s="69" t="s">
        <v>166</v>
      </c>
      <c r="G1061" s="69" t="s">
        <v>51</v>
      </c>
      <c r="H1061" s="0" t="s">
        <v>350</v>
      </c>
      <c r="I1061" s="70" t="n">
        <v>85.34</v>
      </c>
      <c r="J1061" s="70" t="n">
        <v>49.47</v>
      </c>
      <c r="K1061" s="70" t="n">
        <f aca="false">IF(ISTEXT(H1061),VALUE(H1061),H1061)*I1061</f>
        <v>1877.48</v>
      </c>
    </row>
    <row r="1062" customFormat="false" ht="15" hidden="false" customHeight="false" outlineLevel="0" collapsed="false">
      <c r="A1062" s="0" t="n">
        <v>1785</v>
      </c>
      <c r="B1062" s="69" t="s">
        <v>531</v>
      </c>
      <c r="C1062" s="69" t="s">
        <v>34</v>
      </c>
      <c r="D1062" s="69" t="s">
        <v>112</v>
      </c>
      <c r="E1062" s="69" t="s">
        <v>138</v>
      </c>
      <c r="F1062" s="69" t="s">
        <v>139</v>
      </c>
      <c r="G1062" s="69" t="s">
        <v>141</v>
      </c>
      <c r="H1062" s="0" t="n">
        <v>7</v>
      </c>
      <c r="I1062" s="70" t="n">
        <v>1588.21</v>
      </c>
      <c r="J1062" s="70" t="n">
        <v>1155.66</v>
      </c>
      <c r="K1062" s="70" t="n">
        <f aca="false">IF(ISTEXT(H1062),VALUE(H1062),H1062)*I1062</f>
        <v>11117.47</v>
      </c>
    </row>
    <row r="1063" customFormat="false" ht="15" hidden="false" customHeight="false" outlineLevel="0" collapsed="false">
      <c r="A1063" s="0" t="n">
        <v>63</v>
      </c>
      <c r="B1063" s="68" t="n">
        <v>45301</v>
      </c>
      <c r="C1063" s="69" t="s">
        <v>184</v>
      </c>
      <c r="D1063" s="69" t="s">
        <v>137</v>
      </c>
      <c r="E1063" s="69" t="s">
        <v>92</v>
      </c>
      <c r="F1063" s="69" t="s">
        <v>26</v>
      </c>
      <c r="G1063" s="69" t="s">
        <v>43</v>
      </c>
      <c r="H1063" s="0" t="n">
        <v>5</v>
      </c>
      <c r="I1063" s="70" t="n">
        <v>441</v>
      </c>
      <c r="J1063" s="70" t="n">
        <v>272.25</v>
      </c>
      <c r="K1063" s="70" t="n">
        <f aca="false">IF(ISTEXT(H1063),VALUE(H1063),H1063)*I1063</f>
        <v>2205</v>
      </c>
    </row>
    <row r="1064" customFormat="false" ht="15" hidden="false" customHeight="false" outlineLevel="0" collapsed="false">
      <c r="A1064" s="0" t="n">
        <v>2277</v>
      </c>
      <c r="B1064" s="69" t="s">
        <v>532</v>
      </c>
      <c r="C1064" s="69" t="s">
        <v>193</v>
      </c>
      <c r="D1064" s="69" t="s">
        <v>137</v>
      </c>
      <c r="E1064" s="69" t="s">
        <v>138</v>
      </c>
      <c r="F1064" s="69" t="s">
        <v>183</v>
      </c>
      <c r="G1064" s="69" t="s">
        <v>52</v>
      </c>
      <c r="H1064" s="0" t="n">
        <v>21</v>
      </c>
      <c r="I1064" s="70" t="n">
        <v>130.51</v>
      </c>
      <c r="J1064" s="70" t="n">
        <v>78.33</v>
      </c>
      <c r="K1064" s="70" t="n">
        <f aca="false">IF(ISTEXT(H1064),VALUE(H1064),H1064)*I1064</f>
        <v>2740.71</v>
      </c>
    </row>
    <row r="1065" customFormat="false" ht="15" hidden="false" customHeight="false" outlineLevel="0" collapsed="false">
      <c r="A1065" s="0" t="n">
        <v>1195</v>
      </c>
      <c r="B1065" s="68" t="n">
        <v>45649</v>
      </c>
      <c r="C1065" s="69" t="s">
        <v>34</v>
      </c>
      <c r="D1065" s="69" t="s">
        <v>112</v>
      </c>
      <c r="E1065" s="69" t="s">
        <v>138</v>
      </c>
      <c r="F1065" s="69" t="s">
        <v>166</v>
      </c>
      <c r="G1065" s="69" t="s">
        <v>51</v>
      </c>
      <c r="H1065" s="0" t="n">
        <v>24</v>
      </c>
      <c r="I1065" s="70" t="n">
        <v>83.3</v>
      </c>
      <c r="J1065" s="70" t="n">
        <v>48.03</v>
      </c>
      <c r="K1065" s="70" t="n">
        <f aca="false">IF(ISTEXT(H1065),VALUE(H1065),H1065)*I1065</f>
        <v>1999.2</v>
      </c>
    </row>
    <row r="1066" customFormat="false" ht="15" hidden="false" customHeight="false" outlineLevel="0" collapsed="false">
      <c r="A1066" s="0" t="n">
        <v>1644</v>
      </c>
      <c r="B1066" s="68" t="n">
        <v>45784</v>
      </c>
      <c r="C1066" s="69" t="s">
        <v>152</v>
      </c>
      <c r="D1066" s="69" t="s">
        <v>109</v>
      </c>
      <c r="E1066" s="69" t="s">
        <v>125</v>
      </c>
      <c r="F1066" s="69" t="s">
        <v>153</v>
      </c>
      <c r="G1066" s="69" t="s">
        <v>89</v>
      </c>
      <c r="H1066" s="0" t="n">
        <v>6</v>
      </c>
      <c r="I1066" s="70" t="n">
        <v>433.15</v>
      </c>
      <c r="J1066" s="70" t="n">
        <v>280.42</v>
      </c>
      <c r="K1066" s="70" t="n">
        <f aca="false">IF(ISTEXT(H1066),VALUE(H1066),H1066)*I1066</f>
        <v>2598.9</v>
      </c>
    </row>
    <row r="1067" customFormat="false" ht="15" hidden="false" customHeight="false" outlineLevel="0" collapsed="false">
      <c r="A1067" s="0" t="n">
        <v>577</v>
      </c>
      <c r="B1067" s="68" t="n">
        <v>45460</v>
      </c>
      <c r="C1067" s="69" t="s">
        <v>184</v>
      </c>
      <c r="D1067" s="69" t="s">
        <v>137</v>
      </c>
      <c r="E1067" s="69" t="s">
        <v>121</v>
      </c>
      <c r="F1067" s="69" t="s">
        <v>168</v>
      </c>
      <c r="G1067" s="69" t="s">
        <v>130</v>
      </c>
      <c r="H1067" s="0" t="n">
        <v>22</v>
      </c>
      <c r="I1067" s="70" t="n">
        <v>127.4</v>
      </c>
      <c r="J1067" s="70" t="n">
        <v>76.05</v>
      </c>
      <c r="K1067" s="70" t="n">
        <f aca="false">IF(ISTEXT(H1067),VALUE(H1067),H1067)*I1067</f>
        <v>2802.8</v>
      </c>
    </row>
    <row r="1068" customFormat="false" ht="15" hidden="false" customHeight="false" outlineLevel="0" collapsed="false">
      <c r="A1068" s="0" t="n">
        <v>1479</v>
      </c>
      <c r="B1068" s="68" t="n">
        <v>45729</v>
      </c>
      <c r="C1068" s="69" t="s">
        <v>193</v>
      </c>
      <c r="D1068" s="69" t="s">
        <v>137</v>
      </c>
      <c r="E1068" s="69" t="s">
        <v>101</v>
      </c>
      <c r="F1068" s="69" t="s">
        <v>93</v>
      </c>
      <c r="G1068" s="69" t="s">
        <v>53</v>
      </c>
      <c r="H1068" s="0" t="n">
        <v>16</v>
      </c>
      <c r="I1068" s="70" t="n">
        <v>34.78</v>
      </c>
      <c r="J1068" s="70" t="n">
        <v>18.39</v>
      </c>
      <c r="K1068" s="70" t="n">
        <f aca="false">IF(ISTEXT(H1068),VALUE(H1068),H1068)*I1068</f>
        <v>556.48</v>
      </c>
    </row>
    <row r="1069" customFormat="false" ht="15" hidden="false" customHeight="false" outlineLevel="0" collapsed="false">
      <c r="A1069" s="0" t="n">
        <v>863</v>
      </c>
      <c r="B1069" s="68" t="n">
        <v>45556</v>
      </c>
      <c r="C1069" s="69" t="s">
        <v>184</v>
      </c>
      <c r="D1069" s="69" t="s">
        <v>137</v>
      </c>
      <c r="E1069" s="69" t="s">
        <v>101</v>
      </c>
      <c r="F1069" s="69" t="s">
        <v>153</v>
      </c>
      <c r="G1069" s="69" t="s">
        <v>89</v>
      </c>
      <c r="H1069" s="0" t="n">
        <v>7</v>
      </c>
      <c r="I1069" s="70" t="n">
        <v>441</v>
      </c>
      <c r="J1069" s="70" t="n">
        <v>272.25</v>
      </c>
      <c r="K1069" s="70" t="n">
        <f aca="false">IF(ISTEXT(H1069),VALUE(H1069),H1069)*I1069</f>
        <v>3087</v>
      </c>
    </row>
    <row r="1070" customFormat="false" ht="15" hidden="false" customHeight="false" outlineLevel="0" collapsed="false">
      <c r="A1070" s="0" t="n">
        <v>1771</v>
      </c>
      <c r="B1070" s="68" t="n">
        <v>45813</v>
      </c>
      <c r="C1070" s="69" t="s">
        <v>184</v>
      </c>
      <c r="D1070" s="69" t="s">
        <v>137</v>
      </c>
      <c r="E1070" s="69" t="s">
        <v>92</v>
      </c>
      <c r="F1070" s="69" t="s">
        <v>28</v>
      </c>
      <c r="G1070" s="69" t="s">
        <v>144</v>
      </c>
      <c r="H1070" s="0" t="n">
        <v>30</v>
      </c>
      <c r="I1070" s="70" t="n">
        <v>64.58</v>
      </c>
      <c r="J1070" s="70" t="n">
        <v>36.49</v>
      </c>
      <c r="K1070" s="70" t="n">
        <f aca="false">IF(ISTEXT(H1070),VALUE(H1070),H1070)*I1070</f>
        <v>1937.4</v>
      </c>
    </row>
    <row r="1071" customFormat="false" ht="15" hidden="false" customHeight="false" outlineLevel="0" collapsed="false">
      <c r="A1071" s="0" t="n">
        <v>24</v>
      </c>
      <c r="B1071" s="68" t="n">
        <v>45298</v>
      </c>
      <c r="C1071" s="69" t="s">
        <v>159</v>
      </c>
      <c r="D1071" s="69" t="s">
        <v>86</v>
      </c>
      <c r="E1071" s="69" t="s">
        <v>87</v>
      </c>
      <c r="F1071" s="69" t="s">
        <v>88</v>
      </c>
      <c r="G1071" s="69" t="s">
        <v>43</v>
      </c>
      <c r="H1071" s="0" t="n">
        <v>3</v>
      </c>
      <c r="I1071" s="70" t="n">
        <v>441</v>
      </c>
      <c r="J1071" s="70" t="n">
        <v>272.25</v>
      </c>
      <c r="K1071" s="70" t="n">
        <f aca="false">IF(ISTEXT(H1071),VALUE(H1071),H1071)*I1071</f>
        <v>1323</v>
      </c>
    </row>
    <row r="1072" customFormat="false" ht="15" hidden="false" customHeight="false" outlineLevel="0" collapsed="false">
      <c r="A1072" s="0" t="n">
        <v>804</v>
      </c>
      <c r="B1072" s="68" t="n">
        <v>45548</v>
      </c>
      <c r="C1072" s="69" t="s">
        <v>96</v>
      </c>
      <c r="D1072" s="69" t="s">
        <v>97</v>
      </c>
      <c r="E1072" s="69" t="s">
        <v>180</v>
      </c>
      <c r="F1072" s="69" t="s">
        <v>88</v>
      </c>
      <c r="G1072" s="69" t="s">
        <v>89</v>
      </c>
      <c r="H1072" s="0" t="n">
        <v>9</v>
      </c>
      <c r="I1072" s="70" t="n">
        <v>441</v>
      </c>
      <c r="J1072" s="70" t="n">
        <v>272.25</v>
      </c>
      <c r="K1072" s="70" t="n">
        <f aca="false">IF(ISTEXT(H1072),VALUE(H1072),H1072)*I1072</f>
        <v>3969</v>
      </c>
    </row>
    <row r="1073" customFormat="false" ht="15" hidden="false" customHeight="false" outlineLevel="0" collapsed="false">
      <c r="A1073" s="0" t="n">
        <v>209</v>
      </c>
      <c r="B1073" s="68" t="n">
        <v>45357</v>
      </c>
      <c r="C1073" s="69" t="s">
        <v>124</v>
      </c>
      <c r="D1073" s="69" t="s">
        <v>97</v>
      </c>
      <c r="E1073" s="69" t="s">
        <v>121</v>
      </c>
      <c r="F1073" s="69" t="s">
        <v>143</v>
      </c>
      <c r="G1073" s="69" t="s">
        <v>235</v>
      </c>
      <c r="H1073" s="0" t="n">
        <v>90</v>
      </c>
      <c r="I1073" s="70" t="n">
        <v>93.1</v>
      </c>
      <c r="J1073" s="70" t="n">
        <v>47.98</v>
      </c>
      <c r="K1073" s="70" t="n">
        <f aca="false">IF(ISTEXT(H1073),VALUE(H1073),H1073)*I1073</f>
        <v>8379</v>
      </c>
    </row>
    <row r="1074" customFormat="false" ht="15" hidden="false" customHeight="false" outlineLevel="0" collapsed="false">
      <c r="A1074" s="0" t="n">
        <v>1927</v>
      </c>
      <c r="B1074" s="68" t="n">
        <v>45886</v>
      </c>
      <c r="C1074" s="69" t="s">
        <v>91</v>
      </c>
      <c r="D1074" s="69" t="s">
        <v>86</v>
      </c>
      <c r="E1074" s="69" t="s">
        <v>92</v>
      </c>
      <c r="F1074" s="69" t="s">
        <v>155</v>
      </c>
      <c r="G1074" s="69" t="s">
        <v>47</v>
      </c>
      <c r="H1074" s="0" t="n">
        <v>62</v>
      </c>
      <c r="I1074" s="70" t="n">
        <v>28.11</v>
      </c>
      <c r="J1074" s="70" t="n">
        <v>13.84</v>
      </c>
      <c r="K1074" s="70" t="n">
        <f aca="false">IF(ISTEXT(H1074),VALUE(H1074),H1074)*I1074</f>
        <v>1742.82</v>
      </c>
    </row>
    <row r="1075" customFormat="false" ht="15" hidden="false" customHeight="false" outlineLevel="0" collapsed="false">
      <c r="A1075" s="0" t="n">
        <v>1805</v>
      </c>
      <c r="B1075" s="68" t="n">
        <v>45865</v>
      </c>
      <c r="C1075" s="69" t="s">
        <v>124</v>
      </c>
      <c r="D1075" s="69" t="s">
        <v>97</v>
      </c>
      <c r="E1075" s="69" t="s">
        <v>121</v>
      </c>
      <c r="F1075" s="69" t="s">
        <v>26</v>
      </c>
      <c r="G1075" s="69" t="s">
        <v>141</v>
      </c>
      <c r="H1075" s="0" t="n">
        <v>22</v>
      </c>
      <c r="I1075" s="70" t="n">
        <v>1656.52</v>
      </c>
      <c r="J1075" s="70" t="n">
        <v>1155.66</v>
      </c>
      <c r="K1075" s="70" t="n">
        <f aca="false">IF(ISTEXT(H1075),VALUE(H1075),H1075)*I1075</f>
        <v>36443.44</v>
      </c>
    </row>
    <row r="1076" customFormat="false" ht="15" hidden="false" customHeight="false" outlineLevel="0" collapsed="false">
      <c r="A1076" s="0" t="n">
        <v>2390</v>
      </c>
      <c r="B1076" s="68" t="n">
        <v>46009</v>
      </c>
      <c r="C1076" s="69" t="s">
        <v>161</v>
      </c>
      <c r="D1076" s="69" t="s">
        <v>112</v>
      </c>
      <c r="E1076" s="69" t="s">
        <v>107</v>
      </c>
      <c r="F1076" s="69" t="s">
        <v>155</v>
      </c>
      <c r="G1076" s="69" t="s">
        <v>48</v>
      </c>
      <c r="H1076" s="0" t="n">
        <v>33</v>
      </c>
      <c r="I1076" s="70" t="n">
        <v>95.38</v>
      </c>
      <c r="J1076" s="70" t="n">
        <v>49.41</v>
      </c>
      <c r="K1076" s="70" t="n">
        <f aca="false">IF(ISTEXT(H1076),VALUE(H1076),H1076)*I1076</f>
        <v>3147.54</v>
      </c>
    </row>
    <row r="1077" customFormat="false" ht="15" hidden="false" customHeight="false" outlineLevel="0" collapsed="false">
      <c r="A1077" s="0" t="n">
        <v>2146</v>
      </c>
      <c r="B1077" s="68" t="n">
        <v>45941</v>
      </c>
      <c r="C1077" s="69" t="s">
        <v>30</v>
      </c>
      <c r="D1077" s="69" t="s">
        <v>109</v>
      </c>
      <c r="E1077" s="69" t="s">
        <v>98</v>
      </c>
      <c r="F1077" s="69" t="s">
        <v>26</v>
      </c>
      <c r="G1077" s="69" t="s">
        <v>141</v>
      </c>
      <c r="H1077" s="0" t="s">
        <v>222</v>
      </c>
      <c r="I1077" s="70" t="n">
        <v>1656.52</v>
      </c>
      <c r="J1077" s="70" t="n">
        <v>1155.66</v>
      </c>
      <c r="K1077" s="70" t="n">
        <f aca="false">IF(ISTEXT(H1077),VALUE(H1077),H1077)*I1077</f>
        <v>9939.12</v>
      </c>
    </row>
    <row r="1078" customFormat="false" ht="15" hidden="false" customHeight="false" outlineLevel="0" collapsed="false">
      <c r="A1078" s="0" t="n">
        <v>644</v>
      </c>
      <c r="B1078" s="68" t="n">
        <v>45500</v>
      </c>
      <c r="C1078" s="69" t="s">
        <v>152</v>
      </c>
      <c r="D1078" s="69" t="s">
        <v>109</v>
      </c>
      <c r="E1078" s="69" t="s">
        <v>87</v>
      </c>
      <c r="F1078" s="69" t="s">
        <v>153</v>
      </c>
      <c r="G1078" s="69" t="s">
        <v>89</v>
      </c>
      <c r="H1078" s="0" t="n">
        <v>3</v>
      </c>
      <c r="I1078" s="70" t="n">
        <v>441</v>
      </c>
      <c r="J1078" s="70" t="n">
        <v>272.25</v>
      </c>
      <c r="K1078" s="70" t="n">
        <f aca="false">IF(ISTEXT(H1078),VALUE(H1078),H1078)*I1078</f>
        <v>1323</v>
      </c>
    </row>
    <row r="1079" customFormat="false" ht="15" hidden="false" customHeight="false" outlineLevel="0" collapsed="false">
      <c r="A1079" s="0" t="n">
        <v>288</v>
      </c>
      <c r="B1079" s="68" t="n">
        <v>45370</v>
      </c>
      <c r="C1079" s="69" t="s">
        <v>133</v>
      </c>
      <c r="D1079" s="69" t="s">
        <v>112</v>
      </c>
      <c r="E1079" s="69" t="s">
        <v>87</v>
      </c>
      <c r="F1079" s="69" t="s">
        <v>28</v>
      </c>
      <c r="G1079" s="69" t="s">
        <v>113</v>
      </c>
      <c r="H1079" s="0" t="n">
        <v>12</v>
      </c>
      <c r="I1079" s="70" t="n">
        <v>27.44</v>
      </c>
      <c r="J1079" s="70" t="n">
        <v>13.44</v>
      </c>
      <c r="K1079" s="70" t="n">
        <f aca="false">IF(ISTEXT(H1079),VALUE(H1079),H1079)*I1079</f>
        <v>329.28</v>
      </c>
    </row>
    <row r="1080" customFormat="false" ht="15" hidden="false" customHeight="false" outlineLevel="0" collapsed="false">
      <c r="A1080" s="0" t="n">
        <v>1617</v>
      </c>
      <c r="B1080" s="68" t="n">
        <v>45784</v>
      </c>
      <c r="C1080" s="69" t="s">
        <v>170</v>
      </c>
      <c r="D1080" s="69" t="s">
        <v>97</v>
      </c>
      <c r="E1080" s="69" t="s">
        <v>101</v>
      </c>
      <c r="F1080" s="69" t="s">
        <v>183</v>
      </c>
      <c r="G1080" s="69" t="s">
        <v>127</v>
      </c>
      <c r="H1080" s="0" t="n">
        <v>58</v>
      </c>
      <c r="I1080" s="70" t="n">
        <v>129.17</v>
      </c>
      <c r="J1080" s="70" t="n">
        <v>78.33</v>
      </c>
      <c r="K1080" s="70" t="n">
        <f aca="false">IF(ISTEXT(H1080),VALUE(H1080),H1080)*I1080</f>
        <v>7491.86</v>
      </c>
    </row>
    <row r="1081" customFormat="false" ht="15" hidden="false" customHeight="false" outlineLevel="0" collapsed="false">
      <c r="A1081" s="0" t="n">
        <v>1178</v>
      </c>
      <c r="B1081" s="68" t="n">
        <v>45638</v>
      </c>
      <c r="C1081" s="69" t="s">
        <v>193</v>
      </c>
      <c r="D1081" s="69" t="s">
        <v>137</v>
      </c>
      <c r="E1081" s="69" t="s">
        <v>87</v>
      </c>
      <c r="F1081" s="69" t="s">
        <v>182</v>
      </c>
      <c r="G1081" s="69" t="s">
        <v>127</v>
      </c>
      <c r="H1081" s="0" t="s">
        <v>328</v>
      </c>
      <c r="I1081" s="70" t="n">
        <v>127.4</v>
      </c>
      <c r="J1081" s="70" t="n">
        <v>76.05</v>
      </c>
      <c r="K1081" s="70" t="n">
        <f aca="false">IF(ISTEXT(H1081),VALUE(H1081),H1081)*I1081</f>
        <v>1528.8</v>
      </c>
    </row>
    <row r="1082" customFormat="false" ht="15" hidden="false" customHeight="false" outlineLevel="0" collapsed="false">
      <c r="A1082" s="0" t="n">
        <v>2282</v>
      </c>
      <c r="B1082" s="68" t="n">
        <v>45979</v>
      </c>
      <c r="C1082" s="69" t="s">
        <v>133</v>
      </c>
      <c r="D1082" s="69" t="s">
        <v>112</v>
      </c>
      <c r="E1082" s="69" t="s">
        <v>119</v>
      </c>
      <c r="F1082" s="69" t="s">
        <v>135</v>
      </c>
      <c r="G1082" s="69" t="s">
        <v>154</v>
      </c>
      <c r="H1082" s="0" t="n">
        <v>6</v>
      </c>
      <c r="I1082" s="70" t="n">
        <v>1204.74</v>
      </c>
      <c r="J1082" s="70" t="n">
        <v>766.32</v>
      </c>
      <c r="K1082" s="70" t="n">
        <f aca="false">IF(ISTEXT(H1082),VALUE(H1082),H1082)*I1082</f>
        <v>7228.44</v>
      </c>
    </row>
    <row r="1083" customFormat="false" ht="15" hidden="false" customHeight="false" outlineLevel="0" collapsed="false">
      <c r="A1083" s="0" t="n">
        <v>77</v>
      </c>
      <c r="B1083" s="68" t="n">
        <v>45318</v>
      </c>
      <c r="C1083" s="69" t="s">
        <v>184</v>
      </c>
      <c r="D1083" s="69" t="s">
        <v>137</v>
      </c>
      <c r="E1083" s="69" t="s">
        <v>101</v>
      </c>
      <c r="F1083" s="69" t="s">
        <v>182</v>
      </c>
      <c r="G1083" s="69" t="s">
        <v>130</v>
      </c>
      <c r="H1083" s="0" t="s">
        <v>175</v>
      </c>
      <c r="I1083" s="70" t="n">
        <v>127.4</v>
      </c>
      <c r="J1083" s="70" t="n">
        <v>76.05</v>
      </c>
      <c r="K1083" s="70" t="n">
        <f aca="false">IF(ISTEXT(H1083),VALUE(H1083),H1083)*I1083</f>
        <v>1911</v>
      </c>
    </row>
    <row r="1084" customFormat="false" ht="15" hidden="false" customHeight="false" outlineLevel="0" collapsed="false">
      <c r="A1084" s="0" t="n">
        <v>985</v>
      </c>
      <c r="B1084" s="69" t="s">
        <v>533</v>
      </c>
      <c r="C1084" s="69" t="s">
        <v>34</v>
      </c>
      <c r="D1084" s="69" t="s">
        <v>112</v>
      </c>
      <c r="E1084" s="69" t="s">
        <v>101</v>
      </c>
      <c r="F1084" s="69" t="s">
        <v>153</v>
      </c>
      <c r="G1084" s="69" t="s">
        <v>141</v>
      </c>
      <c r="H1084" s="0" t="n">
        <v>7</v>
      </c>
      <c r="I1084" s="70" t="n">
        <v>1617</v>
      </c>
      <c r="J1084" s="70" t="n">
        <v>1122</v>
      </c>
      <c r="K1084" s="70" t="n">
        <f aca="false">IF(ISTEXT(H1084),VALUE(H1084),H1084)*I1084</f>
        <v>11319</v>
      </c>
    </row>
    <row r="1085" customFormat="false" ht="15" hidden="false" customHeight="false" outlineLevel="0" collapsed="false">
      <c r="A1085" s="0" t="n">
        <v>1752</v>
      </c>
      <c r="B1085" s="69" t="s">
        <v>359</v>
      </c>
      <c r="C1085" s="69" t="s">
        <v>108</v>
      </c>
      <c r="D1085" s="69" t="s">
        <v>109</v>
      </c>
      <c r="E1085" s="69" t="s">
        <v>119</v>
      </c>
      <c r="F1085" s="69" t="s">
        <v>102</v>
      </c>
      <c r="G1085" s="69" t="s">
        <v>144</v>
      </c>
      <c r="H1085" s="0" t="n">
        <v>29</v>
      </c>
      <c r="I1085" s="70" t="n">
        <v>64.58</v>
      </c>
      <c r="J1085" s="70" t="n">
        <v>36.49</v>
      </c>
      <c r="K1085" s="70" t="n">
        <f aca="false">IF(ISTEXT(H1085),VALUE(H1085),H1085)*I1085</f>
        <v>1872.82</v>
      </c>
    </row>
    <row r="1086" customFormat="false" ht="15" hidden="false" customHeight="false" outlineLevel="0" collapsed="false">
      <c r="A1086" s="0" t="n">
        <v>1955</v>
      </c>
      <c r="B1086" s="69" t="s">
        <v>534</v>
      </c>
      <c r="C1086" s="69" t="s">
        <v>152</v>
      </c>
      <c r="D1086" s="69" t="s">
        <v>109</v>
      </c>
      <c r="E1086" s="69" t="s">
        <v>134</v>
      </c>
      <c r="F1086" s="69" t="s">
        <v>162</v>
      </c>
      <c r="G1086" s="69" t="s">
        <v>51</v>
      </c>
      <c r="H1086" s="0" t="n">
        <v>16</v>
      </c>
      <c r="I1086" s="70" t="n">
        <v>85.34</v>
      </c>
      <c r="J1086" s="70" t="n">
        <v>49.47</v>
      </c>
      <c r="K1086" s="70" t="n">
        <f aca="false">IF(ISTEXT(H1086),VALUE(H1086),H1086)*I1086</f>
        <v>1365.44</v>
      </c>
    </row>
    <row r="1087" customFormat="false" ht="15" hidden="false" customHeight="false" outlineLevel="0" collapsed="false">
      <c r="A1087" s="0" t="n">
        <v>1896</v>
      </c>
      <c r="B1087" s="68" t="n">
        <v>45854</v>
      </c>
      <c r="C1087" s="69" t="s">
        <v>133</v>
      </c>
      <c r="D1087" s="69" t="s">
        <v>112</v>
      </c>
      <c r="E1087" s="69" t="s">
        <v>107</v>
      </c>
      <c r="F1087" s="69" t="s">
        <v>115</v>
      </c>
      <c r="G1087" s="69" t="s">
        <v>116</v>
      </c>
      <c r="H1087" s="0" t="n">
        <v>9</v>
      </c>
      <c r="I1087" s="70" t="n">
        <v>85.34</v>
      </c>
      <c r="J1087" s="70" t="n">
        <v>49.47</v>
      </c>
      <c r="K1087" s="70" t="n">
        <f aca="false">IF(ISTEXT(H1087),VALUE(H1087),H1087)*I1087</f>
        <v>768.06</v>
      </c>
    </row>
    <row r="1088" customFormat="false" ht="15" hidden="false" customHeight="false" outlineLevel="0" collapsed="false">
      <c r="A1088" s="0" t="n">
        <v>1953</v>
      </c>
      <c r="B1088" s="68" t="n">
        <v>45879</v>
      </c>
      <c r="C1088" s="69" t="s">
        <v>152</v>
      </c>
      <c r="D1088" s="69" t="s">
        <v>109</v>
      </c>
      <c r="E1088" s="69" t="s">
        <v>101</v>
      </c>
      <c r="F1088" s="69" t="s">
        <v>31</v>
      </c>
      <c r="G1088" s="69" t="s">
        <v>50</v>
      </c>
      <c r="H1088" s="0" t="n">
        <v>19</v>
      </c>
      <c r="I1088" s="70" t="n">
        <v>120.47</v>
      </c>
      <c r="J1088" s="70" t="n">
        <v>65.51</v>
      </c>
      <c r="K1088" s="70" t="n">
        <f aca="false">IF(ISTEXT(H1088),VALUE(H1088),H1088)*I1088</f>
        <v>2288.93</v>
      </c>
    </row>
    <row r="1089" customFormat="false" ht="15" hidden="false" customHeight="false" outlineLevel="0" collapsed="false">
      <c r="A1089" s="0" t="n">
        <v>201</v>
      </c>
      <c r="B1089" s="69" t="s">
        <v>517</v>
      </c>
      <c r="C1089" s="69" t="s">
        <v>25</v>
      </c>
      <c r="D1089" s="69" t="s">
        <v>97</v>
      </c>
      <c r="E1089" s="69" t="s">
        <v>92</v>
      </c>
      <c r="F1089" s="69" t="s">
        <v>153</v>
      </c>
      <c r="G1089" s="69" t="s">
        <v>41</v>
      </c>
      <c r="H1089" s="0" t="n">
        <v>18</v>
      </c>
      <c r="I1089" s="70" t="n">
        <v>1176</v>
      </c>
      <c r="J1089" s="70" t="n">
        <v>744</v>
      </c>
      <c r="K1089" s="70" t="n">
        <f aca="false">IF(ISTEXT(H1089),VALUE(H1089),H1089)*I1089</f>
        <v>21168</v>
      </c>
    </row>
    <row r="1090" customFormat="false" ht="15" hidden="false" customHeight="false" outlineLevel="0" collapsed="false">
      <c r="A1090" s="0" t="n">
        <v>2158</v>
      </c>
      <c r="B1090" s="68" t="n">
        <v>45944</v>
      </c>
      <c r="C1090" s="69" t="s">
        <v>152</v>
      </c>
      <c r="D1090" s="69" t="s">
        <v>109</v>
      </c>
      <c r="E1090" s="69" t="s">
        <v>107</v>
      </c>
      <c r="F1090" s="69" t="s">
        <v>168</v>
      </c>
      <c r="G1090" s="69" t="s">
        <v>130</v>
      </c>
      <c r="H1090" s="0" t="n">
        <v>18</v>
      </c>
      <c r="I1090" s="70" t="n">
        <v>130.51</v>
      </c>
      <c r="J1090" s="70" t="n">
        <v>78.33</v>
      </c>
      <c r="K1090" s="70" t="n">
        <f aca="false">IF(ISTEXT(H1090),VALUE(H1090),H1090)*I1090</f>
        <v>2349.18</v>
      </c>
    </row>
    <row r="1091" customFormat="false" ht="15" hidden="false" customHeight="false" outlineLevel="0" collapsed="false">
      <c r="A1091" s="0" t="n">
        <v>1184</v>
      </c>
      <c r="B1091" s="69" t="s">
        <v>535</v>
      </c>
      <c r="C1091" s="69" t="s">
        <v>161</v>
      </c>
      <c r="D1091" s="69" t="s">
        <v>112</v>
      </c>
      <c r="E1091" s="69" t="s">
        <v>125</v>
      </c>
      <c r="F1091" s="69" t="s">
        <v>153</v>
      </c>
      <c r="G1091" s="69" t="s">
        <v>177</v>
      </c>
      <c r="H1091" s="0" t="n">
        <v>3</v>
      </c>
      <c r="I1091" s="70" t="n">
        <v>441</v>
      </c>
      <c r="J1091" s="70" t="n">
        <v>272.25</v>
      </c>
      <c r="K1091" s="70" t="n">
        <f aca="false">IF(ISTEXT(H1091),VALUE(H1091),H1091)*I1091</f>
        <v>1323</v>
      </c>
    </row>
    <row r="1092" customFormat="false" ht="15" hidden="false" customHeight="false" outlineLevel="0" collapsed="false">
      <c r="A1092" s="0" t="n">
        <v>213</v>
      </c>
      <c r="B1092" s="68" t="n">
        <v>45358</v>
      </c>
      <c r="C1092" s="69" t="s">
        <v>96</v>
      </c>
      <c r="D1092" s="69"/>
      <c r="E1092" s="69" t="s">
        <v>110</v>
      </c>
      <c r="F1092" s="69" t="s">
        <v>166</v>
      </c>
      <c r="G1092" s="69" t="s">
        <v>171</v>
      </c>
      <c r="H1092" s="0" t="n">
        <v>36</v>
      </c>
      <c r="I1092" s="70" t="n">
        <v>117.6</v>
      </c>
      <c r="J1092" s="70" t="n">
        <v>63.6</v>
      </c>
      <c r="K1092" s="70" t="n">
        <f aca="false">IF(ISTEXT(H1092),VALUE(H1092),H1092)*I1092</f>
        <v>4233.6</v>
      </c>
    </row>
    <row r="1093" customFormat="false" ht="15" hidden="false" customHeight="false" outlineLevel="0" collapsed="false">
      <c r="A1093" s="0" t="n">
        <v>2286</v>
      </c>
      <c r="B1093" s="68" t="n">
        <v>45980</v>
      </c>
      <c r="C1093" s="69" t="s">
        <v>34</v>
      </c>
      <c r="D1093" s="69" t="s">
        <v>112</v>
      </c>
      <c r="E1093" s="69" t="s">
        <v>98</v>
      </c>
      <c r="F1093" s="69" t="s">
        <v>135</v>
      </c>
      <c r="G1093" s="69" t="s">
        <v>141</v>
      </c>
      <c r="H1093" s="0" t="n">
        <v>6</v>
      </c>
      <c r="I1093" s="70" t="n">
        <v>1656.52</v>
      </c>
      <c r="J1093" s="70" t="n">
        <v>1155.66</v>
      </c>
      <c r="K1093" s="70" t="n">
        <f aca="false">IF(ISTEXT(H1093),VALUE(H1093),H1093)*I1093</f>
        <v>9939.12</v>
      </c>
    </row>
    <row r="1094" customFormat="false" ht="15" hidden="false" customHeight="false" outlineLevel="0" collapsed="false">
      <c r="A1094" s="0" t="n">
        <v>1497</v>
      </c>
      <c r="B1094" s="68" t="n">
        <v>45720</v>
      </c>
      <c r="C1094" s="69" t="s">
        <v>161</v>
      </c>
      <c r="D1094" s="69" t="s">
        <v>112</v>
      </c>
      <c r="E1094" s="69" t="s">
        <v>138</v>
      </c>
      <c r="F1094" s="69" t="s">
        <v>183</v>
      </c>
      <c r="G1094" s="69" t="s">
        <v>130</v>
      </c>
      <c r="H1094" s="0" t="n">
        <v>18</v>
      </c>
      <c r="I1094" s="70" t="n">
        <v>129.17</v>
      </c>
      <c r="J1094" s="70" t="n">
        <v>78.33</v>
      </c>
      <c r="K1094" s="70" t="n">
        <f aca="false">IF(ISTEXT(H1094),VALUE(H1094),H1094)*I1094</f>
        <v>2325.06</v>
      </c>
    </row>
    <row r="1095" customFormat="false" ht="15" hidden="false" customHeight="false" outlineLevel="0" collapsed="false">
      <c r="A1095" s="0" t="n">
        <v>282</v>
      </c>
      <c r="B1095" s="69" t="s">
        <v>536</v>
      </c>
      <c r="C1095" s="69" t="s">
        <v>161</v>
      </c>
      <c r="D1095" s="69" t="s">
        <v>112</v>
      </c>
      <c r="E1095" s="69" t="s">
        <v>87</v>
      </c>
      <c r="F1095" s="69" t="s">
        <v>153</v>
      </c>
      <c r="G1095" s="69" t="s">
        <v>154</v>
      </c>
      <c r="H1095" s="0" t="n">
        <v>3</v>
      </c>
      <c r="I1095" s="70" t="n">
        <v>1176</v>
      </c>
      <c r="J1095" s="70" t="n">
        <v>744</v>
      </c>
      <c r="K1095" s="70" t="n">
        <f aca="false">IF(ISTEXT(H1095),VALUE(H1095),H1095)*I1095</f>
        <v>3528</v>
      </c>
    </row>
    <row r="1096" customFormat="false" ht="15" hidden="false" customHeight="false" outlineLevel="0" collapsed="false">
      <c r="A1096" s="0" t="n">
        <v>376</v>
      </c>
      <c r="B1096" s="69" t="s">
        <v>387</v>
      </c>
      <c r="C1096" s="69" t="s">
        <v>32</v>
      </c>
      <c r="D1096" s="69" t="s">
        <v>137</v>
      </c>
      <c r="E1096" s="69" t="s">
        <v>87</v>
      </c>
      <c r="F1096" s="69" t="s">
        <v>162</v>
      </c>
      <c r="G1096" s="69" t="s">
        <v>111</v>
      </c>
      <c r="H1096" s="0" t="n">
        <v>4</v>
      </c>
      <c r="I1096" s="70" t="n">
        <v>83.3</v>
      </c>
      <c r="J1096" s="70" t="n">
        <v>48.03</v>
      </c>
      <c r="K1096" s="70" t="n">
        <f aca="false">IF(ISTEXT(H1096),VALUE(H1096),H1096)*I1096</f>
        <v>333.2</v>
      </c>
    </row>
    <row r="1097" customFormat="false" ht="15" hidden="false" customHeight="false" outlineLevel="0" collapsed="false">
      <c r="A1097" s="0" t="n">
        <v>1654</v>
      </c>
      <c r="B1097" s="68" t="n">
        <v>45800</v>
      </c>
      <c r="C1097" s="69" t="s">
        <v>30</v>
      </c>
      <c r="D1097" s="69" t="s">
        <v>109</v>
      </c>
      <c r="E1097" s="69" t="s">
        <v>98</v>
      </c>
      <c r="F1097" s="69" t="s">
        <v>115</v>
      </c>
      <c r="G1097" s="69" t="s">
        <v>171</v>
      </c>
      <c r="H1097" s="0" t="n">
        <v>15</v>
      </c>
      <c r="I1097" s="70" t="n">
        <v>119.23</v>
      </c>
      <c r="J1097" s="70" t="n">
        <v>65.51</v>
      </c>
      <c r="K1097" s="70" t="n">
        <f aca="false">IF(ISTEXT(H1097),VALUE(H1097),H1097)*I1097</f>
        <v>1788.45</v>
      </c>
    </row>
    <row r="1098" customFormat="false" ht="15" hidden="false" customHeight="false" outlineLevel="0" collapsed="false">
      <c r="A1098" s="0" t="n">
        <v>746</v>
      </c>
      <c r="B1098" s="68" t="n">
        <v>45516</v>
      </c>
      <c r="C1098" s="69" t="s">
        <v>30</v>
      </c>
      <c r="D1098" s="69" t="s">
        <v>109</v>
      </c>
      <c r="E1098" s="69" t="s">
        <v>125</v>
      </c>
      <c r="F1098" s="69" t="s">
        <v>88</v>
      </c>
      <c r="G1098" s="69" t="s">
        <v>141</v>
      </c>
      <c r="H1098" s="0" t="n">
        <v>3</v>
      </c>
      <c r="I1098" s="70" t="n">
        <v>1617</v>
      </c>
      <c r="J1098" s="70" t="n">
        <v>1122</v>
      </c>
      <c r="K1098" s="70" t="n">
        <f aca="false">IF(ISTEXT(H1098),VALUE(H1098),H1098)*I1098</f>
        <v>4851</v>
      </c>
    </row>
    <row r="1099" customFormat="false" ht="15" hidden="false" customHeight="false" outlineLevel="0" collapsed="false">
      <c r="A1099" s="0" t="n">
        <v>1701</v>
      </c>
      <c r="B1099" s="69" t="s">
        <v>537</v>
      </c>
      <c r="C1099" s="69" t="s">
        <v>150</v>
      </c>
      <c r="D1099" s="69" t="s">
        <v>97</v>
      </c>
      <c r="E1099" s="69" t="s">
        <v>110</v>
      </c>
      <c r="F1099" s="69" t="s">
        <v>135</v>
      </c>
      <c r="G1099" s="69" t="s">
        <v>151</v>
      </c>
      <c r="H1099" s="0" t="n">
        <v>23</v>
      </c>
      <c r="I1099" s="70" t="n">
        <v>1155.06</v>
      </c>
      <c r="J1099" s="70" t="n">
        <v>766.32</v>
      </c>
      <c r="K1099" s="70" t="n">
        <f aca="false">IF(ISTEXT(H1099),VALUE(H1099),H1099)*I1099</f>
        <v>26566.38</v>
      </c>
    </row>
    <row r="1100" customFormat="false" ht="15" hidden="false" customHeight="false" outlineLevel="0" collapsed="false">
      <c r="A1100" s="0" t="n">
        <v>2288</v>
      </c>
      <c r="B1100" s="68" t="n">
        <v>45967</v>
      </c>
      <c r="C1100" s="69" t="s">
        <v>142</v>
      </c>
      <c r="D1100" s="69" t="s">
        <v>112</v>
      </c>
      <c r="E1100" s="69" t="s">
        <v>119</v>
      </c>
      <c r="F1100" s="69" t="s">
        <v>102</v>
      </c>
      <c r="G1100" s="69" t="s">
        <v>47</v>
      </c>
      <c r="H1100" s="0" t="n">
        <v>26</v>
      </c>
      <c r="I1100" s="70" t="n">
        <v>28.11</v>
      </c>
      <c r="J1100" s="70" t="n">
        <v>13.84</v>
      </c>
      <c r="K1100" s="70" t="n">
        <f aca="false">IF(ISTEXT(H1100),VALUE(H1100),H1100)*I1100</f>
        <v>730.86</v>
      </c>
    </row>
    <row r="1101" customFormat="false" ht="15" hidden="false" customHeight="false" outlineLevel="0" collapsed="false">
      <c r="A1101" s="0" t="n">
        <v>969</v>
      </c>
      <c r="B1101" s="69" t="s">
        <v>538</v>
      </c>
      <c r="C1101" s="69" t="s">
        <v>32</v>
      </c>
      <c r="D1101" s="69" t="s">
        <v>137</v>
      </c>
      <c r="E1101" s="69" t="s">
        <v>110</v>
      </c>
      <c r="F1101" s="69" t="s">
        <v>143</v>
      </c>
      <c r="G1101" s="69" t="s">
        <v>235</v>
      </c>
      <c r="H1101" s="0" t="n">
        <v>34</v>
      </c>
      <c r="I1101" s="70" t="n">
        <v>93.1</v>
      </c>
      <c r="J1101" s="70" t="n">
        <v>47.98</v>
      </c>
      <c r="K1101" s="70" t="n">
        <f aca="false">IF(ISTEXT(H1101),VALUE(H1101),H1101)*I1101</f>
        <v>3165.4</v>
      </c>
    </row>
    <row r="1102" customFormat="false" ht="15" hidden="false" customHeight="false" outlineLevel="0" collapsed="false">
      <c r="A1102" s="0" t="n">
        <v>1393</v>
      </c>
      <c r="B1102" s="68" t="n">
        <v>45693</v>
      </c>
      <c r="C1102" s="69" t="s">
        <v>133</v>
      </c>
      <c r="D1102" s="69" t="s">
        <v>112</v>
      </c>
      <c r="E1102" s="69" t="s">
        <v>134</v>
      </c>
      <c r="F1102" s="69" t="s">
        <v>162</v>
      </c>
      <c r="G1102" s="69" t="s">
        <v>50</v>
      </c>
      <c r="H1102" s="0" t="n">
        <v>11</v>
      </c>
      <c r="I1102" s="70" t="n">
        <v>119.23</v>
      </c>
      <c r="J1102" s="70" t="n">
        <v>65.51</v>
      </c>
      <c r="K1102" s="70" t="n">
        <f aca="false">IF(ISTEXT(H1102),VALUE(H1102),H1102)*I1102</f>
        <v>1311.53</v>
      </c>
    </row>
    <row r="1103" customFormat="false" ht="15" hidden="false" customHeight="false" outlineLevel="0" collapsed="false">
      <c r="A1103" s="0" t="n">
        <v>1685</v>
      </c>
      <c r="B1103" s="68" t="n">
        <v>45801</v>
      </c>
      <c r="C1103" s="69" t="s">
        <v>133</v>
      </c>
      <c r="D1103" s="69" t="s">
        <v>112</v>
      </c>
      <c r="E1103" s="69" t="s">
        <v>121</v>
      </c>
      <c r="F1103" s="69" t="s">
        <v>88</v>
      </c>
      <c r="G1103" s="69" t="s">
        <v>157</v>
      </c>
      <c r="H1103" s="0" t="n">
        <v>6</v>
      </c>
      <c r="I1103" s="70" t="n">
        <v>1588.21</v>
      </c>
      <c r="J1103" s="70" t="n">
        <v>1155.66</v>
      </c>
      <c r="K1103" s="70" t="n">
        <f aca="false">IF(ISTEXT(H1103),VALUE(H1103),H1103)*I1103</f>
        <v>9529.26</v>
      </c>
    </row>
    <row r="1104" customFormat="false" ht="15" hidden="false" customHeight="false" outlineLevel="0" collapsed="false">
      <c r="A1104" s="0" t="n">
        <v>1063</v>
      </c>
      <c r="B1104" s="69" t="s">
        <v>539</v>
      </c>
      <c r="C1104" s="69" t="s">
        <v>32</v>
      </c>
      <c r="D1104" s="69" t="s">
        <v>137</v>
      </c>
      <c r="E1104" s="69" t="s">
        <v>121</v>
      </c>
      <c r="F1104" s="69" t="s">
        <v>135</v>
      </c>
      <c r="G1104" s="69" t="s">
        <v>89</v>
      </c>
      <c r="H1104" s="0" t="n">
        <v>8</v>
      </c>
      <c r="I1104" s="70" t="n">
        <v>441</v>
      </c>
      <c r="J1104" s="70" t="n">
        <v>272.25</v>
      </c>
      <c r="K1104" s="70" t="n">
        <f aca="false">IF(ISTEXT(H1104),VALUE(H1104),H1104)*I1104</f>
        <v>3528</v>
      </c>
    </row>
    <row r="1105" customFormat="false" ht="15" hidden="false" customHeight="false" outlineLevel="0" collapsed="false">
      <c r="A1105" s="0" t="n">
        <v>147</v>
      </c>
      <c r="B1105" s="68" t="n">
        <v>45326</v>
      </c>
      <c r="C1105" s="69" t="s">
        <v>152</v>
      </c>
      <c r="D1105" s="69" t="s">
        <v>109</v>
      </c>
      <c r="E1105" s="69" t="s">
        <v>110</v>
      </c>
      <c r="F1105" s="69" t="s">
        <v>102</v>
      </c>
      <c r="G1105" s="69" t="s">
        <v>113</v>
      </c>
      <c r="H1105" s="0" t="n">
        <v>30</v>
      </c>
      <c r="I1105" s="70" t="n">
        <v>27.44</v>
      </c>
      <c r="J1105" s="70" t="n">
        <v>13.44</v>
      </c>
      <c r="K1105" s="70" t="n">
        <f aca="false">IF(ISTEXT(H1105),VALUE(H1105),H1105)*I1105</f>
        <v>823.2</v>
      </c>
    </row>
    <row r="1106" customFormat="false" ht="15" hidden="false" customHeight="false" outlineLevel="0" collapsed="false">
      <c r="A1106" s="0" t="n">
        <v>905</v>
      </c>
      <c r="B1106" s="69" t="s">
        <v>250</v>
      </c>
      <c r="C1106" s="69" t="s">
        <v>150</v>
      </c>
      <c r="D1106" s="69" t="s">
        <v>97</v>
      </c>
      <c r="E1106" s="69" t="s">
        <v>134</v>
      </c>
      <c r="F1106" s="69" t="s">
        <v>88</v>
      </c>
      <c r="G1106" s="69" t="s">
        <v>141</v>
      </c>
      <c r="H1106" s="0" t="n">
        <v>21</v>
      </c>
      <c r="I1106" s="70" t="n">
        <v>1617</v>
      </c>
      <c r="J1106" s="70" t="n">
        <v>1122</v>
      </c>
      <c r="K1106" s="70" t="n">
        <f aca="false">IF(ISTEXT(H1106),VALUE(H1106),H1106)*I1106</f>
        <v>33957</v>
      </c>
    </row>
    <row r="1107" customFormat="false" ht="15" hidden="false" customHeight="false" outlineLevel="0" collapsed="false">
      <c r="A1107" s="0" t="n">
        <v>119</v>
      </c>
      <c r="B1107" s="69" t="s">
        <v>540</v>
      </c>
      <c r="C1107" s="69" t="s">
        <v>170</v>
      </c>
      <c r="D1107" s="69" t="s">
        <v>97</v>
      </c>
      <c r="E1107" s="69" t="s">
        <v>92</v>
      </c>
      <c r="F1107" s="69" t="s">
        <v>182</v>
      </c>
      <c r="G1107" s="69" t="s">
        <v>217</v>
      </c>
      <c r="H1107" s="0" t="n">
        <v>52</v>
      </c>
      <c r="I1107" s="70" t="n">
        <v>34.3</v>
      </c>
      <c r="J1107" s="70" t="n">
        <v>17.85</v>
      </c>
      <c r="K1107" s="70" t="n">
        <f aca="false">IF(ISTEXT(H1107),VALUE(H1107),H1107)*I1107</f>
        <v>1783.6</v>
      </c>
    </row>
    <row r="1108" customFormat="false" ht="15" hidden="false" customHeight="false" outlineLevel="0" collapsed="false">
      <c r="A1108" s="0" t="n">
        <v>1190</v>
      </c>
      <c r="B1108" s="69" t="s">
        <v>454</v>
      </c>
      <c r="C1108" s="69" t="s">
        <v>142</v>
      </c>
      <c r="D1108" s="69" t="s">
        <v>112</v>
      </c>
      <c r="E1108" s="69" t="s">
        <v>125</v>
      </c>
      <c r="F1108" s="69" t="s">
        <v>28</v>
      </c>
      <c r="G1108" s="69" t="s">
        <v>48</v>
      </c>
      <c r="H1108" s="0" t="s">
        <v>175</v>
      </c>
      <c r="I1108" s="70" t="n">
        <v>93.1</v>
      </c>
      <c r="J1108" s="70" t="n">
        <v>47.98</v>
      </c>
      <c r="K1108" s="70" t="n">
        <f aca="false">IF(ISTEXT(H1108),VALUE(H1108),H1108)*I1108</f>
        <v>1396.5</v>
      </c>
    </row>
    <row r="1109" customFormat="false" ht="15" hidden="false" customHeight="false" outlineLevel="0" collapsed="false">
      <c r="A1109" s="0" t="n">
        <v>2276</v>
      </c>
      <c r="B1109" s="68" t="n">
        <v>45964</v>
      </c>
      <c r="C1109" s="69" t="s">
        <v>193</v>
      </c>
      <c r="D1109" s="69" t="s">
        <v>137</v>
      </c>
      <c r="E1109" s="69" t="s">
        <v>180</v>
      </c>
      <c r="F1109" s="69" t="s">
        <v>162</v>
      </c>
      <c r="G1109" s="69" t="s">
        <v>111</v>
      </c>
      <c r="H1109" s="0" t="n">
        <v>11</v>
      </c>
      <c r="I1109" s="70" t="n">
        <v>85.34</v>
      </c>
      <c r="J1109" s="70" t="n">
        <v>49.47</v>
      </c>
      <c r="K1109" s="70" t="n">
        <f aca="false">IF(ISTEXT(H1109),VALUE(H1109),H1109)*I1109</f>
        <v>938.74</v>
      </c>
    </row>
    <row r="1110" customFormat="false" ht="15" hidden="false" customHeight="false" outlineLevel="0" collapsed="false">
      <c r="A1110" s="0" t="n">
        <v>1690</v>
      </c>
      <c r="B1110" s="69" t="s">
        <v>266</v>
      </c>
      <c r="C1110" s="69" t="s">
        <v>133</v>
      </c>
      <c r="D1110" s="69" t="s">
        <v>112</v>
      </c>
      <c r="E1110" s="69" t="s">
        <v>87</v>
      </c>
      <c r="F1110" s="69" t="s">
        <v>28</v>
      </c>
      <c r="G1110" s="69" t="s">
        <v>172</v>
      </c>
      <c r="H1110" s="0" t="n">
        <v>19</v>
      </c>
      <c r="I1110" s="70" t="n">
        <v>94.39</v>
      </c>
      <c r="J1110" s="70" t="n">
        <v>49.41</v>
      </c>
      <c r="K1110" s="70" t="n">
        <f aca="false">IF(ISTEXT(H1110),VALUE(H1110),H1110)*I1110</f>
        <v>1793.41</v>
      </c>
    </row>
    <row r="1111" customFormat="false" ht="15" hidden="false" customHeight="false" outlineLevel="0" collapsed="false">
      <c r="A1111" s="0" t="n">
        <v>1033</v>
      </c>
      <c r="B1111" s="69" t="s">
        <v>466</v>
      </c>
      <c r="C1111" s="69" t="s">
        <v>27</v>
      </c>
      <c r="D1111" s="69" t="s">
        <v>86</v>
      </c>
      <c r="E1111" s="69" t="s">
        <v>101</v>
      </c>
      <c r="F1111" s="69" t="s">
        <v>166</v>
      </c>
      <c r="G1111" s="69" t="s">
        <v>171</v>
      </c>
      <c r="H1111" s="0" t="n">
        <v>32</v>
      </c>
      <c r="I1111" s="70" t="n">
        <v>117.6</v>
      </c>
      <c r="J1111" s="70" t="n">
        <v>63.6</v>
      </c>
      <c r="K1111" s="70" t="n">
        <f aca="false">IF(ISTEXT(H1111),VALUE(H1111),H1111)*I1111</f>
        <v>3763.2</v>
      </c>
    </row>
    <row r="1112" customFormat="false" ht="15" hidden="false" customHeight="false" outlineLevel="0" collapsed="false">
      <c r="A1112" s="0" t="n">
        <v>1247</v>
      </c>
      <c r="B1112" s="68" t="n">
        <v>45666</v>
      </c>
      <c r="C1112" s="69" t="s">
        <v>30</v>
      </c>
      <c r="D1112" s="69" t="s">
        <v>109</v>
      </c>
      <c r="E1112" s="69" t="s">
        <v>92</v>
      </c>
      <c r="F1112" s="69" t="s">
        <v>99</v>
      </c>
      <c r="G1112" s="69" t="s">
        <v>113</v>
      </c>
      <c r="H1112" s="0" t="n">
        <v>30</v>
      </c>
      <c r="I1112" s="70" t="n">
        <v>27.82</v>
      </c>
      <c r="J1112" s="70" t="n">
        <v>13.84</v>
      </c>
      <c r="K1112" s="70" t="n">
        <f aca="false">IF(ISTEXT(H1112),VALUE(H1112),H1112)*I1112</f>
        <v>834.6</v>
      </c>
    </row>
    <row r="1113" customFormat="false" ht="15" hidden="false" customHeight="false" outlineLevel="0" collapsed="false">
      <c r="A1113" s="0" t="n">
        <v>743</v>
      </c>
      <c r="B1113" s="68" t="n">
        <v>45522</v>
      </c>
      <c r="C1113" s="69" t="s">
        <v>152</v>
      </c>
      <c r="D1113" s="69" t="s">
        <v>109</v>
      </c>
      <c r="E1113" s="69" t="s">
        <v>134</v>
      </c>
      <c r="F1113" s="69" t="s">
        <v>88</v>
      </c>
      <c r="G1113" s="69" t="s">
        <v>43</v>
      </c>
      <c r="H1113" s="0" t="n">
        <v>8</v>
      </c>
      <c r="I1113" s="70" t="n">
        <v>441</v>
      </c>
      <c r="J1113" s="70" t="n">
        <v>272.25</v>
      </c>
      <c r="K1113" s="70" t="n">
        <f aca="false">IF(ISTEXT(H1113),VALUE(H1113),H1113)*I1113</f>
        <v>3528</v>
      </c>
    </row>
    <row r="1114" customFormat="false" ht="15" hidden="false" customHeight="false" outlineLevel="0" collapsed="false">
      <c r="A1114" s="0" t="n">
        <v>1988</v>
      </c>
      <c r="B1114" s="68" t="n">
        <v>45881</v>
      </c>
      <c r="C1114" s="69" t="s">
        <v>34</v>
      </c>
      <c r="D1114" s="69" t="s">
        <v>112</v>
      </c>
      <c r="E1114" s="69" t="s">
        <v>125</v>
      </c>
      <c r="F1114" s="69" t="s">
        <v>143</v>
      </c>
      <c r="G1114" s="69" t="s">
        <v>113</v>
      </c>
      <c r="H1114" s="0" t="n">
        <v>22</v>
      </c>
      <c r="I1114" s="70" t="n">
        <v>28.11</v>
      </c>
      <c r="J1114" s="70" t="n">
        <v>13.84</v>
      </c>
      <c r="K1114" s="70" t="n">
        <f aca="false">IF(ISTEXT(H1114),VALUE(H1114),H1114)*I1114</f>
        <v>618.42</v>
      </c>
    </row>
    <row r="1115" customFormat="false" ht="15" hidden="false" customHeight="false" outlineLevel="0" collapsed="false">
      <c r="A1115" s="0" t="n">
        <v>1532</v>
      </c>
      <c r="B1115" s="69" t="s">
        <v>465</v>
      </c>
      <c r="C1115" s="69" t="s">
        <v>120</v>
      </c>
      <c r="D1115" s="69" t="s">
        <v>86</v>
      </c>
      <c r="E1115" s="69" t="s">
        <v>119</v>
      </c>
      <c r="F1115" s="69" t="s">
        <v>28</v>
      </c>
      <c r="G1115" s="69" t="s">
        <v>49</v>
      </c>
      <c r="H1115" s="0" t="n">
        <v>31</v>
      </c>
      <c r="I1115" s="70" t="n">
        <v>64.58</v>
      </c>
      <c r="J1115" s="70" t="n">
        <v>36.49</v>
      </c>
      <c r="K1115" s="70" t="n">
        <f aca="false">IF(ISTEXT(H1115),VALUE(H1115),H1115)*I1115</f>
        <v>2001.98</v>
      </c>
    </row>
    <row r="1116" customFormat="false" ht="15" hidden="false" customHeight="false" outlineLevel="0" collapsed="false">
      <c r="A1116" s="0" t="n">
        <v>1518</v>
      </c>
      <c r="B1116" s="68" t="n">
        <v>45763</v>
      </c>
      <c r="C1116" s="69" t="s">
        <v>170</v>
      </c>
      <c r="D1116" s="69" t="s">
        <v>97</v>
      </c>
      <c r="E1116" s="69" t="s">
        <v>107</v>
      </c>
      <c r="F1116" s="69" t="s">
        <v>93</v>
      </c>
      <c r="G1116" s="69" t="s">
        <v>52</v>
      </c>
      <c r="H1116" s="0" t="n">
        <v>38</v>
      </c>
      <c r="I1116" s="70" t="n">
        <v>129.17</v>
      </c>
      <c r="J1116" s="70" t="n">
        <v>78.33</v>
      </c>
      <c r="K1116" s="70" t="n">
        <f aca="false">IF(ISTEXT(H1116),VALUE(H1116),H1116)*I1116</f>
        <v>4908.46</v>
      </c>
    </row>
    <row r="1117" customFormat="false" ht="15" hidden="false" customHeight="false" outlineLevel="0" collapsed="false">
      <c r="A1117" s="0" t="n">
        <v>2162</v>
      </c>
      <c r="B1117" s="69" t="s">
        <v>541</v>
      </c>
      <c r="C1117" s="69" t="s">
        <v>32</v>
      </c>
      <c r="D1117" s="69" t="s">
        <v>137</v>
      </c>
      <c r="E1117" s="69" t="s">
        <v>98</v>
      </c>
      <c r="F1117" s="69" t="s">
        <v>147</v>
      </c>
      <c r="G1117" s="69" t="s">
        <v>154</v>
      </c>
      <c r="H1117" s="0" t="n">
        <v>4</v>
      </c>
      <c r="I1117" s="70" t="n">
        <v>1204.74</v>
      </c>
      <c r="J1117" s="70" t="n">
        <v>766.32</v>
      </c>
      <c r="K1117" s="70" t="n">
        <f aca="false">IF(ISTEXT(H1117),VALUE(H1117),H1117)*I1117</f>
        <v>4818.96</v>
      </c>
    </row>
    <row r="1118" customFormat="false" ht="15" hidden="false" customHeight="false" outlineLevel="0" collapsed="false">
      <c r="A1118" s="0" t="n">
        <v>524</v>
      </c>
      <c r="B1118" s="69" t="s">
        <v>542</v>
      </c>
      <c r="C1118" s="69" t="s">
        <v>27</v>
      </c>
      <c r="D1118" s="69" t="s">
        <v>86</v>
      </c>
      <c r="E1118" s="69" t="s">
        <v>107</v>
      </c>
      <c r="F1118" s="69" t="s">
        <v>153</v>
      </c>
      <c r="G1118" s="69" t="s">
        <v>43</v>
      </c>
      <c r="H1118" s="0" t="n">
        <v>5</v>
      </c>
      <c r="I1118" s="70" t="n">
        <v>441</v>
      </c>
      <c r="J1118" s="70" t="n">
        <v>272.25</v>
      </c>
      <c r="K1118" s="70" t="n">
        <f aca="false">IF(ISTEXT(H1118),VALUE(H1118),H1118)*I1118</f>
        <v>2205</v>
      </c>
    </row>
    <row r="1119" customFormat="false" ht="15" hidden="false" customHeight="false" outlineLevel="0" collapsed="false">
      <c r="A1119" s="0" t="n">
        <v>2361</v>
      </c>
      <c r="B1119" s="68" t="n">
        <v>45995</v>
      </c>
      <c r="C1119" s="69" t="s">
        <v>184</v>
      </c>
      <c r="D1119" s="69" t="s">
        <v>137</v>
      </c>
      <c r="E1119" s="69" t="s">
        <v>92</v>
      </c>
      <c r="F1119" s="69" t="s">
        <v>88</v>
      </c>
      <c r="G1119" s="69" t="s">
        <v>154</v>
      </c>
      <c r="H1119" s="0" t="n">
        <v>9</v>
      </c>
      <c r="I1119" s="70" t="n">
        <v>1204.74</v>
      </c>
      <c r="J1119" s="70" t="n">
        <v>766.32</v>
      </c>
      <c r="K1119" s="70" t="n">
        <f aca="false">IF(ISTEXT(H1119),VALUE(H1119),H1119)*I1119</f>
        <v>10842.66</v>
      </c>
    </row>
    <row r="1120" customFormat="false" ht="15" hidden="false" customHeight="false" outlineLevel="0" collapsed="false">
      <c r="A1120" s="0" t="n">
        <v>1565</v>
      </c>
      <c r="B1120" s="69" t="s">
        <v>265</v>
      </c>
      <c r="C1120" s="69" t="s">
        <v>136</v>
      </c>
      <c r="D1120" s="69" t="s">
        <v>137</v>
      </c>
      <c r="E1120" s="69" t="s">
        <v>134</v>
      </c>
      <c r="F1120" s="69" t="s">
        <v>153</v>
      </c>
      <c r="G1120" s="69" t="s">
        <v>157</v>
      </c>
      <c r="H1120" s="0" t="n">
        <v>5</v>
      </c>
      <c r="I1120" s="70" t="n">
        <v>1588.21</v>
      </c>
      <c r="J1120" s="70" t="n">
        <v>1155.66</v>
      </c>
      <c r="K1120" s="70" t="n">
        <f aca="false">IF(ISTEXT(H1120),VALUE(H1120),H1120)*I1120</f>
        <v>7941.05</v>
      </c>
    </row>
    <row r="1121" customFormat="false" ht="15" hidden="false" customHeight="false" outlineLevel="0" collapsed="false">
      <c r="A1121" s="0" t="n">
        <v>1369</v>
      </c>
      <c r="B1121" s="68" t="n">
        <v>45714</v>
      </c>
      <c r="C1121" s="69" t="s">
        <v>32</v>
      </c>
      <c r="D1121" s="69" t="s">
        <v>137</v>
      </c>
      <c r="E1121" s="69" t="s">
        <v>134</v>
      </c>
      <c r="F1121" s="69" t="s">
        <v>28</v>
      </c>
      <c r="G1121" s="69" t="s">
        <v>48</v>
      </c>
      <c r="H1121" s="0" t="n">
        <v>24</v>
      </c>
      <c r="I1121" s="70" t="n">
        <v>94.39</v>
      </c>
      <c r="J1121" s="70" t="n">
        <v>49.41</v>
      </c>
      <c r="K1121" s="70" t="n">
        <f aca="false">IF(ISTEXT(H1121),VALUE(H1121),H1121)*I1121</f>
        <v>2265.36</v>
      </c>
    </row>
    <row r="1122" customFormat="false" ht="15" hidden="false" customHeight="false" outlineLevel="0" collapsed="false">
      <c r="A1122" s="0" t="n">
        <v>57</v>
      </c>
      <c r="B1122" s="68" t="n">
        <v>45313</v>
      </c>
      <c r="C1122" s="69" t="s">
        <v>30</v>
      </c>
      <c r="D1122" s="69" t="s">
        <v>109</v>
      </c>
      <c r="E1122" s="69" t="s">
        <v>92</v>
      </c>
      <c r="F1122" s="69" t="s">
        <v>182</v>
      </c>
      <c r="G1122" s="69" t="s">
        <v>130</v>
      </c>
      <c r="H1122" s="0" t="n">
        <v>23</v>
      </c>
      <c r="I1122" s="70" t="n">
        <v>127.4</v>
      </c>
      <c r="J1122" s="70" t="n">
        <v>76.05</v>
      </c>
      <c r="K1122" s="70" t="n">
        <f aca="false">IF(ISTEXT(H1122),VALUE(H1122),H1122)*I1122</f>
        <v>2930.2</v>
      </c>
    </row>
    <row r="1123" customFormat="false" ht="15" hidden="false" customHeight="false" outlineLevel="0" collapsed="false">
      <c r="A1123" s="0" t="n">
        <v>346</v>
      </c>
      <c r="B1123" s="68" t="n">
        <v>45402</v>
      </c>
      <c r="C1123" s="69" t="s">
        <v>30</v>
      </c>
      <c r="D1123" s="69" t="s">
        <v>109</v>
      </c>
      <c r="E1123" s="69" t="s">
        <v>119</v>
      </c>
      <c r="F1123" s="69" t="s">
        <v>147</v>
      </c>
      <c r="G1123" s="69" t="s">
        <v>45</v>
      </c>
      <c r="H1123" s="0" t="n">
        <v>3</v>
      </c>
      <c r="I1123" s="70" t="n">
        <v>1617</v>
      </c>
      <c r="J1123" s="70" t="n">
        <v>1122</v>
      </c>
      <c r="K1123" s="70" t="n">
        <f aca="false">IF(ISTEXT(H1123),VALUE(H1123),H1123)*I1123</f>
        <v>4851</v>
      </c>
    </row>
    <row r="1124" customFormat="false" ht="15" hidden="false" customHeight="false" outlineLevel="0" collapsed="false">
      <c r="A1124" s="0" t="n">
        <v>818</v>
      </c>
      <c r="B1124" s="68" t="n">
        <v>45538</v>
      </c>
      <c r="C1124" s="69" t="s">
        <v>25</v>
      </c>
      <c r="D1124" s="69" t="s">
        <v>97</v>
      </c>
      <c r="E1124" s="69" t="s">
        <v>87</v>
      </c>
      <c r="F1124" s="69" t="s">
        <v>33</v>
      </c>
      <c r="G1124" s="69" t="s">
        <v>127</v>
      </c>
      <c r="H1124" s="0" t="n">
        <v>21</v>
      </c>
      <c r="I1124" s="70" t="n">
        <v>127.4</v>
      </c>
      <c r="J1124" s="70" t="n">
        <v>76.05</v>
      </c>
      <c r="K1124" s="70" t="n">
        <f aca="false">IF(ISTEXT(H1124),VALUE(H1124),H1124)*I1124</f>
        <v>2675.4</v>
      </c>
    </row>
    <row r="1125" customFormat="false" ht="15" hidden="false" customHeight="false" outlineLevel="0" collapsed="false">
      <c r="A1125" s="0" t="n">
        <v>1703</v>
      </c>
      <c r="B1125" s="69" t="s">
        <v>129</v>
      </c>
      <c r="C1125" s="69" t="s">
        <v>150</v>
      </c>
      <c r="D1125" s="69" t="s">
        <v>97</v>
      </c>
      <c r="E1125" s="69" t="s">
        <v>92</v>
      </c>
      <c r="F1125" s="69" t="s">
        <v>88</v>
      </c>
      <c r="G1125" s="69" t="s">
        <v>177</v>
      </c>
      <c r="H1125" s="0" t="n">
        <v>19</v>
      </c>
      <c r="I1125" s="70" t="n">
        <v>433.15</v>
      </c>
      <c r="J1125" s="70" t="n">
        <v>280.42</v>
      </c>
      <c r="K1125" s="70" t="n">
        <f aca="false">IF(ISTEXT(H1125),VALUE(H1125),H1125)*I1125</f>
        <v>8229.85</v>
      </c>
    </row>
    <row r="1126" customFormat="false" ht="15" hidden="false" customHeight="false" outlineLevel="0" collapsed="false">
      <c r="A1126" s="0" t="n">
        <v>1918</v>
      </c>
      <c r="B1126" s="68" t="n">
        <v>45877</v>
      </c>
      <c r="C1126" s="69" t="s">
        <v>124</v>
      </c>
      <c r="D1126" s="69" t="s">
        <v>97</v>
      </c>
      <c r="E1126" s="69" t="s">
        <v>119</v>
      </c>
      <c r="F1126" s="69" t="s">
        <v>182</v>
      </c>
      <c r="G1126" s="69" t="s">
        <v>127</v>
      </c>
      <c r="H1126" s="0" t="n">
        <v>34</v>
      </c>
      <c r="I1126" s="70" t="n">
        <v>130.51</v>
      </c>
      <c r="J1126" s="70" t="n">
        <v>78.33</v>
      </c>
      <c r="K1126" s="70" t="n">
        <f aca="false">IF(ISTEXT(H1126),VALUE(H1126),H1126)*I1126</f>
        <v>4437.34</v>
      </c>
    </row>
    <row r="1127" customFormat="false" ht="15" hidden="false" customHeight="false" outlineLevel="0" collapsed="false">
      <c r="A1127" s="0" t="n">
        <v>551</v>
      </c>
      <c r="B1127" s="69" t="s">
        <v>543</v>
      </c>
      <c r="C1127" s="69" t="s">
        <v>30</v>
      </c>
      <c r="D1127" s="69" t="s">
        <v>109</v>
      </c>
      <c r="E1127" s="69" t="s">
        <v>121</v>
      </c>
      <c r="F1127" s="69" t="s">
        <v>143</v>
      </c>
      <c r="G1127" s="69" t="s">
        <v>144</v>
      </c>
      <c r="H1127" s="0" t="n">
        <v>41</v>
      </c>
      <c r="I1127" s="70" t="n">
        <v>63.7</v>
      </c>
      <c r="J1127" s="70" t="n">
        <v>35.43</v>
      </c>
      <c r="K1127" s="70" t="n">
        <f aca="false">IF(ISTEXT(H1127),VALUE(H1127),H1127)*I1127</f>
        <v>2611.7</v>
      </c>
    </row>
    <row r="1128" customFormat="false" ht="15" hidden="false" customHeight="false" outlineLevel="0" collapsed="false">
      <c r="A1128" s="0" t="n">
        <v>443</v>
      </c>
      <c r="B1128" s="69" t="s">
        <v>544</v>
      </c>
      <c r="C1128" s="69" t="s">
        <v>30</v>
      </c>
      <c r="D1128" s="69" t="s">
        <v>109</v>
      </c>
      <c r="E1128" s="69" t="s">
        <v>134</v>
      </c>
      <c r="F1128" s="69" t="s">
        <v>26</v>
      </c>
      <c r="G1128" s="69" t="s">
        <v>177</v>
      </c>
      <c r="H1128" s="0" t="n">
        <v>9</v>
      </c>
      <c r="I1128" s="70" t="n">
        <v>441</v>
      </c>
      <c r="J1128" s="70" t="n">
        <v>272.25</v>
      </c>
      <c r="K1128" s="70" t="n">
        <f aca="false">IF(ISTEXT(H1128),VALUE(H1128),H1128)*I1128</f>
        <v>3969</v>
      </c>
    </row>
    <row r="1129" customFormat="false" ht="15" hidden="false" customHeight="false" outlineLevel="0" collapsed="false">
      <c r="A1129" s="0" t="n">
        <v>574</v>
      </c>
      <c r="B1129" s="68" t="n">
        <v>45466</v>
      </c>
      <c r="C1129" s="69" t="s">
        <v>32</v>
      </c>
      <c r="D1129" s="69" t="s">
        <v>137</v>
      </c>
      <c r="E1129" s="69" t="s">
        <v>180</v>
      </c>
      <c r="F1129" s="69" t="s">
        <v>31</v>
      </c>
      <c r="G1129" s="69" t="s">
        <v>171</v>
      </c>
      <c r="H1129" s="0" t="n">
        <v>6</v>
      </c>
      <c r="I1129" s="70" t="n">
        <v>117.6</v>
      </c>
      <c r="J1129" s="70" t="n">
        <v>63.6</v>
      </c>
      <c r="K1129" s="70" t="n">
        <f aca="false">IF(ISTEXT(H1129),VALUE(H1129),H1129)*I1129</f>
        <v>705.6</v>
      </c>
    </row>
    <row r="1130" customFormat="false" ht="15" hidden="false" customHeight="false" outlineLevel="0" collapsed="false">
      <c r="A1130" s="0" t="n">
        <v>545</v>
      </c>
      <c r="B1130" s="69" t="s">
        <v>545</v>
      </c>
      <c r="C1130" s="69" t="s">
        <v>108</v>
      </c>
      <c r="D1130" s="69" t="s">
        <v>109</v>
      </c>
      <c r="E1130" s="69" t="s">
        <v>101</v>
      </c>
      <c r="F1130" s="69" t="s">
        <v>135</v>
      </c>
      <c r="G1130" s="69" t="s">
        <v>141</v>
      </c>
      <c r="H1130" s="0" t="n">
        <v>10</v>
      </c>
      <c r="I1130" s="70" t="n">
        <v>1617</v>
      </c>
      <c r="J1130" s="70" t="n">
        <v>1122</v>
      </c>
      <c r="K1130" s="70" t="n">
        <f aca="false">IF(ISTEXT(H1130),VALUE(H1130),H1130)*I1130</f>
        <v>16170</v>
      </c>
    </row>
    <row r="1131" customFormat="false" ht="15" hidden="false" customHeight="false" outlineLevel="0" collapsed="false">
      <c r="A1131" s="0" t="n">
        <v>1265</v>
      </c>
      <c r="B1131" s="68" t="n">
        <v>45684</v>
      </c>
      <c r="C1131" s="69" t="s">
        <v>184</v>
      </c>
      <c r="D1131" s="69" t="s">
        <v>137</v>
      </c>
      <c r="E1131" s="69" t="s">
        <v>134</v>
      </c>
      <c r="F1131" s="69" t="s">
        <v>135</v>
      </c>
      <c r="G1131" s="69" t="s">
        <v>45</v>
      </c>
      <c r="H1131" s="0" t="n">
        <v>5</v>
      </c>
      <c r="I1131" s="70" t="n">
        <v>1588.21</v>
      </c>
      <c r="J1131" s="70" t="n">
        <v>1155.66</v>
      </c>
      <c r="K1131" s="70" t="n">
        <f aca="false">IF(ISTEXT(H1131),VALUE(H1131),H1131)*I1131</f>
        <v>7941.05</v>
      </c>
    </row>
    <row r="1132" customFormat="false" ht="15" hidden="false" customHeight="false" outlineLevel="0" collapsed="false">
      <c r="A1132" s="0" t="n">
        <v>1831</v>
      </c>
      <c r="B1132" s="69" t="s">
        <v>546</v>
      </c>
      <c r="C1132" s="69" t="s">
        <v>27</v>
      </c>
      <c r="D1132" s="69" t="s">
        <v>86</v>
      </c>
      <c r="E1132" s="69" t="s">
        <v>110</v>
      </c>
      <c r="F1132" s="69" t="s">
        <v>99</v>
      </c>
      <c r="G1132" s="69" t="s">
        <v>208</v>
      </c>
      <c r="H1132" s="0" t="n">
        <v>50</v>
      </c>
      <c r="I1132" s="70" t="n">
        <v>65.26</v>
      </c>
      <c r="J1132" s="70" t="n">
        <v>36.49</v>
      </c>
      <c r="K1132" s="70" t="n">
        <f aca="false">IF(ISTEXT(H1132),VALUE(H1132),H1132)*I1132</f>
        <v>3263</v>
      </c>
    </row>
    <row r="1133" customFormat="false" ht="15" hidden="false" customHeight="false" outlineLevel="0" collapsed="false">
      <c r="A1133" s="0" t="n">
        <v>2233</v>
      </c>
      <c r="B1133" s="68" t="n">
        <v>45987</v>
      </c>
      <c r="C1133" s="69" t="s">
        <v>27</v>
      </c>
      <c r="D1133" s="69"/>
      <c r="E1133" s="69" t="s">
        <v>138</v>
      </c>
      <c r="F1133" s="69" t="s">
        <v>115</v>
      </c>
      <c r="G1133" s="69" t="s">
        <v>156</v>
      </c>
      <c r="H1133" s="0" t="n">
        <v>27</v>
      </c>
      <c r="I1133" s="70" t="n">
        <v>120.47</v>
      </c>
      <c r="J1133" s="70" t="n">
        <v>65.51</v>
      </c>
      <c r="K1133" s="70" t="n">
        <f aca="false">IF(ISTEXT(H1133),VALUE(H1133),H1133)*I1133</f>
        <v>3252.69</v>
      </c>
    </row>
    <row r="1134" customFormat="false" ht="15" hidden="false" customHeight="false" outlineLevel="0" collapsed="false">
      <c r="A1134" s="0" t="n">
        <v>515</v>
      </c>
      <c r="B1134" s="68" t="n">
        <v>45458</v>
      </c>
      <c r="C1134" s="69" t="s">
        <v>124</v>
      </c>
      <c r="D1134" s="69" t="s">
        <v>97</v>
      </c>
      <c r="E1134" s="69" t="s">
        <v>121</v>
      </c>
      <c r="F1134" s="69" t="s">
        <v>162</v>
      </c>
      <c r="G1134" s="69" t="s">
        <v>51</v>
      </c>
      <c r="H1134" s="0" t="n">
        <v>48</v>
      </c>
      <c r="I1134" s="70" t="n">
        <v>83.3</v>
      </c>
      <c r="J1134" s="70" t="n">
        <v>48.03</v>
      </c>
      <c r="K1134" s="70" t="n">
        <f aca="false">IF(ISTEXT(H1134),VALUE(H1134),H1134)*I1134</f>
        <v>3998.4</v>
      </c>
    </row>
    <row r="1135" customFormat="false" ht="15" hidden="false" customHeight="false" outlineLevel="0" collapsed="false">
      <c r="A1135" s="0" t="n">
        <v>677</v>
      </c>
      <c r="B1135" s="68" t="n">
        <v>45488</v>
      </c>
      <c r="C1135" s="69" t="s">
        <v>193</v>
      </c>
      <c r="D1135" s="69" t="s">
        <v>137</v>
      </c>
      <c r="E1135" s="69" t="s">
        <v>101</v>
      </c>
      <c r="F1135" s="69" t="s">
        <v>183</v>
      </c>
      <c r="G1135" s="69" t="s">
        <v>52</v>
      </c>
      <c r="H1135" s="0" t="n">
        <v>18</v>
      </c>
      <c r="I1135" s="70" t="n">
        <v>127.4</v>
      </c>
      <c r="J1135" s="70" t="n">
        <v>76.05</v>
      </c>
      <c r="K1135" s="70" t="n">
        <f aca="false">IF(ISTEXT(H1135),VALUE(H1135),H1135)*I1135</f>
        <v>2293.2</v>
      </c>
    </row>
    <row r="1136" customFormat="false" ht="15" hidden="false" customHeight="false" outlineLevel="0" collapsed="false">
      <c r="A1136" s="0" t="n">
        <v>1406</v>
      </c>
      <c r="B1136" s="68" t="n">
        <v>45731</v>
      </c>
      <c r="C1136" s="69" t="s">
        <v>170</v>
      </c>
      <c r="D1136" s="69" t="s">
        <v>97</v>
      </c>
      <c r="E1136" s="69" t="s">
        <v>107</v>
      </c>
      <c r="F1136" s="69" t="s">
        <v>26</v>
      </c>
      <c r="G1136" s="69" t="s">
        <v>157</v>
      </c>
      <c r="H1136" s="0" t="n">
        <v>15</v>
      </c>
      <c r="I1136" s="70" t="n">
        <v>1588.21</v>
      </c>
      <c r="J1136" s="70" t="n">
        <v>1155.66</v>
      </c>
      <c r="K1136" s="70" t="n">
        <f aca="false">IF(ISTEXT(H1136),VALUE(H1136),H1136)*I1136</f>
        <v>23823.15</v>
      </c>
    </row>
    <row r="1137" customFormat="false" ht="15" hidden="false" customHeight="false" outlineLevel="0" collapsed="false">
      <c r="A1137" s="0" t="n">
        <v>1648</v>
      </c>
      <c r="B1137" s="69" t="s">
        <v>547</v>
      </c>
      <c r="C1137" s="69" t="s">
        <v>152</v>
      </c>
      <c r="D1137" s="69" t="s">
        <v>109</v>
      </c>
      <c r="E1137" s="69" t="s">
        <v>98</v>
      </c>
      <c r="F1137" s="69" t="s">
        <v>99</v>
      </c>
      <c r="G1137" s="69" t="s">
        <v>103</v>
      </c>
      <c r="H1137" s="0" t="s">
        <v>548</v>
      </c>
      <c r="I1137" s="70" t="n">
        <v>27.82</v>
      </c>
      <c r="J1137" s="70" t="n">
        <v>13.84</v>
      </c>
      <c r="K1137" s="70" t="n">
        <f aca="false">IF(ISTEXT(H1137),VALUE(H1137),H1137)*I1137</f>
        <v>695.5</v>
      </c>
    </row>
    <row r="1138" customFormat="false" ht="15" hidden="false" customHeight="false" outlineLevel="0" collapsed="false">
      <c r="A1138" s="0" t="n">
        <v>1047</v>
      </c>
      <c r="B1138" s="68" t="n">
        <v>45609</v>
      </c>
      <c r="C1138" s="69" t="s">
        <v>30</v>
      </c>
      <c r="D1138" s="69" t="s">
        <v>109</v>
      </c>
      <c r="E1138" s="69" t="s">
        <v>134</v>
      </c>
      <c r="F1138" s="69" t="s">
        <v>143</v>
      </c>
      <c r="G1138" s="69" t="s">
        <v>103</v>
      </c>
      <c r="H1138" s="0" t="s">
        <v>549</v>
      </c>
      <c r="I1138" s="70" t="n">
        <v>27.44</v>
      </c>
      <c r="J1138" s="70" t="n">
        <v>13.44</v>
      </c>
      <c r="K1138" s="70" t="n">
        <f aca="false">IF(ISTEXT(H1138),VALUE(H1138),H1138)*I1138</f>
        <v>1344.56</v>
      </c>
    </row>
    <row r="1139" customFormat="false" ht="15" hidden="false" customHeight="false" outlineLevel="0" collapsed="false">
      <c r="A1139" s="0" t="n">
        <v>441</v>
      </c>
      <c r="B1139" s="68" t="n">
        <v>45422</v>
      </c>
      <c r="C1139" s="69" t="s">
        <v>108</v>
      </c>
      <c r="D1139" s="69" t="s">
        <v>109</v>
      </c>
      <c r="E1139" s="69" t="s">
        <v>110</v>
      </c>
      <c r="F1139" s="69" t="s">
        <v>88</v>
      </c>
      <c r="G1139" s="69" t="s">
        <v>41</v>
      </c>
      <c r="H1139" s="0" t="n">
        <v>9</v>
      </c>
      <c r="I1139" s="70" t="n">
        <v>1176</v>
      </c>
      <c r="J1139" s="70" t="n">
        <v>744</v>
      </c>
      <c r="K1139" s="70" t="n">
        <f aca="false">IF(ISTEXT(H1139),VALUE(H1139),H1139)*I1139</f>
        <v>10584</v>
      </c>
    </row>
    <row r="1140" customFormat="false" ht="15" hidden="false" customHeight="false" outlineLevel="0" collapsed="false">
      <c r="A1140" s="0" t="n">
        <v>331</v>
      </c>
      <c r="B1140" s="68" t="n">
        <v>45405</v>
      </c>
      <c r="C1140" s="69" t="s">
        <v>159</v>
      </c>
      <c r="D1140" s="69" t="s">
        <v>86</v>
      </c>
      <c r="E1140" s="69" t="s">
        <v>134</v>
      </c>
      <c r="F1140" s="69" t="s">
        <v>28</v>
      </c>
      <c r="G1140" s="69" t="s">
        <v>144</v>
      </c>
      <c r="H1140" s="0" t="n">
        <v>50</v>
      </c>
      <c r="I1140" s="70" t="n">
        <v>63.7</v>
      </c>
      <c r="J1140" s="70" t="n">
        <v>35.43</v>
      </c>
      <c r="K1140" s="70" t="n">
        <f aca="false">IF(ISTEXT(H1140),VALUE(H1140),H1140)*I1140</f>
        <v>3185</v>
      </c>
    </row>
    <row r="1141" customFormat="false" ht="15" hidden="false" customHeight="false" outlineLevel="0" collapsed="false">
      <c r="A1141" s="0" t="n">
        <v>1966</v>
      </c>
      <c r="B1141" s="69" t="s">
        <v>550</v>
      </c>
      <c r="C1141" s="69" t="s">
        <v>136</v>
      </c>
      <c r="D1141" s="69" t="s">
        <v>137</v>
      </c>
      <c r="E1141" s="69" t="s">
        <v>125</v>
      </c>
      <c r="F1141" s="69" t="s">
        <v>153</v>
      </c>
      <c r="G1141" s="69" t="s">
        <v>45</v>
      </c>
      <c r="H1141" s="0" t="n">
        <v>4</v>
      </c>
      <c r="I1141" s="70" t="n">
        <v>1656.52</v>
      </c>
      <c r="J1141" s="70" t="n">
        <v>1155.66</v>
      </c>
      <c r="K1141" s="70" t="n">
        <f aca="false">IF(ISTEXT(H1141),VALUE(H1141),H1141)*I1141</f>
        <v>6626.08</v>
      </c>
    </row>
    <row r="1142" customFormat="false" ht="15" hidden="false" customHeight="false" outlineLevel="0" collapsed="false">
      <c r="A1142" s="0" t="n">
        <v>456</v>
      </c>
      <c r="B1142" s="68" t="n">
        <v>45419</v>
      </c>
      <c r="C1142" s="69" t="s">
        <v>118</v>
      </c>
      <c r="D1142" s="69" t="s">
        <v>109</v>
      </c>
      <c r="E1142" s="69" t="s">
        <v>125</v>
      </c>
      <c r="F1142" s="69" t="s">
        <v>115</v>
      </c>
      <c r="G1142" s="69" t="s">
        <v>116</v>
      </c>
      <c r="H1142" s="0" t="s">
        <v>122</v>
      </c>
      <c r="I1142" s="70" t="n">
        <v>83.3</v>
      </c>
      <c r="J1142" s="70" t="n">
        <v>48.03</v>
      </c>
      <c r="K1142" s="70" t="n">
        <f aca="false">IF(ISTEXT(H1142),VALUE(H1142),H1142)*I1142</f>
        <v>749.7</v>
      </c>
    </row>
    <row r="1143" customFormat="false" ht="15" hidden="false" customHeight="false" outlineLevel="0" collapsed="false">
      <c r="A1143" s="0" t="n">
        <v>1360</v>
      </c>
      <c r="B1143" s="68" t="n">
        <v>45705</v>
      </c>
      <c r="C1143" s="69" t="s">
        <v>152</v>
      </c>
      <c r="D1143" s="69" t="s">
        <v>109</v>
      </c>
      <c r="E1143" s="69" t="s">
        <v>107</v>
      </c>
      <c r="F1143" s="69" t="s">
        <v>33</v>
      </c>
      <c r="G1143" s="69" t="s">
        <v>94</v>
      </c>
      <c r="H1143" s="0" t="n">
        <v>11</v>
      </c>
      <c r="I1143" s="70" t="n">
        <v>34.78</v>
      </c>
      <c r="J1143" s="70" t="n">
        <v>18.39</v>
      </c>
      <c r="K1143" s="70" t="n">
        <f aca="false">IF(ISTEXT(H1143),VALUE(H1143),H1143)*I1143</f>
        <v>382.58</v>
      </c>
    </row>
    <row r="1144" customFormat="false" ht="15" hidden="false" customHeight="false" outlineLevel="0" collapsed="false">
      <c r="A1144" s="0" t="n">
        <v>95</v>
      </c>
      <c r="B1144" s="69" t="s">
        <v>508</v>
      </c>
      <c r="C1144" s="69" t="s">
        <v>34</v>
      </c>
      <c r="D1144" s="69" t="s">
        <v>112</v>
      </c>
      <c r="E1144" s="69" t="s">
        <v>121</v>
      </c>
      <c r="F1144" s="69" t="s">
        <v>162</v>
      </c>
      <c r="G1144" s="69" t="s">
        <v>111</v>
      </c>
      <c r="H1144" s="0" t="n">
        <v>11</v>
      </c>
      <c r="I1144" s="70" t="n">
        <v>83.3</v>
      </c>
      <c r="J1144" s="70" t="n">
        <v>48.03</v>
      </c>
      <c r="K1144" s="70" t="n">
        <f aca="false">IF(ISTEXT(H1144),VALUE(H1144),H1144)*I1144</f>
        <v>916.3</v>
      </c>
    </row>
    <row r="1145" customFormat="false" ht="15" hidden="false" customHeight="false" outlineLevel="0" collapsed="false">
      <c r="A1145" s="0" t="n">
        <v>815</v>
      </c>
      <c r="B1145" s="68" t="n">
        <v>45544</v>
      </c>
      <c r="C1145" s="69" t="s">
        <v>25</v>
      </c>
      <c r="D1145" s="69" t="s">
        <v>97</v>
      </c>
      <c r="E1145" s="69" t="s">
        <v>134</v>
      </c>
      <c r="F1145" s="69" t="s">
        <v>162</v>
      </c>
      <c r="G1145" s="69" t="s">
        <v>111</v>
      </c>
      <c r="H1145" s="0" t="n">
        <v>50</v>
      </c>
      <c r="I1145" s="70" t="n">
        <v>83.3</v>
      </c>
      <c r="J1145" s="70" t="n">
        <v>48.03</v>
      </c>
      <c r="K1145" s="70" t="n">
        <f aca="false">IF(ISTEXT(H1145),VALUE(H1145),H1145)*I1145</f>
        <v>4165</v>
      </c>
    </row>
    <row r="1146" customFormat="false" ht="15" hidden="false" customHeight="false" outlineLevel="0" collapsed="false">
      <c r="A1146" s="0" t="n">
        <v>709</v>
      </c>
      <c r="B1146" s="68" t="n">
        <v>45527</v>
      </c>
      <c r="C1146" s="69" t="s">
        <v>25</v>
      </c>
      <c r="D1146" s="69" t="s">
        <v>97</v>
      </c>
      <c r="E1146" s="69" t="s">
        <v>134</v>
      </c>
      <c r="F1146" s="69" t="s">
        <v>143</v>
      </c>
      <c r="G1146" s="69" t="s">
        <v>172</v>
      </c>
      <c r="H1146" s="0" t="n">
        <v>113</v>
      </c>
      <c r="I1146" s="70" t="n">
        <v>93.1</v>
      </c>
      <c r="J1146" s="70" t="n">
        <v>47.98</v>
      </c>
      <c r="K1146" s="70" t="n">
        <f aca="false">IF(ISTEXT(H1146),VALUE(H1146),H1146)*I1146</f>
        <v>10520.3</v>
      </c>
    </row>
    <row r="1147" customFormat="false" ht="15" hidden="false" customHeight="false" outlineLevel="0" collapsed="false">
      <c r="A1147" s="0" t="n">
        <v>2086</v>
      </c>
      <c r="B1147" s="68" t="n">
        <v>45923</v>
      </c>
      <c r="C1147" s="69" t="s">
        <v>161</v>
      </c>
      <c r="D1147" s="69"/>
      <c r="E1147" s="69" t="s">
        <v>180</v>
      </c>
      <c r="F1147" s="69" t="s">
        <v>26</v>
      </c>
      <c r="G1147" s="69" t="s">
        <v>157</v>
      </c>
      <c r="H1147" s="0" t="n">
        <v>4</v>
      </c>
      <c r="I1147" s="70" t="n">
        <v>1656.52</v>
      </c>
      <c r="J1147" s="70" t="n">
        <v>1155.66</v>
      </c>
      <c r="K1147" s="70" t="n">
        <f aca="false">IF(ISTEXT(H1147),VALUE(H1147),H1147)*I1147</f>
        <v>6626.08</v>
      </c>
    </row>
    <row r="1148" customFormat="false" ht="15" hidden="false" customHeight="false" outlineLevel="0" collapsed="false">
      <c r="A1148" s="0" t="n">
        <v>1211</v>
      </c>
      <c r="B1148" s="69" t="s">
        <v>485</v>
      </c>
      <c r="C1148" s="69" t="s">
        <v>25</v>
      </c>
      <c r="D1148" s="69" t="s">
        <v>97</v>
      </c>
      <c r="E1148" s="69" t="s">
        <v>134</v>
      </c>
      <c r="F1148" s="69" t="s">
        <v>102</v>
      </c>
      <c r="G1148" s="69" t="s">
        <v>49</v>
      </c>
      <c r="H1148" s="0" t="n">
        <v>73</v>
      </c>
      <c r="I1148" s="70" t="n">
        <v>64.58</v>
      </c>
      <c r="J1148" s="70" t="n">
        <v>36.49</v>
      </c>
      <c r="K1148" s="70" t="n">
        <f aca="false">IF(ISTEXT(H1148),VALUE(H1148),H1148)*I1148</f>
        <v>4714.34</v>
      </c>
    </row>
    <row r="1149" customFormat="false" ht="15" hidden="false" customHeight="false" outlineLevel="0" collapsed="false">
      <c r="A1149" s="0" t="n">
        <v>970</v>
      </c>
      <c r="B1149" s="68" t="n">
        <v>45579</v>
      </c>
      <c r="C1149" s="69" t="s">
        <v>32</v>
      </c>
      <c r="D1149" s="69" t="s">
        <v>137</v>
      </c>
      <c r="E1149" s="69" t="s">
        <v>98</v>
      </c>
      <c r="F1149" s="69" t="s">
        <v>155</v>
      </c>
      <c r="G1149" s="69" t="s">
        <v>235</v>
      </c>
      <c r="H1149" s="0" t="n">
        <v>13</v>
      </c>
      <c r="I1149" s="70" t="n">
        <v>93.1</v>
      </c>
      <c r="J1149" s="70" t="n">
        <v>47.98</v>
      </c>
      <c r="K1149" s="70" t="n">
        <f aca="false">IF(ISTEXT(H1149),VALUE(H1149),H1149)*I1149</f>
        <v>1210.3</v>
      </c>
    </row>
    <row r="1150" customFormat="false" ht="15" hidden="false" customHeight="false" outlineLevel="0" collapsed="false">
      <c r="A1150" s="0" t="n">
        <v>1657</v>
      </c>
      <c r="B1150" s="68" t="n">
        <v>45794</v>
      </c>
      <c r="C1150" s="69" t="s">
        <v>118</v>
      </c>
      <c r="D1150" s="69" t="s">
        <v>109</v>
      </c>
      <c r="E1150" s="69" t="s">
        <v>101</v>
      </c>
      <c r="F1150" s="69" t="s">
        <v>33</v>
      </c>
      <c r="G1150" s="69" t="s">
        <v>52</v>
      </c>
      <c r="H1150" s="0" t="n">
        <v>20</v>
      </c>
      <c r="I1150" s="70" t="n">
        <v>129.17</v>
      </c>
      <c r="J1150" s="70" t="n">
        <v>78.33</v>
      </c>
      <c r="K1150" s="70" t="n">
        <f aca="false">IF(ISTEXT(H1150),VALUE(H1150),H1150)*I1150</f>
        <v>2583.4</v>
      </c>
    </row>
    <row r="1151" customFormat="false" ht="15" hidden="false" customHeight="false" outlineLevel="0" collapsed="false">
      <c r="A1151" s="0" t="n">
        <v>88</v>
      </c>
      <c r="B1151" s="68" t="n">
        <v>45314</v>
      </c>
      <c r="C1151" s="69" t="s">
        <v>161</v>
      </c>
      <c r="D1151" s="69" t="s">
        <v>112</v>
      </c>
      <c r="E1151" s="69" t="s">
        <v>119</v>
      </c>
      <c r="F1151" s="69" t="s">
        <v>102</v>
      </c>
      <c r="G1151" s="69" t="s">
        <v>47</v>
      </c>
      <c r="H1151" s="0" t="n">
        <v>10</v>
      </c>
      <c r="I1151" s="70" t="n">
        <v>27.44</v>
      </c>
      <c r="J1151" s="70" t="n">
        <v>13.44</v>
      </c>
      <c r="K1151" s="70" t="n">
        <f aca="false">IF(ISTEXT(H1151),VALUE(H1151),H1151)*I1151</f>
        <v>274.4</v>
      </c>
    </row>
    <row r="1152" customFormat="false" ht="15" hidden="false" customHeight="false" outlineLevel="0" collapsed="false">
      <c r="A1152" s="0" t="n">
        <v>1824</v>
      </c>
      <c r="B1152" s="68" t="n">
        <v>45863</v>
      </c>
      <c r="C1152" s="69" t="s">
        <v>159</v>
      </c>
      <c r="D1152" s="69" t="s">
        <v>86</v>
      </c>
      <c r="E1152" s="69" t="s">
        <v>119</v>
      </c>
      <c r="F1152" s="69" t="s">
        <v>135</v>
      </c>
      <c r="G1152" s="69" t="s">
        <v>177</v>
      </c>
      <c r="H1152" s="0" t="n">
        <v>9</v>
      </c>
      <c r="I1152" s="70" t="n">
        <v>451.78</v>
      </c>
      <c r="J1152" s="70" t="n">
        <v>280.42</v>
      </c>
      <c r="K1152" s="70" t="n">
        <f aca="false">IF(ISTEXT(H1152),VALUE(H1152),H1152)*I1152</f>
        <v>4066.02</v>
      </c>
    </row>
    <row r="1153" customFormat="false" ht="15" hidden="false" customHeight="false" outlineLevel="0" collapsed="false">
      <c r="A1153" s="0" t="n">
        <v>684</v>
      </c>
      <c r="B1153" s="69" t="s">
        <v>214</v>
      </c>
      <c r="C1153" s="69" t="s">
        <v>142</v>
      </c>
      <c r="D1153" s="69" t="s">
        <v>112</v>
      </c>
      <c r="E1153" s="69" t="s">
        <v>119</v>
      </c>
      <c r="F1153" s="69" t="s">
        <v>153</v>
      </c>
      <c r="G1153" s="69" t="s">
        <v>177</v>
      </c>
      <c r="H1153" s="0" t="n">
        <v>3</v>
      </c>
      <c r="I1153" s="70" t="n">
        <v>441</v>
      </c>
      <c r="J1153" s="70" t="n">
        <v>272.25</v>
      </c>
      <c r="K1153" s="70" t="n">
        <f aca="false">IF(ISTEXT(H1153),VALUE(H1153),H1153)*I1153</f>
        <v>1323</v>
      </c>
    </row>
    <row r="1154" customFormat="false" ht="15" hidden="false" customHeight="false" outlineLevel="0" collapsed="false">
      <c r="A1154" s="0" t="n">
        <v>2123</v>
      </c>
      <c r="B1154" s="68" t="n">
        <v>45942</v>
      </c>
      <c r="C1154" s="69" t="s">
        <v>120</v>
      </c>
      <c r="D1154" s="69" t="s">
        <v>86</v>
      </c>
      <c r="E1154" s="69" t="s">
        <v>138</v>
      </c>
      <c r="F1154" s="69" t="s">
        <v>147</v>
      </c>
      <c r="G1154" s="69" t="s">
        <v>89</v>
      </c>
      <c r="H1154" s="0" t="n">
        <v>11</v>
      </c>
      <c r="I1154" s="70" t="n">
        <v>451.78</v>
      </c>
      <c r="J1154" s="70" t="n">
        <v>280.42</v>
      </c>
      <c r="K1154" s="70" t="n">
        <f aca="false">IF(ISTEXT(H1154),VALUE(H1154),H1154)*I1154</f>
        <v>4969.58</v>
      </c>
    </row>
    <row r="1155" customFormat="false" ht="15" hidden="false" customHeight="false" outlineLevel="0" collapsed="false">
      <c r="A1155" s="0" t="n">
        <v>1354</v>
      </c>
      <c r="B1155" s="68" t="n">
        <v>45690</v>
      </c>
      <c r="C1155" s="69" t="s">
        <v>30</v>
      </c>
      <c r="D1155" s="69" t="s">
        <v>109</v>
      </c>
      <c r="E1155" s="69" t="s">
        <v>180</v>
      </c>
      <c r="F1155" s="69" t="s">
        <v>166</v>
      </c>
      <c r="G1155" s="69" t="s">
        <v>171</v>
      </c>
      <c r="H1155" s="0" t="n">
        <v>11</v>
      </c>
      <c r="I1155" s="70" t="n">
        <v>119.23</v>
      </c>
      <c r="J1155" s="70" t="n">
        <v>65.51</v>
      </c>
      <c r="K1155" s="70" t="n">
        <f aca="false">IF(ISTEXT(H1155),VALUE(H1155),H1155)*I1155</f>
        <v>1311.53</v>
      </c>
    </row>
    <row r="1156" customFormat="false" ht="15" hidden="false" customHeight="false" outlineLevel="0" collapsed="false">
      <c r="A1156" s="0" t="n">
        <v>1198</v>
      </c>
      <c r="B1156" s="68" t="n">
        <v>45643</v>
      </c>
      <c r="C1156" s="69" t="s">
        <v>161</v>
      </c>
      <c r="D1156" s="69" t="s">
        <v>112</v>
      </c>
      <c r="E1156" s="69" t="s">
        <v>87</v>
      </c>
      <c r="F1156" s="69" t="s">
        <v>168</v>
      </c>
      <c r="G1156" s="69" t="s">
        <v>130</v>
      </c>
      <c r="H1156" s="0" t="n">
        <v>11</v>
      </c>
      <c r="I1156" s="70" t="n">
        <v>127.4</v>
      </c>
      <c r="J1156" s="70" t="n">
        <v>76.05</v>
      </c>
      <c r="K1156" s="70" t="n">
        <f aca="false">IF(ISTEXT(H1156),VALUE(H1156),H1156)*I1156</f>
        <v>1401.4</v>
      </c>
    </row>
    <row r="1157" customFormat="false" ht="15" hidden="false" customHeight="false" outlineLevel="0" collapsed="false">
      <c r="A1157" s="0" t="n">
        <v>1441</v>
      </c>
      <c r="B1157" s="68" t="n">
        <v>45733</v>
      </c>
      <c r="C1157" s="69" t="s">
        <v>152</v>
      </c>
      <c r="D1157" s="69" t="s">
        <v>109</v>
      </c>
      <c r="E1157" s="69" t="s">
        <v>110</v>
      </c>
      <c r="F1157" s="69" t="s">
        <v>139</v>
      </c>
      <c r="G1157" s="69" t="s">
        <v>151</v>
      </c>
      <c r="H1157" s="0" t="n">
        <v>8</v>
      </c>
      <c r="I1157" s="70" t="n">
        <v>1155.06</v>
      </c>
      <c r="J1157" s="70" t="n">
        <v>766.32</v>
      </c>
      <c r="K1157" s="70" t="n">
        <f aca="false">IF(ISTEXT(H1157),VALUE(H1157),H1157)*I1157</f>
        <v>9240.48</v>
      </c>
    </row>
    <row r="1158" customFormat="false" ht="15" hidden="false" customHeight="false" outlineLevel="0" collapsed="false">
      <c r="A1158" s="0" t="n">
        <v>273</v>
      </c>
      <c r="B1158" s="69" t="s">
        <v>551</v>
      </c>
      <c r="C1158" s="69" t="s">
        <v>32</v>
      </c>
      <c r="D1158" s="69"/>
      <c r="E1158" s="69" t="s">
        <v>138</v>
      </c>
      <c r="F1158" s="69" t="s">
        <v>31</v>
      </c>
      <c r="G1158" s="69" t="s">
        <v>171</v>
      </c>
      <c r="H1158" s="0" t="n">
        <v>12</v>
      </c>
      <c r="I1158" s="70" t="n">
        <v>117.6</v>
      </c>
      <c r="J1158" s="70" t="n">
        <v>63.6</v>
      </c>
      <c r="K1158" s="70" t="n">
        <f aca="false">IF(ISTEXT(H1158),VALUE(H1158),H1158)*I1158</f>
        <v>1411.2</v>
      </c>
    </row>
    <row r="1159" customFormat="false" ht="15" hidden="false" customHeight="false" outlineLevel="0" collapsed="false">
      <c r="A1159" s="0" t="n">
        <v>1825</v>
      </c>
      <c r="B1159" s="68" t="n">
        <v>45843</v>
      </c>
      <c r="C1159" s="69" t="s">
        <v>159</v>
      </c>
      <c r="D1159" s="69" t="s">
        <v>86</v>
      </c>
      <c r="E1159" s="69" t="s">
        <v>138</v>
      </c>
      <c r="F1159" s="69" t="s">
        <v>88</v>
      </c>
      <c r="G1159" s="69" t="s">
        <v>45</v>
      </c>
      <c r="H1159" s="0" t="n">
        <v>14</v>
      </c>
      <c r="I1159" s="70" t="n">
        <v>1656.52</v>
      </c>
      <c r="J1159" s="70" t="n">
        <v>1155.66</v>
      </c>
      <c r="K1159" s="70" t="n">
        <f aca="false">IF(ISTEXT(H1159),VALUE(H1159),H1159)*I1159</f>
        <v>23191.28</v>
      </c>
    </row>
    <row r="1160" customFormat="false" ht="15" hidden="false" customHeight="false" outlineLevel="0" collapsed="false">
      <c r="A1160" s="0" t="n">
        <v>1122</v>
      </c>
      <c r="B1160" s="69" t="s">
        <v>552</v>
      </c>
      <c r="C1160" s="69" t="s">
        <v>27</v>
      </c>
      <c r="D1160" s="69" t="s">
        <v>86</v>
      </c>
      <c r="E1160" s="69" t="s">
        <v>107</v>
      </c>
      <c r="F1160" s="69" t="s">
        <v>88</v>
      </c>
      <c r="G1160" s="69" t="s">
        <v>41</v>
      </c>
      <c r="H1160" s="0" t="n">
        <v>6</v>
      </c>
      <c r="I1160" s="70" t="n">
        <v>1176</v>
      </c>
      <c r="J1160" s="70" t="n">
        <v>744</v>
      </c>
      <c r="K1160" s="70" t="n">
        <f aca="false">IF(ISTEXT(H1160),VALUE(H1160),H1160)*I1160</f>
        <v>7056</v>
      </c>
    </row>
    <row r="1161" customFormat="false" ht="15" hidden="false" customHeight="false" outlineLevel="0" collapsed="false">
      <c r="A1161" s="0" t="n">
        <v>729</v>
      </c>
      <c r="B1161" s="68" t="n">
        <v>45505</v>
      </c>
      <c r="C1161" s="69" t="s">
        <v>91</v>
      </c>
      <c r="D1161" s="69" t="s">
        <v>86</v>
      </c>
      <c r="E1161" s="69" t="s">
        <v>101</v>
      </c>
      <c r="F1161" s="69" t="s">
        <v>99</v>
      </c>
      <c r="G1161" s="69" t="s">
        <v>48</v>
      </c>
      <c r="H1161" s="0" t="n">
        <v>65</v>
      </c>
      <c r="I1161" s="70" t="n">
        <v>93.1</v>
      </c>
      <c r="J1161" s="70" t="n">
        <v>47.98</v>
      </c>
      <c r="K1161" s="70" t="n">
        <f aca="false">IF(ISTEXT(H1161),VALUE(H1161),H1161)*I1161</f>
        <v>6051.5</v>
      </c>
    </row>
    <row r="1162" customFormat="false" ht="15" hidden="false" customHeight="false" outlineLevel="0" collapsed="false">
      <c r="A1162" s="0" t="n">
        <v>134</v>
      </c>
      <c r="B1162" s="68" t="n">
        <v>45343</v>
      </c>
      <c r="C1162" s="69" t="s">
        <v>91</v>
      </c>
      <c r="D1162" s="69" t="s">
        <v>86</v>
      </c>
      <c r="E1162" s="69" t="s">
        <v>98</v>
      </c>
      <c r="F1162" s="69" t="s">
        <v>115</v>
      </c>
      <c r="G1162" s="69" t="s">
        <v>50</v>
      </c>
      <c r="H1162" s="0" t="n">
        <v>8</v>
      </c>
      <c r="I1162" s="70" t="n">
        <v>117.6</v>
      </c>
      <c r="J1162" s="70" t="n">
        <v>63.6</v>
      </c>
      <c r="K1162" s="70" t="n">
        <f aca="false">IF(ISTEXT(H1162),VALUE(H1162),H1162)*I1162</f>
        <v>940.8</v>
      </c>
    </row>
    <row r="1163" customFormat="false" ht="15" hidden="false" customHeight="false" outlineLevel="0" collapsed="false">
      <c r="A1163" s="0" t="n">
        <v>2144</v>
      </c>
      <c r="B1163" s="68" t="n">
        <v>45954</v>
      </c>
      <c r="C1163" s="69" t="s">
        <v>30</v>
      </c>
      <c r="D1163" s="69" t="s">
        <v>109</v>
      </c>
      <c r="E1163" s="69" t="s">
        <v>180</v>
      </c>
      <c r="F1163" s="69" t="s">
        <v>139</v>
      </c>
      <c r="G1163" s="69" t="s">
        <v>89</v>
      </c>
      <c r="H1163" s="0" t="n">
        <v>6</v>
      </c>
      <c r="I1163" s="70" t="n">
        <v>451.78</v>
      </c>
      <c r="J1163" s="70" t="n">
        <v>280.42</v>
      </c>
      <c r="K1163" s="70" t="n">
        <f aca="false">IF(ISTEXT(H1163),VALUE(H1163),H1163)*I1163</f>
        <v>2710.68</v>
      </c>
    </row>
    <row r="1164" customFormat="false" ht="15" hidden="false" customHeight="false" outlineLevel="0" collapsed="false">
      <c r="A1164" s="0" t="n">
        <v>2043</v>
      </c>
      <c r="B1164" s="68" t="n">
        <v>45919</v>
      </c>
      <c r="C1164" s="69" t="s">
        <v>108</v>
      </c>
      <c r="D1164" s="69" t="s">
        <v>109</v>
      </c>
      <c r="E1164" s="69" t="s">
        <v>110</v>
      </c>
      <c r="F1164" s="69" t="s">
        <v>26</v>
      </c>
      <c r="G1164" s="69" t="s">
        <v>89</v>
      </c>
      <c r="H1164" s="0" t="n">
        <v>9</v>
      </c>
      <c r="I1164" s="70" t="n">
        <v>451.78</v>
      </c>
      <c r="J1164" s="70" t="n">
        <v>280.42</v>
      </c>
      <c r="K1164" s="70" t="n">
        <f aca="false">IF(ISTEXT(H1164),VALUE(H1164),H1164)*I1164</f>
        <v>4066.02</v>
      </c>
    </row>
    <row r="1165" customFormat="false" ht="15" hidden="false" customHeight="false" outlineLevel="0" collapsed="false">
      <c r="A1165" s="0" t="n">
        <v>1620</v>
      </c>
      <c r="B1165" s="69" t="s">
        <v>553</v>
      </c>
      <c r="C1165" s="69" t="s">
        <v>25</v>
      </c>
      <c r="D1165" s="69"/>
      <c r="E1165" s="69" t="s">
        <v>87</v>
      </c>
      <c r="F1165" s="69" t="s">
        <v>33</v>
      </c>
      <c r="G1165" s="69" t="s">
        <v>217</v>
      </c>
      <c r="H1165" s="0" t="n">
        <v>42</v>
      </c>
      <c r="I1165" s="70" t="n">
        <v>34.78</v>
      </c>
      <c r="J1165" s="70" t="n">
        <v>18.39</v>
      </c>
      <c r="K1165" s="70" t="n">
        <f aca="false">IF(ISTEXT(H1165),VALUE(H1165),H1165)*I1165</f>
        <v>1460.76</v>
      </c>
    </row>
    <row r="1166" customFormat="false" ht="15" hidden="false" customHeight="false" outlineLevel="0" collapsed="false">
      <c r="A1166" s="0" t="n">
        <v>2039</v>
      </c>
      <c r="B1166" s="69" t="s">
        <v>554</v>
      </c>
      <c r="C1166" s="69" t="s">
        <v>159</v>
      </c>
      <c r="D1166" s="69" t="s">
        <v>86</v>
      </c>
      <c r="E1166" s="69" t="s">
        <v>138</v>
      </c>
      <c r="F1166" s="69" t="s">
        <v>168</v>
      </c>
      <c r="G1166" s="69" t="s">
        <v>217</v>
      </c>
      <c r="H1166" s="0" t="n">
        <v>37</v>
      </c>
      <c r="I1166" s="70" t="n">
        <v>35.14</v>
      </c>
      <c r="J1166" s="70" t="n">
        <v>18.39</v>
      </c>
      <c r="K1166" s="70" t="n">
        <f aca="false">IF(ISTEXT(H1166),VALUE(H1166),H1166)*I1166</f>
        <v>1300.18</v>
      </c>
    </row>
    <row r="1167" customFormat="false" ht="15" hidden="false" customHeight="false" outlineLevel="0" collapsed="false">
      <c r="A1167" s="0" t="n">
        <v>1237</v>
      </c>
      <c r="B1167" s="68" t="n">
        <v>45677</v>
      </c>
      <c r="C1167" s="69" t="s">
        <v>120</v>
      </c>
      <c r="D1167" s="69" t="s">
        <v>86</v>
      </c>
      <c r="E1167" s="69" t="s">
        <v>138</v>
      </c>
      <c r="F1167" s="69" t="s">
        <v>183</v>
      </c>
      <c r="G1167" s="69" t="s">
        <v>52</v>
      </c>
      <c r="H1167" s="0" t="n">
        <v>24</v>
      </c>
      <c r="I1167" s="70" t="n">
        <v>129.17</v>
      </c>
      <c r="J1167" s="70" t="n">
        <v>78.33</v>
      </c>
      <c r="K1167" s="70" t="n">
        <f aca="false">IF(ISTEXT(H1167),VALUE(H1167),H1167)*I1167</f>
        <v>3100.08</v>
      </c>
    </row>
    <row r="1168" customFormat="false" ht="15" hidden="false" customHeight="false" outlineLevel="0" collapsed="false">
      <c r="A1168" s="0" t="n">
        <v>2391</v>
      </c>
      <c r="B1168" s="68" t="n">
        <v>46016</v>
      </c>
      <c r="C1168" s="69" t="s">
        <v>161</v>
      </c>
      <c r="D1168" s="69" t="s">
        <v>112</v>
      </c>
      <c r="E1168" s="69" t="s">
        <v>110</v>
      </c>
      <c r="F1168" s="69" t="s">
        <v>99</v>
      </c>
      <c r="G1168" s="69" t="s">
        <v>144</v>
      </c>
      <c r="H1168" s="0" t="n">
        <v>38</v>
      </c>
      <c r="I1168" s="70" t="n">
        <v>65.26</v>
      </c>
      <c r="J1168" s="70" t="n">
        <v>36.49</v>
      </c>
      <c r="K1168" s="70" t="n">
        <f aca="false">IF(ISTEXT(H1168),VALUE(H1168),H1168)*I1168</f>
        <v>2479.88</v>
      </c>
    </row>
    <row r="1169" customFormat="false" ht="15" hidden="false" customHeight="false" outlineLevel="0" collapsed="false">
      <c r="A1169" s="0" t="n">
        <v>160</v>
      </c>
      <c r="B1169" s="69" t="s">
        <v>555</v>
      </c>
      <c r="C1169" s="69" t="s">
        <v>118</v>
      </c>
      <c r="D1169" s="69" t="s">
        <v>109</v>
      </c>
      <c r="E1169" s="69" t="s">
        <v>125</v>
      </c>
      <c r="F1169" s="69" t="s">
        <v>183</v>
      </c>
      <c r="G1169" s="69" t="s">
        <v>217</v>
      </c>
      <c r="H1169" s="0" t="n">
        <v>7</v>
      </c>
      <c r="I1169" s="70" t="n">
        <v>34.3</v>
      </c>
      <c r="J1169" s="70" t="n">
        <v>17.85</v>
      </c>
      <c r="K1169" s="70" t="n">
        <f aca="false">IF(ISTEXT(H1169),VALUE(H1169),H1169)*I1169</f>
        <v>240.1</v>
      </c>
    </row>
    <row r="1170" customFormat="false" ht="15" hidden="false" customHeight="false" outlineLevel="0" collapsed="false">
      <c r="A1170" s="0" t="n">
        <v>2206</v>
      </c>
      <c r="B1170" s="69" t="s">
        <v>556</v>
      </c>
      <c r="C1170" s="69" t="s">
        <v>25</v>
      </c>
      <c r="D1170" s="69" t="s">
        <v>97</v>
      </c>
      <c r="E1170" s="69" t="s">
        <v>87</v>
      </c>
      <c r="F1170" s="69" t="s">
        <v>147</v>
      </c>
      <c r="G1170" s="69" t="s">
        <v>141</v>
      </c>
      <c r="H1170" s="0" t="n">
        <v>16</v>
      </c>
      <c r="I1170" s="70" t="n">
        <v>1656.52</v>
      </c>
      <c r="J1170" s="70" t="n">
        <v>1155.66</v>
      </c>
      <c r="K1170" s="70" t="n">
        <f aca="false">IF(ISTEXT(H1170),VALUE(H1170),H1170)*I1170</f>
        <v>26504.32</v>
      </c>
    </row>
    <row r="1171" customFormat="false" ht="15" hidden="false" customHeight="false" outlineLevel="0" collapsed="false">
      <c r="A1171" s="0" t="n">
        <v>194</v>
      </c>
      <c r="B1171" s="68" t="n">
        <v>45331</v>
      </c>
      <c r="C1171" s="69" t="s">
        <v>34</v>
      </c>
      <c r="D1171" s="69" t="s">
        <v>112</v>
      </c>
      <c r="E1171" s="69" t="s">
        <v>125</v>
      </c>
      <c r="F1171" s="69" t="s">
        <v>166</v>
      </c>
      <c r="G1171" s="69" t="s">
        <v>171</v>
      </c>
      <c r="H1171" s="0" t="n">
        <v>5</v>
      </c>
      <c r="I1171" s="70" t="n">
        <v>117.6</v>
      </c>
      <c r="J1171" s="70" t="n">
        <v>63.6</v>
      </c>
      <c r="K1171" s="70" t="n">
        <f aca="false">IF(ISTEXT(H1171),VALUE(H1171),H1171)*I1171</f>
        <v>588</v>
      </c>
    </row>
    <row r="1172" customFormat="false" ht="15" hidden="false" customHeight="false" outlineLevel="0" collapsed="false">
      <c r="A1172" s="0" t="n">
        <v>243</v>
      </c>
      <c r="B1172" s="69" t="s">
        <v>292</v>
      </c>
      <c r="C1172" s="69" t="s">
        <v>30</v>
      </c>
      <c r="D1172" s="69" t="s">
        <v>109</v>
      </c>
      <c r="E1172" s="69" t="s">
        <v>134</v>
      </c>
      <c r="F1172" s="69" t="s">
        <v>88</v>
      </c>
      <c r="G1172" s="69" t="s">
        <v>177</v>
      </c>
      <c r="H1172" s="0" t="n">
        <v>9</v>
      </c>
      <c r="I1172" s="70" t="n">
        <v>441</v>
      </c>
      <c r="J1172" s="70" t="n">
        <v>272.25</v>
      </c>
      <c r="K1172" s="70" t="n">
        <f aca="false">IF(ISTEXT(H1172),VALUE(H1172),H1172)*I1172</f>
        <v>3969</v>
      </c>
    </row>
    <row r="1173" customFormat="false" ht="15" hidden="false" customHeight="false" outlineLevel="0" collapsed="false">
      <c r="A1173" s="0" t="n">
        <v>799</v>
      </c>
      <c r="B1173" s="68" t="n">
        <v>45509</v>
      </c>
      <c r="C1173" s="69" t="s">
        <v>142</v>
      </c>
      <c r="D1173" s="69" t="s">
        <v>112</v>
      </c>
      <c r="E1173" s="69" t="s">
        <v>92</v>
      </c>
      <c r="F1173" s="69" t="s">
        <v>168</v>
      </c>
      <c r="G1173" s="69" t="s">
        <v>53</v>
      </c>
      <c r="H1173" s="0" t="n">
        <v>17</v>
      </c>
      <c r="I1173" s="70" t="n">
        <v>34.3</v>
      </c>
      <c r="J1173" s="70" t="n">
        <v>17.85</v>
      </c>
      <c r="K1173" s="70" t="n">
        <f aca="false">IF(ISTEXT(H1173),VALUE(H1173),H1173)*I1173</f>
        <v>583.1</v>
      </c>
    </row>
    <row r="1174" customFormat="false" ht="15" hidden="false" customHeight="false" outlineLevel="0" collapsed="false">
      <c r="A1174" s="0" t="n">
        <v>1276</v>
      </c>
      <c r="B1174" s="68" t="n">
        <v>45680</v>
      </c>
      <c r="C1174" s="69" t="s">
        <v>184</v>
      </c>
      <c r="D1174" s="69" t="s">
        <v>137</v>
      </c>
      <c r="E1174" s="69" t="s">
        <v>98</v>
      </c>
      <c r="F1174" s="69" t="s">
        <v>115</v>
      </c>
      <c r="G1174" s="69" t="s">
        <v>116</v>
      </c>
      <c r="H1174" s="0" t="n">
        <v>9</v>
      </c>
      <c r="I1174" s="70" t="n">
        <v>84.46</v>
      </c>
      <c r="J1174" s="70" t="n">
        <v>49.47</v>
      </c>
      <c r="K1174" s="70" t="n">
        <f aca="false">IF(ISTEXT(H1174),VALUE(H1174),H1174)*I1174</f>
        <v>760.14</v>
      </c>
    </row>
    <row r="1175" customFormat="false" ht="15" hidden="false" customHeight="false" outlineLevel="0" collapsed="false">
      <c r="A1175" s="0" t="n">
        <v>933</v>
      </c>
      <c r="B1175" s="68" t="n">
        <v>45590</v>
      </c>
      <c r="C1175" s="69" t="s">
        <v>120</v>
      </c>
      <c r="D1175" s="69" t="s">
        <v>86</v>
      </c>
      <c r="E1175" s="69" t="s">
        <v>101</v>
      </c>
      <c r="F1175" s="69" t="s">
        <v>166</v>
      </c>
      <c r="G1175" s="69" t="s">
        <v>171</v>
      </c>
      <c r="H1175" s="0" t="n">
        <v>27</v>
      </c>
      <c r="I1175" s="70" t="n">
        <v>117.6</v>
      </c>
      <c r="J1175" s="70" t="n">
        <v>63.6</v>
      </c>
      <c r="K1175" s="70" t="n">
        <f aca="false">IF(ISTEXT(H1175),VALUE(H1175),H1175)*I1175</f>
        <v>3175.2</v>
      </c>
    </row>
    <row r="1176" customFormat="false" ht="15" hidden="false" customHeight="false" outlineLevel="0" collapsed="false">
      <c r="A1176" s="0" t="n">
        <v>2285</v>
      </c>
      <c r="B1176" s="68" t="n">
        <v>45973</v>
      </c>
      <c r="C1176" s="69" t="s">
        <v>161</v>
      </c>
      <c r="D1176" s="69" t="s">
        <v>112</v>
      </c>
      <c r="E1176" s="69" t="s">
        <v>110</v>
      </c>
      <c r="F1176" s="69" t="s">
        <v>135</v>
      </c>
      <c r="G1176" s="69" t="s">
        <v>141</v>
      </c>
      <c r="H1176" s="0" t="n">
        <v>7</v>
      </c>
      <c r="I1176" s="70" t="n">
        <v>1656.52</v>
      </c>
      <c r="J1176" s="70" t="n">
        <v>1155.66</v>
      </c>
      <c r="K1176" s="70" t="n">
        <f aca="false">IF(ISTEXT(H1176),VALUE(H1176),H1176)*I1176</f>
        <v>11595.64</v>
      </c>
    </row>
    <row r="1177" customFormat="false" ht="15" hidden="false" customHeight="false" outlineLevel="0" collapsed="false">
      <c r="A1177" s="0" t="n">
        <v>931</v>
      </c>
      <c r="B1177" s="68" t="n">
        <v>45576</v>
      </c>
      <c r="C1177" s="69" t="s">
        <v>27</v>
      </c>
      <c r="D1177" s="69" t="s">
        <v>86</v>
      </c>
      <c r="E1177" s="69" t="s">
        <v>110</v>
      </c>
      <c r="F1177" s="69" t="s">
        <v>102</v>
      </c>
      <c r="G1177" s="69" t="s">
        <v>49</v>
      </c>
      <c r="H1177" s="0" t="n">
        <v>65</v>
      </c>
      <c r="I1177" s="70" t="n">
        <v>63.7</v>
      </c>
      <c r="J1177" s="70" t="n">
        <v>35.43</v>
      </c>
      <c r="K1177" s="70" t="n">
        <f aca="false">IF(ISTEXT(H1177),VALUE(H1177),H1177)*I1177</f>
        <v>4140.5</v>
      </c>
    </row>
    <row r="1178" customFormat="false" ht="15" hidden="false" customHeight="false" outlineLevel="0" collapsed="false">
      <c r="A1178" s="0" t="n">
        <v>1792</v>
      </c>
      <c r="B1178" s="69" t="s">
        <v>557</v>
      </c>
      <c r="C1178" s="69" t="s">
        <v>142</v>
      </c>
      <c r="D1178" s="69"/>
      <c r="E1178" s="69" t="s">
        <v>180</v>
      </c>
      <c r="F1178" s="69" t="s">
        <v>28</v>
      </c>
      <c r="G1178" s="69" t="s">
        <v>208</v>
      </c>
      <c r="H1178" s="0" t="n">
        <v>20</v>
      </c>
      <c r="I1178" s="70" t="n">
        <v>64.58</v>
      </c>
      <c r="J1178" s="70" t="n">
        <v>36.49</v>
      </c>
      <c r="K1178" s="70" t="n">
        <f aca="false">IF(ISTEXT(H1178),VALUE(H1178),H1178)*I1178</f>
        <v>1291.6</v>
      </c>
    </row>
    <row r="1179" customFormat="false" ht="15" hidden="false" customHeight="false" outlineLevel="0" collapsed="false">
      <c r="A1179" s="0" t="n">
        <v>951</v>
      </c>
      <c r="B1179" s="69" t="s">
        <v>558</v>
      </c>
      <c r="C1179" s="69" t="s">
        <v>108</v>
      </c>
      <c r="D1179" s="69" t="s">
        <v>109</v>
      </c>
      <c r="E1179" s="69" t="s">
        <v>110</v>
      </c>
      <c r="F1179" s="69" t="s">
        <v>99</v>
      </c>
      <c r="G1179" s="69" t="s">
        <v>49</v>
      </c>
      <c r="H1179" s="0" t="n">
        <v>48</v>
      </c>
      <c r="I1179" s="70" t="n">
        <v>63.7</v>
      </c>
      <c r="J1179" s="70" t="n">
        <v>35.43</v>
      </c>
      <c r="K1179" s="70" t="n">
        <f aca="false">IF(ISTEXT(H1179),VALUE(H1179),H1179)*I1179</f>
        <v>3057.6</v>
      </c>
    </row>
    <row r="1180" customFormat="false" ht="15" hidden="false" customHeight="false" outlineLevel="0" collapsed="false">
      <c r="A1180" s="0" t="n">
        <v>667</v>
      </c>
      <c r="B1180" s="69" t="s">
        <v>559</v>
      </c>
      <c r="C1180" s="69" t="s">
        <v>184</v>
      </c>
      <c r="D1180" s="69" t="s">
        <v>137</v>
      </c>
      <c r="E1180" s="69" t="s">
        <v>101</v>
      </c>
      <c r="F1180" s="69" t="s">
        <v>155</v>
      </c>
      <c r="G1180" s="69" t="s">
        <v>47</v>
      </c>
      <c r="H1180" s="0" t="s">
        <v>301</v>
      </c>
      <c r="I1180" s="70" t="n">
        <v>27.44</v>
      </c>
      <c r="J1180" s="70" t="n">
        <v>13.44</v>
      </c>
      <c r="K1180" s="70" t="n">
        <f aca="false">IF(ISTEXT(H1180),VALUE(H1180),H1180)*I1180</f>
        <v>905.52</v>
      </c>
    </row>
    <row r="1181" customFormat="false" ht="15" hidden="false" customHeight="false" outlineLevel="0" collapsed="false">
      <c r="A1181" s="0" t="n">
        <v>681</v>
      </c>
      <c r="B1181" s="69" t="s">
        <v>560</v>
      </c>
      <c r="C1181" s="69" t="s">
        <v>133</v>
      </c>
      <c r="D1181" s="69" t="s">
        <v>112</v>
      </c>
      <c r="E1181" s="69" t="s">
        <v>138</v>
      </c>
      <c r="F1181" s="69" t="s">
        <v>135</v>
      </c>
      <c r="G1181" s="69" t="s">
        <v>151</v>
      </c>
      <c r="H1181" s="0" t="n">
        <v>8</v>
      </c>
      <c r="I1181" s="70" t="n">
        <v>1176</v>
      </c>
      <c r="J1181" s="70" t="n">
        <v>744</v>
      </c>
      <c r="K1181" s="70" t="n">
        <f aca="false">IF(ISTEXT(H1181),VALUE(H1181),H1181)*I1181</f>
        <v>9408</v>
      </c>
    </row>
    <row r="1182" customFormat="false" ht="15" hidden="false" customHeight="false" outlineLevel="0" collapsed="false">
      <c r="A1182" s="0" t="n">
        <v>1709</v>
      </c>
      <c r="B1182" s="69" t="s">
        <v>561</v>
      </c>
      <c r="C1182" s="69" t="s">
        <v>150</v>
      </c>
      <c r="D1182" s="69" t="s">
        <v>97</v>
      </c>
      <c r="E1182" s="69" t="s">
        <v>138</v>
      </c>
      <c r="F1182" s="69" t="s">
        <v>99</v>
      </c>
      <c r="G1182" s="69" t="s">
        <v>172</v>
      </c>
      <c r="H1182" s="0" t="n">
        <v>107</v>
      </c>
      <c r="I1182" s="70" t="n">
        <v>94.39</v>
      </c>
      <c r="J1182" s="70" t="n">
        <v>49.41</v>
      </c>
      <c r="K1182" s="70" t="n">
        <f aca="false">IF(ISTEXT(H1182),VALUE(H1182),H1182)*I1182</f>
        <v>10099.73</v>
      </c>
    </row>
    <row r="1183" customFormat="false" ht="15" hidden="false" customHeight="false" outlineLevel="0" collapsed="false">
      <c r="A1183" s="0" t="n">
        <v>975</v>
      </c>
      <c r="B1183" s="69" t="s">
        <v>562</v>
      </c>
      <c r="C1183" s="69" t="s">
        <v>32</v>
      </c>
      <c r="D1183" s="69" t="s">
        <v>137</v>
      </c>
      <c r="E1183" s="69" t="s">
        <v>110</v>
      </c>
      <c r="F1183" s="69" t="s">
        <v>31</v>
      </c>
      <c r="G1183" s="69" t="s">
        <v>111</v>
      </c>
      <c r="H1183" s="0" t="n">
        <v>14</v>
      </c>
      <c r="I1183" s="70" t="n">
        <v>83.3</v>
      </c>
      <c r="J1183" s="70" t="n">
        <v>48.03</v>
      </c>
      <c r="K1183" s="70" t="n">
        <f aca="false">IF(ISTEXT(H1183),VALUE(H1183),H1183)*I1183</f>
        <v>1166.2</v>
      </c>
    </row>
    <row r="1184" customFormat="false" ht="15" hidden="false" customHeight="false" outlineLevel="0" collapsed="false">
      <c r="A1184" s="0" t="n">
        <v>1426</v>
      </c>
      <c r="B1184" s="69" t="s">
        <v>563</v>
      </c>
      <c r="C1184" s="69" t="s">
        <v>27</v>
      </c>
      <c r="D1184" s="69" t="s">
        <v>86</v>
      </c>
      <c r="E1184" s="69" t="s">
        <v>119</v>
      </c>
      <c r="F1184" s="69" t="s">
        <v>153</v>
      </c>
      <c r="G1184" s="69" t="s">
        <v>141</v>
      </c>
      <c r="H1184" s="0" t="n">
        <v>9</v>
      </c>
      <c r="I1184" s="70" t="n">
        <v>1588.21</v>
      </c>
      <c r="J1184" s="70" t="n">
        <v>1155.66</v>
      </c>
      <c r="K1184" s="70" t="n">
        <f aca="false">IF(ISTEXT(H1184),VALUE(H1184),H1184)*I1184</f>
        <v>14293.89</v>
      </c>
    </row>
    <row r="1185" customFormat="false" ht="15" hidden="false" customHeight="false" outlineLevel="0" collapsed="false">
      <c r="A1185" s="0" t="n">
        <v>1510</v>
      </c>
      <c r="B1185" s="69" t="s">
        <v>246</v>
      </c>
      <c r="C1185" s="69" t="s">
        <v>96</v>
      </c>
      <c r="D1185" s="69" t="s">
        <v>97</v>
      </c>
      <c r="E1185" s="69" t="s">
        <v>87</v>
      </c>
      <c r="F1185" s="69" t="s">
        <v>102</v>
      </c>
      <c r="G1185" s="69" t="s">
        <v>48</v>
      </c>
      <c r="H1185" s="0" t="n">
        <v>70</v>
      </c>
      <c r="I1185" s="70" t="n">
        <v>94.39</v>
      </c>
      <c r="J1185" s="70" t="n">
        <v>49.41</v>
      </c>
      <c r="K1185" s="70" t="n">
        <f aca="false">IF(ISTEXT(H1185),VALUE(H1185),H1185)*I1185</f>
        <v>6607.3</v>
      </c>
    </row>
    <row r="1186" customFormat="false" ht="15" hidden="false" customHeight="false" outlineLevel="0" collapsed="false">
      <c r="A1186" s="0" t="n">
        <v>277</v>
      </c>
      <c r="B1186" s="68" t="n">
        <v>45374</v>
      </c>
      <c r="C1186" s="69" t="s">
        <v>32</v>
      </c>
      <c r="D1186" s="69" t="s">
        <v>137</v>
      </c>
      <c r="E1186" s="69" t="s">
        <v>121</v>
      </c>
      <c r="F1186" s="69" t="s">
        <v>33</v>
      </c>
      <c r="G1186" s="69" t="s">
        <v>130</v>
      </c>
      <c r="H1186" s="0" t="s">
        <v>175</v>
      </c>
      <c r="I1186" s="70" t="n">
        <v>127.4</v>
      </c>
      <c r="J1186" s="70" t="n">
        <v>76.05</v>
      </c>
      <c r="K1186" s="70" t="n">
        <f aca="false">IF(ISTEXT(H1186),VALUE(H1186),H1186)*I1186</f>
        <v>1911</v>
      </c>
    </row>
    <row r="1187" customFormat="false" ht="15" hidden="false" customHeight="false" outlineLevel="0" collapsed="false">
      <c r="A1187" s="0" t="n">
        <v>108</v>
      </c>
      <c r="B1187" s="68" t="n">
        <v>45323</v>
      </c>
      <c r="C1187" s="69" t="s">
        <v>124</v>
      </c>
      <c r="D1187" s="69"/>
      <c r="E1187" s="69" t="s">
        <v>98</v>
      </c>
      <c r="F1187" s="69" t="s">
        <v>143</v>
      </c>
      <c r="G1187" s="69" t="s">
        <v>103</v>
      </c>
      <c r="H1187" s="0" t="s">
        <v>423</v>
      </c>
      <c r="I1187" s="70" t="n">
        <v>27.44</v>
      </c>
      <c r="J1187" s="70" t="n">
        <v>13.44</v>
      </c>
      <c r="K1187" s="70" t="n">
        <f aca="false">IF(ISTEXT(H1187),VALUE(H1187),H1187)*I1187</f>
        <v>960.4</v>
      </c>
    </row>
    <row r="1188" customFormat="false" ht="15" hidden="false" customHeight="false" outlineLevel="0" collapsed="false">
      <c r="A1188" s="0" t="n">
        <v>355</v>
      </c>
      <c r="B1188" s="69" t="s">
        <v>564</v>
      </c>
      <c r="C1188" s="69" t="s">
        <v>30</v>
      </c>
      <c r="D1188" s="69" t="s">
        <v>109</v>
      </c>
      <c r="E1188" s="69" t="s">
        <v>138</v>
      </c>
      <c r="F1188" s="69" t="s">
        <v>31</v>
      </c>
      <c r="G1188" s="69" t="s">
        <v>51</v>
      </c>
      <c r="H1188" s="0" t="n">
        <v>15</v>
      </c>
      <c r="I1188" s="70" t="n">
        <v>83.3</v>
      </c>
      <c r="J1188" s="70" t="n">
        <v>48.03</v>
      </c>
      <c r="K1188" s="70" t="n">
        <f aca="false">IF(ISTEXT(H1188),VALUE(H1188),H1188)*I1188</f>
        <v>1249.5</v>
      </c>
    </row>
    <row r="1189" customFormat="false" ht="15" hidden="false" customHeight="false" outlineLevel="0" collapsed="false">
      <c r="A1189" s="0" t="n">
        <v>1295</v>
      </c>
      <c r="B1189" s="68" t="n">
        <v>45678</v>
      </c>
      <c r="C1189" s="69" t="s">
        <v>133</v>
      </c>
      <c r="D1189" s="69" t="s">
        <v>112</v>
      </c>
      <c r="E1189" s="69" t="s">
        <v>134</v>
      </c>
      <c r="F1189" s="69" t="s">
        <v>31</v>
      </c>
      <c r="G1189" s="69" t="s">
        <v>51</v>
      </c>
      <c r="H1189" s="0" t="n">
        <v>11</v>
      </c>
      <c r="I1189" s="70" t="n">
        <v>84.46</v>
      </c>
      <c r="J1189" s="70" t="n">
        <v>49.47</v>
      </c>
      <c r="K1189" s="70" t="n">
        <f aca="false">IF(ISTEXT(H1189),VALUE(H1189),H1189)*I1189</f>
        <v>929.06</v>
      </c>
    </row>
    <row r="1190" customFormat="false" ht="15" hidden="false" customHeight="false" outlineLevel="0" collapsed="false">
      <c r="A1190" s="0" t="n">
        <v>1150</v>
      </c>
      <c r="B1190" s="68" t="n">
        <v>45631</v>
      </c>
      <c r="C1190" s="69" t="s">
        <v>108</v>
      </c>
      <c r="D1190" s="69" t="s">
        <v>109</v>
      </c>
      <c r="E1190" s="69" t="s">
        <v>125</v>
      </c>
      <c r="F1190" s="69" t="s">
        <v>99</v>
      </c>
      <c r="G1190" s="69" t="s">
        <v>235</v>
      </c>
      <c r="H1190" s="0" t="n">
        <v>25</v>
      </c>
      <c r="I1190" s="70" t="n">
        <v>93.1</v>
      </c>
      <c r="J1190" s="70" t="n">
        <v>47.98</v>
      </c>
      <c r="K1190" s="70" t="n">
        <f aca="false">IF(ISTEXT(H1190),VALUE(H1190),H1190)*I1190</f>
        <v>2327.5</v>
      </c>
    </row>
    <row r="1191" customFormat="false" ht="15" hidden="false" customHeight="false" outlineLevel="0" collapsed="false">
      <c r="A1191" s="0" t="n">
        <v>1646</v>
      </c>
      <c r="B1191" s="68" t="n">
        <v>45798</v>
      </c>
      <c r="C1191" s="69" t="s">
        <v>108</v>
      </c>
      <c r="D1191" s="69" t="s">
        <v>109</v>
      </c>
      <c r="E1191" s="69" t="s">
        <v>125</v>
      </c>
      <c r="F1191" s="69" t="s">
        <v>153</v>
      </c>
      <c r="G1191" s="69" t="s">
        <v>157</v>
      </c>
      <c r="H1191" s="0" t="n">
        <v>7</v>
      </c>
      <c r="I1191" s="70" t="n">
        <v>1588.21</v>
      </c>
      <c r="J1191" s="70" t="n">
        <v>1155.66</v>
      </c>
      <c r="K1191" s="70" t="n">
        <f aca="false">IF(ISTEXT(H1191),VALUE(H1191),H1191)*I1191</f>
        <v>11117.47</v>
      </c>
    </row>
    <row r="1192" customFormat="false" ht="15" hidden="false" customHeight="false" outlineLevel="0" collapsed="false">
      <c r="A1192" s="0" t="n">
        <v>383</v>
      </c>
      <c r="B1192" s="68" t="n">
        <v>45391</v>
      </c>
      <c r="C1192" s="69" t="s">
        <v>161</v>
      </c>
      <c r="D1192" s="69" t="s">
        <v>112</v>
      </c>
      <c r="E1192" s="69" t="s">
        <v>110</v>
      </c>
      <c r="F1192" s="69" t="s">
        <v>147</v>
      </c>
      <c r="G1192" s="69" t="s">
        <v>177</v>
      </c>
      <c r="H1192" s="0" t="n">
        <v>6</v>
      </c>
      <c r="I1192" s="70" t="n">
        <v>441</v>
      </c>
      <c r="J1192" s="70" t="n">
        <v>272.25</v>
      </c>
      <c r="K1192" s="70" t="n">
        <f aca="false">IF(ISTEXT(H1192),VALUE(H1192),H1192)*I1192</f>
        <v>2646</v>
      </c>
    </row>
    <row r="1193" customFormat="false" ht="15" hidden="false" customHeight="false" outlineLevel="0" collapsed="false">
      <c r="A1193" s="0" t="n">
        <v>424</v>
      </c>
      <c r="B1193" s="68" t="n">
        <v>45438</v>
      </c>
      <c r="C1193" s="69" t="s">
        <v>91</v>
      </c>
      <c r="D1193" s="69" t="s">
        <v>86</v>
      </c>
      <c r="E1193" s="69" t="s">
        <v>87</v>
      </c>
      <c r="F1193" s="69" t="s">
        <v>153</v>
      </c>
      <c r="G1193" s="69" t="s">
        <v>89</v>
      </c>
      <c r="H1193" s="0" t="n">
        <v>4</v>
      </c>
      <c r="I1193" s="70" t="n">
        <v>441</v>
      </c>
      <c r="J1193" s="70" t="n">
        <v>272.25</v>
      </c>
      <c r="K1193" s="70" t="n">
        <f aca="false">IF(ISTEXT(H1193),VALUE(H1193),H1193)*I1193</f>
        <v>1764</v>
      </c>
    </row>
    <row r="1194" customFormat="false" ht="15" hidden="false" customHeight="false" outlineLevel="0" collapsed="false">
      <c r="A1194" s="0" t="n">
        <v>2195</v>
      </c>
      <c r="B1194" s="68" t="n">
        <v>45933</v>
      </c>
      <c r="C1194" s="69" t="s">
        <v>133</v>
      </c>
      <c r="D1194" s="69" t="s">
        <v>112</v>
      </c>
      <c r="E1194" s="69" t="s">
        <v>110</v>
      </c>
      <c r="F1194" s="69" t="s">
        <v>166</v>
      </c>
      <c r="G1194" s="69" t="s">
        <v>116</v>
      </c>
      <c r="H1194" s="0" t="n">
        <v>16</v>
      </c>
      <c r="I1194" s="70" t="n">
        <v>85.34</v>
      </c>
      <c r="J1194" s="70" t="n">
        <v>49.47</v>
      </c>
      <c r="K1194" s="70" t="n">
        <f aca="false">IF(ISTEXT(H1194),VALUE(H1194),H1194)*I1194</f>
        <v>1365.44</v>
      </c>
    </row>
    <row r="1195" customFormat="false" ht="15" hidden="false" customHeight="false" outlineLevel="0" collapsed="false">
      <c r="A1195" s="0" t="n">
        <v>2006</v>
      </c>
      <c r="B1195" s="68" t="n">
        <v>45903</v>
      </c>
      <c r="C1195" s="69" t="s">
        <v>25</v>
      </c>
      <c r="D1195" s="69" t="s">
        <v>97</v>
      </c>
      <c r="E1195" s="69" t="s">
        <v>125</v>
      </c>
      <c r="F1195" s="69" t="s">
        <v>135</v>
      </c>
      <c r="G1195" s="69" t="s">
        <v>45</v>
      </c>
      <c r="H1195" s="0" t="n">
        <v>15</v>
      </c>
      <c r="I1195" s="70" t="n">
        <v>1656.52</v>
      </c>
      <c r="J1195" s="70" t="n">
        <v>1155.66</v>
      </c>
      <c r="K1195" s="70" t="n">
        <f aca="false">IF(ISTEXT(H1195),VALUE(H1195),H1195)*I1195</f>
        <v>24847.8</v>
      </c>
    </row>
    <row r="1196" customFormat="false" ht="15" hidden="false" customHeight="false" outlineLevel="0" collapsed="false">
      <c r="A1196" s="0" t="n">
        <v>1669</v>
      </c>
      <c r="B1196" s="69" t="s">
        <v>565</v>
      </c>
      <c r="C1196" s="69" t="s">
        <v>184</v>
      </c>
      <c r="D1196" s="69" t="s">
        <v>137</v>
      </c>
      <c r="E1196" s="69" t="s">
        <v>92</v>
      </c>
      <c r="F1196" s="69" t="s">
        <v>155</v>
      </c>
      <c r="G1196" s="69" t="s">
        <v>48</v>
      </c>
      <c r="H1196" s="0" t="n">
        <v>24</v>
      </c>
      <c r="I1196" s="70" t="n">
        <v>94.39</v>
      </c>
      <c r="J1196" s="70" t="n">
        <v>49.41</v>
      </c>
      <c r="K1196" s="70" t="n">
        <f aca="false">IF(ISTEXT(H1196),VALUE(H1196),H1196)*I1196</f>
        <v>2265.36</v>
      </c>
    </row>
    <row r="1197" customFormat="false" ht="15" hidden="false" customHeight="false" outlineLevel="0" collapsed="false">
      <c r="A1197" s="0" t="n">
        <v>1410</v>
      </c>
      <c r="B1197" s="69" t="s">
        <v>566</v>
      </c>
      <c r="C1197" s="69" t="s">
        <v>150</v>
      </c>
      <c r="D1197" s="69" t="s">
        <v>97</v>
      </c>
      <c r="E1197" s="69" t="s">
        <v>119</v>
      </c>
      <c r="F1197" s="69" t="s">
        <v>102</v>
      </c>
      <c r="G1197" s="69" t="s">
        <v>172</v>
      </c>
      <c r="H1197" s="0" t="s">
        <v>567</v>
      </c>
      <c r="I1197" s="70" t="n">
        <v>94.39</v>
      </c>
      <c r="J1197" s="70" t="n">
        <v>49.41</v>
      </c>
      <c r="K1197" s="70" t="n">
        <f aca="false">IF(ISTEXT(H1197),VALUE(H1197),H1197)*I1197</f>
        <v>6040.96</v>
      </c>
    </row>
    <row r="1198" customFormat="false" ht="15" hidden="false" customHeight="false" outlineLevel="0" collapsed="false">
      <c r="A1198" s="0" t="n">
        <v>906</v>
      </c>
      <c r="B1198" s="69" t="s">
        <v>568</v>
      </c>
      <c r="C1198" s="69" t="s">
        <v>96</v>
      </c>
      <c r="D1198" s="69" t="s">
        <v>97</v>
      </c>
      <c r="E1198" s="69" t="s">
        <v>98</v>
      </c>
      <c r="F1198" s="69" t="s">
        <v>153</v>
      </c>
      <c r="G1198" s="69" t="s">
        <v>45</v>
      </c>
      <c r="H1198" s="0" t="n">
        <v>9</v>
      </c>
      <c r="I1198" s="70" t="n">
        <v>1617</v>
      </c>
      <c r="J1198" s="70" t="n">
        <v>1122</v>
      </c>
      <c r="K1198" s="70" t="n">
        <f aca="false">IF(ISTEXT(H1198),VALUE(H1198),H1198)*I1198</f>
        <v>14553</v>
      </c>
    </row>
    <row r="1199" customFormat="false" ht="15" hidden="false" customHeight="false" outlineLevel="0" collapsed="false">
      <c r="A1199" s="0" t="n">
        <v>648</v>
      </c>
      <c r="B1199" s="69" t="s">
        <v>569</v>
      </c>
      <c r="C1199" s="69" t="s">
        <v>30</v>
      </c>
      <c r="D1199" s="69" t="s">
        <v>109</v>
      </c>
      <c r="E1199" s="69" t="s">
        <v>87</v>
      </c>
      <c r="F1199" s="69" t="s">
        <v>143</v>
      </c>
      <c r="G1199" s="69" t="s">
        <v>103</v>
      </c>
      <c r="H1199" s="0" t="n">
        <v>19</v>
      </c>
      <c r="I1199" s="70" t="n">
        <v>27.44</v>
      </c>
      <c r="J1199" s="70" t="n">
        <v>13.44</v>
      </c>
      <c r="K1199" s="70" t="n">
        <f aca="false">IF(ISTEXT(H1199),VALUE(H1199),H1199)*I1199</f>
        <v>521.36</v>
      </c>
    </row>
    <row r="1200" customFormat="false" ht="15" hidden="false" customHeight="false" outlineLevel="0" collapsed="false">
      <c r="A1200" s="0" t="n">
        <v>1118</v>
      </c>
      <c r="B1200" s="68" t="n">
        <v>45650</v>
      </c>
      <c r="C1200" s="69" t="s">
        <v>124</v>
      </c>
      <c r="D1200" s="69" t="s">
        <v>97</v>
      </c>
      <c r="E1200" s="69" t="s">
        <v>98</v>
      </c>
      <c r="F1200" s="69" t="s">
        <v>93</v>
      </c>
      <c r="G1200" s="69" t="s">
        <v>52</v>
      </c>
      <c r="H1200" s="0" t="n">
        <v>31</v>
      </c>
      <c r="I1200" s="70" t="n">
        <v>127.4</v>
      </c>
      <c r="J1200" s="70" t="n">
        <v>76.05</v>
      </c>
      <c r="K1200" s="70" t="n">
        <f aca="false">IF(ISTEXT(H1200),VALUE(H1200),H1200)*I1200</f>
        <v>3949.4</v>
      </c>
    </row>
    <row r="1201" customFormat="false" ht="15" hidden="false" customHeight="false" outlineLevel="0" collapsed="false">
      <c r="A1201" s="0" t="n">
        <v>1837</v>
      </c>
      <c r="B1201" s="68" t="n">
        <v>45846</v>
      </c>
      <c r="C1201" s="69" t="s">
        <v>91</v>
      </c>
      <c r="D1201" s="69"/>
      <c r="E1201" s="69" t="s">
        <v>138</v>
      </c>
      <c r="F1201" s="69" t="s">
        <v>168</v>
      </c>
      <c r="G1201" s="69" t="s">
        <v>127</v>
      </c>
      <c r="H1201" s="0" t="n">
        <v>38</v>
      </c>
      <c r="I1201" s="70" t="n">
        <v>130.51</v>
      </c>
      <c r="J1201" s="70" t="n">
        <v>78.33</v>
      </c>
      <c r="K1201" s="70" t="n">
        <f aca="false">IF(ISTEXT(H1201),VALUE(H1201),H1201)*I1201</f>
        <v>4959.38</v>
      </c>
    </row>
    <row r="1202" customFormat="false" ht="15" hidden="false" customHeight="false" outlineLevel="0" collapsed="false">
      <c r="A1202" s="0" t="n">
        <v>2081</v>
      </c>
      <c r="B1202" s="68" t="n">
        <v>45915</v>
      </c>
      <c r="C1202" s="69" t="s">
        <v>34</v>
      </c>
      <c r="D1202" s="69" t="s">
        <v>112</v>
      </c>
      <c r="E1202" s="69" t="s">
        <v>138</v>
      </c>
      <c r="F1202" s="69" t="s">
        <v>88</v>
      </c>
      <c r="G1202" s="69" t="s">
        <v>151</v>
      </c>
      <c r="H1202" s="0" t="n">
        <v>5</v>
      </c>
      <c r="I1202" s="70" t="n">
        <v>1204.74</v>
      </c>
      <c r="J1202" s="70" t="n">
        <v>766.32</v>
      </c>
      <c r="K1202" s="70" t="n">
        <f aca="false">IF(ISTEXT(H1202),VALUE(H1202),H1202)*I1202</f>
        <v>6023.7</v>
      </c>
    </row>
    <row r="1203" customFormat="false" ht="15" hidden="false" customHeight="false" outlineLevel="0" collapsed="false">
      <c r="A1203" s="0" t="n">
        <v>2318</v>
      </c>
      <c r="B1203" s="69" t="s">
        <v>497</v>
      </c>
      <c r="C1203" s="69" t="s">
        <v>96</v>
      </c>
      <c r="D1203" s="69" t="s">
        <v>97</v>
      </c>
      <c r="E1203" s="69" t="s">
        <v>107</v>
      </c>
      <c r="F1203" s="69" t="s">
        <v>168</v>
      </c>
      <c r="G1203" s="69" t="s">
        <v>130</v>
      </c>
      <c r="H1203" s="0" t="n">
        <v>59</v>
      </c>
      <c r="I1203" s="70" t="n">
        <v>130.51</v>
      </c>
      <c r="J1203" s="70" t="n">
        <v>78.33</v>
      </c>
      <c r="K1203" s="70" t="n">
        <f aca="false">IF(ISTEXT(H1203),VALUE(H1203),H1203)*I1203</f>
        <v>7700.09</v>
      </c>
    </row>
    <row r="1204" customFormat="false" ht="15" hidden="false" customHeight="false" outlineLevel="0" collapsed="false">
      <c r="A1204" s="0" t="n">
        <v>575</v>
      </c>
      <c r="B1204" s="69" t="s">
        <v>272</v>
      </c>
      <c r="C1204" s="69" t="s">
        <v>136</v>
      </c>
      <c r="D1204" s="69" t="s">
        <v>137</v>
      </c>
      <c r="E1204" s="69" t="s">
        <v>110</v>
      </c>
      <c r="F1204" s="69" t="s">
        <v>115</v>
      </c>
      <c r="G1204" s="69" t="s">
        <v>111</v>
      </c>
      <c r="H1204" s="0" t="n">
        <v>17</v>
      </c>
      <c r="I1204" s="70" t="n">
        <v>83.3</v>
      </c>
      <c r="J1204" s="70" t="n">
        <v>48.03</v>
      </c>
      <c r="K1204" s="70" t="n">
        <f aca="false">IF(ISTEXT(H1204),VALUE(H1204),H1204)*I1204</f>
        <v>1416.1</v>
      </c>
    </row>
    <row r="1205" customFormat="false" ht="15" hidden="false" customHeight="false" outlineLevel="0" collapsed="false">
      <c r="A1205" s="0" t="n">
        <v>1157</v>
      </c>
      <c r="B1205" s="68" t="n">
        <v>45653</v>
      </c>
      <c r="C1205" s="69" t="s">
        <v>108</v>
      </c>
      <c r="D1205" s="69" t="s">
        <v>109</v>
      </c>
      <c r="E1205" s="69" t="s">
        <v>138</v>
      </c>
      <c r="F1205" s="69" t="s">
        <v>168</v>
      </c>
      <c r="G1205" s="69" t="s">
        <v>127</v>
      </c>
      <c r="H1205" s="0" t="s">
        <v>423</v>
      </c>
      <c r="I1205" s="70" t="n">
        <v>127.4</v>
      </c>
      <c r="J1205" s="70" t="n">
        <v>76.05</v>
      </c>
      <c r="K1205" s="70" t="n">
        <f aca="false">IF(ISTEXT(H1205),VALUE(H1205),H1205)*I1205</f>
        <v>4459</v>
      </c>
    </row>
    <row r="1206" customFormat="false" ht="15" hidden="false" customHeight="false" outlineLevel="0" collapsed="false">
      <c r="A1206" s="0" t="n">
        <v>2201</v>
      </c>
      <c r="B1206" s="69" t="s">
        <v>570</v>
      </c>
      <c r="C1206" s="69" t="s">
        <v>150</v>
      </c>
      <c r="D1206" s="69" t="s">
        <v>97</v>
      </c>
      <c r="E1206" s="69" t="s">
        <v>138</v>
      </c>
      <c r="F1206" s="69" t="s">
        <v>88</v>
      </c>
      <c r="G1206" s="69" t="s">
        <v>41</v>
      </c>
      <c r="H1206" s="0" t="s">
        <v>218</v>
      </c>
      <c r="I1206" s="70" t="n">
        <v>1204.74</v>
      </c>
      <c r="J1206" s="70" t="n">
        <v>766.32</v>
      </c>
      <c r="K1206" s="70" t="n">
        <f aca="false">IF(ISTEXT(H1206),VALUE(H1206),H1206)*I1206</f>
        <v>33732.72</v>
      </c>
    </row>
    <row r="1207" customFormat="false" ht="15" hidden="false" customHeight="false" outlineLevel="0" collapsed="false">
      <c r="A1207" s="0" t="n">
        <v>1631</v>
      </c>
      <c r="B1207" s="68" t="n">
        <v>45801</v>
      </c>
      <c r="C1207" s="69" t="s">
        <v>159</v>
      </c>
      <c r="D1207" s="69" t="s">
        <v>86</v>
      </c>
      <c r="E1207" s="69" t="s">
        <v>121</v>
      </c>
      <c r="F1207" s="69" t="s">
        <v>99</v>
      </c>
      <c r="G1207" s="69" t="s">
        <v>49</v>
      </c>
      <c r="H1207" s="0" t="n">
        <v>49</v>
      </c>
      <c r="I1207" s="70" t="n">
        <v>64.58</v>
      </c>
      <c r="J1207" s="70" t="n">
        <v>36.49</v>
      </c>
      <c r="K1207" s="70" t="n">
        <f aca="false">IF(ISTEXT(H1207),VALUE(H1207),H1207)*I1207</f>
        <v>3164.42</v>
      </c>
    </row>
    <row r="1208" customFormat="false" ht="15" hidden="false" customHeight="false" outlineLevel="0" collapsed="false">
      <c r="A1208" s="0" t="n">
        <v>2115</v>
      </c>
      <c r="B1208" s="68" t="n">
        <v>45940</v>
      </c>
      <c r="C1208" s="69" t="s">
        <v>150</v>
      </c>
      <c r="D1208" s="69"/>
      <c r="E1208" s="69" t="s">
        <v>101</v>
      </c>
      <c r="F1208" s="69" t="s">
        <v>162</v>
      </c>
      <c r="G1208" s="69" t="s">
        <v>116</v>
      </c>
      <c r="H1208" s="0" t="n">
        <v>38</v>
      </c>
      <c r="I1208" s="70" t="n">
        <v>85.34</v>
      </c>
      <c r="J1208" s="70" t="n">
        <v>49.47</v>
      </c>
      <c r="K1208" s="70" t="n">
        <f aca="false">IF(ISTEXT(H1208),VALUE(H1208),H1208)*I1208</f>
        <v>3242.92</v>
      </c>
    </row>
    <row r="1209" customFormat="false" ht="15" hidden="false" customHeight="false" outlineLevel="0" collapsed="false">
      <c r="A1209" s="0" t="n">
        <v>2260</v>
      </c>
      <c r="B1209" s="69" t="s">
        <v>571</v>
      </c>
      <c r="C1209" s="69" t="s">
        <v>152</v>
      </c>
      <c r="D1209" s="69" t="s">
        <v>109</v>
      </c>
      <c r="E1209" s="69" t="s">
        <v>119</v>
      </c>
      <c r="F1209" s="69" t="s">
        <v>33</v>
      </c>
      <c r="G1209" s="69" t="s">
        <v>94</v>
      </c>
      <c r="H1209" s="0" t="n">
        <v>21</v>
      </c>
      <c r="I1209" s="70" t="n">
        <v>35.14</v>
      </c>
      <c r="J1209" s="70" t="n">
        <v>18.39</v>
      </c>
      <c r="K1209" s="70" t="n">
        <f aca="false">IF(ISTEXT(H1209),VALUE(H1209),H1209)*I1209</f>
        <v>737.94</v>
      </c>
    </row>
    <row r="1210" customFormat="false" ht="15" hidden="false" customHeight="false" outlineLevel="0" collapsed="false">
      <c r="A1210" s="0" t="n">
        <v>1427</v>
      </c>
      <c r="B1210" s="68" t="n">
        <v>45743</v>
      </c>
      <c r="C1210" s="69" t="s">
        <v>27</v>
      </c>
      <c r="D1210" s="69" t="s">
        <v>86</v>
      </c>
      <c r="E1210" s="69" t="s">
        <v>121</v>
      </c>
      <c r="F1210" s="69" t="s">
        <v>28</v>
      </c>
      <c r="G1210" s="69" t="s">
        <v>103</v>
      </c>
      <c r="H1210" s="0" t="n">
        <v>51</v>
      </c>
      <c r="I1210" s="70" t="n">
        <v>27.82</v>
      </c>
      <c r="J1210" s="70" t="n">
        <v>13.84</v>
      </c>
      <c r="K1210" s="70" t="n">
        <f aca="false">IF(ISTEXT(H1210),VALUE(H1210),H1210)*I1210</f>
        <v>1418.82</v>
      </c>
    </row>
    <row r="1211" customFormat="false" ht="15" hidden="false" customHeight="false" outlineLevel="0" collapsed="false">
      <c r="A1211" s="0" t="n">
        <v>323</v>
      </c>
      <c r="B1211" s="68" t="n">
        <v>45403</v>
      </c>
      <c r="C1211" s="69" t="s">
        <v>120</v>
      </c>
      <c r="D1211" s="69" t="s">
        <v>86</v>
      </c>
      <c r="E1211" s="69" t="s">
        <v>92</v>
      </c>
      <c r="F1211" s="69" t="s">
        <v>139</v>
      </c>
      <c r="G1211" s="69" t="s">
        <v>43</v>
      </c>
      <c r="H1211" s="0" t="n">
        <v>13</v>
      </c>
      <c r="I1211" s="70" t="n">
        <v>441</v>
      </c>
      <c r="J1211" s="70" t="n">
        <v>272.25</v>
      </c>
      <c r="K1211" s="70" t="n">
        <f aca="false">IF(ISTEXT(H1211),VALUE(H1211),H1211)*I1211</f>
        <v>5733</v>
      </c>
    </row>
    <row r="1212" customFormat="false" ht="15" hidden="false" customHeight="false" outlineLevel="0" collapsed="false">
      <c r="A1212" s="0" t="n">
        <v>1128</v>
      </c>
      <c r="B1212" s="69" t="s">
        <v>572</v>
      </c>
      <c r="C1212" s="69" t="s">
        <v>27</v>
      </c>
      <c r="D1212" s="69" t="s">
        <v>86</v>
      </c>
      <c r="E1212" s="69" t="s">
        <v>180</v>
      </c>
      <c r="F1212" s="69" t="s">
        <v>102</v>
      </c>
      <c r="G1212" s="69" t="s">
        <v>103</v>
      </c>
      <c r="H1212" s="0" t="n">
        <v>34</v>
      </c>
      <c r="I1212" s="70" t="n">
        <v>27.44</v>
      </c>
      <c r="J1212" s="70" t="n">
        <v>13.44</v>
      </c>
      <c r="K1212" s="70" t="n">
        <f aca="false">IF(ISTEXT(H1212),VALUE(H1212),H1212)*I1212</f>
        <v>932.96</v>
      </c>
    </row>
    <row r="1213" customFormat="false" ht="15" hidden="false" customHeight="false" outlineLevel="0" collapsed="false">
      <c r="A1213" s="0" t="n">
        <v>2042</v>
      </c>
      <c r="B1213" s="69" t="s">
        <v>470</v>
      </c>
      <c r="C1213" s="69" t="s">
        <v>118</v>
      </c>
      <c r="D1213" s="69" t="s">
        <v>109</v>
      </c>
      <c r="E1213" s="69" t="s">
        <v>180</v>
      </c>
      <c r="F1213" s="69" t="s">
        <v>153</v>
      </c>
      <c r="G1213" s="69" t="s">
        <v>151</v>
      </c>
      <c r="H1213" s="0" t="n">
        <v>6</v>
      </c>
      <c r="I1213" s="70" t="n">
        <v>1204.74</v>
      </c>
      <c r="J1213" s="70" t="n">
        <v>766.32</v>
      </c>
      <c r="K1213" s="70" t="n">
        <f aca="false">IF(ISTEXT(H1213),VALUE(H1213),H1213)*I1213</f>
        <v>7228.44</v>
      </c>
    </row>
    <row r="1214" customFormat="false" ht="15" hidden="false" customHeight="false" outlineLevel="0" collapsed="false">
      <c r="A1214" s="0" t="n">
        <v>1498</v>
      </c>
      <c r="B1214" s="68" t="n">
        <v>45727</v>
      </c>
      <c r="C1214" s="69" t="s">
        <v>161</v>
      </c>
      <c r="D1214" s="69" t="s">
        <v>112</v>
      </c>
      <c r="E1214" s="69" t="s">
        <v>87</v>
      </c>
      <c r="F1214" s="69" t="s">
        <v>33</v>
      </c>
      <c r="G1214" s="69" t="s">
        <v>127</v>
      </c>
      <c r="H1214" s="0" t="n">
        <v>11</v>
      </c>
      <c r="I1214" s="70" t="n">
        <v>129.17</v>
      </c>
      <c r="J1214" s="70" t="n">
        <v>78.33</v>
      </c>
      <c r="K1214" s="70" t="n">
        <f aca="false">IF(ISTEXT(H1214),VALUE(H1214),H1214)*I1214</f>
        <v>1420.87</v>
      </c>
    </row>
    <row r="1215" customFormat="false" ht="15" hidden="false" customHeight="false" outlineLevel="0" collapsed="false">
      <c r="A1215" s="0" t="n">
        <v>1482</v>
      </c>
      <c r="B1215" s="68" t="n">
        <v>45723</v>
      </c>
      <c r="C1215" s="69" t="s">
        <v>133</v>
      </c>
      <c r="D1215" s="69" t="s">
        <v>112</v>
      </c>
      <c r="E1215" s="69" t="s">
        <v>98</v>
      </c>
      <c r="F1215" s="69" t="s">
        <v>26</v>
      </c>
      <c r="G1215" s="69" t="s">
        <v>151</v>
      </c>
      <c r="H1215" s="0" t="n">
        <v>5</v>
      </c>
      <c r="I1215" s="70" t="n">
        <v>1155.06</v>
      </c>
      <c r="J1215" s="70" t="n">
        <v>766.32</v>
      </c>
      <c r="K1215" s="70" t="n">
        <f aca="false">IF(ISTEXT(H1215),VALUE(H1215),H1215)*I1215</f>
        <v>5775.3</v>
      </c>
    </row>
    <row r="1216" customFormat="false" ht="15" hidden="false" customHeight="false" outlineLevel="0" collapsed="false">
      <c r="A1216" s="0" t="n">
        <v>1129</v>
      </c>
      <c r="B1216" s="68" t="n">
        <v>45646</v>
      </c>
      <c r="C1216" s="69" t="s">
        <v>120</v>
      </c>
      <c r="D1216" s="69" t="s">
        <v>86</v>
      </c>
      <c r="E1216" s="69" t="s">
        <v>121</v>
      </c>
      <c r="F1216" s="69" t="s">
        <v>28</v>
      </c>
      <c r="G1216" s="69" t="s">
        <v>172</v>
      </c>
      <c r="H1216" s="0" t="n">
        <v>85</v>
      </c>
      <c r="I1216" s="70" t="n">
        <v>93.1</v>
      </c>
      <c r="J1216" s="70" t="n">
        <v>47.98</v>
      </c>
      <c r="K1216" s="70" t="n">
        <f aca="false">IF(ISTEXT(H1216),VALUE(H1216),H1216)*I1216</f>
        <v>7913.5</v>
      </c>
    </row>
    <row r="1217" customFormat="false" ht="15" hidden="false" customHeight="false" outlineLevel="0" collapsed="false">
      <c r="A1217" s="0" t="n">
        <v>1686</v>
      </c>
      <c r="B1217" s="69" t="s">
        <v>573</v>
      </c>
      <c r="C1217" s="69" t="s">
        <v>34</v>
      </c>
      <c r="D1217" s="69" t="s">
        <v>112</v>
      </c>
      <c r="E1217" s="69" t="s">
        <v>125</v>
      </c>
      <c r="F1217" s="69" t="s">
        <v>26</v>
      </c>
      <c r="G1217" s="69" t="s">
        <v>157</v>
      </c>
      <c r="H1217" s="0" t="n">
        <v>5</v>
      </c>
      <c r="I1217" s="70" t="n">
        <v>1588.21</v>
      </c>
      <c r="J1217" s="70" t="n">
        <v>1155.66</v>
      </c>
      <c r="K1217" s="70" t="n">
        <f aca="false">IF(ISTEXT(H1217),VALUE(H1217),H1217)*I1217</f>
        <v>7941.05</v>
      </c>
    </row>
    <row r="1218" customFormat="false" ht="15" hidden="false" customHeight="false" outlineLevel="0" collapsed="false">
      <c r="A1218" s="0" t="n">
        <v>621</v>
      </c>
      <c r="B1218" s="68" t="n">
        <v>45474</v>
      </c>
      <c r="C1218" s="69" t="s">
        <v>27</v>
      </c>
      <c r="D1218" s="69" t="s">
        <v>86</v>
      </c>
      <c r="E1218" s="69" t="s">
        <v>110</v>
      </c>
      <c r="F1218" s="69" t="s">
        <v>88</v>
      </c>
      <c r="G1218" s="69" t="s">
        <v>151</v>
      </c>
      <c r="H1218" s="0" t="n">
        <v>13</v>
      </c>
      <c r="I1218" s="70" t="n">
        <v>1176</v>
      </c>
      <c r="J1218" s="70" t="n">
        <v>744</v>
      </c>
      <c r="K1218" s="70" t="n">
        <f aca="false">IF(ISTEXT(H1218),VALUE(H1218),H1218)*I1218</f>
        <v>15288</v>
      </c>
    </row>
    <row r="1219" customFormat="false" ht="15" hidden="false" customHeight="false" outlineLevel="0" collapsed="false">
      <c r="A1219" s="0" t="n">
        <v>963</v>
      </c>
      <c r="B1219" s="68" t="n">
        <v>45584</v>
      </c>
      <c r="C1219" s="69" t="s">
        <v>32</v>
      </c>
      <c r="D1219" s="69" t="s">
        <v>137</v>
      </c>
      <c r="E1219" s="69" t="s">
        <v>138</v>
      </c>
      <c r="F1219" s="69" t="s">
        <v>153</v>
      </c>
      <c r="G1219" s="69" t="s">
        <v>89</v>
      </c>
      <c r="H1219" s="0" t="n">
        <v>6</v>
      </c>
      <c r="I1219" s="70" t="n">
        <v>441</v>
      </c>
      <c r="J1219" s="70" t="n">
        <v>272.25</v>
      </c>
      <c r="K1219" s="70" t="n">
        <f aca="false">IF(ISTEXT(H1219),VALUE(H1219),H1219)*I1219</f>
        <v>2646</v>
      </c>
    </row>
    <row r="1220" customFormat="false" ht="15" hidden="false" customHeight="false" outlineLevel="0" collapsed="false">
      <c r="A1220" s="0" t="n">
        <v>257</v>
      </c>
      <c r="B1220" s="68" t="n">
        <v>45369</v>
      </c>
      <c r="C1220" s="69" t="s">
        <v>118</v>
      </c>
      <c r="D1220" s="69" t="s">
        <v>109</v>
      </c>
      <c r="E1220" s="69" t="s">
        <v>134</v>
      </c>
      <c r="F1220" s="69" t="s">
        <v>183</v>
      </c>
      <c r="G1220" s="69" t="s">
        <v>52</v>
      </c>
      <c r="H1220" s="0" t="n">
        <v>27</v>
      </c>
      <c r="I1220" s="70" t="n">
        <v>127.4</v>
      </c>
      <c r="J1220" s="70" t="n">
        <v>76.05</v>
      </c>
      <c r="K1220" s="70" t="n">
        <f aca="false">IF(ISTEXT(H1220),VALUE(H1220),H1220)*I1220</f>
        <v>3439.8</v>
      </c>
    </row>
    <row r="1221" customFormat="false" ht="15" hidden="false" customHeight="false" outlineLevel="0" collapsed="false">
      <c r="A1221" s="0" t="n">
        <v>702</v>
      </c>
      <c r="B1221" s="69" t="s">
        <v>574</v>
      </c>
      <c r="C1221" s="69" t="s">
        <v>25</v>
      </c>
      <c r="D1221" s="69" t="s">
        <v>97</v>
      </c>
      <c r="E1221" s="69" t="s">
        <v>119</v>
      </c>
      <c r="F1221" s="69" t="s">
        <v>88</v>
      </c>
      <c r="G1221" s="69" t="s">
        <v>154</v>
      </c>
      <c r="H1221" s="0" t="n">
        <v>10</v>
      </c>
      <c r="I1221" s="70" t="n">
        <v>1176</v>
      </c>
      <c r="J1221" s="70" t="n">
        <v>744</v>
      </c>
      <c r="K1221" s="70" t="n">
        <f aca="false">IF(ISTEXT(H1221),VALUE(H1221),H1221)*I1221</f>
        <v>11760</v>
      </c>
    </row>
    <row r="1222" customFormat="false" ht="15" hidden="false" customHeight="false" outlineLevel="0" collapsed="false">
      <c r="A1222" s="0" t="n">
        <v>1858</v>
      </c>
      <c r="B1222" s="68" t="n">
        <v>45858</v>
      </c>
      <c r="C1222" s="69" t="s">
        <v>108</v>
      </c>
      <c r="D1222" s="69" t="s">
        <v>109</v>
      </c>
      <c r="E1222" s="69" t="s">
        <v>87</v>
      </c>
      <c r="F1222" s="69" t="s">
        <v>93</v>
      </c>
      <c r="G1222" s="69" t="s">
        <v>130</v>
      </c>
      <c r="H1222" s="0" t="n">
        <v>16</v>
      </c>
      <c r="I1222" s="70" t="n">
        <v>130.51</v>
      </c>
      <c r="J1222" s="70" t="n">
        <v>78.33</v>
      </c>
      <c r="K1222" s="70" t="n">
        <f aca="false">IF(ISTEXT(H1222),VALUE(H1222),H1222)*I1222</f>
        <v>2088.16</v>
      </c>
    </row>
    <row r="1223" customFormat="false" ht="15" hidden="false" customHeight="false" outlineLevel="0" collapsed="false">
      <c r="A1223" s="0" t="n">
        <v>1447</v>
      </c>
      <c r="B1223" s="68" t="n">
        <v>45721</v>
      </c>
      <c r="C1223" s="69" t="s">
        <v>152</v>
      </c>
      <c r="D1223" s="69"/>
      <c r="E1223" s="69" t="s">
        <v>101</v>
      </c>
      <c r="F1223" s="69" t="s">
        <v>143</v>
      </c>
      <c r="G1223" s="69" t="s">
        <v>103</v>
      </c>
      <c r="H1223" s="0" t="n">
        <v>43</v>
      </c>
      <c r="I1223" s="70" t="n">
        <v>27.82</v>
      </c>
      <c r="J1223" s="70" t="n">
        <v>13.84</v>
      </c>
      <c r="K1223" s="70" t="n">
        <f aca="false">IF(ISTEXT(H1223),VALUE(H1223),H1223)*I1223</f>
        <v>1196.26</v>
      </c>
    </row>
    <row r="1224" customFormat="false" ht="15" hidden="false" customHeight="false" outlineLevel="0" collapsed="false">
      <c r="A1224" s="0" t="n">
        <v>292</v>
      </c>
      <c r="B1224" s="69" t="s">
        <v>369</v>
      </c>
      <c r="C1224" s="69" t="s">
        <v>133</v>
      </c>
      <c r="D1224" s="69" t="s">
        <v>112</v>
      </c>
      <c r="E1224" s="69" t="s">
        <v>87</v>
      </c>
      <c r="F1224" s="69" t="s">
        <v>155</v>
      </c>
      <c r="G1224" s="69" t="s">
        <v>144</v>
      </c>
      <c r="H1224" s="0" t="n">
        <v>12</v>
      </c>
      <c r="I1224" s="70" t="n">
        <v>63.7</v>
      </c>
      <c r="J1224" s="70" t="n">
        <v>35.43</v>
      </c>
      <c r="K1224" s="70" t="n">
        <f aca="false">IF(ISTEXT(H1224),VALUE(H1224),H1224)*I1224</f>
        <v>764.4</v>
      </c>
    </row>
    <row r="1225" customFormat="false" ht="15" hidden="false" customHeight="false" outlineLevel="0" collapsed="false">
      <c r="A1225" s="0" t="n">
        <v>462</v>
      </c>
      <c r="B1225" s="68" t="n">
        <v>45434</v>
      </c>
      <c r="C1225" s="69" t="s">
        <v>193</v>
      </c>
      <c r="D1225" s="69" t="s">
        <v>137</v>
      </c>
      <c r="E1225" s="69" t="s">
        <v>87</v>
      </c>
      <c r="F1225" s="69" t="s">
        <v>88</v>
      </c>
      <c r="G1225" s="69" t="s">
        <v>41</v>
      </c>
      <c r="H1225" s="0" t="n">
        <v>3</v>
      </c>
      <c r="I1225" s="70" t="n">
        <v>1176</v>
      </c>
      <c r="J1225" s="70" t="n">
        <v>744</v>
      </c>
      <c r="K1225" s="70" t="n">
        <f aca="false">IF(ISTEXT(H1225),VALUE(H1225),H1225)*I1225</f>
        <v>3528</v>
      </c>
    </row>
    <row r="1226" customFormat="false" ht="15" hidden="false" customHeight="false" outlineLevel="0" collapsed="false">
      <c r="A1226" s="0" t="n">
        <v>1232</v>
      </c>
      <c r="B1226" s="69" t="s">
        <v>575</v>
      </c>
      <c r="C1226" s="69" t="s">
        <v>27</v>
      </c>
      <c r="D1226" s="69" t="s">
        <v>86</v>
      </c>
      <c r="E1226" s="69" t="s">
        <v>180</v>
      </c>
      <c r="F1226" s="69" t="s">
        <v>99</v>
      </c>
      <c r="G1226" s="69" t="s">
        <v>208</v>
      </c>
      <c r="H1226" s="0" t="n">
        <v>31</v>
      </c>
      <c r="I1226" s="70" t="n">
        <v>64.58</v>
      </c>
      <c r="J1226" s="70" t="n">
        <v>36.49</v>
      </c>
      <c r="K1226" s="70" t="n">
        <f aca="false">IF(ISTEXT(H1226),VALUE(H1226),H1226)*I1226</f>
        <v>2001.98</v>
      </c>
    </row>
    <row r="1227" customFormat="false" ht="15" hidden="false" customHeight="false" outlineLevel="0" collapsed="false">
      <c r="A1227" s="0" t="n">
        <v>333</v>
      </c>
      <c r="B1227" s="68" t="n">
        <v>45392</v>
      </c>
      <c r="C1227" s="69" t="s">
        <v>159</v>
      </c>
      <c r="D1227" s="69" t="s">
        <v>86</v>
      </c>
      <c r="E1227" s="69" t="s">
        <v>134</v>
      </c>
      <c r="F1227" s="69" t="s">
        <v>115</v>
      </c>
      <c r="G1227" s="69" t="s">
        <v>171</v>
      </c>
      <c r="H1227" s="0" t="n">
        <v>24</v>
      </c>
      <c r="I1227" s="70" t="n">
        <v>117.6</v>
      </c>
      <c r="J1227" s="70" t="n">
        <v>63.6</v>
      </c>
      <c r="K1227" s="70" t="n">
        <f aca="false">IF(ISTEXT(H1227),VALUE(H1227),H1227)*I1227</f>
        <v>2822.4</v>
      </c>
    </row>
    <row r="1228" customFormat="false" ht="15" hidden="false" customHeight="false" outlineLevel="0" collapsed="false">
      <c r="A1228" s="0" t="n">
        <v>1761</v>
      </c>
      <c r="B1228" s="69" t="s">
        <v>576</v>
      </c>
      <c r="C1228" s="69" t="s">
        <v>136</v>
      </c>
      <c r="D1228" s="69"/>
      <c r="E1228" s="69" t="s">
        <v>101</v>
      </c>
      <c r="F1228" s="69" t="s">
        <v>26</v>
      </c>
      <c r="G1228" s="69" t="s">
        <v>154</v>
      </c>
      <c r="H1228" s="0" t="n">
        <v>7</v>
      </c>
      <c r="I1228" s="70" t="n">
        <v>1155.06</v>
      </c>
      <c r="J1228" s="70" t="n">
        <v>766.32</v>
      </c>
      <c r="K1228" s="70" t="n">
        <f aca="false">IF(ISTEXT(H1228),VALUE(H1228),H1228)*I1228</f>
        <v>8085.42</v>
      </c>
    </row>
    <row r="1229" customFormat="false" ht="15" hidden="false" customHeight="false" outlineLevel="0" collapsed="false">
      <c r="A1229" s="0" t="n">
        <v>1811</v>
      </c>
      <c r="B1229" s="68" t="n">
        <v>45853</v>
      </c>
      <c r="C1229" s="69" t="s">
        <v>96</v>
      </c>
      <c r="D1229" s="69" t="s">
        <v>97</v>
      </c>
      <c r="E1229" s="69" t="s">
        <v>110</v>
      </c>
      <c r="F1229" s="69" t="s">
        <v>155</v>
      </c>
      <c r="G1229" s="69" t="s">
        <v>49</v>
      </c>
      <c r="H1229" s="0" t="n">
        <v>88</v>
      </c>
      <c r="I1229" s="70" t="n">
        <v>65.26</v>
      </c>
      <c r="J1229" s="70" t="n">
        <v>36.49</v>
      </c>
      <c r="K1229" s="70" t="n">
        <f aca="false">IF(ISTEXT(H1229),VALUE(H1229),H1229)*I1229</f>
        <v>5742.88</v>
      </c>
    </row>
    <row r="1230" customFormat="false" ht="15" hidden="false" customHeight="false" outlineLevel="0" collapsed="false">
      <c r="A1230" s="0" t="n">
        <v>1839</v>
      </c>
      <c r="B1230" s="69" t="s">
        <v>577</v>
      </c>
      <c r="C1230" s="69" t="s">
        <v>27</v>
      </c>
      <c r="D1230" s="69" t="s">
        <v>86</v>
      </c>
      <c r="E1230" s="69" t="s">
        <v>121</v>
      </c>
      <c r="F1230" s="69" t="s">
        <v>168</v>
      </c>
      <c r="G1230" s="69" t="s">
        <v>53</v>
      </c>
      <c r="H1230" s="0" t="n">
        <v>39</v>
      </c>
      <c r="I1230" s="70" t="n">
        <v>35.14</v>
      </c>
      <c r="J1230" s="70" t="n">
        <v>18.39</v>
      </c>
      <c r="K1230" s="70" t="n">
        <f aca="false">IF(ISTEXT(H1230),VALUE(H1230),H1230)*I1230</f>
        <v>1370.46</v>
      </c>
    </row>
    <row r="1231" customFormat="false" ht="15" hidden="false" customHeight="false" outlineLevel="0" collapsed="false">
      <c r="A1231" s="0" t="n">
        <v>617</v>
      </c>
      <c r="B1231" s="69" t="s">
        <v>479</v>
      </c>
      <c r="C1231" s="69" t="s">
        <v>25</v>
      </c>
      <c r="D1231" s="69" t="s">
        <v>97</v>
      </c>
      <c r="E1231" s="69" t="s">
        <v>138</v>
      </c>
      <c r="F1231" s="69" t="s">
        <v>183</v>
      </c>
      <c r="G1231" s="69" t="s">
        <v>127</v>
      </c>
      <c r="H1231" s="0" t="n">
        <v>64</v>
      </c>
      <c r="I1231" s="70" t="n">
        <v>127.4</v>
      </c>
      <c r="J1231" s="70" t="n">
        <v>76.05</v>
      </c>
      <c r="K1231" s="70" t="n">
        <f aca="false">IF(ISTEXT(H1231),VALUE(H1231),H1231)*I1231</f>
        <v>8153.6</v>
      </c>
    </row>
    <row r="1232" customFormat="false" ht="15" hidden="false" customHeight="false" outlineLevel="0" collapsed="false">
      <c r="A1232" s="0" t="n">
        <v>144</v>
      </c>
      <c r="B1232" s="69" t="s">
        <v>578</v>
      </c>
      <c r="C1232" s="69" t="s">
        <v>30</v>
      </c>
      <c r="D1232" s="69" t="s">
        <v>109</v>
      </c>
      <c r="E1232" s="69" t="s">
        <v>98</v>
      </c>
      <c r="F1232" s="69" t="s">
        <v>135</v>
      </c>
      <c r="G1232" s="69" t="s">
        <v>89</v>
      </c>
      <c r="H1232" s="0" t="n">
        <v>2</v>
      </c>
      <c r="I1232" s="70" t="n">
        <v>441</v>
      </c>
      <c r="J1232" s="70" t="n">
        <v>272.25</v>
      </c>
      <c r="K1232" s="70" t="n">
        <f aca="false">IF(ISTEXT(H1232),VALUE(H1232),H1232)*I1232</f>
        <v>882</v>
      </c>
    </row>
    <row r="1233" customFormat="false" ht="15" hidden="false" customHeight="false" outlineLevel="0" collapsed="false">
      <c r="A1233" s="0" t="n">
        <v>689</v>
      </c>
      <c r="B1233" s="69" t="s">
        <v>579</v>
      </c>
      <c r="C1233" s="69" t="s">
        <v>133</v>
      </c>
      <c r="D1233" s="69" t="s">
        <v>112</v>
      </c>
      <c r="E1233" s="69" t="s">
        <v>101</v>
      </c>
      <c r="F1233" s="69" t="s">
        <v>99</v>
      </c>
      <c r="G1233" s="69" t="s">
        <v>235</v>
      </c>
      <c r="H1233" s="0" t="n">
        <v>40</v>
      </c>
      <c r="I1233" s="70" t="n">
        <v>93.1</v>
      </c>
      <c r="J1233" s="70" t="n">
        <v>47.98</v>
      </c>
      <c r="K1233" s="70" t="n">
        <f aca="false">IF(ISTEXT(H1233),VALUE(H1233),H1233)*I1233</f>
        <v>3724</v>
      </c>
    </row>
    <row r="1234" customFormat="false" ht="15" hidden="false" customHeight="false" outlineLevel="0" collapsed="false">
      <c r="A1234" s="0" t="n">
        <v>1327</v>
      </c>
      <c r="B1234" s="68" t="n">
        <v>45690</v>
      </c>
      <c r="C1234" s="69" t="s">
        <v>120</v>
      </c>
      <c r="D1234" s="69" t="s">
        <v>86</v>
      </c>
      <c r="E1234" s="69" t="s">
        <v>92</v>
      </c>
      <c r="F1234" s="69" t="s">
        <v>99</v>
      </c>
      <c r="G1234" s="69" t="s">
        <v>47</v>
      </c>
      <c r="H1234" s="0" t="n">
        <v>46</v>
      </c>
      <c r="I1234" s="70" t="n">
        <v>27.82</v>
      </c>
      <c r="J1234" s="70" t="n">
        <v>13.84</v>
      </c>
      <c r="K1234" s="70" t="n">
        <f aca="false">IF(ISTEXT(H1234),VALUE(H1234),H1234)*I1234</f>
        <v>1279.72</v>
      </c>
    </row>
    <row r="1235" customFormat="false" ht="15" hidden="false" customHeight="false" outlineLevel="0" collapsed="false">
      <c r="A1235" s="0" t="n">
        <v>1125</v>
      </c>
      <c r="B1235" s="68" t="n">
        <v>45645</v>
      </c>
      <c r="C1235" s="69" t="s">
        <v>159</v>
      </c>
      <c r="D1235" s="69" t="s">
        <v>86</v>
      </c>
      <c r="E1235" s="69" t="s">
        <v>138</v>
      </c>
      <c r="F1235" s="69" t="s">
        <v>88</v>
      </c>
      <c r="G1235" s="69" t="s">
        <v>141</v>
      </c>
      <c r="H1235" s="0" t="n">
        <v>19</v>
      </c>
      <c r="I1235" s="70" t="n">
        <v>1617</v>
      </c>
      <c r="J1235" s="70" t="n">
        <v>1122</v>
      </c>
      <c r="K1235" s="70" t="n">
        <f aca="false">IF(ISTEXT(H1235),VALUE(H1235),H1235)*I1235</f>
        <v>30723</v>
      </c>
    </row>
    <row r="1236" customFormat="false" ht="15" hidden="false" customHeight="false" outlineLevel="0" collapsed="false">
      <c r="A1236" s="0" t="n">
        <v>303</v>
      </c>
      <c r="B1236" s="68" t="n">
        <v>45398</v>
      </c>
      <c r="C1236" s="69" t="s">
        <v>124</v>
      </c>
      <c r="D1236" s="69" t="s">
        <v>97</v>
      </c>
      <c r="E1236" s="69" t="s">
        <v>138</v>
      </c>
      <c r="F1236" s="69" t="s">
        <v>153</v>
      </c>
      <c r="G1236" s="69" t="s">
        <v>89</v>
      </c>
      <c r="H1236" s="0" t="n">
        <v>22</v>
      </c>
      <c r="I1236" s="70" t="n">
        <v>441</v>
      </c>
      <c r="J1236" s="70" t="n">
        <v>272.25</v>
      </c>
      <c r="K1236" s="70" t="n">
        <f aca="false">IF(ISTEXT(H1236),VALUE(H1236),H1236)*I1236</f>
        <v>9702</v>
      </c>
    </row>
    <row r="1237" customFormat="false" ht="15" hidden="false" customHeight="false" outlineLevel="0" collapsed="false">
      <c r="A1237" s="0" t="n">
        <v>2005</v>
      </c>
      <c r="B1237" s="68" t="n">
        <v>45923</v>
      </c>
      <c r="C1237" s="69" t="s">
        <v>124</v>
      </c>
      <c r="D1237" s="69" t="s">
        <v>97</v>
      </c>
      <c r="E1237" s="69" t="s">
        <v>92</v>
      </c>
      <c r="F1237" s="69" t="s">
        <v>147</v>
      </c>
      <c r="G1237" s="69" t="s">
        <v>45</v>
      </c>
      <c r="H1237" s="0" t="n">
        <v>17</v>
      </c>
      <c r="I1237" s="70" t="n">
        <v>1656.52</v>
      </c>
      <c r="J1237" s="70" t="n">
        <v>1155.66</v>
      </c>
      <c r="K1237" s="70" t="n">
        <f aca="false">IF(ISTEXT(H1237),VALUE(H1237),H1237)*I1237</f>
        <v>28160.84</v>
      </c>
    </row>
    <row r="1238" customFormat="false" ht="15" hidden="false" customHeight="false" outlineLevel="0" collapsed="false">
      <c r="A1238" s="0" t="n">
        <v>1179</v>
      </c>
      <c r="B1238" s="68" t="n">
        <v>45645</v>
      </c>
      <c r="C1238" s="69" t="s">
        <v>184</v>
      </c>
      <c r="D1238" s="69" t="s">
        <v>137</v>
      </c>
      <c r="E1238" s="69" t="s">
        <v>121</v>
      </c>
      <c r="F1238" s="69" t="s">
        <v>183</v>
      </c>
      <c r="G1238" s="69" t="s">
        <v>217</v>
      </c>
      <c r="H1238" s="0" t="n">
        <v>25</v>
      </c>
      <c r="I1238" s="70" t="n">
        <v>34.3</v>
      </c>
      <c r="J1238" s="70" t="n">
        <v>17.85</v>
      </c>
      <c r="K1238" s="70" t="n">
        <f aca="false">IF(ISTEXT(H1238),VALUE(H1238),H1238)*I1238</f>
        <v>857.5</v>
      </c>
    </row>
    <row r="1239" customFormat="false" ht="15" hidden="false" customHeight="false" outlineLevel="0" collapsed="false">
      <c r="A1239" s="0" t="n">
        <v>428</v>
      </c>
      <c r="B1239" s="68" t="n">
        <v>45439</v>
      </c>
      <c r="C1239" s="69" t="s">
        <v>120</v>
      </c>
      <c r="D1239" s="69" t="s">
        <v>86</v>
      </c>
      <c r="E1239" s="69" t="s">
        <v>119</v>
      </c>
      <c r="F1239" s="69" t="s">
        <v>155</v>
      </c>
      <c r="G1239" s="69" t="s">
        <v>47</v>
      </c>
      <c r="H1239" s="0" t="s">
        <v>548</v>
      </c>
      <c r="I1239" s="70" t="n">
        <v>27.44</v>
      </c>
      <c r="J1239" s="70" t="n">
        <v>13.44</v>
      </c>
      <c r="K1239" s="70" t="n">
        <f aca="false">IF(ISTEXT(H1239),VALUE(H1239),H1239)*I1239</f>
        <v>686</v>
      </c>
    </row>
    <row r="1240" customFormat="false" ht="15" hidden="false" customHeight="false" outlineLevel="0" collapsed="false">
      <c r="A1240" s="0" t="n">
        <v>1219</v>
      </c>
      <c r="B1240" s="69" t="s">
        <v>580</v>
      </c>
      <c r="C1240" s="69" t="s">
        <v>170</v>
      </c>
      <c r="D1240" s="69" t="s">
        <v>97</v>
      </c>
      <c r="E1240" s="69" t="s">
        <v>92</v>
      </c>
      <c r="F1240" s="69" t="s">
        <v>93</v>
      </c>
      <c r="G1240" s="69" t="s">
        <v>217</v>
      </c>
      <c r="H1240" s="0" t="n">
        <v>49</v>
      </c>
      <c r="I1240" s="70" t="n">
        <v>34.78</v>
      </c>
      <c r="J1240" s="70" t="n">
        <v>18.39</v>
      </c>
      <c r="K1240" s="70" t="n">
        <f aca="false">IF(ISTEXT(H1240),VALUE(H1240),H1240)*I1240</f>
        <v>1704.22</v>
      </c>
    </row>
    <row r="1241" customFormat="false" ht="15" hidden="false" customHeight="false" outlineLevel="0" collapsed="false">
      <c r="A1241" s="0" t="n">
        <v>1885</v>
      </c>
      <c r="B1241" s="69" t="s">
        <v>546</v>
      </c>
      <c r="C1241" s="69" t="s">
        <v>142</v>
      </c>
      <c r="D1241" s="69" t="s">
        <v>112</v>
      </c>
      <c r="E1241" s="69" t="s">
        <v>110</v>
      </c>
      <c r="F1241" s="69" t="s">
        <v>139</v>
      </c>
      <c r="G1241" s="69" t="s">
        <v>141</v>
      </c>
      <c r="H1241" s="0" t="n">
        <v>6</v>
      </c>
      <c r="I1241" s="70" t="n">
        <v>1656.52</v>
      </c>
      <c r="J1241" s="70" t="n">
        <v>1155.66</v>
      </c>
      <c r="K1241" s="70" t="n">
        <f aca="false">IF(ISTEXT(H1241),VALUE(H1241),H1241)*I1241</f>
        <v>9939.12</v>
      </c>
    </row>
    <row r="1242" customFormat="false" ht="15" hidden="false" customHeight="false" outlineLevel="0" collapsed="false">
      <c r="A1242" s="0" t="n">
        <v>1362</v>
      </c>
      <c r="B1242" s="68" t="n">
        <v>45692</v>
      </c>
      <c r="C1242" s="69" t="s">
        <v>184</v>
      </c>
      <c r="D1242" s="69"/>
      <c r="E1242" s="69" t="s">
        <v>119</v>
      </c>
      <c r="F1242" s="69" t="s">
        <v>139</v>
      </c>
      <c r="G1242" s="69" t="s">
        <v>41</v>
      </c>
      <c r="H1242" s="0" t="n">
        <v>4</v>
      </c>
      <c r="I1242" s="70" t="n">
        <v>1155.06</v>
      </c>
      <c r="J1242" s="70" t="n">
        <v>766.32</v>
      </c>
      <c r="K1242" s="70" t="n">
        <f aca="false">IF(ISTEXT(H1242),VALUE(H1242),H1242)*I1242</f>
        <v>4620.24</v>
      </c>
    </row>
    <row r="1243" customFormat="false" ht="15" hidden="false" customHeight="false" outlineLevel="0" collapsed="false">
      <c r="A1243" s="0" t="n">
        <v>1979</v>
      </c>
      <c r="B1243" s="68" t="n">
        <v>45872</v>
      </c>
      <c r="C1243" s="69" t="s">
        <v>193</v>
      </c>
      <c r="D1243" s="69" t="s">
        <v>137</v>
      </c>
      <c r="E1243" s="69" t="s">
        <v>101</v>
      </c>
      <c r="F1243" s="69" t="s">
        <v>183</v>
      </c>
      <c r="G1243" s="69" t="s">
        <v>217</v>
      </c>
      <c r="H1243" s="0" t="n">
        <v>18</v>
      </c>
      <c r="I1243" s="70" t="n">
        <v>35.14</v>
      </c>
      <c r="J1243" s="70" t="n">
        <v>18.39</v>
      </c>
      <c r="K1243" s="70" t="n">
        <f aca="false">IF(ISTEXT(H1243),VALUE(H1243),H1243)*I1243</f>
        <v>632.52</v>
      </c>
    </row>
    <row r="1244" customFormat="false" ht="15" hidden="false" customHeight="false" outlineLevel="0" collapsed="false">
      <c r="A1244" s="0" t="n">
        <v>99</v>
      </c>
      <c r="B1244" s="68" t="n">
        <v>45310</v>
      </c>
      <c r="C1244" s="69" t="s">
        <v>34</v>
      </c>
      <c r="D1244" s="69" t="s">
        <v>112</v>
      </c>
      <c r="E1244" s="69" t="s">
        <v>138</v>
      </c>
      <c r="F1244" s="69" t="s">
        <v>93</v>
      </c>
      <c r="G1244" s="69" t="s">
        <v>53</v>
      </c>
      <c r="H1244" s="0" t="n">
        <v>14</v>
      </c>
      <c r="I1244" s="70" t="n">
        <v>34.3</v>
      </c>
      <c r="J1244" s="70" t="n">
        <v>17.85</v>
      </c>
      <c r="K1244" s="70" t="n">
        <f aca="false">IF(ISTEXT(H1244),VALUE(H1244),H1244)*I1244</f>
        <v>480.2</v>
      </c>
    </row>
    <row r="1245" customFormat="false" ht="15" hidden="false" customHeight="false" outlineLevel="0" collapsed="false">
      <c r="A1245" s="0" t="n">
        <v>1545</v>
      </c>
      <c r="B1245" s="68" t="n">
        <v>45763</v>
      </c>
      <c r="C1245" s="69" t="s">
        <v>30</v>
      </c>
      <c r="D1245" s="69" t="s">
        <v>109</v>
      </c>
      <c r="E1245" s="69" t="s">
        <v>101</v>
      </c>
      <c r="F1245" s="69" t="s">
        <v>153</v>
      </c>
      <c r="G1245" s="69" t="s">
        <v>141</v>
      </c>
      <c r="H1245" s="0" t="n">
        <v>8</v>
      </c>
      <c r="I1245" s="70" t="n">
        <v>1588.21</v>
      </c>
      <c r="J1245" s="70" t="n">
        <v>1155.66</v>
      </c>
      <c r="K1245" s="70" t="n">
        <f aca="false">IF(ISTEXT(H1245),VALUE(H1245),H1245)*I1245</f>
        <v>12705.68</v>
      </c>
    </row>
    <row r="1246" customFormat="false" ht="15" hidden="false" customHeight="false" outlineLevel="0" collapsed="false">
      <c r="A1246" s="0" t="n">
        <v>76</v>
      </c>
      <c r="B1246" s="69" t="s">
        <v>581</v>
      </c>
      <c r="C1246" s="69" t="s">
        <v>193</v>
      </c>
      <c r="D1246" s="69" t="s">
        <v>137</v>
      </c>
      <c r="E1246" s="69" t="s">
        <v>125</v>
      </c>
      <c r="F1246" s="69" t="s">
        <v>115</v>
      </c>
      <c r="G1246" s="69" t="s">
        <v>111</v>
      </c>
      <c r="H1246" s="0" t="n">
        <v>5</v>
      </c>
      <c r="I1246" s="70" t="n">
        <v>83.3</v>
      </c>
      <c r="J1246" s="70" t="n">
        <v>48.03</v>
      </c>
      <c r="K1246" s="70" t="n">
        <f aca="false">IF(ISTEXT(H1246),VALUE(H1246),H1246)*I1246</f>
        <v>416.5</v>
      </c>
    </row>
    <row r="1247" customFormat="false" ht="15" hidden="false" customHeight="false" outlineLevel="0" collapsed="false">
      <c r="A1247" s="0" t="n">
        <v>2289</v>
      </c>
      <c r="B1247" s="68" t="n">
        <v>45974</v>
      </c>
      <c r="C1247" s="69" t="s">
        <v>161</v>
      </c>
      <c r="D1247" s="69" t="s">
        <v>112</v>
      </c>
      <c r="E1247" s="69" t="s">
        <v>101</v>
      </c>
      <c r="F1247" s="69" t="s">
        <v>155</v>
      </c>
      <c r="G1247" s="69" t="s">
        <v>172</v>
      </c>
      <c r="H1247" s="0" t="n">
        <v>32</v>
      </c>
      <c r="I1247" s="70" t="n">
        <v>95.38</v>
      </c>
      <c r="J1247" s="70" t="n">
        <v>49.41</v>
      </c>
      <c r="K1247" s="70" t="n">
        <f aca="false">IF(ISTEXT(H1247),VALUE(H1247),H1247)*I1247</f>
        <v>3052.16</v>
      </c>
    </row>
    <row r="1248" customFormat="false" ht="15" hidden="false" customHeight="false" outlineLevel="0" collapsed="false">
      <c r="A1248" s="0" t="n">
        <v>1999</v>
      </c>
      <c r="B1248" s="68" t="n">
        <v>45877</v>
      </c>
      <c r="C1248" s="69" t="s">
        <v>133</v>
      </c>
      <c r="D1248" s="69" t="s">
        <v>112</v>
      </c>
      <c r="E1248" s="69" t="s">
        <v>138</v>
      </c>
      <c r="F1248" s="69" t="s">
        <v>183</v>
      </c>
      <c r="G1248" s="69" t="s">
        <v>94</v>
      </c>
      <c r="H1248" s="0" t="n">
        <v>15</v>
      </c>
      <c r="I1248" s="70" t="n">
        <v>35.14</v>
      </c>
      <c r="J1248" s="70" t="n">
        <v>18.39</v>
      </c>
      <c r="K1248" s="70" t="n">
        <f aca="false">IF(ISTEXT(H1248),VALUE(H1248),H1248)*I1248</f>
        <v>527.1</v>
      </c>
    </row>
    <row r="1249" customFormat="false" ht="15" hidden="false" customHeight="false" outlineLevel="0" collapsed="false">
      <c r="A1249" s="0" t="n">
        <v>285</v>
      </c>
      <c r="B1249" s="69" t="s">
        <v>582</v>
      </c>
      <c r="C1249" s="69" t="s">
        <v>161</v>
      </c>
      <c r="D1249" s="69" t="s">
        <v>112</v>
      </c>
      <c r="E1249" s="69" t="s">
        <v>134</v>
      </c>
      <c r="F1249" s="69" t="s">
        <v>153</v>
      </c>
      <c r="G1249" s="69" t="s">
        <v>141</v>
      </c>
      <c r="H1249" s="0" t="n">
        <v>5</v>
      </c>
      <c r="I1249" s="70" t="n">
        <v>1617</v>
      </c>
      <c r="J1249" s="70" t="n">
        <v>1122</v>
      </c>
      <c r="K1249" s="70" t="n">
        <f aca="false">IF(ISTEXT(H1249),VALUE(H1249),H1249)*I1249</f>
        <v>8085</v>
      </c>
    </row>
    <row r="1250" customFormat="false" ht="15" hidden="false" customHeight="false" outlineLevel="0" collapsed="false">
      <c r="A1250" s="0" t="n">
        <v>2212</v>
      </c>
      <c r="B1250" s="68" t="n">
        <v>45975</v>
      </c>
      <c r="C1250" s="69" t="s">
        <v>150</v>
      </c>
      <c r="D1250" s="69" t="s">
        <v>97</v>
      </c>
      <c r="E1250" s="69" t="s">
        <v>98</v>
      </c>
      <c r="F1250" s="69" t="s">
        <v>28</v>
      </c>
      <c r="G1250" s="69" t="s">
        <v>49</v>
      </c>
      <c r="H1250" s="0" t="s">
        <v>583</v>
      </c>
      <c r="I1250" s="70" t="n">
        <v>65.26</v>
      </c>
      <c r="J1250" s="70" t="n">
        <v>36.49</v>
      </c>
      <c r="K1250" s="70" t="n">
        <f aca="false">IF(ISTEXT(H1250),VALUE(H1250),H1250)*I1250</f>
        <v>5220.8</v>
      </c>
    </row>
    <row r="1251" customFormat="false" ht="15" hidden="false" customHeight="false" outlineLevel="0" collapsed="false">
      <c r="A1251" s="0" t="n">
        <v>447</v>
      </c>
      <c r="B1251" s="68" t="n">
        <v>45437</v>
      </c>
      <c r="C1251" s="69" t="s">
        <v>30</v>
      </c>
      <c r="D1251" s="69" t="s">
        <v>109</v>
      </c>
      <c r="E1251" s="69" t="s">
        <v>92</v>
      </c>
      <c r="F1251" s="69" t="s">
        <v>99</v>
      </c>
      <c r="G1251" s="69" t="s">
        <v>113</v>
      </c>
      <c r="H1251" s="0" t="n">
        <v>46</v>
      </c>
      <c r="I1251" s="70" t="n">
        <v>27.44</v>
      </c>
      <c r="J1251" s="70" t="n">
        <v>13.44</v>
      </c>
      <c r="K1251" s="70" t="n">
        <f aca="false">IF(ISTEXT(H1251),VALUE(H1251),H1251)*I1251</f>
        <v>1262.24</v>
      </c>
    </row>
    <row r="1252" customFormat="false" ht="15" hidden="false" customHeight="false" outlineLevel="0" collapsed="false">
      <c r="A1252" s="0" t="n">
        <v>199</v>
      </c>
      <c r="B1252" s="68" t="n">
        <v>45339</v>
      </c>
      <c r="C1252" s="69" t="s">
        <v>34</v>
      </c>
      <c r="D1252" s="69" t="s">
        <v>112</v>
      </c>
      <c r="E1252" s="69" t="s">
        <v>110</v>
      </c>
      <c r="F1252" s="69" t="s">
        <v>182</v>
      </c>
      <c r="G1252" s="69" t="s">
        <v>94</v>
      </c>
      <c r="H1252" s="0" t="n">
        <v>14</v>
      </c>
      <c r="I1252" s="70" t="n">
        <v>34.3</v>
      </c>
      <c r="J1252" s="70" t="n">
        <v>17.85</v>
      </c>
      <c r="K1252" s="70" t="n">
        <f aca="false">IF(ISTEXT(H1252),VALUE(H1252),H1252)*I1252</f>
        <v>480.2</v>
      </c>
    </row>
    <row r="1253" customFormat="false" ht="15" hidden="false" customHeight="false" outlineLevel="0" collapsed="false">
      <c r="A1253" s="0" t="n">
        <v>1828</v>
      </c>
      <c r="B1253" s="69" t="s">
        <v>231</v>
      </c>
      <c r="C1253" s="69" t="s">
        <v>91</v>
      </c>
      <c r="D1253" s="69" t="s">
        <v>86</v>
      </c>
      <c r="E1253" s="69" t="s">
        <v>87</v>
      </c>
      <c r="F1253" s="69" t="s">
        <v>28</v>
      </c>
      <c r="G1253" s="69" t="s">
        <v>103</v>
      </c>
      <c r="H1253" s="0" t="n">
        <v>42</v>
      </c>
      <c r="I1253" s="70" t="n">
        <v>28.11</v>
      </c>
      <c r="J1253" s="70" t="n">
        <v>13.84</v>
      </c>
      <c r="K1253" s="70" t="n">
        <f aca="false">IF(ISTEXT(H1253),VALUE(H1253),H1253)*I1253</f>
        <v>1180.62</v>
      </c>
    </row>
    <row r="1254" customFormat="false" ht="15" hidden="false" customHeight="false" outlineLevel="0" collapsed="false">
      <c r="A1254" s="0" t="n">
        <v>960</v>
      </c>
      <c r="B1254" s="69" t="s">
        <v>584</v>
      </c>
      <c r="C1254" s="69" t="s">
        <v>30</v>
      </c>
      <c r="D1254" s="69" t="s">
        <v>109</v>
      </c>
      <c r="E1254" s="69" t="s">
        <v>125</v>
      </c>
      <c r="F1254" s="69" t="s">
        <v>182</v>
      </c>
      <c r="G1254" s="69" t="s">
        <v>94</v>
      </c>
      <c r="H1254" s="0" t="n">
        <v>9</v>
      </c>
      <c r="I1254" s="70" t="n">
        <v>34.3</v>
      </c>
      <c r="J1254" s="70" t="n">
        <v>17.85</v>
      </c>
      <c r="K1254" s="70" t="n">
        <f aca="false">IF(ISTEXT(H1254),VALUE(H1254),H1254)*I1254</f>
        <v>308.7</v>
      </c>
    </row>
    <row r="1255" customFormat="false" ht="15" hidden="false" customHeight="false" outlineLevel="0" collapsed="false">
      <c r="A1255" s="0" t="n">
        <v>1338</v>
      </c>
      <c r="B1255" s="68" t="n">
        <v>45713</v>
      </c>
      <c r="C1255" s="69" t="s">
        <v>120</v>
      </c>
      <c r="D1255" s="69" t="s">
        <v>86</v>
      </c>
      <c r="E1255" s="69" t="s">
        <v>107</v>
      </c>
      <c r="F1255" s="69" t="s">
        <v>183</v>
      </c>
      <c r="G1255" s="69" t="s">
        <v>52</v>
      </c>
      <c r="H1255" s="0" t="n">
        <v>20</v>
      </c>
      <c r="I1255" s="70" t="n">
        <v>129.17</v>
      </c>
      <c r="J1255" s="70" t="n">
        <v>78.33</v>
      </c>
      <c r="K1255" s="70" t="n">
        <f aca="false">IF(ISTEXT(H1255),VALUE(H1255),H1255)*I1255</f>
        <v>2583.4</v>
      </c>
    </row>
    <row r="1256" customFormat="false" ht="15" hidden="false" customHeight="false" outlineLevel="0" collapsed="false">
      <c r="A1256" s="0" t="n">
        <v>1597</v>
      </c>
      <c r="B1256" s="68" t="n">
        <v>45749</v>
      </c>
      <c r="C1256" s="69" t="s">
        <v>34</v>
      </c>
      <c r="D1256" s="69" t="s">
        <v>112</v>
      </c>
      <c r="E1256" s="69" t="s">
        <v>138</v>
      </c>
      <c r="F1256" s="69" t="s">
        <v>182</v>
      </c>
      <c r="G1256" s="69" t="s">
        <v>127</v>
      </c>
      <c r="H1256" s="0" t="n">
        <v>14</v>
      </c>
      <c r="I1256" s="70" t="n">
        <v>129.17</v>
      </c>
      <c r="J1256" s="70" t="n">
        <v>78.33</v>
      </c>
      <c r="K1256" s="70" t="n">
        <f aca="false">IF(ISTEXT(H1256),VALUE(H1256),H1256)*I1256</f>
        <v>1808.38</v>
      </c>
    </row>
    <row r="1257" customFormat="false" ht="15" hidden="false" customHeight="false" outlineLevel="0" collapsed="false">
      <c r="A1257" s="0" t="n">
        <v>1775</v>
      </c>
      <c r="B1257" s="69" t="s">
        <v>585</v>
      </c>
      <c r="C1257" s="69" t="s">
        <v>32</v>
      </c>
      <c r="D1257" s="69" t="s">
        <v>137</v>
      </c>
      <c r="E1257" s="69" t="s">
        <v>121</v>
      </c>
      <c r="F1257" s="69" t="s">
        <v>31</v>
      </c>
      <c r="G1257" s="69" t="s">
        <v>51</v>
      </c>
      <c r="H1257" s="0" t="n">
        <v>16</v>
      </c>
      <c r="I1257" s="70" t="n">
        <v>84.46</v>
      </c>
      <c r="J1257" s="70" t="n">
        <v>49.47</v>
      </c>
      <c r="K1257" s="70" t="n">
        <f aca="false">IF(ISTEXT(H1257),VALUE(H1257),H1257)*I1257</f>
        <v>1351.36</v>
      </c>
    </row>
    <row r="1258" customFormat="false" ht="15" hidden="false" customHeight="false" outlineLevel="0" collapsed="false">
      <c r="A1258" s="0" t="n">
        <v>2116</v>
      </c>
      <c r="B1258" s="68" t="n">
        <v>45947</v>
      </c>
      <c r="C1258" s="69" t="s">
        <v>96</v>
      </c>
      <c r="D1258" s="69" t="s">
        <v>97</v>
      </c>
      <c r="E1258" s="69" t="s">
        <v>119</v>
      </c>
      <c r="F1258" s="69" t="s">
        <v>162</v>
      </c>
      <c r="G1258" s="69" t="s">
        <v>116</v>
      </c>
      <c r="H1258" s="0" t="n">
        <v>31</v>
      </c>
      <c r="I1258" s="70" t="n">
        <v>85.34</v>
      </c>
      <c r="J1258" s="70" t="n">
        <v>49.47</v>
      </c>
      <c r="K1258" s="70" t="n">
        <f aca="false">IF(ISTEXT(H1258),VALUE(H1258),H1258)*I1258</f>
        <v>2645.54</v>
      </c>
    </row>
    <row r="1259" customFormat="false" ht="15" hidden="false" customHeight="false" outlineLevel="0" collapsed="false">
      <c r="A1259" s="0" t="n">
        <v>557</v>
      </c>
      <c r="B1259" s="69" t="s">
        <v>586</v>
      </c>
      <c r="C1259" s="69" t="s">
        <v>118</v>
      </c>
      <c r="D1259" s="69" t="s">
        <v>109</v>
      </c>
      <c r="E1259" s="69" t="s">
        <v>92</v>
      </c>
      <c r="F1259" s="69" t="s">
        <v>182</v>
      </c>
      <c r="G1259" s="69" t="s">
        <v>130</v>
      </c>
      <c r="H1259" s="0" t="n">
        <v>23</v>
      </c>
      <c r="I1259" s="70" t="n">
        <v>127.4</v>
      </c>
      <c r="J1259" s="70" t="n">
        <v>76.05</v>
      </c>
      <c r="K1259" s="70" t="n">
        <f aca="false">IF(ISTEXT(H1259),VALUE(H1259),H1259)*I1259</f>
        <v>2930.2</v>
      </c>
    </row>
    <row r="1260" customFormat="false" ht="15" hidden="false" customHeight="false" outlineLevel="0" collapsed="false">
      <c r="A1260" s="0" t="n">
        <v>272</v>
      </c>
      <c r="B1260" s="68" t="n">
        <v>45366</v>
      </c>
      <c r="C1260" s="69" t="s">
        <v>32</v>
      </c>
      <c r="D1260" s="69" t="s">
        <v>137</v>
      </c>
      <c r="E1260" s="69" t="s">
        <v>125</v>
      </c>
      <c r="F1260" s="69" t="s">
        <v>99</v>
      </c>
      <c r="G1260" s="69" t="s">
        <v>144</v>
      </c>
      <c r="H1260" s="0" t="n">
        <v>11</v>
      </c>
      <c r="I1260" s="70" t="n">
        <v>63.7</v>
      </c>
      <c r="J1260" s="70" t="n">
        <v>35.43</v>
      </c>
      <c r="K1260" s="70" t="n">
        <f aca="false">IF(ISTEXT(H1260),VALUE(H1260),H1260)*I1260</f>
        <v>700.7</v>
      </c>
    </row>
    <row r="1261" customFormat="false" ht="15" hidden="false" customHeight="false" outlineLevel="0" collapsed="false">
      <c r="A1261" s="0" t="n">
        <v>793</v>
      </c>
      <c r="B1261" s="69" t="s">
        <v>458</v>
      </c>
      <c r="C1261" s="69" t="s">
        <v>34</v>
      </c>
      <c r="D1261" s="69" t="s">
        <v>112</v>
      </c>
      <c r="E1261" s="69" t="s">
        <v>138</v>
      </c>
      <c r="F1261" s="69" t="s">
        <v>166</v>
      </c>
      <c r="G1261" s="69" t="s">
        <v>50</v>
      </c>
      <c r="H1261" s="0" t="n">
        <v>14</v>
      </c>
      <c r="I1261" s="70" t="n">
        <v>117.6</v>
      </c>
      <c r="J1261" s="70" t="n">
        <v>63.6</v>
      </c>
      <c r="K1261" s="70" t="n">
        <f aca="false">IF(ISTEXT(H1261),VALUE(H1261),H1261)*I1261</f>
        <v>1646.4</v>
      </c>
    </row>
    <row r="1262" customFormat="false" ht="15" hidden="false" customHeight="false" outlineLevel="0" collapsed="false">
      <c r="A1262" s="0" t="n">
        <v>1036</v>
      </c>
      <c r="B1262" s="68" t="n">
        <v>45613</v>
      </c>
      <c r="C1262" s="69" t="s">
        <v>159</v>
      </c>
      <c r="D1262" s="69" t="s">
        <v>86</v>
      </c>
      <c r="E1262" s="69" t="s">
        <v>125</v>
      </c>
      <c r="F1262" s="69" t="s">
        <v>166</v>
      </c>
      <c r="G1262" s="69" t="s">
        <v>111</v>
      </c>
      <c r="H1262" s="0" t="n">
        <v>14</v>
      </c>
      <c r="I1262" s="70" t="n">
        <v>83.3</v>
      </c>
      <c r="J1262" s="70" t="n">
        <v>48.03</v>
      </c>
      <c r="K1262" s="70" t="n">
        <f aca="false">IF(ISTEXT(H1262),VALUE(H1262),H1262)*I1262</f>
        <v>1166.2</v>
      </c>
    </row>
    <row r="1263" customFormat="false" ht="15" hidden="false" customHeight="false" outlineLevel="0" collapsed="false">
      <c r="A1263" s="0" t="n">
        <v>33</v>
      </c>
      <c r="B1263" s="68" t="n">
        <v>45307</v>
      </c>
      <c r="C1263" s="69" t="s">
        <v>120</v>
      </c>
      <c r="D1263" s="69" t="s">
        <v>86</v>
      </c>
      <c r="E1263" s="69" t="s">
        <v>121</v>
      </c>
      <c r="F1263" s="69" t="s">
        <v>31</v>
      </c>
      <c r="G1263" s="69" t="s">
        <v>50</v>
      </c>
      <c r="H1263" s="0" t="n">
        <v>23</v>
      </c>
      <c r="I1263" s="70" t="n">
        <v>117.6</v>
      </c>
      <c r="J1263" s="70" t="n">
        <v>63.6</v>
      </c>
      <c r="K1263" s="70" t="n">
        <f aca="false">IF(ISTEXT(H1263),VALUE(H1263),H1263)*I1263</f>
        <v>2704.8</v>
      </c>
    </row>
    <row r="1264" customFormat="false" ht="15" hidden="false" customHeight="false" outlineLevel="0" collapsed="false">
      <c r="A1264" s="0" t="n">
        <v>1496</v>
      </c>
      <c r="B1264" s="69" t="s">
        <v>587</v>
      </c>
      <c r="C1264" s="69" t="s">
        <v>34</v>
      </c>
      <c r="D1264" s="69" t="s">
        <v>112</v>
      </c>
      <c r="E1264" s="69" t="s">
        <v>107</v>
      </c>
      <c r="F1264" s="69" t="s">
        <v>166</v>
      </c>
      <c r="G1264" s="69" t="s">
        <v>116</v>
      </c>
      <c r="H1264" s="0" t="n">
        <v>8</v>
      </c>
      <c r="I1264" s="70" t="n">
        <v>84.46</v>
      </c>
      <c r="J1264" s="70" t="n">
        <v>49.47</v>
      </c>
      <c r="K1264" s="70" t="n">
        <f aca="false">IF(ISTEXT(H1264),VALUE(H1264),H1264)*I1264</f>
        <v>675.68</v>
      </c>
    </row>
    <row r="1265" customFormat="false" ht="15" hidden="false" customHeight="false" outlineLevel="0" collapsed="false">
      <c r="A1265" s="0" t="n">
        <v>468</v>
      </c>
      <c r="B1265" s="69" t="s">
        <v>588</v>
      </c>
      <c r="C1265" s="69" t="s">
        <v>136</v>
      </c>
      <c r="D1265" s="69" t="s">
        <v>137</v>
      </c>
      <c r="E1265" s="69" t="s">
        <v>180</v>
      </c>
      <c r="F1265" s="69" t="s">
        <v>155</v>
      </c>
      <c r="G1265" s="69" t="s">
        <v>103</v>
      </c>
      <c r="H1265" s="0" t="n">
        <v>12</v>
      </c>
      <c r="I1265" s="70" t="n">
        <v>27.44</v>
      </c>
      <c r="J1265" s="70" t="n">
        <v>13.44</v>
      </c>
      <c r="K1265" s="70" t="n">
        <f aca="false">IF(ISTEXT(H1265),VALUE(H1265),H1265)*I1265</f>
        <v>329.28</v>
      </c>
    </row>
    <row r="1266" customFormat="false" ht="15" hidden="false" customHeight="false" outlineLevel="0" collapsed="false">
      <c r="A1266" s="0" t="n">
        <v>686</v>
      </c>
      <c r="B1266" s="69" t="s">
        <v>589</v>
      </c>
      <c r="C1266" s="69" t="s">
        <v>34</v>
      </c>
      <c r="D1266" s="69" t="s">
        <v>112</v>
      </c>
      <c r="E1266" s="69" t="s">
        <v>125</v>
      </c>
      <c r="F1266" s="69" t="s">
        <v>26</v>
      </c>
      <c r="G1266" s="69" t="s">
        <v>45</v>
      </c>
      <c r="H1266" s="0" t="s">
        <v>590</v>
      </c>
      <c r="I1266" s="70" t="n">
        <v>1617</v>
      </c>
      <c r="J1266" s="70" t="n">
        <v>1122</v>
      </c>
      <c r="K1266" s="70" t="n">
        <f aca="false">IF(ISTEXT(H1266),VALUE(H1266),H1266)*I1266</f>
        <v>4851</v>
      </c>
    </row>
    <row r="1267" customFormat="false" ht="15" hidden="false" customHeight="false" outlineLevel="0" collapsed="false">
      <c r="A1267" s="0" t="n">
        <v>586</v>
      </c>
      <c r="B1267" s="69" t="s">
        <v>591</v>
      </c>
      <c r="C1267" s="69" t="s">
        <v>142</v>
      </c>
      <c r="D1267" s="69" t="s">
        <v>112</v>
      </c>
      <c r="E1267" s="69" t="s">
        <v>180</v>
      </c>
      <c r="F1267" s="69" t="s">
        <v>88</v>
      </c>
      <c r="G1267" s="69" t="s">
        <v>157</v>
      </c>
      <c r="H1267" s="0" t="n">
        <v>2</v>
      </c>
      <c r="I1267" s="70" t="n">
        <v>1617</v>
      </c>
      <c r="J1267" s="70" t="n">
        <v>1122</v>
      </c>
      <c r="K1267" s="70" t="n">
        <f aca="false">IF(ISTEXT(H1267),VALUE(H1267),H1267)*I1267</f>
        <v>3234</v>
      </c>
    </row>
    <row r="1268" customFormat="false" ht="15" hidden="false" customHeight="false" outlineLevel="0" collapsed="false">
      <c r="A1268" s="0" t="n">
        <v>1350</v>
      </c>
      <c r="B1268" s="68" t="n">
        <v>45689</v>
      </c>
      <c r="C1268" s="69" t="s">
        <v>118</v>
      </c>
      <c r="D1268" s="69" t="s">
        <v>109</v>
      </c>
      <c r="E1268" s="69" t="s">
        <v>87</v>
      </c>
      <c r="F1268" s="69" t="s">
        <v>99</v>
      </c>
      <c r="G1268" s="69" t="s">
        <v>48</v>
      </c>
      <c r="H1268" s="0" t="n">
        <v>18</v>
      </c>
      <c r="I1268" s="70" t="n">
        <v>94.39</v>
      </c>
      <c r="J1268" s="70" t="n">
        <v>49.41</v>
      </c>
      <c r="K1268" s="70" t="n">
        <f aca="false">IF(ISTEXT(H1268),VALUE(H1268),H1268)*I1268</f>
        <v>1699.02</v>
      </c>
    </row>
    <row r="1269" customFormat="false" ht="15" hidden="false" customHeight="false" outlineLevel="0" collapsed="false">
      <c r="A1269" s="0" t="n">
        <v>329</v>
      </c>
      <c r="B1269" s="68" t="n">
        <v>45391</v>
      </c>
      <c r="C1269" s="69" t="s">
        <v>159</v>
      </c>
      <c r="D1269" s="69" t="s">
        <v>86</v>
      </c>
      <c r="E1269" s="69" t="s">
        <v>110</v>
      </c>
      <c r="F1269" s="69" t="s">
        <v>28</v>
      </c>
      <c r="G1269" s="69" t="s">
        <v>235</v>
      </c>
      <c r="H1269" s="0" t="n">
        <v>56</v>
      </c>
      <c r="I1269" s="70" t="n">
        <v>93.1</v>
      </c>
      <c r="J1269" s="70" t="n">
        <v>47.98</v>
      </c>
      <c r="K1269" s="70" t="n">
        <f aca="false">IF(ISTEXT(H1269),VALUE(H1269),H1269)*I1269</f>
        <v>5213.6</v>
      </c>
    </row>
    <row r="1270" customFormat="false" ht="15" hidden="false" customHeight="false" outlineLevel="0" collapsed="false">
      <c r="A1270" s="0" t="n">
        <v>1618</v>
      </c>
      <c r="B1270" s="68" t="n">
        <v>45791</v>
      </c>
      <c r="C1270" s="69" t="s">
        <v>124</v>
      </c>
      <c r="D1270" s="69" t="s">
        <v>97</v>
      </c>
      <c r="E1270" s="69" t="s">
        <v>119</v>
      </c>
      <c r="F1270" s="69" t="s">
        <v>93</v>
      </c>
      <c r="G1270" s="69" t="s">
        <v>127</v>
      </c>
      <c r="H1270" s="0" t="n">
        <v>37</v>
      </c>
      <c r="I1270" s="70" t="n">
        <v>129.17</v>
      </c>
      <c r="J1270" s="70" t="n">
        <v>78.33</v>
      </c>
      <c r="K1270" s="70" t="n">
        <f aca="false">IF(ISTEXT(H1270),VALUE(H1270),H1270)*I1270</f>
        <v>4779.29</v>
      </c>
    </row>
    <row r="1271" customFormat="false" ht="15" hidden="false" customHeight="false" outlineLevel="0" collapsed="false">
      <c r="A1271" s="0" t="n">
        <v>1144</v>
      </c>
      <c r="B1271" s="68" t="n">
        <v>45643</v>
      </c>
      <c r="C1271" s="69" t="s">
        <v>152</v>
      </c>
      <c r="D1271" s="69" t="s">
        <v>109</v>
      </c>
      <c r="E1271" s="69" t="s">
        <v>107</v>
      </c>
      <c r="F1271" s="69" t="s">
        <v>147</v>
      </c>
      <c r="G1271" s="69" t="s">
        <v>89</v>
      </c>
      <c r="H1271" s="0" t="n">
        <v>5</v>
      </c>
      <c r="I1271" s="70" t="n">
        <v>441</v>
      </c>
      <c r="J1271" s="70" t="n">
        <v>272.25</v>
      </c>
      <c r="K1271" s="70" t="n">
        <f aca="false">IF(ISTEXT(H1271),VALUE(H1271),H1271)*I1271</f>
        <v>2205</v>
      </c>
    </row>
    <row r="1272" customFormat="false" ht="15" hidden="false" customHeight="false" outlineLevel="0" collapsed="false">
      <c r="A1272" s="0" t="n">
        <v>349</v>
      </c>
      <c r="B1272" s="68" t="n">
        <v>45396</v>
      </c>
      <c r="C1272" s="69" t="s">
        <v>30</v>
      </c>
      <c r="D1272" s="69" t="s">
        <v>109</v>
      </c>
      <c r="E1272" s="69" t="s">
        <v>101</v>
      </c>
      <c r="F1272" s="69" t="s">
        <v>155</v>
      </c>
      <c r="G1272" s="69" t="s">
        <v>172</v>
      </c>
      <c r="H1272" s="0" t="s">
        <v>592</v>
      </c>
      <c r="I1272" s="70" t="n">
        <v>93.1</v>
      </c>
      <c r="J1272" s="70" t="n">
        <v>47.98</v>
      </c>
      <c r="K1272" s="70" t="n">
        <f aca="false">IF(ISTEXT(H1272),VALUE(H1272),H1272)*I1272</f>
        <v>3444.7</v>
      </c>
    </row>
    <row r="1273" customFormat="false" ht="15" hidden="false" customHeight="false" outlineLevel="0" collapsed="false">
      <c r="A1273" s="0" t="n">
        <v>1562</v>
      </c>
      <c r="B1273" s="68" t="n">
        <v>45774</v>
      </c>
      <c r="C1273" s="69" t="s">
        <v>193</v>
      </c>
      <c r="D1273" s="69" t="s">
        <v>137</v>
      </c>
      <c r="E1273" s="69" t="s">
        <v>125</v>
      </c>
      <c r="F1273" s="69" t="s">
        <v>135</v>
      </c>
      <c r="G1273" s="69" t="s">
        <v>41</v>
      </c>
      <c r="H1273" s="0" t="n">
        <v>4</v>
      </c>
      <c r="I1273" s="70" t="n">
        <v>1155.06</v>
      </c>
      <c r="J1273" s="70" t="n">
        <v>766.32</v>
      </c>
      <c r="K1273" s="70" t="n">
        <f aca="false">IF(ISTEXT(H1273),VALUE(H1273),H1273)*I1273</f>
        <v>4620.24</v>
      </c>
    </row>
    <row r="1274" customFormat="false" ht="15" hidden="false" customHeight="false" outlineLevel="0" collapsed="false">
      <c r="A1274" s="0" t="n">
        <v>632</v>
      </c>
      <c r="B1274" s="69" t="s">
        <v>589</v>
      </c>
      <c r="C1274" s="69" t="s">
        <v>120</v>
      </c>
      <c r="D1274" s="69" t="s">
        <v>86</v>
      </c>
      <c r="E1274" s="69" t="s">
        <v>87</v>
      </c>
      <c r="F1274" s="69" t="s">
        <v>99</v>
      </c>
      <c r="G1274" s="69" t="s">
        <v>208</v>
      </c>
      <c r="H1274" s="0" t="n">
        <v>25</v>
      </c>
      <c r="I1274" s="70" t="n">
        <v>63.7</v>
      </c>
      <c r="J1274" s="70" t="n">
        <v>35.43</v>
      </c>
      <c r="K1274" s="70" t="n">
        <f aca="false">IF(ISTEXT(H1274),VALUE(H1274),H1274)*I1274</f>
        <v>1592.5</v>
      </c>
    </row>
    <row r="1275" customFormat="false" ht="15" hidden="false" customHeight="false" outlineLevel="0" collapsed="false">
      <c r="A1275" s="0" t="n">
        <v>883</v>
      </c>
      <c r="B1275" s="69" t="s">
        <v>593</v>
      </c>
      <c r="C1275" s="69" t="s">
        <v>34</v>
      </c>
      <c r="D1275" s="69" t="s">
        <v>112</v>
      </c>
      <c r="E1275" s="69" t="s">
        <v>134</v>
      </c>
      <c r="F1275" s="69" t="s">
        <v>135</v>
      </c>
      <c r="G1275" s="69" t="s">
        <v>89</v>
      </c>
      <c r="H1275" s="0" t="n">
        <v>7</v>
      </c>
      <c r="I1275" s="70" t="n">
        <v>441</v>
      </c>
      <c r="J1275" s="70" t="n">
        <v>272.25</v>
      </c>
      <c r="K1275" s="70" t="n">
        <f aca="false">IF(ISTEXT(H1275),VALUE(H1275),H1275)*I1275</f>
        <v>3087</v>
      </c>
    </row>
    <row r="1276" customFormat="false" ht="15" hidden="false" customHeight="false" outlineLevel="0" collapsed="false">
      <c r="A1276" s="0" t="n">
        <v>374</v>
      </c>
      <c r="B1276" s="69" t="s">
        <v>594</v>
      </c>
      <c r="C1276" s="69" t="s">
        <v>136</v>
      </c>
      <c r="D1276" s="69" t="s">
        <v>137</v>
      </c>
      <c r="E1276" s="69" t="s">
        <v>119</v>
      </c>
      <c r="F1276" s="69" t="s">
        <v>166</v>
      </c>
      <c r="G1276" s="69" t="s">
        <v>171</v>
      </c>
      <c r="H1276" s="0" t="n">
        <v>5</v>
      </c>
      <c r="I1276" s="70" t="n">
        <v>117.6</v>
      </c>
      <c r="J1276" s="70" t="n">
        <v>63.6</v>
      </c>
      <c r="K1276" s="70" t="n">
        <f aca="false">IF(ISTEXT(H1276),VALUE(H1276),H1276)*I1276</f>
        <v>588</v>
      </c>
    </row>
    <row r="1277" customFormat="false" ht="15" hidden="false" customHeight="false" outlineLevel="0" collapsed="false">
      <c r="A1277" s="0" t="n">
        <v>446</v>
      </c>
      <c r="B1277" s="69" t="s">
        <v>595</v>
      </c>
      <c r="C1277" s="69" t="s">
        <v>152</v>
      </c>
      <c r="D1277" s="69"/>
      <c r="E1277" s="69" t="s">
        <v>107</v>
      </c>
      <c r="F1277" s="69" t="s">
        <v>135</v>
      </c>
      <c r="G1277" s="69" t="s">
        <v>157</v>
      </c>
      <c r="H1277" s="0" t="n">
        <v>3</v>
      </c>
      <c r="I1277" s="70" t="n">
        <v>1617</v>
      </c>
      <c r="J1277" s="70" t="n">
        <v>1122</v>
      </c>
      <c r="K1277" s="70" t="n">
        <f aca="false">IF(ISTEXT(H1277),VALUE(H1277),H1277)*I1277</f>
        <v>4851</v>
      </c>
    </row>
    <row r="1278" customFormat="false" ht="15" hidden="false" customHeight="false" outlineLevel="0" collapsed="false">
      <c r="A1278" s="0" t="n">
        <v>418</v>
      </c>
      <c r="B1278" s="68" t="n">
        <v>45423</v>
      </c>
      <c r="C1278" s="69" t="s">
        <v>124</v>
      </c>
      <c r="D1278" s="69" t="s">
        <v>97</v>
      </c>
      <c r="E1278" s="69" t="s">
        <v>180</v>
      </c>
      <c r="F1278" s="69" t="s">
        <v>33</v>
      </c>
      <c r="G1278" s="69" t="s">
        <v>127</v>
      </c>
      <c r="H1278" s="0" t="s">
        <v>254</v>
      </c>
      <c r="I1278" s="70" t="n">
        <v>127.4</v>
      </c>
      <c r="J1278" s="70" t="n">
        <v>76.05</v>
      </c>
      <c r="K1278" s="70" t="n">
        <f aca="false">IF(ISTEXT(H1278),VALUE(H1278),H1278)*I1278</f>
        <v>2548</v>
      </c>
    </row>
    <row r="1279" customFormat="false" ht="15" hidden="false" customHeight="false" outlineLevel="0" collapsed="false">
      <c r="A1279" s="0" t="n">
        <v>1568</v>
      </c>
      <c r="B1279" s="68" t="n">
        <v>45762</v>
      </c>
      <c r="C1279" s="69" t="s">
        <v>184</v>
      </c>
      <c r="D1279" s="69" t="s">
        <v>137</v>
      </c>
      <c r="E1279" s="69" t="s">
        <v>180</v>
      </c>
      <c r="F1279" s="69" t="s">
        <v>99</v>
      </c>
      <c r="G1279" s="69" t="s">
        <v>47</v>
      </c>
      <c r="H1279" s="0" t="s">
        <v>211</v>
      </c>
      <c r="I1279" s="70" t="n">
        <v>27.82</v>
      </c>
      <c r="J1279" s="70" t="n">
        <v>13.84</v>
      </c>
      <c r="K1279" s="70" t="n">
        <f aca="false">IF(ISTEXT(H1279),VALUE(H1279),H1279)*I1279</f>
        <v>500.76</v>
      </c>
    </row>
    <row r="1280" customFormat="false" ht="15" hidden="false" customHeight="false" outlineLevel="0" collapsed="false">
      <c r="A1280" s="0" t="n">
        <v>2214</v>
      </c>
      <c r="B1280" s="69" t="s">
        <v>596</v>
      </c>
      <c r="C1280" s="69" t="s">
        <v>150</v>
      </c>
      <c r="D1280" s="69" t="s">
        <v>97</v>
      </c>
      <c r="E1280" s="69" t="s">
        <v>107</v>
      </c>
      <c r="F1280" s="69" t="s">
        <v>162</v>
      </c>
      <c r="G1280" s="69" t="s">
        <v>171</v>
      </c>
      <c r="H1280" s="0" t="n">
        <v>31</v>
      </c>
      <c r="I1280" s="70" t="n">
        <v>120.47</v>
      </c>
      <c r="J1280" s="70" t="n">
        <v>65.51</v>
      </c>
      <c r="K1280" s="70" t="n">
        <f aca="false">IF(ISTEXT(H1280),VALUE(H1280),H1280)*I1280</f>
        <v>3734.57</v>
      </c>
    </row>
    <row r="1281" customFormat="false" ht="15" hidden="false" customHeight="false" outlineLevel="0" collapsed="false">
      <c r="A1281" s="0" t="n">
        <v>384</v>
      </c>
      <c r="B1281" s="68" t="n">
        <v>45398</v>
      </c>
      <c r="C1281" s="69" t="s">
        <v>133</v>
      </c>
      <c r="D1281" s="69" t="s">
        <v>112</v>
      </c>
      <c r="E1281" s="69" t="s">
        <v>119</v>
      </c>
      <c r="F1281" s="69" t="s">
        <v>26</v>
      </c>
      <c r="G1281" s="69" t="s">
        <v>89</v>
      </c>
      <c r="H1281" s="0" t="n">
        <v>3</v>
      </c>
      <c r="I1281" s="70" t="n">
        <v>441</v>
      </c>
      <c r="J1281" s="70" t="n">
        <v>272.25</v>
      </c>
      <c r="K1281" s="70" t="n">
        <f aca="false">IF(ISTEXT(H1281),VALUE(H1281),H1281)*I1281</f>
        <v>1323</v>
      </c>
    </row>
    <row r="1282" customFormat="false" ht="15" hidden="false" customHeight="false" outlineLevel="0" collapsed="false">
      <c r="A1282" s="0" t="n">
        <v>2363</v>
      </c>
      <c r="B1282" s="68" t="n">
        <v>46009</v>
      </c>
      <c r="C1282" s="69" t="s">
        <v>193</v>
      </c>
      <c r="D1282" s="69" t="s">
        <v>137</v>
      </c>
      <c r="E1282" s="69" t="s">
        <v>101</v>
      </c>
      <c r="F1282" s="69" t="s">
        <v>135</v>
      </c>
      <c r="G1282" s="69" t="s">
        <v>43</v>
      </c>
      <c r="H1282" s="0" t="n">
        <v>9</v>
      </c>
      <c r="I1282" s="70" t="n">
        <v>451.78</v>
      </c>
      <c r="J1282" s="70" t="n">
        <v>280.42</v>
      </c>
      <c r="K1282" s="70" t="n">
        <f aca="false">IF(ISTEXT(H1282),VALUE(H1282),H1282)*I1282</f>
        <v>4066.02</v>
      </c>
    </row>
    <row r="1283" customFormat="false" ht="15" hidden="false" customHeight="false" outlineLevel="0" collapsed="false">
      <c r="A1283" s="0" t="n">
        <v>656</v>
      </c>
      <c r="B1283" s="68" t="n">
        <v>45476</v>
      </c>
      <c r="C1283" s="69" t="s">
        <v>152</v>
      </c>
      <c r="D1283" s="69" t="s">
        <v>109</v>
      </c>
      <c r="E1283" s="69" t="s">
        <v>125</v>
      </c>
      <c r="F1283" s="69" t="s">
        <v>162</v>
      </c>
      <c r="G1283" s="69" t="s">
        <v>116</v>
      </c>
      <c r="H1283" s="0" t="n">
        <v>8</v>
      </c>
      <c r="I1283" s="70" t="n">
        <v>83.3</v>
      </c>
      <c r="J1283" s="70" t="n">
        <v>48.03</v>
      </c>
      <c r="K1283" s="70" t="n">
        <f aca="false">IF(ISTEXT(H1283),VALUE(H1283),H1283)*I1283</f>
        <v>666.4</v>
      </c>
    </row>
    <row r="1284" customFormat="false" ht="15" hidden="false" customHeight="false" outlineLevel="0" collapsed="false">
      <c r="A1284" s="0" t="n">
        <v>1971</v>
      </c>
      <c r="B1284" s="68" t="n">
        <v>45870</v>
      </c>
      <c r="C1284" s="69" t="s">
        <v>32</v>
      </c>
      <c r="D1284" s="69" t="s">
        <v>137</v>
      </c>
      <c r="E1284" s="69" t="s">
        <v>110</v>
      </c>
      <c r="F1284" s="69" t="s">
        <v>102</v>
      </c>
      <c r="G1284" s="69" t="s">
        <v>49</v>
      </c>
      <c r="H1284" s="0" t="n">
        <v>34</v>
      </c>
      <c r="I1284" s="70" t="n">
        <v>65.26</v>
      </c>
      <c r="J1284" s="70" t="n">
        <v>36.49</v>
      </c>
      <c r="K1284" s="70" t="n">
        <f aca="false">IF(ISTEXT(H1284),VALUE(H1284),H1284)*I1284</f>
        <v>2218.84</v>
      </c>
    </row>
    <row r="1285" customFormat="false" ht="15" hidden="false" customHeight="false" outlineLevel="0" collapsed="false">
      <c r="A1285" s="0" t="n">
        <v>786</v>
      </c>
      <c r="B1285" s="68" t="n">
        <v>45526</v>
      </c>
      <c r="C1285" s="69" t="s">
        <v>34</v>
      </c>
      <c r="D1285" s="69" t="s">
        <v>112</v>
      </c>
      <c r="E1285" s="69" t="s">
        <v>87</v>
      </c>
      <c r="F1285" s="69" t="s">
        <v>26</v>
      </c>
      <c r="G1285" s="69" t="s">
        <v>157</v>
      </c>
      <c r="H1285" s="0" t="s">
        <v>590</v>
      </c>
      <c r="I1285" s="70" t="n">
        <v>1617</v>
      </c>
      <c r="J1285" s="70" t="n">
        <v>1122</v>
      </c>
      <c r="K1285" s="70" t="n">
        <f aca="false">IF(ISTEXT(H1285),VALUE(H1285),H1285)*I1285</f>
        <v>4851</v>
      </c>
    </row>
    <row r="1286" customFormat="false" ht="15" hidden="false" customHeight="false" outlineLevel="0" collapsed="false">
      <c r="A1286" s="0" t="n">
        <v>7</v>
      </c>
      <c r="B1286" s="68" t="n">
        <v>45314</v>
      </c>
      <c r="C1286" s="69" t="s">
        <v>170</v>
      </c>
      <c r="D1286" s="69" t="s">
        <v>97</v>
      </c>
      <c r="E1286" s="69" t="s">
        <v>138</v>
      </c>
      <c r="F1286" s="69" t="s">
        <v>99</v>
      </c>
      <c r="G1286" s="69" t="s">
        <v>103</v>
      </c>
      <c r="H1286" s="0" t="n">
        <v>91</v>
      </c>
      <c r="I1286" s="70" t="n">
        <v>27.44</v>
      </c>
      <c r="J1286" s="70" t="n">
        <v>13.44</v>
      </c>
      <c r="K1286" s="70" t="n">
        <f aca="false">IF(ISTEXT(H1286),VALUE(H1286),H1286)*I1286</f>
        <v>2497.04</v>
      </c>
    </row>
    <row r="1287" customFormat="false" ht="15" hidden="false" customHeight="false" outlineLevel="0" collapsed="false">
      <c r="A1287" s="0" t="n">
        <v>1192</v>
      </c>
      <c r="B1287" s="69" t="s">
        <v>413</v>
      </c>
      <c r="C1287" s="69" t="s">
        <v>34</v>
      </c>
      <c r="D1287" s="69" t="s">
        <v>112</v>
      </c>
      <c r="E1287" s="69" t="s">
        <v>87</v>
      </c>
      <c r="F1287" s="69" t="s">
        <v>102</v>
      </c>
      <c r="G1287" s="69" t="s">
        <v>49</v>
      </c>
      <c r="H1287" s="0" t="n">
        <v>20</v>
      </c>
      <c r="I1287" s="70" t="n">
        <v>63.7</v>
      </c>
      <c r="J1287" s="70" t="n">
        <v>35.43</v>
      </c>
      <c r="K1287" s="70" t="n">
        <f aca="false">IF(ISTEXT(H1287),VALUE(H1287),H1287)*I1287</f>
        <v>1274</v>
      </c>
    </row>
    <row r="1288" customFormat="false" ht="15" hidden="false" customHeight="false" outlineLevel="0" collapsed="false">
      <c r="A1288" s="0" t="n">
        <v>539</v>
      </c>
      <c r="B1288" s="68" t="n">
        <v>45464</v>
      </c>
      <c r="C1288" s="69" t="s">
        <v>27</v>
      </c>
      <c r="D1288" s="69" t="s">
        <v>86</v>
      </c>
      <c r="E1288" s="69" t="s">
        <v>134</v>
      </c>
      <c r="F1288" s="69" t="s">
        <v>33</v>
      </c>
      <c r="G1288" s="69" t="s">
        <v>217</v>
      </c>
      <c r="H1288" s="0" t="n">
        <v>40</v>
      </c>
      <c r="I1288" s="70" t="n">
        <v>34.3</v>
      </c>
      <c r="J1288" s="70" t="n">
        <v>17.85</v>
      </c>
      <c r="K1288" s="70" t="n">
        <f aca="false">IF(ISTEXT(H1288),VALUE(H1288),H1288)*I1288</f>
        <v>1372</v>
      </c>
    </row>
    <row r="1289" customFormat="false" ht="15" hidden="false" customHeight="false" outlineLevel="0" collapsed="false">
      <c r="A1289" s="0" t="n">
        <v>2117</v>
      </c>
      <c r="B1289" s="68" t="n">
        <v>45954</v>
      </c>
      <c r="C1289" s="69" t="s">
        <v>150</v>
      </c>
      <c r="D1289" s="69" t="s">
        <v>97</v>
      </c>
      <c r="E1289" s="69" t="s">
        <v>121</v>
      </c>
      <c r="F1289" s="69" t="s">
        <v>182</v>
      </c>
      <c r="G1289" s="69" t="s">
        <v>127</v>
      </c>
      <c r="H1289" s="0" t="n">
        <v>47</v>
      </c>
      <c r="I1289" s="70" t="n">
        <v>130.51</v>
      </c>
      <c r="J1289" s="70" t="n">
        <v>78.33</v>
      </c>
      <c r="K1289" s="70" t="n">
        <f aca="false">IF(ISTEXT(H1289),VALUE(H1289),H1289)*I1289</f>
        <v>6133.97</v>
      </c>
    </row>
    <row r="1290" customFormat="false" ht="15" hidden="false" customHeight="false" outlineLevel="0" collapsed="false">
      <c r="A1290" s="0" t="n">
        <v>1713</v>
      </c>
      <c r="B1290" s="69" t="s">
        <v>220</v>
      </c>
      <c r="C1290" s="69" t="s">
        <v>170</v>
      </c>
      <c r="D1290" s="69" t="s">
        <v>97</v>
      </c>
      <c r="E1290" s="69" t="s">
        <v>101</v>
      </c>
      <c r="F1290" s="69" t="s">
        <v>115</v>
      </c>
      <c r="G1290" s="69" t="s">
        <v>171</v>
      </c>
      <c r="H1290" s="0" t="n">
        <v>47</v>
      </c>
      <c r="I1290" s="70" t="n">
        <v>119.23</v>
      </c>
      <c r="J1290" s="70" t="n">
        <v>65.51</v>
      </c>
      <c r="K1290" s="70" t="n">
        <f aca="false">IF(ISTEXT(H1290),VALUE(H1290),H1290)*I1290</f>
        <v>5603.81</v>
      </c>
    </row>
    <row r="1291" customFormat="false" ht="15" hidden="false" customHeight="false" outlineLevel="0" collapsed="false">
      <c r="A1291" s="0" t="n">
        <v>2190</v>
      </c>
      <c r="B1291" s="68" t="n">
        <v>45952</v>
      </c>
      <c r="C1291" s="69" t="s">
        <v>133</v>
      </c>
      <c r="D1291" s="69" t="s">
        <v>112</v>
      </c>
      <c r="E1291" s="69" t="s">
        <v>180</v>
      </c>
      <c r="F1291" s="69" t="s">
        <v>143</v>
      </c>
      <c r="G1291" s="69" t="s">
        <v>235</v>
      </c>
      <c r="H1291" s="0" t="n">
        <v>24</v>
      </c>
      <c r="I1291" s="70" t="n">
        <v>95.38</v>
      </c>
      <c r="J1291" s="70" t="n">
        <v>49.41</v>
      </c>
      <c r="K1291" s="70" t="n">
        <f aca="false">IF(ISTEXT(H1291),VALUE(H1291),H1291)*I1291</f>
        <v>2289.12</v>
      </c>
    </row>
    <row r="1292" customFormat="false" ht="15" hidden="false" customHeight="false" outlineLevel="0" collapsed="false">
      <c r="A1292" s="0" t="n">
        <v>1884</v>
      </c>
      <c r="B1292" s="68" t="n">
        <v>45851</v>
      </c>
      <c r="C1292" s="69" t="s">
        <v>133</v>
      </c>
      <c r="D1292" s="69" t="s">
        <v>112</v>
      </c>
      <c r="E1292" s="69" t="s">
        <v>119</v>
      </c>
      <c r="F1292" s="69" t="s">
        <v>153</v>
      </c>
      <c r="G1292" s="69" t="s">
        <v>177</v>
      </c>
      <c r="H1292" s="0" t="n">
        <v>4</v>
      </c>
      <c r="I1292" s="70" t="n">
        <v>451.78</v>
      </c>
      <c r="J1292" s="70" t="n">
        <v>280.42</v>
      </c>
      <c r="K1292" s="70" t="n">
        <f aca="false">IF(ISTEXT(H1292),VALUE(H1292),H1292)*I1292</f>
        <v>1807.12</v>
      </c>
    </row>
    <row r="1293" customFormat="false" ht="15" hidden="false" customHeight="false" outlineLevel="0" collapsed="false">
      <c r="A1293" s="0" t="n">
        <v>304</v>
      </c>
      <c r="B1293" s="68" t="n">
        <v>45405</v>
      </c>
      <c r="C1293" s="69" t="s">
        <v>124</v>
      </c>
      <c r="D1293" s="69" t="s">
        <v>97</v>
      </c>
      <c r="E1293" s="69" t="s">
        <v>119</v>
      </c>
      <c r="F1293" s="69" t="s">
        <v>153</v>
      </c>
      <c r="G1293" s="69" t="s">
        <v>89</v>
      </c>
      <c r="H1293" s="0" t="s">
        <v>229</v>
      </c>
      <c r="I1293" s="70" t="n">
        <v>441</v>
      </c>
      <c r="J1293" s="70" t="n">
        <v>272.25</v>
      </c>
      <c r="K1293" s="70" t="n">
        <f aca="false">IF(ISTEXT(H1293),VALUE(H1293),H1293)*I1293</f>
        <v>3087</v>
      </c>
    </row>
    <row r="1294" customFormat="false" ht="15" hidden="false" customHeight="false" outlineLevel="0" collapsed="false">
      <c r="A1294" s="0" t="n">
        <v>1926</v>
      </c>
      <c r="B1294" s="69" t="s">
        <v>597</v>
      </c>
      <c r="C1294" s="69" t="s">
        <v>91</v>
      </c>
      <c r="D1294" s="69" t="s">
        <v>86</v>
      </c>
      <c r="E1294" s="69" t="s">
        <v>125</v>
      </c>
      <c r="F1294" s="69" t="s">
        <v>153</v>
      </c>
      <c r="G1294" s="69" t="s">
        <v>45</v>
      </c>
      <c r="H1294" s="0" t="n">
        <v>8</v>
      </c>
      <c r="I1294" s="70" t="n">
        <v>1656.52</v>
      </c>
      <c r="J1294" s="70" t="n">
        <v>1155.66</v>
      </c>
      <c r="K1294" s="70" t="n">
        <f aca="false">IF(ISTEXT(H1294),VALUE(H1294),H1294)*I1294</f>
        <v>13252.16</v>
      </c>
    </row>
    <row r="1295" customFormat="false" ht="15" hidden="false" customHeight="false" outlineLevel="0" collapsed="false">
      <c r="A1295" s="0" t="n">
        <v>246</v>
      </c>
      <c r="B1295" s="68" t="n">
        <v>45373</v>
      </c>
      <c r="C1295" s="69" t="s">
        <v>30</v>
      </c>
      <c r="D1295" s="69" t="s">
        <v>109</v>
      </c>
      <c r="E1295" s="69" t="s">
        <v>125</v>
      </c>
      <c r="F1295" s="69" t="s">
        <v>147</v>
      </c>
      <c r="G1295" s="69" t="s">
        <v>157</v>
      </c>
      <c r="H1295" s="0" t="n">
        <v>3</v>
      </c>
      <c r="I1295" s="70" t="n">
        <v>1617</v>
      </c>
      <c r="J1295" s="70" t="n">
        <v>1122</v>
      </c>
      <c r="K1295" s="70" t="n">
        <f aca="false">IF(ISTEXT(H1295),VALUE(H1295),H1295)*I1295</f>
        <v>4851</v>
      </c>
    </row>
    <row r="1296" customFormat="false" ht="15" hidden="false" customHeight="false" outlineLevel="0" collapsed="false">
      <c r="A1296" s="0" t="n">
        <v>1172</v>
      </c>
      <c r="B1296" s="68" t="n">
        <v>45650</v>
      </c>
      <c r="C1296" s="69" t="s">
        <v>136</v>
      </c>
      <c r="D1296" s="69"/>
      <c r="E1296" s="69" t="s">
        <v>180</v>
      </c>
      <c r="F1296" s="69" t="s">
        <v>102</v>
      </c>
      <c r="G1296" s="69" t="s">
        <v>49</v>
      </c>
      <c r="H1296" s="0" t="n">
        <v>15</v>
      </c>
      <c r="I1296" s="70" t="n">
        <v>63.7</v>
      </c>
      <c r="J1296" s="70" t="n">
        <v>35.43</v>
      </c>
      <c r="K1296" s="70" t="n">
        <f aca="false">IF(ISTEXT(H1296),VALUE(H1296),H1296)*I1296</f>
        <v>955.5</v>
      </c>
    </row>
    <row r="1297" customFormat="false" ht="15" hidden="false" customHeight="false" outlineLevel="0" collapsed="false">
      <c r="A1297" s="0" t="n">
        <v>2113</v>
      </c>
      <c r="B1297" s="69" t="s">
        <v>598</v>
      </c>
      <c r="C1297" s="69" t="s">
        <v>96</v>
      </c>
      <c r="D1297" s="69" t="s">
        <v>97</v>
      </c>
      <c r="E1297" s="69" t="s">
        <v>138</v>
      </c>
      <c r="F1297" s="69" t="s">
        <v>162</v>
      </c>
      <c r="G1297" s="69" t="s">
        <v>156</v>
      </c>
      <c r="H1297" s="0" t="n">
        <v>39</v>
      </c>
      <c r="I1297" s="70" t="n">
        <v>120.47</v>
      </c>
      <c r="J1297" s="70" t="n">
        <v>65.51</v>
      </c>
      <c r="K1297" s="70" t="n">
        <f aca="false">IF(ISTEXT(H1297),VALUE(H1297),H1297)*I1297</f>
        <v>4698.33</v>
      </c>
    </row>
    <row r="1298" customFormat="false" ht="15" hidden="false" customHeight="false" outlineLevel="0" collapsed="false">
      <c r="A1298" s="0" t="n">
        <v>1762</v>
      </c>
      <c r="B1298" s="69" t="s">
        <v>599</v>
      </c>
      <c r="C1298" s="69" t="s">
        <v>136</v>
      </c>
      <c r="D1298" s="69" t="s">
        <v>137</v>
      </c>
      <c r="E1298" s="69" t="s">
        <v>119</v>
      </c>
      <c r="F1298" s="69" t="s">
        <v>147</v>
      </c>
      <c r="G1298" s="69" t="s">
        <v>151</v>
      </c>
      <c r="H1298" s="0" t="n">
        <v>5</v>
      </c>
      <c r="I1298" s="70" t="n">
        <v>1155.06</v>
      </c>
      <c r="J1298" s="70" t="n">
        <v>766.32</v>
      </c>
      <c r="K1298" s="70" t="n">
        <f aca="false">IF(ISTEXT(H1298),VALUE(H1298),H1298)*I1298</f>
        <v>5775.3</v>
      </c>
    </row>
    <row r="1299" customFormat="false" ht="15" hidden="false" customHeight="false" outlineLevel="0" collapsed="false">
      <c r="A1299" s="0" t="n">
        <v>544</v>
      </c>
      <c r="B1299" s="68" t="n">
        <v>45445</v>
      </c>
      <c r="C1299" s="69" t="s">
        <v>30</v>
      </c>
      <c r="D1299" s="69" t="s">
        <v>109</v>
      </c>
      <c r="E1299" s="69" t="s">
        <v>98</v>
      </c>
      <c r="F1299" s="69" t="s">
        <v>135</v>
      </c>
      <c r="G1299" s="69" t="s">
        <v>177</v>
      </c>
      <c r="H1299" s="0" t="n">
        <v>4</v>
      </c>
      <c r="I1299" s="70" t="n">
        <v>441</v>
      </c>
      <c r="J1299" s="70" t="n">
        <v>272.25</v>
      </c>
      <c r="K1299" s="70" t="n">
        <f aca="false">IF(ISTEXT(H1299),VALUE(H1299),H1299)*I1299</f>
        <v>1764</v>
      </c>
    </row>
    <row r="1300" customFormat="false" ht="15" hidden="false" customHeight="false" outlineLevel="0" collapsed="false">
      <c r="A1300" s="0" t="n">
        <v>1115</v>
      </c>
      <c r="B1300" s="68" t="n">
        <v>45629</v>
      </c>
      <c r="C1300" s="69" t="s">
        <v>124</v>
      </c>
      <c r="D1300" s="69" t="s">
        <v>97</v>
      </c>
      <c r="E1300" s="69" t="s">
        <v>134</v>
      </c>
      <c r="F1300" s="69" t="s">
        <v>162</v>
      </c>
      <c r="G1300" s="69" t="s">
        <v>116</v>
      </c>
      <c r="H1300" s="0" t="n">
        <v>61</v>
      </c>
      <c r="I1300" s="70" t="n">
        <v>83.3</v>
      </c>
      <c r="J1300" s="70" t="n">
        <v>48.03</v>
      </c>
      <c r="K1300" s="70" t="n">
        <f aca="false">IF(ISTEXT(H1300),VALUE(H1300),H1300)*I1300</f>
        <v>5081.3</v>
      </c>
    </row>
    <row r="1301" customFormat="false" ht="15" hidden="false" customHeight="false" outlineLevel="0" collapsed="false">
      <c r="A1301" s="0" t="n">
        <v>1395</v>
      </c>
      <c r="B1301" s="69" t="s">
        <v>600</v>
      </c>
      <c r="C1301" s="69" t="s">
        <v>133</v>
      </c>
      <c r="D1301" s="69" t="s">
        <v>112</v>
      </c>
      <c r="E1301" s="69" t="s">
        <v>110</v>
      </c>
      <c r="F1301" s="69" t="s">
        <v>162</v>
      </c>
      <c r="G1301" s="69" t="s">
        <v>111</v>
      </c>
      <c r="H1301" s="0" t="n">
        <v>11</v>
      </c>
      <c r="I1301" s="70" t="n">
        <v>84.46</v>
      </c>
      <c r="J1301" s="70" t="n">
        <v>49.47</v>
      </c>
      <c r="K1301" s="70" t="n">
        <f aca="false">IF(ISTEXT(H1301),VALUE(H1301),H1301)*I1301</f>
        <v>929.06</v>
      </c>
    </row>
    <row r="1302" customFormat="false" ht="15" hidden="false" customHeight="false" outlineLevel="0" collapsed="false">
      <c r="A1302" s="0" t="n">
        <v>2014</v>
      </c>
      <c r="B1302" s="68" t="n">
        <v>45905</v>
      </c>
      <c r="C1302" s="69" t="s">
        <v>96</v>
      </c>
      <c r="D1302" s="69" t="s">
        <v>97</v>
      </c>
      <c r="E1302" s="69" t="s">
        <v>180</v>
      </c>
      <c r="F1302" s="69" t="s">
        <v>31</v>
      </c>
      <c r="G1302" s="69" t="s">
        <v>50</v>
      </c>
      <c r="H1302" s="0" t="n">
        <v>31</v>
      </c>
      <c r="I1302" s="70" t="n">
        <v>120.47</v>
      </c>
      <c r="J1302" s="70" t="n">
        <v>65.51</v>
      </c>
      <c r="K1302" s="70" t="n">
        <f aca="false">IF(ISTEXT(H1302),VALUE(H1302),H1302)*I1302</f>
        <v>3734.57</v>
      </c>
    </row>
    <row r="1303" customFormat="false" ht="15" hidden="false" customHeight="false" outlineLevel="0" collapsed="false">
      <c r="A1303" s="0" t="n">
        <v>2030</v>
      </c>
      <c r="B1303" s="68" t="n">
        <v>45909</v>
      </c>
      <c r="C1303" s="69" t="s">
        <v>91</v>
      </c>
      <c r="D1303" s="69" t="s">
        <v>86</v>
      </c>
      <c r="E1303" s="69" t="s">
        <v>125</v>
      </c>
      <c r="F1303" s="69" t="s">
        <v>28</v>
      </c>
      <c r="G1303" s="69" t="s">
        <v>235</v>
      </c>
      <c r="H1303" s="0" t="s">
        <v>601</v>
      </c>
      <c r="I1303" s="70" t="n">
        <v>95.38</v>
      </c>
      <c r="J1303" s="70" t="n">
        <v>49.41</v>
      </c>
      <c r="K1303" s="70" t="n">
        <f aca="false">IF(ISTEXT(H1303),VALUE(H1303),H1303)*I1303</f>
        <v>4101.34</v>
      </c>
    </row>
    <row r="1304" customFormat="false" ht="15" hidden="false" customHeight="false" outlineLevel="0" collapsed="false">
      <c r="A1304" s="0" t="n">
        <v>1088</v>
      </c>
      <c r="B1304" s="68" t="n">
        <v>45599</v>
      </c>
      <c r="C1304" s="69" t="s">
        <v>161</v>
      </c>
      <c r="D1304" s="69" t="s">
        <v>112</v>
      </c>
      <c r="E1304" s="69" t="s">
        <v>125</v>
      </c>
      <c r="F1304" s="69" t="s">
        <v>155</v>
      </c>
      <c r="G1304" s="69" t="s">
        <v>113</v>
      </c>
      <c r="H1304" s="0" t="n">
        <v>16</v>
      </c>
      <c r="I1304" s="70" t="n">
        <v>27.44</v>
      </c>
      <c r="J1304" s="70" t="n">
        <v>13.44</v>
      </c>
      <c r="K1304" s="70" t="n">
        <f aca="false">IF(ISTEXT(H1304),VALUE(H1304),H1304)*I1304</f>
        <v>439.04</v>
      </c>
    </row>
    <row r="1305" customFormat="false" ht="15" hidden="false" customHeight="false" outlineLevel="0" collapsed="false">
      <c r="A1305" s="0" t="n">
        <v>914</v>
      </c>
      <c r="B1305" s="69" t="s">
        <v>602</v>
      </c>
      <c r="C1305" s="69" t="s">
        <v>150</v>
      </c>
      <c r="D1305" s="69" t="s">
        <v>97</v>
      </c>
      <c r="E1305" s="69" t="s">
        <v>119</v>
      </c>
      <c r="F1305" s="69" t="s">
        <v>115</v>
      </c>
      <c r="G1305" s="69" t="s">
        <v>171</v>
      </c>
      <c r="H1305" s="0" t="n">
        <v>17</v>
      </c>
      <c r="I1305" s="70" t="n">
        <v>117.6</v>
      </c>
      <c r="J1305" s="70" t="n">
        <v>63.6</v>
      </c>
      <c r="K1305" s="70" t="n">
        <f aca="false">IF(ISTEXT(H1305),VALUE(H1305),H1305)*I1305</f>
        <v>1999.2</v>
      </c>
    </row>
    <row r="1306" customFormat="false" ht="15" hidden="false" customHeight="false" outlineLevel="0" collapsed="false">
      <c r="A1306" s="0" t="n">
        <v>1256</v>
      </c>
      <c r="B1306" s="68" t="n">
        <v>45675</v>
      </c>
      <c r="C1306" s="69" t="s">
        <v>152</v>
      </c>
      <c r="D1306" s="69" t="s">
        <v>109</v>
      </c>
      <c r="E1306" s="69" t="s">
        <v>180</v>
      </c>
      <c r="F1306" s="69" t="s">
        <v>115</v>
      </c>
      <c r="G1306" s="69" t="s">
        <v>111</v>
      </c>
      <c r="H1306" s="0" t="n">
        <v>11</v>
      </c>
      <c r="I1306" s="70" t="n">
        <v>84.46</v>
      </c>
      <c r="J1306" s="70" t="n">
        <v>49.47</v>
      </c>
      <c r="K1306" s="70" t="n">
        <f aca="false">IF(ISTEXT(H1306),VALUE(H1306),H1306)*I1306</f>
        <v>929.06</v>
      </c>
    </row>
    <row r="1307" customFormat="false" ht="15" hidden="false" customHeight="false" outlineLevel="0" collapsed="false">
      <c r="A1307" s="0" t="n">
        <v>990</v>
      </c>
      <c r="B1307" s="68" t="n">
        <v>45584</v>
      </c>
      <c r="C1307" s="69" t="s">
        <v>133</v>
      </c>
      <c r="D1307" s="69" t="s">
        <v>112</v>
      </c>
      <c r="E1307" s="69" t="s">
        <v>180</v>
      </c>
      <c r="F1307" s="69" t="s">
        <v>155</v>
      </c>
      <c r="G1307" s="69" t="s">
        <v>235</v>
      </c>
      <c r="H1307" s="0" t="n">
        <v>13</v>
      </c>
      <c r="I1307" s="70" t="n">
        <v>93.1</v>
      </c>
      <c r="J1307" s="70" t="n">
        <v>47.98</v>
      </c>
      <c r="K1307" s="70" t="n">
        <f aca="false">IF(ISTEXT(H1307),VALUE(H1307),H1307)*I1307</f>
        <v>1210.3</v>
      </c>
    </row>
    <row r="1308" customFormat="false" ht="15" hidden="false" customHeight="false" outlineLevel="0" collapsed="false">
      <c r="A1308" s="0" t="n">
        <v>1841</v>
      </c>
      <c r="B1308" s="68" t="n">
        <v>45847</v>
      </c>
      <c r="C1308" s="69" t="s">
        <v>152</v>
      </c>
      <c r="D1308" s="69" t="s">
        <v>109</v>
      </c>
      <c r="E1308" s="69" t="s">
        <v>121</v>
      </c>
      <c r="F1308" s="69" t="s">
        <v>135</v>
      </c>
      <c r="G1308" s="69" t="s">
        <v>151</v>
      </c>
      <c r="H1308" s="0" t="n">
        <v>11</v>
      </c>
      <c r="I1308" s="70" t="n">
        <v>1204.74</v>
      </c>
      <c r="J1308" s="70" t="n">
        <v>766.32</v>
      </c>
      <c r="K1308" s="70" t="n">
        <f aca="false">IF(ISTEXT(H1308),VALUE(H1308),H1308)*I1308</f>
        <v>13252.14</v>
      </c>
    </row>
    <row r="1309" customFormat="false" ht="15" hidden="false" customHeight="false" outlineLevel="0" collapsed="false">
      <c r="A1309" s="0" t="n">
        <v>600</v>
      </c>
      <c r="B1309" s="68" t="n">
        <v>45459</v>
      </c>
      <c r="C1309" s="69" t="s">
        <v>133</v>
      </c>
      <c r="D1309" s="69" t="s">
        <v>112</v>
      </c>
      <c r="E1309" s="69" t="s">
        <v>119</v>
      </c>
      <c r="F1309" s="69" t="s">
        <v>33</v>
      </c>
      <c r="G1309" s="69" t="s">
        <v>53</v>
      </c>
      <c r="H1309" s="0" t="n">
        <v>7</v>
      </c>
      <c r="I1309" s="70" t="n">
        <v>34.3</v>
      </c>
      <c r="J1309" s="70" t="n">
        <v>17.85</v>
      </c>
      <c r="K1309" s="70" t="n">
        <f aca="false">IF(ISTEXT(H1309),VALUE(H1309),H1309)*I1309</f>
        <v>240.1</v>
      </c>
    </row>
    <row r="1310" customFormat="false" ht="15" hidden="false" customHeight="false" outlineLevel="0" collapsed="false">
      <c r="A1310" s="0" t="n">
        <v>46</v>
      </c>
      <c r="B1310" s="68" t="n">
        <v>45317</v>
      </c>
      <c r="C1310" s="69" t="s">
        <v>152</v>
      </c>
      <c r="D1310" s="69" t="s">
        <v>109</v>
      </c>
      <c r="E1310" s="69" t="s">
        <v>87</v>
      </c>
      <c r="F1310" s="69" t="s">
        <v>88</v>
      </c>
      <c r="G1310" s="69" t="s">
        <v>157</v>
      </c>
      <c r="H1310" s="0" t="n">
        <v>3</v>
      </c>
      <c r="I1310" s="70" t="n">
        <v>1617</v>
      </c>
      <c r="J1310" s="70" t="n">
        <v>1122</v>
      </c>
      <c r="K1310" s="70" t="n">
        <f aca="false">IF(ISTEXT(H1310),VALUE(H1310),H1310)*I1310</f>
        <v>4851</v>
      </c>
    </row>
    <row r="1311" customFormat="false" ht="15" hidden="false" customHeight="false" outlineLevel="0" collapsed="false">
      <c r="A1311" s="0" t="n">
        <v>599</v>
      </c>
      <c r="B1311" s="68" t="n">
        <v>45452</v>
      </c>
      <c r="C1311" s="69" t="s">
        <v>133</v>
      </c>
      <c r="D1311" s="69" t="s">
        <v>112</v>
      </c>
      <c r="E1311" s="69" t="s">
        <v>101</v>
      </c>
      <c r="F1311" s="69" t="s">
        <v>182</v>
      </c>
      <c r="G1311" s="69" t="s">
        <v>94</v>
      </c>
      <c r="H1311" s="0" t="n">
        <v>22</v>
      </c>
      <c r="I1311" s="70" t="n">
        <v>34.3</v>
      </c>
      <c r="J1311" s="70" t="n">
        <v>17.85</v>
      </c>
      <c r="K1311" s="70" t="n">
        <f aca="false">IF(ISTEXT(H1311),VALUE(H1311),H1311)*I1311</f>
        <v>754.6</v>
      </c>
    </row>
    <row r="1312" customFormat="false" ht="15" hidden="false" customHeight="false" outlineLevel="0" collapsed="false">
      <c r="A1312" s="0" t="n">
        <v>2069</v>
      </c>
      <c r="B1312" s="69" t="s">
        <v>603</v>
      </c>
      <c r="C1312" s="69" t="s">
        <v>184</v>
      </c>
      <c r="D1312" s="69" t="s">
        <v>137</v>
      </c>
      <c r="E1312" s="69" t="s">
        <v>134</v>
      </c>
      <c r="F1312" s="69" t="s">
        <v>99</v>
      </c>
      <c r="G1312" s="69" t="s">
        <v>235</v>
      </c>
      <c r="H1312" s="0" t="n">
        <v>26</v>
      </c>
      <c r="I1312" s="70" t="n">
        <v>95.38</v>
      </c>
      <c r="J1312" s="70" t="n">
        <v>49.41</v>
      </c>
      <c r="K1312" s="70" t="n">
        <f aca="false">IF(ISTEXT(H1312),VALUE(H1312),H1312)*I1312</f>
        <v>2479.88</v>
      </c>
    </row>
    <row r="1313" customFormat="false" ht="15" hidden="false" customHeight="false" outlineLevel="0" collapsed="false">
      <c r="A1313" s="0" t="n">
        <v>1684</v>
      </c>
      <c r="B1313" s="68" t="n">
        <v>45794</v>
      </c>
      <c r="C1313" s="69" t="s">
        <v>133</v>
      </c>
      <c r="D1313" s="69" t="s">
        <v>112</v>
      </c>
      <c r="E1313" s="69" t="s">
        <v>180</v>
      </c>
      <c r="F1313" s="69" t="s">
        <v>135</v>
      </c>
      <c r="G1313" s="69" t="s">
        <v>89</v>
      </c>
      <c r="H1313" s="0" t="n">
        <v>5</v>
      </c>
      <c r="I1313" s="70" t="n">
        <v>433.15</v>
      </c>
      <c r="J1313" s="70" t="n">
        <v>280.42</v>
      </c>
      <c r="K1313" s="70" t="n">
        <f aca="false">IF(ISTEXT(H1313),VALUE(H1313),H1313)*I1313</f>
        <v>2165.75</v>
      </c>
    </row>
    <row r="1314" customFormat="false" ht="15" hidden="false" customHeight="false" outlineLevel="0" collapsed="false">
      <c r="A1314" s="0" t="n">
        <v>25</v>
      </c>
      <c r="B1314" s="69" t="s">
        <v>604</v>
      </c>
      <c r="C1314" s="69" t="s">
        <v>91</v>
      </c>
      <c r="D1314" s="69" t="s">
        <v>86</v>
      </c>
      <c r="E1314" s="69" t="s">
        <v>92</v>
      </c>
      <c r="F1314" s="69" t="s">
        <v>139</v>
      </c>
      <c r="G1314" s="69" t="s">
        <v>141</v>
      </c>
      <c r="H1314" s="0" t="n">
        <v>11</v>
      </c>
      <c r="I1314" s="70" t="n">
        <v>1617</v>
      </c>
      <c r="J1314" s="70" t="n">
        <v>1122</v>
      </c>
      <c r="K1314" s="70" t="n">
        <f aca="false">IF(ISTEXT(H1314),VALUE(H1314),H1314)*I1314</f>
        <v>17787</v>
      </c>
    </row>
    <row r="1315" customFormat="false" ht="15" hidden="false" customHeight="false" outlineLevel="0" collapsed="false">
      <c r="A1315" s="0" t="n">
        <v>597</v>
      </c>
      <c r="B1315" s="68" t="n">
        <v>45465</v>
      </c>
      <c r="C1315" s="69" t="s">
        <v>161</v>
      </c>
      <c r="D1315" s="69"/>
      <c r="E1315" s="69" t="s">
        <v>110</v>
      </c>
      <c r="F1315" s="69" t="s">
        <v>33</v>
      </c>
      <c r="G1315" s="69" t="s">
        <v>52</v>
      </c>
      <c r="H1315" s="0" t="n">
        <v>16</v>
      </c>
      <c r="I1315" s="70" t="n">
        <v>127.4</v>
      </c>
      <c r="J1315" s="70" t="n">
        <v>76.05</v>
      </c>
      <c r="K1315" s="70" t="n">
        <f aca="false">IF(ISTEXT(H1315),VALUE(H1315),H1315)*I1315</f>
        <v>2038.4</v>
      </c>
    </row>
    <row r="1316" customFormat="false" ht="15" hidden="false" customHeight="false" outlineLevel="0" collapsed="false">
      <c r="A1316" s="0" t="n">
        <v>1420</v>
      </c>
      <c r="B1316" s="68" t="n">
        <v>45721</v>
      </c>
      <c r="C1316" s="69" t="s">
        <v>150</v>
      </c>
      <c r="D1316" s="69" t="s">
        <v>97</v>
      </c>
      <c r="E1316" s="69" t="s">
        <v>98</v>
      </c>
      <c r="F1316" s="69" t="s">
        <v>183</v>
      </c>
      <c r="G1316" s="69" t="s">
        <v>53</v>
      </c>
      <c r="H1316" s="0" t="n">
        <v>34</v>
      </c>
      <c r="I1316" s="70" t="n">
        <v>34.78</v>
      </c>
      <c r="J1316" s="70" t="n">
        <v>18.39</v>
      </c>
      <c r="K1316" s="70" t="n">
        <f aca="false">IF(ISTEXT(H1316),VALUE(H1316),H1316)*I1316</f>
        <v>1182.52</v>
      </c>
    </row>
    <row r="1317" customFormat="false" ht="15" hidden="false" customHeight="false" outlineLevel="0" collapsed="false">
      <c r="A1317" s="0" t="n">
        <v>436</v>
      </c>
      <c r="B1317" s="69" t="s">
        <v>605</v>
      </c>
      <c r="C1317" s="69" t="s">
        <v>91</v>
      </c>
      <c r="D1317" s="69" t="s">
        <v>86</v>
      </c>
      <c r="E1317" s="69" t="s">
        <v>125</v>
      </c>
      <c r="F1317" s="69" t="s">
        <v>166</v>
      </c>
      <c r="G1317" s="69" t="s">
        <v>111</v>
      </c>
      <c r="H1317" s="0" t="n">
        <v>9</v>
      </c>
      <c r="I1317" s="70" t="n">
        <v>83.3</v>
      </c>
      <c r="J1317" s="70" t="n">
        <v>48.03</v>
      </c>
      <c r="K1317" s="70" t="n">
        <f aca="false">IF(ISTEXT(H1317),VALUE(H1317),H1317)*I1317</f>
        <v>749.7</v>
      </c>
    </row>
    <row r="1318" customFormat="false" ht="15" hidden="false" customHeight="false" outlineLevel="0" collapsed="false">
      <c r="A1318" s="0" t="n">
        <v>929</v>
      </c>
      <c r="B1318" s="69" t="s">
        <v>434</v>
      </c>
      <c r="C1318" s="69" t="s">
        <v>91</v>
      </c>
      <c r="D1318" s="69" t="s">
        <v>86</v>
      </c>
      <c r="E1318" s="69" t="s">
        <v>92</v>
      </c>
      <c r="F1318" s="69" t="s">
        <v>99</v>
      </c>
      <c r="G1318" s="69" t="s">
        <v>48</v>
      </c>
      <c r="H1318" s="0" t="n">
        <v>56</v>
      </c>
      <c r="I1318" s="70" t="n">
        <v>93.1</v>
      </c>
      <c r="J1318" s="70" t="n">
        <v>47.98</v>
      </c>
      <c r="K1318" s="70" t="n">
        <f aca="false">IF(ISTEXT(H1318),VALUE(H1318),H1318)*I1318</f>
        <v>5213.6</v>
      </c>
    </row>
    <row r="1319" customFormat="false" ht="15" hidden="false" customHeight="false" outlineLevel="0" collapsed="false">
      <c r="A1319" s="0" t="n">
        <v>157</v>
      </c>
      <c r="B1319" s="68" t="n">
        <v>45342</v>
      </c>
      <c r="C1319" s="69" t="s">
        <v>30</v>
      </c>
      <c r="D1319" s="69" t="s">
        <v>109</v>
      </c>
      <c r="E1319" s="69" t="s">
        <v>101</v>
      </c>
      <c r="F1319" s="69" t="s">
        <v>183</v>
      </c>
      <c r="G1319" s="69" t="s">
        <v>52</v>
      </c>
      <c r="H1319" s="0" t="n">
        <v>18</v>
      </c>
      <c r="I1319" s="70" t="n">
        <v>127.4</v>
      </c>
      <c r="J1319" s="70" t="n">
        <v>76.05</v>
      </c>
      <c r="K1319" s="70" t="n">
        <f aca="false">IF(ISTEXT(H1319),VALUE(H1319),H1319)*I1319</f>
        <v>2293.2</v>
      </c>
    </row>
    <row r="1320" customFormat="false" ht="15" hidden="false" customHeight="false" outlineLevel="0" collapsed="false">
      <c r="A1320" s="0" t="n">
        <v>2259</v>
      </c>
      <c r="B1320" s="69" t="s">
        <v>606</v>
      </c>
      <c r="C1320" s="69" t="s">
        <v>30</v>
      </c>
      <c r="D1320" s="69" t="s">
        <v>109</v>
      </c>
      <c r="E1320" s="69" t="s">
        <v>92</v>
      </c>
      <c r="F1320" s="69" t="s">
        <v>168</v>
      </c>
      <c r="G1320" s="69" t="s">
        <v>94</v>
      </c>
      <c r="H1320" s="0" t="n">
        <v>27</v>
      </c>
      <c r="I1320" s="70" t="n">
        <v>35.14</v>
      </c>
      <c r="J1320" s="70" t="n">
        <v>18.39</v>
      </c>
      <c r="K1320" s="70" t="n">
        <f aca="false">IF(ISTEXT(H1320),VALUE(H1320),H1320)*I1320</f>
        <v>948.78</v>
      </c>
    </row>
    <row r="1321" customFormat="false" ht="15" hidden="false" customHeight="false" outlineLevel="0" collapsed="false">
      <c r="A1321" s="0" t="n">
        <v>13</v>
      </c>
      <c r="B1321" s="68" t="n">
        <v>45302</v>
      </c>
      <c r="C1321" s="69" t="s">
        <v>170</v>
      </c>
      <c r="D1321" s="69" t="s">
        <v>97</v>
      </c>
      <c r="E1321" s="69" t="s">
        <v>92</v>
      </c>
      <c r="F1321" s="69" t="s">
        <v>115</v>
      </c>
      <c r="G1321" s="69" t="s">
        <v>50</v>
      </c>
      <c r="H1321" s="0" t="s">
        <v>525</v>
      </c>
      <c r="I1321" s="70" t="n">
        <v>117.6</v>
      </c>
      <c r="J1321" s="70" t="n">
        <v>63.6</v>
      </c>
      <c r="K1321" s="70" t="n">
        <f aca="false">IF(ISTEXT(H1321),VALUE(H1321),H1321)*I1321</f>
        <v>3763.2</v>
      </c>
    </row>
    <row r="1322" customFormat="false" ht="15" hidden="false" customHeight="false" outlineLevel="0" collapsed="false">
      <c r="A1322" s="0" t="n">
        <v>2104</v>
      </c>
      <c r="B1322" s="69" t="s">
        <v>607</v>
      </c>
      <c r="C1322" s="69" t="s">
        <v>96</v>
      </c>
      <c r="D1322" s="69" t="s">
        <v>97</v>
      </c>
      <c r="E1322" s="69" t="s">
        <v>180</v>
      </c>
      <c r="F1322" s="69" t="s">
        <v>88</v>
      </c>
      <c r="G1322" s="69" t="s">
        <v>177</v>
      </c>
      <c r="H1322" s="0" t="n">
        <v>14</v>
      </c>
      <c r="I1322" s="70" t="n">
        <v>451.78</v>
      </c>
      <c r="J1322" s="70" t="n">
        <v>280.42</v>
      </c>
      <c r="K1322" s="70" t="n">
        <f aca="false">IF(ISTEXT(H1322),VALUE(H1322),H1322)*I1322</f>
        <v>6324.92</v>
      </c>
    </row>
    <row r="1323" customFormat="false" ht="15" hidden="false" customHeight="false" outlineLevel="0" collapsed="false">
      <c r="A1323" s="0" t="n">
        <v>2002</v>
      </c>
      <c r="B1323" s="69" t="s">
        <v>608</v>
      </c>
      <c r="C1323" s="69" t="s">
        <v>170</v>
      </c>
      <c r="D1323" s="69" t="s">
        <v>97</v>
      </c>
      <c r="E1323" s="69" t="s">
        <v>180</v>
      </c>
      <c r="F1323" s="69" t="s">
        <v>147</v>
      </c>
      <c r="G1323" s="69" t="s">
        <v>154</v>
      </c>
      <c r="H1323" s="0" t="n">
        <v>13</v>
      </c>
      <c r="I1323" s="70" t="n">
        <v>1204.74</v>
      </c>
      <c r="J1323" s="70" t="n">
        <v>766.32</v>
      </c>
      <c r="K1323" s="70" t="n">
        <f aca="false">IF(ISTEXT(H1323),VALUE(H1323),H1323)*I1323</f>
        <v>15661.62</v>
      </c>
    </row>
    <row r="1324" customFormat="false" ht="15" hidden="false" customHeight="false" outlineLevel="0" collapsed="false">
      <c r="A1324" s="0" t="n">
        <v>2272</v>
      </c>
      <c r="B1324" s="69" t="s">
        <v>318</v>
      </c>
      <c r="C1324" s="69" t="s">
        <v>136</v>
      </c>
      <c r="D1324" s="69" t="s">
        <v>137</v>
      </c>
      <c r="E1324" s="69" t="s">
        <v>125</v>
      </c>
      <c r="F1324" s="69" t="s">
        <v>102</v>
      </c>
      <c r="G1324" s="69" t="s">
        <v>208</v>
      </c>
      <c r="H1324" s="0" t="s">
        <v>218</v>
      </c>
      <c r="I1324" s="70" t="n">
        <v>65.26</v>
      </c>
      <c r="J1324" s="70" t="n">
        <v>36.49</v>
      </c>
      <c r="K1324" s="70" t="n">
        <f aca="false">IF(ISTEXT(H1324),VALUE(H1324),H1324)*I1324</f>
        <v>1827.28</v>
      </c>
    </row>
    <row r="1325" customFormat="false" ht="15" hidden="false" customHeight="false" outlineLevel="0" collapsed="false">
      <c r="A1325" s="0" t="n">
        <v>1906</v>
      </c>
      <c r="B1325" s="68" t="n">
        <v>45874</v>
      </c>
      <c r="C1325" s="69" t="s">
        <v>150</v>
      </c>
      <c r="D1325" s="69" t="s">
        <v>97</v>
      </c>
      <c r="E1325" s="69" t="s">
        <v>87</v>
      </c>
      <c r="F1325" s="69" t="s">
        <v>135</v>
      </c>
      <c r="G1325" s="69" t="s">
        <v>45</v>
      </c>
      <c r="H1325" s="0" t="n">
        <v>15</v>
      </c>
      <c r="I1325" s="70" t="n">
        <v>1656.52</v>
      </c>
      <c r="J1325" s="70" t="n">
        <v>1155.66</v>
      </c>
      <c r="K1325" s="70" t="n">
        <f aca="false">IF(ISTEXT(H1325),VALUE(H1325),H1325)*I1325</f>
        <v>24847.8</v>
      </c>
    </row>
    <row r="1326" customFormat="false" ht="15" hidden="false" customHeight="false" outlineLevel="0" collapsed="false">
      <c r="A1326" s="0" t="n">
        <v>553</v>
      </c>
      <c r="B1326" s="68" t="n">
        <v>45454</v>
      </c>
      <c r="C1326" s="69" t="s">
        <v>118</v>
      </c>
      <c r="D1326" s="69" t="s">
        <v>109</v>
      </c>
      <c r="E1326" s="69" t="s">
        <v>134</v>
      </c>
      <c r="F1326" s="69" t="s">
        <v>115</v>
      </c>
      <c r="G1326" s="69" t="s">
        <v>171</v>
      </c>
      <c r="H1326" s="0" t="s">
        <v>350</v>
      </c>
      <c r="I1326" s="70" t="n">
        <v>117.6</v>
      </c>
      <c r="J1326" s="70" t="n">
        <v>63.6</v>
      </c>
      <c r="K1326" s="70" t="n">
        <f aca="false">IF(ISTEXT(H1326),VALUE(H1326),H1326)*I1326</f>
        <v>2587.2</v>
      </c>
    </row>
    <row r="1327" customFormat="false" ht="15" hidden="false" customHeight="false" outlineLevel="0" collapsed="false">
      <c r="A1327" s="0" t="n">
        <v>416</v>
      </c>
      <c r="B1327" s="68" t="n">
        <v>45436</v>
      </c>
      <c r="C1327" s="69" t="s">
        <v>124</v>
      </c>
      <c r="D1327" s="69" t="s">
        <v>97</v>
      </c>
      <c r="E1327" s="69" t="s">
        <v>119</v>
      </c>
      <c r="F1327" s="69" t="s">
        <v>166</v>
      </c>
      <c r="G1327" s="69" t="s">
        <v>116</v>
      </c>
      <c r="H1327" s="0" t="s">
        <v>254</v>
      </c>
      <c r="I1327" s="70" t="n">
        <v>83.3</v>
      </c>
      <c r="J1327" s="70" t="n">
        <v>48.03</v>
      </c>
      <c r="K1327" s="70" t="n">
        <f aca="false">IF(ISTEXT(H1327),VALUE(H1327),H1327)*I1327</f>
        <v>1666</v>
      </c>
    </row>
    <row r="1328" customFormat="false" ht="15" hidden="false" customHeight="false" outlineLevel="0" collapsed="false">
      <c r="A1328" s="0" t="n">
        <v>433</v>
      </c>
      <c r="B1328" s="68" t="n">
        <v>45420</v>
      </c>
      <c r="C1328" s="69" t="s">
        <v>27</v>
      </c>
      <c r="D1328" s="69" t="s">
        <v>86</v>
      </c>
      <c r="E1328" s="69" t="s">
        <v>101</v>
      </c>
      <c r="F1328" s="69" t="s">
        <v>31</v>
      </c>
      <c r="G1328" s="69" t="s">
        <v>50</v>
      </c>
      <c r="H1328" s="0" t="s">
        <v>207</v>
      </c>
      <c r="I1328" s="70" t="n">
        <v>117.6</v>
      </c>
      <c r="J1328" s="70" t="n">
        <v>63.6</v>
      </c>
      <c r="K1328" s="70" t="n">
        <f aca="false">IF(ISTEXT(H1328),VALUE(H1328),H1328)*I1328</f>
        <v>3057.6</v>
      </c>
    </row>
    <row r="1329" customFormat="false" ht="15" hidden="false" customHeight="false" outlineLevel="0" collapsed="false">
      <c r="A1329" s="0" t="n">
        <v>215</v>
      </c>
      <c r="B1329" s="68" t="n">
        <v>45372</v>
      </c>
      <c r="C1329" s="69" t="s">
        <v>25</v>
      </c>
      <c r="D1329" s="69" t="s">
        <v>97</v>
      </c>
      <c r="E1329" s="69" t="s">
        <v>110</v>
      </c>
      <c r="F1329" s="69" t="s">
        <v>166</v>
      </c>
      <c r="G1329" s="69" t="s">
        <v>111</v>
      </c>
      <c r="H1329" s="0" t="n">
        <v>49</v>
      </c>
      <c r="I1329" s="70" t="n">
        <v>83.3</v>
      </c>
      <c r="J1329" s="70" t="n">
        <v>48.03</v>
      </c>
      <c r="K1329" s="70" t="n">
        <f aca="false">IF(ISTEXT(H1329),VALUE(H1329),H1329)*I1329</f>
        <v>4081.7</v>
      </c>
    </row>
    <row r="1330" customFormat="false" ht="15" hidden="false" customHeight="false" outlineLevel="0" collapsed="false">
      <c r="A1330" s="0" t="n">
        <v>450</v>
      </c>
      <c r="B1330" s="68" t="n">
        <v>45431</v>
      </c>
      <c r="C1330" s="69" t="s">
        <v>118</v>
      </c>
      <c r="D1330" s="69" t="s">
        <v>109</v>
      </c>
      <c r="E1330" s="69" t="s">
        <v>119</v>
      </c>
      <c r="F1330" s="69" t="s">
        <v>102</v>
      </c>
      <c r="G1330" s="69" t="s">
        <v>235</v>
      </c>
      <c r="H1330" s="0" t="n">
        <v>14</v>
      </c>
      <c r="I1330" s="70" t="n">
        <v>93.1</v>
      </c>
      <c r="J1330" s="70" t="n">
        <v>47.98</v>
      </c>
      <c r="K1330" s="70" t="n">
        <f aca="false">IF(ISTEXT(H1330),VALUE(H1330),H1330)*I1330</f>
        <v>1303.4</v>
      </c>
    </row>
    <row r="1331" customFormat="false" ht="15" hidden="false" customHeight="false" outlineLevel="0" collapsed="false">
      <c r="A1331" s="0" t="n">
        <v>2002</v>
      </c>
      <c r="B1331" s="69" t="s">
        <v>608</v>
      </c>
      <c r="C1331" s="69" t="s">
        <v>170</v>
      </c>
      <c r="D1331" s="69" t="s">
        <v>97</v>
      </c>
      <c r="E1331" s="69" t="s">
        <v>180</v>
      </c>
      <c r="F1331" s="69" t="s">
        <v>147</v>
      </c>
      <c r="G1331" s="69" t="s">
        <v>154</v>
      </c>
      <c r="H1331" s="0" t="n">
        <v>13</v>
      </c>
      <c r="I1331" s="70" t="n">
        <v>1204.74</v>
      </c>
      <c r="J1331" s="70" t="n">
        <v>766.32</v>
      </c>
      <c r="K1331" s="70" t="n">
        <f aca="false">IF(ISTEXT(H1331),VALUE(H1331),H1331)*I1331</f>
        <v>15661.62</v>
      </c>
    </row>
    <row r="1332" customFormat="false" ht="15" hidden="false" customHeight="false" outlineLevel="0" collapsed="false">
      <c r="A1332" s="0" t="n">
        <v>536</v>
      </c>
      <c r="B1332" s="69" t="s">
        <v>320</v>
      </c>
      <c r="C1332" s="69" t="s">
        <v>159</v>
      </c>
      <c r="D1332" s="69" t="s">
        <v>86</v>
      </c>
      <c r="E1332" s="69" t="s">
        <v>98</v>
      </c>
      <c r="F1332" s="69" t="s">
        <v>166</v>
      </c>
      <c r="G1332" s="69" t="s">
        <v>111</v>
      </c>
      <c r="H1332" s="0" t="n">
        <v>11</v>
      </c>
      <c r="I1332" s="70" t="n">
        <v>83.3</v>
      </c>
      <c r="J1332" s="70" t="n">
        <v>48.03</v>
      </c>
      <c r="K1332" s="70" t="n">
        <f aca="false">IF(ISTEXT(H1332),VALUE(H1332),H1332)*I1332</f>
        <v>916.3</v>
      </c>
    </row>
    <row r="1333" customFormat="false" ht="15" hidden="false" customHeight="false" outlineLevel="0" collapsed="false">
      <c r="A1333" s="0" t="n">
        <v>81</v>
      </c>
      <c r="B1333" s="69" t="s">
        <v>609</v>
      </c>
      <c r="C1333" s="69" t="s">
        <v>133</v>
      </c>
      <c r="D1333" s="69" t="s">
        <v>112</v>
      </c>
      <c r="E1333" s="69" t="s">
        <v>92</v>
      </c>
      <c r="F1333" s="69" t="s">
        <v>147</v>
      </c>
      <c r="G1333" s="69" t="s">
        <v>154</v>
      </c>
      <c r="H1333" s="0" t="n">
        <v>6</v>
      </c>
      <c r="I1333" s="70" t="n">
        <v>1176</v>
      </c>
      <c r="J1333" s="70" t="n">
        <v>744</v>
      </c>
      <c r="K1333" s="70" t="n">
        <f aca="false">IF(ISTEXT(H1333),VALUE(H1333),H1333)*I1333</f>
        <v>7056</v>
      </c>
    </row>
    <row r="1334" customFormat="false" ht="15" hidden="false" customHeight="false" outlineLevel="0" collapsed="false">
      <c r="A1334" s="0" t="n">
        <v>1574</v>
      </c>
      <c r="B1334" s="68" t="n">
        <v>45750</v>
      </c>
      <c r="C1334" s="69" t="s">
        <v>136</v>
      </c>
      <c r="D1334" s="69" t="s">
        <v>137</v>
      </c>
      <c r="E1334" s="69" t="s">
        <v>107</v>
      </c>
      <c r="F1334" s="69" t="s">
        <v>115</v>
      </c>
      <c r="G1334" s="69" t="s">
        <v>156</v>
      </c>
      <c r="H1334" s="0" t="n">
        <v>10</v>
      </c>
      <c r="I1334" s="70" t="n">
        <v>119.23</v>
      </c>
      <c r="J1334" s="70" t="n">
        <v>65.51</v>
      </c>
      <c r="K1334" s="70" t="n">
        <f aca="false">IF(ISTEXT(H1334),VALUE(H1334),H1334)*I1334</f>
        <v>1192.3</v>
      </c>
    </row>
    <row r="1335" customFormat="false" ht="15" hidden="false" customHeight="false" outlineLevel="0" collapsed="false">
      <c r="A1335" s="0" t="n">
        <v>1080</v>
      </c>
      <c r="B1335" s="68" t="n">
        <v>45597</v>
      </c>
      <c r="C1335" s="69" t="s">
        <v>32</v>
      </c>
      <c r="D1335" s="69" t="s">
        <v>137</v>
      </c>
      <c r="E1335" s="69" t="s">
        <v>87</v>
      </c>
      <c r="F1335" s="69" t="s">
        <v>183</v>
      </c>
      <c r="G1335" s="69" t="s">
        <v>53</v>
      </c>
      <c r="H1335" s="0" t="n">
        <v>8</v>
      </c>
      <c r="I1335" s="70" t="n">
        <v>34.3</v>
      </c>
      <c r="J1335" s="70" t="n">
        <v>17.85</v>
      </c>
      <c r="K1335" s="70" t="n">
        <f aca="false">IF(ISTEXT(H1335),VALUE(H1335),H1335)*I1335</f>
        <v>274.4</v>
      </c>
    </row>
    <row r="1336" customFormat="false" ht="15" hidden="false" customHeight="false" outlineLevel="0" collapsed="false">
      <c r="A1336" s="0" t="n">
        <v>1057</v>
      </c>
      <c r="B1336" s="69" t="s">
        <v>610</v>
      </c>
      <c r="C1336" s="69" t="s">
        <v>108</v>
      </c>
      <c r="D1336" s="69" t="s">
        <v>109</v>
      </c>
      <c r="E1336" s="69" t="s">
        <v>101</v>
      </c>
      <c r="F1336" s="69" t="s">
        <v>183</v>
      </c>
      <c r="G1336" s="69" t="s">
        <v>130</v>
      </c>
      <c r="H1336" s="0" t="n">
        <v>34</v>
      </c>
      <c r="I1336" s="70" t="n">
        <v>127.4</v>
      </c>
      <c r="J1336" s="70" t="n">
        <v>76.05</v>
      </c>
      <c r="K1336" s="70" t="n">
        <f aca="false">IF(ISTEXT(H1336),VALUE(H1336),H1336)*I1336</f>
        <v>4331.6</v>
      </c>
    </row>
    <row r="1337" customFormat="false" ht="15" hidden="false" customHeight="false" outlineLevel="0" collapsed="false">
      <c r="A1337" s="0" t="n">
        <v>1321</v>
      </c>
      <c r="B1337" s="69" t="s">
        <v>274</v>
      </c>
      <c r="C1337" s="69" t="s">
        <v>159</v>
      </c>
      <c r="D1337" s="69" t="s">
        <v>86</v>
      </c>
      <c r="E1337" s="69" t="s">
        <v>134</v>
      </c>
      <c r="F1337" s="69" t="s">
        <v>139</v>
      </c>
      <c r="G1337" s="69" t="s">
        <v>151</v>
      </c>
      <c r="H1337" s="0" t="n">
        <v>8</v>
      </c>
      <c r="I1337" s="70" t="n">
        <v>1155.06</v>
      </c>
      <c r="J1337" s="70" t="n">
        <v>766.32</v>
      </c>
      <c r="K1337" s="70" t="n">
        <f aca="false">IF(ISTEXT(H1337),VALUE(H1337),H1337)*I1337</f>
        <v>9240.48</v>
      </c>
    </row>
    <row r="1338" customFormat="false" ht="15" hidden="false" customHeight="false" outlineLevel="0" collapsed="false">
      <c r="A1338" s="0" t="n">
        <v>2305</v>
      </c>
      <c r="B1338" s="69" t="s">
        <v>611</v>
      </c>
      <c r="C1338" s="69" t="s">
        <v>170</v>
      </c>
      <c r="D1338" s="69" t="s">
        <v>97</v>
      </c>
      <c r="E1338" s="69" t="s">
        <v>134</v>
      </c>
      <c r="F1338" s="69" t="s">
        <v>88</v>
      </c>
      <c r="G1338" s="69" t="s">
        <v>45</v>
      </c>
      <c r="H1338" s="0" t="n">
        <v>34</v>
      </c>
      <c r="I1338" s="70" t="n">
        <v>1656.52</v>
      </c>
      <c r="J1338" s="70" t="n">
        <v>1155.66</v>
      </c>
      <c r="K1338" s="70" t="n">
        <f aca="false">IF(ISTEXT(H1338),VALUE(H1338),H1338)*I1338</f>
        <v>56321.68</v>
      </c>
    </row>
    <row r="1339" customFormat="false" ht="15" hidden="false" customHeight="false" outlineLevel="0" collapsed="false">
      <c r="A1339" s="0" t="n">
        <v>1366</v>
      </c>
      <c r="B1339" s="68" t="n">
        <v>45693</v>
      </c>
      <c r="C1339" s="69" t="s">
        <v>184</v>
      </c>
      <c r="D1339" s="69" t="s">
        <v>137</v>
      </c>
      <c r="E1339" s="69" t="s">
        <v>87</v>
      </c>
      <c r="F1339" s="69" t="s">
        <v>147</v>
      </c>
      <c r="G1339" s="69" t="s">
        <v>45</v>
      </c>
      <c r="H1339" s="0" t="n">
        <v>4</v>
      </c>
      <c r="I1339" s="70" t="n">
        <v>1588.21</v>
      </c>
      <c r="J1339" s="70" t="n">
        <v>1155.66</v>
      </c>
      <c r="K1339" s="70" t="n">
        <f aca="false">IF(ISTEXT(H1339),VALUE(H1339),H1339)*I1339</f>
        <v>6352.84</v>
      </c>
    </row>
    <row r="1340" customFormat="false" ht="15" hidden="false" customHeight="false" outlineLevel="0" collapsed="false">
      <c r="A1340" s="0" t="n">
        <v>487</v>
      </c>
      <c r="B1340" s="68" t="n">
        <v>45420</v>
      </c>
      <c r="C1340" s="69" t="s">
        <v>161</v>
      </c>
      <c r="D1340" s="69" t="s">
        <v>112</v>
      </c>
      <c r="E1340" s="69" t="s">
        <v>121</v>
      </c>
      <c r="F1340" s="69" t="s">
        <v>102</v>
      </c>
      <c r="G1340" s="69" t="s">
        <v>103</v>
      </c>
      <c r="H1340" s="0" t="n">
        <v>33</v>
      </c>
      <c r="I1340" s="70" t="n">
        <v>27.44</v>
      </c>
      <c r="J1340" s="70" t="n">
        <v>13.44</v>
      </c>
      <c r="K1340" s="70" t="n">
        <f aca="false">IF(ISTEXT(H1340),VALUE(H1340),H1340)*I1340</f>
        <v>905.52</v>
      </c>
    </row>
    <row r="1341" customFormat="false" ht="15" hidden="false" customHeight="false" outlineLevel="0" collapsed="false">
      <c r="A1341" s="0" t="n">
        <v>2332</v>
      </c>
      <c r="B1341" s="69" t="s">
        <v>612</v>
      </c>
      <c r="C1341" s="69" t="s">
        <v>91</v>
      </c>
      <c r="D1341" s="69" t="s">
        <v>86</v>
      </c>
      <c r="E1341" s="69" t="s">
        <v>125</v>
      </c>
      <c r="F1341" s="69" t="s">
        <v>143</v>
      </c>
      <c r="G1341" s="69" t="s">
        <v>208</v>
      </c>
      <c r="H1341" s="0" t="n">
        <v>50</v>
      </c>
      <c r="I1341" s="70" t="n">
        <v>65.26</v>
      </c>
      <c r="J1341" s="70" t="n">
        <v>36.49</v>
      </c>
      <c r="K1341" s="70" t="n">
        <f aca="false">IF(ISTEXT(H1341),VALUE(H1341),H1341)*I1341</f>
        <v>3263</v>
      </c>
    </row>
    <row r="1342" customFormat="false" ht="15" hidden="false" customHeight="false" outlineLevel="0" collapsed="false">
      <c r="A1342" s="0" t="n">
        <v>1268</v>
      </c>
      <c r="B1342" s="68" t="n">
        <v>45678</v>
      </c>
      <c r="C1342" s="69" t="s">
        <v>184</v>
      </c>
      <c r="D1342" s="69" t="s">
        <v>137</v>
      </c>
      <c r="E1342" s="69" t="s">
        <v>125</v>
      </c>
      <c r="F1342" s="69" t="s">
        <v>28</v>
      </c>
      <c r="G1342" s="69" t="s">
        <v>103</v>
      </c>
      <c r="H1342" s="0" t="n">
        <v>18</v>
      </c>
      <c r="I1342" s="70" t="n">
        <v>27.82</v>
      </c>
      <c r="J1342" s="70" t="n">
        <v>13.84</v>
      </c>
      <c r="K1342" s="70" t="n">
        <f aca="false">IF(ISTEXT(H1342),VALUE(H1342),H1342)*I1342</f>
        <v>500.76</v>
      </c>
    </row>
    <row r="1343" customFormat="false" ht="15" hidden="false" customHeight="false" outlineLevel="0" collapsed="false">
      <c r="A1343" s="0" t="n">
        <v>2383</v>
      </c>
      <c r="B1343" s="68" t="n">
        <v>46014</v>
      </c>
      <c r="C1343" s="69" t="s">
        <v>142</v>
      </c>
      <c r="D1343" s="69" t="s">
        <v>112</v>
      </c>
      <c r="E1343" s="69" t="s">
        <v>110</v>
      </c>
      <c r="F1343" s="69" t="s">
        <v>26</v>
      </c>
      <c r="G1343" s="69" t="s">
        <v>43</v>
      </c>
      <c r="H1343" s="0" t="n">
        <v>10</v>
      </c>
      <c r="I1343" s="70" t="n">
        <v>451.78</v>
      </c>
      <c r="J1343" s="70" t="n">
        <v>280.42</v>
      </c>
      <c r="K1343" s="70" t="n">
        <f aca="false">IF(ISTEXT(H1343),VALUE(H1343),H1343)*I1343</f>
        <v>4517.8</v>
      </c>
    </row>
    <row r="1344" customFormat="false" ht="15" hidden="false" customHeight="false" outlineLevel="0" collapsed="false">
      <c r="A1344" s="0" t="n">
        <v>278</v>
      </c>
      <c r="B1344" s="68" t="n">
        <v>45354</v>
      </c>
      <c r="C1344" s="69" t="s">
        <v>193</v>
      </c>
      <c r="D1344" s="69" t="s">
        <v>137</v>
      </c>
      <c r="E1344" s="69" t="s">
        <v>87</v>
      </c>
      <c r="F1344" s="69" t="s">
        <v>183</v>
      </c>
      <c r="G1344" s="69" t="s">
        <v>52</v>
      </c>
      <c r="H1344" s="0" t="n">
        <v>8</v>
      </c>
      <c r="I1344" s="70" t="n">
        <v>127.4</v>
      </c>
      <c r="J1344" s="70" t="n">
        <v>76.05</v>
      </c>
      <c r="K1344" s="70" t="n">
        <f aca="false">IF(ISTEXT(H1344),VALUE(H1344),H1344)*I1344</f>
        <v>1019.2</v>
      </c>
    </row>
    <row r="1345" customFormat="false" ht="15" hidden="false" customHeight="false" outlineLevel="0" collapsed="false">
      <c r="A1345" s="0" t="n">
        <v>815</v>
      </c>
      <c r="B1345" s="68" t="n">
        <v>45544</v>
      </c>
      <c r="C1345" s="69" t="s">
        <v>25</v>
      </c>
      <c r="D1345" s="69" t="s">
        <v>97</v>
      </c>
      <c r="E1345" s="69" t="s">
        <v>134</v>
      </c>
      <c r="F1345" s="69" t="s">
        <v>162</v>
      </c>
      <c r="G1345" s="69" t="s">
        <v>111</v>
      </c>
      <c r="H1345" s="0" t="n">
        <v>50</v>
      </c>
      <c r="I1345" s="70" t="n">
        <v>83.3</v>
      </c>
      <c r="J1345" s="70" t="n">
        <v>48.03</v>
      </c>
      <c r="K1345" s="70" t="n">
        <f aca="false">IF(ISTEXT(H1345),VALUE(H1345),H1345)*I1345</f>
        <v>4165</v>
      </c>
    </row>
    <row r="1346" customFormat="false" ht="15" hidden="false" customHeight="false" outlineLevel="0" collapsed="false">
      <c r="A1346" s="0" t="n">
        <v>2244</v>
      </c>
      <c r="B1346" s="69" t="s">
        <v>613</v>
      </c>
      <c r="C1346" s="69" t="s">
        <v>152</v>
      </c>
      <c r="D1346" s="69" t="s">
        <v>109</v>
      </c>
      <c r="E1346" s="69" t="s">
        <v>107</v>
      </c>
      <c r="F1346" s="69" t="s">
        <v>153</v>
      </c>
      <c r="G1346" s="69" t="s">
        <v>177</v>
      </c>
      <c r="H1346" s="0" t="n">
        <v>8</v>
      </c>
      <c r="I1346" s="70" t="n">
        <v>451.78</v>
      </c>
      <c r="J1346" s="70" t="n">
        <v>280.42</v>
      </c>
      <c r="K1346" s="70" t="n">
        <f aca="false">IF(ISTEXT(H1346),VALUE(H1346),H1346)*I1346</f>
        <v>3614.24</v>
      </c>
    </row>
    <row r="1347" customFormat="false" ht="15" hidden="false" customHeight="false" outlineLevel="0" collapsed="false">
      <c r="A1347" s="0" t="n">
        <v>816</v>
      </c>
      <c r="B1347" s="68" t="n">
        <v>45551</v>
      </c>
      <c r="C1347" s="69" t="s">
        <v>124</v>
      </c>
      <c r="D1347" s="69" t="s">
        <v>97</v>
      </c>
      <c r="E1347" s="69" t="s">
        <v>125</v>
      </c>
      <c r="F1347" s="69" t="s">
        <v>115</v>
      </c>
      <c r="G1347" s="69" t="s">
        <v>51</v>
      </c>
      <c r="H1347" s="0" t="n">
        <v>19</v>
      </c>
      <c r="I1347" s="70" t="n">
        <v>83.3</v>
      </c>
      <c r="J1347" s="70" t="n">
        <v>48.03</v>
      </c>
      <c r="K1347" s="70" t="n">
        <f aca="false">IF(ISTEXT(H1347),VALUE(H1347),H1347)*I1347</f>
        <v>1582.7</v>
      </c>
    </row>
    <row r="1348" customFormat="false" ht="15" hidden="false" customHeight="false" outlineLevel="0" collapsed="false">
      <c r="A1348" s="0" t="n">
        <v>1931</v>
      </c>
      <c r="B1348" s="68" t="n">
        <v>45887</v>
      </c>
      <c r="C1348" s="69" t="s">
        <v>27</v>
      </c>
      <c r="D1348" s="69" t="s">
        <v>86</v>
      </c>
      <c r="E1348" s="69" t="s">
        <v>101</v>
      </c>
      <c r="F1348" s="69" t="s">
        <v>99</v>
      </c>
      <c r="G1348" s="69" t="s">
        <v>208</v>
      </c>
      <c r="H1348" s="0" t="s">
        <v>549</v>
      </c>
      <c r="I1348" s="70" t="n">
        <v>65.26</v>
      </c>
      <c r="J1348" s="70" t="n">
        <v>36.49</v>
      </c>
      <c r="K1348" s="70" t="n">
        <f aca="false">IF(ISTEXT(H1348),VALUE(H1348),H1348)*I1348</f>
        <v>3197.74</v>
      </c>
    </row>
    <row r="1349" customFormat="false" ht="15" hidden="false" customHeight="false" outlineLevel="0" collapsed="false">
      <c r="A1349" s="0" t="n">
        <v>1315</v>
      </c>
      <c r="B1349" s="69" t="s">
        <v>614</v>
      </c>
      <c r="C1349" s="69" t="s">
        <v>25</v>
      </c>
      <c r="D1349" s="69" t="s">
        <v>97</v>
      </c>
      <c r="E1349" s="69" t="s">
        <v>101</v>
      </c>
      <c r="F1349" s="69" t="s">
        <v>166</v>
      </c>
      <c r="G1349" s="69" t="s">
        <v>116</v>
      </c>
      <c r="H1349" s="0" t="n">
        <v>38</v>
      </c>
      <c r="I1349" s="70" t="n">
        <v>84.46</v>
      </c>
      <c r="J1349" s="70" t="n">
        <v>49.47</v>
      </c>
      <c r="K1349" s="70" t="n">
        <f aca="false">IF(ISTEXT(H1349),VALUE(H1349),H1349)*I1349</f>
        <v>3209.48</v>
      </c>
    </row>
    <row r="1350" customFormat="false" ht="15" hidden="false" customHeight="false" outlineLevel="0" collapsed="false">
      <c r="A1350" s="0" t="n">
        <v>1124</v>
      </c>
      <c r="B1350" s="68" t="n">
        <v>45638</v>
      </c>
      <c r="C1350" s="69" t="s">
        <v>159</v>
      </c>
      <c r="D1350" s="69" t="s">
        <v>86</v>
      </c>
      <c r="E1350" s="69" t="s">
        <v>98</v>
      </c>
      <c r="F1350" s="69" t="s">
        <v>88</v>
      </c>
      <c r="G1350" s="69" t="s">
        <v>43</v>
      </c>
      <c r="H1350" s="0" t="n">
        <v>8</v>
      </c>
      <c r="I1350" s="70" t="n">
        <v>441</v>
      </c>
      <c r="J1350" s="70" t="n">
        <v>272.25</v>
      </c>
      <c r="K1350" s="70" t="n">
        <f aca="false">IF(ISTEXT(H1350),VALUE(H1350),H1350)*I1350</f>
        <v>3528</v>
      </c>
    </row>
    <row r="1351" customFormat="false" ht="15" hidden="false" customHeight="false" outlineLevel="0" collapsed="false">
      <c r="A1351" s="0" t="n">
        <v>1969</v>
      </c>
      <c r="B1351" s="68" t="n">
        <v>45883</v>
      </c>
      <c r="C1351" s="69" t="s">
        <v>32</v>
      </c>
      <c r="D1351" s="69" t="s">
        <v>137</v>
      </c>
      <c r="E1351" s="69" t="s">
        <v>101</v>
      </c>
      <c r="F1351" s="69" t="s">
        <v>143</v>
      </c>
      <c r="G1351" s="69" t="s">
        <v>172</v>
      </c>
      <c r="H1351" s="0" t="n">
        <v>31</v>
      </c>
      <c r="I1351" s="70" t="n">
        <v>95.38</v>
      </c>
      <c r="J1351" s="70" t="n">
        <v>49.41</v>
      </c>
      <c r="K1351" s="70" t="n">
        <f aca="false">IF(ISTEXT(H1351),VALUE(H1351),H1351)*I1351</f>
        <v>2956.78</v>
      </c>
    </row>
    <row r="1352" customFormat="false" ht="15" hidden="false" customHeight="false" outlineLevel="0" collapsed="false">
      <c r="A1352" s="0" t="n">
        <v>521</v>
      </c>
      <c r="B1352" s="68" t="n">
        <v>45446</v>
      </c>
      <c r="C1352" s="69" t="s">
        <v>120</v>
      </c>
      <c r="D1352" s="69" t="s">
        <v>86</v>
      </c>
      <c r="E1352" s="69" t="s">
        <v>101</v>
      </c>
      <c r="F1352" s="69" t="s">
        <v>88</v>
      </c>
      <c r="G1352" s="69" t="s">
        <v>41</v>
      </c>
      <c r="H1352" s="0" t="n">
        <v>14</v>
      </c>
      <c r="I1352" s="70" t="n">
        <v>1176</v>
      </c>
      <c r="J1352" s="70" t="n">
        <v>744</v>
      </c>
      <c r="K1352" s="70" t="n">
        <f aca="false">IF(ISTEXT(H1352),VALUE(H1352),H1352)*I1352</f>
        <v>16464</v>
      </c>
    </row>
    <row r="1353" customFormat="false" ht="15" hidden="false" customHeight="false" outlineLevel="0" collapsed="false">
      <c r="A1353" s="0" t="n">
        <v>2012</v>
      </c>
      <c r="B1353" s="69" t="s">
        <v>615</v>
      </c>
      <c r="C1353" s="69" t="s">
        <v>96</v>
      </c>
      <c r="D1353" s="69" t="s">
        <v>97</v>
      </c>
      <c r="E1353" s="69" t="s">
        <v>180</v>
      </c>
      <c r="F1353" s="69" t="s">
        <v>28</v>
      </c>
      <c r="G1353" s="69" t="s">
        <v>49</v>
      </c>
      <c r="H1353" s="0" t="s">
        <v>567</v>
      </c>
      <c r="I1353" s="70" t="n">
        <v>65.26</v>
      </c>
      <c r="J1353" s="70" t="n">
        <v>36.49</v>
      </c>
      <c r="K1353" s="70" t="n">
        <f aca="false">IF(ISTEXT(H1353),VALUE(H1353),H1353)*I1353</f>
        <v>4176.64</v>
      </c>
    </row>
    <row r="1354" customFormat="false" ht="15" hidden="false" customHeight="false" outlineLevel="0" collapsed="false">
      <c r="A1354" s="0" t="n">
        <v>890</v>
      </c>
      <c r="B1354" s="68" t="n">
        <v>45556</v>
      </c>
      <c r="C1354" s="69" t="s">
        <v>161</v>
      </c>
      <c r="D1354" s="69" t="s">
        <v>112</v>
      </c>
      <c r="E1354" s="69" t="s">
        <v>119</v>
      </c>
      <c r="F1354" s="69" t="s">
        <v>99</v>
      </c>
      <c r="G1354" s="69" t="s">
        <v>235</v>
      </c>
      <c r="H1354" s="0" t="n">
        <v>12</v>
      </c>
      <c r="I1354" s="70" t="n">
        <v>93.1</v>
      </c>
      <c r="J1354" s="70" t="n">
        <v>47.98</v>
      </c>
      <c r="K1354" s="70" t="n">
        <f aca="false">IF(ISTEXT(H1354),VALUE(H1354),H1354)*I1354</f>
        <v>1117.2</v>
      </c>
    </row>
    <row r="1355" customFormat="false" ht="15" hidden="false" customHeight="false" outlineLevel="0" collapsed="false">
      <c r="A1355" s="0" t="n">
        <v>1200</v>
      </c>
      <c r="B1355" s="68" t="n">
        <v>45630</v>
      </c>
      <c r="C1355" s="69" t="s">
        <v>142</v>
      </c>
      <c r="D1355" s="69" t="s">
        <v>112</v>
      </c>
      <c r="E1355" s="69" t="s">
        <v>87</v>
      </c>
      <c r="F1355" s="69" t="s">
        <v>182</v>
      </c>
      <c r="G1355" s="69" t="s">
        <v>217</v>
      </c>
      <c r="H1355" s="0" t="n">
        <v>9</v>
      </c>
      <c r="I1355" s="70" t="n">
        <v>34.3</v>
      </c>
      <c r="J1355" s="70" t="n">
        <v>17.85</v>
      </c>
      <c r="K1355" s="70" t="n">
        <f aca="false">IF(ISTEXT(H1355),VALUE(H1355),H1355)*I1355</f>
        <v>308.7</v>
      </c>
    </row>
    <row r="1356" customFormat="false" ht="15" hidden="false" customHeight="false" outlineLevel="0" collapsed="false">
      <c r="A1356" s="0" t="n">
        <v>1823</v>
      </c>
      <c r="B1356" s="69" t="s">
        <v>616</v>
      </c>
      <c r="C1356" s="69" t="s">
        <v>27</v>
      </c>
      <c r="D1356" s="69" t="s">
        <v>86</v>
      </c>
      <c r="E1356" s="69" t="s">
        <v>134</v>
      </c>
      <c r="F1356" s="69" t="s">
        <v>26</v>
      </c>
      <c r="G1356" s="69" t="s">
        <v>177</v>
      </c>
      <c r="H1356" s="0" t="n">
        <v>15</v>
      </c>
      <c r="I1356" s="70" t="n">
        <v>451.78</v>
      </c>
      <c r="J1356" s="70" t="n">
        <v>280.42</v>
      </c>
      <c r="K1356" s="70" t="n">
        <f aca="false">IF(ISTEXT(H1356),VALUE(H1356),H1356)*I1356</f>
        <v>6776.7</v>
      </c>
    </row>
    <row r="1357" customFormat="false" ht="15" hidden="false" customHeight="false" outlineLevel="0" collapsed="false">
      <c r="A1357" s="0" t="n">
        <v>1050</v>
      </c>
      <c r="B1357" s="68" t="n">
        <v>45603</v>
      </c>
      <c r="C1357" s="69" t="s">
        <v>108</v>
      </c>
      <c r="D1357" s="69" t="s">
        <v>109</v>
      </c>
      <c r="E1357" s="69" t="s">
        <v>125</v>
      </c>
      <c r="F1357" s="69" t="s">
        <v>28</v>
      </c>
      <c r="G1357" s="69" t="s">
        <v>235</v>
      </c>
      <c r="H1357" s="0" t="n">
        <v>22</v>
      </c>
      <c r="I1357" s="70" t="n">
        <v>93.1</v>
      </c>
      <c r="J1357" s="70" t="n">
        <v>47.98</v>
      </c>
      <c r="K1357" s="70" t="n">
        <f aca="false">IF(ISTEXT(H1357),VALUE(H1357),H1357)*I1357</f>
        <v>2048.2</v>
      </c>
    </row>
    <row r="1358" customFormat="false" ht="15" hidden="false" customHeight="false" outlineLevel="0" collapsed="false">
      <c r="A1358" s="0" t="n">
        <v>947</v>
      </c>
      <c r="B1358" s="68" t="n">
        <v>45580</v>
      </c>
      <c r="C1358" s="69" t="s">
        <v>30</v>
      </c>
      <c r="D1358" s="69" t="s">
        <v>109</v>
      </c>
      <c r="E1358" s="69" t="s">
        <v>121</v>
      </c>
      <c r="F1358" s="69" t="s">
        <v>155</v>
      </c>
      <c r="G1358" s="69" t="s">
        <v>103</v>
      </c>
      <c r="H1358" s="0" t="n">
        <v>43</v>
      </c>
      <c r="I1358" s="70" t="n">
        <v>27.44</v>
      </c>
      <c r="J1358" s="70" t="n">
        <v>13.44</v>
      </c>
      <c r="K1358" s="70" t="n">
        <f aca="false">IF(ISTEXT(H1358),VALUE(H1358),H1358)*I1358</f>
        <v>1179.92</v>
      </c>
    </row>
    <row r="1359" customFormat="false" ht="15" hidden="false" customHeight="false" outlineLevel="0" collapsed="false">
      <c r="A1359" s="0" t="n">
        <v>190</v>
      </c>
      <c r="B1359" s="68" t="n">
        <v>45330</v>
      </c>
      <c r="C1359" s="69" t="s">
        <v>142</v>
      </c>
      <c r="D1359" s="69" t="s">
        <v>112</v>
      </c>
      <c r="E1359" s="69" t="s">
        <v>107</v>
      </c>
      <c r="F1359" s="69" t="s">
        <v>28</v>
      </c>
      <c r="G1359" s="69" t="s">
        <v>235</v>
      </c>
      <c r="H1359" s="0" t="s">
        <v>122</v>
      </c>
      <c r="I1359" s="70" t="n">
        <v>93.1</v>
      </c>
      <c r="J1359" s="70" t="n">
        <v>47.98</v>
      </c>
      <c r="K1359" s="70" t="n">
        <f aca="false">IF(ISTEXT(H1359),VALUE(H1359),H1359)*I1359</f>
        <v>837.9</v>
      </c>
    </row>
    <row r="1360" customFormat="false" ht="15" hidden="false" customHeight="false" outlineLevel="0" collapsed="false">
      <c r="A1360" s="0" t="n">
        <v>540</v>
      </c>
      <c r="B1360" s="69" t="s">
        <v>617</v>
      </c>
      <c r="C1360" s="69" t="s">
        <v>91</v>
      </c>
      <c r="D1360" s="69" t="s">
        <v>86</v>
      </c>
      <c r="E1360" s="69" t="s">
        <v>98</v>
      </c>
      <c r="F1360" s="69" t="s">
        <v>168</v>
      </c>
      <c r="G1360" s="69" t="s">
        <v>53</v>
      </c>
      <c r="H1360" s="0" t="n">
        <v>15</v>
      </c>
      <c r="I1360" s="70" t="n">
        <v>34.3</v>
      </c>
      <c r="J1360" s="70" t="n">
        <v>17.85</v>
      </c>
      <c r="K1360" s="70" t="n">
        <f aca="false">IF(ISTEXT(H1360),VALUE(H1360),H1360)*I1360</f>
        <v>514.5</v>
      </c>
    </row>
    <row r="1361" customFormat="false" ht="15" hidden="false" customHeight="false" outlineLevel="0" collapsed="false">
      <c r="A1361" s="0" t="n">
        <v>2111</v>
      </c>
      <c r="B1361" s="69" t="s">
        <v>618</v>
      </c>
      <c r="C1361" s="69" t="s">
        <v>25</v>
      </c>
      <c r="D1361" s="69" t="s">
        <v>97</v>
      </c>
      <c r="E1361" s="69" t="s">
        <v>110</v>
      </c>
      <c r="F1361" s="69" t="s">
        <v>99</v>
      </c>
      <c r="G1361" s="69" t="s">
        <v>49</v>
      </c>
      <c r="H1361" s="0" t="n">
        <v>95</v>
      </c>
      <c r="I1361" s="70" t="n">
        <v>65.26</v>
      </c>
      <c r="J1361" s="70" t="n">
        <v>36.49</v>
      </c>
      <c r="K1361" s="70" t="n">
        <f aca="false">IF(ISTEXT(H1361),VALUE(H1361),H1361)*I1361</f>
        <v>6199.7</v>
      </c>
    </row>
    <row r="1362" customFormat="false" ht="15" hidden="false" customHeight="false" outlineLevel="0" collapsed="false">
      <c r="A1362" s="0" t="n">
        <v>849</v>
      </c>
      <c r="B1362" s="69" t="s">
        <v>619</v>
      </c>
      <c r="C1362" s="69" t="s">
        <v>152</v>
      </c>
      <c r="D1362" s="69" t="s">
        <v>109</v>
      </c>
      <c r="E1362" s="69" t="s">
        <v>110</v>
      </c>
      <c r="F1362" s="69" t="s">
        <v>155</v>
      </c>
      <c r="G1362" s="69" t="s">
        <v>172</v>
      </c>
      <c r="H1362" s="0" t="n">
        <v>47</v>
      </c>
      <c r="I1362" s="70" t="n">
        <v>93.1</v>
      </c>
      <c r="J1362" s="70" t="n">
        <v>47.98</v>
      </c>
      <c r="K1362" s="70" t="n">
        <f aca="false">IF(ISTEXT(H1362),VALUE(H1362),H1362)*I1362</f>
        <v>4375.7</v>
      </c>
    </row>
    <row r="1363" customFormat="false" ht="15" hidden="false" customHeight="false" outlineLevel="0" collapsed="false">
      <c r="A1363" s="0" t="n">
        <v>2293</v>
      </c>
      <c r="B1363" s="69" t="s">
        <v>510</v>
      </c>
      <c r="C1363" s="69" t="s">
        <v>133</v>
      </c>
      <c r="D1363" s="69" t="s">
        <v>112</v>
      </c>
      <c r="E1363" s="69" t="s">
        <v>101</v>
      </c>
      <c r="F1363" s="69" t="s">
        <v>166</v>
      </c>
      <c r="G1363" s="69" t="s">
        <v>171</v>
      </c>
      <c r="H1363" s="0" t="s">
        <v>211</v>
      </c>
      <c r="I1363" s="70" t="n">
        <v>120.47</v>
      </c>
      <c r="J1363" s="70" t="n">
        <v>65.51</v>
      </c>
      <c r="K1363" s="70" t="n">
        <f aca="false">IF(ISTEXT(H1363),VALUE(H1363),H1363)*I1363</f>
        <v>2168.46</v>
      </c>
    </row>
    <row r="1364" customFormat="false" ht="15" hidden="false" customHeight="false" outlineLevel="0" collapsed="false">
      <c r="A1364" s="0" t="n">
        <v>36</v>
      </c>
      <c r="B1364" s="68" t="n">
        <v>45301</v>
      </c>
      <c r="C1364" s="69" t="s">
        <v>159</v>
      </c>
      <c r="D1364" s="69" t="s">
        <v>86</v>
      </c>
      <c r="E1364" s="69" t="s">
        <v>180</v>
      </c>
      <c r="F1364" s="69" t="s">
        <v>31</v>
      </c>
      <c r="G1364" s="69" t="s">
        <v>51</v>
      </c>
      <c r="H1364" s="0" t="n">
        <v>10</v>
      </c>
      <c r="I1364" s="70" t="n">
        <v>83.3</v>
      </c>
      <c r="J1364" s="70" t="n">
        <v>48.03</v>
      </c>
      <c r="K1364" s="70" t="n">
        <f aca="false">IF(ISTEXT(H1364),VALUE(H1364),H1364)*I1364</f>
        <v>833</v>
      </c>
    </row>
    <row r="1365" customFormat="false" ht="15" hidden="false" customHeight="false" outlineLevel="0" collapsed="false">
      <c r="A1365" s="0" t="n">
        <v>2129</v>
      </c>
      <c r="B1365" s="68" t="n">
        <v>45957</v>
      </c>
      <c r="C1365" s="69" t="s">
        <v>27</v>
      </c>
      <c r="D1365" s="69" t="s">
        <v>86</v>
      </c>
      <c r="E1365" s="69" t="s">
        <v>92</v>
      </c>
      <c r="F1365" s="69" t="s">
        <v>102</v>
      </c>
      <c r="G1365" s="69" t="s">
        <v>235</v>
      </c>
      <c r="H1365" s="0" t="n">
        <v>61</v>
      </c>
      <c r="I1365" s="70" t="n">
        <v>95.38</v>
      </c>
      <c r="J1365" s="70" t="n">
        <v>49.41</v>
      </c>
      <c r="K1365" s="70" t="n">
        <f aca="false">IF(ISTEXT(H1365),VALUE(H1365),H1365)*I1365</f>
        <v>5818.18</v>
      </c>
    </row>
    <row r="1366" customFormat="false" ht="15" hidden="false" customHeight="false" outlineLevel="0" collapsed="false">
      <c r="A1366" s="0" t="n">
        <v>2063</v>
      </c>
      <c r="B1366" s="68" t="n">
        <v>45924</v>
      </c>
      <c r="C1366" s="69" t="s">
        <v>184</v>
      </c>
      <c r="D1366" s="69" t="s">
        <v>137</v>
      </c>
      <c r="E1366" s="69" t="s">
        <v>101</v>
      </c>
      <c r="F1366" s="69" t="s">
        <v>139</v>
      </c>
      <c r="G1366" s="69" t="s">
        <v>177</v>
      </c>
      <c r="H1366" s="0" t="n">
        <v>6</v>
      </c>
      <c r="I1366" s="70" t="n">
        <v>451.78</v>
      </c>
      <c r="J1366" s="70" t="n">
        <v>280.42</v>
      </c>
      <c r="K1366" s="70" t="n">
        <f aca="false">IF(ISTEXT(H1366),VALUE(H1366),H1366)*I1366</f>
        <v>2710.68</v>
      </c>
    </row>
    <row r="1367" customFormat="false" ht="15" hidden="false" customHeight="false" outlineLevel="0" collapsed="false">
      <c r="A1367" s="0" t="n">
        <v>486</v>
      </c>
      <c r="B1367" s="68" t="n">
        <v>45413</v>
      </c>
      <c r="C1367" s="69" t="s">
        <v>34</v>
      </c>
      <c r="D1367" s="69" t="s">
        <v>112</v>
      </c>
      <c r="E1367" s="69" t="s">
        <v>98</v>
      </c>
      <c r="F1367" s="69" t="s">
        <v>139</v>
      </c>
      <c r="G1367" s="69" t="s">
        <v>157</v>
      </c>
      <c r="H1367" s="0" t="n">
        <v>3</v>
      </c>
      <c r="I1367" s="70" t="n">
        <v>1617</v>
      </c>
      <c r="J1367" s="70" t="n">
        <v>1122</v>
      </c>
      <c r="K1367" s="70" t="n">
        <f aca="false">IF(ISTEXT(H1367),VALUE(H1367),H1367)*I1367</f>
        <v>4851</v>
      </c>
    </row>
    <row r="1368" customFormat="false" ht="15" hidden="false" customHeight="false" outlineLevel="0" collapsed="false">
      <c r="A1368" s="0" t="n">
        <v>612</v>
      </c>
      <c r="B1368" s="68" t="n">
        <v>45492</v>
      </c>
      <c r="C1368" s="69" t="s">
        <v>124</v>
      </c>
      <c r="D1368" s="69" t="s">
        <v>97</v>
      </c>
      <c r="E1368" s="69" t="s">
        <v>87</v>
      </c>
      <c r="F1368" s="69" t="s">
        <v>102</v>
      </c>
      <c r="G1368" s="69" t="s">
        <v>49</v>
      </c>
      <c r="H1368" s="0" t="n">
        <v>38</v>
      </c>
      <c r="I1368" s="70" t="n">
        <v>63.7</v>
      </c>
      <c r="J1368" s="70" t="n">
        <v>35.43</v>
      </c>
      <c r="K1368" s="70" t="n">
        <f aca="false">IF(ISTEXT(H1368),VALUE(H1368),H1368)*I1368</f>
        <v>2420.6</v>
      </c>
    </row>
    <row r="1369" customFormat="false" ht="15" hidden="false" customHeight="false" outlineLevel="0" collapsed="false">
      <c r="A1369" s="0" t="n">
        <v>65</v>
      </c>
      <c r="B1369" s="68" t="n">
        <v>45315</v>
      </c>
      <c r="C1369" s="69" t="s">
        <v>136</v>
      </c>
      <c r="D1369" s="69" t="s">
        <v>137</v>
      </c>
      <c r="E1369" s="69" t="s">
        <v>138</v>
      </c>
      <c r="F1369" s="69" t="s">
        <v>135</v>
      </c>
      <c r="G1369" s="69" t="s">
        <v>141</v>
      </c>
      <c r="H1369" s="0" t="n">
        <v>7</v>
      </c>
      <c r="I1369" s="70" t="n">
        <v>1617</v>
      </c>
      <c r="J1369" s="70" t="n">
        <v>1122</v>
      </c>
      <c r="K1369" s="70" t="n">
        <f aca="false">IF(ISTEXT(H1369),VALUE(H1369),H1369)*I1369</f>
        <v>11319</v>
      </c>
    </row>
    <row r="1370" customFormat="false" ht="15" hidden="false" customHeight="false" outlineLevel="0" collapsed="false">
      <c r="A1370" s="0" t="n">
        <v>1162</v>
      </c>
      <c r="B1370" s="68" t="n">
        <v>45634</v>
      </c>
      <c r="C1370" s="69" t="s">
        <v>193</v>
      </c>
      <c r="D1370" s="69" t="s">
        <v>137</v>
      </c>
      <c r="E1370" s="69" t="s">
        <v>98</v>
      </c>
      <c r="F1370" s="69" t="s">
        <v>147</v>
      </c>
      <c r="G1370" s="69" t="s">
        <v>41</v>
      </c>
      <c r="H1370" s="0" t="n">
        <v>3</v>
      </c>
      <c r="I1370" s="70" t="n">
        <v>1176</v>
      </c>
      <c r="J1370" s="70" t="n">
        <v>744</v>
      </c>
      <c r="K1370" s="70" t="n">
        <f aca="false">IF(ISTEXT(H1370),VALUE(H1370),H1370)*I1370</f>
        <v>3528</v>
      </c>
    </row>
    <row r="1371" customFormat="false" ht="15" hidden="false" customHeight="false" outlineLevel="0" collapsed="false">
      <c r="A1371" s="0" t="n">
        <v>1380</v>
      </c>
      <c r="B1371" s="69" t="s">
        <v>620</v>
      </c>
      <c r="C1371" s="69" t="s">
        <v>184</v>
      </c>
      <c r="D1371" s="69" t="s">
        <v>137</v>
      </c>
      <c r="E1371" s="69" t="s">
        <v>98</v>
      </c>
      <c r="F1371" s="69" t="s">
        <v>33</v>
      </c>
      <c r="G1371" s="69" t="s">
        <v>217</v>
      </c>
      <c r="H1371" s="0" t="n">
        <v>10</v>
      </c>
      <c r="I1371" s="70" t="n">
        <v>34.78</v>
      </c>
      <c r="J1371" s="70" t="n">
        <v>18.39</v>
      </c>
      <c r="K1371" s="70" t="n">
        <f aca="false">IF(ISTEXT(H1371),VALUE(H1371),H1371)*I1371</f>
        <v>347.8</v>
      </c>
    </row>
    <row r="1372" customFormat="false" ht="15" hidden="false" customHeight="false" outlineLevel="0" collapsed="false">
      <c r="A1372" s="0" t="n">
        <v>478</v>
      </c>
      <c r="B1372" s="69" t="s">
        <v>621</v>
      </c>
      <c r="C1372" s="69" t="s">
        <v>32</v>
      </c>
      <c r="D1372" s="69" t="s">
        <v>137</v>
      </c>
      <c r="E1372" s="69" t="s">
        <v>125</v>
      </c>
      <c r="F1372" s="69" t="s">
        <v>93</v>
      </c>
      <c r="G1372" s="69" t="s">
        <v>52</v>
      </c>
      <c r="H1372" s="0" t="n">
        <v>6</v>
      </c>
      <c r="I1372" s="70" t="n">
        <v>127.4</v>
      </c>
      <c r="J1372" s="70" t="n">
        <v>76.05</v>
      </c>
      <c r="K1372" s="70" t="n">
        <f aca="false">IF(ISTEXT(H1372),VALUE(H1372),H1372)*I1372</f>
        <v>764.4</v>
      </c>
    </row>
    <row r="1373" customFormat="false" ht="15" hidden="false" customHeight="false" outlineLevel="0" collapsed="false">
      <c r="A1373" s="0" t="n">
        <v>688</v>
      </c>
      <c r="B1373" s="68" t="n">
        <v>45484</v>
      </c>
      <c r="C1373" s="69" t="s">
        <v>133</v>
      </c>
      <c r="D1373" s="69" t="s">
        <v>112</v>
      </c>
      <c r="E1373" s="69" t="s">
        <v>87</v>
      </c>
      <c r="F1373" s="69" t="s">
        <v>28</v>
      </c>
      <c r="G1373" s="69" t="s">
        <v>113</v>
      </c>
      <c r="H1373" s="0" t="n">
        <v>13</v>
      </c>
      <c r="I1373" s="70" t="n">
        <v>27.44</v>
      </c>
      <c r="J1373" s="70" t="n">
        <v>13.44</v>
      </c>
      <c r="K1373" s="70" t="n">
        <f aca="false">IF(ISTEXT(H1373),VALUE(H1373),H1373)*I1373</f>
        <v>356.72</v>
      </c>
    </row>
    <row r="1374" customFormat="false" ht="15" hidden="false" customHeight="false" outlineLevel="0" collapsed="false">
      <c r="A1374" s="0" t="n">
        <v>1003</v>
      </c>
      <c r="B1374" s="68" t="n">
        <v>45598</v>
      </c>
      <c r="C1374" s="69" t="s">
        <v>96</v>
      </c>
      <c r="D1374" s="69" t="s">
        <v>97</v>
      </c>
      <c r="E1374" s="69" t="s">
        <v>121</v>
      </c>
      <c r="F1374" s="69" t="s">
        <v>139</v>
      </c>
      <c r="G1374" s="69" t="s">
        <v>177</v>
      </c>
      <c r="H1374" s="0" t="s">
        <v>215</v>
      </c>
      <c r="I1374" s="70" t="n">
        <v>441</v>
      </c>
      <c r="J1374" s="70" t="n">
        <v>272.25</v>
      </c>
      <c r="K1374" s="70" t="n">
        <f aca="false">IF(ISTEXT(H1374),VALUE(H1374),H1374)*I1374</f>
        <v>13671</v>
      </c>
    </row>
    <row r="1375" customFormat="false" ht="15" hidden="false" customHeight="false" outlineLevel="0" collapsed="false">
      <c r="A1375" s="0" t="n">
        <v>2061</v>
      </c>
      <c r="B1375" s="69" t="s">
        <v>233</v>
      </c>
      <c r="C1375" s="69" t="s">
        <v>136</v>
      </c>
      <c r="D1375" s="69" t="s">
        <v>137</v>
      </c>
      <c r="E1375" s="69" t="s">
        <v>110</v>
      </c>
      <c r="F1375" s="69" t="s">
        <v>26</v>
      </c>
      <c r="G1375" s="69" t="s">
        <v>151</v>
      </c>
      <c r="H1375" s="0" t="n">
        <v>6</v>
      </c>
      <c r="I1375" s="70" t="n">
        <v>1204.74</v>
      </c>
      <c r="J1375" s="70" t="n">
        <v>766.32</v>
      </c>
      <c r="K1375" s="70" t="n">
        <f aca="false">IF(ISTEXT(H1375),VALUE(H1375),H1375)*I1375</f>
        <v>7228.44</v>
      </c>
    </row>
    <row r="1376" customFormat="false" ht="15" hidden="false" customHeight="false" outlineLevel="0" collapsed="false">
      <c r="A1376" s="0" t="n">
        <v>940</v>
      </c>
      <c r="B1376" s="68" t="n">
        <v>45585</v>
      </c>
      <c r="C1376" s="69" t="s">
        <v>27</v>
      </c>
      <c r="D1376" s="69" t="s">
        <v>86</v>
      </c>
      <c r="E1376" s="69" t="s">
        <v>98</v>
      </c>
      <c r="F1376" s="69" t="s">
        <v>182</v>
      </c>
      <c r="G1376" s="69" t="s">
        <v>94</v>
      </c>
      <c r="H1376" s="0" t="n">
        <v>13</v>
      </c>
      <c r="I1376" s="70" t="n">
        <v>34.3</v>
      </c>
      <c r="J1376" s="70" t="n">
        <v>17.85</v>
      </c>
      <c r="K1376" s="70" t="n">
        <f aca="false">IF(ISTEXT(H1376),VALUE(H1376),H1376)*I1376</f>
        <v>445.9</v>
      </c>
    </row>
    <row r="1377" customFormat="false" ht="15" hidden="false" customHeight="false" outlineLevel="0" collapsed="false">
      <c r="A1377" s="0" t="n">
        <v>1416</v>
      </c>
      <c r="B1377" s="69" t="s">
        <v>329</v>
      </c>
      <c r="C1377" s="69" t="s">
        <v>124</v>
      </c>
      <c r="D1377" s="69" t="s">
        <v>97</v>
      </c>
      <c r="E1377" s="69" t="s">
        <v>119</v>
      </c>
      <c r="F1377" s="69" t="s">
        <v>166</v>
      </c>
      <c r="G1377" s="69" t="s">
        <v>111</v>
      </c>
      <c r="H1377" s="0" t="s">
        <v>345</v>
      </c>
      <c r="I1377" s="70" t="n">
        <v>84.46</v>
      </c>
      <c r="J1377" s="70" t="n">
        <v>49.47</v>
      </c>
      <c r="K1377" s="70" t="n">
        <f aca="false">IF(ISTEXT(H1377),VALUE(H1377),H1377)*I1377</f>
        <v>2449.34</v>
      </c>
    </row>
    <row r="1378" customFormat="false" ht="15" hidden="false" customHeight="false" outlineLevel="0" collapsed="false">
      <c r="A1378" s="0" t="n">
        <v>1008</v>
      </c>
      <c r="B1378" s="68" t="n">
        <v>45606</v>
      </c>
      <c r="C1378" s="69" t="s">
        <v>124</v>
      </c>
      <c r="D1378" s="69" t="s">
        <v>97</v>
      </c>
      <c r="E1378" s="69" t="s">
        <v>87</v>
      </c>
      <c r="F1378" s="69" t="s">
        <v>28</v>
      </c>
      <c r="G1378" s="69" t="s">
        <v>113</v>
      </c>
      <c r="H1378" s="0" t="s">
        <v>622</v>
      </c>
      <c r="I1378" s="70" t="n">
        <v>27.44</v>
      </c>
      <c r="J1378" s="70" t="n">
        <v>13.44</v>
      </c>
      <c r="K1378" s="70" t="n">
        <f aca="false">IF(ISTEXT(H1378),VALUE(H1378),H1378)*I1378</f>
        <v>1207.36</v>
      </c>
    </row>
    <row r="1379" customFormat="false" ht="15" hidden="false" customHeight="false" outlineLevel="0" collapsed="false">
      <c r="A1379" s="0" t="n">
        <v>2345</v>
      </c>
      <c r="B1379" s="68" t="n">
        <v>46018</v>
      </c>
      <c r="C1379" s="69" t="s">
        <v>118</v>
      </c>
      <c r="D1379" s="69" t="s">
        <v>109</v>
      </c>
      <c r="E1379" s="69" t="s">
        <v>121</v>
      </c>
      <c r="F1379" s="69" t="s">
        <v>88</v>
      </c>
      <c r="G1379" s="69" t="s">
        <v>141</v>
      </c>
      <c r="H1379" s="0" t="n">
        <v>10</v>
      </c>
      <c r="I1379" s="70" t="n">
        <v>1656.52</v>
      </c>
      <c r="J1379" s="70" t="n">
        <v>1155.66</v>
      </c>
      <c r="K1379" s="70" t="n">
        <f aca="false">IF(ISTEXT(H1379),VALUE(H1379),H1379)*I1379</f>
        <v>16565.2</v>
      </c>
    </row>
    <row r="1380" customFormat="false" ht="15" hidden="false" customHeight="false" outlineLevel="0" collapsed="false">
      <c r="A1380" s="0" t="n">
        <v>1306</v>
      </c>
      <c r="B1380" s="68" t="n">
        <v>45705</v>
      </c>
      <c r="C1380" s="69" t="s">
        <v>124</v>
      </c>
      <c r="D1380" s="69" t="s">
        <v>97</v>
      </c>
      <c r="E1380" s="69" t="s">
        <v>125</v>
      </c>
      <c r="F1380" s="69" t="s">
        <v>26</v>
      </c>
      <c r="G1380" s="69" t="s">
        <v>141</v>
      </c>
      <c r="H1380" s="0" t="n">
        <v>10</v>
      </c>
      <c r="I1380" s="70" t="n">
        <v>1588.21</v>
      </c>
      <c r="J1380" s="70" t="n">
        <v>1155.66</v>
      </c>
      <c r="K1380" s="70" t="n">
        <f aca="false">IF(ISTEXT(H1380),VALUE(H1380),H1380)*I1380</f>
        <v>15882.1</v>
      </c>
    </row>
    <row r="1381" customFormat="false" ht="15" hidden="false" customHeight="false" outlineLevel="0" collapsed="false">
      <c r="A1381" s="0" t="n">
        <v>1487</v>
      </c>
      <c r="B1381" s="69" t="s">
        <v>623</v>
      </c>
      <c r="C1381" s="69" t="s">
        <v>133</v>
      </c>
      <c r="D1381" s="69" t="s">
        <v>112</v>
      </c>
      <c r="E1381" s="69" t="s">
        <v>138</v>
      </c>
      <c r="F1381" s="69" t="s">
        <v>99</v>
      </c>
      <c r="G1381" s="69" t="s">
        <v>113</v>
      </c>
      <c r="H1381" s="0" t="n">
        <v>25</v>
      </c>
      <c r="I1381" s="70" t="n">
        <v>27.82</v>
      </c>
      <c r="J1381" s="70" t="n">
        <v>13.84</v>
      </c>
      <c r="K1381" s="70" t="n">
        <f aca="false">IF(ISTEXT(H1381),VALUE(H1381),H1381)*I1381</f>
        <v>695.5</v>
      </c>
    </row>
    <row r="1382" customFormat="false" ht="15" hidden="false" customHeight="false" outlineLevel="0" collapsed="false">
      <c r="A1382" s="0" t="n">
        <v>107</v>
      </c>
      <c r="B1382" s="69" t="s">
        <v>624</v>
      </c>
      <c r="C1382" s="69" t="s">
        <v>25</v>
      </c>
      <c r="D1382" s="69" t="s">
        <v>97</v>
      </c>
      <c r="E1382" s="69" t="s">
        <v>138</v>
      </c>
      <c r="F1382" s="69" t="s">
        <v>155</v>
      </c>
      <c r="G1382" s="69" t="s">
        <v>103</v>
      </c>
      <c r="H1382" s="0" t="n">
        <v>83</v>
      </c>
      <c r="I1382" s="70" t="n">
        <v>27.44</v>
      </c>
      <c r="J1382" s="70" t="n">
        <v>13.44</v>
      </c>
      <c r="K1382" s="70" t="n">
        <f aca="false">IF(ISTEXT(H1382),VALUE(H1382),H1382)*I1382</f>
        <v>2277.52</v>
      </c>
    </row>
    <row r="1383" customFormat="false" ht="15" hidden="false" customHeight="false" outlineLevel="0" collapsed="false">
      <c r="A1383" s="0" t="n">
        <v>770</v>
      </c>
      <c r="B1383" s="68" t="n">
        <v>45522</v>
      </c>
      <c r="C1383" s="69" t="s">
        <v>184</v>
      </c>
      <c r="D1383" s="69" t="s">
        <v>137</v>
      </c>
      <c r="E1383" s="69" t="s">
        <v>87</v>
      </c>
      <c r="F1383" s="69" t="s">
        <v>102</v>
      </c>
      <c r="G1383" s="69" t="s">
        <v>235</v>
      </c>
      <c r="H1383" s="0" t="n">
        <v>12</v>
      </c>
      <c r="I1383" s="70" t="n">
        <v>93.1</v>
      </c>
      <c r="J1383" s="70" t="n">
        <v>47.98</v>
      </c>
      <c r="K1383" s="70" t="n">
        <f aca="false">IF(ISTEXT(H1383),VALUE(H1383),H1383)*I1383</f>
        <v>1117.2</v>
      </c>
    </row>
    <row r="1384" customFormat="false" ht="15" hidden="false" customHeight="false" outlineLevel="0" collapsed="false">
      <c r="A1384" s="0" t="n">
        <v>47</v>
      </c>
      <c r="B1384" s="69" t="s">
        <v>625</v>
      </c>
      <c r="C1384" s="69" t="s">
        <v>118</v>
      </c>
      <c r="D1384" s="69" t="s">
        <v>109</v>
      </c>
      <c r="E1384" s="69" t="s">
        <v>101</v>
      </c>
      <c r="F1384" s="69" t="s">
        <v>28</v>
      </c>
      <c r="G1384" s="69" t="s">
        <v>47</v>
      </c>
      <c r="H1384" s="0" t="n">
        <v>32</v>
      </c>
      <c r="I1384" s="70" t="n">
        <v>27.44</v>
      </c>
      <c r="J1384" s="70" t="n">
        <v>13.44</v>
      </c>
      <c r="K1384" s="70" t="n">
        <f aca="false">IF(ISTEXT(H1384),VALUE(H1384),H1384)*I1384</f>
        <v>878.08</v>
      </c>
    </row>
    <row r="1385" customFormat="false" ht="15" hidden="false" customHeight="false" outlineLevel="0" collapsed="false">
      <c r="A1385" s="0" t="n">
        <v>1840</v>
      </c>
      <c r="B1385" s="68" t="n">
        <v>45840</v>
      </c>
      <c r="C1385" s="69" t="s">
        <v>27</v>
      </c>
      <c r="D1385" s="69" t="s">
        <v>86</v>
      </c>
      <c r="E1385" s="69" t="s">
        <v>98</v>
      </c>
      <c r="F1385" s="69" t="s">
        <v>168</v>
      </c>
      <c r="G1385" s="69" t="s">
        <v>53</v>
      </c>
      <c r="H1385" s="0" t="n">
        <v>26</v>
      </c>
      <c r="I1385" s="70" t="n">
        <v>35.14</v>
      </c>
      <c r="J1385" s="70" t="n">
        <v>18.39</v>
      </c>
      <c r="K1385" s="70" t="n">
        <f aca="false">IF(ISTEXT(H1385),VALUE(H1385),H1385)*I1385</f>
        <v>913.64</v>
      </c>
    </row>
    <row r="1386" customFormat="false" ht="15" hidden="false" customHeight="false" outlineLevel="0" collapsed="false">
      <c r="A1386" s="0" t="n">
        <v>1849</v>
      </c>
      <c r="B1386" s="69" t="s">
        <v>626</v>
      </c>
      <c r="C1386" s="69" t="s">
        <v>118</v>
      </c>
      <c r="D1386" s="69" t="s">
        <v>109</v>
      </c>
      <c r="E1386" s="69" t="s">
        <v>134</v>
      </c>
      <c r="F1386" s="69" t="s">
        <v>28</v>
      </c>
      <c r="G1386" s="69" t="s">
        <v>235</v>
      </c>
      <c r="H1386" s="0" t="n">
        <v>37</v>
      </c>
      <c r="I1386" s="70" t="n">
        <v>95.38</v>
      </c>
      <c r="J1386" s="70" t="n">
        <v>49.41</v>
      </c>
      <c r="K1386" s="70" t="n">
        <f aca="false">IF(ISTEXT(H1386),VALUE(H1386),H1386)*I1386</f>
        <v>3529.06</v>
      </c>
    </row>
    <row r="1387" customFormat="false" ht="15" hidden="false" customHeight="false" outlineLevel="0" collapsed="false">
      <c r="A1387" s="0" t="n">
        <v>1633</v>
      </c>
      <c r="B1387" s="68" t="n">
        <v>45788</v>
      </c>
      <c r="C1387" s="69" t="s">
        <v>27</v>
      </c>
      <c r="D1387" s="69" t="s">
        <v>86</v>
      </c>
      <c r="E1387" s="69" t="s">
        <v>138</v>
      </c>
      <c r="F1387" s="69" t="s">
        <v>166</v>
      </c>
      <c r="G1387" s="69" t="s">
        <v>156</v>
      </c>
      <c r="H1387" s="0" t="s">
        <v>548</v>
      </c>
      <c r="I1387" s="70" t="n">
        <v>119.23</v>
      </c>
      <c r="J1387" s="70" t="n">
        <v>65.51</v>
      </c>
      <c r="K1387" s="70" t="n">
        <f aca="false">IF(ISTEXT(H1387),VALUE(H1387),H1387)*I1387</f>
        <v>2980.75</v>
      </c>
    </row>
    <row r="1388" customFormat="false" ht="15" hidden="false" customHeight="false" outlineLevel="0" collapsed="false">
      <c r="A1388" s="0" t="n">
        <v>764</v>
      </c>
      <c r="B1388" s="68" t="n">
        <v>45507</v>
      </c>
      <c r="C1388" s="69" t="s">
        <v>136</v>
      </c>
      <c r="D1388" s="69" t="s">
        <v>137</v>
      </c>
      <c r="E1388" s="69" t="s">
        <v>107</v>
      </c>
      <c r="F1388" s="69" t="s">
        <v>153</v>
      </c>
      <c r="G1388" s="69" t="s">
        <v>43</v>
      </c>
      <c r="H1388" s="0" t="n">
        <v>3</v>
      </c>
      <c r="I1388" s="70" t="n">
        <v>441</v>
      </c>
      <c r="J1388" s="70" t="n">
        <v>272.25</v>
      </c>
      <c r="K1388" s="70" t="n">
        <f aca="false">IF(ISTEXT(H1388),VALUE(H1388),H1388)*I1388</f>
        <v>1323</v>
      </c>
    </row>
    <row r="1389" customFormat="false" ht="15" hidden="false" customHeight="false" outlineLevel="0" collapsed="false">
      <c r="A1389" s="0" t="n">
        <v>1543</v>
      </c>
      <c r="B1389" s="68" t="n">
        <v>45749</v>
      </c>
      <c r="C1389" s="69" t="s">
        <v>30</v>
      </c>
      <c r="D1389" s="69" t="s">
        <v>109</v>
      </c>
      <c r="E1389" s="69" t="s">
        <v>121</v>
      </c>
      <c r="F1389" s="69" t="s">
        <v>26</v>
      </c>
      <c r="G1389" s="69" t="s">
        <v>89</v>
      </c>
      <c r="H1389" s="0" t="n">
        <v>6</v>
      </c>
      <c r="I1389" s="70" t="n">
        <v>433.15</v>
      </c>
      <c r="J1389" s="70" t="n">
        <v>280.42</v>
      </c>
      <c r="K1389" s="70" t="n">
        <f aca="false">IF(ISTEXT(H1389),VALUE(H1389),H1389)*I1389</f>
        <v>2598.9</v>
      </c>
    </row>
    <row r="1390" customFormat="false" ht="15" hidden="false" customHeight="false" outlineLevel="0" collapsed="false">
      <c r="A1390" s="0" t="n">
        <v>1119</v>
      </c>
      <c r="B1390" s="68" t="n">
        <v>45630</v>
      </c>
      <c r="C1390" s="69" t="s">
        <v>150</v>
      </c>
      <c r="D1390" s="69" t="s">
        <v>97</v>
      </c>
      <c r="E1390" s="69" t="s">
        <v>101</v>
      </c>
      <c r="F1390" s="69" t="s">
        <v>183</v>
      </c>
      <c r="G1390" s="69" t="s">
        <v>94</v>
      </c>
      <c r="H1390" s="0" t="n">
        <v>71</v>
      </c>
      <c r="I1390" s="70" t="n">
        <v>34.3</v>
      </c>
      <c r="J1390" s="70" t="n">
        <v>17.85</v>
      </c>
      <c r="K1390" s="70" t="n">
        <f aca="false">IF(ISTEXT(H1390),VALUE(H1390),H1390)*I1390</f>
        <v>2435.3</v>
      </c>
    </row>
    <row r="1391" customFormat="false" ht="15" hidden="false" customHeight="false" outlineLevel="0" collapsed="false">
      <c r="A1391" s="0" t="n">
        <v>1563</v>
      </c>
      <c r="B1391" s="68" t="n">
        <v>45754</v>
      </c>
      <c r="C1391" s="69" t="s">
        <v>32</v>
      </c>
      <c r="D1391" s="69" t="s">
        <v>137</v>
      </c>
      <c r="E1391" s="69" t="s">
        <v>101</v>
      </c>
      <c r="F1391" s="69" t="s">
        <v>153</v>
      </c>
      <c r="G1391" s="69" t="s">
        <v>43</v>
      </c>
      <c r="H1391" s="0" t="s">
        <v>627</v>
      </c>
      <c r="I1391" s="70" t="n">
        <v>433.15</v>
      </c>
      <c r="J1391" s="70" t="n">
        <v>280.42</v>
      </c>
      <c r="K1391" s="70" t="n">
        <f aca="false">IF(ISTEXT(H1391),VALUE(H1391),H1391)*I1391</f>
        <v>2165.75</v>
      </c>
    </row>
    <row r="1392" customFormat="false" ht="15" hidden="false" customHeight="false" outlineLevel="0" collapsed="false">
      <c r="A1392" s="0" t="n">
        <v>200</v>
      </c>
      <c r="B1392" s="69" t="s">
        <v>540</v>
      </c>
      <c r="C1392" s="69" t="s">
        <v>133</v>
      </c>
      <c r="D1392" s="69"/>
      <c r="E1392" s="69" t="s">
        <v>107</v>
      </c>
      <c r="F1392" s="69" t="s">
        <v>183</v>
      </c>
      <c r="G1392" s="69" t="s">
        <v>217</v>
      </c>
      <c r="H1392" s="0" t="n">
        <v>6</v>
      </c>
      <c r="I1392" s="70" t="n">
        <v>34.3</v>
      </c>
      <c r="J1392" s="70" t="n">
        <v>17.85</v>
      </c>
      <c r="K1392" s="70" t="n">
        <f aca="false">IF(ISTEXT(H1392),VALUE(H1392),H1392)*I1392</f>
        <v>205.8</v>
      </c>
    </row>
    <row r="1393" customFormat="false" ht="15" hidden="false" customHeight="false" outlineLevel="0" collapsed="false">
      <c r="A1393" s="0" t="n">
        <v>2046</v>
      </c>
      <c r="B1393" s="68" t="n">
        <v>45913</v>
      </c>
      <c r="C1393" s="69" t="s">
        <v>152</v>
      </c>
      <c r="D1393" s="69" t="s">
        <v>109</v>
      </c>
      <c r="E1393" s="69" t="s">
        <v>119</v>
      </c>
      <c r="F1393" s="69" t="s">
        <v>135</v>
      </c>
      <c r="G1393" s="69" t="s">
        <v>157</v>
      </c>
      <c r="H1393" s="0" t="s">
        <v>627</v>
      </c>
      <c r="I1393" s="70" t="n">
        <v>1656.52</v>
      </c>
      <c r="J1393" s="70" t="n">
        <v>1155.66</v>
      </c>
      <c r="K1393" s="70" t="n">
        <f aca="false">IF(ISTEXT(H1393),VALUE(H1393),H1393)*I1393</f>
        <v>8282.6</v>
      </c>
    </row>
    <row r="1394" customFormat="false" ht="15" hidden="false" customHeight="false" outlineLevel="0" collapsed="false">
      <c r="A1394" s="0" t="n">
        <v>1067</v>
      </c>
      <c r="B1394" s="68" t="n">
        <v>45614</v>
      </c>
      <c r="C1394" s="69" t="s">
        <v>136</v>
      </c>
      <c r="D1394" s="69" t="s">
        <v>137</v>
      </c>
      <c r="E1394" s="69" t="s">
        <v>92</v>
      </c>
      <c r="F1394" s="69" t="s">
        <v>155</v>
      </c>
      <c r="G1394" s="69" t="s">
        <v>103</v>
      </c>
      <c r="H1394" s="0" t="n">
        <v>43</v>
      </c>
      <c r="I1394" s="70" t="n">
        <v>27.44</v>
      </c>
      <c r="J1394" s="70" t="n">
        <v>13.44</v>
      </c>
      <c r="K1394" s="70" t="n">
        <f aca="false">IF(ISTEXT(H1394),VALUE(H1394),H1394)*I1394</f>
        <v>1179.92</v>
      </c>
    </row>
    <row r="1395" customFormat="false" ht="15" hidden="false" customHeight="false" outlineLevel="0" collapsed="false">
      <c r="A1395" s="0" t="n">
        <v>197</v>
      </c>
      <c r="B1395" s="69" t="s">
        <v>628</v>
      </c>
      <c r="C1395" s="69" t="s">
        <v>34</v>
      </c>
      <c r="D1395" s="69" t="s">
        <v>112</v>
      </c>
      <c r="E1395" s="69" t="s">
        <v>92</v>
      </c>
      <c r="F1395" s="69" t="s">
        <v>33</v>
      </c>
      <c r="G1395" s="69" t="s">
        <v>130</v>
      </c>
      <c r="H1395" s="0" t="n">
        <v>16</v>
      </c>
      <c r="I1395" s="70" t="n">
        <v>127.4</v>
      </c>
      <c r="J1395" s="70" t="n">
        <v>76.05</v>
      </c>
      <c r="K1395" s="70" t="n">
        <f aca="false">IF(ISTEXT(H1395),VALUE(H1395),H1395)*I1395</f>
        <v>2038.4</v>
      </c>
    </row>
    <row r="1396" customFormat="false" ht="15" hidden="false" customHeight="false" outlineLevel="0" collapsed="false">
      <c r="A1396" s="0" t="n">
        <v>499</v>
      </c>
      <c r="B1396" s="69" t="s">
        <v>629</v>
      </c>
      <c r="C1396" s="69" t="s">
        <v>161</v>
      </c>
      <c r="D1396" s="69" t="s">
        <v>112</v>
      </c>
      <c r="E1396" s="69" t="s">
        <v>134</v>
      </c>
      <c r="F1396" s="69" t="s">
        <v>183</v>
      </c>
      <c r="G1396" s="69" t="s">
        <v>53</v>
      </c>
      <c r="H1396" s="0" t="n">
        <v>16</v>
      </c>
      <c r="I1396" s="70" t="n">
        <v>34.3</v>
      </c>
      <c r="J1396" s="70" t="n">
        <v>17.85</v>
      </c>
      <c r="K1396" s="70" t="n">
        <f aca="false">IF(ISTEXT(H1396),VALUE(H1396),H1396)*I1396</f>
        <v>548.8</v>
      </c>
    </row>
    <row r="1397" customFormat="false" ht="15" hidden="false" customHeight="false" outlineLevel="0" collapsed="false">
      <c r="A1397" s="0" t="n">
        <v>2140</v>
      </c>
      <c r="B1397" s="68" t="n">
        <v>45953</v>
      </c>
      <c r="C1397" s="69" t="s">
        <v>120</v>
      </c>
      <c r="D1397" s="69" t="s">
        <v>86</v>
      </c>
      <c r="E1397" s="69" t="s">
        <v>98</v>
      </c>
      <c r="F1397" s="69" t="s">
        <v>168</v>
      </c>
      <c r="G1397" s="69" t="s">
        <v>53</v>
      </c>
      <c r="H1397" s="0" t="n">
        <v>19</v>
      </c>
      <c r="I1397" s="70" t="n">
        <v>35.14</v>
      </c>
      <c r="J1397" s="70" t="n">
        <v>18.39</v>
      </c>
      <c r="K1397" s="70" t="n">
        <f aca="false">IF(ISTEXT(H1397),VALUE(H1397),H1397)*I1397</f>
        <v>667.66</v>
      </c>
    </row>
    <row r="1398" customFormat="false" ht="15" hidden="false" customHeight="false" outlineLevel="0" collapsed="false">
      <c r="A1398" s="0" t="n">
        <v>1929</v>
      </c>
      <c r="B1398" s="69" t="s">
        <v>630</v>
      </c>
      <c r="C1398" s="69" t="s">
        <v>159</v>
      </c>
      <c r="D1398" s="69" t="s">
        <v>86</v>
      </c>
      <c r="E1398" s="69" t="s">
        <v>101</v>
      </c>
      <c r="F1398" s="69" t="s">
        <v>28</v>
      </c>
      <c r="G1398" s="69" t="s">
        <v>172</v>
      </c>
      <c r="H1398" s="0" t="n">
        <v>50</v>
      </c>
      <c r="I1398" s="70" t="n">
        <v>95.38</v>
      </c>
      <c r="J1398" s="70" t="n">
        <v>49.41</v>
      </c>
      <c r="K1398" s="70" t="n">
        <f aca="false">IF(ISTEXT(H1398),VALUE(H1398),H1398)*I1398</f>
        <v>4769</v>
      </c>
    </row>
    <row r="1399" customFormat="false" ht="15" hidden="false" customHeight="false" outlineLevel="0" collapsed="false">
      <c r="A1399" s="0" t="n">
        <v>611</v>
      </c>
      <c r="B1399" s="69" t="s">
        <v>219</v>
      </c>
      <c r="C1399" s="69" t="s">
        <v>124</v>
      </c>
      <c r="D1399" s="69" t="s">
        <v>97</v>
      </c>
      <c r="E1399" s="69" t="s">
        <v>92</v>
      </c>
      <c r="F1399" s="69" t="s">
        <v>102</v>
      </c>
      <c r="G1399" s="69" t="s">
        <v>208</v>
      </c>
      <c r="H1399" s="0" t="n">
        <v>101</v>
      </c>
      <c r="I1399" s="70" t="n">
        <v>63.7</v>
      </c>
      <c r="J1399" s="70" t="n">
        <v>35.43</v>
      </c>
      <c r="K1399" s="70" t="n">
        <f aca="false">IF(ISTEXT(H1399),VALUE(H1399),H1399)*I1399</f>
        <v>6433.7</v>
      </c>
    </row>
    <row r="1400" customFormat="false" ht="15" hidden="false" customHeight="false" outlineLevel="0" collapsed="false">
      <c r="A1400" s="0" t="n">
        <v>283</v>
      </c>
      <c r="B1400" s="68" t="n">
        <v>45362</v>
      </c>
      <c r="C1400" s="69" t="s">
        <v>34</v>
      </c>
      <c r="D1400" s="69" t="s">
        <v>112</v>
      </c>
      <c r="E1400" s="69" t="s">
        <v>121</v>
      </c>
      <c r="F1400" s="69" t="s">
        <v>26</v>
      </c>
      <c r="G1400" s="69" t="s">
        <v>177</v>
      </c>
      <c r="H1400" s="0" t="n">
        <v>6</v>
      </c>
      <c r="I1400" s="70" t="n">
        <v>441</v>
      </c>
      <c r="J1400" s="70" t="n">
        <v>272.25</v>
      </c>
      <c r="K1400" s="70" t="n">
        <f aca="false">IF(ISTEXT(H1400),VALUE(H1400),H1400)*I1400</f>
        <v>2646</v>
      </c>
    </row>
    <row r="1401" customFormat="false" ht="15" hidden="false" customHeight="false" outlineLevel="0" collapsed="false">
      <c r="A1401" s="0" t="n">
        <v>2364</v>
      </c>
      <c r="B1401" s="68" t="n">
        <v>46016</v>
      </c>
      <c r="C1401" s="69" t="s">
        <v>136</v>
      </c>
      <c r="D1401" s="69" t="s">
        <v>137</v>
      </c>
      <c r="E1401" s="69" t="s">
        <v>87</v>
      </c>
      <c r="F1401" s="69" t="s">
        <v>88</v>
      </c>
      <c r="G1401" s="69" t="s">
        <v>43</v>
      </c>
      <c r="H1401" s="0" t="s">
        <v>627</v>
      </c>
      <c r="I1401" s="70" t="n">
        <v>451.78</v>
      </c>
      <c r="J1401" s="70" t="n">
        <v>280.42</v>
      </c>
      <c r="K1401" s="70" t="n">
        <f aca="false">IF(ISTEXT(H1401),VALUE(H1401),H1401)*I1401</f>
        <v>2258.9</v>
      </c>
    </row>
    <row r="1402" customFormat="false" ht="15" hidden="false" customHeight="false" outlineLevel="0" collapsed="false">
      <c r="A1402" s="0" t="n">
        <v>2</v>
      </c>
      <c r="B1402" s="69" t="s">
        <v>631</v>
      </c>
      <c r="C1402" s="69" t="s">
        <v>170</v>
      </c>
      <c r="D1402" s="69" t="s">
        <v>97</v>
      </c>
      <c r="E1402" s="69" t="s">
        <v>107</v>
      </c>
      <c r="F1402" s="69" t="s">
        <v>88</v>
      </c>
      <c r="G1402" s="69" t="s">
        <v>151</v>
      </c>
      <c r="H1402" s="0" t="n">
        <v>8</v>
      </c>
      <c r="I1402" s="70" t="n">
        <v>1176</v>
      </c>
      <c r="J1402" s="70" t="n">
        <v>744</v>
      </c>
      <c r="K1402" s="70" t="n">
        <f aca="false">IF(ISTEXT(H1402),VALUE(H1402),H1402)*I1402</f>
        <v>9408</v>
      </c>
    </row>
    <row r="1403" customFormat="false" ht="15" hidden="false" customHeight="false" outlineLevel="0" collapsed="false">
      <c r="A1403" s="0" t="n">
        <v>227</v>
      </c>
      <c r="B1403" s="68" t="n">
        <v>45375</v>
      </c>
      <c r="C1403" s="69" t="s">
        <v>27</v>
      </c>
      <c r="D1403" s="69" t="s">
        <v>86</v>
      </c>
      <c r="E1403" s="69" t="s">
        <v>92</v>
      </c>
      <c r="F1403" s="69" t="s">
        <v>155</v>
      </c>
      <c r="G1403" s="69" t="s">
        <v>113</v>
      </c>
      <c r="H1403" s="0" t="n">
        <v>58</v>
      </c>
      <c r="I1403" s="70" t="n">
        <v>27.44</v>
      </c>
      <c r="J1403" s="70" t="n">
        <v>13.44</v>
      </c>
      <c r="K1403" s="70" t="n">
        <f aca="false">IF(ISTEXT(H1403),VALUE(H1403),H1403)*I1403</f>
        <v>1591.52</v>
      </c>
    </row>
    <row r="1404" customFormat="false" ht="15" hidden="false" customHeight="false" outlineLevel="0" collapsed="false">
      <c r="A1404" s="0" t="n">
        <v>801</v>
      </c>
      <c r="B1404" s="68" t="n">
        <v>45554</v>
      </c>
      <c r="C1404" s="69" t="s">
        <v>124</v>
      </c>
      <c r="D1404" s="69" t="s">
        <v>97</v>
      </c>
      <c r="E1404" s="69" t="s">
        <v>121</v>
      </c>
      <c r="F1404" s="69" t="s">
        <v>147</v>
      </c>
      <c r="G1404" s="69" t="s">
        <v>151</v>
      </c>
      <c r="H1404" s="0" t="n">
        <v>18</v>
      </c>
      <c r="I1404" s="70" t="n">
        <v>1176</v>
      </c>
      <c r="J1404" s="70" t="n">
        <v>744</v>
      </c>
      <c r="K1404" s="70" t="n">
        <f aca="false">IF(ISTEXT(H1404),VALUE(H1404),H1404)*I1404</f>
        <v>21168</v>
      </c>
    </row>
    <row r="1405" customFormat="false" ht="15" hidden="false" customHeight="false" outlineLevel="0" collapsed="false">
      <c r="A1405" s="0" t="n">
        <v>943</v>
      </c>
      <c r="B1405" s="69" t="s">
        <v>331</v>
      </c>
      <c r="C1405" s="69" t="s">
        <v>30</v>
      </c>
      <c r="D1405" s="69" t="s">
        <v>109</v>
      </c>
      <c r="E1405" s="69" t="s">
        <v>110</v>
      </c>
      <c r="F1405" s="69" t="s">
        <v>88</v>
      </c>
      <c r="G1405" s="69" t="s">
        <v>89</v>
      </c>
      <c r="H1405" s="0" t="s">
        <v>148</v>
      </c>
      <c r="I1405" s="70" t="n">
        <v>441</v>
      </c>
      <c r="J1405" s="70" t="n">
        <v>272.25</v>
      </c>
      <c r="K1405" s="70" t="n">
        <f aca="false">IF(ISTEXT(H1405),VALUE(H1405),H1405)*I1405</f>
        <v>3528</v>
      </c>
    </row>
    <row r="1406" customFormat="false" ht="15" hidden="false" customHeight="false" outlineLevel="0" collapsed="false">
      <c r="A1406" s="0" t="n">
        <v>1452</v>
      </c>
      <c r="B1406" s="68" t="n">
        <v>45729</v>
      </c>
      <c r="C1406" s="69" t="s">
        <v>118</v>
      </c>
      <c r="D1406" s="69" t="s">
        <v>109</v>
      </c>
      <c r="E1406" s="69" t="s">
        <v>107</v>
      </c>
      <c r="F1406" s="69" t="s">
        <v>155</v>
      </c>
      <c r="G1406" s="69" t="s">
        <v>144</v>
      </c>
      <c r="H1406" s="0" t="n">
        <v>26</v>
      </c>
      <c r="I1406" s="70" t="n">
        <v>64.58</v>
      </c>
      <c r="J1406" s="70" t="n">
        <v>36.49</v>
      </c>
      <c r="K1406" s="70" t="n">
        <f aca="false">IF(ISTEXT(H1406),VALUE(H1406),H1406)*I1406</f>
        <v>1679.08</v>
      </c>
    </row>
    <row r="1407" customFormat="false" ht="15" hidden="false" customHeight="false" outlineLevel="0" collapsed="false">
      <c r="A1407" s="0" t="n">
        <v>232</v>
      </c>
      <c r="B1407" s="68" t="n">
        <v>45356</v>
      </c>
      <c r="C1407" s="69" t="s">
        <v>27</v>
      </c>
      <c r="D1407" s="69" t="s">
        <v>86</v>
      </c>
      <c r="E1407" s="69" t="s">
        <v>87</v>
      </c>
      <c r="F1407" s="69" t="s">
        <v>99</v>
      </c>
      <c r="G1407" s="69" t="s">
        <v>208</v>
      </c>
      <c r="H1407" s="0" t="n">
        <v>22</v>
      </c>
      <c r="I1407" s="70" t="n">
        <v>63.7</v>
      </c>
      <c r="J1407" s="70" t="n">
        <v>35.43</v>
      </c>
      <c r="K1407" s="70" t="n">
        <f aca="false">IF(ISTEXT(H1407),VALUE(H1407),H1407)*I1407</f>
        <v>1401.4</v>
      </c>
    </row>
    <row r="1408" customFormat="false" ht="15" hidden="false" customHeight="false" outlineLevel="0" collapsed="false">
      <c r="A1408" s="0" t="n">
        <v>1675</v>
      </c>
      <c r="B1408" s="69" t="s">
        <v>547</v>
      </c>
      <c r="C1408" s="69" t="s">
        <v>184</v>
      </c>
      <c r="D1408" s="69" t="s">
        <v>137</v>
      </c>
      <c r="E1408" s="69" t="s">
        <v>134</v>
      </c>
      <c r="F1408" s="69" t="s">
        <v>166</v>
      </c>
      <c r="G1408" s="69" t="s">
        <v>116</v>
      </c>
      <c r="H1408" s="0" t="s">
        <v>175</v>
      </c>
      <c r="I1408" s="70" t="n">
        <v>84.46</v>
      </c>
      <c r="J1408" s="70" t="n">
        <v>49.47</v>
      </c>
      <c r="K1408" s="70" t="n">
        <f aca="false">IF(ISTEXT(H1408),VALUE(H1408),H1408)*I1408</f>
        <v>1266.9</v>
      </c>
    </row>
    <row r="1409" customFormat="false" ht="15" hidden="false" customHeight="false" outlineLevel="0" collapsed="false">
      <c r="A1409" s="0" t="n">
        <v>814</v>
      </c>
      <c r="B1409" s="68" t="n">
        <v>45537</v>
      </c>
      <c r="C1409" s="69" t="s">
        <v>170</v>
      </c>
      <c r="D1409" s="69" t="s">
        <v>97</v>
      </c>
      <c r="E1409" s="69" t="s">
        <v>119</v>
      </c>
      <c r="F1409" s="69" t="s">
        <v>115</v>
      </c>
      <c r="G1409" s="69" t="s">
        <v>156</v>
      </c>
      <c r="H1409" s="0" t="n">
        <v>16</v>
      </c>
      <c r="I1409" s="70" t="n">
        <v>117.6</v>
      </c>
      <c r="J1409" s="70" t="n">
        <v>63.6</v>
      </c>
      <c r="K1409" s="70" t="n">
        <f aca="false">IF(ISTEXT(H1409),VALUE(H1409),H1409)*I1409</f>
        <v>1881.6</v>
      </c>
    </row>
    <row r="1410" customFormat="false" ht="15" hidden="false" customHeight="false" outlineLevel="0" collapsed="false">
      <c r="A1410" s="0" t="n">
        <v>357</v>
      </c>
      <c r="B1410" s="69" t="s">
        <v>632</v>
      </c>
      <c r="C1410" s="69" t="s">
        <v>152</v>
      </c>
      <c r="D1410" s="69" t="s">
        <v>109</v>
      </c>
      <c r="E1410" s="69" t="s">
        <v>110</v>
      </c>
      <c r="F1410" s="69" t="s">
        <v>182</v>
      </c>
      <c r="G1410" s="69" t="s">
        <v>52</v>
      </c>
      <c r="H1410" s="0" t="n">
        <v>24</v>
      </c>
      <c r="I1410" s="70" t="n">
        <v>127.4</v>
      </c>
      <c r="J1410" s="70" t="n">
        <v>76.05</v>
      </c>
      <c r="K1410" s="70" t="n">
        <f aca="false">IF(ISTEXT(H1410),VALUE(H1410),H1410)*I1410</f>
        <v>3057.6</v>
      </c>
    </row>
    <row r="1411" customFormat="false" ht="15" hidden="false" customHeight="false" outlineLevel="0" collapsed="false">
      <c r="A1411" s="0" t="n">
        <v>532</v>
      </c>
      <c r="B1411" s="69" t="s">
        <v>591</v>
      </c>
      <c r="C1411" s="69" t="s">
        <v>120</v>
      </c>
      <c r="D1411" s="69" t="s">
        <v>86</v>
      </c>
      <c r="E1411" s="69" t="s">
        <v>125</v>
      </c>
      <c r="F1411" s="69" t="s">
        <v>28</v>
      </c>
      <c r="G1411" s="69" t="s">
        <v>208</v>
      </c>
      <c r="H1411" s="0" t="s">
        <v>221</v>
      </c>
      <c r="I1411" s="70" t="n">
        <v>63.7</v>
      </c>
      <c r="J1411" s="70" t="n">
        <v>35.43</v>
      </c>
      <c r="K1411" s="70" t="n">
        <f aca="false">IF(ISTEXT(H1411),VALUE(H1411),H1411)*I1411</f>
        <v>1465.1</v>
      </c>
    </row>
    <row r="1412" customFormat="false" ht="15" hidden="false" customHeight="false" outlineLevel="0" collapsed="false">
      <c r="A1412" s="0" t="n">
        <v>1950</v>
      </c>
      <c r="B1412" s="68" t="n">
        <v>45885</v>
      </c>
      <c r="C1412" s="69" t="s">
        <v>30</v>
      </c>
      <c r="D1412" s="69" t="s">
        <v>109</v>
      </c>
      <c r="E1412" s="69" t="s">
        <v>87</v>
      </c>
      <c r="F1412" s="69" t="s">
        <v>155</v>
      </c>
      <c r="G1412" s="69" t="s">
        <v>172</v>
      </c>
      <c r="H1412" s="0" t="n">
        <v>23</v>
      </c>
      <c r="I1412" s="70" t="n">
        <v>95.38</v>
      </c>
      <c r="J1412" s="70" t="n">
        <v>49.41</v>
      </c>
      <c r="K1412" s="70" t="n">
        <f aca="false">IF(ISTEXT(H1412),VALUE(H1412),H1412)*I1412</f>
        <v>2193.74</v>
      </c>
    </row>
    <row r="1413" customFormat="false" ht="15" hidden="false" customHeight="false" outlineLevel="0" collapsed="false">
      <c r="A1413" s="0" t="n">
        <v>1456</v>
      </c>
      <c r="B1413" s="68" t="n">
        <v>45730</v>
      </c>
      <c r="C1413" s="69" t="s">
        <v>118</v>
      </c>
      <c r="D1413" s="69" t="s">
        <v>109</v>
      </c>
      <c r="E1413" s="69" t="s">
        <v>107</v>
      </c>
      <c r="F1413" s="69" t="s">
        <v>166</v>
      </c>
      <c r="G1413" s="69" t="s">
        <v>51</v>
      </c>
      <c r="H1413" s="0" t="n">
        <v>10</v>
      </c>
      <c r="I1413" s="70" t="n">
        <v>84.46</v>
      </c>
      <c r="J1413" s="70" t="n">
        <v>49.47</v>
      </c>
      <c r="K1413" s="70" t="n">
        <f aca="false">IF(ISTEXT(H1413),VALUE(H1413),H1413)*I1413</f>
        <v>844.6</v>
      </c>
    </row>
    <row r="1414" customFormat="false" ht="15" hidden="false" customHeight="false" outlineLevel="0" collapsed="false">
      <c r="A1414" s="0" t="n">
        <v>141</v>
      </c>
      <c r="B1414" s="68" t="n">
        <v>45338</v>
      </c>
      <c r="C1414" s="69" t="s">
        <v>108</v>
      </c>
      <c r="D1414" s="69" t="s">
        <v>109</v>
      </c>
      <c r="E1414" s="69" t="s">
        <v>101</v>
      </c>
      <c r="F1414" s="69" t="s">
        <v>26</v>
      </c>
      <c r="G1414" s="69" t="s">
        <v>151</v>
      </c>
      <c r="H1414" s="0" t="n">
        <v>7</v>
      </c>
      <c r="I1414" s="70" t="n">
        <v>1176</v>
      </c>
      <c r="J1414" s="70" t="n">
        <v>744</v>
      </c>
      <c r="K1414" s="70" t="n">
        <f aca="false">IF(ISTEXT(H1414),VALUE(H1414),H1414)*I1414</f>
        <v>8232</v>
      </c>
    </row>
    <row r="1415" customFormat="false" ht="15" hidden="false" customHeight="false" outlineLevel="0" collapsed="false">
      <c r="A1415" s="0" t="n">
        <v>1244</v>
      </c>
      <c r="B1415" s="69" t="s">
        <v>438</v>
      </c>
      <c r="C1415" s="69" t="s">
        <v>30</v>
      </c>
      <c r="D1415" s="69" t="s">
        <v>109</v>
      </c>
      <c r="E1415" s="69" t="s">
        <v>98</v>
      </c>
      <c r="F1415" s="69" t="s">
        <v>88</v>
      </c>
      <c r="G1415" s="69" t="s">
        <v>43</v>
      </c>
      <c r="H1415" s="0" t="n">
        <v>5</v>
      </c>
      <c r="I1415" s="70" t="n">
        <v>433.15</v>
      </c>
      <c r="J1415" s="70" t="n">
        <v>280.42</v>
      </c>
      <c r="K1415" s="70" t="n">
        <f aca="false">IF(ISTEXT(H1415),VALUE(H1415),H1415)*I1415</f>
        <v>2165.75</v>
      </c>
    </row>
    <row r="1416" customFormat="false" ht="15" hidden="false" customHeight="false" outlineLevel="0" collapsed="false">
      <c r="A1416" s="0" t="n">
        <v>1217</v>
      </c>
      <c r="B1416" s="69" t="s">
        <v>438</v>
      </c>
      <c r="C1416" s="69" t="s">
        <v>96</v>
      </c>
      <c r="D1416" s="69" t="s">
        <v>97</v>
      </c>
      <c r="E1416" s="69" t="s">
        <v>138</v>
      </c>
      <c r="F1416" s="69" t="s">
        <v>93</v>
      </c>
      <c r="G1416" s="69" t="s">
        <v>52</v>
      </c>
      <c r="H1416" s="0" t="n">
        <v>45</v>
      </c>
      <c r="I1416" s="70" t="n">
        <v>129.17</v>
      </c>
      <c r="J1416" s="70" t="n">
        <v>78.33</v>
      </c>
      <c r="K1416" s="70" t="n">
        <f aca="false">IF(ISTEXT(H1416),VALUE(H1416),H1416)*I1416</f>
        <v>5812.65</v>
      </c>
    </row>
    <row r="1417" customFormat="false" ht="15" hidden="false" customHeight="false" outlineLevel="0" collapsed="false">
      <c r="A1417" s="0" t="n">
        <v>1818</v>
      </c>
      <c r="B1417" s="69" t="s">
        <v>633</v>
      </c>
      <c r="C1417" s="69" t="s">
        <v>96</v>
      </c>
      <c r="D1417" s="69" t="s">
        <v>97</v>
      </c>
      <c r="E1417" s="69" t="s">
        <v>107</v>
      </c>
      <c r="F1417" s="69" t="s">
        <v>93</v>
      </c>
      <c r="G1417" s="69" t="s">
        <v>130</v>
      </c>
      <c r="H1417" s="0" t="n">
        <v>39</v>
      </c>
      <c r="I1417" s="70" t="n">
        <v>130.51</v>
      </c>
      <c r="J1417" s="70" t="n">
        <v>78.33</v>
      </c>
      <c r="K1417" s="70" t="n">
        <f aca="false">IF(ISTEXT(H1417),VALUE(H1417),H1417)*I1417</f>
        <v>5089.89</v>
      </c>
    </row>
    <row r="1418" customFormat="false" ht="15" hidden="false" customHeight="false" outlineLevel="0" collapsed="false">
      <c r="A1418" s="0" t="n">
        <v>240</v>
      </c>
      <c r="B1418" s="68" t="n">
        <v>45358</v>
      </c>
      <c r="C1418" s="69" t="s">
        <v>27</v>
      </c>
      <c r="D1418" s="69" t="s">
        <v>86</v>
      </c>
      <c r="E1418" s="69" t="s">
        <v>180</v>
      </c>
      <c r="F1418" s="69" t="s">
        <v>183</v>
      </c>
      <c r="G1418" s="69" t="s">
        <v>94</v>
      </c>
      <c r="H1418" s="0" t="n">
        <v>14</v>
      </c>
      <c r="I1418" s="70" t="n">
        <v>34.3</v>
      </c>
      <c r="J1418" s="70" t="n">
        <v>17.85</v>
      </c>
      <c r="K1418" s="70" t="n">
        <f aca="false">IF(ISTEXT(H1418),VALUE(H1418),H1418)*I1418</f>
        <v>480.2</v>
      </c>
    </row>
    <row r="1419" customFormat="false" ht="15" hidden="false" customHeight="false" outlineLevel="0" collapsed="false">
      <c r="A1419" s="0" t="n">
        <v>1874</v>
      </c>
      <c r="B1419" s="69" t="s">
        <v>283</v>
      </c>
      <c r="C1419" s="69" t="s">
        <v>193</v>
      </c>
      <c r="D1419" s="69" t="s">
        <v>137</v>
      </c>
      <c r="E1419" s="69" t="s">
        <v>87</v>
      </c>
      <c r="F1419" s="69" t="s">
        <v>115</v>
      </c>
      <c r="G1419" s="69" t="s">
        <v>156</v>
      </c>
      <c r="H1419" s="0" t="n">
        <v>11</v>
      </c>
      <c r="I1419" s="70" t="n">
        <v>120.47</v>
      </c>
      <c r="J1419" s="70" t="n">
        <v>65.51</v>
      </c>
      <c r="K1419" s="70" t="n">
        <f aca="false">IF(ISTEXT(H1419),VALUE(H1419),H1419)*I1419</f>
        <v>1325.17</v>
      </c>
    </row>
    <row r="1420" customFormat="false" ht="15" hidden="false" customHeight="false" outlineLevel="0" collapsed="false">
      <c r="A1420" s="0" t="n">
        <v>291</v>
      </c>
      <c r="B1420" s="68" t="n">
        <v>45364</v>
      </c>
      <c r="C1420" s="69" t="s">
        <v>161</v>
      </c>
      <c r="D1420" s="69" t="s">
        <v>112</v>
      </c>
      <c r="E1420" s="69" t="s">
        <v>101</v>
      </c>
      <c r="F1420" s="69" t="s">
        <v>143</v>
      </c>
      <c r="G1420" s="69" t="s">
        <v>49</v>
      </c>
      <c r="H1420" s="0" t="n">
        <v>31</v>
      </c>
      <c r="I1420" s="70" t="n">
        <v>63.7</v>
      </c>
      <c r="J1420" s="70" t="n">
        <v>35.43</v>
      </c>
      <c r="K1420" s="70" t="n">
        <f aca="false">IF(ISTEXT(H1420),VALUE(H1420),H1420)*I1420</f>
        <v>1974.7</v>
      </c>
    </row>
    <row r="1421" customFormat="false" ht="15" hidden="false" customHeight="false" outlineLevel="0" collapsed="false">
      <c r="A1421" s="0" t="n">
        <v>794</v>
      </c>
      <c r="B1421" s="68" t="n">
        <v>45528</v>
      </c>
      <c r="C1421" s="69" t="s">
        <v>142</v>
      </c>
      <c r="D1421" s="69" t="s">
        <v>112</v>
      </c>
      <c r="E1421" s="69" t="s">
        <v>87</v>
      </c>
      <c r="F1421" s="69" t="s">
        <v>162</v>
      </c>
      <c r="G1421" s="69" t="s">
        <v>156</v>
      </c>
      <c r="H1421" s="0" t="n">
        <v>6</v>
      </c>
      <c r="I1421" s="70" t="n">
        <v>117.6</v>
      </c>
      <c r="J1421" s="70" t="n">
        <v>63.6</v>
      </c>
      <c r="K1421" s="70" t="n">
        <f aca="false">IF(ISTEXT(H1421),VALUE(H1421),H1421)*I1421</f>
        <v>705.6</v>
      </c>
    </row>
    <row r="1422" customFormat="false" ht="15" hidden="false" customHeight="false" outlineLevel="0" collapsed="false">
      <c r="A1422" s="0" t="n">
        <v>1285</v>
      </c>
      <c r="B1422" s="69" t="s">
        <v>634</v>
      </c>
      <c r="C1422" s="69" t="s">
        <v>142</v>
      </c>
      <c r="D1422" s="69" t="s">
        <v>112</v>
      </c>
      <c r="E1422" s="69" t="s">
        <v>101</v>
      </c>
      <c r="F1422" s="69" t="s">
        <v>139</v>
      </c>
      <c r="G1422" s="69" t="s">
        <v>45</v>
      </c>
      <c r="H1422" s="0" t="n">
        <v>6</v>
      </c>
      <c r="I1422" s="70" t="n">
        <v>1588.21</v>
      </c>
      <c r="J1422" s="70" t="n">
        <v>1155.66</v>
      </c>
      <c r="K1422" s="70" t="n">
        <f aca="false">IF(ISTEXT(H1422),VALUE(H1422),H1422)*I1422</f>
        <v>9529.26</v>
      </c>
    </row>
    <row r="1423" customFormat="false" ht="15" hidden="false" customHeight="false" outlineLevel="0" collapsed="false">
      <c r="A1423" s="0" t="n">
        <v>1146</v>
      </c>
      <c r="B1423" s="69" t="s">
        <v>635</v>
      </c>
      <c r="C1423" s="69" t="s">
        <v>30</v>
      </c>
      <c r="D1423" s="69" t="s">
        <v>109</v>
      </c>
      <c r="E1423" s="69" t="s">
        <v>119</v>
      </c>
      <c r="F1423" s="69" t="s">
        <v>147</v>
      </c>
      <c r="G1423" s="69" t="s">
        <v>141</v>
      </c>
      <c r="H1423" s="0" t="n">
        <v>5</v>
      </c>
      <c r="I1423" s="70" t="n">
        <v>1617</v>
      </c>
      <c r="J1423" s="70" t="n">
        <v>1122</v>
      </c>
      <c r="K1423" s="70" t="n">
        <f aca="false">IF(ISTEXT(H1423),VALUE(H1423),H1423)*I1423</f>
        <v>8085</v>
      </c>
    </row>
    <row r="1424" customFormat="false" ht="15" hidden="false" customHeight="false" outlineLevel="0" collapsed="false">
      <c r="A1424" s="0" t="n">
        <v>2384</v>
      </c>
      <c r="B1424" s="69" t="s">
        <v>357</v>
      </c>
      <c r="C1424" s="69" t="s">
        <v>133</v>
      </c>
      <c r="D1424" s="69" t="s">
        <v>112</v>
      </c>
      <c r="E1424" s="69" t="s">
        <v>180</v>
      </c>
      <c r="F1424" s="69" t="s">
        <v>139</v>
      </c>
      <c r="G1424" s="69" t="s">
        <v>43</v>
      </c>
      <c r="H1424" s="0" t="n">
        <v>6</v>
      </c>
      <c r="I1424" s="70" t="n">
        <v>451.78</v>
      </c>
      <c r="J1424" s="70" t="n">
        <v>280.42</v>
      </c>
      <c r="K1424" s="70" t="n">
        <f aca="false">IF(ISTEXT(H1424),VALUE(H1424),H1424)*I1424</f>
        <v>2710.68</v>
      </c>
    </row>
    <row r="1425" customFormat="false" ht="15" hidden="false" customHeight="false" outlineLevel="0" collapsed="false">
      <c r="A1425" s="0" t="n">
        <v>1913</v>
      </c>
      <c r="B1425" s="68" t="n">
        <v>45896</v>
      </c>
      <c r="C1425" s="69" t="s">
        <v>124</v>
      </c>
      <c r="D1425" s="69" t="s">
        <v>97</v>
      </c>
      <c r="E1425" s="69" t="s">
        <v>134</v>
      </c>
      <c r="F1425" s="69" t="s">
        <v>166</v>
      </c>
      <c r="G1425" s="69" t="s">
        <v>171</v>
      </c>
      <c r="H1425" s="0" t="n">
        <v>44</v>
      </c>
      <c r="I1425" s="70" t="n">
        <v>120.47</v>
      </c>
      <c r="J1425" s="70" t="n">
        <v>65.51</v>
      </c>
      <c r="K1425" s="70" t="n">
        <f aca="false">IF(ISTEXT(H1425),VALUE(H1425),H1425)*I1425</f>
        <v>5300.68</v>
      </c>
    </row>
    <row r="1426" customFormat="false" ht="15" hidden="false" customHeight="false" outlineLevel="0" collapsed="false">
      <c r="A1426" s="0" t="n">
        <v>1745</v>
      </c>
      <c r="B1426" s="69" t="s">
        <v>636</v>
      </c>
      <c r="C1426" s="69" t="s">
        <v>152</v>
      </c>
      <c r="D1426" s="69" t="s">
        <v>109</v>
      </c>
      <c r="E1426" s="69" t="s">
        <v>121</v>
      </c>
      <c r="F1426" s="69" t="s">
        <v>153</v>
      </c>
      <c r="G1426" s="69" t="s">
        <v>157</v>
      </c>
      <c r="H1426" s="0" t="n">
        <v>10</v>
      </c>
      <c r="I1426" s="70" t="n">
        <v>1588.21</v>
      </c>
      <c r="J1426" s="70" t="n">
        <v>1155.66</v>
      </c>
      <c r="K1426" s="70" t="n">
        <f aca="false">IF(ISTEXT(H1426),VALUE(H1426),H1426)*I1426</f>
        <v>15882.1</v>
      </c>
    </row>
    <row r="1427" customFormat="false" ht="15" hidden="false" customHeight="false" outlineLevel="0" collapsed="false">
      <c r="A1427" s="0" t="n">
        <v>950</v>
      </c>
      <c r="B1427" s="68" t="n">
        <v>45574</v>
      </c>
      <c r="C1427" s="69" t="s">
        <v>152</v>
      </c>
      <c r="D1427" s="69" t="s">
        <v>109</v>
      </c>
      <c r="E1427" s="69" t="s">
        <v>119</v>
      </c>
      <c r="F1427" s="69" t="s">
        <v>99</v>
      </c>
      <c r="G1427" s="69" t="s">
        <v>172</v>
      </c>
      <c r="H1427" s="0" t="n">
        <v>19</v>
      </c>
      <c r="I1427" s="70" t="n">
        <v>93.1</v>
      </c>
      <c r="J1427" s="70" t="n">
        <v>47.98</v>
      </c>
      <c r="K1427" s="70" t="n">
        <f aca="false">IF(ISTEXT(H1427),VALUE(H1427),H1427)*I1427</f>
        <v>1768.9</v>
      </c>
    </row>
    <row r="1428" customFormat="false" ht="15" hidden="false" customHeight="false" outlineLevel="0" collapsed="false">
      <c r="A1428" s="0" t="n">
        <v>1755</v>
      </c>
      <c r="B1428" s="69" t="s">
        <v>537</v>
      </c>
      <c r="C1428" s="69" t="s">
        <v>118</v>
      </c>
      <c r="D1428" s="69" t="s">
        <v>109</v>
      </c>
      <c r="E1428" s="69" t="s">
        <v>101</v>
      </c>
      <c r="F1428" s="69" t="s">
        <v>115</v>
      </c>
      <c r="G1428" s="69" t="s">
        <v>51</v>
      </c>
      <c r="H1428" s="0" t="n">
        <v>16</v>
      </c>
      <c r="I1428" s="70" t="n">
        <v>84.46</v>
      </c>
      <c r="J1428" s="70" t="n">
        <v>49.47</v>
      </c>
      <c r="K1428" s="70" t="n">
        <f aca="false">IF(ISTEXT(H1428),VALUE(H1428),H1428)*I1428</f>
        <v>1351.36</v>
      </c>
    </row>
    <row r="1429" customFormat="false" ht="15" hidden="false" customHeight="false" outlineLevel="0" collapsed="false">
      <c r="A1429" s="0" t="n">
        <v>1385</v>
      </c>
      <c r="B1429" s="68" t="n">
        <v>45691</v>
      </c>
      <c r="C1429" s="69" t="s">
        <v>133</v>
      </c>
      <c r="D1429" s="69" t="s">
        <v>112</v>
      </c>
      <c r="E1429" s="69" t="s">
        <v>121</v>
      </c>
      <c r="F1429" s="69" t="s">
        <v>88</v>
      </c>
      <c r="G1429" s="69" t="s">
        <v>157</v>
      </c>
      <c r="H1429" s="0" t="n">
        <v>5</v>
      </c>
      <c r="I1429" s="70" t="n">
        <v>1588.21</v>
      </c>
      <c r="J1429" s="70" t="n">
        <v>1155.66</v>
      </c>
      <c r="K1429" s="70" t="n">
        <f aca="false">IF(ISTEXT(H1429),VALUE(H1429),H1429)*I1429</f>
        <v>7941.05</v>
      </c>
    </row>
    <row r="1430" customFormat="false" ht="15" hidden="false" customHeight="false" outlineLevel="0" collapsed="false">
      <c r="A1430" s="0" t="n">
        <v>1344</v>
      </c>
      <c r="B1430" s="68" t="n">
        <v>45701</v>
      </c>
      <c r="C1430" s="69" t="s">
        <v>152</v>
      </c>
      <c r="D1430" s="69" t="s">
        <v>109</v>
      </c>
      <c r="E1430" s="69" t="s">
        <v>98</v>
      </c>
      <c r="F1430" s="69" t="s">
        <v>139</v>
      </c>
      <c r="G1430" s="69" t="s">
        <v>177</v>
      </c>
      <c r="H1430" s="0" t="n">
        <v>5</v>
      </c>
      <c r="I1430" s="70" t="n">
        <v>433.15</v>
      </c>
      <c r="J1430" s="70" t="n">
        <v>280.42</v>
      </c>
      <c r="K1430" s="70" t="n">
        <f aca="false">IF(ISTEXT(H1430),VALUE(H1430),H1430)*I1430</f>
        <v>2165.75</v>
      </c>
    </row>
    <row r="1431" customFormat="false" ht="15" hidden="false" customHeight="false" outlineLevel="0" collapsed="false">
      <c r="A1431" s="0" t="n">
        <v>1872</v>
      </c>
      <c r="B1431" s="69" t="s">
        <v>637</v>
      </c>
      <c r="C1431" s="69" t="s">
        <v>184</v>
      </c>
      <c r="D1431" s="69" t="s">
        <v>137</v>
      </c>
      <c r="E1431" s="69" t="s">
        <v>87</v>
      </c>
      <c r="F1431" s="69" t="s">
        <v>28</v>
      </c>
      <c r="G1431" s="69" t="s">
        <v>208</v>
      </c>
      <c r="H1431" s="0" t="s">
        <v>548</v>
      </c>
      <c r="I1431" s="70" t="n">
        <v>65.26</v>
      </c>
      <c r="J1431" s="70" t="n">
        <v>36.49</v>
      </c>
      <c r="K1431" s="70" t="n">
        <f aca="false">IF(ISTEXT(H1431),VALUE(H1431),H1431)*I1431</f>
        <v>1631.5</v>
      </c>
    </row>
    <row r="1432" customFormat="false" ht="15" hidden="false" customHeight="false" outlineLevel="0" collapsed="false">
      <c r="A1432" s="0" t="n">
        <v>514</v>
      </c>
      <c r="B1432" s="68" t="n">
        <v>45451</v>
      </c>
      <c r="C1432" s="69" t="s">
        <v>170</v>
      </c>
      <c r="D1432" s="69" t="s">
        <v>97</v>
      </c>
      <c r="E1432" s="69" t="s">
        <v>87</v>
      </c>
      <c r="F1432" s="69" t="s">
        <v>31</v>
      </c>
      <c r="G1432" s="69" t="s">
        <v>171</v>
      </c>
      <c r="H1432" s="0" t="n">
        <v>19</v>
      </c>
      <c r="I1432" s="70" t="n">
        <v>117.6</v>
      </c>
      <c r="J1432" s="70" t="n">
        <v>63.6</v>
      </c>
      <c r="K1432" s="70" t="n">
        <f aca="false">IF(ISTEXT(H1432),VALUE(H1432),H1432)*I1432</f>
        <v>2234.4</v>
      </c>
    </row>
    <row r="1433" customFormat="false" ht="15" hidden="false" customHeight="false" outlineLevel="0" collapsed="false">
      <c r="A1433" s="0" t="n">
        <v>583</v>
      </c>
      <c r="B1433" s="69" t="s">
        <v>638</v>
      </c>
      <c r="C1433" s="69" t="s">
        <v>133</v>
      </c>
      <c r="D1433" s="69" t="s">
        <v>112</v>
      </c>
      <c r="E1433" s="69" t="s">
        <v>134</v>
      </c>
      <c r="F1433" s="69" t="s">
        <v>139</v>
      </c>
      <c r="G1433" s="69" t="s">
        <v>43</v>
      </c>
      <c r="H1433" s="0" t="n">
        <v>6</v>
      </c>
      <c r="I1433" s="70" t="n">
        <v>441</v>
      </c>
      <c r="J1433" s="70" t="n">
        <v>272.25</v>
      </c>
      <c r="K1433" s="70" t="n">
        <f aca="false">IF(ISTEXT(H1433),VALUE(H1433),H1433)*I1433</f>
        <v>2646</v>
      </c>
    </row>
    <row r="1434" customFormat="false" ht="15" hidden="false" customHeight="false" outlineLevel="0" collapsed="false">
      <c r="A1434" s="0" t="n">
        <v>1605</v>
      </c>
      <c r="B1434" s="68" t="n">
        <v>45781</v>
      </c>
      <c r="C1434" s="69" t="s">
        <v>25</v>
      </c>
      <c r="D1434" s="69"/>
      <c r="E1434" s="69" t="s">
        <v>92</v>
      </c>
      <c r="F1434" s="69" t="s">
        <v>135</v>
      </c>
      <c r="G1434" s="69" t="s">
        <v>141</v>
      </c>
      <c r="H1434" s="0" t="n">
        <v>20</v>
      </c>
      <c r="I1434" s="70" t="n">
        <v>1588.21</v>
      </c>
      <c r="J1434" s="70" t="n">
        <v>1155.66</v>
      </c>
      <c r="K1434" s="70" t="n">
        <f aca="false">IF(ISTEXT(H1434),VALUE(H1434),H1434)*I1434</f>
        <v>31764.2</v>
      </c>
    </row>
    <row r="1435" customFormat="false" ht="15" hidden="false" customHeight="false" outlineLevel="0" collapsed="false">
      <c r="A1435" s="0" t="n">
        <v>120</v>
      </c>
      <c r="B1435" s="68" t="n">
        <v>45326</v>
      </c>
      <c r="C1435" s="69" t="s">
        <v>25</v>
      </c>
      <c r="D1435" s="69" t="s">
        <v>97</v>
      </c>
      <c r="E1435" s="69" t="s">
        <v>125</v>
      </c>
      <c r="F1435" s="69" t="s">
        <v>168</v>
      </c>
      <c r="G1435" s="69" t="s">
        <v>53</v>
      </c>
      <c r="H1435" s="0" t="n">
        <v>20</v>
      </c>
      <c r="I1435" s="70" t="n">
        <v>34.3</v>
      </c>
      <c r="J1435" s="70" t="n">
        <v>17.85</v>
      </c>
      <c r="K1435" s="70" t="n">
        <f aca="false">IF(ISTEXT(H1435),VALUE(H1435),H1435)*I1435</f>
        <v>686</v>
      </c>
    </row>
    <row r="1436" customFormat="false" ht="15" hidden="false" customHeight="false" outlineLevel="0" collapsed="false">
      <c r="A1436" s="0" t="n">
        <v>1555</v>
      </c>
      <c r="B1436" s="69" t="s">
        <v>307</v>
      </c>
      <c r="C1436" s="69" t="s">
        <v>118</v>
      </c>
      <c r="D1436" s="69" t="s">
        <v>109</v>
      </c>
      <c r="E1436" s="69" t="s">
        <v>121</v>
      </c>
      <c r="F1436" s="69" t="s">
        <v>166</v>
      </c>
      <c r="G1436" s="69" t="s">
        <v>51</v>
      </c>
      <c r="H1436" s="0" t="n">
        <v>15</v>
      </c>
      <c r="I1436" s="70" t="n">
        <v>84.46</v>
      </c>
      <c r="J1436" s="70" t="n">
        <v>49.47</v>
      </c>
      <c r="K1436" s="70" t="n">
        <f aca="false">IF(ISTEXT(H1436),VALUE(H1436),H1436)*I1436</f>
        <v>1266.9</v>
      </c>
    </row>
    <row r="1437" customFormat="false" ht="15" hidden="false" customHeight="false" outlineLevel="0" collapsed="false">
      <c r="A1437" s="0" t="n">
        <v>361</v>
      </c>
      <c r="B1437" s="69" t="s">
        <v>639</v>
      </c>
      <c r="C1437" s="69" t="s">
        <v>136</v>
      </c>
      <c r="D1437" s="69" t="s">
        <v>137</v>
      </c>
      <c r="E1437" s="69" t="s">
        <v>138</v>
      </c>
      <c r="F1437" s="69" t="s">
        <v>153</v>
      </c>
      <c r="G1437" s="69" t="s">
        <v>41</v>
      </c>
      <c r="H1437" s="0" t="n">
        <v>6</v>
      </c>
      <c r="I1437" s="70" t="n">
        <v>1176</v>
      </c>
      <c r="J1437" s="70" t="n">
        <v>744</v>
      </c>
      <c r="K1437" s="70" t="n">
        <f aca="false">IF(ISTEXT(H1437),VALUE(H1437),H1437)*I1437</f>
        <v>7056</v>
      </c>
    </row>
    <row r="1438" customFormat="false" ht="15" hidden="false" customHeight="false" outlineLevel="0" collapsed="false">
      <c r="A1438" s="0" t="n">
        <v>1625</v>
      </c>
      <c r="B1438" s="68" t="n">
        <v>45786</v>
      </c>
      <c r="C1438" s="69" t="s">
        <v>91</v>
      </c>
      <c r="D1438" s="69" t="s">
        <v>86</v>
      </c>
      <c r="E1438" s="69" t="s">
        <v>92</v>
      </c>
      <c r="F1438" s="69" t="s">
        <v>147</v>
      </c>
      <c r="G1438" s="69" t="s">
        <v>45</v>
      </c>
      <c r="H1438" s="0" t="n">
        <v>11</v>
      </c>
      <c r="I1438" s="70" t="n">
        <v>1588.21</v>
      </c>
      <c r="J1438" s="70" t="n">
        <v>1155.66</v>
      </c>
      <c r="K1438" s="70" t="n">
        <f aca="false">IF(ISTEXT(H1438),VALUE(H1438),H1438)*I1438</f>
        <v>17470.31</v>
      </c>
    </row>
    <row r="1439" customFormat="false" ht="15" hidden="false" customHeight="false" outlineLevel="0" collapsed="false">
      <c r="A1439" s="0" t="n">
        <v>1422</v>
      </c>
      <c r="B1439" s="69" t="s">
        <v>640</v>
      </c>
      <c r="C1439" s="69" t="s">
        <v>91</v>
      </c>
      <c r="D1439" s="69" t="s">
        <v>86</v>
      </c>
      <c r="E1439" s="69" t="s">
        <v>107</v>
      </c>
      <c r="F1439" s="69" t="s">
        <v>153</v>
      </c>
      <c r="G1439" s="69" t="s">
        <v>154</v>
      </c>
      <c r="H1439" s="0" t="n">
        <v>7</v>
      </c>
      <c r="I1439" s="70" t="n">
        <v>1155.06</v>
      </c>
      <c r="J1439" s="70" t="n">
        <v>766.32</v>
      </c>
      <c r="K1439" s="70" t="n">
        <f aca="false">IF(ISTEXT(H1439),VALUE(H1439),H1439)*I1439</f>
        <v>8085.42</v>
      </c>
    </row>
    <row r="1440" customFormat="false" ht="15" hidden="false" customHeight="false" outlineLevel="0" collapsed="false">
      <c r="A1440" s="0" t="n">
        <v>62</v>
      </c>
      <c r="B1440" s="68" t="n">
        <v>45294</v>
      </c>
      <c r="C1440" s="69" t="s">
        <v>193</v>
      </c>
      <c r="D1440" s="69" t="s">
        <v>137</v>
      </c>
      <c r="E1440" s="69" t="s">
        <v>98</v>
      </c>
      <c r="F1440" s="69" t="s">
        <v>135</v>
      </c>
      <c r="G1440" s="69" t="s">
        <v>41</v>
      </c>
      <c r="H1440" s="0" t="n">
        <v>2</v>
      </c>
      <c r="I1440" s="70" t="n">
        <v>1176</v>
      </c>
      <c r="J1440" s="70" t="n">
        <v>744</v>
      </c>
      <c r="K1440" s="70" t="n">
        <f aca="false">IF(ISTEXT(H1440),VALUE(H1440),H1440)*I1440</f>
        <v>2352</v>
      </c>
    </row>
    <row r="1441" customFormat="false" ht="15" hidden="false" customHeight="false" outlineLevel="0" collapsed="false">
      <c r="A1441" s="0" t="n">
        <v>946</v>
      </c>
      <c r="B1441" s="69" t="s">
        <v>416</v>
      </c>
      <c r="C1441" s="69" t="s">
        <v>152</v>
      </c>
      <c r="D1441" s="69" t="s">
        <v>109</v>
      </c>
      <c r="E1441" s="69" t="s">
        <v>125</v>
      </c>
      <c r="F1441" s="69" t="s">
        <v>147</v>
      </c>
      <c r="G1441" s="69" t="s">
        <v>45</v>
      </c>
      <c r="H1441" s="0" t="n">
        <v>3</v>
      </c>
      <c r="I1441" s="70" t="n">
        <v>1617</v>
      </c>
      <c r="J1441" s="70" t="n">
        <v>1122</v>
      </c>
      <c r="K1441" s="70" t="n">
        <f aca="false">IF(ISTEXT(H1441),VALUE(H1441),H1441)*I1441</f>
        <v>4851</v>
      </c>
    </row>
    <row r="1442" customFormat="false" ht="15" hidden="false" customHeight="false" outlineLevel="0" collapsed="false">
      <c r="A1442" s="0" t="n">
        <v>224</v>
      </c>
      <c r="B1442" s="68" t="n">
        <v>45354</v>
      </c>
      <c r="C1442" s="69" t="s">
        <v>27</v>
      </c>
      <c r="D1442" s="69" t="s">
        <v>86</v>
      </c>
      <c r="E1442" s="69" t="s">
        <v>119</v>
      </c>
      <c r="F1442" s="69" t="s">
        <v>139</v>
      </c>
      <c r="G1442" s="69" t="s">
        <v>43</v>
      </c>
      <c r="H1442" s="0" t="n">
        <v>4</v>
      </c>
      <c r="I1442" s="70" t="n">
        <v>441</v>
      </c>
      <c r="J1442" s="70" t="n">
        <v>272.25</v>
      </c>
      <c r="K1442" s="70" t="n">
        <f aca="false">IF(ISTEXT(H1442),VALUE(H1442),H1442)*I1442</f>
        <v>1764</v>
      </c>
    </row>
    <row r="1443" customFormat="false" ht="15" hidden="false" customHeight="false" outlineLevel="0" collapsed="false">
      <c r="A1443" s="0" t="n">
        <v>338</v>
      </c>
      <c r="B1443" s="69" t="s">
        <v>641</v>
      </c>
      <c r="C1443" s="69" t="s">
        <v>91</v>
      </c>
      <c r="D1443" s="69" t="s">
        <v>86</v>
      </c>
      <c r="E1443" s="69" t="s">
        <v>180</v>
      </c>
      <c r="F1443" s="69" t="s">
        <v>182</v>
      </c>
      <c r="G1443" s="69" t="s">
        <v>127</v>
      </c>
      <c r="H1443" s="0" t="n">
        <v>12</v>
      </c>
      <c r="I1443" s="70" t="n">
        <v>127.4</v>
      </c>
      <c r="J1443" s="70" t="n">
        <v>76.05</v>
      </c>
      <c r="K1443" s="70" t="n">
        <f aca="false">IF(ISTEXT(H1443),VALUE(H1443),H1443)*I1443</f>
        <v>1528.8</v>
      </c>
    </row>
    <row r="1444" customFormat="false" ht="15" hidden="false" customHeight="false" outlineLevel="0" collapsed="false">
      <c r="A1444" s="0" t="n">
        <v>772</v>
      </c>
      <c r="B1444" s="68" t="n">
        <v>45509</v>
      </c>
      <c r="C1444" s="69" t="s">
        <v>193</v>
      </c>
      <c r="D1444" s="69" t="s">
        <v>137</v>
      </c>
      <c r="E1444" s="69" t="s">
        <v>125</v>
      </c>
      <c r="F1444" s="69" t="s">
        <v>155</v>
      </c>
      <c r="G1444" s="69" t="s">
        <v>208</v>
      </c>
      <c r="H1444" s="0" t="n">
        <v>11</v>
      </c>
      <c r="I1444" s="70" t="n">
        <v>63.7</v>
      </c>
      <c r="J1444" s="70" t="n">
        <v>35.43</v>
      </c>
      <c r="K1444" s="70" t="n">
        <f aca="false">IF(ISTEXT(H1444),VALUE(H1444),H1444)*I1444</f>
        <v>700.7</v>
      </c>
    </row>
    <row r="1445" customFormat="false" ht="15" hidden="false" customHeight="false" outlineLevel="0" collapsed="false">
      <c r="A1445" s="0" t="n">
        <v>1835</v>
      </c>
      <c r="B1445" s="69" t="s">
        <v>642</v>
      </c>
      <c r="C1445" s="69" t="s">
        <v>27</v>
      </c>
      <c r="D1445" s="69" t="s">
        <v>86</v>
      </c>
      <c r="E1445" s="69" t="s">
        <v>92</v>
      </c>
      <c r="F1445" s="69" t="s">
        <v>115</v>
      </c>
      <c r="G1445" s="69" t="s">
        <v>51</v>
      </c>
      <c r="H1445" s="0" t="n">
        <v>24</v>
      </c>
      <c r="I1445" s="70" t="n">
        <v>85.34</v>
      </c>
      <c r="J1445" s="70" t="n">
        <v>49.47</v>
      </c>
      <c r="K1445" s="70" t="n">
        <f aca="false">IF(ISTEXT(H1445),VALUE(H1445),H1445)*I1445</f>
        <v>2048.16</v>
      </c>
    </row>
    <row r="1446" customFormat="false" ht="15" hidden="false" customHeight="false" outlineLevel="0" collapsed="false">
      <c r="A1446" s="0" t="n">
        <v>1012</v>
      </c>
      <c r="B1446" s="68" t="n">
        <v>45607</v>
      </c>
      <c r="C1446" s="69" t="s">
        <v>25</v>
      </c>
      <c r="D1446" s="69" t="s">
        <v>97</v>
      </c>
      <c r="E1446" s="69" t="s">
        <v>180</v>
      </c>
      <c r="F1446" s="69" t="s">
        <v>102</v>
      </c>
      <c r="G1446" s="69" t="s">
        <v>144</v>
      </c>
      <c r="H1446" s="0" t="n">
        <v>48</v>
      </c>
      <c r="I1446" s="70" t="n">
        <v>63.7</v>
      </c>
      <c r="J1446" s="70" t="n">
        <v>35.43</v>
      </c>
      <c r="K1446" s="70" t="n">
        <f aca="false">IF(ISTEXT(H1446),VALUE(H1446),H1446)*I1446</f>
        <v>3057.6</v>
      </c>
    </row>
    <row r="1447" customFormat="false" ht="15" hidden="false" customHeight="false" outlineLevel="0" collapsed="false">
      <c r="A1447" s="0" t="n">
        <v>2108</v>
      </c>
      <c r="B1447" s="69" t="s">
        <v>541</v>
      </c>
      <c r="C1447" s="69" t="s">
        <v>170</v>
      </c>
      <c r="D1447" s="69" t="s">
        <v>97</v>
      </c>
      <c r="E1447" s="69" t="s">
        <v>180</v>
      </c>
      <c r="F1447" s="69" t="s">
        <v>102</v>
      </c>
      <c r="G1447" s="69" t="s">
        <v>103</v>
      </c>
      <c r="H1447" s="0" t="s">
        <v>567</v>
      </c>
      <c r="I1447" s="70" t="n">
        <v>28.11</v>
      </c>
      <c r="J1447" s="70" t="n">
        <v>13.84</v>
      </c>
      <c r="K1447" s="70" t="n">
        <f aca="false">IF(ISTEXT(H1447),VALUE(H1447),H1447)*I1447</f>
        <v>1799.04</v>
      </c>
    </row>
    <row r="1448" customFormat="false" ht="15" hidden="false" customHeight="false" outlineLevel="0" collapsed="false">
      <c r="A1448" s="0" t="n">
        <v>659</v>
      </c>
      <c r="B1448" s="68" t="n">
        <v>45497</v>
      </c>
      <c r="C1448" s="69" t="s">
        <v>30</v>
      </c>
      <c r="D1448" s="69" t="s">
        <v>109</v>
      </c>
      <c r="E1448" s="69" t="s">
        <v>138</v>
      </c>
      <c r="F1448" s="69" t="s">
        <v>33</v>
      </c>
      <c r="G1448" s="69" t="s">
        <v>217</v>
      </c>
      <c r="H1448" s="0" t="n">
        <v>27</v>
      </c>
      <c r="I1448" s="70" t="n">
        <v>34.3</v>
      </c>
      <c r="J1448" s="70" t="n">
        <v>17.85</v>
      </c>
      <c r="K1448" s="70" t="n">
        <f aca="false">IF(ISTEXT(H1448),VALUE(H1448),H1448)*I1448</f>
        <v>926.1</v>
      </c>
    </row>
    <row r="1449" customFormat="false" ht="15" hidden="false" customHeight="false" outlineLevel="0" collapsed="false">
      <c r="A1449" s="0" t="n">
        <v>1880</v>
      </c>
      <c r="B1449" s="68" t="n">
        <v>45850</v>
      </c>
      <c r="C1449" s="69" t="s">
        <v>193</v>
      </c>
      <c r="D1449" s="69" t="s">
        <v>137</v>
      </c>
      <c r="E1449" s="69" t="s">
        <v>180</v>
      </c>
      <c r="F1449" s="69" t="s">
        <v>183</v>
      </c>
      <c r="G1449" s="69" t="s">
        <v>53</v>
      </c>
      <c r="H1449" s="0" t="n">
        <v>13</v>
      </c>
      <c r="I1449" s="70" t="n">
        <v>35.14</v>
      </c>
      <c r="J1449" s="70" t="n">
        <v>18.39</v>
      </c>
      <c r="K1449" s="70" t="n">
        <f aca="false">IF(ISTEXT(H1449),VALUE(H1449),H1449)*I1449</f>
        <v>456.82</v>
      </c>
    </row>
    <row r="1450" customFormat="false" ht="15" hidden="false" customHeight="false" outlineLevel="0" collapsed="false">
      <c r="A1450" s="0" t="n">
        <v>1376</v>
      </c>
      <c r="B1450" s="69" t="s">
        <v>643</v>
      </c>
      <c r="C1450" s="69" t="s">
        <v>184</v>
      </c>
      <c r="D1450" s="69" t="s">
        <v>137</v>
      </c>
      <c r="E1450" s="69" t="s">
        <v>119</v>
      </c>
      <c r="F1450" s="69" t="s">
        <v>162</v>
      </c>
      <c r="G1450" s="69" t="s">
        <v>51</v>
      </c>
      <c r="H1450" s="0" t="s">
        <v>148</v>
      </c>
      <c r="I1450" s="70" t="n">
        <v>84.46</v>
      </c>
      <c r="J1450" s="70" t="n">
        <v>49.47</v>
      </c>
      <c r="K1450" s="70" t="n">
        <f aca="false">IF(ISTEXT(H1450),VALUE(H1450),H1450)*I1450</f>
        <v>675.68</v>
      </c>
    </row>
    <row r="1451" customFormat="false" ht="15" hidden="false" customHeight="false" outlineLevel="0" collapsed="false">
      <c r="A1451" s="0" t="n">
        <v>143</v>
      </c>
      <c r="B1451" s="68" t="n">
        <v>45325</v>
      </c>
      <c r="C1451" s="69" t="s">
        <v>108</v>
      </c>
      <c r="D1451" s="69" t="s">
        <v>109</v>
      </c>
      <c r="E1451" s="69" t="s">
        <v>134</v>
      </c>
      <c r="F1451" s="69" t="s">
        <v>139</v>
      </c>
      <c r="G1451" s="69" t="s">
        <v>177</v>
      </c>
      <c r="H1451" s="0" t="n">
        <v>8</v>
      </c>
      <c r="I1451" s="70" t="n">
        <v>441</v>
      </c>
      <c r="J1451" s="70" t="n">
        <v>272.25</v>
      </c>
      <c r="K1451" s="70" t="n">
        <f aca="false">IF(ISTEXT(H1451),VALUE(H1451),H1451)*I1451</f>
        <v>3528</v>
      </c>
    </row>
    <row r="1452" customFormat="false" ht="15" hidden="false" customHeight="false" outlineLevel="0" collapsed="false">
      <c r="A1452" s="0" t="n">
        <v>1516</v>
      </c>
      <c r="B1452" s="69" t="s">
        <v>358</v>
      </c>
      <c r="C1452" s="69" t="s">
        <v>96</v>
      </c>
      <c r="D1452" s="69" t="s">
        <v>97</v>
      </c>
      <c r="E1452" s="69" t="s">
        <v>98</v>
      </c>
      <c r="F1452" s="69" t="s">
        <v>115</v>
      </c>
      <c r="G1452" s="69" t="s">
        <v>111</v>
      </c>
      <c r="H1452" s="0" t="n">
        <v>26</v>
      </c>
      <c r="I1452" s="70" t="n">
        <v>84.46</v>
      </c>
      <c r="J1452" s="70" t="n">
        <v>49.47</v>
      </c>
      <c r="K1452" s="70" t="n">
        <f aca="false">IF(ISTEXT(H1452),VALUE(H1452),H1452)*I1452</f>
        <v>2195.96</v>
      </c>
    </row>
    <row r="1453" customFormat="false" ht="15" hidden="false" customHeight="false" outlineLevel="0" collapsed="false">
      <c r="A1453" s="0" t="n">
        <v>1289</v>
      </c>
      <c r="B1453" s="68" t="n">
        <v>45663</v>
      </c>
      <c r="C1453" s="69" t="s">
        <v>161</v>
      </c>
      <c r="D1453" s="69" t="s">
        <v>112</v>
      </c>
      <c r="E1453" s="69" t="s">
        <v>92</v>
      </c>
      <c r="F1453" s="69" t="s">
        <v>102</v>
      </c>
      <c r="G1453" s="69" t="s">
        <v>172</v>
      </c>
      <c r="H1453" s="0" t="n">
        <v>22</v>
      </c>
      <c r="I1453" s="70" t="n">
        <v>94.39</v>
      </c>
      <c r="J1453" s="70" t="n">
        <v>49.41</v>
      </c>
      <c r="K1453" s="70" t="n">
        <f aca="false">IF(ISTEXT(H1453),VALUE(H1453),H1453)*I1453</f>
        <v>2076.58</v>
      </c>
    </row>
    <row r="1454" customFormat="false" ht="15" hidden="false" customHeight="false" outlineLevel="0" collapsed="false">
      <c r="A1454" s="0" t="n">
        <v>239</v>
      </c>
      <c r="B1454" s="68" t="n">
        <v>45378</v>
      </c>
      <c r="C1454" s="69" t="s">
        <v>120</v>
      </c>
      <c r="D1454" s="69"/>
      <c r="E1454" s="69" t="s">
        <v>101</v>
      </c>
      <c r="F1454" s="69" t="s">
        <v>33</v>
      </c>
      <c r="G1454" s="69" t="s">
        <v>53</v>
      </c>
      <c r="H1454" s="0" t="s">
        <v>423</v>
      </c>
      <c r="I1454" s="70" t="n">
        <v>34.3</v>
      </c>
      <c r="J1454" s="70" t="n">
        <v>17.85</v>
      </c>
      <c r="K1454" s="70" t="n">
        <f aca="false">IF(ISTEXT(H1454),VALUE(H1454),H1454)*I1454</f>
        <v>1200.5</v>
      </c>
    </row>
    <row r="1455" customFormat="false" ht="15" hidden="false" customHeight="false" outlineLevel="0" collapsed="false">
      <c r="A1455" s="0" t="n">
        <v>489</v>
      </c>
      <c r="B1455" s="69" t="s">
        <v>644</v>
      </c>
      <c r="C1455" s="69" t="s">
        <v>161</v>
      </c>
      <c r="D1455" s="69" t="s">
        <v>112</v>
      </c>
      <c r="E1455" s="69" t="s">
        <v>121</v>
      </c>
      <c r="F1455" s="69" t="s">
        <v>28</v>
      </c>
      <c r="G1455" s="69" t="s">
        <v>48</v>
      </c>
      <c r="H1455" s="0" t="n">
        <v>29</v>
      </c>
      <c r="I1455" s="70" t="n">
        <v>93.1</v>
      </c>
      <c r="J1455" s="70" t="n">
        <v>47.98</v>
      </c>
      <c r="K1455" s="70" t="n">
        <f aca="false">IF(ISTEXT(H1455),VALUE(H1455),H1455)*I1455</f>
        <v>2699.9</v>
      </c>
    </row>
    <row r="1456" customFormat="false" ht="15" hidden="false" customHeight="false" outlineLevel="0" collapsed="false">
      <c r="A1456" s="0" t="n">
        <v>1676</v>
      </c>
      <c r="B1456" s="69" t="s">
        <v>645</v>
      </c>
      <c r="C1456" s="69" t="s">
        <v>193</v>
      </c>
      <c r="D1456" s="69" t="s">
        <v>137</v>
      </c>
      <c r="E1456" s="69" t="s">
        <v>180</v>
      </c>
      <c r="F1456" s="69" t="s">
        <v>166</v>
      </c>
      <c r="G1456" s="69" t="s">
        <v>51</v>
      </c>
      <c r="H1456" s="0" t="n">
        <v>11</v>
      </c>
      <c r="I1456" s="70" t="n">
        <v>84.46</v>
      </c>
      <c r="J1456" s="70" t="n">
        <v>49.47</v>
      </c>
      <c r="K1456" s="70" t="n">
        <f aca="false">IF(ISTEXT(H1456),VALUE(H1456),H1456)*I1456</f>
        <v>929.06</v>
      </c>
    </row>
    <row r="1457" customFormat="false" ht="15" hidden="false" customHeight="false" outlineLevel="0" collapsed="false">
      <c r="A1457" s="0" t="n">
        <v>1553</v>
      </c>
      <c r="B1457" s="68" t="n">
        <v>45765</v>
      </c>
      <c r="C1457" s="69" t="s">
        <v>108</v>
      </c>
      <c r="D1457" s="69" t="s">
        <v>109</v>
      </c>
      <c r="E1457" s="69" t="s">
        <v>134</v>
      </c>
      <c r="F1457" s="69" t="s">
        <v>31</v>
      </c>
      <c r="G1457" s="69" t="s">
        <v>171</v>
      </c>
      <c r="H1457" s="0" t="n">
        <v>20</v>
      </c>
      <c r="I1457" s="70" t="n">
        <v>119.23</v>
      </c>
      <c r="J1457" s="70" t="n">
        <v>65.51</v>
      </c>
      <c r="K1457" s="70" t="n">
        <f aca="false">IF(ISTEXT(H1457),VALUE(H1457),H1457)*I1457</f>
        <v>2384.6</v>
      </c>
    </row>
    <row r="1458" customFormat="false" ht="15" hidden="false" customHeight="false" outlineLevel="0" collapsed="false">
      <c r="A1458" s="0" t="n">
        <v>41</v>
      </c>
      <c r="B1458" s="68" t="n">
        <v>45309</v>
      </c>
      <c r="C1458" s="69" t="s">
        <v>108</v>
      </c>
      <c r="D1458" s="69" t="s">
        <v>109</v>
      </c>
      <c r="E1458" s="69" t="s">
        <v>134</v>
      </c>
      <c r="F1458" s="69" t="s">
        <v>88</v>
      </c>
      <c r="G1458" s="69" t="s">
        <v>151</v>
      </c>
      <c r="H1458" s="0" t="n">
        <v>6</v>
      </c>
      <c r="I1458" s="70" t="n">
        <v>1176</v>
      </c>
      <c r="J1458" s="70" t="n">
        <v>744</v>
      </c>
      <c r="K1458" s="70" t="n">
        <f aca="false">IF(ISTEXT(H1458),VALUE(H1458),H1458)*I1458</f>
        <v>7056</v>
      </c>
    </row>
    <row r="1459" customFormat="false" ht="15" hidden="false" customHeight="false" outlineLevel="0" collapsed="false">
      <c r="A1459" s="0" t="n">
        <v>1372</v>
      </c>
      <c r="B1459" s="68" t="n">
        <v>45708</v>
      </c>
      <c r="C1459" s="69" t="s">
        <v>184</v>
      </c>
      <c r="D1459" s="69" t="s">
        <v>137</v>
      </c>
      <c r="E1459" s="69" t="s">
        <v>98</v>
      </c>
      <c r="F1459" s="69" t="s">
        <v>155</v>
      </c>
      <c r="G1459" s="69" t="s">
        <v>208</v>
      </c>
      <c r="H1459" s="0" t="n">
        <v>18</v>
      </c>
      <c r="I1459" s="70" t="n">
        <v>64.58</v>
      </c>
      <c r="J1459" s="70" t="n">
        <v>36.49</v>
      </c>
      <c r="K1459" s="70" t="n">
        <f aca="false">IF(ISTEXT(H1459),VALUE(H1459),H1459)*I1459</f>
        <v>1162.44</v>
      </c>
    </row>
    <row r="1460" customFormat="false" ht="15" hidden="false" customHeight="false" outlineLevel="0" collapsed="false">
      <c r="A1460" s="0" t="n">
        <v>175</v>
      </c>
      <c r="B1460" s="68" t="n">
        <v>45333</v>
      </c>
      <c r="C1460" s="69" t="s">
        <v>193</v>
      </c>
      <c r="D1460" s="69" t="s">
        <v>137</v>
      </c>
      <c r="E1460" s="69" t="s">
        <v>101</v>
      </c>
      <c r="F1460" s="69" t="s">
        <v>162</v>
      </c>
      <c r="G1460" s="69" t="s">
        <v>51</v>
      </c>
      <c r="H1460" s="0" t="n">
        <v>12</v>
      </c>
      <c r="I1460" s="70" t="n">
        <v>83.3</v>
      </c>
      <c r="J1460" s="70" t="n">
        <v>48.03</v>
      </c>
      <c r="K1460" s="70" t="n">
        <f aca="false">IF(ISTEXT(H1460),VALUE(H1460),H1460)*I1460</f>
        <v>999.6</v>
      </c>
    </row>
    <row r="1461" customFormat="false" ht="15" hidden="false" customHeight="false" outlineLevel="0" collapsed="false">
      <c r="A1461" s="0" t="n">
        <v>679</v>
      </c>
      <c r="B1461" s="68" t="n">
        <v>45475</v>
      </c>
      <c r="C1461" s="69" t="s">
        <v>32</v>
      </c>
      <c r="D1461" s="69" t="s">
        <v>137</v>
      </c>
      <c r="E1461" s="69" t="s">
        <v>101</v>
      </c>
      <c r="F1461" s="69" t="s">
        <v>183</v>
      </c>
      <c r="G1461" s="69" t="s">
        <v>53</v>
      </c>
      <c r="H1461" s="0" t="s">
        <v>254</v>
      </c>
      <c r="I1461" s="70" t="n">
        <v>34.3</v>
      </c>
      <c r="J1461" s="70" t="n">
        <v>17.85</v>
      </c>
      <c r="K1461" s="70" t="n">
        <f aca="false">IF(ISTEXT(H1461),VALUE(H1461),H1461)*I1461</f>
        <v>686</v>
      </c>
    </row>
    <row r="1462" customFormat="false" ht="15" hidden="false" customHeight="false" outlineLevel="0" collapsed="false">
      <c r="A1462" s="0" t="n">
        <v>755</v>
      </c>
      <c r="B1462" s="69" t="s">
        <v>646</v>
      </c>
      <c r="C1462" s="69" t="s">
        <v>108</v>
      </c>
      <c r="D1462" s="69" t="s">
        <v>109</v>
      </c>
      <c r="E1462" s="69" t="s">
        <v>138</v>
      </c>
      <c r="F1462" s="69" t="s">
        <v>162</v>
      </c>
      <c r="G1462" s="69" t="s">
        <v>51</v>
      </c>
      <c r="H1462" s="0" t="n">
        <v>18</v>
      </c>
      <c r="I1462" s="70" t="n">
        <v>83.3</v>
      </c>
      <c r="J1462" s="70" t="n">
        <v>48.03</v>
      </c>
      <c r="K1462" s="70" t="n">
        <f aca="false">IF(ISTEXT(H1462),VALUE(H1462),H1462)*I1462</f>
        <v>1499.4</v>
      </c>
    </row>
    <row r="1463" customFormat="false" ht="15" hidden="false" customHeight="false" outlineLevel="0" collapsed="false">
      <c r="A1463" s="0" t="n">
        <v>2311</v>
      </c>
      <c r="B1463" s="69" t="s">
        <v>647</v>
      </c>
      <c r="C1463" s="69" t="s">
        <v>96</v>
      </c>
      <c r="D1463" s="69" t="s">
        <v>97</v>
      </c>
      <c r="E1463" s="69" t="s">
        <v>138</v>
      </c>
      <c r="F1463" s="69" t="s">
        <v>155</v>
      </c>
      <c r="G1463" s="69" t="s">
        <v>208</v>
      </c>
      <c r="H1463" s="0" t="n">
        <v>132</v>
      </c>
      <c r="I1463" s="70" t="n">
        <v>65.26</v>
      </c>
      <c r="J1463" s="70" t="n">
        <v>36.49</v>
      </c>
      <c r="K1463" s="70" t="n">
        <f aca="false">IF(ISTEXT(H1463),VALUE(H1463),H1463)*I1463</f>
        <v>8614.32</v>
      </c>
    </row>
    <row r="1464" customFormat="false" ht="15" hidden="false" customHeight="false" outlineLevel="0" collapsed="false">
      <c r="A1464" s="0" t="n">
        <v>620</v>
      </c>
      <c r="B1464" s="69" t="s">
        <v>277</v>
      </c>
      <c r="C1464" s="69" t="s">
        <v>124</v>
      </c>
      <c r="D1464" s="69" t="s">
        <v>97</v>
      </c>
      <c r="E1464" s="69" t="s">
        <v>98</v>
      </c>
      <c r="F1464" s="69" t="s">
        <v>93</v>
      </c>
      <c r="G1464" s="69" t="s">
        <v>94</v>
      </c>
      <c r="H1464" s="0" t="n">
        <v>27</v>
      </c>
      <c r="I1464" s="70" t="n">
        <v>34.3</v>
      </c>
      <c r="J1464" s="70" t="n">
        <v>17.85</v>
      </c>
      <c r="K1464" s="70" t="n">
        <f aca="false">IF(ISTEXT(H1464),VALUE(H1464),H1464)*I1464</f>
        <v>926.1</v>
      </c>
    </row>
    <row r="1465" customFormat="false" ht="15" hidden="false" customHeight="false" outlineLevel="0" collapsed="false">
      <c r="A1465" s="0" t="n">
        <v>576</v>
      </c>
      <c r="B1465" s="68" t="n">
        <v>45453</v>
      </c>
      <c r="C1465" s="69" t="s">
        <v>193</v>
      </c>
      <c r="D1465" s="69" t="s">
        <v>137</v>
      </c>
      <c r="E1465" s="69" t="s">
        <v>107</v>
      </c>
      <c r="F1465" s="69" t="s">
        <v>166</v>
      </c>
      <c r="G1465" s="69" t="s">
        <v>116</v>
      </c>
      <c r="H1465" s="0" t="n">
        <v>6</v>
      </c>
      <c r="I1465" s="70" t="n">
        <v>83.3</v>
      </c>
      <c r="J1465" s="70" t="n">
        <v>48.03</v>
      </c>
      <c r="K1465" s="70" t="n">
        <f aca="false">IF(ISTEXT(H1465),VALUE(H1465),H1465)*I1465</f>
        <v>499.8</v>
      </c>
    </row>
    <row r="1466" customFormat="false" ht="15" hidden="false" customHeight="false" outlineLevel="0" collapsed="false">
      <c r="A1466" s="0" t="n">
        <v>1867</v>
      </c>
      <c r="B1466" s="68" t="n">
        <v>45840</v>
      </c>
      <c r="C1466" s="69" t="s">
        <v>193</v>
      </c>
      <c r="D1466" s="69" t="s">
        <v>137</v>
      </c>
      <c r="E1466" s="69" t="s">
        <v>134</v>
      </c>
      <c r="F1466" s="69" t="s">
        <v>28</v>
      </c>
      <c r="G1466" s="69" t="s">
        <v>113</v>
      </c>
      <c r="H1466" s="0" t="s">
        <v>345</v>
      </c>
      <c r="I1466" s="70" t="n">
        <v>28.11</v>
      </c>
      <c r="J1466" s="70" t="n">
        <v>13.84</v>
      </c>
      <c r="K1466" s="70" t="n">
        <f aca="false">IF(ISTEXT(H1466),VALUE(H1466),H1466)*I1466</f>
        <v>815.19</v>
      </c>
    </row>
    <row r="1467" customFormat="false" ht="15" hidden="false" customHeight="false" outlineLevel="0" collapsed="false">
      <c r="A1467" s="0" t="n">
        <v>367</v>
      </c>
      <c r="B1467" s="69" t="s">
        <v>648</v>
      </c>
      <c r="C1467" s="69" t="s">
        <v>193</v>
      </c>
      <c r="D1467" s="69" t="s">
        <v>137</v>
      </c>
      <c r="E1467" s="69" t="s">
        <v>138</v>
      </c>
      <c r="F1467" s="69" t="s">
        <v>143</v>
      </c>
      <c r="G1467" s="69" t="s">
        <v>113</v>
      </c>
      <c r="H1467" s="0" t="s">
        <v>251</v>
      </c>
      <c r="I1467" s="70" t="n">
        <v>27.44</v>
      </c>
      <c r="J1467" s="70" t="n">
        <v>13.44</v>
      </c>
      <c r="K1467" s="70" t="n">
        <f aca="false">IF(ISTEXT(H1467),VALUE(H1467),H1467)*I1467</f>
        <v>658.56</v>
      </c>
    </row>
    <row r="1468" customFormat="false" ht="15" hidden="false" customHeight="false" outlineLevel="0" collapsed="false">
      <c r="A1468" s="0" t="n">
        <v>1838</v>
      </c>
      <c r="B1468" s="68" t="n">
        <v>45853</v>
      </c>
      <c r="C1468" s="69" t="s">
        <v>120</v>
      </c>
      <c r="D1468" s="69" t="s">
        <v>86</v>
      </c>
      <c r="E1468" s="69" t="s">
        <v>98</v>
      </c>
      <c r="F1468" s="69" t="s">
        <v>168</v>
      </c>
      <c r="G1468" s="69" t="s">
        <v>130</v>
      </c>
      <c r="H1468" s="0" t="s">
        <v>548</v>
      </c>
      <c r="I1468" s="70" t="n">
        <v>130.51</v>
      </c>
      <c r="J1468" s="70" t="n">
        <v>78.33</v>
      </c>
      <c r="K1468" s="70" t="n">
        <f aca="false">IF(ISTEXT(H1468),VALUE(H1468),H1468)*I1468</f>
        <v>3262.75</v>
      </c>
    </row>
    <row r="1469" customFormat="false" ht="15" hidden="false" customHeight="false" outlineLevel="0" collapsed="false">
      <c r="A1469" s="0" t="n">
        <v>1878</v>
      </c>
      <c r="B1469" s="68" t="n">
        <v>45863</v>
      </c>
      <c r="C1469" s="69" t="s">
        <v>193</v>
      </c>
      <c r="D1469" s="69" t="s">
        <v>137</v>
      </c>
      <c r="E1469" s="69" t="s">
        <v>119</v>
      </c>
      <c r="F1469" s="69" t="s">
        <v>33</v>
      </c>
      <c r="G1469" s="69" t="s">
        <v>127</v>
      </c>
      <c r="H1469" s="0" t="n">
        <v>11</v>
      </c>
      <c r="I1469" s="70" t="n">
        <v>130.51</v>
      </c>
      <c r="J1469" s="70" t="n">
        <v>78.33</v>
      </c>
      <c r="K1469" s="70" t="n">
        <f aca="false">IF(ISTEXT(H1469),VALUE(H1469),H1469)*I1469</f>
        <v>1435.61</v>
      </c>
    </row>
    <row r="1470" customFormat="false" ht="15" hidden="false" customHeight="false" outlineLevel="0" collapsed="false">
      <c r="A1470" s="0" t="n">
        <v>1103</v>
      </c>
      <c r="B1470" s="69" t="s">
        <v>649</v>
      </c>
      <c r="C1470" s="69" t="s">
        <v>96</v>
      </c>
      <c r="D1470" s="69" t="s">
        <v>97</v>
      </c>
      <c r="E1470" s="69" t="s">
        <v>92</v>
      </c>
      <c r="F1470" s="69" t="s">
        <v>26</v>
      </c>
      <c r="G1470" s="69" t="s">
        <v>43</v>
      </c>
      <c r="H1470" s="0" t="n">
        <v>33</v>
      </c>
      <c r="I1470" s="70" t="n">
        <v>441</v>
      </c>
      <c r="J1470" s="70" t="n">
        <v>272.25</v>
      </c>
      <c r="K1470" s="70" t="n">
        <f aca="false">IF(ISTEXT(H1470),VALUE(H1470),H1470)*I1470</f>
        <v>14553</v>
      </c>
    </row>
    <row r="1471" customFormat="false" ht="15" hidden="false" customHeight="false" outlineLevel="0" collapsed="false">
      <c r="A1471" s="0" t="n">
        <v>791</v>
      </c>
      <c r="B1471" s="68" t="n">
        <v>45507</v>
      </c>
      <c r="C1471" s="69" t="s">
        <v>34</v>
      </c>
      <c r="D1471" s="69" t="s">
        <v>112</v>
      </c>
      <c r="E1471" s="69" t="s">
        <v>110</v>
      </c>
      <c r="F1471" s="69" t="s">
        <v>99</v>
      </c>
      <c r="G1471" s="69" t="s">
        <v>208</v>
      </c>
      <c r="H1471" s="0" t="n">
        <v>30</v>
      </c>
      <c r="I1471" s="70" t="n">
        <v>63.7</v>
      </c>
      <c r="J1471" s="70" t="n">
        <v>35.43</v>
      </c>
      <c r="K1471" s="70" t="n">
        <f aca="false">IF(ISTEXT(H1471),VALUE(H1471),H1471)*I1471</f>
        <v>1911</v>
      </c>
    </row>
    <row r="1472" customFormat="false" ht="15" hidden="false" customHeight="false" outlineLevel="0" collapsed="false">
      <c r="A1472" s="0" t="n">
        <v>1386</v>
      </c>
      <c r="B1472" s="69" t="s">
        <v>212</v>
      </c>
      <c r="C1472" s="69" t="s">
        <v>133</v>
      </c>
      <c r="D1472" s="69" t="s">
        <v>112</v>
      </c>
      <c r="E1472" s="69" t="s">
        <v>125</v>
      </c>
      <c r="F1472" s="69" t="s">
        <v>26</v>
      </c>
      <c r="G1472" s="69" t="s">
        <v>45</v>
      </c>
      <c r="H1472" s="0" t="n">
        <v>4</v>
      </c>
      <c r="I1472" s="70" t="n">
        <v>1588.21</v>
      </c>
      <c r="J1472" s="70" t="n">
        <v>1155.66</v>
      </c>
      <c r="K1472" s="70" t="n">
        <f aca="false">IF(ISTEXT(H1472),VALUE(H1472),H1472)*I1472</f>
        <v>6352.84</v>
      </c>
    </row>
    <row r="1473" customFormat="false" ht="15" hidden="false" customHeight="false" outlineLevel="0" collapsed="false">
      <c r="A1473" s="0" t="n">
        <v>1934</v>
      </c>
      <c r="B1473" s="69" t="s">
        <v>650</v>
      </c>
      <c r="C1473" s="69" t="s">
        <v>27</v>
      </c>
      <c r="D1473" s="69" t="s">
        <v>86</v>
      </c>
      <c r="E1473" s="69" t="s">
        <v>98</v>
      </c>
      <c r="F1473" s="69" t="s">
        <v>31</v>
      </c>
      <c r="G1473" s="69" t="s">
        <v>156</v>
      </c>
      <c r="H1473" s="0" t="n">
        <v>17</v>
      </c>
      <c r="I1473" s="70" t="n">
        <v>120.47</v>
      </c>
      <c r="J1473" s="70" t="n">
        <v>65.51</v>
      </c>
      <c r="K1473" s="70" t="n">
        <f aca="false">IF(ISTEXT(H1473),VALUE(H1473),H1473)*I1473</f>
        <v>2047.99</v>
      </c>
    </row>
    <row r="1474" customFormat="false" ht="15" hidden="false" customHeight="false" outlineLevel="0" collapsed="false">
      <c r="A1474" s="0" t="n">
        <v>1998</v>
      </c>
      <c r="B1474" s="68" t="n">
        <v>45870</v>
      </c>
      <c r="C1474" s="69" t="s">
        <v>133</v>
      </c>
      <c r="D1474" s="69" t="s">
        <v>112</v>
      </c>
      <c r="E1474" s="69" t="s">
        <v>87</v>
      </c>
      <c r="F1474" s="69" t="s">
        <v>33</v>
      </c>
      <c r="G1474" s="69" t="s">
        <v>130</v>
      </c>
      <c r="H1474" s="0" t="n">
        <v>10</v>
      </c>
      <c r="I1474" s="70" t="n">
        <v>130.51</v>
      </c>
      <c r="J1474" s="70" t="n">
        <v>78.33</v>
      </c>
      <c r="K1474" s="70" t="n">
        <f aca="false">IF(ISTEXT(H1474),VALUE(H1474),H1474)*I1474</f>
        <v>1305.1</v>
      </c>
    </row>
    <row r="1475" customFormat="false" ht="15" hidden="false" customHeight="false" outlineLevel="0" collapsed="false">
      <c r="A1475" s="0" t="n">
        <v>1290</v>
      </c>
      <c r="B1475" s="68" t="n">
        <v>45670</v>
      </c>
      <c r="C1475" s="69" t="s">
        <v>161</v>
      </c>
      <c r="D1475" s="69"/>
      <c r="E1475" s="69" t="s">
        <v>119</v>
      </c>
      <c r="F1475" s="69" t="s">
        <v>99</v>
      </c>
      <c r="G1475" s="69" t="s">
        <v>172</v>
      </c>
      <c r="H1475" s="0" t="n">
        <v>15</v>
      </c>
      <c r="I1475" s="70" t="n">
        <v>94.39</v>
      </c>
      <c r="J1475" s="70" t="n">
        <v>49.41</v>
      </c>
      <c r="K1475" s="70" t="n">
        <f aca="false">IF(ISTEXT(H1475),VALUE(H1475),H1475)*I1475</f>
        <v>1415.85</v>
      </c>
    </row>
    <row r="1476" customFormat="false" ht="15" hidden="false" customHeight="false" outlineLevel="0" collapsed="false">
      <c r="A1476" s="0" t="n">
        <v>44</v>
      </c>
      <c r="B1476" s="68" t="n">
        <v>45303</v>
      </c>
      <c r="C1476" s="69" t="s">
        <v>152</v>
      </c>
      <c r="D1476" s="69" t="s">
        <v>109</v>
      </c>
      <c r="E1476" s="69" t="s">
        <v>98</v>
      </c>
      <c r="F1476" s="69" t="s">
        <v>139</v>
      </c>
      <c r="G1476" s="69" t="s">
        <v>89</v>
      </c>
      <c r="H1476" s="0" t="n">
        <v>3</v>
      </c>
      <c r="I1476" s="70" t="n">
        <v>441</v>
      </c>
      <c r="J1476" s="70" t="n">
        <v>272.25</v>
      </c>
      <c r="K1476" s="70" t="n">
        <f aca="false">IF(ISTEXT(H1476),VALUE(H1476),H1476)*I1476</f>
        <v>1323</v>
      </c>
    </row>
    <row r="1477" customFormat="false" ht="15" hidden="false" customHeight="false" outlineLevel="0" collapsed="false">
      <c r="A1477" s="0" t="n">
        <v>185</v>
      </c>
      <c r="B1477" s="68" t="n">
        <v>45349</v>
      </c>
      <c r="C1477" s="69" t="s">
        <v>34</v>
      </c>
      <c r="D1477" s="69" t="s">
        <v>112</v>
      </c>
      <c r="E1477" s="69" t="s">
        <v>121</v>
      </c>
      <c r="F1477" s="69" t="s">
        <v>153</v>
      </c>
      <c r="G1477" s="69" t="s">
        <v>45</v>
      </c>
      <c r="H1477" s="0" t="n">
        <v>4</v>
      </c>
      <c r="I1477" s="70" t="n">
        <v>1617</v>
      </c>
      <c r="J1477" s="70" t="n">
        <v>1122</v>
      </c>
      <c r="K1477" s="70" t="n">
        <f aca="false">IF(ISTEXT(H1477),VALUE(H1477),H1477)*I1477</f>
        <v>6468</v>
      </c>
    </row>
    <row r="1478" customFormat="false" ht="15" hidden="false" customHeight="false" outlineLevel="0" collapsed="false">
      <c r="A1478" s="0" t="n">
        <v>1719</v>
      </c>
      <c r="B1478" s="69" t="s">
        <v>651</v>
      </c>
      <c r="C1478" s="69" t="s">
        <v>96</v>
      </c>
      <c r="D1478" s="69" t="s">
        <v>97</v>
      </c>
      <c r="E1478" s="69" t="s">
        <v>101</v>
      </c>
      <c r="F1478" s="69" t="s">
        <v>168</v>
      </c>
      <c r="G1478" s="69" t="s">
        <v>217</v>
      </c>
      <c r="H1478" s="0" t="n">
        <v>48</v>
      </c>
      <c r="I1478" s="70" t="n">
        <v>34.78</v>
      </c>
      <c r="J1478" s="70" t="n">
        <v>18.39</v>
      </c>
      <c r="K1478" s="70" t="n">
        <f aca="false">IF(ISTEXT(H1478),VALUE(H1478),H1478)*I1478</f>
        <v>1669.44</v>
      </c>
    </row>
    <row r="1479" customFormat="false" ht="15" hidden="false" customHeight="false" outlineLevel="0" collapsed="false">
      <c r="A1479" s="0" t="n">
        <v>69</v>
      </c>
      <c r="B1479" s="68" t="n">
        <v>45316</v>
      </c>
      <c r="C1479" s="69" t="s">
        <v>32</v>
      </c>
      <c r="D1479" s="69" t="s">
        <v>137</v>
      </c>
      <c r="E1479" s="69" t="s">
        <v>110</v>
      </c>
      <c r="F1479" s="69" t="s">
        <v>143</v>
      </c>
      <c r="G1479" s="69" t="s">
        <v>172</v>
      </c>
      <c r="H1479" s="0" t="n">
        <v>30</v>
      </c>
      <c r="I1479" s="70" t="n">
        <v>93.1</v>
      </c>
      <c r="J1479" s="70" t="n">
        <v>47.98</v>
      </c>
      <c r="K1479" s="70" t="n">
        <f aca="false">IF(ISTEXT(H1479),VALUE(H1479),H1479)*I1479</f>
        <v>2793</v>
      </c>
    </row>
    <row r="1480" customFormat="false" ht="15" hidden="false" customHeight="false" outlineLevel="0" collapsed="false">
      <c r="A1480" s="0" t="n">
        <v>1656</v>
      </c>
      <c r="B1480" s="69" t="s">
        <v>199</v>
      </c>
      <c r="C1480" s="69" t="s">
        <v>118</v>
      </c>
      <c r="D1480" s="69" t="s">
        <v>109</v>
      </c>
      <c r="E1480" s="69" t="s">
        <v>87</v>
      </c>
      <c r="F1480" s="69" t="s">
        <v>31</v>
      </c>
      <c r="G1480" s="69" t="s">
        <v>51</v>
      </c>
      <c r="H1480" s="0" t="n">
        <v>13</v>
      </c>
      <c r="I1480" s="70" t="n">
        <v>84.46</v>
      </c>
      <c r="J1480" s="70" t="n">
        <v>49.47</v>
      </c>
      <c r="K1480" s="70" t="n">
        <f aca="false">IF(ISTEXT(H1480),VALUE(H1480),H1480)*I1480</f>
        <v>1097.98</v>
      </c>
    </row>
    <row r="1481" customFormat="false" ht="15" hidden="false" customHeight="false" outlineLevel="0" collapsed="false">
      <c r="A1481" s="0" t="n">
        <v>710</v>
      </c>
      <c r="B1481" s="69" t="s">
        <v>344</v>
      </c>
      <c r="C1481" s="69" t="s">
        <v>170</v>
      </c>
      <c r="D1481" s="69" t="s">
        <v>97</v>
      </c>
      <c r="E1481" s="69" t="s">
        <v>180</v>
      </c>
      <c r="F1481" s="69" t="s">
        <v>28</v>
      </c>
      <c r="G1481" s="69" t="s">
        <v>235</v>
      </c>
      <c r="H1481" s="0" t="n">
        <v>42</v>
      </c>
      <c r="I1481" s="70" t="n">
        <v>93.1</v>
      </c>
      <c r="J1481" s="70" t="n">
        <v>47.98</v>
      </c>
      <c r="K1481" s="70" t="n">
        <f aca="false">IF(ISTEXT(H1481),VALUE(H1481),H1481)*I1481</f>
        <v>3910.2</v>
      </c>
    </row>
    <row r="1482" customFormat="false" ht="15" hidden="false" customHeight="false" outlineLevel="0" collapsed="false">
      <c r="A1482" s="0" t="n">
        <v>1866</v>
      </c>
      <c r="B1482" s="69" t="s">
        <v>390</v>
      </c>
      <c r="C1482" s="69" t="s">
        <v>193</v>
      </c>
      <c r="D1482" s="69" t="s">
        <v>137</v>
      </c>
      <c r="E1482" s="69" t="s">
        <v>98</v>
      </c>
      <c r="F1482" s="69" t="s">
        <v>135</v>
      </c>
      <c r="G1482" s="69" t="s">
        <v>157</v>
      </c>
      <c r="H1482" s="0" t="n">
        <v>5</v>
      </c>
      <c r="I1482" s="70" t="n">
        <v>1656.52</v>
      </c>
      <c r="J1482" s="70" t="n">
        <v>1155.66</v>
      </c>
      <c r="K1482" s="70" t="n">
        <f aca="false">IF(ISTEXT(H1482),VALUE(H1482),H1482)*I1482</f>
        <v>8282.6</v>
      </c>
    </row>
    <row r="1483" customFormat="false" ht="15" hidden="false" customHeight="false" outlineLevel="0" collapsed="false">
      <c r="A1483" s="0" t="n">
        <v>1938</v>
      </c>
      <c r="B1483" s="68" t="n">
        <v>45882</v>
      </c>
      <c r="C1483" s="69" t="s">
        <v>159</v>
      </c>
      <c r="D1483" s="69" t="s">
        <v>86</v>
      </c>
      <c r="E1483" s="69" t="s">
        <v>87</v>
      </c>
      <c r="F1483" s="69" t="s">
        <v>182</v>
      </c>
      <c r="G1483" s="69" t="s">
        <v>52</v>
      </c>
      <c r="H1483" s="0" t="n">
        <v>18</v>
      </c>
      <c r="I1483" s="70" t="n">
        <v>130.51</v>
      </c>
      <c r="J1483" s="70" t="n">
        <v>78.33</v>
      </c>
      <c r="K1483" s="70" t="n">
        <f aca="false">IF(ISTEXT(H1483),VALUE(H1483),H1483)*I1483</f>
        <v>2349.18</v>
      </c>
    </row>
    <row r="1484" customFormat="false" ht="15" hidden="false" customHeight="false" outlineLevel="0" collapsed="false">
      <c r="A1484" s="0" t="n">
        <v>284</v>
      </c>
      <c r="B1484" s="68" t="n">
        <v>45369</v>
      </c>
      <c r="C1484" s="69" t="s">
        <v>161</v>
      </c>
      <c r="D1484" s="69" t="s">
        <v>112</v>
      </c>
      <c r="E1484" s="69" t="s">
        <v>119</v>
      </c>
      <c r="F1484" s="69" t="s">
        <v>153</v>
      </c>
      <c r="G1484" s="69" t="s">
        <v>89</v>
      </c>
      <c r="H1484" s="0" t="s">
        <v>652</v>
      </c>
      <c r="I1484" s="70" t="n">
        <v>441</v>
      </c>
      <c r="J1484" s="70" t="n">
        <v>272.25</v>
      </c>
      <c r="K1484" s="70" t="n">
        <f aca="false">IF(ISTEXT(H1484),VALUE(H1484),H1484)*I1484</f>
        <v>882</v>
      </c>
    </row>
    <row r="1485" customFormat="false" ht="15" hidden="false" customHeight="false" outlineLevel="0" collapsed="false">
      <c r="A1485" s="0" t="n">
        <v>1486</v>
      </c>
      <c r="B1485" s="68" t="n">
        <v>45724</v>
      </c>
      <c r="C1485" s="69" t="s">
        <v>142</v>
      </c>
      <c r="D1485" s="69" t="s">
        <v>112</v>
      </c>
      <c r="E1485" s="69" t="s">
        <v>87</v>
      </c>
      <c r="F1485" s="69" t="s">
        <v>88</v>
      </c>
      <c r="G1485" s="69" t="s">
        <v>45</v>
      </c>
      <c r="H1485" s="0" t="n">
        <v>4</v>
      </c>
      <c r="I1485" s="70" t="n">
        <v>1588.21</v>
      </c>
      <c r="J1485" s="70" t="n">
        <v>1155.66</v>
      </c>
      <c r="K1485" s="70" t="n">
        <f aca="false">IF(ISTEXT(H1485),VALUE(H1485),H1485)*I1485</f>
        <v>6352.84</v>
      </c>
    </row>
    <row r="1486" customFormat="false" ht="15" hidden="false" customHeight="false" outlineLevel="0" collapsed="false">
      <c r="A1486" s="0" t="n">
        <v>2159</v>
      </c>
      <c r="B1486" s="69" t="s">
        <v>335</v>
      </c>
      <c r="C1486" s="69" t="s">
        <v>108</v>
      </c>
      <c r="D1486" s="69" t="s">
        <v>109</v>
      </c>
      <c r="E1486" s="69" t="s">
        <v>134</v>
      </c>
      <c r="F1486" s="69" t="s">
        <v>93</v>
      </c>
      <c r="G1486" s="69" t="s">
        <v>53</v>
      </c>
      <c r="H1486" s="0" t="n">
        <v>25</v>
      </c>
      <c r="I1486" s="70" t="n">
        <v>35.14</v>
      </c>
      <c r="J1486" s="70" t="n">
        <v>18.39</v>
      </c>
      <c r="K1486" s="70" t="n">
        <f aca="false">IF(ISTEXT(H1486),VALUE(H1486),H1486)*I1486</f>
        <v>878.5</v>
      </c>
    </row>
    <row r="1487" customFormat="false" ht="15" hidden="false" customHeight="false" outlineLevel="0" collapsed="false">
      <c r="A1487" s="0" t="n">
        <v>956</v>
      </c>
      <c r="B1487" s="68" t="n">
        <v>45589</v>
      </c>
      <c r="C1487" s="69" t="s">
        <v>108</v>
      </c>
      <c r="D1487" s="69" t="s">
        <v>109</v>
      </c>
      <c r="E1487" s="69" t="s">
        <v>87</v>
      </c>
      <c r="F1487" s="69" t="s">
        <v>31</v>
      </c>
      <c r="G1487" s="69" t="s">
        <v>111</v>
      </c>
      <c r="H1487" s="0" t="n">
        <v>8</v>
      </c>
      <c r="I1487" s="70" t="n">
        <v>83.3</v>
      </c>
      <c r="J1487" s="70" t="n">
        <v>48.03</v>
      </c>
      <c r="K1487" s="70" t="n">
        <f aca="false">IF(ISTEXT(H1487),VALUE(H1487),H1487)*I1487</f>
        <v>666.4</v>
      </c>
    </row>
    <row r="1488" customFormat="false" ht="15" hidden="false" customHeight="false" outlineLevel="0" collapsed="false">
      <c r="A1488" s="0" t="n">
        <v>926</v>
      </c>
      <c r="B1488" s="68" t="n">
        <v>45568</v>
      </c>
      <c r="C1488" s="69" t="s">
        <v>27</v>
      </c>
      <c r="D1488" s="69" t="s">
        <v>86</v>
      </c>
      <c r="E1488" s="69" t="s">
        <v>125</v>
      </c>
      <c r="F1488" s="69" t="s">
        <v>147</v>
      </c>
      <c r="G1488" s="69" t="s">
        <v>157</v>
      </c>
      <c r="H1488" s="0" t="n">
        <v>5</v>
      </c>
      <c r="I1488" s="70" t="n">
        <v>1617</v>
      </c>
      <c r="J1488" s="70" t="n">
        <v>1122</v>
      </c>
      <c r="K1488" s="70" t="n">
        <f aca="false">IF(ISTEXT(H1488),VALUE(H1488),H1488)*I1488</f>
        <v>8085</v>
      </c>
    </row>
    <row r="1489" customFormat="false" ht="15" hidden="false" customHeight="false" outlineLevel="0" collapsed="false">
      <c r="A1489" s="0" t="n">
        <v>2367</v>
      </c>
      <c r="B1489" s="69" t="s">
        <v>653</v>
      </c>
      <c r="C1489" s="69" t="s">
        <v>193</v>
      </c>
      <c r="D1489" s="69" t="s">
        <v>137</v>
      </c>
      <c r="E1489" s="69" t="s">
        <v>110</v>
      </c>
      <c r="F1489" s="69" t="s">
        <v>99</v>
      </c>
      <c r="G1489" s="69" t="s">
        <v>113</v>
      </c>
      <c r="H1489" s="0" t="n">
        <v>44</v>
      </c>
      <c r="I1489" s="70" t="n">
        <v>28.11</v>
      </c>
      <c r="J1489" s="70" t="n">
        <v>13.84</v>
      </c>
      <c r="K1489" s="70" t="n">
        <f aca="false">IF(ISTEXT(H1489),VALUE(H1489),H1489)*I1489</f>
        <v>1236.84</v>
      </c>
    </row>
    <row r="1490" customFormat="false" ht="15" hidden="false" customHeight="false" outlineLevel="0" collapsed="false">
      <c r="A1490" s="0" t="n">
        <v>2048</v>
      </c>
      <c r="B1490" s="68" t="n">
        <v>45927</v>
      </c>
      <c r="C1490" s="69" t="s">
        <v>152</v>
      </c>
      <c r="D1490" s="69" t="s">
        <v>109</v>
      </c>
      <c r="E1490" s="69" t="s">
        <v>98</v>
      </c>
      <c r="F1490" s="69" t="s">
        <v>143</v>
      </c>
      <c r="G1490" s="69" t="s">
        <v>47</v>
      </c>
      <c r="H1490" s="0" t="s">
        <v>207</v>
      </c>
      <c r="I1490" s="70" t="n">
        <v>28.11</v>
      </c>
      <c r="J1490" s="70" t="n">
        <v>13.84</v>
      </c>
      <c r="K1490" s="70" t="n">
        <f aca="false">IF(ISTEXT(H1490),VALUE(H1490),H1490)*I1490</f>
        <v>730.86</v>
      </c>
    </row>
    <row r="1491" customFormat="false" ht="15" hidden="false" customHeight="false" outlineLevel="0" collapsed="false">
      <c r="A1491" s="0" t="n">
        <v>2163</v>
      </c>
      <c r="B1491" s="68" t="n">
        <v>45952</v>
      </c>
      <c r="C1491" s="69" t="s">
        <v>136</v>
      </c>
      <c r="D1491" s="69"/>
      <c r="E1491" s="69" t="s">
        <v>92</v>
      </c>
      <c r="F1491" s="69" t="s">
        <v>88</v>
      </c>
      <c r="G1491" s="69" t="s">
        <v>43</v>
      </c>
      <c r="H1491" s="0" t="n">
        <v>6</v>
      </c>
      <c r="I1491" s="70" t="n">
        <v>451.78</v>
      </c>
      <c r="J1491" s="70" t="n">
        <v>280.42</v>
      </c>
      <c r="K1491" s="70" t="n">
        <f aca="false">IF(ISTEXT(H1491),VALUE(H1491),H1491)*I1491</f>
        <v>2710.68</v>
      </c>
    </row>
    <row r="1492" customFormat="false" ht="15" hidden="false" customHeight="false" outlineLevel="0" collapsed="false">
      <c r="A1492" s="0" t="n">
        <v>1915</v>
      </c>
      <c r="B1492" s="69" t="s">
        <v>654</v>
      </c>
      <c r="C1492" s="69" t="s">
        <v>96</v>
      </c>
      <c r="D1492" s="69" t="s">
        <v>97</v>
      </c>
      <c r="E1492" s="69" t="s">
        <v>92</v>
      </c>
      <c r="F1492" s="69" t="s">
        <v>31</v>
      </c>
      <c r="G1492" s="69" t="s">
        <v>116</v>
      </c>
      <c r="H1492" s="0" t="s">
        <v>431</v>
      </c>
      <c r="I1492" s="70" t="n">
        <v>85.34</v>
      </c>
      <c r="J1492" s="70" t="n">
        <v>49.47</v>
      </c>
      <c r="K1492" s="70" t="n">
        <f aca="false">IF(ISTEXT(H1492),VALUE(H1492),H1492)*I1492</f>
        <v>3072.24</v>
      </c>
    </row>
    <row r="1493" customFormat="false" ht="15" hidden="false" customHeight="false" outlineLevel="0" collapsed="false">
      <c r="A1493" s="0" t="n">
        <v>693</v>
      </c>
      <c r="B1493" s="68" t="n">
        <v>45492</v>
      </c>
      <c r="C1493" s="69" t="s">
        <v>34</v>
      </c>
      <c r="D1493" s="69" t="s">
        <v>112</v>
      </c>
      <c r="E1493" s="69" t="s">
        <v>101</v>
      </c>
      <c r="F1493" s="69" t="s">
        <v>115</v>
      </c>
      <c r="G1493" s="69" t="s">
        <v>171</v>
      </c>
      <c r="H1493" s="0" t="n">
        <v>18</v>
      </c>
      <c r="I1493" s="70" t="n">
        <v>117.6</v>
      </c>
      <c r="J1493" s="70" t="n">
        <v>63.6</v>
      </c>
      <c r="K1493" s="70" t="n">
        <f aca="false">IF(ISTEXT(H1493),VALUE(H1493),H1493)*I1493</f>
        <v>2116.8</v>
      </c>
    </row>
    <row r="1494" customFormat="false" ht="15" hidden="false" customHeight="false" outlineLevel="0" collapsed="false">
      <c r="A1494" s="0" t="n">
        <v>1068</v>
      </c>
      <c r="B1494" s="68" t="n">
        <v>45621</v>
      </c>
      <c r="C1494" s="69" t="s">
        <v>136</v>
      </c>
      <c r="D1494" s="69" t="s">
        <v>137</v>
      </c>
      <c r="E1494" s="69" t="s">
        <v>180</v>
      </c>
      <c r="F1494" s="69" t="s">
        <v>155</v>
      </c>
      <c r="G1494" s="69" t="s">
        <v>113</v>
      </c>
      <c r="H1494" s="0" t="n">
        <v>15</v>
      </c>
      <c r="I1494" s="70" t="n">
        <v>27.44</v>
      </c>
      <c r="J1494" s="70" t="n">
        <v>13.44</v>
      </c>
      <c r="K1494" s="70" t="n">
        <f aca="false">IF(ISTEXT(H1494),VALUE(H1494),H1494)*I1494</f>
        <v>411.6</v>
      </c>
    </row>
    <row r="1495" customFormat="false" ht="15" hidden="false" customHeight="false" outlineLevel="0" collapsed="false">
      <c r="A1495" s="0" t="n">
        <v>1215</v>
      </c>
      <c r="B1495" s="68" t="n">
        <v>45658</v>
      </c>
      <c r="C1495" s="69" t="s">
        <v>25</v>
      </c>
      <c r="D1495" s="69" t="s">
        <v>97</v>
      </c>
      <c r="E1495" s="69" t="s">
        <v>110</v>
      </c>
      <c r="F1495" s="69" t="s">
        <v>162</v>
      </c>
      <c r="G1495" s="69" t="s">
        <v>111</v>
      </c>
      <c r="H1495" s="0" t="n">
        <v>33</v>
      </c>
      <c r="I1495" s="70" t="n">
        <v>84.46</v>
      </c>
      <c r="J1495" s="70" t="n">
        <v>49.47</v>
      </c>
      <c r="K1495" s="70" t="n">
        <f aca="false">IF(ISTEXT(H1495),VALUE(H1495),H1495)*I1495</f>
        <v>2787.18</v>
      </c>
    </row>
    <row r="1496" customFormat="false" ht="15" hidden="false" customHeight="false" outlineLevel="0" collapsed="false">
      <c r="A1496" s="0" t="n">
        <v>317</v>
      </c>
      <c r="B1496" s="68" t="n">
        <v>45388</v>
      </c>
      <c r="C1496" s="69" t="s">
        <v>96</v>
      </c>
      <c r="D1496" s="69"/>
      <c r="E1496" s="69" t="s">
        <v>121</v>
      </c>
      <c r="F1496" s="69" t="s">
        <v>33</v>
      </c>
      <c r="G1496" s="69" t="s">
        <v>52</v>
      </c>
      <c r="H1496" s="0" t="n">
        <v>43</v>
      </c>
      <c r="I1496" s="70" t="n">
        <v>127.4</v>
      </c>
      <c r="J1496" s="70" t="n">
        <v>76.05</v>
      </c>
      <c r="K1496" s="70" t="n">
        <f aca="false">IF(ISTEXT(H1496),VALUE(H1496),H1496)*I1496</f>
        <v>5478.2</v>
      </c>
    </row>
    <row r="1497" customFormat="false" ht="15" hidden="false" customHeight="false" outlineLevel="0" collapsed="false">
      <c r="A1497" s="0" t="n">
        <v>1910</v>
      </c>
      <c r="B1497" s="68" t="n">
        <v>45875</v>
      </c>
      <c r="C1497" s="69" t="s">
        <v>150</v>
      </c>
      <c r="D1497" s="69" t="s">
        <v>97</v>
      </c>
      <c r="E1497" s="69" t="s">
        <v>87</v>
      </c>
      <c r="F1497" s="69" t="s">
        <v>28</v>
      </c>
      <c r="G1497" s="69" t="s">
        <v>48</v>
      </c>
      <c r="H1497" s="0" t="n">
        <v>70</v>
      </c>
      <c r="I1497" s="70" t="n">
        <v>95.38</v>
      </c>
      <c r="J1497" s="70" t="n">
        <v>49.41</v>
      </c>
      <c r="K1497" s="70" t="n">
        <f aca="false">IF(ISTEXT(H1497),VALUE(H1497),H1497)*I1497</f>
        <v>6676.6</v>
      </c>
    </row>
    <row r="1498" customFormat="false" ht="15" hidden="false" customHeight="false" outlineLevel="0" collapsed="false">
      <c r="A1498" s="0" t="n">
        <v>2221</v>
      </c>
      <c r="B1498" s="69" t="s">
        <v>451</v>
      </c>
      <c r="C1498" s="69" t="s">
        <v>120</v>
      </c>
      <c r="D1498" s="69" t="s">
        <v>86</v>
      </c>
      <c r="E1498" s="69" t="s">
        <v>134</v>
      </c>
      <c r="F1498" s="69" t="s">
        <v>139</v>
      </c>
      <c r="G1498" s="69" t="s">
        <v>154</v>
      </c>
      <c r="H1498" s="0" t="n">
        <v>17</v>
      </c>
      <c r="I1498" s="70" t="n">
        <v>1204.74</v>
      </c>
      <c r="J1498" s="70" t="n">
        <v>766.32</v>
      </c>
      <c r="K1498" s="70" t="n">
        <f aca="false">IF(ISTEXT(H1498),VALUE(H1498),H1498)*I1498</f>
        <v>20480.58</v>
      </c>
    </row>
    <row r="1499" customFormat="false" ht="15" hidden="false" customHeight="false" outlineLevel="0" collapsed="false">
      <c r="A1499" s="0" t="n">
        <v>1704</v>
      </c>
      <c r="B1499" s="69" t="s">
        <v>531</v>
      </c>
      <c r="C1499" s="69" t="s">
        <v>170</v>
      </c>
      <c r="D1499" s="69" t="s">
        <v>97</v>
      </c>
      <c r="E1499" s="69" t="s">
        <v>87</v>
      </c>
      <c r="F1499" s="69" t="s">
        <v>147</v>
      </c>
      <c r="G1499" s="69" t="s">
        <v>89</v>
      </c>
      <c r="H1499" s="0" t="s">
        <v>175</v>
      </c>
      <c r="I1499" s="70" t="n">
        <v>433.15</v>
      </c>
      <c r="J1499" s="70" t="n">
        <v>280.42</v>
      </c>
      <c r="K1499" s="70" t="n">
        <f aca="false">IF(ISTEXT(H1499),VALUE(H1499),H1499)*I1499</f>
        <v>6497.25</v>
      </c>
    </row>
    <row r="1500" customFormat="false" ht="15" hidden="false" customHeight="false" outlineLevel="0" collapsed="false">
      <c r="A1500" s="0" t="n">
        <v>2103</v>
      </c>
      <c r="B1500" s="69" t="s">
        <v>655</v>
      </c>
      <c r="C1500" s="69" t="s">
        <v>170</v>
      </c>
      <c r="D1500" s="69" t="s">
        <v>97</v>
      </c>
      <c r="E1500" s="69" t="s">
        <v>134</v>
      </c>
      <c r="F1500" s="69" t="s">
        <v>88</v>
      </c>
      <c r="G1500" s="69" t="s">
        <v>43</v>
      </c>
      <c r="H1500" s="0" t="n">
        <v>21</v>
      </c>
      <c r="I1500" s="70" t="n">
        <v>451.78</v>
      </c>
      <c r="J1500" s="70" t="n">
        <v>280.42</v>
      </c>
      <c r="K1500" s="70" t="n">
        <f aca="false">IF(ISTEXT(H1500),VALUE(H1500),H1500)*I1500</f>
        <v>9487.38</v>
      </c>
    </row>
    <row r="1501" customFormat="false" ht="15" hidden="false" customHeight="false" outlineLevel="0" collapsed="false">
      <c r="A1501" s="0" t="n">
        <v>1643</v>
      </c>
      <c r="B1501" s="68" t="n">
        <v>45804</v>
      </c>
      <c r="C1501" s="69" t="s">
        <v>118</v>
      </c>
      <c r="D1501" s="69" t="s">
        <v>109</v>
      </c>
      <c r="E1501" s="69" t="s">
        <v>121</v>
      </c>
      <c r="F1501" s="69" t="s">
        <v>88</v>
      </c>
      <c r="G1501" s="69" t="s">
        <v>43</v>
      </c>
      <c r="H1501" s="0" t="n">
        <v>8</v>
      </c>
      <c r="I1501" s="70" t="n">
        <v>433.15</v>
      </c>
      <c r="J1501" s="70" t="n">
        <v>280.42</v>
      </c>
      <c r="K1501" s="70" t="n">
        <f aca="false">IF(ISTEXT(H1501),VALUE(H1501),H1501)*I1501</f>
        <v>3465.2</v>
      </c>
    </row>
    <row r="1502" customFormat="false" ht="15" hidden="false" customHeight="false" outlineLevel="0" collapsed="false">
      <c r="A1502" s="0" t="n">
        <v>2220</v>
      </c>
      <c r="B1502" s="69" t="s">
        <v>656</v>
      </c>
      <c r="C1502" s="69" t="s">
        <v>25</v>
      </c>
      <c r="D1502" s="69" t="s">
        <v>97</v>
      </c>
      <c r="E1502" s="69" t="s">
        <v>125</v>
      </c>
      <c r="F1502" s="69" t="s">
        <v>93</v>
      </c>
      <c r="G1502" s="69" t="s">
        <v>217</v>
      </c>
      <c r="H1502" s="0" t="n">
        <v>39</v>
      </c>
      <c r="I1502" s="70" t="n">
        <v>35.14</v>
      </c>
      <c r="J1502" s="70" t="n">
        <v>18.39</v>
      </c>
      <c r="K1502" s="70" t="n">
        <f aca="false">IF(ISTEXT(H1502),VALUE(H1502),H1502)*I1502</f>
        <v>1370.46</v>
      </c>
    </row>
    <row r="1503" customFormat="false" ht="15" hidden="false" customHeight="false" outlineLevel="0" collapsed="false">
      <c r="A1503" s="0" t="n">
        <v>29</v>
      </c>
      <c r="B1503" s="68" t="n">
        <v>45306</v>
      </c>
      <c r="C1503" s="69" t="s">
        <v>91</v>
      </c>
      <c r="D1503" s="69" t="s">
        <v>86</v>
      </c>
      <c r="E1503" s="69" t="s">
        <v>121</v>
      </c>
      <c r="F1503" s="69" t="s">
        <v>143</v>
      </c>
      <c r="G1503" s="69" t="s">
        <v>48</v>
      </c>
      <c r="H1503" s="0" t="n">
        <v>45</v>
      </c>
      <c r="I1503" s="70" t="n">
        <v>93.1</v>
      </c>
      <c r="J1503" s="70" t="n">
        <v>47.98</v>
      </c>
      <c r="K1503" s="70" t="n">
        <f aca="false">IF(ISTEXT(H1503),VALUE(H1503),H1503)*I1503</f>
        <v>4189.5</v>
      </c>
    </row>
    <row r="1504" customFormat="false" ht="15" hidden="false" customHeight="false" outlineLevel="0" collapsed="false">
      <c r="A1504" s="0" t="n">
        <v>2107</v>
      </c>
      <c r="B1504" s="68" t="n">
        <v>45938</v>
      </c>
      <c r="C1504" s="69" t="s">
        <v>170</v>
      </c>
      <c r="D1504" s="69" t="s">
        <v>97</v>
      </c>
      <c r="E1504" s="69" t="s">
        <v>101</v>
      </c>
      <c r="F1504" s="69" t="s">
        <v>143</v>
      </c>
      <c r="G1504" s="69" t="s">
        <v>113</v>
      </c>
      <c r="H1504" s="0" t="n">
        <v>94</v>
      </c>
      <c r="I1504" s="70" t="n">
        <v>28.11</v>
      </c>
      <c r="J1504" s="70" t="n">
        <v>13.84</v>
      </c>
      <c r="K1504" s="70" t="n">
        <f aca="false">IF(ISTEXT(H1504),VALUE(H1504),H1504)*I1504</f>
        <v>2642.34</v>
      </c>
    </row>
    <row r="1505" customFormat="false" ht="15" hidden="false" customHeight="false" outlineLevel="0" collapsed="false">
      <c r="A1505" s="0" t="n">
        <v>1946</v>
      </c>
      <c r="B1505" s="69" t="s">
        <v>500</v>
      </c>
      <c r="C1505" s="69" t="s">
        <v>118</v>
      </c>
      <c r="D1505" s="69" t="s">
        <v>109</v>
      </c>
      <c r="E1505" s="69" t="s">
        <v>180</v>
      </c>
      <c r="F1505" s="69" t="s">
        <v>88</v>
      </c>
      <c r="G1505" s="69" t="s">
        <v>157</v>
      </c>
      <c r="H1505" s="0" t="n">
        <v>5</v>
      </c>
      <c r="I1505" s="70" t="n">
        <v>1656.52</v>
      </c>
      <c r="J1505" s="70" t="n">
        <v>1155.66</v>
      </c>
      <c r="K1505" s="70" t="n">
        <f aca="false">IF(ISTEXT(H1505),VALUE(H1505),H1505)*I1505</f>
        <v>8282.6</v>
      </c>
    </row>
    <row r="1506" customFormat="false" ht="15" hidden="false" customHeight="false" outlineLevel="0" collapsed="false">
      <c r="A1506" s="0" t="n">
        <v>121</v>
      </c>
      <c r="B1506" s="68" t="n">
        <v>45333</v>
      </c>
      <c r="C1506" s="69" t="s">
        <v>159</v>
      </c>
      <c r="D1506" s="69" t="s">
        <v>86</v>
      </c>
      <c r="E1506" s="69" t="s">
        <v>121</v>
      </c>
      <c r="F1506" s="69" t="s">
        <v>147</v>
      </c>
      <c r="G1506" s="69" t="s">
        <v>41</v>
      </c>
      <c r="H1506" s="0" t="n">
        <v>10</v>
      </c>
      <c r="I1506" s="70" t="n">
        <v>1176</v>
      </c>
      <c r="J1506" s="70" t="n">
        <v>744</v>
      </c>
      <c r="K1506" s="70" t="n">
        <f aca="false">IF(ISTEXT(H1506),VALUE(H1506),H1506)*I1506</f>
        <v>11760</v>
      </c>
    </row>
    <row r="1507" customFormat="false" ht="15" hidden="false" customHeight="false" outlineLevel="0" collapsed="false">
      <c r="A1507" s="0" t="n">
        <v>2126</v>
      </c>
      <c r="B1507" s="68" t="n">
        <v>45936</v>
      </c>
      <c r="C1507" s="69" t="s">
        <v>27</v>
      </c>
      <c r="D1507" s="69" t="s">
        <v>86</v>
      </c>
      <c r="E1507" s="69" t="s">
        <v>87</v>
      </c>
      <c r="F1507" s="69" t="s">
        <v>135</v>
      </c>
      <c r="G1507" s="69" t="s">
        <v>45</v>
      </c>
      <c r="H1507" s="0" t="n">
        <v>7</v>
      </c>
      <c r="I1507" s="70" t="n">
        <v>1656.52</v>
      </c>
      <c r="J1507" s="70" t="n">
        <v>1155.66</v>
      </c>
      <c r="K1507" s="70" t="n">
        <f aca="false">IF(ISTEXT(H1507),VALUE(H1507),H1507)*I1507</f>
        <v>11595.64</v>
      </c>
    </row>
    <row r="1508" customFormat="false" ht="15" hidden="false" customHeight="false" outlineLevel="0" collapsed="false">
      <c r="A1508" s="0" t="n">
        <v>1314</v>
      </c>
      <c r="B1508" s="68" t="n">
        <v>45707</v>
      </c>
      <c r="C1508" s="69" t="s">
        <v>124</v>
      </c>
      <c r="D1508" s="69" t="s">
        <v>97</v>
      </c>
      <c r="E1508" s="69" t="s">
        <v>87</v>
      </c>
      <c r="F1508" s="69" t="s">
        <v>115</v>
      </c>
      <c r="G1508" s="69" t="s">
        <v>156</v>
      </c>
      <c r="H1508" s="0" t="n">
        <v>22</v>
      </c>
      <c r="I1508" s="70" t="n">
        <v>119.23</v>
      </c>
      <c r="J1508" s="70" t="n">
        <v>65.51</v>
      </c>
      <c r="K1508" s="70" t="n">
        <f aca="false">IF(ISTEXT(H1508),VALUE(H1508),H1508)*I1508</f>
        <v>2623.06</v>
      </c>
    </row>
    <row r="1509" customFormat="false" ht="15" hidden="false" customHeight="false" outlineLevel="0" collapsed="false">
      <c r="A1509" s="0" t="n">
        <v>880</v>
      </c>
      <c r="B1509" s="69" t="s">
        <v>657</v>
      </c>
      <c r="C1509" s="69" t="s">
        <v>136</v>
      </c>
      <c r="D1509" s="69" t="s">
        <v>137</v>
      </c>
      <c r="E1509" s="69" t="s">
        <v>180</v>
      </c>
      <c r="F1509" s="69" t="s">
        <v>93</v>
      </c>
      <c r="G1509" s="69" t="s">
        <v>217</v>
      </c>
      <c r="H1509" s="0" t="n">
        <v>6</v>
      </c>
      <c r="I1509" s="70" t="n">
        <v>34.3</v>
      </c>
      <c r="J1509" s="70" t="n">
        <v>17.85</v>
      </c>
      <c r="K1509" s="70" t="n">
        <f aca="false">IF(ISTEXT(H1509),VALUE(H1509),H1509)*I1509</f>
        <v>205.8</v>
      </c>
    </row>
    <row r="1510" customFormat="false" ht="15" hidden="false" customHeight="false" outlineLevel="0" collapsed="false">
      <c r="A1510" s="0" t="n">
        <v>1001</v>
      </c>
      <c r="B1510" s="68" t="n">
        <v>45611</v>
      </c>
      <c r="C1510" s="69" t="s">
        <v>124</v>
      </c>
      <c r="D1510" s="69" t="s">
        <v>97</v>
      </c>
      <c r="E1510" s="69" t="s">
        <v>134</v>
      </c>
      <c r="F1510" s="69" t="s">
        <v>147</v>
      </c>
      <c r="G1510" s="69" t="s">
        <v>154</v>
      </c>
      <c r="H1510" s="0" t="n">
        <v>26</v>
      </c>
      <c r="I1510" s="70" t="n">
        <v>1176</v>
      </c>
      <c r="J1510" s="70" t="n">
        <v>744</v>
      </c>
      <c r="K1510" s="70" t="n">
        <f aca="false">IF(ISTEXT(H1510),VALUE(H1510),H1510)*I1510</f>
        <v>30576</v>
      </c>
    </row>
    <row r="1511" customFormat="false" ht="15" hidden="false" customHeight="false" outlineLevel="0" collapsed="false">
      <c r="A1511" s="0" t="n">
        <v>1847</v>
      </c>
      <c r="B1511" s="68" t="n">
        <v>45862</v>
      </c>
      <c r="C1511" s="69" t="s">
        <v>30</v>
      </c>
      <c r="D1511" s="69" t="s">
        <v>109</v>
      </c>
      <c r="E1511" s="69" t="s">
        <v>138</v>
      </c>
      <c r="F1511" s="69" t="s">
        <v>155</v>
      </c>
      <c r="G1511" s="69" t="s">
        <v>103</v>
      </c>
      <c r="H1511" s="0" t="n">
        <v>36</v>
      </c>
      <c r="I1511" s="70" t="n">
        <v>28.11</v>
      </c>
      <c r="J1511" s="70" t="n">
        <v>13.84</v>
      </c>
      <c r="K1511" s="70" t="n">
        <f aca="false">IF(ISTEXT(H1511),VALUE(H1511),H1511)*I1511</f>
        <v>1011.96</v>
      </c>
    </row>
    <row r="1512" customFormat="false" ht="15" hidden="false" customHeight="false" outlineLevel="0" collapsed="false">
      <c r="A1512" s="0" t="n">
        <v>71</v>
      </c>
      <c r="B1512" s="68" t="n">
        <v>45303</v>
      </c>
      <c r="C1512" s="69" t="s">
        <v>32</v>
      </c>
      <c r="D1512" s="69" t="s">
        <v>137</v>
      </c>
      <c r="E1512" s="69" t="s">
        <v>121</v>
      </c>
      <c r="F1512" s="69" t="s">
        <v>102</v>
      </c>
      <c r="G1512" s="69" t="s">
        <v>49</v>
      </c>
      <c r="H1512" s="0" t="n">
        <v>28</v>
      </c>
      <c r="I1512" s="70" t="n">
        <v>63.7</v>
      </c>
      <c r="J1512" s="70" t="n">
        <v>35.43</v>
      </c>
      <c r="K1512" s="70" t="n">
        <f aca="false">IF(ISTEXT(H1512),VALUE(H1512),H1512)*I1512</f>
        <v>1783.6</v>
      </c>
    </row>
    <row r="1513" customFormat="false" ht="15" hidden="false" customHeight="false" outlineLevel="0" collapsed="false">
      <c r="A1513" s="0" t="n">
        <v>1217</v>
      </c>
      <c r="B1513" s="69" t="s">
        <v>438</v>
      </c>
      <c r="C1513" s="69" t="s">
        <v>96</v>
      </c>
      <c r="D1513" s="69" t="s">
        <v>97</v>
      </c>
      <c r="E1513" s="69" t="s">
        <v>138</v>
      </c>
      <c r="F1513" s="69" t="s">
        <v>93</v>
      </c>
      <c r="G1513" s="69" t="s">
        <v>52</v>
      </c>
      <c r="H1513" s="0" t="n">
        <v>45</v>
      </c>
      <c r="I1513" s="70" t="n">
        <v>129.17</v>
      </c>
      <c r="J1513" s="70" t="n">
        <v>78.33</v>
      </c>
      <c r="K1513" s="70" t="n">
        <f aca="false">IF(ISTEXT(H1513),VALUE(H1513),H1513)*I1513</f>
        <v>5812.65</v>
      </c>
    </row>
    <row r="1514" customFormat="false" ht="15" hidden="false" customHeight="false" outlineLevel="0" collapsed="false">
      <c r="A1514" s="0" t="n">
        <v>328</v>
      </c>
      <c r="B1514" s="68" t="n">
        <v>45384</v>
      </c>
      <c r="C1514" s="69" t="s">
        <v>159</v>
      </c>
      <c r="D1514" s="69" t="s">
        <v>86</v>
      </c>
      <c r="E1514" s="69" t="s">
        <v>119</v>
      </c>
      <c r="F1514" s="69" t="s">
        <v>143</v>
      </c>
      <c r="G1514" s="69" t="s">
        <v>113</v>
      </c>
      <c r="H1514" s="0" t="n">
        <v>22</v>
      </c>
      <c r="I1514" s="70" t="n">
        <v>27.44</v>
      </c>
      <c r="J1514" s="70" t="n">
        <v>13.44</v>
      </c>
      <c r="K1514" s="70" t="n">
        <f aca="false">IF(ISTEXT(H1514),VALUE(H1514),H1514)*I1514</f>
        <v>603.68</v>
      </c>
    </row>
    <row r="1515" customFormat="false" ht="15" hidden="false" customHeight="false" outlineLevel="0" collapsed="false">
      <c r="A1515" s="0" t="n">
        <v>831</v>
      </c>
      <c r="B1515" s="69" t="s">
        <v>658</v>
      </c>
      <c r="C1515" s="69" t="s">
        <v>159</v>
      </c>
      <c r="D1515" s="69" t="s">
        <v>86</v>
      </c>
      <c r="E1515" s="69" t="s">
        <v>121</v>
      </c>
      <c r="F1515" s="69" t="s">
        <v>99</v>
      </c>
      <c r="G1515" s="69" t="s">
        <v>144</v>
      </c>
      <c r="H1515" s="0" t="n">
        <v>64</v>
      </c>
      <c r="I1515" s="70" t="n">
        <v>63.7</v>
      </c>
      <c r="J1515" s="70" t="n">
        <v>35.43</v>
      </c>
      <c r="K1515" s="70" t="n">
        <f aca="false">IF(ISTEXT(H1515),VALUE(H1515),H1515)*I1515</f>
        <v>4076.8</v>
      </c>
    </row>
    <row r="1516" customFormat="false" ht="15" hidden="false" customHeight="false" outlineLevel="0" collapsed="false">
      <c r="A1516" s="0" t="n">
        <v>813</v>
      </c>
      <c r="B1516" s="68" t="n">
        <v>45557</v>
      </c>
      <c r="C1516" s="69" t="s">
        <v>124</v>
      </c>
      <c r="D1516" s="69" t="s">
        <v>97</v>
      </c>
      <c r="E1516" s="69" t="s">
        <v>110</v>
      </c>
      <c r="F1516" s="69" t="s">
        <v>31</v>
      </c>
      <c r="G1516" s="69" t="s">
        <v>171</v>
      </c>
      <c r="H1516" s="0" t="n">
        <v>43</v>
      </c>
      <c r="I1516" s="70" t="n">
        <v>117.6</v>
      </c>
      <c r="J1516" s="70" t="n">
        <v>63.6</v>
      </c>
      <c r="K1516" s="70" t="n">
        <f aca="false">IF(ISTEXT(H1516),VALUE(H1516),H1516)*I1516</f>
        <v>5056.8</v>
      </c>
    </row>
    <row r="1517" customFormat="false" ht="15" hidden="false" customHeight="false" outlineLevel="0" collapsed="false">
      <c r="A1517" s="0" t="n">
        <v>908</v>
      </c>
      <c r="B1517" s="68" t="n">
        <v>45577</v>
      </c>
      <c r="C1517" s="69" t="s">
        <v>170</v>
      </c>
      <c r="D1517" s="69" t="s">
        <v>97</v>
      </c>
      <c r="E1517" s="69" t="s">
        <v>107</v>
      </c>
      <c r="F1517" s="69" t="s">
        <v>143</v>
      </c>
      <c r="G1517" s="69" t="s">
        <v>113</v>
      </c>
      <c r="H1517" s="0" t="n">
        <v>38</v>
      </c>
      <c r="I1517" s="70" t="n">
        <v>27.44</v>
      </c>
      <c r="J1517" s="70" t="n">
        <v>13.44</v>
      </c>
      <c r="K1517" s="70" t="n">
        <f aca="false">IF(ISTEXT(H1517),VALUE(H1517),H1517)*I1517</f>
        <v>1042.72</v>
      </c>
    </row>
    <row r="1518" customFormat="false" ht="15" hidden="false" customHeight="false" outlineLevel="0" collapsed="false">
      <c r="A1518" s="0" t="n">
        <v>1292</v>
      </c>
      <c r="B1518" s="68" t="n">
        <v>45684</v>
      </c>
      <c r="C1518" s="69" t="s">
        <v>133</v>
      </c>
      <c r="D1518" s="69" t="s">
        <v>112</v>
      </c>
      <c r="E1518" s="69" t="s">
        <v>119</v>
      </c>
      <c r="F1518" s="69" t="s">
        <v>99</v>
      </c>
      <c r="G1518" s="69" t="s">
        <v>144</v>
      </c>
      <c r="H1518" s="0" t="n">
        <v>20</v>
      </c>
      <c r="I1518" s="70" t="n">
        <v>64.58</v>
      </c>
      <c r="J1518" s="70" t="n">
        <v>36.49</v>
      </c>
      <c r="K1518" s="70" t="n">
        <f aca="false">IF(ISTEXT(H1518),VALUE(H1518),H1518)*I1518</f>
        <v>1291.6</v>
      </c>
    </row>
    <row r="1519" customFormat="false" ht="15" hidden="false" customHeight="false" outlineLevel="0" collapsed="false">
      <c r="A1519" s="0" t="n">
        <v>1672</v>
      </c>
      <c r="B1519" s="68" t="n">
        <v>45791</v>
      </c>
      <c r="C1519" s="69" t="s">
        <v>32</v>
      </c>
      <c r="D1519" s="69" t="s">
        <v>137</v>
      </c>
      <c r="E1519" s="69" t="s">
        <v>107</v>
      </c>
      <c r="F1519" s="69" t="s">
        <v>143</v>
      </c>
      <c r="G1519" s="69" t="s">
        <v>144</v>
      </c>
      <c r="H1519" s="0" t="n">
        <v>19</v>
      </c>
      <c r="I1519" s="70" t="n">
        <v>64.58</v>
      </c>
      <c r="J1519" s="70" t="n">
        <v>36.49</v>
      </c>
      <c r="K1519" s="70" t="n">
        <f aca="false">IF(ISTEXT(H1519),VALUE(H1519),H1519)*I1519</f>
        <v>1227.02</v>
      </c>
    </row>
    <row r="1520" customFormat="false" ht="15" hidden="false" customHeight="false" outlineLevel="0" collapsed="false">
      <c r="A1520" s="0" t="n">
        <v>1993</v>
      </c>
      <c r="B1520" s="69" t="s">
        <v>659</v>
      </c>
      <c r="C1520" s="69" t="s">
        <v>133</v>
      </c>
      <c r="D1520" s="69" t="s">
        <v>112</v>
      </c>
      <c r="E1520" s="69" t="s">
        <v>92</v>
      </c>
      <c r="F1520" s="69" t="s">
        <v>162</v>
      </c>
      <c r="G1520" s="69" t="s">
        <v>50</v>
      </c>
      <c r="H1520" s="0" t="n">
        <v>12</v>
      </c>
      <c r="I1520" s="70" t="n">
        <v>120.47</v>
      </c>
      <c r="J1520" s="70" t="n">
        <v>65.51</v>
      </c>
      <c r="K1520" s="70" t="n">
        <f aca="false">IF(ISTEXT(H1520),VALUE(H1520),H1520)*I1520</f>
        <v>1445.64</v>
      </c>
    </row>
    <row r="1521" customFormat="false" ht="15" hidden="false" customHeight="false" outlineLevel="0" collapsed="false">
      <c r="A1521" s="0" t="n">
        <v>30</v>
      </c>
      <c r="B1521" s="69" t="s">
        <v>660</v>
      </c>
      <c r="C1521" s="69" t="s">
        <v>27</v>
      </c>
      <c r="D1521" s="69" t="s">
        <v>86</v>
      </c>
      <c r="E1521" s="69" t="s">
        <v>98</v>
      </c>
      <c r="F1521" s="69" t="s">
        <v>155</v>
      </c>
      <c r="G1521" s="69" t="s">
        <v>172</v>
      </c>
      <c r="H1521" s="0" t="n">
        <v>17</v>
      </c>
      <c r="I1521" s="70" t="n">
        <v>93.1</v>
      </c>
      <c r="J1521" s="70" t="n">
        <v>47.98</v>
      </c>
      <c r="K1521" s="70" t="n">
        <f aca="false">IF(ISTEXT(H1521),VALUE(H1521),H1521)*I1521</f>
        <v>1582.7</v>
      </c>
    </row>
    <row r="1522" customFormat="false" ht="15" hidden="false" customHeight="false" outlineLevel="0" collapsed="false">
      <c r="A1522" s="0" t="n">
        <v>415</v>
      </c>
      <c r="B1522" s="69" t="s">
        <v>661</v>
      </c>
      <c r="C1522" s="69" t="s">
        <v>124</v>
      </c>
      <c r="D1522" s="69" t="s">
        <v>97</v>
      </c>
      <c r="E1522" s="69" t="s">
        <v>92</v>
      </c>
      <c r="F1522" s="69" t="s">
        <v>162</v>
      </c>
      <c r="G1522" s="69" t="s">
        <v>51</v>
      </c>
      <c r="H1522" s="0" t="n">
        <v>44</v>
      </c>
      <c r="I1522" s="70" t="n">
        <v>83.3</v>
      </c>
      <c r="J1522" s="70" t="n">
        <v>48.03</v>
      </c>
      <c r="K1522" s="70" t="n">
        <f aca="false">IF(ISTEXT(H1522),VALUE(H1522),H1522)*I1522</f>
        <v>3665.2</v>
      </c>
    </row>
    <row r="1523" customFormat="false" ht="15" hidden="false" customHeight="false" outlineLevel="0" collapsed="false">
      <c r="A1523" s="0" t="n">
        <v>1461</v>
      </c>
      <c r="B1523" s="68" t="n">
        <v>45738</v>
      </c>
      <c r="C1523" s="69" t="s">
        <v>32</v>
      </c>
      <c r="D1523" s="69"/>
      <c r="E1523" s="69" t="s">
        <v>92</v>
      </c>
      <c r="F1523" s="69" t="s">
        <v>139</v>
      </c>
      <c r="G1523" s="69" t="s">
        <v>151</v>
      </c>
      <c r="H1523" s="0" t="n">
        <v>5</v>
      </c>
      <c r="I1523" s="70" t="n">
        <v>1155.06</v>
      </c>
      <c r="J1523" s="70" t="n">
        <v>766.32</v>
      </c>
      <c r="K1523" s="70" t="n">
        <f aca="false">IF(ISTEXT(H1523),VALUE(H1523),H1523)*I1523</f>
        <v>5775.3</v>
      </c>
    </row>
    <row r="1524" customFormat="false" ht="15" hidden="false" customHeight="false" outlineLevel="0" collapsed="false">
      <c r="A1524" s="0" t="n">
        <v>17</v>
      </c>
      <c r="B1524" s="68" t="n">
        <v>45303</v>
      </c>
      <c r="C1524" s="69" t="s">
        <v>96</v>
      </c>
      <c r="D1524" s="69" t="s">
        <v>97</v>
      </c>
      <c r="E1524" s="69" t="s">
        <v>92</v>
      </c>
      <c r="F1524" s="69" t="s">
        <v>93</v>
      </c>
      <c r="G1524" s="69" t="s">
        <v>127</v>
      </c>
      <c r="H1524" s="0" t="n">
        <v>49</v>
      </c>
      <c r="I1524" s="70" t="n">
        <v>127.4</v>
      </c>
      <c r="J1524" s="70" t="n">
        <v>76.05</v>
      </c>
      <c r="K1524" s="70" t="n">
        <f aca="false">IF(ISTEXT(H1524),VALUE(H1524),H1524)*I1524</f>
        <v>6242.6</v>
      </c>
    </row>
    <row r="1525" customFormat="false" ht="15" hidden="false" customHeight="false" outlineLevel="0" collapsed="false">
      <c r="A1525" s="0" t="n">
        <v>873</v>
      </c>
      <c r="B1525" s="68" t="n">
        <v>45545</v>
      </c>
      <c r="C1525" s="69" t="s">
        <v>184</v>
      </c>
      <c r="D1525" s="69" t="s">
        <v>137</v>
      </c>
      <c r="E1525" s="69" t="s">
        <v>138</v>
      </c>
      <c r="F1525" s="69" t="s">
        <v>31</v>
      </c>
      <c r="G1525" s="69" t="s">
        <v>171</v>
      </c>
      <c r="H1525" s="0" t="n">
        <v>13</v>
      </c>
      <c r="I1525" s="70" t="n">
        <v>117.6</v>
      </c>
      <c r="J1525" s="70" t="n">
        <v>63.6</v>
      </c>
      <c r="K1525" s="70" t="n">
        <f aca="false">IF(ISTEXT(H1525),VALUE(H1525),H1525)*I1525</f>
        <v>1528.8</v>
      </c>
    </row>
    <row r="1526" customFormat="false" ht="15" hidden="false" customHeight="false" outlineLevel="0" collapsed="false">
      <c r="A1526" s="0" t="n">
        <v>917</v>
      </c>
      <c r="B1526" s="69" t="s">
        <v>194</v>
      </c>
      <c r="C1526" s="69" t="s">
        <v>124</v>
      </c>
      <c r="D1526" s="69" t="s">
        <v>97</v>
      </c>
      <c r="E1526" s="69" t="s">
        <v>134</v>
      </c>
      <c r="F1526" s="69" t="s">
        <v>183</v>
      </c>
      <c r="G1526" s="69" t="s">
        <v>130</v>
      </c>
      <c r="H1526" s="0" t="n">
        <v>67</v>
      </c>
      <c r="I1526" s="70" t="n">
        <v>127.4</v>
      </c>
      <c r="J1526" s="70" t="n">
        <v>76.05</v>
      </c>
      <c r="K1526" s="70" t="n">
        <f aca="false">IF(ISTEXT(H1526),VALUE(H1526),H1526)*I1526</f>
        <v>8535.8</v>
      </c>
    </row>
    <row r="1527" customFormat="false" ht="15" hidden="false" customHeight="false" outlineLevel="0" collapsed="false">
      <c r="A1527" s="0" t="n">
        <v>1592</v>
      </c>
      <c r="B1527" s="68" t="n">
        <v>45768</v>
      </c>
      <c r="C1527" s="69" t="s">
        <v>142</v>
      </c>
      <c r="D1527" s="69" t="s">
        <v>112</v>
      </c>
      <c r="E1527" s="69" t="s">
        <v>180</v>
      </c>
      <c r="F1527" s="69" t="s">
        <v>155</v>
      </c>
      <c r="G1527" s="69" t="s">
        <v>49</v>
      </c>
      <c r="H1527" s="0" t="n">
        <v>21</v>
      </c>
      <c r="I1527" s="70" t="n">
        <v>64.58</v>
      </c>
      <c r="J1527" s="70" t="n">
        <v>36.49</v>
      </c>
      <c r="K1527" s="70" t="n">
        <f aca="false">IF(ISTEXT(H1527),VALUE(H1527),H1527)*I1527</f>
        <v>1356.18</v>
      </c>
    </row>
    <row r="1528" customFormat="false" ht="15" hidden="false" customHeight="false" outlineLevel="0" collapsed="false">
      <c r="A1528" s="0" t="n">
        <v>2315</v>
      </c>
      <c r="B1528" s="68" t="n">
        <v>45997</v>
      </c>
      <c r="C1528" s="69" t="s">
        <v>96</v>
      </c>
      <c r="D1528" s="69" t="s">
        <v>97</v>
      </c>
      <c r="E1528" s="69" t="s">
        <v>92</v>
      </c>
      <c r="F1528" s="69" t="s">
        <v>166</v>
      </c>
      <c r="G1528" s="69" t="s">
        <v>51</v>
      </c>
      <c r="H1528" s="0" t="n">
        <v>68</v>
      </c>
      <c r="I1528" s="70" t="n">
        <v>85.34</v>
      </c>
      <c r="J1528" s="70" t="n">
        <v>49.47</v>
      </c>
      <c r="K1528" s="70" t="n">
        <f aca="false">IF(ISTEXT(H1528),VALUE(H1528),H1528)*I1528</f>
        <v>5803.12</v>
      </c>
    </row>
    <row r="1529" customFormat="false" ht="15" hidden="false" customHeight="false" outlineLevel="0" collapsed="false">
      <c r="A1529" s="0" t="n">
        <v>924</v>
      </c>
      <c r="B1529" s="68" t="n">
        <v>45581</v>
      </c>
      <c r="C1529" s="69" t="s">
        <v>91</v>
      </c>
      <c r="D1529" s="69" t="s">
        <v>86</v>
      </c>
      <c r="E1529" s="69" t="s">
        <v>119</v>
      </c>
      <c r="F1529" s="69" t="s">
        <v>135</v>
      </c>
      <c r="G1529" s="69" t="s">
        <v>89</v>
      </c>
      <c r="H1529" s="0" t="s">
        <v>627</v>
      </c>
      <c r="I1529" s="70" t="n">
        <v>441</v>
      </c>
      <c r="J1529" s="70" t="n">
        <v>272.25</v>
      </c>
      <c r="K1529" s="70" t="n">
        <f aca="false">IF(ISTEXT(H1529),VALUE(H1529),H1529)*I1529</f>
        <v>2205</v>
      </c>
    </row>
    <row r="1530" customFormat="false" ht="15" hidden="false" customHeight="false" outlineLevel="0" collapsed="false">
      <c r="A1530" s="0" t="n">
        <v>1710</v>
      </c>
      <c r="B1530" s="68" t="n">
        <v>45818</v>
      </c>
      <c r="C1530" s="69" t="s">
        <v>96</v>
      </c>
      <c r="D1530" s="69" t="s">
        <v>97</v>
      </c>
      <c r="E1530" s="69" t="s">
        <v>180</v>
      </c>
      <c r="F1530" s="69" t="s">
        <v>155</v>
      </c>
      <c r="G1530" s="69" t="s">
        <v>172</v>
      </c>
      <c r="H1530" s="0" t="n">
        <v>72</v>
      </c>
      <c r="I1530" s="70" t="n">
        <v>94.39</v>
      </c>
      <c r="J1530" s="70" t="n">
        <v>49.41</v>
      </c>
      <c r="K1530" s="70" t="n">
        <f aca="false">IF(ISTEXT(H1530),VALUE(H1530),H1530)*I1530</f>
        <v>6796.08</v>
      </c>
    </row>
    <row r="1531" customFormat="false" ht="15" hidden="false" customHeight="false" outlineLevel="0" collapsed="false">
      <c r="A1531" s="0" t="n">
        <v>1294</v>
      </c>
      <c r="B1531" s="68" t="n">
        <v>45671</v>
      </c>
      <c r="C1531" s="69" t="s">
        <v>133</v>
      </c>
      <c r="D1531" s="69" t="s">
        <v>112</v>
      </c>
      <c r="E1531" s="69" t="s">
        <v>98</v>
      </c>
      <c r="F1531" s="69" t="s">
        <v>31</v>
      </c>
      <c r="G1531" s="69" t="s">
        <v>171</v>
      </c>
      <c r="H1531" s="0" t="n">
        <v>7</v>
      </c>
      <c r="I1531" s="70" t="n">
        <v>119.23</v>
      </c>
      <c r="J1531" s="70" t="n">
        <v>65.51</v>
      </c>
      <c r="K1531" s="70" t="n">
        <f aca="false">IF(ISTEXT(H1531),VALUE(H1531),H1531)*I1531</f>
        <v>834.61</v>
      </c>
    </row>
    <row r="1532" customFormat="false" ht="15" hidden="false" customHeight="false" outlineLevel="0" collapsed="false">
      <c r="A1532" s="0" t="n">
        <v>1951</v>
      </c>
      <c r="B1532" s="68" t="n">
        <v>45892</v>
      </c>
      <c r="C1532" s="69" t="s">
        <v>152</v>
      </c>
      <c r="D1532" s="69" t="s">
        <v>109</v>
      </c>
      <c r="E1532" s="69" t="s">
        <v>134</v>
      </c>
      <c r="F1532" s="69" t="s">
        <v>143</v>
      </c>
      <c r="G1532" s="69" t="s">
        <v>144</v>
      </c>
      <c r="H1532" s="0" t="n">
        <v>34</v>
      </c>
      <c r="I1532" s="70" t="n">
        <v>65.26</v>
      </c>
      <c r="J1532" s="70" t="n">
        <v>36.49</v>
      </c>
      <c r="K1532" s="70" t="n">
        <f aca="false">IF(ISTEXT(H1532),VALUE(H1532),H1532)*I1532</f>
        <v>2218.84</v>
      </c>
    </row>
    <row r="1533" customFormat="false" ht="15" hidden="false" customHeight="false" outlineLevel="0" collapsed="false">
      <c r="A1533" s="0" t="n">
        <v>730</v>
      </c>
      <c r="B1533" s="68" t="n">
        <v>45512</v>
      </c>
      <c r="C1533" s="69" t="s">
        <v>91</v>
      </c>
      <c r="D1533" s="69" t="s">
        <v>86</v>
      </c>
      <c r="E1533" s="69" t="s">
        <v>119</v>
      </c>
      <c r="F1533" s="69" t="s">
        <v>28</v>
      </c>
      <c r="G1533" s="69" t="s">
        <v>172</v>
      </c>
      <c r="H1533" s="0" t="n">
        <v>25</v>
      </c>
      <c r="I1533" s="70" t="n">
        <v>93.1</v>
      </c>
      <c r="J1533" s="70" t="n">
        <v>47.98</v>
      </c>
      <c r="K1533" s="70" t="n">
        <f aca="false">IF(ISTEXT(H1533),VALUE(H1533),H1533)*I1533</f>
        <v>2327.5</v>
      </c>
    </row>
    <row r="1534" customFormat="false" ht="15" hidden="false" customHeight="false" outlineLevel="0" collapsed="false">
      <c r="A1534" s="0" t="n">
        <v>2035</v>
      </c>
      <c r="B1534" s="69" t="s">
        <v>662</v>
      </c>
      <c r="C1534" s="69" t="s">
        <v>120</v>
      </c>
      <c r="D1534" s="69" t="s">
        <v>86</v>
      </c>
      <c r="E1534" s="69" t="s">
        <v>121</v>
      </c>
      <c r="F1534" s="69" t="s">
        <v>162</v>
      </c>
      <c r="G1534" s="69" t="s">
        <v>51</v>
      </c>
      <c r="H1534" s="0" t="n">
        <v>24</v>
      </c>
      <c r="I1534" s="70" t="n">
        <v>85.34</v>
      </c>
      <c r="J1534" s="70" t="n">
        <v>49.47</v>
      </c>
      <c r="K1534" s="70" t="n">
        <f aca="false">IF(ISTEXT(H1534),VALUE(H1534),H1534)*I1534</f>
        <v>2048.16</v>
      </c>
    </row>
    <row r="1535" customFormat="false" ht="15" hidden="false" customHeight="false" outlineLevel="0" collapsed="false">
      <c r="A1535" s="0" t="n">
        <v>1324</v>
      </c>
      <c r="B1535" s="69" t="s">
        <v>663</v>
      </c>
      <c r="C1535" s="69" t="s">
        <v>159</v>
      </c>
      <c r="D1535" s="69" t="s">
        <v>86</v>
      </c>
      <c r="E1535" s="69" t="s">
        <v>87</v>
      </c>
      <c r="F1535" s="69" t="s">
        <v>147</v>
      </c>
      <c r="G1535" s="69" t="s">
        <v>43</v>
      </c>
      <c r="H1535" s="0" t="s">
        <v>229</v>
      </c>
      <c r="I1535" s="70" t="n">
        <v>433.15</v>
      </c>
      <c r="J1535" s="70" t="n">
        <v>280.42</v>
      </c>
      <c r="K1535" s="70" t="n">
        <f aca="false">IF(ISTEXT(H1535),VALUE(H1535),H1535)*I1535</f>
        <v>3032.05</v>
      </c>
    </row>
    <row r="1536" customFormat="false" ht="15" hidden="false" customHeight="false" outlineLevel="0" collapsed="false">
      <c r="A1536" s="0" t="n">
        <v>1288</v>
      </c>
      <c r="B1536" s="68" t="n">
        <v>45683</v>
      </c>
      <c r="C1536" s="69" t="s">
        <v>34</v>
      </c>
      <c r="D1536" s="69" t="s">
        <v>112</v>
      </c>
      <c r="E1536" s="69" t="s">
        <v>107</v>
      </c>
      <c r="F1536" s="69" t="s">
        <v>99</v>
      </c>
      <c r="G1536" s="69" t="s">
        <v>47</v>
      </c>
      <c r="H1536" s="0" t="n">
        <v>20</v>
      </c>
      <c r="I1536" s="70" t="n">
        <v>27.82</v>
      </c>
      <c r="J1536" s="70" t="n">
        <v>13.84</v>
      </c>
      <c r="K1536" s="70" t="n">
        <f aca="false">IF(ISTEXT(H1536),VALUE(H1536),H1536)*I1536</f>
        <v>556.4</v>
      </c>
    </row>
    <row r="1537" customFormat="false" ht="15" hidden="false" customHeight="false" outlineLevel="0" collapsed="false">
      <c r="A1537" s="0" t="n">
        <v>137</v>
      </c>
      <c r="B1537" s="68" t="n">
        <v>45337</v>
      </c>
      <c r="C1537" s="69" t="s">
        <v>91</v>
      </c>
      <c r="D1537" s="69" t="s">
        <v>86</v>
      </c>
      <c r="E1537" s="69" t="s">
        <v>101</v>
      </c>
      <c r="F1537" s="69" t="s">
        <v>93</v>
      </c>
      <c r="G1537" s="69" t="s">
        <v>130</v>
      </c>
      <c r="H1537" s="0" t="n">
        <v>24</v>
      </c>
      <c r="I1537" s="70" t="n">
        <v>127.4</v>
      </c>
      <c r="J1537" s="70" t="n">
        <v>76.05</v>
      </c>
      <c r="K1537" s="70" t="n">
        <f aca="false">IF(ISTEXT(H1537),VALUE(H1537),H1537)*I1537</f>
        <v>3057.6</v>
      </c>
    </row>
    <row r="1538" customFormat="false" ht="15" hidden="false" customHeight="false" outlineLevel="0" collapsed="false">
      <c r="A1538" s="0" t="n">
        <v>348</v>
      </c>
      <c r="B1538" s="69" t="s">
        <v>346</v>
      </c>
      <c r="C1538" s="69" t="s">
        <v>30</v>
      </c>
      <c r="D1538" s="69" t="s">
        <v>109</v>
      </c>
      <c r="E1538" s="69" t="s">
        <v>98</v>
      </c>
      <c r="F1538" s="69" t="s">
        <v>102</v>
      </c>
      <c r="G1538" s="69" t="s">
        <v>103</v>
      </c>
      <c r="H1538" s="0" t="n">
        <v>14</v>
      </c>
      <c r="I1538" s="70" t="n">
        <v>27.44</v>
      </c>
      <c r="J1538" s="70" t="n">
        <v>13.44</v>
      </c>
      <c r="K1538" s="70" t="n">
        <f aca="false">IF(ISTEXT(H1538),VALUE(H1538),H1538)*I1538</f>
        <v>384.16</v>
      </c>
    </row>
    <row r="1539" customFormat="false" ht="15" hidden="false" customHeight="false" outlineLevel="0" collapsed="false">
      <c r="A1539" s="0" t="n">
        <v>226</v>
      </c>
      <c r="B1539" s="69" t="s">
        <v>664</v>
      </c>
      <c r="C1539" s="69" t="s">
        <v>91</v>
      </c>
      <c r="D1539" s="69" t="s">
        <v>86</v>
      </c>
      <c r="E1539" s="69" t="s">
        <v>180</v>
      </c>
      <c r="F1539" s="69" t="s">
        <v>88</v>
      </c>
      <c r="G1539" s="69" t="s">
        <v>45</v>
      </c>
      <c r="H1539" s="0" t="n">
        <v>5</v>
      </c>
      <c r="I1539" s="70" t="n">
        <v>1617</v>
      </c>
      <c r="J1539" s="70" t="n">
        <v>1122</v>
      </c>
      <c r="K1539" s="70" t="n">
        <f aca="false">IF(ISTEXT(H1539),VALUE(H1539),H1539)*I1539</f>
        <v>8085</v>
      </c>
    </row>
    <row r="1540" customFormat="false" ht="15" hidden="false" customHeight="false" outlineLevel="0" collapsed="false">
      <c r="A1540" s="0" t="n">
        <v>848</v>
      </c>
      <c r="B1540" s="68" t="n">
        <v>45559</v>
      </c>
      <c r="C1540" s="69" t="s">
        <v>152</v>
      </c>
      <c r="D1540" s="69" t="s">
        <v>109</v>
      </c>
      <c r="E1540" s="69" t="s">
        <v>125</v>
      </c>
      <c r="F1540" s="69" t="s">
        <v>99</v>
      </c>
      <c r="G1540" s="69" t="s">
        <v>113</v>
      </c>
      <c r="H1540" s="0" t="n">
        <v>16</v>
      </c>
      <c r="I1540" s="70" t="n">
        <v>27.44</v>
      </c>
      <c r="J1540" s="70" t="n">
        <v>13.44</v>
      </c>
      <c r="K1540" s="70" t="n">
        <f aca="false">IF(ISTEXT(H1540),VALUE(H1540),H1540)*I1540</f>
        <v>439.04</v>
      </c>
    </row>
    <row r="1541" customFormat="false" ht="15" hidden="false" customHeight="false" outlineLevel="0" collapsed="false">
      <c r="A1541" s="0" t="n">
        <v>1552</v>
      </c>
      <c r="B1541" s="69" t="s">
        <v>665</v>
      </c>
      <c r="C1541" s="69" t="s">
        <v>30</v>
      </c>
      <c r="D1541" s="69" t="s">
        <v>109</v>
      </c>
      <c r="E1541" s="69" t="s">
        <v>180</v>
      </c>
      <c r="F1541" s="69" t="s">
        <v>28</v>
      </c>
      <c r="G1541" s="69" t="s">
        <v>49</v>
      </c>
      <c r="H1541" s="0" t="n">
        <v>21</v>
      </c>
      <c r="I1541" s="70" t="n">
        <v>64.58</v>
      </c>
      <c r="J1541" s="70" t="n">
        <v>36.49</v>
      </c>
      <c r="K1541" s="70" t="n">
        <f aca="false">IF(ISTEXT(H1541),VALUE(H1541),H1541)*I1541</f>
        <v>1356.18</v>
      </c>
    </row>
    <row r="1542" customFormat="false" ht="15" hidden="false" customHeight="false" outlineLevel="0" collapsed="false">
      <c r="A1542" s="0" t="n">
        <v>440</v>
      </c>
      <c r="B1542" s="69" t="s">
        <v>666</v>
      </c>
      <c r="C1542" s="69" t="s">
        <v>27</v>
      </c>
      <c r="D1542" s="69" t="s">
        <v>86</v>
      </c>
      <c r="E1542" s="69" t="s">
        <v>125</v>
      </c>
      <c r="F1542" s="69" t="s">
        <v>168</v>
      </c>
      <c r="G1542" s="69" t="s">
        <v>53</v>
      </c>
      <c r="H1542" s="0" t="n">
        <v>12</v>
      </c>
      <c r="I1542" s="70" t="n">
        <v>34.3</v>
      </c>
      <c r="J1542" s="70" t="n">
        <v>17.85</v>
      </c>
      <c r="K1542" s="70" t="n">
        <f aca="false">IF(ISTEXT(H1542),VALUE(H1542),H1542)*I1542</f>
        <v>411.6</v>
      </c>
    </row>
    <row r="1543" customFormat="false" ht="15" hidden="false" customHeight="false" outlineLevel="0" collapsed="false">
      <c r="A1543" s="0" t="n">
        <v>1714</v>
      </c>
      <c r="B1543" s="69" t="s">
        <v>227</v>
      </c>
      <c r="C1543" s="69" t="s">
        <v>170</v>
      </c>
      <c r="D1543" s="69" t="s">
        <v>97</v>
      </c>
      <c r="E1543" s="69" t="s">
        <v>107</v>
      </c>
      <c r="F1543" s="69" t="s">
        <v>31</v>
      </c>
      <c r="G1543" s="69" t="s">
        <v>50</v>
      </c>
      <c r="H1543" s="0" t="n">
        <v>36</v>
      </c>
      <c r="I1543" s="70" t="n">
        <v>119.23</v>
      </c>
      <c r="J1543" s="70" t="n">
        <v>65.51</v>
      </c>
      <c r="K1543" s="70" t="n">
        <f aca="false">IF(ISTEXT(H1543),VALUE(H1543),H1543)*I1543</f>
        <v>4292.28</v>
      </c>
    </row>
    <row r="1544" customFormat="false" ht="15" hidden="false" customHeight="false" outlineLevel="0" collapsed="false">
      <c r="A1544" s="0" t="n">
        <v>1642</v>
      </c>
      <c r="B1544" s="68" t="n">
        <v>45797</v>
      </c>
      <c r="C1544" s="69" t="s">
        <v>30</v>
      </c>
      <c r="D1544" s="69" t="s">
        <v>109</v>
      </c>
      <c r="E1544" s="69" t="s">
        <v>98</v>
      </c>
      <c r="F1544" s="69" t="s">
        <v>135</v>
      </c>
      <c r="G1544" s="69" t="s">
        <v>154</v>
      </c>
      <c r="H1544" s="0" t="n">
        <v>6</v>
      </c>
      <c r="I1544" s="70" t="n">
        <v>1155.06</v>
      </c>
      <c r="J1544" s="70" t="n">
        <v>766.32</v>
      </c>
      <c r="K1544" s="70" t="n">
        <f aca="false">IF(ISTEXT(H1544),VALUE(H1544),H1544)*I1544</f>
        <v>6930.36</v>
      </c>
    </row>
    <row r="1545" customFormat="false" ht="15" hidden="false" customHeight="false" outlineLevel="0" collapsed="false">
      <c r="A1545" s="0" t="n">
        <v>2297</v>
      </c>
      <c r="B1545" s="68" t="n">
        <v>45976</v>
      </c>
      <c r="C1545" s="69" t="s">
        <v>142</v>
      </c>
      <c r="D1545" s="69" t="s">
        <v>112</v>
      </c>
      <c r="E1545" s="69" t="s">
        <v>138</v>
      </c>
      <c r="F1545" s="69" t="s">
        <v>182</v>
      </c>
      <c r="G1545" s="69" t="s">
        <v>130</v>
      </c>
      <c r="H1545" s="0" t="n">
        <v>24</v>
      </c>
      <c r="I1545" s="70" t="n">
        <v>130.51</v>
      </c>
      <c r="J1545" s="70" t="n">
        <v>78.33</v>
      </c>
      <c r="K1545" s="70" t="n">
        <f aca="false">IF(ISTEXT(H1545),VALUE(H1545),H1545)*I1545</f>
        <v>3132.24</v>
      </c>
    </row>
    <row r="1546" customFormat="false" ht="15" hidden="false" customHeight="false" outlineLevel="0" collapsed="false">
      <c r="A1546" s="0" t="n">
        <v>2177</v>
      </c>
      <c r="B1546" s="68" t="n">
        <v>45942</v>
      </c>
      <c r="C1546" s="69" t="s">
        <v>193</v>
      </c>
      <c r="D1546" s="69" t="s">
        <v>137</v>
      </c>
      <c r="E1546" s="69" t="s">
        <v>138</v>
      </c>
      <c r="F1546" s="69" t="s">
        <v>182</v>
      </c>
      <c r="G1546" s="69" t="s">
        <v>127</v>
      </c>
      <c r="H1546" s="0" t="n">
        <v>18</v>
      </c>
      <c r="I1546" s="70" t="n">
        <v>130.51</v>
      </c>
      <c r="J1546" s="70" t="n">
        <v>78.33</v>
      </c>
      <c r="K1546" s="70" t="n">
        <f aca="false">IF(ISTEXT(H1546),VALUE(H1546),H1546)*I1546</f>
        <v>2349.18</v>
      </c>
    </row>
    <row r="1547" customFormat="false" ht="15" hidden="false" customHeight="false" outlineLevel="0" collapsed="false">
      <c r="A1547" s="0" t="n">
        <v>11</v>
      </c>
      <c r="B1547" s="68" t="n">
        <v>45315</v>
      </c>
      <c r="C1547" s="69" t="s">
        <v>25</v>
      </c>
      <c r="D1547" s="69" t="s">
        <v>97</v>
      </c>
      <c r="E1547" s="69" t="s">
        <v>101</v>
      </c>
      <c r="F1547" s="69" t="s">
        <v>28</v>
      </c>
      <c r="G1547" s="69" t="s">
        <v>144</v>
      </c>
      <c r="H1547" s="0" t="n">
        <v>98</v>
      </c>
      <c r="I1547" s="70" t="n">
        <v>63.7</v>
      </c>
      <c r="J1547" s="70" t="n">
        <v>35.43</v>
      </c>
      <c r="K1547" s="70" t="n">
        <f aca="false">IF(ISTEXT(H1547),VALUE(H1547),H1547)*I1547</f>
        <v>6242.6</v>
      </c>
    </row>
    <row r="1548" customFormat="false" ht="15" hidden="false" customHeight="false" outlineLevel="0" collapsed="false">
      <c r="A1548" s="0" t="n">
        <v>1032</v>
      </c>
      <c r="B1548" s="69" t="s">
        <v>332</v>
      </c>
      <c r="C1548" s="69" t="s">
        <v>91</v>
      </c>
      <c r="D1548" s="69" t="s">
        <v>86</v>
      </c>
      <c r="E1548" s="69" t="s">
        <v>87</v>
      </c>
      <c r="F1548" s="69" t="s">
        <v>99</v>
      </c>
      <c r="G1548" s="69" t="s">
        <v>49</v>
      </c>
      <c r="H1548" s="0" t="n">
        <v>24</v>
      </c>
      <c r="I1548" s="70" t="n">
        <v>63.7</v>
      </c>
      <c r="J1548" s="70" t="n">
        <v>35.43</v>
      </c>
      <c r="K1548" s="70" t="n">
        <f aca="false">IF(ISTEXT(H1548),VALUE(H1548),H1548)*I1548</f>
        <v>1528.8</v>
      </c>
    </row>
    <row r="1549" customFormat="false" ht="15" hidden="false" customHeight="false" outlineLevel="0" collapsed="false">
      <c r="A1549" s="0" t="n">
        <v>1673</v>
      </c>
      <c r="B1549" s="68" t="n">
        <v>45798</v>
      </c>
      <c r="C1549" s="69" t="s">
        <v>136</v>
      </c>
      <c r="D1549" s="69" t="s">
        <v>137</v>
      </c>
      <c r="E1549" s="69" t="s">
        <v>138</v>
      </c>
      <c r="F1549" s="69" t="s">
        <v>166</v>
      </c>
      <c r="G1549" s="69" t="s">
        <v>156</v>
      </c>
      <c r="H1549" s="0" t="n">
        <v>15</v>
      </c>
      <c r="I1549" s="70" t="n">
        <v>119.23</v>
      </c>
      <c r="J1549" s="70" t="n">
        <v>65.51</v>
      </c>
      <c r="K1549" s="70" t="n">
        <f aca="false">IF(ISTEXT(H1549),VALUE(H1549),H1549)*I1549</f>
        <v>1788.45</v>
      </c>
    </row>
    <row r="1550" customFormat="false" ht="15" hidden="false" customHeight="false" outlineLevel="0" collapsed="false">
      <c r="A1550" s="0" t="n">
        <v>1708</v>
      </c>
      <c r="B1550" s="69" t="s">
        <v>599</v>
      </c>
      <c r="C1550" s="69" t="s">
        <v>150</v>
      </c>
      <c r="D1550" s="69" t="s">
        <v>97</v>
      </c>
      <c r="E1550" s="69" t="s">
        <v>180</v>
      </c>
      <c r="F1550" s="69" t="s">
        <v>28</v>
      </c>
      <c r="G1550" s="69" t="s">
        <v>47</v>
      </c>
      <c r="H1550" s="0" t="n">
        <v>79</v>
      </c>
      <c r="I1550" s="70" t="n">
        <v>27.82</v>
      </c>
      <c r="J1550" s="70" t="n">
        <v>13.84</v>
      </c>
      <c r="K1550" s="70" t="n">
        <f aca="false">IF(ISTEXT(H1550),VALUE(H1550),H1550)*I1550</f>
        <v>2197.78</v>
      </c>
    </row>
    <row r="1551" customFormat="false" ht="15" hidden="false" customHeight="false" outlineLevel="0" collapsed="false">
      <c r="A1551" s="0" t="n">
        <v>1505</v>
      </c>
      <c r="B1551" s="69" t="s">
        <v>465</v>
      </c>
      <c r="C1551" s="69" t="s">
        <v>150</v>
      </c>
      <c r="D1551" s="69" t="s">
        <v>97</v>
      </c>
      <c r="E1551" s="69" t="s">
        <v>92</v>
      </c>
      <c r="F1551" s="69" t="s">
        <v>88</v>
      </c>
      <c r="G1551" s="69" t="s">
        <v>157</v>
      </c>
      <c r="H1551" s="0" t="n">
        <v>21</v>
      </c>
      <c r="I1551" s="70" t="n">
        <v>1588.21</v>
      </c>
      <c r="J1551" s="70" t="n">
        <v>1155.66</v>
      </c>
      <c r="K1551" s="70" t="n">
        <f aca="false">IF(ISTEXT(H1551),VALUE(H1551),H1551)*I1551</f>
        <v>33352.41</v>
      </c>
    </row>
    <row r="1552" customFormat="false" ht="15" hidden="false" customHeight="false" outlineLevel="0" collapsed="false">
      <c r="A1552" s="0" t="n">
        <v>747</v>
      </c>
      <c r="B1552" s="68" t="n">
        <v>45523</v>
      </c>
      <c r="C1552" s="69" t="s">
        <v>118</v>
      </c>
      <c r="D1552" s="69" t="s">
        <v>109</v>
      </c>
      <c r="E1552" s="69" t="s">
        <v>138</v>
      </c>
      <c r="F1552" s="69" t="s">
        <v>143</v>
      </c>
      <c r="G1552" s="69" t="s">
        <v>113</v>
      </c>
      <c r="H1552" s="0" t="s">
        <v>667</v>
      </c>
      <c r="I1552" s="70" t="n">
        <v>27.44</v>
      </c>
      <c r="J1552" s="70" t="n">
        <v>13.44</v>
      </c>
      <c r="K1552" s="70" t="n">
        <f aca="false">IF(ISTEXT(H1552),VALUE(H1552),H1552)*I1552</f>
        <v>1097.6</v>
      </c>
    </row>
    <row r="1553" customFormat="false" ht="15" hidden="false" customHeight="false" outlineLevel="0" collapsed="false">
      <c r="A1553" s="0" t="n">
        <v>675</v>
      </c>
      <c r="B1553" s="68" t="n">
        <v>45474</v>
      </c>
      <c r="C1553" s="69" t="s">
        <v>32</v>
      </c>
      <c r="D1553" s="69" t="s">
        <v>137</v>
      </c>
      <c r="E1553" s="69" t="s">
        <v>92</v>
      </c>
      <c r="F1553" s="69" t="s">
        <v>166</v>
      </c>
      <c r="G1553" s="69" t="s">
        <v>111</v>
      </c>
      <c r="H1553" s="0" t="n">
        <v>15</v>
      </c>
      <c r="I1553" s="70" t="n">
        <v>83.3</v>
      </c>
      <c r="J1553" s="70" t="n">
        <v>48.03</v>
      </c>
      <c r="K1553" s="70" t="n">
        <f aca="false">IF(ISTEXT(H1553),VALUE(H1553),H1553)*I1553</f>
        <v>1249.5</v>
      </c>
    </row>
    <row r="1554" customFormat="false" ht="15" hidden="false" customHeight="false" outlineLevel="0" collapsed="false">
      <c r="A1554" s="0" t="n">
        <v>2084</v>
      </c>
      <c r="B1554" s="68" t="n">
        <v>45909</v>
      </c>
      <c r="C1554" s="69" t="s">
        <v>161</v>
      </c>
      <c r="D1554" s="69" t="s">
        <v>112</v>
      </c>
      <c r="E1554" s="69" t="s">
        <v>87</v>
      </c>
      <c r="F1554" s="69" t="s">
        <v>153</v>
      </c>
      <c r="G1554" s="69" t="s">
        <v>177</v>
      </c>
      <c r="H1554" s="0" t="n">
        <v>4</v>
      </c>
      <c r="I1554" s="70" t="n">
        <v>451.78</v>
      </c>
      <c r="J1554" s="70" t="n">
        <v>280.42</v>
      </c>
      <c r="K1554" s="70" t="n">
        <f aca="false">IF(ISTEXT(H1554),VALUE(H1554),H1554)*I1554</f>
        <v>1807.12</v>
      </c>
    </row>
    <row r="1555" customFormat="false" ht="15" hidden="false" customHeight="false" outlineLevel="0" collapsed="false">
      <c r="A1555" s="0" t="n">
        <v>1603</v>
      </c>
      <c r="B1555" s="68" t="n">
        <v>45794</v>
      </c>
      <c r="C1555" s="69" t="s">
        <v>25</v>
      </c>
      <c r="D1555" s="69" t="s">
        <v>97</v>
      </c>
      <c r="E1555" s="69" t="s">
        <v>110</v>
      </c>
      <c r="F1555" s="69" t="s">
        <v>139</v>
      </c>
      <c r="G1555" s="69" t="s">
        <v>43</v>
      </c>
      <c r="H1555" s="0" t="n">
        <v>20</v>
      </c>
      <c r="I1555" s="70" t="n">
        <v>433.15</v>
      </c>
      <c r="J1555" s="70" t="n">
        <v>280.42</v>
      </c>
      <c r="K1555" s="70" t="n">
        <f aca="false">IF(ISTEXT(H1555),VALUE(H1555),H1555)*I1555</f>
        <v>8663</v>
      </c>
    </row>
    <row r="1556" customFormat="false" ht="15" hidden="false" customHeight="false" outlineLevel="0" collapsed="false">
      <c r="A1556" s="0" t="n">
        <v>899</v>
      </c>
      <c r="B1556" s="69" t="s">
        <v>668</v>
      </c>
      <c r="C1556" s="69" t="s">
        <v>142</v>
      </c>
      <c r="D1556" s="69" t="s">
        <v>112</v>
      </c>
      <c r="E1556" s="69" t="s">
        <v>121</v>
      </c>
      <c r="F1556" s="69" t="s">
        <v>33</v>
      </c>
      <c r="G1556" s="69" t="s">
        <v>94</v>
      </c>
      <c r="H1556" s="0" t="n">
        <v>18</v>
      </c>
      <c r="I1556" s="70" t="n">
        <v>34.3</v>
      </c>
      <c r="J1556" s="70" t="n">
        <v>17.85</v>
      </c>
      <c r="K1556" s="70" t="n">
        <f aca="false">IF(ISTEXT(H1556),VALUE(H1556),H1556)*I1556</f>
        <v>617.4</v>
      </c>
    </row>
    <row r="1557" customFormat="false" ht="15" hidden="false" customHeight="false" outlineLevel="0" collapsed="false">
      <c r="A1557" s="0" t="n">
        <v>258</v>
      </c>
      <c r="B1557" s="68" t="n">
        <v>45376</v>
      </c>
      <c r="C1557" s="69" t="s">
        <v>108</v>
      </c>
      <c r="D1557" s="69" t="s">
        <v>109</v>
      </c>
      <c r="E1557" s="69" t="s">
        <v>107</v>
      </c>
      <c r="F1557" s="69" t="s">
        <v>93</v>
      </c>
      <c r="G1557" s="69" t="s">
        <v>52</v>
      </c>
      <c r="H1557" s="0" t="n">
        <v>10</v>
      </c>
      <c r="I1557" s="70" t="n">
        <v>127.4</v>
      </c>
      <c r="J1557" s="70" t="n">
        <v>76.05</v>
      </c>
      <c r="K1557" s="70" t="n">
        <f aca="false">IF(ISTEXT(H1557),VALUE(H1557),H1557)*I1557</f>
        <v>1274</v>
      </c>
    </row>
    <row r="1558" customFormat="false" ht="15" hidden="false" customHeight="false" outlineLevel="0" collapsed="false">
      <c r="A1558" s="0" t="n">
        <v>162</v>
      </c>
      <c r="B1558" s="69" t="s">
        <v>669</v>
      </c>
      <c r="C1558" s="69" t="s">
        <v>32</v>
      </c>
      <c r="D1558" s="69" t="s">
        <v>137</v>
      </c>
      <c r="E1558" s="69" t="s">
        <v>107</v>
      </c>
      <c r="F1558" s="69" t="s">
        <v>139</v>
      </c>
      <c r="G1558" s="69" t="s">
        <v>41</v>
      </c>
      <c r="H1558" s="0" t="n">
        <v>2</v>
      </c>
      <c r="I1558" s="70" t="n">
        <v>1176</v>
      </c>
      <c r="J1558" s="70" t="n">
        <v>744</v>
      </c>
      <c r="K1558" s="70" t="n">
        <f aca="false">IF(ISTEXT(H1558),VALUE(H1558),H1558)*I1558</f>
        <v>2352</v>
      </c>
    </row>
    <row r="1559" customFormat="false" ht="15" hidden="false" customHeight="false" outlineLevel="0" collapsed="false">
      <c r="A1559" s="0" t="n">
        <v>146</v>
      </c>
      <c r="B1559" s="69" t="s">
        <v>540</v>
      </c>
      <c r="C1559" s="69" t="s">
        <v>118</v>
      </c>
      <c r="D1559" s="69" t="s">
        <v>109</v>
      </c>
      <c r="E1559" s="69" t="s">
        <v>125</v>
      </c>
      <c r="F1559" s="69" t="s">
        <v>88</v>
      </c>
      <c r="G1559" s="69" t="s">
        <v>45</v>
      </c>
      <c r="H1559" s="0" t="n">
        <v>3</v>
      </c>
      <c r="I1559" s="70" t="n">
        <v>1617</v>
      </c>
      <c r="J1559" s="70" t="n">
        <v>1122</v>
      </c>
      <c r="K1559" s="70" t="n">
        <f aca="false">IF(ISTEXT(H1559),VALUE(H1559),H1559)*I1559</f>
        <v>4851</v>
      </c>
    </row>
    <row r="1560" customFormat="false" ht="15" hidden="false" customHeight="false" outlineLevel="0" collapsed="false">
      <c r="A1560" s="0" t="n">
        <v>2131</v>
      </c>
      <c r="B1560" s="68" t="n">
        <v>45944</v>
      </c>
      <c r="C1560" s="69" t="s">
        <v>120</v>
      </c>
      <c r="D1560" s="69" t="s">
        <v>86</v>
      </c>
      <c r="E1560" s="69" t="s">
        <v>121</v>
      </c>
      <c r="F1560" s="69" t="s">
        <v>28</v>
      </c>
      <c r="G1560" s="69" t="s">
        <v>208</v>
      </c>
      <c r="H1560" s="0" t="n">
        <v>57</v>
      </c>
      <c r="I1560" s="70" t="n">
        <v>65.26</v>
      </c>
      <c r="J1560" s="70" t="n">
        <v>36.49</v>
      </c>
      <c r="K1560" s="70" t="n">
        <f aca="false">IF(ISTEXT(H1560),VALUE(H1560),H1560)*I1560</f>
        <v>3719.82</v>
      </c>
    </row>
    <row r="1561" customFormat="false" ht="15" hidden="false" customHeight="false" outlineLevel="0" collapsed="false">
      <c r="A1561" s="0" t="n">
        <v>888</v>
      </c>
      <c r="B1561" s="68" t="n">
        <v>45542</v>
      </c>
      <c r="C1561" s="69" t="s">
        <v>133</v>
      </c>
      <c r="D1561" s="69" t="s">
        <v>112</v>
      </c>
      <c r="E1561" s="69" t="s">
        <v>119</v>
      </c>
      <c r="F1561" s="69" t="s">
        <v>28</v>
      </c>
      <c r="G1561" s="69" t="s">
        <v>103</v>
      </c>
      <c r="H1561" s="0" t="n">
        <v>12</v>
      </c>
      <c r="I1561" s="70" t="n">
        <v>27.44</v>
      </c>
      <c r="J1561" s="70" t="n">
        <v>13.44</v>
      </c>
      <c r="K1561" s="70" t="n">
        <f aca="false">IF(ISTEXT(H1561),VALUE(H1561),H1561)*I1561</f>
        <v>329.28</v>
      </c>
    </row>
    <row r="1562" customFormat="false" ht="15" hidden="false" customHeight="false" outlineLevel="0" collapsed="false">
      <c r="A1562" s="0" t="n">
        <v>330</v>
      </c>
      <c r="B1562" s="68" t="n">
        <v>45398</v>
      </c>
      <c r="C1562" s="69" t="s">
        <v>27</v>
      </c>
      <c r="D1562" s="69"/>
      <c r="E1562" s="69" t="s">
        <v>125</v>
      </c>
      <c r="F1562" s="69" t="s">
        <v>99</v>
      </c>
      <c r="G1562" s="69" t="s">
        <v>235</v>
      </c>
      <c r="H1562" s="0" t="s">
        <v>284</v>
      </c>
      <c r="I1562" s="70" t="n">
        <v>93.1</v>
      </c>
      <c r="J1562" s="70" t="n">
        <v>47.98</v>
      </c>
      <c r="K1562" s="70" t="n">
        <f aca="false">IF(ISTEXT(H1562),VALUE(H1562),H1562)*I1562</f>
        <v>1768.9</v>
      </c>
    </row>
    <row r="1563" customFormat="false" ht="15" hidden="false" customHeight="false" outlineLevel="0" collapsed="false">
      <c r="A1563" s="0" t="n">
        <v>2371</v>
      </c>
      <c r="B1563" s="68" t="n">
        <v>46011</v>
      </c>
      <c r="C1563" s="69" t="s">
        <v>193</v>
      </c>
      <c r="D1563" s="69" t="s">
        <v>137</v>
      </c>
      <c r="E1563" s="69" t="s">
        <v>101</v>
      </c>
      <c r="F1563" s="69" t="s">
        <v>102</v>
      </c>
      <c r="G1563" s="69" t="s">
        <v>49</v>
      </c>
      <c r="H1563" s="0" t="n">
        <v>40</v>
      </c>
      <c r="I1563" s="70" t="n">
        <v>65.26</v>
      </c>
      <c r="J1563" s="70" t="n">
        <v>36.49</v>
      </c>
      <c r="K1563" s="70" t="n">
        <f aca="false">IF(ISTEXT(H1563),VALUE(H1563),H1563)*I1563</f>
        <v>2610.4</v>
      </c>
    </row>
    <row r="1564" customFormat="false" ht="15" hidden="false" customHeight="false" outlineLevel="0" collapsed="false">
      <c r="A1564" s="0" t="n">
        <v>1053</v>
      </c>
      <c r="B1564" s="69" t="s">
        <v>257</v>
      </c>
      <c r="C1564" s="69" t="s">
        <v>152</v>
      </c>
      <c r="D1564" s="69" t="s">
        <v>109</v>
      </c>
      <c r="E1564" s="69" t="s">
        <v>92</v>
      </c>
      <c r="F1564" s="69" t="s">
        <v>31</v>
      </c>
      <c r="G1564" s="69" t="s">
        <v>171</v>
      </c>
      <c r="H1564" s="0" t="n">
        <v>25</v>
      </c>
      <c r="I1564" s="70" t="n">
        <v>117.6</v>
      </c>
      <c r="J1564" s="70" t="n">
        <v>63.6</v>
      </c>
      <c r="K1564" s="70" t="n">
        <f aca="false">IF(ISTEXT(H1564),VALUE(H1564),H1564)*I1564</f>
        <v>2940</v>
      </c>
    </row>
    <row r="1565" customFormat="false" ht="15" hidden="false" customHeight="false" outlineLevel="0" collapsed="false">
      <c r="A1565" s="0" t="n">
        <v>2389</v>
      </c>
      <c r="B1565" s="68" t="n">
        <v>46002</v>
      </c>
      <c r="C1565" s="69" t="s">
        <v>133</v>
      </c>
      <c r="D1565" s="69"/>
      <c r="E1565" s="69" t="s">
        <v>101</v>
      </c>
      <c r="F1565" s="69" t="s">
        <v>102</v>
      </c>
      <c r="G1565" s="69" t="s">
        <v>172</v>
      </c>
      <c r="H1565" s="0" t="n">
        <v>45</v>
      </c>
      <c r="I1565" s="70" t="n">
        <v>95.38</v>
      </c>
      <c r="J1565" s="70" t="n">
        <v>49.41</v>
      </c>
      <c r="K1565" s="70" t="n">
        <f aca="false">IF(ISTEXT(H1565),VALUE(H1565),H1565)*I1565</f>
        <v>4292.1</v>
      </c>
    </row>
    <row r="1566" customFormat="false" ht="15" hidden="false" customHeight="false" outlineLevel="0" collapsed="false">
      <c r="A1566" s="0" t="n">
        <v>1242</v>
      </c>
      <c r="B1566" s="68" t="n">
        <v>45658</v>
      </c>
      <c r="C1566" s="69" t="s">
        <v>152</v>
      </c>
      <c r="D1566" s="69" t="s">
        <v>109</v>
      </c>
      <c r="E1566" s="69" t="s">
        <v>180</v>
      </c>
      <c r="F1566" s="69" t="s">
        <v>147</v>
      </c>
      <c r="G1566" s="69" t="s">
        <v>154</v>
      </c>
      <c r="H1566" s="0" t="s">
        <v>627</v>
      </c>
      <c r="I1566" s="70" t="n">
        <v>1155.06</v>
      </c>
      <c r="J1566" s="70" t="n">
        <v>766.32</v>
      </c>
      <c r="K1566" s="70" t="n">
        <f aca="false">IF(ISTEXT(H1566),VALUE(H1566),H1566)*I1566</f>
        <v>5775.3</v>
      </c>
    </row>
    <row r="1567" customFormat="false" ht="15" hidden="false" customHeight="false" outlineLevel="0" collapsed="false">
      <c r="A1567" s="0" t="n">
        <v>2217</v>
      </c>
      <c r="B1567" s="69" t="s">
        <v>613</v>
      </c>
      <c r="C1567" s="69" t="s">
        <v>96</v>
      </c>
      <c r="D1567" s="69" t="s">
        <v>97</v>
      </c>
      <c r="E1567" s="69" t="s">
        <v>138</v>
      </c>
      <c r="F1567" s="69" t="s">
        <v>93</v>
      </c>
      <c r="G1567" s="69" t="s">
        <v>127</v>
      </c>
      <c r="H1567" s="0" t="n">
        <v>71</v>
      </c>
      <c r="I1567" s="70" t="n">
        <v>130.51</v>
      </c>
      <c r="J1567" s="70" t="n">
        <v>78.33</v>
      </c>
      <c r="K1567" s="70" t="n">
        <f aca="false">IF(ISTEXT(H1567),VALUE(H1567),H1567)*I1567</f>
        <v>9266.21</v>
      </c>
    </row>
    <row r="1568" customFormat="false" ht="15" hidden="false" customHeight="false" outlineLevel="0" collapsed="false">
      <c r="A1568" s="0" t="n">
        <v>1459</v>
      </c>
      <c r="B1568" s="69" t="s">
        <v>670</v>
      </c>
      <c r="C1568" s="69" t="s">
        <v>108</v>
      </c>
      <c r="D1568" s="69"/>
      <c r="E1568" s="69" t="s">
        <v>138</v>
      </c>
      <c r="F1568" s="69" t="s">
        <v>183</v>
      </c>
      <c r="G1568" s="69" t="s">
        <v>53</v>
      </c>
      <c r="H1568" s="0" t="n">
        <v>25</v>
      </c>
      <c r="I1568" s="70" t="n">
        <v>34.78</v>
      </c>
      <c r="J1568" s="70" t="n">
        <v>18.39</v>
      </c>
      <c r="K1568" s="70" t="n">
        <f aca="false">IF(ISTEXT(H1568),VALUE(H1568),H1568)*I1568</f>
        <v>869.5</v>
      </c>
    </row>
    <row r="1569" customFormat="false" ht="15" hidden="false" customHeight="false" outlineLevel="0" collapsed="false">
      <c r="A1569" s="0" t="n">
        <v>842</v>
      </c>
      <c r="B1569" s="69" t="s">
        <v>671</v>
      </c>
      <c r="C1569" s="69" t="s">
        <v>30</v>
      </c>
      <c r="D1569" s="69" t="s">
        <v>109</v>
      </c>
      <c r="E1569" s="69" t="s">
        <v>119</v>
      </c>
      <c r="F1569" s="69" t="s">
        <v>88</v>
      </c>
      <c r="G1569" s="69" t="s">
        <v>154</v>
      </c>
      <c r="H1569" s="0" t="n">
        <v>3</v>
      </c>
      <c r="I1569" s="70" t="n">
        <v>1176</v>
      </c>
      <c r="J1569" s="70" t="n">
        <v>744</v>
      </c>
      <c r="K1569" s="70" t="n">
        <f aca="false">IF(ISTEXT(H1569),VALUE(H1569),H1569)*I1569</f>
        <v>3528</v>
      </c>
    </row>
    <row r="1570" customFormat="false" ht="15" hidden="false" customHeight="false" outlineLevel="0" collapsed="false">
      <c r="A1570" s="0" t="n">
        <v>1670</v>
      </c>
      <c r="B1570" s="69" t="s">
        <v>672</v>
      </c>
      <c r="C1570" s="69" t="s">
        <v>136</v>
      </c>
      <c r="D1570" s="69" t="s">
        <v>137</v>
      </c>
      <c r="E1570" s="69" t="s">
        <v>119</v>
      </c>
      <c r="F1570" s="69" t="s">
        <v>99</v>
      </c>
      <c r="G1570" s="69" t="s">
        <v>235</v>
      </c>
      <c r="H1570" s="0" t="n">
        <v>24</v>
      </c>
      <c r="I1570" s="70" t="n">
        <v>94.39</v>
      </c>
      <c r="J1570" s="70" t="n">
        <v>49.41</v>
      </c>
      <c r="K1570" s="70" t="n">
        <f aca="false">IF(ISTEXT(H1570),VALUE(H1570),H1570)*I1570</f>
        <v>2265.36</v>
      </c>
    </row>
    <row r="1571" customFormat="false" ht="15" hidden="false" customHeight="false" outlineLevel="0" collapsed="false">
      <c r="A1571" s="0" t="n">
        <v>716</v>
      </c>
      <c r="B1571" s="68" t="n">
        <v>45522</v>
      </c>
      <c r="C1571" s="69" t="s">
        <v>96</v>
      </c>
      <c r="D1571" s="69" t="s">
        <v>97</v>
      </c>
      <c r="E1571" s="69" t="s">
        <v>180</v>
      </c>
      <c r="F1571" s="69" t="s">
        <v>162</v>
      </c>
      <c r="G1571" s="69" t="s">
        <v>51</v>
      </c>
      <c r="H1571" s="0" t="n">
        <v>17</v>
      </c>
      <c r="I1571" s="70" t="n">
        <v>83.3</v>
      </c>
      <c r="J1571" s="70" t="n">
        <v>48.03</v>
      </c>
      <c r="K1571" s="70" t="n">
        <f aca="false">IF(ISTEXT(H1571),VALUE(H1571),H1571)*I1571</f>
        <v>1416.1</v>
      </c>
    </row>
    <row r="1572" customFormat="false" ht="15" hidden="false" customHeight="false" outlineLevel="0" collapsed="false">
      <c r="A1572" s="0" t="n">
        <v>73</v>
      </c>
      <c r="B1572" s="68" t="n">
        <v>45317</v>
      </c>
      <c r="C1572" s="69" t="s">
        <v>32</v>
      </c>
      <c r="D1572" s="69" t="s">
        <v>137</v>
      </c>
      <c r="E1572" s="69" t="s">
        <v>134</v>
      </c>
      <c r="F1572" s="69" t="s">
        <v>166</v>
      </c>
      <c r="G1572" s="69" t="s">
        <v>156</v>
      </c>
      <c r="H1572" s="0" t="n">
        <v>11</v>
      </c>
      <c r="I1572" s="70" t="n">
        <v>117.6</v>
      </c>
      <c r="J1572" s="70" t="n">
        <v>63.6</v>
      </c>
      <c r="K1572" s="70" t="n">
        <f aca="false">IF(ISTEXT(H1572),VALUE(H1572),H1572)*I1572</f>
        <v>1293.6</v>
      </c>
    </row>
    <row r="1573" customFormat="false" ht="15" hidden="false" customHeight="false" outlineLevel="0" collapsed="false">
      <c r="A1573" s="0" t="n">
        <v>886</v>
      </c>
      <c r="B1573" s="68" t="n">
        <v>45555</v>
      </c>
      <c r="C1573" s="69" t="s">
        <v>142</v>
      </c>
      <c r="D1573" s="69" t="s">
        <v>112</v>
      </c>
      <c r="E1573" s="69" t="s">
        <v>125</v>
      </c>
      <c r="F1573" s="69" t="s">
        <v>135</v>
      </c>
      <c r="G1573" s="69" t="s">
        <v>45</v>
      </c>
      <c r="H1573" s="0" t="n">
        <v>2</v>
      </c>
      <c r="I1573" s="70" t="n">
        <v>1617</v>
      </c>
      <c r="J1573" s="70" t="n">
        <v>1122</v>
      </c>
      <c r="K1573" s="70" t="n">
        <f aca="false">IF(ISTEXT(H1573),VALUE(H1573),H1573)*I1573</f>
        <v>3234</v>
      </c>
    </row>
    <row r="1574" customFormat="false" ht="15" hidden="false" customHeight="false" outlineLevel="0" collapsed="false">
      <c r="A1574" s="0" t="n">
        <v>964</v>
      </c>
      <c r="B1574" s="68" t="n">
        <v>45591</v>
      </c>
      <c r="C1574" s="69" t="s">
        <v>32</v>
      </c>
      <c r="D1574" s="69" t="s">
        <v>137</v>
      </c>
      <c r="E1574" s="69" t="s">
        <v>98</v>
      </c>
      <c r="F1574" s="69" t="s">
        <v>135</v>
      </c>
      <c r="G1574" s="69" t="s">
        <v>43</v>
      </c>
      <c r="H1574" s="0" t="n">
        <v>3</v>
      </c>
      <c r="I1574" s="70" t="n">
        <v>441</v>
      </c>
      <c r="J1574" s="70" t="n">
        <v>272.25</v>
      </c>
      <c r="K1574" s="70" t="n">
        <f aca="false">IF(ISTEXT(H1574),VALUE(H1574),H1574)*I1574</f>
        <v>1323</v>
      </c>
    </row>
    <row r="1575" customFormat="false" ht="15" hidden="false" customHeight="false" outlineLevel="0" collapsed="false">
      <c r="A1575" s="0" t="n">
        <v>1585</v>
      </c>
      <c r="B1575" s="69" t="s">
        <v>673</v>
      </c>
      <c r="C1575" s="69" t="s">
        <v>34</v>
      </c>
      <c r="D1575" s="69" t="s">
        <v>112</v>
      </c>
      <c r="E1575" s="69" t="s">
        <v>101</v>
      </c>
      <c r="F1575" s="69" t="s">
        <v>139</v>
      </c>
      <c r="G1575" s="69" t="s">
        <v>45</v>
      </c>
      <c r="H1575" s="0" t="n">
        <v>5</v>
      </c>
      <c r="I1575" s="70" t="n">
        <v>1588.21</v>
      </c>
      <c r="J1575" s="70" t="n">
        <v>1155.66</v>
      </c>
      <c r="K1575" s="70" t="n">
        <f aca="false">IF(ISTEXT(H1575),VALUE(H1575),H1575)*I1575</f>
        <v>7941.05</v>
      </c>
    </row>
    <row r="1576" customFormat="false" ht="15" hidden="false" customHeight="false" outlineLevel="0" collapsed="false">
      <c r="A1576" s="0" t="n">
        <v>649</v>
      </c>
      <c r="B1576" s="69" t="s">
        <v>674</v>
      </c>
      <c r="C1576" s="69" t="s">
        <v>108</v>
      </c>
      <c r="D1576" s="69" t="s">
        <v>109</v>
      </c>
      <c r="E1576" s="69" t="s">
        <v>138</v>
      </c>
      <c r="F1576" s="69" t="s">
        <v>28</v>
      </c>
      <c r="G1576" s="69" t="s">
        <v>48</v>
      </c>
      <c r="H1576" s="0" t="n">
        <v>44</v>
      </c>
      <c r="I1576" s="70" t="n">
        <v>93.1</v>
      </c>
      <c r="J1576" s="70" t="n">
        <v>47.98</v>
      </c>
      <c r="K1576" s="70" t="n">
        <f aca="false">IF(ISTEXT(H1576),VALUE(H1576),H1576)*I1576</f>
        <v>4096.4</v>
      </c>
    </row>
    <row r="1577" customFormat="false" ht="15" hidden="false" customHeight="false" outlineLevel="0" collapsed="false">
      <c r="A1577" s="0" t="n">
        <v>2060</v>
      </c>
      <c r="B1577" s="68" t="n">
        <v>45903</v>
      </c>
      <c r="C1577" s="69" t="s">
        <v>118</v>
      </c>
      <c r="D1577" s="69" t="s">
        <v>109</v>
      </c>
      <c r="E1577" s="69" t="s">
        <v>119</v>
      </c>
      <c r="F1577" s="69" t="s">
        <v>33</v>
      </c>
      <c r="G1577" s="69" t="s">
        <v>94</v>
      </c>
      <c r="H1577" s="0" t="n">
        <v>13</v>
      </c>
      <c r="I1577" s="70" t="n">
        <v>35.14</v>
      </c>
      <c r="J1577" s="70" t="n">
        <v>18.39</v>
      </c>
      <c r="K1577" s="70" t="n">
        <f aca="false">IF(ISTEXT(H1577),VALUE(H1577),H1577)*I1577</f>
        <v>456.82</v>
      </c>
    </row>
    <row r="1578" customFormat="false" ht="15" hidden="false" customHeight="false" outlineLevel="0" collapsed="false">
      <c r="A1578" s="0" t="n">
        <v>736</v>
      </c>
      <c r="B1578" s="68" t="n">
        <v>45527</v>
      </c>
      <c r="C1578" s="69" t="s">
        <v>159</v>
      </c>
      <c r="D1578" s="69" t="s">
        <v>86</v>
      </c>
      <c r="E1578" s="69" t="s">
        <v>125</v>
      </c>
      <c r="F1578" s="69" t="s">
        <v>162</v>
      </c>
      <c r="G1578" s="69" t="s">
        <v>116</v>
      </c>
      <c r="H1578" s="0" t="n">
        <v>10</v>
      </c>
      <c r="I1578" s="70" t="n">
        <v>83.3</v>
      </c>
      <c r="J1578" s="70" t="n">
        <v>48.03</v>
      </c>
      <c r="K1578" s="70" t="n">
        <f aca="false">IF(ISTEXT(H1578),VALUE(H1578),H1578)*I1578</f>
        <v>833</v>
      </c>
    </row>
    <row r="1579" customFormat="false" ht="15" hidden="false" customHeight="false" outlineLevel="0" collapsed="false">
      <c r="A1579" s="0" t="n">
        <v>1252</v>
      </c>
      <c r="B1579" s="69" t="s">
        <v>675</v>
      </c>
      <c r="C1579" s="69" t="s">
        <v>152</v>
      </c>
      <c r="D1579" s="69" t="s">
        <v>109</v>
      </c>
      <c r="E1579" s="69" t="s">
        <v>180</v>
      </c>
      <c r="F1579" s="69" t="s">
        <v>102</v>
      </c>
      <c r="G1579" s="69" t="s">
        <v>144</v>
      </c>
      <c r="H1579" s="0" t="n">
        <v>21</v>
      </c>
      <c r="I1579" s="70" t="n">
        <v>64.58</v>
      </c>
      <c r="J1579" s="70" t="n">
        <v>36.49</v>
      </c>
      <c r="K1579" s="70" t="n">
        <f aca="false">IF(ISTEXT(H1579),VALUE(H1579),H1579)*I1579</f>
        <v>1356.18</v>
      </c>
    </row>
    <row r="1580" customFormat="false" ht="15" hidden="false" customHeight="false" outlineLevel="0" collapsed="false">
      <c r="A1580" s="0" t="n">
        <v>629</v>
      </c>
      <c r="B1580" s="69" t="s">
        <v>676</v>
      </c>
      <c r="C1580" s="69" t="s">
        <v>159</v>
      </c>
      <c r="D1580" s="69" t="s">
        <v>86</v>
      </c>
      <c r="E1580" s="69" t="s">
        <v>110</v>
      </c>
      <c r="F1580" s="69" t="s">
        <v>102</v>
      </c>
      <c r="G1580" s="69" t="s">
        <v>48</v>
      </c>
      <c r="H1580" s="0" t="n">
        <v>66</v>
      </c>
      <c r="I1580" s="70" t="n">
        <v>93.1</v>
      </c>
      <c r="J1580" s="70" t="n">
        <v>47.98</v>
      </c>
      <c r="K1580" s="70" t="n">
        <f aca="false">IF(ISTEXT(H1580),VALUE(H1580),H1580)*I1580</f>
        <v>6144.6</v>
      </c>
    </row>
    <row r="1581" customFormat="false" ht="15" hidden="false" customHeight="false" outlineLevel="0" collapsed="false">
      <c r="A1581" s="0" t="n">
        <v>1939</v>
      </c>
      <c r="B1581" s="68" t="n">
        <v>45889</v>
      </c>
      <c r="C1581" s="69" t="s">
        <v>159</v>
      </c>
      <c r="D1581" s="69" t="s">
        <v>86</v>
      </c>
      <c r="E1581" s="69" t="s">
        <v>121</v>
      </c>
      <c r="F1581" s="69" t="s">
        <v>93</v>
      </c>
      <c r="G1581" s="69" t="s">
        <v>94</v>
      </c>
      <c r="H1581" s="0" t="n">
        <v>36</v>
      </c>
      <c r="I1581" s="70" t="n">
        <v>35.14</v>
      </c>
      <c r="J1581" s="70" t="n">
        <v>18.39</v>
      </c>
      <c r="K1581" s="70" t="n">
        <f aca="false">IF(ISTEXT(H1581),VALUE(H1581),H1581)*I1581</f>
        <v>1265.04</v>
      </c>
    </row>
    <row r="1582" customFormat="false" ht="15" hidden="false" customHeight="false" outlineLevel="0" collapsed="false">
      <c r="A1582" s="0" t="n">
        <v>1016</v>
      </c>
      <c r="B1582" s="69" t="s">
        <v>677</v>
      </c>
      <c r="C1582" s="69" t="s">
        <v>96</v>
      </c>
      <c r="D1582" s="69" t="s">
        <v>97</v>
      </c>
      <c r="E1582" s="69" t="s">
        <v>98</v>
      </c>
      <c r="F1582" s="69" t="s">
        <v>115</v>
      </c>
      <c r="G1582" s="69" t="s">
        <v>111</v>
      </c>
      <c r="H1582" s="0" t="s">
        <v>205</v>
      </c>
      <c r="I1582" s="70" t="n">
        <v>83.3</v>
      </c>
      <c r="J1582" s="70" t="n">
        <v>48.03</v>
      </c>
      <c r="K1582" s="70" t="n">
        <f aca="false">IF(ISTEXT(H1582),VALUE(H1582),H1582)*I1582</f>
        <v>1749.3</v>
      </c>
    </row>
    <row r="1583" customFormat="false" ht="15" hidden="false" customHeight="false" outlineLevel="0" collapsed="false">
      <c r="A1583" s="0" t="n">
        <v>315</v>
      </c>
      <c r="B1583" s="69" t="s">
        <v>678</v>
      </c>
      <c r="C1583" s="69" t="s">
        <v>25</v>
      </c>
      <c r="D1583" s="69" t="s">
        <v>97</v>
      </c>
      <c r="E1583" s="69" t="s">
        <v>121</v>
      </c>
      <c r="F1583" s="69" t="s">
        <v>166</v>
      </c>
      <c r="G1583" s="69" t="s">
        <v>116</v>
      </c>
      <c r="H1583" s="0" t="n">
        <v>35</v>
      </c>
      <c r="I1583" s="70" t="n">
        <v>83.3</v>
      </c>
      <c r="J1583" s="70" t="n">
        <v>48.03</v>
      </c>
      <c r="K1583" s="70" t="n">
        <f aca="false">IF(ISTEXT(H1583),VALUE(H1583),H1583)*I1583</f>
        <v>2915.5</v>
      </c>
    </row>
    <row r="1584" customFormat="false" ht="15" hidden="false" customHeight="false" outlineLevel="0" collapsed="false">
      <c r="A1584" s="0" t="n">
        <v>708</v>
      </c>
      <c r="B1584" s="68" t="n">
        <v>45520</v>
      </c>
      <c r="C1584" s="69" t="s">
        <v>124</v>
      </c>
      <c r="D1584" s="69" t="s">
        <v>97</v>
      </c>
      <c r="E1584" s="69" t="s">
        <v>125</v>
      </c>
      <c r="F1584" s="69" t="s">
        <v>99</v>
      </c>
      <c r="G1584" s="69" t="s">
        <v>103</v>
      </c>
      <c r="H1584" s="0" t="n">
        <v>38</v>
      </c>
      <c r="I1584" s="70" t="n">
        <v>27.44</v>
      </c>
      <c r="J1584" s="70" t="n">
        <v>13.44</v>
      </c>
      <c r="K1584" s="70" t="n">
        <f aca="false">IF(ISTEXT(H1584),VALUE(H1584),H1584)*I1584</f>
        <v>1042.72</v>
      </c>
    </row>
    <row r="1585" customFormat="false" ht="15" hidden="false" customHeight="false" outlineLevel="0" collapsed="false">
      <c r="A1585" s="0" t="n">
        <v>96</v>
      </c>
      <c r="B1585" s="69" t="s">
        <v>679</v>
      </c>
      <c r="C1585" s="69" t="s">
        <v>142</v>
      </c>
      <c r="D1585" s="69" t="s">
        <v>112</v>
      </c>
      <c r="E1585" s="69" t="s">
        <v>125</v>
      </c>
      <c r="F1585" s="69" t="s">
        <v>162</v>
      </c>
      <c r="G1585" s="69" t="s">
        <v>116</v>
      </c>
      <c r="H1585" s="0" t="n">
        <v>4</v>
      </c>
      <c r="I1585" s="70" t="n">
        <v>83.3</v>
      </c>
      <c r="J1585" s="70" t="n">
        <v>48.03</v>
      </c>
      <c r="K1585" s="70" t="n">
        <f aca="false">IF(ISTEXT(H1585),VALUE(H1585),H1585)*I1585</f>
        <v>333.2</v>
      </c>
    </row>
    <row r="1586" customFormat="false" ht="15" hidden="false" customHeight="false" outlineLevel="0" collapsed="false">
      <c r="A1586" s="0" t="n">
        <v>1905</v>
      </c>
      <c r="B1586" s="69" t="s">
        <v>680</v>
      </c>
      <c r="C1586" s="69" t="s">
        <v>170</v>
      </c>
      <c r="D1586" s="69" t="s">
        <v>97</v>
      </c>
      <c r="E1586" s="69" t="s">
        <v>110</v>
      </c>
      <c r="F1586" s="69" t="s">
        <v>153</v>
      </c>
      <c r="G1586" s="69" t="s">
        <v>157</v>
      </c>
      <c r="H1586" s="0" t="n">
        <v>16</v>
      </c>
      <c r="I1586" s="70" t="n">
        <v>1656.52</v>
      </c>
      <c r="J1586" s="70" t="n">
        <v>1155.66</v>
      </c>
      <c r="K1586" s="70" t="n">
        <f aca="false">IF(ISTEXT(H1586),VALUE(H1586),H1586)*I1586</f>
        <v>26504.32</v>
      </c>
    </row>
    <row r="1587" customFormat="false" ht="15" hidden="false" customHeight="false" outlineLevel="0" collapsed="false">
      <c r="A1587" s="0" t="n">
        <v>1433</v>
      </c>
      <c r="B1587" s="68" t="n">
        <v>45731</v>
      </c>
      <c r="C1587" s="69" t="s">
        <v>27</v>
      </c>
      <c r="D1587" s="69" t="s">
        <v>86</v>
      </c>
      <c r="E1587" s="69" t="s">
        <v>110</v>
      </c>
      <c r="F1587" s="69" t="s">
        <v>115</v>
      </c>
      <c r="G1587" s="69" t="s">
        <v>156</v>
      </c>
      <c r="H1587" s="0" t="n">
        <v>23</v>
      </c>
      <c r="I1587" s="70" t="n">
        <v>119.23</v>
      </c>
      <c r="J1587" s="70" t="n">
        <v>65.51</v>
      </c>
      <c r="K1587" s="70" t="n">
        <f aca="false">IF(ISTEXT(H1587),VALUE(H1587),H1587)*I1587</f>
        <v>2742.29</v>
      </c>
    </row>
    <row r="1588" customFormat="false" ht="15" hidden="false" customHeight="false" outlineLevel="0" collapsed="false">
      <c r="A1588" s="0" t="n">
        <v>2058</v>
      </c>
      <c r="B1588" s="68" t="n">
        <v>45916</v>
      </c>
      <c r="C1588" s="69" t="s">
        <v>30</v>
      </c>
      <c r="D1588" s="69" t="s">
        <v>109</v>
      </c>
      <c r="E1588" s="69" t="s">
        <v>119</v>
      </c>
      <c r="F1588" s="69" t="s">
        <v>33</v>
      </c>
      <c r="G1588" s="69" t="s">
        <v>130</v>
      </c>
      <c r="H1588" s="0" t="n">
        <v>18</v>
      </c>
      <c r="I1588" s="70" t="n">
        <v>130.51</v>
      </c>
      <c r="J1588" s="70" t="n">
        <v>78.33</v>
      </c>
      <c r="K1588" s="70" t="n">
        <f aca="false">IF(ISTEXT(H1588),VALUE(H1588),H1588)*I1588</f>
        <v>2349.18</v>
      </c>
    </row>
    <row r="1589" customFormat="false" ht="15" hidden="false" customHeight="false" outlineLevel="0" collapsed="false">
      <c r="A1589" s="0" t="n">
        <v>82</v>
      </c>
      <c r="B1589" s="69" t="s">
        <v>681</v>
      </c>
      <c r="C1589" s="69" t="s">
        <v>34</v>
      </c>
      <c r="D1589" s="69" t="s">
        <v>112</v>
      </c>
      <c r="E1589" s="69" t="s">
        <v>180</v>
      </c>
      <c r="F1589" s="69" t="s">
        <v>88</v>
      </c>
      <c r="G1589" s="69" t="s">
        <v>41</v>
      </c>
      <c r="H1589" s="0" t="s">
        <v>652</v>
      </c>
      <c r="I1589" s="70" t="n">
        <v>1176</v>
      </c>
      <c r="J1589" s="70" t="n">
        <v>744</v>
      </c>
      <c r="K1589" s="70" t="n">
        <f aca="false">IF(ISTEXT(H1589),VALUE(H1589),H1589)*I1589</f>
        <v>2352</v>
      </c>
    </row>
    <row r="1590" customFormat="false" ht="15" hidden="false" customHeight="false" outlineLevel="0" collapsed="false">
      <c r="A1590" s="0" t="n">
        <v>1302</v>
      </c>
      <c r="B1590" s="68" t="n">
        <v>45704</v>
      </c>
      <c r="C1590" s="69" t="s">
        <v>25</v>
      </c>
      <c r="D1590" s="69" t="s">
        <v>97</v>
      </c>
      <c r="E1590" s="69" t="s">
        <v>98</v>
      </c>
      <c r="F1590" s="69" t="s">
        <v>135</v>
      </c>
      <c r="G1590" s="69" t="s">
        <v>151</v>
      </c>
      <c r="H1590" s="0" t="n">
        <v>13</v>
      </c>
      <c r="I1590" s="70" t="n">
        <v>1155.06</v>
      </c>
      <c r="J1590" s="70" t="n">
        <v>766.32</v>
      </c>
      <c r="K1590" s="70" t="n">
        <f aca="false">IF(ISTEXT(H1590),VALUE(H1590),H1590)*I1590</f>
        <v>15015.78</v>
      </c>
    </row>
    <row r="1591" customFormat="false" ht="15" hidden="false" customHeight="false" outlineLevel="0" collapsed="false">
      <c r="A1591" s="0" t="n">
        <v>2335</v>
      </c>
      <c r="B1591" s="68" t="n">
        <v>46002</v>
      </c>
      <c r="C1591" s="69" t="s">
        <v>27</v>
      </c>
      <c r="D1591" s="69" t="s">
        <v>86</v>
      </c>
      <c r="E1591" s="69" t="s">
        <v>121</v>
      </c>
      <c r="F1591" s="69" t="s">
        <v>115</v>
      </c>
      <c r="G1591" s="69" t="s">
        <v>51</v>
      </c>
      <c r="H1591" s="0" t="n">
        <v>39</v>
      </c>
      <c r="I1591" s="70" t="n">
        <v>85.34</v>
      </c>
      <c r="J1591" s="70" t="n">
        <v>49.47</v>
      </c>
      <c r="K1591" s="70" t="n">
        <f aca="false">IF(ISTEXT(H1591),VALUE(H1591),H1591)*I1591</f>
        <v>3328.26</v>
      </c>
    </row>
    <row r="1592" customFormat="false" ht="15" hidden="false" customHeight="false" outlineLevel="0" collapsed="false">
      <c r="A1592" s="0" t="n">
        <v>2374</v>
      </c>
      <c r="B1592" s="69" t="s">
        <v>471</v>
      </c>
      <c r="C1592" s="69" t="s">
        <v>193</v>
      </c>
      <c r="D1592" s="69" t="s">
        <v>137</v>
      </c>
      <c r="E1592" s="69" t="s">
        <v>180</v>
      </c>
      <c r="F1592" s="69" t="s">
        <v>162</v>
      </c>
      <c r="G1592" s="69" t="s">
        <v>171</v>
      </c>
      <c r="H1592" s="0" t="n">
        <v>15</v>
      </c>
      <c r="I1592" s="70" t="n">
        <v>120.47</v>
      </c>
      <c r="J1592" s="70" t="n">
        <v>65.51</v>
      </c>
      <c r="K1592" s="70" t="n">
        <f aca="false">IF(ISTEXT(H1592),VALUE(H1592),H1592)*I1592</f>
        <v>1807.05</v>
      </c>
    </row>
    <row r="1593" customFormat="false" ht="15" hidden="false" customHeight="false" outlineLevel="0" collapsed="false">
      <c r="A1593" s="0" t="n">
        <v>1902</v>
      </c>
      <c r="B1593" s="69" t="s">
        <v>682</v>
      </c>
      <c r="C1593" s="69" t="s">
        <v>170</v>
      </c>
      <c r="D1593" s="69" t="s">
        <v>97</v>
      </c>
      <c r="E1593" s="69" t="s">
        <v>87</v>
      </c>
      <c r="F1593" s="69" t="s">
        <v>153</v>
      </c>
      <c r="G1593" s="69" t="s">
        <v>154</v>
      </c>
      <c r="H1593" s="0" t="n">
        <v>15</v>
      </c>
      <c r="I1593" s="70" t="n">
        <v>1204.74</v>
      </c>
      <c r="J1593" s="70" t="n">
        <v>766.32</v>
      </c>
      <c r="K1593" s="70" t="n">
        <f aca="false">IF(ISTEXT(H1593),VALUE(H1593),H1593)*I1593</f>
        <v>18071.1</v>
      </c>
    </row>
    <row r="1594" customFormat="false" ht="15" hidden="false" customHeight="false" outlineLevel="0" collapsed="false">
      <c r="A1594" s="0" t="n">
        <v>2392</v>
      </c>
      <c r="B1594" s="68" t="n">
        <v>45996</v>
      </c>
      <c r="C1594" s="69" t="s">
        <v>34</v>
      </c>
      <c r="D1594" s="69"/>
      <c r="E1594" s="69" t="s">
        <v>119</v>
      </c>
      <c r="F1594" s="69" t="s">
        <v>102</v>
      </c>
      <c r="G1594" s="69" t="s">
        <v>208</v>
      </c>
      <c r="H1594" s="0" t="n">
        <v>31</v>
      </c>
      <c r="I1594" s="70" t="n">
        <v>65.26</v>
      </c>
      <c r="J1594" s="70" t="n">
        <v>36.49</v>
      </c>
      <c r="K1594" s="70" t="n">
        <f aca="false">IF(ISTEXT(H1594),VALUE(H1594),H1594)*I1594</f>
        <v>2023.06</v>
      </c>
    </row>
    <row r="1595" customFormat="false" ht="15" hidden="false" customHeight="false" outlineLevel="0" collapsed="false">
      <c r="A1595" s="0" t="n">
        <v>370</v>
      </c>
      <c r="B1595" s="69" t="s">
        <v>683</v>
      </c>
      <c r="C1595" s="69" t="s">
        <v>184</v>
      </c>
      <c r="D1595" s="69" t="s">
        <v>137</v>
      </c>
      <c r="E1595" s="69" t="s">
        <v>98</v>
      </c>
      <c r="F1595" s="69" t="s">
        <v>102</v>
      </c>
      <c r="G1595" s="69" t="s">
        <v>172</v>
      </c>
      <c r="H1595" s="0" t="n">
        <v>10</v>
      </c>
      <c r="I1595" s="70" t="n">
        <v>93.1</v>
      </c>
      <c r="J1595" s="70" t="n">
        <v>47.98</v>
      </c>
      <c r="K1595" s="70" t="n">
        <f aca="false">IF(ISTEXT(H1595),VALUE(H1595),H1595)*I1595</f>
        <v>931</v>
      </c>
    </row>
    <row r="1596" customFormat="false" ht="15" hidden="false" customHeight="false" outlineLevel="0" collapsed="false">
      <c r="A1596" s="0" t="n">
        <v>1316</v>
      </c>
      <c r="B1596" s="68" t="n">
        <v>45694</v>
      </c>
      <c r="C1596" s="69" t="s">
        <v>170</v>
      </c>
      <c r="D1596" s="69" t="s">
        <v>97</v>
      </c>
      <c r="E1596" s="69" t="s">
        <v>125</v>
      </c>
      <c r="F1596" s="69" t="s">
        <v>162</v>
      </c>
      <c r="G1596" s="69" t="s">
        <v>116</v>
      </c>
      <c r="H1596" s="0" t="s">
        <v>254</v>
      </c>
      <c r="I1596" s="70" t="n">
        <v>84.46</v>
      </c>
      <c r="J1596" s="70" t="n">
        <v>49.47</v>
      </c>
      <c r="K1596" s="70" t="n">
        <f aca="false">IF(ISTEXT(H1596),VALUE(H1596),H1596)*I1596</f>
        <v>1689.2</v>
      </c>
    </row>
    <row r="1597" customFormat="false" ht="15" hidden="false" customHeight="false" outlineLevel="0" collapsed="false">
      <c r="A1597" s="0" t="n">
        <v>1286</v>
      </c>
      <c r="B1597" s="68" t="n">
        <v>45669</v>
      </c>
      <c r="C1597" s="69" t="s">
        <v>133</v>
      </c>
      <c r="D1597" s="69" t="s">
        <v>112</v>
      </c>
      <c r="E1597" s="69" t="s">
        <v>119</v>
      </c>
      <c r="F1597" s="69" t="s">
        <v>147</v>
      </c>
      <c r="G1597" s="69" t="s">
        <v>45</v>
      </c>
      <c r="H1597" s="0" t="n">
        <v>4</v>
      </c>
      <c r="I1597" s="70" t="n">
        <v>1588.21</v>
      </c>
      <c r="J1597" s="70" t="n">
        <v>1155.66</v>
      </c>
      <c r="K1597" s="70" t="n">
        <f aca="false">IF(ISTEXT(H1597),VALUE(H1597),H1597)*I1597</f>
        <v>6352.84</v>
      </c>
    </row>
    <row r="1598" customFormat="false" ht="15" hidden="false" customHeight="false" outlineLevel="0" collapsed="false">
      <c r="A1598" s="0" t="n">
        <v>1860</v>
      </c>
      <c r="B1598" s="69" t="s">
        <v>684</v>
      </c>
      <c r="C1598" s="69" t="s">
        <v>118</v>
      </c>
      <c r="D1598" s="69" t="s">
        <v>109</v>
      </c>
      <c r="E1598" s="69" t="s">
        <v>119</v>
      </c>
      <c r="F1598" s="69" t="s">
        <v>168</v>
      </c>
      <c r="G1598" s="69" t="s">
        <v>94</v>
      </c>
      <c r="H1598" s="0" t="s">
        <v>175</v>
      </c>
      <c r="I1598" s="70" t="n">
        <v>35.14</v>
      </c>
      <c r="J1598" s="70" t="n">
        <v>18.39</v>
      </c>
      <c r="K1598" s="70" t="n">
        <f aca="false">IF(ISTEXT(H1598),VALUE(H1598),H1598)*I1598</f>
        <v>527.1</v>
      </c>
    </row>
    <row r="1599" customFormat="false" ht="15" hidden="false" customHeight="false" outlineLevel="0" collapsed="false">
      <c r="A1599" s="0" t="n">
        <v>1772</v>
      </c>
      <c r="B1599" s="68" t="n">
        <v>45820</v>
      </c>
      <c r="C1599" s="69" t="s">
        <v>32</v>
      </c>
      <c r="D1599" s="69"/>
      <c r="E1599" s="69" t="s">
        <v>87</v>
      </c>
      <c r="F1599" s="69" t="s">
        <v>143</v>
      </c>
      <c r="G1599" s="69" t="s">
        <v>208</v>
      </c>
      <c r="H1599" s="0" t="n">
        <v>22</v>
      </c>
      <c r="I1599" s="70" t="n">
        <v>64.58</v>
      </c>
      <c r="J1599" s="70" t="n">
        <v>36.49</v>
      </c>
      <c r="K1599" s="70" t="n">
        <f aca="false">IF(ISTEXT(H1599),VALUE(H1599),H1599)*I1599</f>
        <v>1420.76</v>
      </c>
    </row>
    <row r="1600" customFormat="false" ht="15" hidden="false" customHeight="false" outlineLevel="0" collapsed="false">
      <c r="A1600" s="0" t="n">
        <v>1556</v>
      </c>
      <c r="B1600" s="69" t="s">
        <v>206</v>
      </c>
      <c r="C1600" s="69" t="s">
        <v>108</v>
      </c>
      <c r="D1600" s="69" t="s">
        <v>109</v>
      </c>
      <c r="E1600" s="69" t="s">
        <v>119</v>
      </c>
      <c r="F1600" s="69" t="s">
        <v>115</v>
      </c>
      <c r="G1600" s="69" t="s">
        <v>51</v>
      </c>
      <c r="H1600" s="0" t="n">
        <v>11</v>
      </c>
      <c r="I1600" s="70" t="n">
        <v>84.46</v>
      </c>
      <c r="J1600" s="70" t="n">
        <v>49.47</v>
      </c>
      <c r="K1600" s="70" t="n">
        <f aca="false">IF(ISTEXT(H1600),VALUE(H1600),H1600)*I1600</f>
        <v>929.06</v>
      </c>
    </row>
    <row r="1601" customFormat="false" ht="15" hidden="false" customHeight="false" outlineLevel="0" collapsed="false">
      <c r="A1601" s="0" t="n">
        <v>1312</v>
      </c>
      <c r="B1601" s="68" t="n">
        <v>45693</v>
      </c>
      <c r="C1601" s="69" t="s">
        <v>124</v>
      </c>
      <c r="D1601" s="69" t="s">
        <v>97</v>
      </c>
      <c r="E1601" s="69" t="s">
        <v>107</v>
      </c>
      <c r="F1601" s="69" t="s">
        <v>143</v>
      </c>
      <c r="G1601" s="69" t="s">
        <v>49</v>
      </c>
      <c r="H1601" s="0" t="n">
        <v>44</v>
      </c>
      <c r="I1601" s="70" t="n">
        <v>64.58</v>
      </c>
      <c r="J1601" s="70" t="n">
        <v>36.49</v>
      </c>
      <c r="K1601" s="70" t="n">
        <f aca="false">IF(ISTEXT(H1601),VALUE(H1601),H1601)*I1601</f>
        <v>2841.52</v>
      </c>
    </row>
    <row r="1602" customFormat="false" ht="15" hidden="false" customHeight="false" outlineLevel="0" collapsed="false">
      <c r="A1602" s="0" t="n">
        <v>1472</v>
      </c>
      <c r="B1602" s="68" t="n">
        <v>45734</v>
      </c>
      <c r="C1602" s="69" t="s">
        <v>136</v>
      </c>
      <c r="D1602" s="69" t="s">
        <v>137</v>
      </c>
      <c r="E1602" s="69" t="s">
        <v>87</v>
      </c>
      <c r="F1602" s="69" t="s">
        <v>102</v>
      </c>
      <c r="G1602" s="69" t="s">
        <v>144</v>
      </c>
      <c r="H1602" s="0" t="n">
        <v>20</v>
      </c>
      <c r="I1602" s="70" t="n">
        <v>64.58</v>
      </c>
      <c r="J1602" s="70" t="n">
        <v>36.49</v>
      </c>
      <c r="K1602" s="70" t="n">
        <f aca="false">IF(ISTEXT(H1602),VALUE(H1602),H1602)*I1602</f>
        <v>1291.6</v>
      </c>
    </row>
    <row r="1603" customFormat="false" ht="15" hidden="false" customHeight="false" outlineLevel="0" collapsed="false">
      <c r="A1603" s="0" t="n">
        <v>1789</v>
      </c>
      <c r="B1603" s="69" t="s">
        <v>599</v>
      </c>
      <c r="C1603" s="69" t="s">
        <v>133</v>
      </c>
      <c r="D1603" s="69" t="s">
        <v>112</v>
      </c>
      <c r="E1603" s="69" t="s">
        <v>92</v>
      </c>
      <c r="F1603" s="69" t="s">
        <v>155</v>
      </c>
      <c r="G1603" s="69" t="s">
        <v>172</v>
      </c>
      <c r="H1603" s="0" t="n">
        <v>32</v>
      </c>
      <c r="I1603" s="70" t="n">
        <v>94.39</v>
      </c>
      <c r="J1603" s="70" t="n">
        <v>49.41</v>
      </c>
      <c r="K1603" s="70" t="n">
        <f aca="false">IF(ISTEXT(H1603),VALUE(H1603),H1603)*I1603</f>
        <v>3020.48</v>
      </c>
    </row>
    <row r="1604" customFormat="false" ht="15" hidden="false" customHeight="false" outlineLevel="0" collapsed="false">
      <c r="A1604" s="0" t="n">
        <v>1992</v>
      </c>
      <c r="B1604" s="68" t="n">
        <v>45882</v>
      </c>
      <c r="C1604" s="69" t="s">
        <v>34</v>
      </c>
      <c r="D1604" s="69" t="s">
        <v>112</v>
      </c>
      <c r="E1604" s="69" t="s">
        <v>107</v>
      </c>
      <c r="F1604" s="69" t="s">
        <v>99</v>
      </c>
      <c r="G1604" s="69" t="s">
        <v>144</v>
      </c>
      <c r="H1604" s="0" t="n">
        <v>22</v>
      </c>
      <c r="I1604" s="70" t="n">
        <v>65.26</v>
      </c>
      <c r="J1604" s="70" t="n">
        <v>36.49</v>
      </c>
      <c r="K1604" s="70" t="n">
        <f aca="false">IF(ISTEXT(H1604),VALUE(H1604),H1604)*I1604</f>
        <v>1435.72</v>
      </c>
    </row>
    <row r="1605" customFormat="false" ht="15" hidden="false" customHeight="false" outlineLevel="0" collapsed="false">
      <c r="A1605" s="0" t="n">
        <v>1857</v>
      </c>
      <c r="B1605" s="68" t="n">
        <v>45851</v>
      </c>
      <c r="C1605" s="69" t="s">
        <v>108</v>
      </c>
      <c r="D1605" s="69" t="s">
        <v>109</v>
      </c>
      <c r="E1605" s="69" t="s">
        <v>121</v>
      </c>
      <c r="F1605" s="69" t="s">
        <v>93</v>
      </c>
      <c r="G1605" s="69" t="s">
        <v>52</v>
      </c>
      <c r="H1605" s="0" t="n">
        <v>24</v>
      </c>
      <c r="I1605" s="70" t="n">
        <v>130.51</v>
      </c>
      <c r="J1605" s="70" t="n">
        <v>78.33</v>
      </c>
      <c r="K1605" s="70" t="n">
        <f aca="false">IF(ISTEXT(H1605),VALUE(H1605),H1605)*I1605</f>
        <v>3132.24</v>
      </c>
    </row>
    <row r="1606" customFormat="false" ht="15" hidden="false" customHeight="false" outlineLevel="0" collapsed="false">
      <c r="A1606" s="0" t="n">
        <v>75</v>
      </c>
      <c r="B1606" s="69" t="s">
        <v>685</v>
      </c>
      <c r="C1606" s="69" t="s">
        <v>32</v>
      </c>
      <c r="D1606" s="69" t="s">
        <v>137</v>
      </c>
      <c r="E1606" s="69" t="s">
        <v>101</v>
      </c>
      <c r="F1606" s="69" t="s">
        <v>162</v>
      </c>
      <c r="G1606" s="69" t="s">
        <v>111</v>
      </c>
      <c r="H1606" s="0" t="n">
        <v>11</v>
      </c>
      <c r="I1606" s="70" t="n">
        <v>83.3</v>
      </c>
      <c r="J1606" s="70" t="n">
        <v>48.03</v>
      </c>
      <c r="K1606" s="70" t="n">
        <f aca="false">IF(ISTEXT(H1606),VALUE(H1606),H1606)*I1606</f>
        <v>916.3</v>
      </c>
    </row>
    <row r="1607" customFormat="false" ht="15" hidden="false" customHeight="false" outlineLevel="0" collapsed="false">
      <c r="A1607" s="0" t="n">
        <v>1518</v>
      </c>
      <c r="B1607" s="68" t="n">
        <v>45763</v>
      </c>
      <c r="C1607" s="69" t="s">
        <v>170</v>
      </c>
      <c r="D1607" s="69" t="s">
        <v>97</v>
      </c>
      <c r="E1607" s="69" t="s">
        <v>107</v>
      </c>
      <c r="F1607" s="69" t="s">
        <v>93</v>
      </c>
      <c r="G1607" s="69" t="s">
        <v>52</v>
      </c>
      <c r="H1607" s="0" t="n">
        <v>38</v>
      </c>
      <c r="I1607" s="70" t="n">
        <v>129.17</v>
      </c>
      <c r="J1607" s="70" t="n">
        <v>78.33</v>
      </c>
      <c r="K1607" s="70" t="n">
        <f aca="false">IF(ISTEXT(H1607),VALUE(H1607),H1607)*I1607</f>
        <v>4908.46</v>
      </c>
    </row>
    <row r="1608" customFormat="false" ht="15" hidden="false" customHeight="false" outlineLevel="0" collapsed="false">
      <c r="A1608" s="0" t="n">
        <v>2395</v>
      </c>
      <c r="B1608" s="68" t="n">
        <v>46017</v>
      </c>
      <c r="C1608" s="69" t="s">
        <v>133</v>
      </c>
      <c r="D1608" s="69" t="s">
        <v>112</v>
      </c>
      <c r="E1608" s="69" t="s">
        <v>92</v>
      </c>
      <c r="F1608" s="69" t="s">
        <v>115</v>
      </c>
      <c r="G1608" s="69" t="s">
        <v>116</v>
      </c>
      <c r="H1608" s="0" t="n">
        <v>20</v>
      </c>
      <c r="I1608" s="70" t="n">
        <v>85.34</v>
      </c>
      <c r="J1608" s="70" t="n">
        <v>49.47</v>
      </c>
      <c r="K1608" s="70" t="n">
        <f aca="false">IF(ISTEXT(H1608),VALUE(H1608),H1608)*I1608</f>
        <v>1706.8</v>
      </c>
    </row>
    <row r="1609" customFormat="false" ht="15" hidden="false" customHeight="false" outlineLevel="0" collapsed="false">
      <c r="A1609" s="0" t="n">
        <v>941</v>
      </c>
      <c r="B1609" s="68" t="n">
        <v>45592</v>
      </c>
      <c r="C1609" s="69" t="s">
        <v>30</v>
      </c>
      <c r="D1609" s="69" t="s">
        <v>109</v>
      </c>
      <c r="E1609" s="69" t="s">
        <v>134</v>
      </c>
      <c r="F1609" s="69" t="s">
        <v>88</v>
      </c>
      <c r="G1609" s="69" t="s">
        <v>151</v>
      </c>
      <c r="H1609" s="0" t="n">
        <v>9</v>
      </c>
      <c r="I1609" s="70" t="n">
        <v>1176</v>
      </c>
      <c r="J1609" s="70" t="n">
        <v>744</v>
      </c>
      <c r="K1609" s="70" t="n">
        <f aca="false">IF(ISTEXT(H1609),VALUE(H1609),H1609)*I1609</f>
        <v>10584</v>
      </c>
    </row>
    <row r="1610" customFormat="false" ht="15" hidden="false" customHeight="false" outlineLevel="0" collapsed="false">
      <c r="A1610" s="0" t="n">
        <v>699</v>
      </c>
      <c r="B1610" s="68" t="n">
        <v>45480</v>
      </c>
      <c r="C1610" s="69" t="s">
        <v>142</v>
      </c>
      <c r="D1610" s="69" t="s">
        <v>112</v>
      </c>
      <c r="E1610" s="69" t="s">
        <v>121</v>
      </c>
      <c r="F1610" s="69" t="s">
        <v>168</v>
      </c>
      <c r="G1610" s="69" t="s">
        <v>53</v>
      </c>
      <c r="H1610" s="0" t="n">
        <v>20</v>
      </c>
      <c r="I1610" s="70" t="n">
        <v>34.3</v>
      </c>
      <c r="J1610" s="70" t="n">
        <v>17.85</v>
      </c>
      <c r="K1610" s="70" t="n">
        <f aca="false">IF(ISTEXT(H1610),VALUE(H1610),H1610)*I1610</f>
        <v>686</v>
      </c>
    </row>
    <row r="1611" customFormat="false" ht="15" hidden="false" customHeight="false" outlineLevel="0" collapsed="false">
      <c r="A1611" s="0" t="n">
        <v>1020</v>
      </c>
      <c r="B1611" s="68" t="n">
        <v>45609</v>
      </c>
      <c r="C1611" s="69" t="s">
        <v>170</v>
      </c>
      <c r="D1611" s="69" t="s">
        <v>97</v>
      </c>
      <c r="E1611" s="69" t="s">
        <v>119</v>
      </c>
      <c r="F1611" s="69" t="s">
        <v>182</v>
      </c>
      <c r="G1611" s="69" t="s">
        <v>217</v>
      </c>
      <c r="H1611" s="0" t="s">
        <v>215</v>
      </c>
      <c r="I1611" s="70" t="n">
        <v>34.3</v>
      </c>
      <c r="J1611" s="70" t="n">
        <v>17.85</v>
      </c>
      <c r="K1611" s="70" t="n">
        <f aca="false">IF(ISTEXT(H1611),VALUE(H1611),H1611)*I1611</f>
        <v>1063.3</v>
      </c>
    </row>
    <row r="1612" customFormat="false" ht="15" hidden="false" customHeight="false" outlineLevel="0" collapsed="false">
      <c r="A1612" s="0" t="n">
        <v>275</v>
      </c>
      <c r="B1612" s="69" t="s">
        <v>356</v>
      </c>
      <c r="C1612" s="69" t="s">
        <v>184</v>
      </c>
      <c r="D1612" s="69" t="s">
        <v>137</v>
      </c>
      <c r="E1612" s="69" t="s">
        <v>92</v>
      </c>
      <c r="F1612" s="69" t="s">
        <v>162</v>
      </c>
      <c r="G1612" s="69" t="s">
        <v>51</v>
      </c>
      <c r="H1612" s="0" t="n">
        <v>13</v>
      </c>
      <c r="I1612" s="70" t="n">
        <v>83.3</v>
      </c>
      <c r="J1612" s="70" t="n">
        <v>48.03</v>
      </c>
      <c r="K1612" s="70" t="n">
        <f aca="false">IF(ISTEXT(H1612),VALUE(H1612),H1612)*I1612</f>
        <v>1082.9</v>
      </c>
    </row>
    <row r="1613" customFormat="false" ht="15" hidden="false" customHeight="false" outlineLevel="0" collapsed="false">
      <c r="A1613" s="0" t="n">
        <v>1748</v>
      </c>
      <c r="B1613" s="68" t="n">
        <v>45814</v>
      </c>
      <c r="C1613" s="69" t="s">
        <v>30</v>
      </c>
      <c r="D1613" s="69" t="s">
        <v>109</v>
      </c>
      <c r="E1613" s="69" t="s">
        <v>180</v>
      </c>
      <c r="F1613" s="69" t="s">
        <v>143</v>
      </c>
      <c r="G1613" s="69" t="s">
        <v>47</v>
      </c>
      <c r="H1613" s="0" t="s">
        <v>322</v>
      </c>
      <c r="I1613" s="70" t="n">
        <v>27.82</v>
      </c>
      <c r="J1613" s="70" t="n">
        <v>13.84</v>
      </c>
      <c r="K1613" s="70" t="n">
        <f aca="false">IF(ISTEXT(H1613),VALUE(H1613),H1613)*I1613</f>
        <v>751.14</v>
      </c>
    </row>
    <row r="1614" customFormat="false" ht="15" hidden="false" customHeight="false" outlineLevel="0" collapsed="false">
      <c r="A1614" s="0" t="n">
        <v>1551</v>
      </c>
      <c r="B1614" s="69" t="s">
        <v>686</v>
      </c>
      <c r="C1614" s="69" t="s">
        <v>118</v>
      </c>
      <c r="D1614" s="69" t="s">
        <v>109</v>
      </c>
      <c r="E1614" s="69" t="s">
        <v>101</v>
      </c>
      <c r="F1614" s="69" t="s">
        <v>102</v>
      </c>
      <c r="G1614" s="69" t="s">
        <v>49</v>
      </c>
      <c r="H1614" s="0" t="n">
        <v>35</v>
      </c>
      <c r="I1614" s="70" t="n">
        <v>64.58</v>
      </c>
      <c r="J1614" s="70" t="n">
        <v>36.49</v>
      </c>
      <c r="K1614" s="70" t="n">
        <f aca="false">IF(ISTEXT(H1614),VALUE(H1614),H1614)*I1614</f>
        <v>2260.3</v>
      </c>
    </row>
    <row r="1615" customFormat="false" ht="15" hidden="false" customHeight="false" outlineLevel="0" collapsed="false">
      <c r="A1615" s="0" t="n">
        <v>1216</v>
      </c>
      <c r="B1615" s="68" t="n">
        <v>45665</v>
      </c>
      <c r="C1615" s="69" t="s">
        <v>96</v>
      </c>
      <c r="D1615" s="69" t="s">
        <v>97</v>
      </c>
      <c r="E1615" s="69" t="s">
        <v>119</v>
      </c>
      <c r="F1615" s="69" t="s">
        <v>115</v>
      </c>
      <c r="G1615" s="69" t="s">
        <v>116</v>
      </c>
      <c r="H1615" s="0" t="s">
        <v>207</v>
      </c>
      <c r="I1615" s="70" t="n">
        <v>84.46</v>
      </c>
      <c r="J1615" s="70" t="n">
        <v>49.47</v>
      </c>
      <c r="K1615" s="70" t="n">
        <f aca="false">IF(ISTEXT(H1615),VALUE(H1615),H1615)*I1615</f>
        <v>2195.96</v>
      </c>
    </row>
    <row r="1616" customFormat="false" ht="15" hidden="false" customHeight="false" outlineLevel="0" collapsed="false">
      <c r="A1616" s="0" t="n">
        <v>974</v>
      </c>
      <c r="B1616" s="68" t="n">
        <v>45580</v>
      </c>
      <c r="C1616" s="69" t="s">
        <v>184</v>
      </c>
      <c r="D1616" s="69"/>
      <c r="E1616" s="69" t="s">
        <v>119</v>
      </c>
      <c r="F1616" s="69" t="s">
        <v>162</v>
      </c>
      <c r="G1616" s="69" t="s">
        <v>50</v>
      </c>
      <c r="H1616" s="0" t="n">
        <v>6</v>
      </c>
      <c r="I1616" s="70" t="n">
        <v>117.6</v>
      </c>
      <c r="J1616" s="70" t="n">
        <v>63.6</v>
      </c>
      <c r="K1616" s="70" t="n">
        <f aca="false">IF(ISTEXT(H1616),VALUE(H1616),H1616)*I1616</f>
        <v>705.6</v>
      </c>
    </row>
    <row r="1617" customFormat="false" ht="15" hidden="false" customHeight="false" outlineLevel="0" collapsed="false">
      <c r="A1617" s="0" t="n">
        <v>1074</v>
      </c>
      <c r="B1617" s="69" t="s">
        <v>687</v>
      </c>
      <c r="C1617" s="69" t="s">
        <v>184</v>
      </c>
      <c r="D1617" s="69" t="s">
        <v>137</v>
      </c>
      <c r="E1617" s="69" t="s">
        <v>180</v>
      </c>
      <c r="F1617" s="69" t="s">
        <v>115</v>
      </c>
      <c r="G1617" s="69" t="s">
        <v>171</v>
      </c>
      <c r="H1617" s="0" t="n">
        <v>7</v>
      </c>
      <c r="I1617" s="70" t="n">
        <v>117.6</v>
      </c>
      <c r="J1617" s="70" t="n">
        <v>63.6</v>
      </c>
      <c r="K1617" s="70" t="n">
        <f aca="false">IF(ISTEXT(H1617),VALUE(H1617),H1617)*I1617</f>
        <v>823.2</v>
      </c>
    </row>
    <row r="1618" customFormat="false" ht="15" hidden="false" customHeight="false" outlineLevel="0" collapsed="false">
      <c r="A1618" s="0" t="n">
        <v>615</v>
      </c>
      <c r="B1618" s="68" t="n">
        <v>45486</v>
      </c>
      <c r="C1618" s="69" t="s">
        <v>124</v>
      </c>
      <c r="D1618" s="69" t="s">
        <v>97</v>
      </c>
      <c r="E1618" s="69" t="s">
        <v>92</v>
      </c>
      <c r="F1618" s="69" t="s">
        <v>31</v>
      </c>
      <c r="G1618" s="69" t="s">
        <v>116</v>
      </c>
      <c r="H1618" s="0" t="n">
        <v>43</v>
      </c>
      <c r="I1618" s="70" t="n">
        <v>83.3</v>
      </c>
      <c r="J1618" s="70" t="n">
        <v>48.03</v>
      </c>
      <c r="K1618" s="70" t="n">
        <f aca="false">IF(ISTEXT(H1618),VALUE(H1618),H1618)*I1618</f>
        <v>3581.9</v>
      </c>
    </row>
    <row r="1619" customFormat="false" ht="15" hidden="false" customHeight="false" outlineLevel="0" collapsed="false">
      <c r="A1619" s="0" t="n">
        <v>1274</v>
      </c>
      <c r="B1619" s="69" t="s">
        <v>688</v>
      </c>
      <c r="C1619" s="69" t="s">
        <v>32</v>
      </c>
      <c r="D1619" s="69" t="s">
        <v>137</v>
      </c>
      <c r="E1619" s="69" t="s">
        <v>125</v>
      </c>
      <c r="F1619" s="69" t="s">
        <v>115</v>
      </c>
      <c r="G1619" s="69" t="s">
        <v>156</v>
      </c>
      <c r="H1619" s="0" t="n">
        <v>9</v>
      </c>
      <c r="I1619" s="70" t="n">
        <v>119.23</v>
      </c>
      <c r="J1619" s="70" t="n">
        <v>65.51</v>
      </c>
      <c r="K1619" s="70" t="n">
        <f aca="false">IF(ISTEXT(H1619),VALUE(H1619),H1619)*I1619</f>
        <v>1073.07</v>
      </c>
    </row>
    <row r="1620" customFormat="false" ht="15" hidden="false" customHeight="false" outlineLevel="0" collapsed="false">
      <c r="A1620" s="0" t="n">
        <v>570</v>
      </c>
      <c r="B1620" s="68" t="n">
        <v>45465</v>
      </c>
      <c r="C1620" s="69" t="s">
        <v>193</v>
      </c>
      <c r="D1620" s="69" t="s">
        <v>137</v>
      </c>
      <c r="E1620" s="69" t="s">
        <v>180</v>
      </c>
      <c r="F1620" s="69" t="s">
        <v>155</v>
      </c>
      <c r="G1620" s="69" t="s">
        <v>235</v>
      </c>
      <c r="H1620" s="0" t="n">
        <v>11</v>
      </c>
      <c r="I1620" s="70" t="n">
        <v>93.1</v>
      </c>
      <c r="J1620" s="70" t="n">
        <v>47.98</v>
      </c>
      <c r="K1620" s="70" t="n">
        <f aca="false">IF(ISTEXT(H1620),VALUE(H1620),H1620)*I1620</f>
        <v>1024.1</v>
      </c>
    </row>
    <row r="1621" customFormat="false" ht="15" hidden="false" customHeight="false" outlineLevel="0" collapsed="false">
      <c r="A1621" s="0" t="n">
        <v>2292</v>
      </c>
      <c r="B1621" s="69" t="s">
        <v>474</v>
      </c>
      <c r="C1621" s="69" t="s">
        <v>161</v>
      </c>
      <c r="D1621" s="69" t="s">
        <v>112</v>
      </c>
      <c r="E1621" s="69" t="s">
        <v>87</v>
      </c>
      <c r="F1621" s="69" t="s">
        <v>28</v>
      </c>
      <c r="G1621" s="69" t="s">
        <v>208</v>
      </c>
      <c r="H1621" s="0" t="n">
        <v>24</v>
      </c>
      <c r="I1621" s="70" t="n">
        <v>65.26</v>
      </c>
      <c r="J1621" s="70" t="n">
        <v>36.49</v>
      </c>
      <c r="K1621" s="70" t="n">
        <f aca="false">IF(ISTEXT(H1621),VALUE(H1621),H1621)*I1621</f>
        <v>1566.24</v>
      </c>
    </row>
    <row r="1622" customFormat="false" ht="15" hidden="false" customHeight="false" outlineLevel="0" collapsed="false">
      <c r="A1622" s="0" t="n">
        <v>399</v>
      </c>
      <c r="B1622" s="69" t="s">
        <v>689</v>
      </c>
      <c r="C1622" s="69" t="s">
        <v>133</v>
      </c>
      <c r="D1622" s="69" t="s">
        <v>112</v>
      </c>
      <c r="E1622" s="69" t="s">
        <v>134</v>
      </c>
      <c r="F1622" s="69" t="s">
        <v>183</v>
      </c>
      <c r="G1622" s="69" t="s">
        <v>53</v>
      </c>
      <c r="H1622" s="0" t="n">
        <v>19</v>
      </c>
      <c r="I1622" s="70" t="n">
        <v>34.3</v>
      </c>
      <c r="J1622" s="70" t="n">
        <v>17.85</v>
      </c>
      <c r="K1622" s="70" t="n">
        <f aca="false">IF(ISTEXT(H1622),VALUE(H1622),H1622)*I1622</f>
        <v>651.7</v>
      </c>
    </row>
    <row r="1623" customFormat="false" ht="15" hidden="false" customHeight="false" outlineLevel="0" collapsed="false">
      <c r="A1623" s="0" t="n">
        <v>1142</v>
      </c>
      <c r="B1623" s="68" t="n">
        <v>45629</v>
      </c>
      <c r="C1623" s="69" t="s">
        <v>30</v>
      </c>
      <c r="D1623" s="69" t="s">
        <v>109</v>
      </c>
      <c r="E1623" s="69" t="s">
        <v>119</v>
      </c>
      <c r="F1623" s="69" t="s">
        <v>26</v>
      </c>
      <c r="G1623" s="69" t="s">
        <v>41</v>
      </c>
      <c r="H1623" s="0" t="n">
        <v>6</v>
      </c>
      <c r="I1623" s="70" t="n">
        <v>1176</v>
      </c>
      <c r="J1623" s="70" t="n">
        <v>744</v>
      </c>
      <c r="K1623" s="70" t="n">
        <f aca="false">IF(ISTEXT(H1623),VALUE(H1623),H1623)*I1623</f>
        <v>7056</v>
      </c>
    </row>
    <row r="1624" customFormat="false" ht="15" hidden="false" customHeight="false" outlineLevel="0" collapsed="false">
      <c r="A1624" s="0" t="n">
        <v>522</v>
      </c>
      <c r="B1624" s="68" t="n">
        <v>45453</v>
      </c>
      <c r="C1624" s="69" t="s">
        <v>27</v>
      </c>
      <c r="D1624" s="69" t="s">
        <v>86</v>
      </c>
      <c r="E1624" s="69" t="s">
        <v>125</v>
      </c>
      <c r="F1624" s="69" t="s">
        <v>153</v>
      </c>
      <c r="G1624" s="69" t="s">
        <v>41</v>
      </c>
      <c r="H1624" s="0" t="n">
        <v>5</v>
      </c>
      <c r="I1624" s="70" t="n">
        <v>1176</v>
      </c>
      <c r="J1624" s="70" t="n">
        <v>744</v>
      </c>
      <c r="K1624" s="70" t="n">
        <f aca="false">IF(ISTEXT(H1624),VALUE(H1624),H1624)*I1624</f>
        <v>5880</v>
      </c>
    </row>
    <row r="1625" customFormat="false" ht="15" hidden="false" customHeight="false" outlineLevel="0" collapsed="false">
      <c r="A1625" s="0" t="n">
        <v>2313</v>
      </c>
      <c r="B1625" s="68" t="n">
        <v>46010</v>
      </c>
      <c r="C1625" s="69" t="s">
        <v>96</v>
      </c>
      <c r="D1625" s="69"/>
      <c r="E1625" s="69" t="s">
        <v>138</v>
      </c>
      <c r="F1625" s="69" t="s">
        <v>162</v>
      </c>
      <c r="G1625" s="69" t="s">
        <v>156</v>
      </c>
      <c r="H1625" s="0" t="n">
        <v>56</v>
      </c>
      <c r="I1625" s="70" t="n">
        <v>120.47</v>
      </c>
      <c r="J1625" s="70" t="n">
        <v>65.51</v>
      </c>
      <c r="K1625" s="70" t="n">
        <f aca="false">IF(ISTEXT(H1625),VALUE(H1625),H1625)*I1625</f>
        <v>6746.32</v>
      </c>
    </row>
    <row r="1626" customFormat="false" ht="15" hidden="false" customHeight="false" outlineLevel="0" collapsed="false">
      <c r="A1626" s="0" t="n">
        <v>662</v>
      </c>
      <c r="B1626" s="68" t="n">
        <v>45491</v>
      </c>
      <c r="C1626" s="69" t="s">
        <v>32</v>
      </c>
      <c r="D1626" s="69" t="s">
        <v>137</v>
      </c>
      <c r="E1626" s="69" t="s">
        <v>180</v>
      </c>
      <c r="F1626" s="69" t="s">
        <v>135</v>
      </c>
      <c r="G1626" s="69" t="s">
        <v>151</v>
      </c>
      <c r="H1626" s="0" t="n">
        <v>3</v>
      </c>
      <c r="I1626" s="70" t="n">
        <v>1176</v>
      </c>
      <c r="J1626" s="70" t="n">
        <v>744</v>
      </c>
      <c r="K1626" s="70" t="n">
        <f aca="false">IF(ISTEXT(H1626),VALUE(H1626),H1626)*I1626</f>
        <v>3528</v>
      </c>
    </row>
    <row r="1627" customFormat="false" ht="15" hidden="false" customHeight="false" outlineLevel="0" collapsed="false">
      <c r="A1627" s="0" t="n">
        <v>104</v>
      </c>
      <c r="B1627" s="68" t="n">
        <v>45349</v>
      </c>
      <c r="C1627" s="69" t="s">
        <v>124</v>
      </c>
      <c r="D1627" s="69" t="s">
        <v>97</v>
      </c>
      <c r="E1627" s="69" t="s">
        <v>180</v>
      </c>
      <c r="F1627" s="69" t="s">
        <v>88</v>
      </c>
      <c r="G1627" s="69" t="s">
        <v>43</v>
      </c>
      <c r="H1627" s="0" t="n">
        <v>8</v>
      </c>
      <c r="I1627" s="70" t="n">
        <v>441</v>
      </c>
      <c r="J1627" s="70" t="n">
        <v>272.25</v>
      </c>
      <c r="K1627" s="70" t="n">
        <f aca="false">IF(ISTEXT(H1627),VALUE(H1627),H1627)*I1627</f>
        <v>3528</v>
      </c>
    </row>
    <row r="1628" customFormat="false" ht="15" hidden="false" customHeight="false" outlineLevel="0" collapsed="false">
      <c r="A1628" s="0" t="n">
        <v>1331</v>
      </c>
      <c r="B1628" s="68" t="n">
        <v>45691</v>
      </c>
      <c r="C1628" s="69" t="s">
        <v>91</v>
      </c>
      <c r="D1628" s="69" t="s">
        <v>86</v>
      </c>
      <c r="E1628" s="69" t="s">
        <v>92</v>
      </c>
      <c r="F1628" s="69" t="s">
        <v>143</v>
      </c>
      <c r="G1628" s="69" t="s">
        <v>208</v>
      </c>
      <c r="H1628" s="0" t="n">
        <v>46</v>
      </c>
      <c r="I1628" s="70" t="n">
        <v>64.58</v>
      </c>
      <c r="J1628" s="70" t="n">
        <v>36.49</v>
      </c>
      <c r="K1628" s="70" t="n">
        <f aca="false">IF(ISTEXT(H1628),VALUE(H1628),H1628)*I1628</f>
        <v>2970.68</v>
      </c>
    </row>
    <row r="1629" customFormat="false" ht="15" hidden="false" customHeight="false" outlineLevel="0" collapsed="false">
      <c r="A1629" s="0" t="n">
        <v>469</v>
      </c>
      <c r="B1629" s="69" t="s">
        <v>661</v>
      </c>
      <c r="C1629" s="69" t="s">
        <v>184</v>
      </c>
      <c r="D1629" s="69" t="s">
        <v>137</v>
      </c>
      <c r="E1629" s="69" t="s">
        <v>110</v>
      </c>
      <c r="F1629" s="69" t="s">
        <v>155</v>
      </c>
      <c r="G1629" s="69" t="s">
        <v>172</v>
      </c>
      <c r="H1629" s="0" t="n">
        <v>26</v>
      </c>
      <c r="I1629" s="70" t="n">
        <v>93.1</v>
      </c>
      <c r="J1629" s="70" t="n">
        <v>47.98</v>
      </c>
      <c r="K1629" s="70" t="n">
        <f aca="false">IF(ISTEXT(H1629),VALUE(H1629),H1629)*I1629</f>
        <v>2420.6</v>
      </c>
    </row>
    <row r="1630" customFormat="false" ht="15" hidden="false" customHeight="false" outlineLevel="0" collapsed="false">
      <c r="A1630" s="0" t="n">
        <v>1534</v>
      </c>
      <c r="B1630" s="68" t="n">
        <v>45767</v>
      </c>
      <c r="C1630" s="69" t="s">
        <v>27</v>
      </c>
      <c r="D1630" s="69" t="s">
        <v>86</v>
      </c>
      <c r="E1630" s="69" t="s">
        <v>180</v>
      </c>
      <c r="F1630" s="69" t="s">
        <v>115</v>
      </c>
      <c r="G1630" s="69" t="s">
        <v>50</v>
      </c>
      <c r="H1630" s="0" t="n">
        <v>14</v>
      </c>
      <c r="I1630" s="70" t="n">
        <v>119.23</v>
      </c>
      <c r="J1630" s="70" t="n">
        <v>65.51</v>
      </c>
      <c r="K1630" s="70" t="n">
        <f aca="false">IF(ISTEXT(H1630),VALUE(H1630),H1630)*I1630</f>
        <v>1669.22</v>
      </c>
    </row>
    <row r="1631" customFormat="false" ht="15" hidden="false" customHeight="false" outlineLevel="0" collapsed="false">
      <c r="A1631" s="0" t="n">
        <v>811</v>
      </c>
      <c r="B1631" s="68" t="n">
        <v>45543</v>
      </c>
      <c r="C1631" s="69" t="s">
        <v>124</v>
      </c>
      <c r="D1631" s="69" t="s">
        <v>97</v>
      </c>
      <c r="E1631" s="69" t="s">
        <v>92</v>
      </c>
      <c r="F1631" s="69" t="s">
        <v>99</v>
      </c>
      <c r="G1631" s="69" t="s">
        <v>208</v>
      </c>
      <c r="H1631" s="0" t="n">
        <v>96</v>
      </c>
      <c r="I1631" s="70" t="n">
        <v>63.7</v>
      </c>
      <c r="J1631" s="70" t="n">
        <v>35.43</v>
      </c>
      <c r="K1631" s="70" t="n">
        <f aca="false">IF(ISTEXT(H1631),VALUE(H1631),H1631)*I1631</f>
        <v>6115.2</v>
      </c>
    </row>
    <row r="1632" customFormat="false" ht="15" hidden="false" customHeight="false" outlineLevel="0" collapsed="false">
      <c r="A1632" s="0" t="n">
        <v>1580</v>
      </c>
      <c r="B1632" s="69" t="s">
        <v>690</v>
      </c>
      <c r="C1632" s="69" t="s">
        <v>136</v>
      </c>
      <c r="D1632" s="69" t="s">
        <v>137</v>
      </c>
      <c r="E1632" s="69" t="s">
        <v>180</v>
      </c>
      <c r="F1632" s="69" t="s">
        <v>93</v>
      </c>
      <c r="G1632" s="69" t="s">
        <v>217</v>
      </c>
      <c r="H1632" s="0" t="n">
        <v>10</v>
      </c>
      <c r="I1632" s="70" t="n">
        <v>34.78</v>
      </c>
      <c r="J1632" s="70" t="n">
        <v>18.39</v>
      </c>
      <c r="K1632" s="70" t="n">
        <f aca="false">IF(ISTEXT(H1632),VALUE(H1632),H1632)*I1632</f>
        <v>347.8</v>
      </c>
    </row>
    <row r="1633" customFormat="false" ht="15" hidden="false" customHeight="false" outlineLevel="0" collapsed="false">
      <c r="A1633" s="0" t="n">
        <v>360</v>
      </c>
      <c r="B1633" s="68" t="n">
        <v>45392</v>
      </c>
      <c r="C1633" s="69" t="s">
        <v>152</v>
      </c>
      <c r="D1633" s="69" t="s">
        <v>109</v>
      </c>
      <c r="E1633" s="69" t="s">
        <v>180</v>
      </c>
      <c r="F1633" s="69" t="s">
        <v>33</v>
      </c>
      <c r="G1633" s="69" t="s">
        <v>94</v>
      </c>
      <c r="H1633" s="0" t="n">
        <v>10</v>
      </c>
      <c r="I1633" s="70" t="n">
        <v>34.3</v>
      </c>
      <c r="J1633" s="70" t="n">
        <v>17.85</v>
      </c>
      <c r="K1633" s="70" t="n">
        <f aca="false">IF(ISTEXT(H1633),VALUE(H1633),H1633)*I1633</f>
        <v>343</v>
      </c>
    </row>
    <row r="1634" customFormat="false" ht="15" hidden="false" customHeight="false" outlineLevel="0" collapsed="false">
      <c r="A1634" s="0" t="n">
        <v>2070</v>
      </c>
      <c r="B1634" s="68" t="n">
        <v>45919</v>
      </c>
      <c r="C1634" s="69" t="s">
        <v>136</v>
      </c>
      <c r="D1634" s="69" t="s">
        <v>137</v>
      </c>
      <c r="E1634" s="69" t="s">
        <v>180</v>
      </c>
      <c r="F1634" s="69" t="s">
        <v>155</v>
      </c>
      <c r="G1634" s="69" t="s">
        <v>48</v>
      </c>
      <c r="H1634" s="0" t="n">
        <v>21</v>
      </c>
      <c r="I1634" s="70" t="n">
        <v>95.38</v>
      </c>
      <c r="J1634" s="70" t="n">
        <v>49.41</v>
      </c>
      <c r="K1634" s="70" t="n">
        <f aca="false">IF(ISTEXT(H1634),VALUE(H1634),H1634)*I1634</f>
        <v>2002.98</v>
      </c>
    </row>
    <row r="1635" customFormat="false" ht="15" hidden="false" customHeight="false" outlineLevel="0" collapsed="false">
      <c r="A1635" s="0" t="n">
        <v>1185</v>
      </c>
      <c r="B1635" s="69" t="s">
        <v>691</v>
      </c>
      <c r="C1635" s="69" t="s">
        <v>133</v>
      </c>
      <c r="D1635" s="69" t="s">
        <v>112</v>
      </c>
      <c r="E1635" s="69" t="s">
        <v>92</v>
      </c>
      <c r="F1635" s="69" t="s">
        <v>139</v>
      </c>
      <c r="G1635" s="69" t="s">
        <v>45</v>
      </c>
      <c r="H1635" s="0" t="n">
        <v>9</v>
      </c>
      <c r="I1635" s="70" t="n">
        <v>1617</v>
      </c>
      <c r="J1635" s="70" t="n">
        <v>1122</v>
      </c>
      <c r="K1635" s="70" t="n">
        <f aca="false">IF(ISTEXT(H1635),VALUE(H1635),H1635)*I1635</f>
        <v>14553</v>
      </c>
    </row>
    <row r="1636" customFormat="false" ht="15" hidden="false" customHeight="false" outlineLevel="0" collapsed="false">
      <c r="A1636" s="0" t="n">
        <v>2344</v>
      </c>
      <c r="B1636" s="69" t="s">
        <v>692</v>
      </c>
      <c r="C1636" s="69" t="s">
        <v>30</v>
      </c>
      <c r="D1636" s="69" t="s">
        <v>109</v>
      </c>
      <c r="E1636" s="69" t="s">
        <v>87</v>
      </c>
      <c r="F1636" s="69" t="s">
        <v>88</v>
      </c>
      <c r="G1636" s="69" t="s">
        <v>177</v>
      </c>
      <c r="H1636" s="0" t="n">
        <v>8</v>
      </c>
      <c r="I1636" s="70" t="n">
        <v>451.78</v>
      </c>
      <c r="J1636" s="70" t="n">
        <v>280.42</v>
      </c>
      <c r="K1636" s="70" t="n">
        <f aca="false">IF(ISTEXT(H1636),VALUE(H1636),H1636)*I1636</f>
        <v>3614.24</v>
      </c>
    </row>
    <row r="1637" customFormat="false" ht="15" hidden="false" customHeight="false" outlineLevel="0" collapsed="false">
      <c r="A1637" s="0" t="n">
        <v>1985</v>
      </c>
      <c r="B1637" s="69" t="s">
        <v>693</v>
      </c>
      <c r="C1637" s="69" t="s">
        <v>34</v>
      </c>
      <c r="D1637" s="69" t="s">
        <v>112</v>
      </c>
      <c r="E1637" s="69" t="s">
        <v>92</v>
      </c>
      <c r="F1637" s="69" t="s">
        <v>88</v>
      </c>
      <c r="G1637" s="69" t="s">
        <v>45</v>
      </c>
      <c r="H1637" s="0" t="n">
        <v>5</v>
      </c>
      <c r="I1637" s="70" t="n">
        <v>1656.52</v>
      </c>
      <c r="J1637" s="70" t="n">
        <v>1155.66</v>
      </c>
      <c r="K1637" s="70" t="n">
        <f aca="false">IF(ISTEXT(H1637),VALUE(H1637),H1637)*I1637</f>
        <v>8282.6</v>
      </c>
    </row>
    <row r="1638" customFormat="false" ht="15" hidden="false" customHeight="false" outlineLevel="0" collapsed="false">
      <c r="A1638" s="0" t="n">
        <v>2106</v>
      </c>
      <c r="B1638" s="68" t="n">
        <v>45931</v>
      </c>
      <c r="C1638" s="69" t="s">
        <v>25</v>
      </c>
      <c r="D1638" s="69" t="s">
        <v>97</v>
      </c>
      <c r="E1638" s="69" t="s">
        <v>98</v>
      </c>
      <c r="F1638" s="69" t="s">
        <v>147</v>
      </c>
      <c r="G1638" s="69" t="s">
        <v>141</v>
      </c>
      <c r="H1638" s="0" t="n">
        <v>15</v>
      </c>
      <c r="I1638" s="70" t="n">
        <v>1656.52</v>
      </c>
      <c r="J1638" s="70" t="n">
        <v>1155.66</v>
      </c>
      <c r="K1638" s="70" t="n">
        <f aca="false">IF(ISTEXT(H1638),VALUE(H1638),H1638)*I1638</f>
        <v>24847.8</v>
      </c>
    </row>
    <row r="1639" customFormat="false" ht="15" hidden="false" customHeight="false" outlineLevel="0" collapsed="false">
      <c r="A1639" s="0" t="n">
        <v>904</v>
      </c>
      <c r="B1639" s="68" t="n">
        <v>45576</v>
      </c>
      <c r="C1639" s="69" t="s">
        <v>25</v>
      </c>
      <c r="D1639" s="69" t="s">
        <v>97</v>
      </c>
      <c r="E1639" s="69" t="s">
        <v>119</v>
      </c>
      <c r="F1639" s="69" t="s">
        <v>139</v>
      </c>
      <c r="G1639" s="69" t="s">
        <v>177</v>
      </c>
      <c r="H1639" s="0" t="s">
        <v>148</v>
      </c>
      <c r="I1639" s="70" t="n">
        <v>441</v>
      </c>
      <c r="J1639" s="70" t="n">
        <v>272.25</v>
      </c>
      <c r="K1639" s="70" t="n">
        <f aca="false">IF(ISTEXT(H1639),VALUE(H1639),H1639)*I1639</f>
        <v>3528</v>
      </c>
    </row>
    <row r="1640" customFormat="false" ht="15" hidden="false" customHeight="false" outlineLevel="0" collapsed="false">
      <c r="A1640" s="0" t="n">
        <v>824</v>
      </c>
      <c r="B1640" s="69" t="s">
        <v>694</v>
      </c>
      <c r="C1640" s="69" t="s">
        <v>120</v>
      </c>
      <c r="D1640" s="69" t="s">
        <v>86</v>
      </c>
      <c r="E1640" s="69" t="s">
        <v>125</v>
      </c>
      <c r="F1640" s="69" t="s">
        <v>88</v>
      </c>
      <c r="G1640" s="69" t="s">
        <v>89</v>
      </c>
      <c r="H1640" s="0" t="n">
        <v>5</v>
      </c>
      <c r="I1640" s="70" t="n">
        <v>441</v>
      </c>
      <c r="J1640" s="70" t="n">
        <v>272.25</v>
      </c>
      <c r="K1640" s="70" t="n">
        <f aca="false">IF(ISTEXT(H1640),VALUE(H1640),H1640)*I1640</f>
        <v>2205</v>
      </c>
    </row>
    <row r="1641" customFormat="false" ht="15" hidden="false" customHeight="false" outlineLevel="0" collapsed="false">
      <c r="A1641" s="0" t="n">
        <v>1606</v>
      </c>
      <c r="B1641" s="69" t="s">
        <v>695</v>
      </c>
      <c r="C1641" s="69" t="s">
        <v>96</v>
      </c>
      <c r="D1641" s="69" t="s">
        <v>97</v>
      </c>
      <c r="E1641" s="69" t="s">
        <v>125</v>
      </c>
      <c r="F1641" s="69" t="s">
        <v>88</v>
      </c>
      <c r="G1641" s="69" t="s">
        <v>157</v>
      </c>
      <c r="H1641" s="0" t="n">
        <v>13</v>
      </c>
      <c r="I1641" s="70" t="n">
        <v>1588.21</v>
      </c>
      <c r="J1641" s="70" t="n">
        <v>1155.66</v>
      </c>
      <c r="K1641" s="70" t="n">
        <f aca="false">IF(ISTEXT(H1641),VALUE(H1641),H1641)*I1641</f>
        <v>20646.73</v>
      </c>
    </row>
    <row r="1642" customFormat="false" ht="15" hidden="false" customHeight="false" outlineLevel="0" collapsed="false">
      <c r="A1642" s="0" t="n">
        <v>604</v>
      </c>
      <c r="B1642" s="69" t="s">
        <v>696</v>
      </c>
      <c r="C1642" s="69" t="s">
        <v>150</v>
      </c>
      <c r="D1642" s="69"/>
      <c r="E1642" s="69" t="s">
        <v>107</v>
      </c>
      <c r="F1642" s="69" t="s">
        <v>26</v>
      </c>
      <c r="G1642" s="69" t="s">
        <v>43</v>
      </c>
      <c r="H1642" s="0" t="n">
        <v>9</v>
      </c>
      <c r="I1642" s="70" t="n">
        <v>441</v>
      </c>
      <c r="J1642" s="70" t="n">
        <v>272.25</v>
      </c>
      <c r="K1642" s="70" t="n">
        <f aca="false">IF(ISTEXT(H1642),VALUE(H1642),H1642)*I1642</f>
        <v>3969</v>
      </c>
    </row>
    <row r="1643" customFormat="false" ht="15" hidden="false" customHeight="false" outlineLevel="0" collapsed="false">
      <c r="A1643" s="0" t="n">
        <v>138</v>
      </c>
      <c r="B1643" s="68" t="n">
        <v>45344</v>
      </c>
      <c r="C1643" s="69" t="s">
        <v>27</v>
      </c>
      <c r="D1643" s="69" t="s">
        <v>86</v>
      </c>
      <c r="E1643" s="69" t="s">
        <v>87</v>
      </c>
      <c r="F1643" s="69" t="s">
        <v>33</v>
      </c>
      <c r="G1643" s="69" t="s">
        <v>52</v>
      </c>
      <c r="H1643" s="0" t="n">
        <v>10</v>
      </c>
      <c r="I1643" s="70" t="n">
        <v>127.4</v>
      </c>
      <c r="J1643" s="70" t="n">
        <v>76.05</v>
      </c>
      <c r="K1643" s="70" t="n">
        <f aca="false">IF(ISTEXT(H1643),VALUE(H1643),H1643)*I1643</f>
        <v>1274</v>
      </c>
    </row>
    <row r="1644" customFormat="false" ht="15" hidden="false" customHeight="false" outlineLevel="0" collapsed="false">
      <c r="A1644" s="0" t="n">
        <v>1250</v>
      </c>
      <c r="B1644" s="68" t="n">
        <v>45660</v>
      </c>
      <c r="C1644" s="69" t="s">
        <v>108</v>
      </c>
      <c r="D1644" s="69" t="s">
        <v>109</v>
      </c>
      <c r="E1644" s="69" t="s">
        <v>98</v>
      </c>
      <c r="F1644" s="69" t="s">
        <v>143</v>
      </c>
      <c r="G1644" s="69" t="s">
        <v>172</v>
      </c>
      <c r="H1644" s="0" t="n">
        <v>22</v>
      </c>
      <c r="I1644" s="70" t="n">
        <v>94.39</v>
      </c>
      <c r="J1644" s="70" t="n">
        <v>49.41</v>
      </c>
      <c r="K1644" s="70" t="n">
        <f aca="false">IF(ISTEXT(H1644),VALUE(H1644),H1644)*I1644</f>
        <v>2076.58</v>
      </c>
    </row>
    <row r="1645" customFormat="false" ht="15" hidden="false" customHeight="false" outlineLevel="0" collapsed="false">
      <c r="A1645" s="0" t="n">
        <v>391</v>
      </c>
      <c r="B1645" s="68" t="n">
        <v>45393</v>
      </c>
      <c r="C1645" s="69" t="s">
        <v>142</v>
      </c>
      <c r="D1645" s="69"/>
      <c r="E1645" s="69" t="s">
        <v>134</v>
      </c>
      <c r="F1645" s="69" t="s">
        <v>143</v>
      </c>
      <c r="G1645" s="69" t="s">
        <v>208</v>
      </c>
      <c r="H1645" s="0" t="n">
        <v>32</v>
      </c>
      <c r="I1645" s="70" t="n">
        <v>63.7</v>
      </c>
      <c r="J1645" s="70" t="n">
        <v>35.43</v>
      </c>
      <c r="K1645" s="70" t="n">
        <f aca="false">IF(ISTEXT(H1645),VALUE(H1645),H1645)*I1645</f>
        <v>2038.4</v>
      </c>
    </row>
    <row r="1646" customFormat="false" ht="15" hidden="false" customHeight="false" outlineLevel="0" collapsed="false">
      <c r="A1646" s="0" t="n">
        <v>90</v>
      </c>
      <c r="B1646" s="69" t="s">
        <v>697</v>
      </c>
      <c r="C1646" s="69" t="s">
        <v>161</v>
      </c>
      <c r="D1646" s="69" t="s">
        <v>112</v>
      </c>
      <c r="E1646" s="69" t="s">
        <v>87</v>
      </c>
      <c r="F1646" s="69" t="s">
        <v>143</v>
      </c>
      <c r="G1646" s="69" t="s">
        <v>235</v>
      </c>
      <c r="H1646" s="0" t="n">
        <v>10</v>
      </c>
      <c r="I1646" s="70" t="n">
        <v>93.1</v>
      </c>
      <c r="J1646" s="70" t="n">
        <v>47.98</v>
      </c>
      <c r="K1646" s="70" t="n">
        <f aca="false">IF(ISTEXT(H1646),VALUE(H1646),H1646)*I1646</f>
        <v>931</v>
      </c>
    </row>
    <row r="1647" customFormat="false" ht="15" hidden="false" customHeight="false" outlineLevel="0" collapsed="false">
      <c r="A1647" s="0" t="n">
        <v>1169</v>
      </c>
      <c r="B1647" s="68" t="n">
        <v>45629</v>
      </c>
      <c r="C1647" s="69" t="s">
        <v>193</v>
      </c>
      <c r="D1647" s="69" t="s">
        <v>137</v>
      </c>
      <c r="E1647" s="69" t="s">
        <v>110</v>
      </c>
      <c r="F1647" s="69" t="s">
        <v>28</v>
      </c>
      <c r="G1647" s="69" t="s">
        <v>48</v>
      </c>
      <c r="H1647" s="0" t="n">
        <v>52</v>
      </c>
      <c r="I1647" s="70" t="n">
        <v>93.1</v>
      </c>
      <c r="J1647" s="70" t="n">
        <v>47.98</v>
      </c>
      <c r="K1647" s="70" t="n">
        <f aca="false">IF(ISTEXT(H1647),VALUE(H1647),H1647)*I1647</f>
        <v>4841.2</v>
      </c>
    </row>
    <row r="1648" customFormat="false" ht="15" hidden="false" customHeight="false" outlineLevel="0" collapsed="false">
      <c r="A1648" s="0" t="n">
        <v>1930</v>
      </c>
      <c r="B1648" s="68" t="n">
        <v>45880</v>
      </c>
      <c r="C1648" s="69" t="s">
        <v>27</v>
      </c>
      <c r="D1648" s="69" t="s">
        <v>86</v>
      </c>
      <c r="E1648" s="69" t="s">
        <v>107</v>
      </c>
      <c r="F1648" s="69" t="s">
        <v>28</v>
      </c>
      <c r="G1648" s="69" t="s">
        <v>172</v>
      </c>
      <c r="H1648" s="0" t="n">
        <v>35</v>
      </c>
      <c r="I1648" s="70" t="n">
        <v>95.38</v>
      </c>
      <c r="J1648" s="70" t="n">
        <v>49.41</v>
      </c>
      <c r="K1648" s="70" t="n">
        <f aca="false">IF(ISTEXT(H1648),VALUE(H1648),H1648)*I1648</f>
        <v>3338.3</v>
      </c>
    </row>
    <row r="1649" customFormat="false" ht="15" hidden="false" customHeight="false" outlineLevel="0" collapsed="false">
      <c r="A1649" s="0" t="n">
        <v>1519</v>
      </c>
      <c r="B1649" s="68" t="n">
        <v>45770</v>
      </c>
      <c r="C1649" s="69" t="s">
        <v>150</v>
      </c>
      <c r="D1649" s="69" t="s">
        <v>97</v>
      </c>
      <c r="E1649" s="69" t="s">
        <v>121</v>
      </c>
      <c r="F1649" s="69" t="s">
        <v>182</v>
      </c>
      <c r="G1649" s="69" t="s">
        <v>53</v>
      </c>
      <c r="H1649" s="0" t="n">
        <v>47</v>
      </c>
      <c r="I1649" s="70" t="n">
        <v>34.78</v>
      </c>
      <c r="J1649" s="70" t="n">
        <v>18.39</v>
      </c>
      <c r="K1649" s="70" t="n">
        <f aca="false">IF(ISTEXT(H1649),VALUE(H1649),H1649)*I1649</f>
        <v>1634.66</v>
      </c>
    </row>
    <row r="1650" customFormat="false" ht="15" hidden="false" customHeight="false" outlineLevel="0" collapsed="false">
      <c r="A1650" s="0" t="n">
        <v>1796</v>
      </c>
      <c r="B1650" s="68" t="n">
        <v>45826</v>
      </c>
      <c r="C1650" s="69" t="s">
        <v>161</v>
      </c>
      <c r="D1650" s="69" t="s">
        <v>112</v>
      </c>
      <c r="E1650" s="69" t="s">
        <v>125</v>
      </c>
      <c r="F1650" s="69" t="s">
        <v>166</v>
      </c>
      <c r="G1650" s="69" t="s">
        <v>111</v>
      </c>
      <c r="H1650" s="0" t="n">
        <v>11</v>
      </c>
      <c r="I1650" s="70" t="n">
        <v>84.46</v>
      </c>
      <c r="J1650" s="70" t="n">
        <v>49.47</v>
      </c>
      <c r="K1650" s="70" t="n">
        <f aca="false">IF(ISTEXT(H1650),VALUE(H1650),H1650)*I1650</f>
        <v>929.06</v>
      </c>
    </row>
    <row r="1651" customFormat="false" ht="15" hidden="false" customHeight="false" outlineLevel="0" collapsed="false">
      <c r="A1651" s="0" t="n">
        <v>475</v>
      </c>
      <c r="B1651" s="68" t="n">
        <v>45417</v>
      </c>
      <c r="C1651" s="69" t="s">
        <v>136</v>
      </c>
      <c r="D1651" s="69" t="s">
        <v>137</v>
      </c>
      <c r="E1651" s="69" t="s">
        <v>138</v>
      </c>
      <c r="F1651" s="69" t="s">
        <v>115</v>
      </c>
      <c r="G1651" s="69" t="s">
        <v>51</v>
      </c>
      <c r="H1651" s="0" t="n">
        <v>15</v>
      </c>
      <c r="I1651" s="70" t="n">
        <v>83.3</v>
      </c>
      <c r="J1651" s="70" t="n">
        <v>48.03</v>
      </c>
      <c r="K1651" s="70" t="n">
        <f aca="false">IF(ISTEXT(H1651),VALUE(H1651),H1651)*I1651</f>
        <v>1249.5</v>
      </c>
    </row>
    <row r="1652" customFormat="false" ht="15" hidden="false" customHeight="false" outlineLevel="0" collapsed="false">
      <c r="A1652" s="0" t="n">
        <v>625</v>
      </c>
      <c r="B1652" s="69" t="s">
        <v>698</v>
      </c>
      <c r="C1652" s="69" t="s">
        <v>27</v>
      </c>
      <c r="D1652" s="69" t="s">
        <v>86</v>
      </c>
      <c r="E1652" s="69" t="s">
        <v>138</v>
      </c>
      <c r="F1652" s="69" t="s">
        <v>153</v>
      </c>
      <c r="G1652" s="69" t="s">
        <v>141</v>
      </c>
      <c r="H1652" s="0" t="n">
        <v>15</v>
      </c>
      <c r="I1652" s="70" t="n">
        <v>1617</v>
      </c>
      <c r="J1652" s="70" t="n">
        <v>1122</v>
      </c>
      <c r="K1652" s="70" t="n">
        <f aca="false">IF(ISTEXT(H1652),VALUE(H1652),H1652)*I1652</f>
        <v>24255</v>
      </c>
    </row>
    <row r="1653" customFormat="false" ht="15" hidden="false" customHeight="false" outlineLevel="0" collapsed="false">
      <c r="A1653" s="0" t="n">
        <v>127</v>
      </c>
      <c r="B1653" s="69" t="s">
        <v>699</v>
      </c>
      <c r="C1653" s="69" t="s">
        <v>159</v>
      </c>
      <c r="D1653" s="69" t="s">
        <v>86</v>
      </c>
      <c r="E1653" s="69" t="s">
        <v>92</v>
      </c>
      <c r="F1653" s="69" t="s">
        <v>99</v>
      </c>
      <c r="G1653" s="69" t="s">
        <v>113</v>
      </c>
      <c r="H1653" s="0" t="n">
        <v>44</v>
      </c>
      <c r="I1653" s="70" t="n">
        <v>27.44</v>
      </c>
      <c r="J1653" s="70" t="n">
        <v>13.44</v>
      </c>
      <c r="K1653" s="70" t="n">
        <f aca="false">IF(ISTEXT(H1653),VALUE(H1653),H1653)*I1653</f>
        <v>1207.36</v>
      </c>
    </row>
    <row r="1654" customFormat="false" ht="15" hidden="false" customHeight="false" outlineLevel="0" collapsed="false">
      <c r="A1654" s="0" t="n">
        <v>637</v>
      </c>
      <c r="B1654" s="68" t="n">
        <v>45478</v>
      </c>
      <c r="C1654" s="69" t="s">
        <v>91</v>
      </c>
      <c r="D1654" s="69" t="s">
        <v>86</v>
      </c>
      <c r="E1654" s="69" t="s">
        <v>101</v>
      </c>
      <c r="F1654" s="69" t="s">
        <v>168</v>
      </c>
      <c r="G1654" s="69" t="s">
        <v>130</v>
      </c>
      <c r="H1654" s="0" t="n">
        <v>35</v>
      </c>
      <c r="I1654" s="70" t="n">
        <v>127.4</v>
      </c>
      <c r="J1654" s="70" t="n">
        <v>76.05</v>
      </c>
      <c r="K1654" s="70" t="n">
        <f aca="false">IF(ISTEXT(H1654),VALUE(H1654),H1654)*I1654</f>
        <v>4459</v>
      </c>
    </row>
    <row r="1655" customFormat="false" ht="15" hidden="false" customHeight="false" outlineLevel="0" collapsed="false">
      <c r="A1655" s="0" t="n">
        <v>659</v>
      </c>
      <c r="B1655" s="68" t="n">
        <v>45497</v>
      </c>
      <c r="C1655" s="69" t="s">
        <v>30</v>
      </c>
      <c r="D1655" s="69" t="s">
        <v>109</v>
      </c>
      <c r="E1655" s="69" t="s">
        <v>138</v>
      </c>
      <c r="F1655" s="69" t="s">
        <v>33</v>
      </c>
      <c r="G1655" s="69" t="s">
        <v>217</v>
      </c>
      <c r="H1655" s="0" t="n">
        <v>27</v>
      </c>
      <c r="I1655" s="70" t="n">
        <v>34.3</v>
      </c>
      <c r="J1655" s="70" t="n">
        <v>17.85</v>
      </c>
      <c r="K1655" s="70" t="n">
        <f aca="false">IF(ISTEXT(H1655),VALUE(H1655),H1655)*I1655</f>
        <v>926.1</v>
      </c>
    </row>
    <row r="1656" customFormat="false" ht="15" hidden="false" customHeight="false" outlineLevel="0" collapsed="false">
      <c r="A1656" s="0" t="n">
        <v>2368</v>
      </c>
      <c r="B1656" s="69" t="s">
        <v>700</v>
      </c>
      <c r="C1656" s="69" t="s">
        <v>184</v>
      </c>
      <c r="D1656" s="69" t="s">
        <v>137</v>
      </c>
      <c r="E1656" s="69" t="s">
        <v>87</v>
      </c>
      <c r="F1656" s="69" t="s">
        <v>143</v>
      </c>
      <c r="G1656" s="69" t="s">
        <v>103</v>
      </c>
      <c r="H1656" s="0" t="n">
        <v>31</v>
      </c>
      <c r="I1656" s="70" t="n">
        <v>28.11</v>
      </c>
      <c r="J1656" s="70" t="n">
        <v>13.84</v>
      </c>
      <c r="K1656" s="70" t="n">
        <f aca="false">IF(ISTEXT(H1656),VALUE(H1656),H1656)*I1656</f>
        <v>871.41</v>
      </c>
    </row>
    <row r="1657" customFormat="false" ht="15" hidden="false" customHeight="false" outlineLevel="0" collapsed="false">
      <c r="A1657" s="0" t="n">
        <v>2284</v>
      </c>
      <c r="B1657" s="69" t="s">
        <v>701</v>
      </c>
      <c r="C1657" s="69" t="s">
        <v>133</v>
      </c>
      <c r="D1657" s="69" t="s">
        <v>112</v>
      </c>
      <c r="E1657" s="69" t="s">
        <v>119</v>
      </c>
      <c r="F1657" s="69" t="s">
        <v>147</v>
      </c>
      <c r="G1657" s="69" t="s">
        <v>43</v>
      </c>
      <c r="H1657" s="0" t="n">
        <v>5</v>
      </c>
      <c r="I1657" s="70" t="n">
        <v>451.78</v>
      </c>
      <c r="J1657" s="70" t="n">
        <v>280.42</v>
      </c>
      <c r="K1657" s="70" t="n">
        <f aca="false">IF(ISTEXT(H1657),VALUE(H1657),H1657)*I1657</f>
        <v>2258.9</v>
      </c>
    </row>
    <row r="1658" customFormat="false" ht="15" hidden="false" customHeight="false" outlineLevel="0" collapsed="false">
      <c r="A1658" s="0" t="n">
        <v>861</v>
      </c>
      <c r="B1658" s="69" t="s">
        <v>226</v>
      </c>
      <c r="C1658" s="69" t="s">
        <v>32</v>
      </c>
      <c r="D1658" s="69" t="s">
        <v>137</v>
      </c>
      <c r="E1658" s="69" t="s">
        <v>110</v>
      </c>
      <c r="F1658" s="69" t="s">
        <v>88</v>
      </c>
      <c r="G1658" s="69" t="s">
        <v>151</v>
      </c>
      <c r="H1658" s="0" t="n">
        <v>6</v>
      </c>
      <c r="I1658" s="70" t="n">
        <v>1176</v>
      </c>
      <c r="J1658" s="70" t="n">
        <v>744</v>
      </c>
      <c r="K1658" s="70" t="n">
        <f aca="false">IF(ISTEXT(H1658),VALUE(H1658),H1658)*I1658</f>
        <v>7056</v>
      </c>
    </row>
    <row r="1659" customFormat="false" ht="15" hidden="false" customHeight="false" outlineLevel="0" collapsed="false">
      <c r="A1659" s="0" t="n">
        <v>2358</v>
      </c>
      <c r="B1659" s="68" t="n">
        <v>46001</v>
      </c>
      <c r="C1659" s="69" t="s">
        <v>108</v>
      </c>
      <c r="D1659" s="69" t="s">
        <v>109</v>
      </c>
      <c r="E1659" s="69" t="s">
        <v>98</v>
      </c>
      <c r="F1659" s="69" t="s">
        <v>168</v>
      </c>
      <c r="G1659" s="69" t="s">
        <v>127</v>
      </c>
      <c r="H1659" s="0" t="n">
        <v>22</v>
      </c>
      <c r="I1659" s="70" t="n">
        <v>130.51</v>
      </c>
      <c r="J1659" s="70" t="n">
        <v>78.33</v>
      </c>
      <c r="K1659" s="70" t="n">
        <f aca="false">IF(ISTEXT(H1659),VALUE(H1659),H1659)*I1659</f>
        <v>2871.22</v>
      </c>
    </row>
    <row r="1660" customFormat="false" ht="15" hidden="false" customHeight="false" outlineLevel="0" collapsed="false">
      <c r="A1660" s="0" t="n">
        <v>854</v>
      </c>
      <c r="B1660" s="68" t="n">
        <v>45547</v>
      </c>
      <c r="C1660" s="69" t="s">
        <v>108</v>
      </c>
      <c r="D1660" s="69" t="s">
        <v>109</v>
      </c>
      <c r="E1660" s="69" t="s">
        <v>180</v>
      </c>
      <c r="F1660" s="69" t="s">
        <v>115</v>
      </c>
      <c r="G1660" s="69" t="s">
        <v>171</v>
      </c>
      <c r="H1660" s="0" t="n">
        <v>8</v>
      </c>
      <c r="I1660" s="70" t="n">
        <v>117.6</v>
      </c>
      <c r="J1660" s="70" t="n">
        <v>63.6</v>
      </c>
      <c r="K1660" s="70" t="n">
        <f aca="false">IF(ISTEXT(H1660),VALUE(H1660),H1660)*I1660</f>
        <v>940.8</v>
      </c>
    </row>
    <row r="1661" customFormat="false" ht="15" hidden="false" customHeight="false" outlineLevel="0" collapsed="false">
      <c r="A1661" s="0" t="n">
        <v>1736</v>
      </c>
      <c r="B1661" s="68" t="n">
        <v>45811</v>
      </c>
      <c r="C1661" s="69" t="s">
        <v>159</v>
      </c>
      <c r="D1661" s="69" t="s">
        <v>86</v>
      </c>
      <c r="E1661" s="69" t="s">
        <v>180</v>
      </c>
      <c r="F1661" s="69" t="s">
        <v>115</v>
      </c>
      <c r="G1661" s="69" t="s">
        <v>116</v>
      </c>
      <c r="H1661" s="0" t="n">
        <v>20</v>
      </c>
      <c r="I1661" s="70" t="n">
        <v>84.46</v>
      </c>
      <c r="J1661" s="70" t="n">
        <v>49.47</v>
      </c>
      <c r="K1661" s="70" t="n">
        <f aca="false">IF(ISTEXT(H1661),VALUE(H1661),H1661)*I1661</f>
        <v>1689.2</v>
      </c>
    </row>
    <row r="1662" customFormat="false" ht="15" hidden="false" customHeight="false" outlineLevel="0" collapsed="false">
      <c r="A1662" s="0" t="n">
        <v>819</v>
      </c>
      <c r="B1662" s="68" t="n">
        <v>45545</v>
      </c>
      <c r="C1662" s="69" t="s">
        <v>96</v>
      </c>
      <c r="D1662" s="69" t="s">
        <v>97</v>
      </c>
      <c r="E1662" s="69" t="s">
        <v>110</v>
      </c>
      <c r="F1662" s="69" t="s">
        <v>93</v>
      </c>
      <c r="G1662" s="69" t="s">
        <v>217</v>
      </c>
      <c r="H1662" s="0" t="n">
        <v>49</v>
      </c>
      <c r="I1662" s="70" t="n">
        <v>34.3</v>
      </c>
      <c r="J1662" s="70" t="n">
        <v>17.85</v>
      </c>
      <c r="K1662" s="70" t="n">
        <f aca="false">IF(ISTEXT(H1662),VALUE(H1662),H1662)*I1662</f>
        <v>1680.7</v>
      </c>
    </row>
    <row r="1663" customFormat="false" ht="15" hidden="false" customHeight="false" outlineLevel="0" collapsed="false">
      <c r="A1663" s="0" t="n">
        <v>549</v>
      </c>
      <c r="B1663" s="68" t="n">
        <v>45453</v>
      </c>
      <c r="C1663" s="69" t="s">
        <v>30</v>
      </c>
      <c r="D1663" s="69" t="s">
        <v>109</v>
      </c>
      <c r="E1663" s="69" t="s">
        <v>101</v>
      </c>
      <c r="F1663" s="69" t="s">
        <v>28</v>
      </c>
      <c r="G1663" s="69" t="s">
        <v>235</v>
      </c>
      <c r="H1663" s="0" t="n">
        <v>51</v>
      </c>
      <c r="I1663" s="70" t="n">
        <v>93.1</v>
      </c>
      <c r="J1663" s="70" t="n">
        <v>47.98</v>
      </c>
      <c r="K1663" s="70" t="n">
        <f aca="false">IF(ISTEXT(H1663),VALUE(H1663),H1663)*I1663</f>
        <v>4748.1</v>
      </c>
    </row>
    <row r="1664" customFormat="false" ht="15" hidden="false" customHeight="false" outlineLevel="0" collapsed="false">
      <c r="A1664" s="0" t="n">
        <v>1627</v>
      </c>
      <c r="B1664" s="68" t="n">
        <v>45800</v>
      </c>
      <c r="C1664" s="69" t="s">
        <v>27</v>
      </c>
      <c r="D1664" s="69" t="s">
        <v>86</v>
      </c>
      <c r="E1664" s="69" t="s">
        <v>101</v>
      </c>
      <c r="F1664" s="69" t="s">
        <v>102</v>
      </c>
      <c r="G1664" s="69" t="s">
        <v>113</v>
      </c>
      <c r="H1664" s="0" t="s">
        <v>293</v>
      </c>
      <c r="I1664" s="70" t="n">
        <v>27.82</v>
      </c>
      <c r="J1664" s="70" t="n">
        <v>13.84</v>
      </c>
      <c r="K1664" s="70" t="n">
        <f aca="false">IF(ISTEXT(H1664),VALUE(H1664),H1664)*I1664</f>
        <v>1335.36</v>
      </c>
    </row>
    <row r="1665" customFormat="false" ht="15" hidden="false" customHeight="false" outlineLevel="0" collapsed="false">
      <c r="A1665" s="0" t="n">
        <v>1758</v>
      </c>
      <c r="B1665" s="68" t="n">
        <v>45830</v>
      </c>
      <c r="C1665" s="69" t="s">
        <v>118</v>
      </c>
      <c r="D1665" s="69"/>
      <c r="E1665" s="69" t="s">
        <v>98</v>
      </c>
      <c r="F1665" s="69" t="s">
        <v>168</v>
      </c>
      <c r="G1665" s="69" t="s">
        <v>130</v>
      </c>
      <c r="H1665" s="0" t="n">
        <v>17</v>
      </c>
      <c r="I1665" s="70" t="n">
        <v>129.17</v>
      </c>
      <c r="J1665" s="70" t="n">
        <v>78.33</v>
      </c>
      <c r="K1665" s="70" t="n">
        <f aca="false">IF(ISTEXT(H1665),VALUE(H1665),H1665)*I1665</f>
        <v>2195.89</v>
      </c>
    </row>
    <row r="1666" customFormat="false" ht="15" hidden="false" customHeight="false" outlineLevel="0" collapsed="false">
      <c r="A1666" s="0" t="n">
        <v>555</v>
      </c>
      <c r="B1666" s="68" t="n">
        <v>45468</v>
      </c>
      <c r="C1666" s="69" t="s">
        <v>118</v>
      </c>
      <c r="D1666" s="69"/>
      <c r="E1666" s="69" t="s">
        <v>138</v>
      </c>
      <c r="F1666" s="69" t="s">
        <v>162</v>
      </c>
      <c r="G1666" s="69" t="s">
        <v>51</v>
      </c>
      <c r="H1666" s="0" t="n">
        <v>23</v>
      </c>
      <c r="I1666" s="70" t="n">
        <v>83.3</v>
      </c>
      <c r="J1666" s="70" t="n">
        <v>48.03</v>
      </c>
      <c r="K1666" s="70" t="n">
        <f aca="false">IF(ISTEXT(H1666),VALUE(H1666),H1666)*I1666</f>
        <v>1915.9</v>
      </c>
    </row>
    <row r="1667" customFormat="false" ht="15" hidden="false" customHeight="false" outlineLevel="0" collapsed="false">
      <c r="A1667" s="0" t="n">
        <v>1234</v>
      </c>
      <c r="B1667" s="68" t="n">
        <v>45683</v>
      </c>
      <c r="C1667" s="69" t="s">
        <v>27</v>
      </c>
      <c r="D1667" s="69"/>
      <c r="E1667" s="69" t="s">
        <v>87</v>
      </c>
      <c r="F1667" s="69" t="s">
        <v>162</v>
      </c>
      <c r="G1667" s="69" t="s">
        <v>156</v>
      </c>
      <c r="H1667" s="0" t="n">
        <v>16</v>
      </c>
      <c r="I1667" s="70" t="n">
        <v>119.23</v>
      </c>
      <c r="J1667" s="70" t="n">
        <v>65.51</v>
      </c>
      <c r="K1667" s="70" t="n">
        <f aca="false">IF(ISTEXT(H1667),VALUE(H1667),H1667)*I1667</f>
        <v>1907.68</v>
      </c>
    </row>
    <row r="1668" customFormat="false" ht="15" hidden="false" customHeight="false" outlineLevel="0" collapsed="false">
      <c r="A1668" s="0" t="n">
        <v>15</v>
      </c>
      <c r="B1668" s="68" t="n">
        <v>45316</v>
      </c>
      <c r="C1668" s="69" t="s">
        <v>150</v>
      </c>
      <c r="D1668" s="69"/>
      <c r="E1668" s="69" t="s">
        <v>121</v>
      </c>
      <c r="F1668" s="69" t="s">
        <v>166</v>
      </c>
      <c r="G1668" s="69" t="s">
        <v>116</v>
      </c>
      <c r="H1668" s="0" t="n">
        <v>43</v>
      </c>
      <c r="I1668" s="70" t="n">
        <v>83.3</v>
      </c>
      <c r="J1668" s="70" t="n">
        <v>48.03</v>
      </c>
      <c r="K1668" s="70" t="n">
        <f aca="false">IF(ISTEXT(H1668),VALUE(H1668),H1668)*I1668</f>
        <v>3581.9</v>
      </c>
    </row>
    <row r="1669" customFormat="false" ht="15" hidden="false" customHeight="false" outlineLevel="0" collapsed="false">
      <c r="A1669" s="0" t="n">
        <v>2354</v>
      </c>
      <c r="B1669" s="68" t="n">
        <v>46000</v>
      </c>
      <c r="C1669" s="69" t="s">
        <v>152</v>
      </c>
      <c r="D1669" s="69" t="s">
        <v>109</v>
      </c>
      <c r="E1669" s="69" t="s">
        <v>180</v>
      </c>
      <c r="F1669" s="69" t="s">
        <v>166</v>
      </c>
      <c r="G1669" s="69" t="s">
        <v>50</v>
      </c>
      <c r="H1669" s="0" t="n">
        <v>19</v>
      </c>
      <c r="I1669" s="70" t="n">
        <v>120.47</v>
      </c>
      <c r="J1669" s="70" t="n">
        <v>65.51</v>
      </c>
      <c r="K1669" s="70" t="n">
        <f aca="false">IF(ISTEXT(H1669),VALUE(H1669),H1669)*I1669</f>
        <v>2288.93</v>
      </c>
    </row>
    <row r="1670" customFormat="false" ht="15" hidden="false" customHeight="false" outlineLevel="0" collapsed="false">
      <c r="A1670" s="0" t="n">
        <v>1104</v>
      </c>
      <c r="B1670" s="69" t="s">
        <v>691</v>
      </c>
      <c r="C1670" s="69" t="s">
        <v>96</v>
      </c>
      <c r="D1670" s="69" t="s">
        <v>97</v>
      </c>
      <c r="E1670" s="69" t="s">
        <v>180</v>
      </c>
      <c r="F1670" s="69" t="s">
        <v>135</v>
      </c>
      <c r="G1670" s="69" t="s">
        <v>89</v>
      </c>
      <c r="H1670" s="0" t="n">
        <v>12</v>
      </c>
      <c r="I1670" s="70" t="n">
        <v>441</v>
      </c>
      <c r="J1670" s="70" t="n">
        <v>272.25</v>
      </c>
      <c r="K1670" s="70" t="n">
        <f aca="false">IF(ISTEXT(H1670),VALUE(H1670),H1670)*I1670</f>
        <v>5292</v>
      </c>
    </row>
    <row r="1671" customFormat="false" ht="15" hidden="false" customHeight="false" outlineLevel="0" collapsed="false">
      <c r="A1671" s="0" t="n">
        <v>2110</v>
      </c>
      <c r="B1671" s="69" t="s">
        <v>702</v>
      </c>
      <c r="C1671" s="69" t="s">
        <v>150</v>
      </c>
      <c r="D1671" s="69" t="s">
        <v>97</v>
      </c>
      <c r="E1671" s="69" t="s">
        <v>87</v>
      </c>
      <c r="F1671" s="69" t="s">
        <v>28</v>
      </c>
      <c r="G1671" s="69" t="s">
        <v>48</v>
      </c>
      <c r="H1671" s="0" t="n">
        <v>77</v>
      </c>
      <c r="I1671" s="70" t="n">
        <v>95.38</v>
      </c>
      <c r="J1671" s="70" t="n">
        <v>49.41</v>
      </c>
      <c r="K1671" s="70" t="n">
        <f aca="false">IF(ISTEXT(H1671),VALUE(H1671),H1671)*I1671</f>
        <v>7344.26</v>
      </c>
    </row>
    <row r="1672" customFormat="false" ht="15" hidden="false" customHeight="false" outlineLevel="0" collapsed="false">
      <c r="A1672" s="0" t="n">
        <v>229</v>
      </c>
      <c r="B1672" s="68" t="n">
        <v>45362</v>
      </c>
      <c r="C1672" s="69" t="s">
        <v>91</v>
      </c>
      <c r="D1672" s="69" t="s">
        <v>86</v>
      </c>
      <c r="E1672" s="69" t="s">
        <v>121</v>
      </c>
      <c r="F1672" s="69" t="s">
        <v>102</v>
      </c>
      <c r="G1672" s="69" t="s">
        <v>172</v>
      </c>
      <c r="H1672" s="0" t="n">
        <v>52</v>
      </c>
      <c r="I1672" s="70" t="n">
        <v>93.1</v>
      </c>
      <c r="J1672" s="70" t="n">
        <v>47.98</v>
      </c>
      <c r="K1672" s="70" t="n">
        <f aca="false">IF(ISTEXT(H1672),VALUE(H1672),H1672)*I1672</f>
        <v>4841.2</v>
      </c>
    </row>
    <row r="1673" customFormat="false" ht="15" hidden="false" customHeight="false" outlineLevel="0" collapsed="false">
      <c r="A1673" s="0" t="n">
        <v>911</v>
      </c>
      <c r="B1673" s="68" t="n">
        <v>45571</v>
      </c>
      <c r="C1673" s="69" t="s">
        <v>124</v>
      </c>
      <c r="D1673" s="69" t="s">
        <v>97</v>
      </c>
      <c r="E1673" s="69" t="s">
        <v>110</v>
      </c>
      <c r="F1673" s="69" t="s">
        <v>99</v>
      </c>
      <c r="G1673" s="69" t="s">
        <v>49</v>
      </c>
      <c r="H1673" s="0" t="n">
        <v>115</v>
      </c>
      <c r="I1673" s="70" t="n">
        <v>63.7</v>
      </c>
      <c r="J1673" s="70" t="n">
        <v>35.43</v>
      </c>
      <c r="K1673" s="70" t="n">
        <f aca="false">IF(ISTEXT(H1673),VALUE(H1673),H1673)*I1673</f>
        <v>7325.5</v>
      </c>
    </row>
    <row r="1674" customFormat="false" ht="15" hidden="false" customHeight="false" outlineLevel="0" collapsed="false">
      <c r="A1674" s="0" t="n">
        <v>1731</v>
      </c>
      <c r="B1674" s="68" t="n">
        <v>45830</v>
      </c>
      <c r="C1674" s="69" t="s">
        <v>27</v>
      </c>
      <c r="D1674" s="69" t="s">
        <v>86</v>
      </c>
      <c r="E1674" s="69" t="s">
        <v>92</v>
      </c>
      <c r="F1674" s="69" t="s">
        <v>143</v>
      </c>
      <c r="G1674" s="69" t="s">
        <v>49</v>
      </c>
      <c r="H1674" s="0" t="s">
        <v>567</v>
      </c>
      <c r="I1674" s="70" t="n">
        <v>64.58</v>
      </c>
      <c r="J1674" s="70" t="n">
        <v>36.49</v>
      </c>
      <c r="K1674" s="70" t="n">
        <f aca="false">IF(ISTEXT(H1674),VALUE(H1674),H1674)*I1674</f>
        <v>4133.12</v>
      </c>
    </row>
    <row r="1675" customFormat="false" ht="15" hidden="false" customHeight="false" outlineLevel="0" collapsed="false">
      <c r="A1675" s="0" t="n">
        <v>1326</v>
      </c>
      <c r="B1675" s="69" t="s">
        <v>703</v>
      </c>
      <c r="C1675" s="69" t="s">
        <v>120</v>
      </c>
      <c r="D1675" s="69" t="s">
        <v>86</v>
      </c>
      <c r="E1675" s="69" t="s">
        <v>119</v>
      </c>
      <c r="F1675" s="69" t="s">
        <v>147</v>
      </c>
      <c r="G1675" s="69" t="s">
        <v>141</v>
      </c>
      <c r="H1675" s="0" t="n">
        <v>6</v>
      </c>
      <c r="I1675" s="70" t="n">
        <v>1588.21</v>
      </c>
      <c r="J1675" s="70" t="n">
        <v>1155.66</v>
      </c>
      <c r="K1675" s="70" t="n">
        <f aca="false">IF(ISTEXT(H1675),VALUE(H1675),H1675)*I1675</f>
        <v>9529.26</v>
      </c>
    </row>
    <row r="1676" customFormat="false" ht="15" hidden="false" customHeight="false" outlineLevel="0" collapsed="false">
      <c r="A1676" s="0" t="n">
        <v>1158</v>
      </c>
      <c r="B1676" s="68" t="n">
        <v>45633</v>
      </c>
      <c r="C1676" s="69" t="s">
        <v>118</v>
      </c>
      <c r="D1676" s="69" t="s">
        <v>109</v>
      </c>
      <c r="E1676" s="69" t="s">
        <v>125</v>
      </c>
      <c r="F1676" s="69" t="s">
        <v>168</v>
      </c>
      <c r="G1676" s="69" t="s">
        <v>127</v>
      </c>
      <c r="H1676" s="0" t="n">
        <v>11</v>
      </c>
      <c r="I1676" s="70" t="n">
        <v>127.4</v>
      </c>
      <c r="J1676" s="70" t="n">
        <v>76.05</v>
      </c>
      <c r="K1676" s="70" t="n">
        <f aca="false">IF(ISTEXT(H1676),VALUE(H1676),H1676)*I1676</f>
        <v>1401.4</v>
      </c>
    </row>
    <row r="1677" customFormat="false" ht="15" hidden="false" customHeight="false" outlineLevel="0" collapsed="false">
      <c r="A1677" s="0" t="n">
        <v>1318</v>
      </c>
      <c r="B1677" s="68" t="n">
        <v>45708</v>
      </c>
      <c r="C1677" s="69" t="s">
        <v>124</v>
      </c>
      <c r="D1677" s="69" t="s">
        <v>97</v>
      </c>
      <c r="E1677" s="69" t="s">
        <v>119</v>
      </c>
      <c r="F1677" s="69" t="s">
        <v>33</v>
      </c>
      <c r="G1677" s="69" t="s">
        <v>130</v>
      </c>
      <c r="H1677" s="0" t="n">
        <v>30</v>
      </c>
      <c r="I1677" s="70" t="n">
        <v>129.17</v>
      </c>
      <c r="J1677" s="70" t="n">
        <v>78.33</v>
      </c>
      <c r="K1677" s="70" t="n">
        <f aca="false">IF(ISTEXT(H1677),VALUE(H1677),H1677)*I1677</f>
        <v>3875.1</v>
      </c>
    </row>
    <row r="1678" customFormat="false" ht="15" hidden="false" customHeight="false" outlineLevel="0" collapsed="false">
      <c r="A1678" s="0" t="n">
        <v>1594</v>
      </c>
      <c r="B1678" s="68" t="n">
        <v>45755</v>
      </c>
      <c r="C1678" s="69" t="s">
        <v>142</v>
      </c>
      <c r="D1678" s="69" t="s">
        <v>112</v>
      </c>
      <c r="E1678" s="69" t="s">
        <v>180</v>
      </c>
      <c r="F1678" s="69" t="s">
        <v>166</v>
      </c>
      <c r="G1678" s="69" t="s">
        <v>50</v>
      </c>
      <c r="H1678" s="0" t="n">
        <v>8</v>
      </c>
      <c r="I1678" s="70" t="n">
        <v>119.23</v>
      </c>
      <c r="J1678" s="70" t="n">
        <v>65.51</v>
      </c>
      <c r="K1678" s="70" t="n">
        <f aca="false">IF(ISTEXT(H1678),VALUE(H1678),H1678)*I1678</f>
        <v>953.84</v>
      </c>
    </row>
    <row r="1679" customFormat="false" ht="15" hidden="false" customHeight="false" outlineLevel="0" collapsed="false">
      <c r="A1679" s="0" t="n">
        <v>2386</v>
      </c>
      <c r="B1679" s="68" t="n">
        <v>46008</v>
      </c>
      <c r="C1679" s="69" t="s">
        <v>34</v>
      </c>
      <c r="D1679" s="69" t="s">
        <v>112</v>
      </c>
      <c r="E1679" s="69" t="s">
        <v>107</v>
      </c>
      <c r="F1679" s="69" t="s">
        <v>139</v>
      </c>
      <c r="G1679" s="69" t="s">
        <v>45</v>
      </c>
      <c r="H1679" s="0" t="n">
        <v>6</v>
      </c>
      <c r="I1679" s="70" t="n">
        <v>1656.52</v>
      </c>
      <c r="J1679" s="70" t="n">
        <v>1155.66</v>
      </c>
      <c r="K1679" s="70" t="n">
        <f aca="false">IF(ISTEXT(H1679),VALUE(H1679),H1679)*I1679</f>
        <v>9939.12</v>
      </c>
    </row>
    <row r="1680" customFormat="false" ht="15" hidden="false" customHeight="false" outlineLevel="0" collapsed="false">
      <c r="A1680" s="0" t="n">
        <v>116</v>
      </c>
      <c r="B1680" s="68" t="n">
        <v>45325</v>
      </c>
      <c r="C1680" s="69" t="s">
        <v>96</v>
      </c>
      <c r="D1680" s="69" t="s">
        <v>97</v>
      </c>
      <c r="E1680" s="69" t="s">
        <v>125</v>
      </c>
      <c r="F1680" s="69" t="s">
        <v>166</v>
      </c>
      <c r="G1680" s="69" t="s">
        <v>111</v>
      </c>
      <c r="H1680" s="0" t="n">
        <v>15</v>
      </c>
      <c r="I1680" s="70" t="n">
        <v>83.3</v>
      </c>
      <c r="J1680" s="70" t="n">
        <v>48.03</v>
      </c>
      <c r="K1680" s="70" t="n">
        <f aca="false">IF(ISTEXT(H1680),VALUE(H1680),H1680)*I1680</f>
        <v>1249.5</v>
      </c>
    </row>
    <row r="1681" customFormat="false" ht="15" hidden="false" customHeight="false" outlineLevel="0" collapsed="false">
      <c r="A1681" s="0" t="n">
        <v>850</v>
      </c>
      <c r="B1681" s="68" t="n">
        <v>45546</v>
      </c>
      <c r="C1681" s="69" t="s">
        <v>108</v>
      </c>
      <c r="D1681" s="69" t="s">
        <v>109</v>
      </c>
      <c r="E1681" s="69" t="s">
        <v>87</v>
      </c>
      <c r="F1681" s="69" t="s">
        <v>99</v>
      </c>
      <c r="G1681" s="69" t="s">
        <v>235</v>
      </c>
      <c r="H1681" s="0" t="n">
        <v>18</v>
      </c>
      <c r="I1681" s="70" t="n">
        <v>93.1</v>
      </c>
      <c r="J1681" s="70" t="n">
        <v>47.98</v>
      </c>
      <c r="K1681" s="70" t="n">
        <f aca="false">IF(ISTEXT(H1681),VALUE(H1681),H1681)*I1681</f>
        <v>1675.8</v>
      </c>
    </row>
    <row r="1682" customFormat="false" ht="15" hidden="false" customHeight="false" outlineLevel="0" collapsed="false">
      <c r="A1682" s="0" t="n">
        <v>1224</v>
      </c>
      <c r="B1682" s="69" t="s">
        <v>704</v>
      </c>
      <c r="C1682" s="69" t="s">
        <v>27</v>
      </c>
      <c r="D1682" s="69" t="s">
        <v>86</v>
      </c>
      <c r="E1682" s="69" t="s">
        <v>119</v>
      </c>
      <c r="F1682" s="69" t="s">
        <v>139</v>
      </c>
      <c r="G1682" s="69" t="s">
        <v>177</v>
      </c>
      <c r="H1682" s="0" t="n">
        <v>6</v>
      </c>
      <c r="I1682" s="70" t="n">
        <v>433.15</v>
      </c>
      <c r="J1682" s="70" t="n">
        <v>280.42</v>
      </c>
      <c r="K1682" s="70" t="n">
        <f aca="false">IF(ISTEXT(H1682),VALUE(H1682),H1682)*I1682</f>
        <v>2598.9</v>
      </c>
    </row>
    <row r="1683" customFormat="false" ht="15" hidden="false" customHeight="false" outlineLevel="0" collapsed="false">
      <c r="A1683" s="0" t="n">
        <v>2160</v>
      </c>
      <c r="B1683" s="68" t="n">
        <v>45931</v>
      </c>
      <c r="C1683" s="69" t="s">
        <v>152</v>
      </c>
      <c r="D1683" s="69" t="s">
        <v>109</v>
      </c>
      <c r="E1683" s="69" t="s">
        <v>119</v>
      </c>
      <c r="F1683" s="69" t="s">
        <v>182</v>
      </c>
      <c r="G1683" s="69" t="s">
        <v>94</v>
      </c>
      <c r="H1683" s="0" t="n">
        <v>18</v>
      </c>
      <c r="I1683" s="70" t="n">
        <v>35.14</v>
      </c>
      <c r="J1683" s="70" t="n">
        <v>18.39</v>
      </c>
      <c r="K1683" s="70" t="n">
        <f aca="false">IF(ISTEXT(H1683),VALUE(H1683),H1683)*I1683</f>
        <v>632.52</v>
      </c>
    </row>
    <row r="1684" customFormat="false" ht="15" hidden="false" customHeight="false" outlineLevel="0" collapsed="false">
      <c r="A1684" s="0" t="n">
        <v>279</v>
      </c>
      <c r="B1684" s="68" t="n">
        <v>45361</v>
      </c>
      <c r="C1684" s="69" t="s">
        <v>184</v>
      </c>
      <c r="D1684" s="69" t="s">
        <v>137</v>
      </c>
      <c r="E1684" s="69" t="s">
        <v>101</v>
      </c>
      <c r="F1684" s="69" t="s">
        <v>33</v>
      </c>
      <c r="G1684" s="69" t="s">
        <v>217</v>
      </c>
      <c r="H1684" s="0" t="n">
        <v>20</v>
      </c>
      <c r="I1684" s="70" t="n">
        <v>34.3</v>
      </c>
      <c r="J1684" s="70" t="n">
        <v>17.85</v>
      </c>
      <c r="K1684" s="70" t="n">
        <f aca="false">IF(ISTEXT(H1684),VALUE(H1684),H1684)*I1684</f>
        <v>686</v>
      </c>
    </row>
    <row r="1685" customFormat="false" ht="15" hidden="false" customHeight="false" outlineLevel="0" collapsed="false">
      <c r="A1685" s="0" t="n">
        <v>2076</v>
      </c>
      <c r="B1685" s="68" t="n">
        <v>45907</v>
      </c>
      <c r="C1685" s="69" t="s">
        <v>193</v>
      </c>
      <c r="D1685" s="69" t="s">
        <v>137</v>
      </c>
      <c r="E1685" s="69" t="s">
        <v>125</v>
      </c>
      <c r="F1685" s="69" t="s">
        <v>31</v>
      </c>
      <c r="G1685" s="69" t="s">
        <v>116</v>
      </c>
      <c r="H1685" s="0" t="n">
        <v>10</v>
      </c>
      <c r="I1685" s="70" t="n">
        <v>85.34</v>
      </c>
      <c r="J1685" s="70" t="n">
        <v>49.47</v>
      </c>
      <c r="K1685" s="70" t="n">
        <f aca="false">IF(ISTEXT(H1685),VALUE(H1685),H1685)*I1685</f>
        <v>853.4</v>
      </c>
    </row>
    <row r="1686" customFormat="false" ht="15" hidden="false" customHeight="false" outlineLevel="0" collapsed="false">
      <c r="A1686" s="0" t="n">
        <v>55</v>
      </c>
      <c r="B1686" s="69" t="s">
        <v>681</v>
      </c>
      <c r="C1686" s="69" t="s">
        <v>30</v>
      </c>
      <c r="D1686" s="69" t="s">
        <v>109</v>
      </c>
      <c r="E1686" s="69" t="s">
        <v>121</v>
      </c>
      <c r="F1686" s="69" t="s">
        <v>115</v>
      </c>
      <c r="G1686" s="69" t="s">
        <v>51</v>
      </c>
      <c r="H1686" s="0" t="n">
        <v>16</v>
      </c>
      <c r="I1686" s="70" t="n">
        <v>83.3</v>
      </c>
      <c r="J1686" s="70" t="n">
        <v>48.03</v>
      </c>
      <c r="K1686" s="70" t="n">
        <f aca="false">IF(ISTEXT(H1686),VALUE(H1686),H1686)*I1686</f>
        <v>1332.8</v>
      </c>
    </row>
    <row r="1687" customFormat="false" ht="15" hidden="false" customHeight="false" outlineLevel="0" collapsed="false">
      <c r="A1687" s="0" t="n">
        <v>1301</v>
      </c>
      <c r="B1687" s="69" t="s">
        <v>705</v>
      </c>
      <c r="C1687" s="69" t="s">
        <v>124</v>
      </c>
      <c r="D1687" s="69" t="s">
        <v>97</v>
      </c>
      <c r="E1687" s="69" t="s">
        <v>134</v>
      </c>
      <c r="F1687" s="69" t="s">
        <v>139</v>
      </c>
      <c r="G1687" s="69" t="s">
        <v>154</v>
      </c>
      <c r="H1687" s="0" t="n">
        <v>16</v>
      </c>
      <c r="I1687" s="70" t="n">
        <v>1155.06</v>
      </c>
      <c r="J1687" s="70" t="n">
        <v>766.32</v>
      </c>
      <c r="K1687" s="70" t="n">
        <f aca="false">IF(ISTEXT(H1687),VALUE(H1687),H1687)*I1687</f>
        <v>18480.96</v>
      </c>
    </row>
    <row r="1688" customFormat="false" ht="15" hidden="false" customHeight="false" outlineLevel="0" collapsed="false">
      <c r="A1688" s="0" t="n">
        <v>561</v>
      </c>
      <c r="B1688" s="68" t="n">
        <v>45456</v>
      </c>
      <c r="C1688" s="69" t="s">
        <v>32</v>
      </c>
      <c r="D1688" s="69" t="s">
        <v>137</v>
      </c>
      <c r="E1688" s="69" t="s">
        <v>134</v>
      </c>
      <c r="F1688" s="69" t="s">
        <v>135</v>
      </c>
      <c r="G1688" s="69" t="s">
        <v>151</v>
      </c>
      <c r="H1688" s="0" t="n">
        <v>6</v>
      </c>
      <c r="I1688" s="70" t="n">
        <v>1176</v>
      </c>
      <c r="J1688" s="70" t="n">
        <v>744</v>
      </c>
      <c r="K1688" s="70" t="n">
        <f aca="false">IF(ISTEXT(H1688),VALUE(H1688),H1688)*I1688</f>
        <v>7056</v>
      </c>
    </row>
    <row r="1689" customFormat="false" ht="15" hidden="false" customHeight="false" outlineLevel="0" collapsed="false">
      <c r="A1689" s="0" t="n">
        <v>1284</v>
      </c>
      <c r="B1689" s="68" t="n">
        <v>45682</v>
      </c>
      <c r="C1689" s="69" t="s">
        <v>161</v>
      </c>
      <c r="D1689" s="69" t="s">
        <v>112</v>
      </c>
      <c r="E1689" s="69" t="s">
        <v>87</v>
      </c>
      <c r="F1689" s="69" t="s">
        <v>147</v>
      </c>
      <c r="G1689" s="69" t="s">
        <v>43</v>
      </c>
      <c r="H1689" s="0" t="n">
        <v>3</v>
      </c>
      <c r="I1689" s="70" t="n">
        <v>433.15</v>
      </c>
      <c r="J1689" s="70" t="n">
        <v>280.42</v>
      </c>
      <c r="K1689" s="70" t="n">
        <f aca="false">IF(ISTEXT(H1689),VALUE(H1689),H1689)*I1689</f>
        <v>1299.45</v>
      </c>
    </row>
    <row r="1690" customFormat="false" ht="15" hidden="false" customHeight="false" outlineLevel="0" collapsed="false">
      <c r="A1690" s="0" t="n">
        <v>1861</v>
      </c>
      <c r="B1690" s="68" t="n">
        <v>45852</v>
      </c>
      <c r="C1690" s="69" t="s">
        <v>32</v>
      </c>
      <c r="D1690" s="69" t="s">
        <v>137</v>
      </c>
      <c r="E1690" s="69" t="s">
        <v>134</v>
      </c>
      <c r="F1690" s="69" t="s">
        <v>26</v>
      </c>
      <c r="G1690" s="69" t="s">
        <v>41</v>
      </c>
      <c r="H1690" s="0" t="n">
        <v>8</v>
      </c>
      <c r="I1690" s="70" t="n">
        <v>1204.74</v>
      </c>
      <c r="J1690" s="70" t="n">
        <v>766.32</v>
      </c>
      <c r="K1690" s="70" t="n">
        <f aca="false">IF(ISTEXT(H1690),VALUE(H1690),H1690)*I1690</f>
        <v>9637.92</v>
      </c>
    </row>
    <row r="1691" customFormat="false" ht="15" hidden="false" customHeight="false" outlineLevel="0" collapsed="false">
      <c r="A1691" s="0" t="n">
        <v>459</v>
      </c>
      <c r="B1691" s="68" t="n">
        <v>45413</v>
      </c>
      <c r="C1691" s="69" t="s">
        <v>108</v>
      </c>
      <c r="D1691" s="69" t="s">
        <v>109</v>
      </c>
      <c r="E1691" s="69" t="s">
        <v>121</v>
      </c>
      <c r="F1691" s="69" t="s">
        <v>33</v>
      </c>
      <c r="G1691" s="69" t="s">
        <v>94</v>
      </c>
      <c r="H1691" s="0" t="n">
        <v>24</v>
      </c>
      <c r="I1691" s="70" t="n">
        <v>34.3</v>
      </c>
      <c r="J1691" s="70" t="n">
        <v>17.85</v>
      </c>
      <c r="K1691" s="70" t="n">
        <f aca="false">IF(ISTEXT(H1691),VALUE(H1691),H1691)*I1691</f>
        <v>823.2</v>
      </c>
    </row>
    <row r="1692" customFormat="false" ht="15" hidden="false" customHeight="false" outlineLevel="0" collapsed="false">
      <c r="A1692" s="0" t="n">
        <v>1102</v>
      </c>
      <c r="B1692" s="68" t="n">
        <v>45646</v>
      </c>
      <c r="C1692" s="69" t="s">
        <v>25</v>
      </c>
      <c r="D1692" s="69" t="s">
        <v>97</v>
      </c>
      <c r="E1692" s="69" t="s">
        <v>119</v>
      </c>
      <c r="F1692" s="69" t="s">
        <v>135</v>
      </c>
      <c r="G1692" s="69" t="s">
        <v>41</v>
      </c>
      <c r="H1692" s="0" t="n">
        <v>13</v>
      </c>
      <c r="I1692" s="70" t="n">
        <v>1176</v>
      </c>
      <c r="J1692" s="70" t="n">
        <v>744</v>
      </c>
      <c r="K1692" s="70" t="n">
        <f aca="false">IF(ISTEXT(H1692),VALUE(H1692),H1692)*I1692</f>
        <v>15288</v>
      </c>
    </row>
    <row r="1693" customFormat="false" ht="15" hidden="false" customHeight="false" outlineLevel="0" collapsed="false">
      <c r="A1693" s="0" t="n">
        <v>1987</v>
      </c>
      <c r="B1693" s="68" t="n">
        <v>45874</v>
      </c>
      <c r="C1693" s="69" t="s">
        <v>34</v>
      </c>
      <c r="D1693" s="69" t="s">
        <v>112</v>
      </c>
      <c r="E1693" s="69" t="s">
        <v>110</v>
      </c>
      <c r="F1693" s="69" t="s">
        <v>155</v>
      </c>
      <c r="G1693" s="69" t="s">
        <v>113</v>
      </c>
      <c r="H1693" s="0" t="n">
        <v>33</v>
      </c>
      <c r="I1693" s="70" t="n">
        <v>28.11</v>
      </c>
      <c r="J1693" s="70" t="n">
        <v>13.84</v>
      </c>
      <c r="K1693" s="70" t="n">
        <f aca="false">IF(ISTEXT(H1693),VALUE(H1693),H1693)*I1693</f>
        <v>927.63</v>
      </c>
    </row>
    <row r="1694" customFormat="false" ht="15" hidden="false" customHeight="false" outlineLevel="0" collapsed="false">
      <c r="A1694" s="0" t="n">
        <v>1897</v>
      </c>
      <c r="B1694" s="68" t="n">
        <v>45861</v>
      </c>
      <c r="C1694" s="69" t="s">
        <v>161</v>
      </c>
      <c r="D1694" s="69" t="s">
        <v>112</v>
      </c>
      <c r="E1694" s="69" t="s">
        <v>92</v>
      </c>
      <c r="F1694" s="69" t="s">
        <v>183</v>
      </c>
      <c r="G1694" s="69" t="s">
        <v>130</v>
      </c>
      <c r="H1694" s="0" t="n">
        <v>16</v>
      </c>
      <c r="I1694" s="70" t="n">
        <v>130.51</v>
      </c>
      <c r="J1694" s="70" t="n">
        <v>78.33</v>
      </c>
      <c r="K1694" s="70" t="n">
        <f aca="false">IF(ISTEXT(H1694),VALUE(H1694),H1694)*I1694</f>
        <v>2088.16</v>
      </c>
    </row>
    <row r="1695" customFormat="false" ht="15" hidden="false" customHeight="false" outlineLevel="0" collapsed="false">
      <c r="A1695" s="0" t="n">
        <v>1566</v>
      </c>
      <c r="B1695" s="69" t="s">
        <v>509</v>
      </c>
      <c r="C1695" s="69" t="s">
        <v>32</v>
      </c>
      <c r="D1695" s="69" t="s">
        <v>137</v>
      </c>
      <c r="E1695" s="69" t="s">
        <v>125</v>
      </c>
      <c r="F1695" s="69" t="s">
        <v>153</v>
      </c>
      <c r="G1695" s="69" t="s">
        <v>157</v>
      </c>
      <c r="H1695" s="0" t="n">
        <v>5</v>
      </c>
      <c r="I1695" s="70" t="n">
        <v>1588.21</v>
      </c>
      <c r="J1695" s="70" t="n">
        <v>1155.66</v>
      </c>
      <c r="K1695" s="70" t="n">
        <f aca="false">IF(ISTEXT(H1695),VALUE(H1695),H1695)*I1695</f>
        <v>7941.05</v>
      </c>
    </row>
    <row r="1696" customFormat="false" ht="15" hidden="false" customHeight="false" outlineLevel="0" collapsed="false">
      <c r="A1696" s="0" t="n">
        <v>109</v>
      </c>
      <c r="B1696" s="68" t="n">
        <v>45330</v>
      </c>
      <c r="C1696" s="69" t="s">
        <v>170</v>
      </c>
      <c r="D1696" s="69" t="s">
        <v>97</v>
      </c>
      <c r="E1696" s="69" t="s">
        <v>101</v>
      </c>
      <c r="F1696" s="69" t="s">
        <v>99</v>
      </c>
      <c r="G1696" s="69" t="s">
        <v>172</v>
      </c>
      <c r="H1696" s="0" t="n">
        <v>72</v>
      </c>
      <c r="I1696" s="70" t="n">
        <v>93.1</v>
      </c>
      <c r="J1696" s="70" t="n">
        <v>47.98</v>
      </c>
      <c r="K1696" s="70" t="n">
        <f aca="false">IF(ISTEXT(H1696),VALUE(H1696),H1696)*I1696</f>
        <v>6703.2</v>
      </c>
    </row>
    <row r="1697" customFormat="false" ht="15" hidden="false" customHeight="false" outlineLevel="0" collapsed="false">
      <c r="A1697" s="0" t="n">
        <v>388</v>
      </c>
      <c r="B1697" s="68" t="n">
        <v>45399</v>
      </c>
      <c r="C1697" s="69" t="s">
        <v>142</v>
      </c>
      <c r="D1697" s="69" t="s">
        <v>112</v>
      </c>
      <c r="E1697" s="69" t="s">
        <v>180</v>
      </c>
      <c r="F1697" s="69" t="s">
        <v>155</v>
      </c>
      <c r="G1697" s="69" t="s">
        <v>113</v>
      </c>
      <c r="H1697" s="0" t="n">
        <v>9</v>
      </c>
      <c r="I1697" s="70" t="n">
        <v>27.44</v>
      </c>
      <c r="J1697" s="70" t="n">
        <v>13.44</v>
      </c>
      <c r="K1697" s="70" t="n">
        <f aca="false">IF(ISTEXT(H1697),VALUE(H1697),H1697)*I1697</f>
        <v>246.96</v>
      </c>
    </row>
    <row r="1698" customFormat="false" ht="15" hidden="false" customHeight="false" outlineLevel="0" collapsed="false">
      <c r="A1698" s="0" t="n">
        <v>480</v>
      </c>
      <c r="B1698" s="69" t="s">
        <v>706</v>
      </c>
      <c r="C1698" s="69" t="s">
        <v>184</v>
      </c>
      <c r="D1698" s="69" t="s">
        <v>137</v>
      </c>
      <c r="E1698" s="69" t="s">
        <v>125</v>
      </c>
      <c r="F1698" s="69" t="s">
        <v>93</v>
      </c>
      <c r="G1698" s="69" t="s">
        <v>53</v>
      </c>
      <c r="H1698" s="0" t="n">
        <v>7</v>
      </c>
      <c r="I1698" s="70" t="n">
        <v>34.3</v>
      </c>
      <c r="J1698" s="70" t="n">
        <v>17.85</v>
      </c>
      <c r="K1698" s="70" t="n">
        <f aca="false">IF(ISTEXT(H1698),VALUE(H1698),H1698)*I1698</f>
        <v>240.1</v>
      </c>
    </row>
    <row r="1699" customFormat="false" ht="15" hidden="false" customHeight="false" outlineLevel="0" collapsed="false">
      <c r="A1699" s="0" t="n">
        <v>2398</v>
      </c>
      <c r="B1699" s="69" t="s">
        <v>692</v>
      </c>
      <c r="C1699" s="69" t="s">
        <v>34</v>
      </c>
      <c r="D1699" s="69" t="s">
        <v>112</v>
      </c>
      <c r="E1699" s="69" t="s">
        <v>107</v>
      </c>
      <c r="F1699" s="69" t="s">
        <v>182</v>
      </c>
      <c r="G1699" s="69" t="s">
        <v>127</v>
      </c>
      <c r="H1699" s="0" t="n">
        <v>18</v>
      </c>
      <c r="I1699" s="70" t="n">
        <v>130.51</v>
      </c>
      <c r="J1699" s="70" t="n">
        <v>78.33</v>
      </c>
      <c r="K1699" s="70" t="n">
        <f aca="false">IF(ISTEXT(H1699),VALUE(H1699),H1699)*I1699</f>
        <v>2349.18</v>
      </c>
    </row>
    <row r="1700" customFormat="false" ht="15" hidden="false" customHeight="false" outlineLevel="0" collapsed="false">
      <c r="A1700" s="0" t="n">
        <v>300</v>
      </c>
      <c r="B1700" s="69" t="s">
        <v>707</v>
      </c>
      <c r="C1700" s="69" t="s">
        <v>142</v>
      </c>
      <c r="D1700" s="69" t="s">
        <v>112</v>
      </c>
      <c r="E1700" s="69" t="s">
        <v>107</v>
      </c>
      <c r="F1700" s="69" t="s">
        <v>182</v>
      </c>
      <c r="G1700" s="69" t="s">
        <v>217</v>
      </c>
      <c r="H1700" s="0" t="n">
        <v>6</v>
      </c>
      <c r="I1700" s="70" t="n">
        <v>34.3</v>
      </c>
      <c r="J1700" s="70" t="n">
        <v>17.85</v>
      </c>
      <c r="K1700" s="70" t="n">
        <f aca="false">IF(ISTEXT(H1700),VALUE(H1700),H1700)*I1700</f>
        <v>205.8</v>
      </c>
    </row>
    <row r="1701" customFormat="false" ht="15" hidden="false" customHeight="false" outlineLevel="0" collapsed="false">
      <c r="A1701" s="0" t="n">
        <v>2118</v>
      </c>
      <c r="B1701" s="68" t="n">
        <v>45934</v>
      </c>
      <c r="C1701" s="69" t="s">
        <v>96</v>
      </c>
      <c r="D1701" s="69" t="s">
        <v>97</v>
      </c>
      <c r="E1701" s="69" t="s">
        <v>87</v>
      </c>
      <c r="F1701" s="69" t="s">
        <v>182</v>
      </c>
      <c r="G1701" s="69" t="s">
        <v>127</v>
      </c>
      <c r="H1701" s="0" t="n">
        <v>39</v>
      </c>
      <c r="I1701" s="70" t="n">
        <v>130.51</v>
      </c>
      <c r="J1701" s="70" t="n">
        <v>78.33</v>
      </c>
      <c r="K1701" s="70" t="n">
        <f aca="false">IF(ISTEXT(H1701),VALUE(H1701),H1701)*I1701</f>
        <v>5089.89</v>
      </c>
    </row>
    <row r="1702" customFormat="false" ht="15" hidden="false" customHeight="false" outlineLevel="0" collapsed="false">
      <c r="A1702" s="0" t="n">
        <v>1908</v>
      </c>
      <c r="B1702" s="68" t="n">
        <v>45888</v>
      </c>
      <c r="C1702" s="69" t="s">
        <v>96</v>
      </c>
      <c r="D1702" s="69" t="s">
        <v>97</v>
      </c>
      <c r="E1702" s="69" t="s">
        <v>125</v>
      </c>
      <c r="F1702" s="69" t="s">
        <v>102</v>
      </c>
      <c r="G1702" s="69" t="s">
        <v>47</v>
      </c>
      <c r="H1702" s="0" t="n">
        <v>59</v>
      </c>
      <c r="I1702" s="70" t="n">
        <v>28.11</v>
      </c>
      <c r="J1702" s="70" t="n">
        <v>13.84</v>
      </c>
      <c r="K1702" s="70" t="n">
        <f aca="false">IF(ISTEXT(H1702),VALUE(H1702),H1702)*I1702</f>
        <v>1658.49</v>
      </c>
    </row>
    <row r="1703" customFormat="false" ht="15" hidden="false" customHeight="false" outlineLevel="0" collapsed="false">
      <c r="A1703" s="0" t="n">
        <v>1799</v>
      </c>
      <c r="B1703" s="68" t="n">
        <v>45820</v>
      </c>
      <c r="C1703" s="69" t="s">
        <v>142</v>
      </c>
      <c r="D1703" s="69" t="s">
        <v>112</v>
      </c>
      <c r="E1703" s="69" t="s">
        <v>101</v>
      </c>
      <c r="F1703" s="69" t="s">
        <v>183</v>
      </c>
      <c r="G1703" s="69" t="s">
        <v>94</v>
      </c>
      <c r="H1703" s="0" t="n">
        <v>19</v>
      </c>
      <c r="I1703" s="70" t="n">
        <v>34.78</v>
      </c>
      <c r="J1703" s="70" t="n">
        <v>18.39</v>
      </c>
      <c r="K1703" s="70" t="n">
        <f aca="false">IF(ISTEXT(H1703),VALUE(H1703),H1703)*I1703</f>
        <v>660.82</v>
      </c>
    </row>
    <row r="1704" customFormat="false" ht="15" hidden="false" customHeight="false" outlineLevel="0" collapsed="false">
      <c r="A1704" s="0" t="n">
        <v>879</v>
      </c>
      <c r="B1704" s="69" t="s">
        <v>188</v>
      </c>
      <c r="C1704" s="69" t="s">
        <v>193</v>
      </c>
      <c r="D1704" s="69"/>
      <c r="E1704" s="69" t="s">
        <v>110</v>
      </c>
      <c r="F1704" s="69" t="s">
        <v>182</v>
      </c>
      <c r="G1704" s="69" t="s">
        <v>94</v>
      </c>
      <c r="H1704" s="0" t="n">
        <v>18</v>
      </c>
      <c r="I1704" s="70" t="n">
        <v>34.3</v>
      </c>
      <c r="J1704" s="70" t="n">
        <v>17.85</v>
      </c>
      <c r="K1704" s="70" t="n">
        <f aca="false">IF(ISTEXT(H1704),VALUE(H1704),H1704)*I1704</f>
        <v>617.4</v>
      </c>
    </row>
    <row r="1705" customFormat="false" ht="15" hidden="false" customHeight="false" outlineLevel="0" collapsed="false">
      <c r="A1705" s="0" t="n">
        <v>701</v>
      </c>
      <c r="B1705" s="68" t="n">
        <v>45525</v>
      </c>
      <c r="C1705" s="69" t="s">
        <v>150</v>
      </c>
      <c r="D1705" s="69" t="s">
        <v>97</v>
      </c>
      <c r="E1705" s="69" t="s">
        <v>110</v>
      </c>
      <c r="F1705" s="69" t="s">
        <v>26</v>
      </c>
      <c r="G1705" s="69" t="s">
        <v>41</v>
      </c>
      <c r="H1705" s="0" t="n">
        <v>18</v>
      </c>
      <c r="I1705" s="70" t="n">
        <v>1176</v>
      </c>
      <c r="J1705" s="70" t="n">
        <v>744</v>
      </c>
      <c r="K1705" s="70" t="n">
        <f aca="false">IF(ISTEXT(H1705),VALUE(H1705),H1705)*I1705</f>
        <v>21168</v>
      </c>
    </row>
    <row r="1706" customFormat="false" ht="15" hidden="false" customHeight="false" outlineLevel="0" collapsed="false">
      <c r="A1706" s="0" t="n">
        <v>1052</v>
      </c>
      <c r="B1706" s="68" t="n">
        <v>45617</v>
      </c>
      <c r="C1706" s="69" t="s">
        <v>118</v>
      </c>
      <c r="D1706" s="69" t="s">
        <v>109</v>
      </c>
      <c r="E1706" s="69" t="s">
        <v>107</v>
      </c>
      <c r="F1706" s="69" t="s">
        <v>155</v>
      </c>
      <c r="G1706" s="69" t="s">
        <v>208</v>
      </c>
      <c r="H1706" s="0" t="n">
        <v>19</v>
      </c>
      <c r="I1706" s="70" t="n">
        <v>63.7</v>
      </c>
      <c r="J1706" s="70" t="n">
        <v>35.43</v>
      </c>
      <c r="K1706" s="70" t="n">
        <f aca="false">IF(ISTEXT(H1706),VALUE(H1706),H1706)*I1706</f>
        <v>1210.3</v>
      </c>
    </row>
    <row r="1707" customFormat="false" ht="15" hidden="false" customHeight="false" outlineLevel="0" collapsed="false">
      <c r="A1707" s="0" t="n">
        <v>1399</v>
      </c>
      <c r="B1707" s="68" t="n">
        <v>45708</v>
      </c>
      <c r="C1707" s="69" t="s">
        <v>161</v>
      </c>
      <c r="D1707" s="69" t="s">
        <v>112</v>
      </c>
      <c r="E1707" s="69" t="s">
        <v>101</v>
      </c>
      <c r="F1707" s="69" t="s">
        <v>33</v>
      </c>
      <c r="G1707" s="69" t="s">
        <v>53</v>
      </c>
      <c r="H1707" s="0" t="n">
        <v>14</v>
      </c>
      <c r="I1707" s="70" t="n">
        <v>34.78</v>
      </c>
      <c r="J1707" s="70" t="n">
        <v>18.39</v>
      </c>
      <c r="K1707" s="70" t="n">
        <f aca="false">IF(ISTEXT(H1707),VALUE(H1707),H1707)*I1707</f>
        <v>486.92</v>
      </c>
    </row>
    <row r="1708" customFormat="false" ht="15" hidden="false" customHeight="false" outlineLevel="0" collapsed="false">
      <c r="A1708" s="0" t="n">
        <v>286</v>
      </c>
      <c r="B1708" s="68" t="n">
        <v>45356</v>
      </c>
      <c r="C1708" s="69" t="s">
        <v>133</v>
      </c>
      <c r="D1708" s="69" t="s">
        <v>112</v>
      </c>
      <c r="E1708" s="69" t="s">
        <v>107</v>
      </c>
      <c r="F1708" s="69" t="s">
        <v>88</v>
      </c>
      <c r="G1708" s="69" t="s">
        <v>157</v>
      </c>
      <c r="H1708" s="0" t="n">
        <v>2</v>
      </c>
      <c r="I1708" s="70" t="n">
        <v>1617</v>
      </c>
      <c r="J1708" s="70" t="n">
        <v>1122</v>
      </c>
      <c r="K1708" s="70" t="n">
        <f aca="false">IF(ISTEXT(H1708),VALUE(H1708),H1708)*I1708</f>
        <v>3234</v>
      </c>
    </row>
    <row r="1709" customFormat="false" ht="15" hidden="false" customHeight="false" outlineLevel="0" collapsed="false">
      <c r="A1709" s="0" t="n">
        <v>732</v>
      </c>
      <c r="B1709" s="68" t="n">
        <v>45526</v>
      </c>
      <c r="C1709" s="69" t="s">
        <v>159</v>
      </c>
      <c r="D1709" s="69" t="s">
        <v>86</v>
      </c>
      <c r="E1709" s="69" t="s">
        <v>107</v>
      </c>
      <c r="F1709" s="69" t="s">
        <v>28</v>
      </c>
      <c r="G1709" s="69" t="s">
        <v>208</v>
      </c>
      <c r="H1709" s="0" t="n">
        <v>19</v>
      </c>
      <c r="I1709" s="70" t="n">
        <v>63.7</v>
      </c>
      <c r="J1709" s="70" t="n">
        <v>35.43</v>
      </c>
      <c r="K1709" s="70" t="n">
        <f aca="false">IF(ISTEXT(H1709),VALUE(H1709),H1709)*I1709</f>
        <v>1210.3</v>
      </c>
    </row>
    <row r="1710" customFormat="false" ht="15" hidden="false" customHeight="false" outlineLevel="0" collapsed="false">
      <c r="A1710" s="0" t="n">
        <v>2004</v>
      </c>
      <c r="B1710" s="69" t="s">
        <v>371</v>
      </c>
      <c r="C1710" s="69" t="s">
        <v>96</v>
      </c>
      <c r="D1710" s="69" t="s">
        <v>97</v>
      </c>
      <c r="E1710" s="69" t="s">
        <v>119</v>
      </c>
      <c r="F1710" s="69" t="s">
        <v>153</v>
      </c>
      <c r="G1710" s="69" t="s">
        <v>89</v>
      </c>
      <c r="H1710" s="0" t="n">
        <v>16</v>
      </c>
      <c r="I1710" s="70" t="n">
        <v>451.78</v>
      </c>
      <c r="J1710" s="70" t="n">
        <v>280.42</v>
      </c>
      <c r="K1710" s="70" t="n">
        <f aca="false">IF(ISTEXT(H1710),VALUE(H1710),H1710)*I1710</f>
        <v>7228.48</v>
      </c>
    </row>
    <row r="1711" customFormat="false" ht="15" hidden="false" customHeight="false" outlineLevel="0" collapsed="false">
      <c r="A1711" s="0" t="n">
        <v>968</v>
      </c>
      <c r="B1711" s="68" t="n">
        <v>45592</v>
      </c>
      <c r="C1711" s="69" t="s">
        <v>193</v>
      </c>
      <c r="D1711" s="69" t="s">
        <v>137</v>
      </c>
      <c r="E1711" s="69" t="s">
        <v>125</v>
      </c>
      <c r="F1711" s="69" t="s">
        <v>28</v>
      </c>
      <c r="G1711" s="69" t="s">
        <v>47</v>
      </c>
      <c r="H1711" s="0" t="n">
        <v>11</v>
      </c>
      <c r="I1711" s="70" t="n">
        <v>27.44</v>
      </c>
      <c r="J1711" s="70" t="n">
        <v>13.44</v>
      </c>
      <c r="K1711" s="70" t="n">
        <f aca="false">IF(ISTEXT(H1711),VALUE(H1711),H1711)*I1711</f>
        <v>301.84</v>
      </c>
    </row>
    <row r="1712" customFormat="false" ht="15" hidden="false" customHeight="false" outlineLevel="0" collapsed="false">
      <c r="A1712" s="0" t="n">
        <v>408</v>
      </c>
      <c r="B1712" s="68" t="n">
        <v>45434</v>
      </c>
      <c r="C1712" s="69" t="s">
        <v>96</v>
      </c>
      <c r="D1712" s="69" t="s">
        <v>97</v>
      </c>
      <c r="E1712" s="69" t="s">
        <v>98</v>
      </c>
      <c r="F1712" s="69" t="s">
        <v>99</v>
      </c>
      <c r="G1712" s="69" t="s">
        <v>103</v>
      </c>
      <c r="H1712" s="0" t="n">
        <v>41</v>
      </c>
      <c r="I1712" s="70" t="n">
        <v>27.44</v>
      </c>
      <c r="J1712" s="70" t="n">
        <v>13.44</v>
      </c>
      <c r="K1712" s="70" t="n">
        <f aca="false">IF(ISTEXT(H1712),VALUE(H1712),H1712)*I1712</f>
        <v>1125.04</v>
      </c>
    </row>
    <row r="1713" customFormat="false" ht="15" hidden="false" customHeight="false" outlineLevel="0" collapsed="false">
      <c r="A1713" s="0" t="n">
        <v>479</v>
      </c>
      <c r="B1713" s="68" t="n">
        <v>45418</v>
      </c>
      <c r="C1713" s="69" t="s">
        <v>193</v>
      </c>
      <c r="D1713" s="69" t="s">
        <v>137</v>
      </c>
      <c r="E1713" s="69" t="s">
        <v>134</v>
      </c>
      <c r="F1713" s="69" t="s">
        <v>33</v>
      </c>
      <c r="G1713" s="69" t="s">
        <v>53</v>
      </c>
      <c r="H1713" s="0" t="n">
        <v>15</v>
      </c>
      <c r="I1713" s="70" t="n">
        <v>34.3</v>
      </c>
      <c r="J1713" s="70" t="n">
        <v>17.85</v>
      </c>
      <c r="K1713" s="70" t="n">
        <f aca="false">IF(ISTEXT(H1713),VALUE(H1713),H1713)*I1713</f>
        <v>514.5</v>
      </c>
    </row>
    <row r="1714" customFormat="false" ht="15" hidden="false" customHeight="false" outlineLevel="0" collapsed="false">
      <c r="A1714" s="0" t="n">
        <v>1520</v>
      </c>
      <c r="B1714" s="68" t="n">
        <v>45750</v>
      </c>
      <c r="C1714" s="69" t="s">
        <v>96</v>
      </c>
      <c r="D1714" s="69" t="s">
        <v>97</v>
      </c>
      <c r="E1714" s="69" t="s">
        <v>87</v>
      </c>
      <c r="F1714" s="69" t="s">
        <v>183</v>
      </c>
      <c r="G1714" s="69" t="s">
        <v>94</v>
      </c>
      <c r="H1714" s="0" t="n">
        <v>38</v>
      </c>
      <c r="I1714" s="70" t="n">
        <v>34.78</v>
      </c>
      <c r="J1714" s="70" t="n">
        <v>18.39</v>
      </c>
      <c r="K1714" s="70" t="n">
        <f aca="false">IF(ISTEXT(H1714),VALUE(H1714),H1714)*I1714</f>
        <v>1321.64</v>
      </c>
    </row>
    <row r="1715" customFormat="false" ht="15" hidden="false" customHeight="false" outlineLevel="0" collapsed="false">
      <c r="A1715" s="0" t="n">
        <v>519</v>
      </c>
      <c r="B1715" s="68" t="n">
        <v>45459</v>
      </c>
      <c r="C1715" s="69" t="s">
        <v>150</v>
      </c>
      <c r="D1715" s="69" t="s">
        <v>97</v>
      </c>
      <c r="E1715" s="69" t="s">
        <v>101</v>
      </c>
      <c r="F1715" s="69" t="s">
        <v>168</v>
      </c>
      <c r="G1715" s="69" t="s">
        <v>94</v>
      </c>
      <c r="H1715" s="0" t="n">
        <v>63</v>
      </c>
      <c r="I1715" s="70" t="n">
        <v>34.3</v>
      </c>
      <c r="J1715" s="70" t="n">
        <v>17.85</v>
      </c>
      <c r="K1715" s="70" t="n">
        <f aca="false">IF(ISTEXT(H1715),VALUE(H1715),H1715)*I1715</f>
        <v>2160.9</v>
      </c>
    </row>
    <row r="1716" customFormat="false" ht="15" hidden="false" customHeight="false" outlineLevel="0" collapsed="false">
      <c r="A1716" s="0" t="n">
        <v>744</v>
      </c>
      <c r="B1716" s="68" t="n">
        <v>45529</v>
      </c>
      <c r="C1716" s="69" t="s">
        <v>30</v>
      </c>
      <c r="D1716" s="69" t="s">
        <v>109</v>
      </c>
      <c r="E1716" s="69" t="s">
        <v>119</v>
      </c>
      <c r="F1716" s="69" t="s">
        <v>88</v>
      </c>
      <c r="G1716" s="69" t="s">
        <v>177</v>
      </c>
      <c r="H1716" s="0" t="n">
        <v>3</v>
      </c>
      <c r="I1716" s="70" t="n">
        <v>441</v>
      </c>
      <c r="J1716" s="70" t="n">
        <v>272.25</v>
      </c>
      <c r="K1716" s="70" t="n">
        <f aca="false">IF(ISTEXT(H1716),VALUE(H1716),H1716)*I1716</f>
        <v>1323</v>
      </c>
    </row>
    <row r="1717" customFormat="false" ht="15" hidden="false" customHeight="false" outlineLevel="0" collapsed="false">
      <c r="A1717" s="0" t="n">
        <v>1492</v>
      </c>
      <c r="B1717" s="68" t="n">
        <v>45739</v>
      </c>
      <c r="C1717" s="69" t="s">
        <v>142</v>
      </c>
      <c r="D1717" s="69" t="s">
        <v>112</v>
      </c>
      <c r="E1717" s="69" t="s">
        <v>119</v>
      </c>
      <c r="F1717" s="69" t="s">
        <v>99</v>
      </c>
      <c r="G1717" s="69" t="s">
        <v>144</v>
      </c>
      <c r="H1717" s="0" t="n">
        <v>21</v>
      </c>
      <c r="I1717" s="70" t="n">
        <v>64.58</v>
      </c>
      <c r="J1717" s="70" t="n">
        <v>36.49</v>
      </c>
      <c r="K1717" s="70" t="n">
        <f aca="false">IF(ISTEXT(H1717),VALUE(H1717),H1717)*I1717</f>
        <v>1356.18</v>
      </c>
    </row>
    <row r="1718" customFormat="false" ht="15" hidden="false" customHeight="false" outlineLevel="0" collapsed="false">
      <c r="A1718" s="0" t="n">
        <v>1015</v>
      </c>
      <c r="B1718" s="68" t="n">
        <v>45601</v>
      </c>
      <c r="C1718" s="69" t="s">
        <v>150</v>
      </c>
      <c r="D1718" s="69" t="s">
        <v>97</v>
      </c>
      <c r="E1718" s="69" t="s">
        <v>92</v>
      </c>
      <c r="F1718" s="69" t="s">
        <v>166</v>
      </c>
      <c r="G1718" s="69" t="s">
        <v>111</v>
      </c>
      <c r="H1718" s="0" t="n">
        <v>65</v>
      </c>
      <c r="I1718" s="70" t="n">
        <v>83.3</v>
      </c>
      <c r="J1718" s="70" t="n">
        <v>48.03</v>
      </c>
      <c r="K1718" s="70" t="n">
        <f aca="false">IF(ISTEXT(H1718),VALUE(H1718),H1718)*I1718</f>
        <v>5414.5</v>
      </c>
    </row>
    <row r="1719" customFormat="false" ht="15" hidden="false" customHeight="false" outlineLevel="0" collapsed="false">
      <c r="A1719" s="0" t="n">
        <v>1843</v>
      </c>
      <c r="B1719" s="68" t="n">
        <v>45861</v>
      </c>
      <c r="C1719" s="69" t="s">
        <v>30</v>
      </c>
      <c r="D1719" s="69" t="s">
        <v>109</v>
      </c>
      <c r="E1719" s="69" t="s">
        <v>121</v>
      </c>
      <c r="F1719" s="69" t="s">
        <v>147</v>
      </c>
      <c r="G1719" s="69" t="s">
        <v>177</v>
      </c>
      <c r="H1719" s="0" t="s">
        <v>148</v>
      </c>
      <c r="I1719" s="70" t="n">
        <v>451.78</v>
      </c>
      <c r="J1719" s="70" t="n">
        <v>280.42</v>
      </c>
      <c r="K1719" s="70" t="n">
        <f aca="false">IF(ISTEXT(H1719),VALUE(H1719),H1719)*I1719</f>
        <v>3614.24</v>
      </c>
    </row>
    <row r="1720" customFormat="false" ht="15" hidden="false" customHeight="false" outlineLevel="0" collapsed="false">
      <c r="A1720" s="0" t="n">
        <v>363</v>
      </c>
      <c r="B1720" s="68" t="n">
        <v>45386</v>
      </c>
      <c r="C1720" s="69" t="s">
        <v>184</v>
      </c>
      <c r="D1720" s="69" t="s">
        <v>137</v>
      </c>
      <c r="E1720" s="69" t="s">
        <v>101</v>
      </c>
      <c r="F1720" s="69" t="s">
        <v>135</v>
      </c>
      <c r="G1720" s="69" t="s">
        <v>177</v>
      </c>
      <c r="H1720" s="0" t="n">
        <v>6</v>
      </c>
      <c r="I1720" s="70" t="n">
        <v>441</v>
      </c>
      <c r="J1720" s="70" t="n">
        <v>272.25</v>
      </c>
      <c r="K1720" s="70" t="n">
        <f aca="false">IF(ISTEXT(H1720),VALUE(H1720),H1720)*I1720</f>
        <v>2646</v>
      </c>
    </row>
    <row r="1721" customFormat="false" ht="15" hidden="false" customHeight="false" outlineLevel="0" collapsed="false">
      <c r="A1721" s="0" t="n">
        <v>1994</v>
      </c>
      <c r="B1721" s="69" t="s">
        <v>708</v>
      </c>
      <c r="C1721" s="69" t="s">
        <v>133</v>
      </c>
      <c r="D1721" s="69" t="s">
        <v>112</v>
      </c>
      <c r="E1721" s="69" t="s">
        <v>125</v>
      </c>
      <c r="F1721" s="69" t="s">
        <v>162</v>
      </c>
      <c r="G1721" s="69" t="s">
        <v>156</v>
      </c>
      <c r="H1721" s="0" t="n">
        <v>9</v>
      </c>
      <c r="I1721" s="70" t="n">
        <v>120.47</v>
      </c>
      <c r="J1721" s="70" t="n">
        <v>65.51</v>
      </c>
      <c r="K1721" s="70" t="n">
        <f aca="false">IF(ISTEXT(H1721),VALUE(H1721),H1721)*I1721</f>
        <v>1084.23</v>
      </c>
    </row>
    <row r="1722" customFormat="false" ht="15" hidden="false" customHeight="false" outlineLevel="0" collapsed="false">
      <c r="A1722" s="0" t="n">
        <v>174</v>
      </c>
      <c r="B1722" s="68" t="n">
        <v>45326</v>
      </c>
      <c r="C1722" s="69" t="s">
        <v>32</v>
      </c>
      <c r="D1722" s="69" t="s">
        <v>137</v>
      </c>
      <c r="E1722" s="69" t="s">
        <v>107</v>
      </c>
      <c r="F1722" s="69" t="s">
        <v>115</v>
      </c>
      <c r="G1722" s="69" t="s">
        <v>50</v>
      </c>
      <c r="H1722" s="0" t="n">
        <v>4</v>
      </c>
      <c r="I1722" s="70" t="n">
        <v>117.6</v>
      </c>
      <c r="J1722" s="70" t="n">
        <v>63.6</v>
      </c>
      <c r="K1722" s="70" t="n">
        <f aca="false">IF(ISTEXT(H1722),VALUE(H1722),H1722)*I1722</f>
        <v>470.4</v>
      </c>
    </row>
    <row r="1723" customFormat="false" ht="15" hidden="false" customHeight="false" outlineLevel="0" collapsed="false">
      <c r="A1723" s="0" t="n">
        <v>935</v>
      </c>
      <c r="B1723" s="69" t="s">
        <v>709</v>
      </c>
      <c r="C1723" s="69" t="s">
        <v>159</v>
      </c>
      <c r="D1723" s="69" t="s">
        <v>86</v>
      </c>
      <c r="E1723" s="69" t="s">
        <v>134</v>
      </c>
      <c r="F1723" s="69" t="s">
        <v>115</v>
      </c>
      <c r="G1723" s="69" t="s">
        <v>111</v>
      </c>
      <c r="H1723" s="0" t="n">
        <v>26</v>
      </c>
      <c r="I1723" s="70" t="n">
        <v>83.3</v>
      </c>
      <c r="J1723" s="70" t="n">
        <v>48.03</v>
      </c>
      <c r="K1723" s="70" t="n">
        <f aca="false">IF(ISTEXT(H1723),VALUE(H1723),H1723)*I1723</f>
        <v>2165.8</v>
      </c>
    </row>
    <row r="1724" customFormat="false" ht="15" hidden="false" customHeight="false" outlineLevel="0" collapsed="false">
      <c r="A1724" s="0" t="n">
        <v>37</v>
      </c>
      <c r="B1724" s="68" t="n">
        <v>45308</v>
      </c>
      <c r="C1724" s="69" t="s">
        <v>159</v>
      </c>
      <c r="D1724" s="69" t="s">
        <v>86</v>
      </c>
      <c r="E1724" s="69" t="s">
        <v>92</v>
      </c>
      <c r="F1724" s="69" t="s">
        <v>33</v>
      </c>
      <c r="G1724" s="69" t="s">
        <v>130</v>
      </c>
      <c r="H1724" s="0" t="s">
        <v>322</v>
      </c>
      <c r="I1724" s="70" t="n">
        <v>127.4</v>
      </c>
      <c r="J1724" s="70" t="n">
        <v>76.05</v>
      </c>
      <c r="K1724" s="70" t="n">
        <f aca="false">IF(ISTEXT(H1724),VALUE(H1724),H1724)*I1724</f>
        <v>3439.8</v>
      </c>
    </row>
    <row r="1725" customFormat="false" ht="15" hidden="false" customHeight="false" outlineLevel="0" collapsed="false">
      <c r="A1725" s="0" t="n">
        <v>1640</v>
      </c>
      <c r="B1725" s="68" t="n">
        <v>45783</v>
      </c>
      <c r="C1725" s="69" t="s">
        <v>159</v>
      </c>
      <c r="D1725" s="69" t="s">
        <v>86</v>
      </c>
      <c r="E1725" s="69" t="s">
        <v>125</v>
      </c>
      <c r="F1725" s="69" t="s">
        <v>168</v>
      </c>
      <c r="G1725" s="69" t="s">
        <v>53</v>
      </c>
      <c r="H1725" s="0" t="n">
        <v>24</v>
      </c>
      <c r="I1725" s="70" t="n">
        <v>34.78</v>
      </c>
      <c r="J1725" s="70" t="n">
        <v>18.39</v>
      </c>
      <c r="K1725" s="70" t="n">
        <f aca="false">IF(ISTEXT(H1725),VALUE(H1725),H1725)*I1725</f>
        <v>834.72</v>
      </c>
    </row>
    <row r="1726" customFormat="false" ht="15" hidden="false" customHeight="false" outlineLevel="0" collapsed="false">
      <c r="A1726" s="0" t="n">
        <v>2271</v>
      </c>
      <c r="B1726" s="69" t="s">
        <v>710</v>
      </c>
      <c r="C1726" s="69" t="s">
        <v>184</v>
      </c>
      <c r="D1726" s="69" t="s">
        <v>137</v>
      </c>
      <c r="E1726" s="69" t="s">
        <v>110</v>
      </c>
      <c r="F1726" s="69" t="s">
        <v>143</v>
      </c>
      <c r="G1726" s="69" t="s">
        <v>49</v>
      </c>
      <c r="H1726" s="0" t="n">
        <v>31</v>
      </c>
      <c r="I1726" s="70" t="n">
        <v>65.26</v>
      </c>
      <c r="J1726" s="70" t="n">
        <v>36.49</v>
      </c>
      <c r="K1726" s="70" t="n">
        <f aca="false">IF(ISTEXT(H1726),VALUE(H1726),H1726)*I1726</f>
        <v>2023.06</v>
      </c>
    </row>
    <row r="1727" customFormat="false" ht="15" hidden="false" customHeight="false" outlineLevel="0" collapsed="false">
      <c r="A1727" s="0" t="n">
        <v>1042</v>
      </c>
      <c r="B1727" s="68" t="n">
        <v>45601</v>
      </c>
      <c r="C1727" s="69" t="s">
        <v>108</v>
      </c>
      <c r="D1727" s="69" t="s">
        <v>109</v>
      </c>
      <c r="E1727" s="69" t="s">
        <v>98</v>
      </c>
      <c r="F1727" s="69" t="s">
        <v>135</v>
      </c>
      <c r="G1727" s="69" t="s">
        <v>151</v>
      </c>
      <c r="H1727" s="0" t="n">
        <v>4</v>
      </c>
      <c r="I1727" s="70" t="n">
        <v>1176</v>
      </c>
      <c r="J1727" s="70" t="n">
        <v>744</v>
      </c>
      <c r="K1727" s="70" t="n">
        <f aca="false">IF(ISTEXT(H1727),VALUE(H1727),H1727)*I1727</f>
        <v>4704</v>
      </c>
    </row>
    <row r="1728" customFormat="false" ht="15" hidden="false" customHeight="false" outlineLevel="0" collapsed="false">
      <c r="A1728" s="0" t="n">
        <v>2067</v>
      </c>
      <c r="B1728" s="68" t="n">
        <v>45925</v>
      </c>
      <c r="C1728" s="69" t="s">
        <v>136</v>
      </c>
      <c r="D1728" s="69" t="s">
        <v>137</v>
      </c>
      <c r="E1728" s="69" t="s">
        <v>121</v>
      </c>
      <c r="F1728" s="69" t="s">
        <v>99</v>
      </c>
      <c r="G1728" s="69" t="s">
        <v>103</v>
      </c>
      <c r="H1728" s="0" t="n">
        <v>27</v>
      </c>
      <c r="I1728" s="70" t="n">
        <v>28.11</v>
      </c>
      <c r="J1728" s="70" t="n">
        <v>13.84</v>
      </c>
      <c r="K1728" s="70" t="n">
        <f aca="false">IF(ISTEXT(H1728),VALUE(H1728),H1728)*I1728</f>
        <v>758.97</v>
      </c>
    </row>
    <row r="1729" customFormat="false" ht="15" hidden="false" customHeight="false" outlineLevel="0" collapsed="false">
      <c r="A1729" s="0" t="n">
        <v>2167</v>
      </c>
      <c r="B1729" s="68" t="n">
        <v>45953</v>
      </c>
      <c r="C1729" s="69" t="s">
        <v>32</v>
      </c>
      <c r="D1729" s="69" t="s">
        <v>137</v>
      </c>
      <c r="E1729" s="69" t="s">
        <v>134</v>
      </c>
      <c r="F1729" s="69" t="s">
        <v>28</v>
      </c>
      <c r="G1729" s="69" t="s">
        <v>103</v>
      </c>
      <c r="H1729" s="0" t="n">
        <v>36</v>
      </c>
      <c r="I1729" s="70" t="n">
        <v>28.11</v>
      </c>
      <c r="J1729" s="70" t="n">
        <v>13.84</v>
      </c>
      <c r="K1729" s="70" t="n">
        <f aca="false">IF(ISTEXT(H1729),VALUE(H1729),H1729)*I1729</f>
        <v>1011.96</v>
      </c>
    </row>
    <row r="1730" customFormat="false" ht="15" hidden="false" customHeight="false" outlineLevel="0" collapsed="false">
      <c r="A1730" s="0" t="n">
        <v>1388</v>
      </c>
      <c r="B1730" s="68" t="n">
        <v>45712</v>
      </c>
      <c r="C1730" s="69" t="s">
        <v>133</v>
      </c>
      <c r="D1730" s="69" t="s">
        <v>112</v>
      </c>
      <c r="E1730" s="69" t="s">
        <v>98</v>
      </c>
      <c r="F1730" s="69" t="s">
        <v>155</v>
      </c>
      <c r="G1730" s="69" t="s">
        <v>103</v>
      </c>
      <c r="H1730" s="0" t="s">
        <v>260</v>
      </c>
      <c r="I1730" s="70" t="n">
        <v>27.82</v>
      </c>
      <c r="J1730" s="70" t="n">
        <v>13.84</v>
      </c>
      <c r="K1730" s="70" t="n">
        <f aca="false">IF(ISTEXT(H1730),VALUE(H1730),H1730)*I1730</f>
        <v>389.48</v>
      </c>
    </row>
    <row r="1731" customFormat="false" ht="15" hidden="false" customHeight="false" outlineLevel="0" collapsed="false">
      <c r="A1731" s="0" t="n">
        <v>377</v>
      </c>
      <c r="B1731" s="68" t="n">
        <v>45403</v>
      </c>
      <c r="C1731" s="69" t="s">
        <v>193</v>
      </c>
      <c r="D1731" s="69" t="s">
        <v>137</v>
      </c>
      <c r="E1731" s="69" t="s">
        <v>101</v>
      </c>
      <c r="F1731" s="69" t="s">
        <v>93</v>
      </c>
      <c r="G1731" s="69" t="s">
        <v>52</v>
      </c>
      <c r="H1731" s="0" t="n">
        <v>17</v>
      </c>
      <c r="I1731" s="70" t="n">
        <v>127.4</v>
      </c>
      <c r="J1731" s="70" t="n">
        <v>76.05</v>
      </c>
      <c r="K1731" s="70" t="n">
        <f aca="false">IF(ISTEXT(H1731),VALUE(H1731),H1731)*I1731</f>
        <v>2165.8</v>
      </c>
    </row>
    <row r="1732" customFormat="false" ht="15" hidden="false" customHeight="false" outlineLevel="0" collapsed="false">
      <c r="A1732" s="0" t="n">
        <v>296</v>
      </c>
      <c r="B1732" s="68" t="n">
        <v>45372</v>
      </c>
      <c r="C1732" s="69" t="s">
        <v>161</v>
      </c>
      <c r="D1732" s="69" t="s">
        <v>112</v>
      </c>
      <c r="E1732" s="69" t="s">
        <v>125</v>
      </c>
      <c r="F1732" s="69" t="s">
        <v>31</v>
      </c>
      <c r="G1732" s="69" t="s">
        <v>51</v>
      </c>
      <c r="H1732" s="0" t="n">
        <v>5</v>
      </c>
      <c r="I1732" s="70" t="n">
        <v>83.3</v>
      </c>
      <c r="J1732" s="70" t="n">
        <v>48.03</v>
      </c>
      <c r="K1732" s="70" t="n">
        <f aca="false">IF(ISTEXT(H1732),VALUE(H1732),H1732)*I1732</f>
        <v>416.5</v>
      </c>
    </row>
    <row r="1733" customFormat="false" ht="15" hidden="false" customHeight="false" outlineLevel="0" collapsed="false">
      <c r="A1733" s="0" t="n">
        <v>605</v>
      </c>
      <c r="B1733" s="68" t="n">
        <v>45497</v>
      </c>
      <c r="C1733" s="69" t="s">
        <v>170</v>
      </c>
      <c r="D1733" s="69" t="s">
        <v>97</v>
      </c>
      <c r="E1733" s="69" t="s">
        <v>110</v>
      </c>
      <c r="F1733" s="69" t="s">
        <v>135</v>
      </c>
      <c r="G1733" s="69" t="s">
        <v>141</v>
      </c>
      <c r="H1733" s="0" t="s">
        <v>284</v>
      </c>
      <c r="I1733" s="70" t="n">
        <v>1617</v>
      </c>
      <c r="J1733" s="70" t="n">
        <v>1122</v>
      </c>
      <c r="K1733" s="70" t="n">
        <f aca="false">IF(ISTEXT(H1733),VALUE(H1733),H1733)*I1733</f>
        <v>30723</v>
      </c>
    </row>
    <row r="1734" customFormat="false" ht="15" hidden="false" customHeight="false" outlineLevel="0" collapsed="false">
      <c r="A1734" s="0" t="n">
        <v>268</v>
      </c>
      <c r="B1734" s="68" t="n">
        <v>45365</v>
      </c>
      <c r="C1734" s="69" t="s">
        <v>136</v>
      </c>
      <c r="D1734" s="69" t="s">
        <v>137</v>
      </c>
      <c r="E1734" s="69" t="s">
        <v>125</v>
      </c>
      <c r="F1734" s="69" t="s">
        <v>155</v>
      </c>
      <c r="G1734" s="69" t="s">
        <v>103</v>
      </c>
      <c r="H1734" s="0" t="n">
        <v>12</v>
      </c>
      <c r="I1734" s="70" t="n">
        <v>27.44</v>
      </c>
      <c r="J1734" s="70" t="n">
        <v>13.44</v>
      </c>
      <c r="K1734" s="70" t="n">
        <f aca="false">IF(ISTEXT(H1734),VALUE(H1734),H1734)*I1734</f>
        <v>329.28</v>
      </c>
    </row>
    <row r="1735" customFormat="false" ht="15" hidden="false" customHeight="false" outlineLevel="0" collapsed="false">
      <c r="A1735" s="0" t="n">
        <v>1296</v>
      </c>
      <c r="B1735" s="68" t="n">
        <v>45658</v>
      </c>
      <c r="C1735" s="69" t="s">
        <v>142</v>
      </c>
      <c r="D1735" s="69" t="s">
        <v>112</v>
      </c>
      <c r="E1735" s="69" t="s">
        <v>180</v>
      </c>
      <c r="F1735" s="69" t="s">
        <v>115</v>
      </c>
      <c r="G1735" s="69" t="s">
        <v>51</v>
      </c>
      <c r="H1735" s="0" t="n">
        <v>9</v>
      </c>
      <c r="I1735" s="70" t="n">
        <v>84.46</v>
      </c>
      <c r="J1735" s="70" t="n">
        <v>49.47</v>
      </c>
      <c r="K1735" s="70" t="n">
        <f aca="false">IF(ISTEXT(H1735),VALUE(H1735),H1735)*I1735</f>
        <v>760.14</v>
      </c>
    </row>
    <row r="1736" customFormat="false" ht="15" hidden="false" customHeight="false" outlineLevel="0" collapsed="false">
      <c r="A1736" s="0" t="n">
        <v>1919</v>
      </c>
      <c r="B1736" s="69" t="s">
        <v>500</v>
      </c>
      <c r="C1736" s="69" t="s">
        <v>96</v>
      </c>
      <c r="D1736" s="69" t="s">
        <v>97</v>
      </c>
      <c r="E1736" s="69" t="s">
        <v>121</v>
      </c>
      <c r="F1736" s="69" t="s">
        <v>168</v>
      </c>
      <c r="G1736" s="69" t="s">
        <v>53</v>
      </c>
      <c r="H1736" s="0" t="n">
        <v>50</v>
      </c>
      <c r="I1736" s="70" t="n">
        <v>35.14</v>
      </c>
      <c r="J1736" s="70" t="n">
        <v>18.39</v>
      </c>
      <c r="K1736" s="70" t="n">
        <f aca="false">IF(ISTEXT(H1736),VALUE(H1736),H1736)*I1736</f>
        <v>1757</v>
      </c>
    </row>
    <row r="1737" customFormat="false" ht="15" hidden="false" customHeight="false" outlineLevel="0" collapsed="false">
      <c r="A1737" s="0" t="n">
        <v>1333</v>
      </c>
      <c r="B1737" s="68" t="n">
        <v>45705</v>
      </c>
      <c r="C1737" s="69" t="s">
        <v>159</v>
      </c>
      <c r="D1737" s="69" t="s">
        <v>86</v>
      </c>
      <c r="E1737" s="69" t="s">
        <v>134</v>
      </c>
      <c r="F1737" s="69" t="s">
        <v>166</v>
      </c>
      <c r="G1737" s="69" t="s">
        <v>171</v>
      </c>
      <c r="H1737" s="0" t="n">
        <v>23</v>
      </c>
      <c r="I1737" s="70" t="n">
        <v>119.23</v>
      </c>
      <c r="J1737" s="70" t="n">
        <v>65.51</v>
      </c>
      <c r="K1737" s="70" t="n">
        <f aca="false">IF(ISTEXT(H1737),VALUE(H1737),H1737)*I1737</f>
        <v>2742.29</v>
      </c>
    </row>
    <row r="1738" customFormat="false" ht="15" hidden="false" customHeight="false" outlineLevel="0" collapsed="false">
      <c r="A1738" s="0" t="n">
        <v>1089</v>
      </c>
      <c r="B1738" s="69" t="s">
        <v>711</v>
      </c>
      <c r="C1738" s="69" t="s">
        <v>34</v>
      </c>
      <c r="D1738" s="69" t="s">
        <v>112</v>
      </c>
      <c r="E1738" s="69" t="s">
        <v>110</v>
      </c>
      <c r="F1738" s="69" t="s">
        <v>99</v>
      </c>
      <c r="G1738" s="69" t="s">
        <v>235</v>
      </c>
      <c r="H1738" s="0" t="n">
        <v>40</v>
      </c>
      <c r="I1738" s="70" t="n">
        <v>93.1</v>
      </c>
      <c r="J1738" s="70" t="n">
        <v>47.98</v>
      </c>
      <c r="K1738" s="70" t="n">
        <f aca="false">IF(ISTEXT(H1738),VALUE(H1738),H1738)*I1738</f>
        <v>3724</v>
      </c>
    </row>
    <row r="1739" customFormat="false" ht="15" hidden="false" customHeight="false" outlineLevel="0" collapsed="false">
      <c r="A1739" s="0" t="n">
        <v>567</v>
      </c>
      <c r="B1739" s="68" t="n">
        <v>45444</v>
      </c>
      <c r="C1739" s="69" t="s">
        <v>184</v>
      </c>
      <c r="D1739" s="69" t="s">
        <v>137</v>
      </c>
      <c r="E1739" s="69" t="s">
        <v>138</v>
      </c>
      <c r="F1739" s="69" t="s">
        <v>143</v>
      </c>
      <c r="G1739" s="69" t="s">
        <v>113</v>
      </c>
      <c r="H1739" s="0" t="n">
        <v>32</v>
      </c>
      <c r="I1739" s="70" t="n">
        <v>27.44</v>
      </c>
      <c r="J1739" s="70" t="n">
        <v>13.44</v>
      </c>
      <c r="K1739" s="70" t="n">
        <f aca="false">IF(ISTEXT(H1739),VALUE(H1739),H1739)*I1739</f>
        <v>878.08</v>
      </c>
    </row>
    <row r="1740" customFormat="false" ht="15" hidden="false" customHeight="false" outlineLevel="0" collapsed="false">
      <c r="A1740" s="0" t="n">
        <v>2001</v>
      </c>
      <c r="B1740" s="68" t="n">
        <v>45922</v>
      </c>
      <c r="C1740" s="69" t="s">
        <v>96</v>
      </c>
      <c r="D1740" s="69" t="s">
        <v>97</v>
      </c>
      <c r="E1740" s="69" t="s">
        <v>121</v>
      </c>
      <c r="F1740" s="69" t="s">
        <v>153</v>
      </c>
      <c r="G1740" s="69" t="s">
        <v>154</v>
      </c>
      <c r="H1740" s="0" t="n">
        <v>18</v>
      </c>
      <c r="I1740" s="70" t="n">
        <v>1204.74</v>
      </c>
      <c r="J1740" s="70" t="n">
        <v>766.32</v>
      </c>
      <c r="K1740" s="70" t="n">
        <f aca="false">IF(ISTEXT(H1740),VALUE(H1740),H1740)*I1740</f>
        <v>21685.32</v>
      </c>
    </row>
    <row r="1741" customFormat="false" ht="15" hidden="false" customHeight="false" outlineLevel="0" collapsed="false">
      <c r="A1741" s="0" t="n">
        <v>399</v>
      </c>
      <c r="B1741" s="69" t="s">
        <v>689</v>
      </c>
      <c r="C1741" s="69" t="s">
        <v>133</v>
      </c>
      <c r="D1741" s="69" t="s">
        <v>112</v>
      </c>
      <c r="E1741" s="69" t="s">
        <v>134</v>
      </c>
      <c r="F1741" s="69" t="s">
        <v>183</v>
      </c>
      <c r="G1741" s="69" t="s">
        <v>53</v>
      </c>
      <c r="H1741" s="0" t="n">
        <v>19</v>
      </c>
      <c r="I1741" s="70" t="n">
        <v>34.3</v>
      </c>
      <c r="J1741" s="70" t="n">
        <v>17.85</v>
      </c>
      <c r="K1741" s="70" t="n">
        <f aca="false">IF(ISTEXT(H1741),VALUE(H1741),H1741)*I1741</f>
        <v>651.7</v>
      </c>
    </row>
    <row r="1742" customFormat="false" ht="15" hidden="false" customHeight="false" outlineLevel="0" collapsed="false">
      <c r="A1742" s="0" t="n">
        <v>1481</v>
      </c>
      <c r="B1742" s="68" t="n">
        <v>45743</v>
      </c>
      <c r="C1742" s="69" t="s">
        <v>161</v>
      </c>
      <c r="D1742" s="69" t="s">
        <v>112</v>
      </c>
      <c r="E1742" s="69" t="s">
        <v>110</v>
      </c>
      <c r="F1742" s="69" t="s">
        <v>135</v>
      </c>
      <c r="G1742" s="69" t="s">
        <v>41</v>
      </c>
      <c r="H1742" s="0" t="n">
        <v>7</v>
      </c>
      <c r="I1742" s="70" t="n">
        <v>1155.06</v>
      </c>
      <c r="J1742" s="70" t="n">
        <v>766.32</v>
      </c>
      <c r="K1742" s="70" t="n">
        <f aca="false">IF(ISTEXT(H1742),VALUE(H1742),H1742)*I1742</f>
        <v>8085.42</v>
      </c>
    </row>
    <row r="1743" customFormat="false" ht="15" hidden="false" customHeight="false" outlineLevel="0" collapsed="false">
      <c r="A1743" s="0" t="n">
        <v>2290</v>
      </c>
      <c r="B1743" s="68" t="n">
        <v>45981</v>
      </c>
      <c r="C1743" s="69" t="s">
        <v>142</v>
      </c>
      <c r="D1743" s="69" t="s">
        <v>112</v>
      </c>
      <c r="E1743" s="69" t="s">
        <v>98</v>
      </c>
      <c r="F1743" s="69" t="s">
        <v>28</v>
      </c>
      <c r="G1743" s="69" t="s">
        <v>48</v>
      </c>
      <c r="H1743" s="0" t="n">
        <v>23</v>
      </c>
      <c r="I1743" s="70" t="n">
        <v>95.38</v>
      </c>
      <c r="J1743" s="70" t="n">
        <v>49.41</v>
      </c>
      <c r="K1743" s="70" t="n">
        <f aca="false">IF(ISTEXT(H1743),VALUE(H1743),H1743)*I1743</f>
        <v>2193.74</v>
      </c>
    </row>
    <row r="1744" customFormat="false" ht="15" hidden="false" customHeight="false" outlineLevel="0" collapsed="false">
      <c r="A1744" s="0" t="n">
        <v>1460</v>
      </c>
      <c r="B1744" s="68" t="n">
        <v>45731</v>
      </c>
      <c r="C1744" s="69" t="s">
        <v>108</v>
      </c>
      <c r="D1744" s="69" t="s">
        <v>109</v>
      </c>
      <c r="E1744" s="69" t="s">
        <v>87</v>
      </c>
      <c r="F1744" s="69" t="s">
        <v>168</v>
      </c>
      <c r="G1744" s="69" t="s">
        <v>94</v>
      </c>
      <c r="H1744" s="0" t="n">
        <v>13</v>
      </c>
      <c r="I1744" s="70" t="n">
        <v>34.78</v>
      </c>
      <c r="J1744" s="70" t="n">
        <v>18.39</v>
      </c>
      <c r="K1744" s="70" t="n">
        <f aca="false">IF(ISTEXT(H1744),VALUE(H1744),H1744)*I1744</f>
        <v>452.14</v>
      </c>
    </row>
    <row r="1745" customFormat="false" ht="15" hidden="false" customHeight="false" outlineLevel="0" collapsed="false">
      <c r="A1745" s="0" t="n">
        <v>1203</v>
      </c>
      <c r="B1745" s="69" t="s">
        <v>712</v>
      </c>
      <c r="C1745" s="69" t="s">
        <v>150</v>
      </c>
      <c r="D1745" s="69" t="s">
        <v>97</v>
      </c>
      <c r="E1745" s="69" t="s">
        <v>101</v>
      </c>
      <c r="F1745" s="69" t="s">
        <v>153</v>
      </c>
      <c r="G1745" s="69" t="s">
        <v>89</v>
      </c>
      <c r="H1745" s="0" t="n">
        <v>19</v>
      </c>
      <c r="I1745" s="70" t="n">
        <v>433.15</v>
      </c>
      <c r="J1745" s="70" t="n">
        <v>280.42</v>
      </c>
      <c r="K1745" s="70" t="n">
        <f aca="false">IF(ISTEXT(H1745),VALUE(H1745),H1745)*I1745</f>
        <v>8229.85</v>
      </c>
    </row>
    <row r="1746" customFormat="false" ht="15" hidden="false" customHeight="false" outlineLevel="0" collapsed="false">
      <c r="A1746" s="0" t="n">
        <v>2078</v>
      </c>
      <c r="B1746" s="68" t="n">
        <v>45921</v>
      </c>
      <c r="C1746" s="69" t="s">
        <v>32</v>
      </c>
      <c r="D1746" s="69" t="s">
        <v>137</v>
      </c>
      <c r="E1746" s="69" t="s">
        <v>107</v>
      </c>
      <c r="F1746" s="69" t="s">
        <v>93</v>
      </c>
      <c r="G1746" s="69" t="s">
        <v>130</v>
      </c>
      <c r="H1746" s="0" t="n">
        <v>12</v>
      </c>
      <c r="I1746" s="70" t="n">
        <v>130.51</v>
      </c>
      <c r="J1746" s="70" t="n">
        <v>78.33</v>
      </c>
      <c r="K1746" s="70" t="n">
        <f aca="false">IF(ISTEXT(H1746),VALUE(H1746),H1746)*I1746</f>
        <v>1566.12</v>
      </c>
    </row>
    <row r="1747" customFormat="false" ht="15" hidden="false" customHeight="false" outlineLevel="0" collapsed="false">
      <c r="A1747" s="0" t="n">
        <v>2055</v>
      </c>
      <c r="B1747" s="68" t="n">
        <v>45922</v>
      </c>
      <c r="C1747" s="69" t="s">
        <v>118</v>
      </c>
      <c r="D1747" s="69" t="s">
        <v>109</v>
      </c>
      <c r="E1747" s="69" t="s">
        <v>121</v>
      </c>
      <c r="F1747" s="69" t="s">
        <v>31</v>
      </c>
      <c r="G1747" s="69" t="s">
        <v>51</v>
      </c>
      <c r="H1747" s="0" t="n">
        <v>16</v>
      </c>
      <c r="I1747" s="70" t="n">
        <v>85.34</v>
      </c>
      <c r="J1747" s="70" t="n">
        <v>49.47</v>
      </c>
      <c r="K1747" s="70" t="n">
        <f aca="false">IF(ISTEXT(H1747),VALUE(H1747),H1747)*I1747</f>
        <v>1365.44</v>
      </c>
    </row>
    <row r="1748" customFormat="false" ht="15" hidden="false" customHeight="false" outlineLevel="0" collapsed="false">
      <c r="A1748" s="0" t="n">
        <v>2043</v>
      </c>
      <c r="B1748" s="68" t="n">
        <v>45919</v>
      </c>
      <c r="C1748" s="69" t="s">
        <v>108</v>
      </c>
      <c r="D1748" s="69" t="s">
        <v>109</v>
      </c>
      <c r="E1748" s="69" t="s">
        <v>110</v>
      </c>
      <c r="F1748" s="69" t="s">
        <v>26</v>
      </c>
      <c r="G1748" s="69" t="s">
        <v>89</v>
      </c>
      <c r="H1748" s="0" t="n">
        <v>9</v>
      </c>
      <c r="I1748" s="70" t="n">
        <v>451.78</v>
      </c>
      <c r="J1748" s="70" t="n">
        <v>280.42</v>
      </c>
      <c r="K1748" s="70" t="n">
        <f aca="false">IF(ISTEXT(H1748),VALUE(H1748),H1748)*I1748</f>
        <v>4066.02</v>
      </c>
    </row>
    <row r="1749" customFormat="false" ht="15" hidden="false" customHeight="false" outlineLevel="0" collapsed="false">
      <c r="A1749" s="0" t="n">
        <v>1693</v>
      </c>
      <c r="B1749" s="68" t="n">
        <v>45803</v>
      </c>
      <c r="C1749" s="69" t="s">
        <v>142</v>
      </c>
      <c r="D1749" s="69" t="s">
        <v>112</v>
      </c>
      <c r="E1749" s="69" t="s">
        <v>138</v>
      </c>
      <c r="F1749" s="69" t="s">
        <v>31</v>
      </c>
      <c r="G1749" s="69" t="s">
        <v>50</v>
      </c>
      <c r="H1749" s="0" t="n">
        <v>13</v>
      </c>
      <c r="I1749" s="70" t="n">
        <v>119.23</v>
      </c>
      <c r="J1749" s="70" t="n">
        <v>65.51</v>
      </c>
      <c r="K1749" s="70" t="n">
        <f aca="false">IF(ISTEXT(H1749),VALUE(H1749),H1749)*I1749</f>
        <v>1549.99</v>
      </c>
    </row>
    <row r="1750" customFormat="false" ht="15" hidden="false" customHeight="false" outlineLevel="0" collapsed="false">
      <c r="A1750" s="0" t="n">
        <v>1319</v>
      </c>
      <c r="B1750" s="69" t="s">
        <v>341</v>
      </c>
      <c r="C1750" s="69" t="s">
        <v>96</v>
      </c>
      <c r="D1750" s="69" t="s">
        <v>97</v>
      </c>
      <c r="E1750" s="69" t="s">
        <v>110</v>
      </c>
      <c r="F1750" s="69" t="s">
        <v>93</v>
      </c>
      <c r="G1750" s="69" t="s">
        <v>94</v>
      </c>
      <c r="H1750" s="0" t="n">
        <v>41</v>
      </c>
      <c r="I1750" s="70" t="n">
        <v>34.78</v>
      </c>
      <c r="J1750" s="70" t="n">
        <v>18.39</v>
      </c>
      <c r="K1750" s="70" t="n">
        <f aca="false">IF(ISTEXT(H1750),VALUE(H1750),H1750)*I1750</f>
        <v>1425.98</v>
      </c>
    </row>
    <row r="1751" customFormat="false" ht="15" hidden="false" customHeight="false" outlineLevel="0" collapsed="false">
      <c r="A1751" s="0" t="n">
        <v>777</v>
      </c>
      <c r="B1751" s="68" t="n">
        <v>45517</v>
      </c>
      <c r="C1751" s="69" t="s">
        <v>32</v>
      </c>
      <c r="D1751" s="69" t="s">
        <v>137</v>
      </c>
      <c r="E1751" s="69" t="s">
        <v>121</v>
      </c>
      <c r="F1751" s="69" t="s">
        <v>33</v>
      </c>
      <c r="G1751" s="69" t="s">
        <v>127</v>
      </c>
      <c r="H1751" s="0" t="n">
        <v>17</v>
      </c>
      <c r="I1751" s="70" t="n">
        <v>127.4</v>
      </c>
      <c r="J1751" s="70" t="n">
        <v>76.05</v>
      </c>
      <c r="K1751" s="70" t="n">
        <f aca="false">IF(ISTEXT(H1751),VALUE(H1751),H1751)*I1751</f>
        <v>2165.8</v>
      </c>
    </row>
    <row r="1752" customFormat="false" ht="15" hidden="false" customHeight="false" outlineLevel="0" collapsed="false">
      <c r="A1752" s="0" t="n">
        <v>601</v>
      </c>
      <c r="B1752" s="68" t="n">
        <v>45496</v>
      </c>
      <c r="C1752" s="69" t="s">
        <v>25</v>
      </c>
      <c r="D1752" s="69" t="s">
        <v>97</v>
      </c>
      <c r="E1752" s="69" t="s">
        <v>92</v>
      </c>
      <c r="F1752" s="69" t="s">
        <v>135</v>
      </c>
      <c r="G1752" s="69" t="s">
        <v>151</v>
      </c>
      <c r="H1752" s="0" t="s">
        <v>221</v>
      </c>
      <c r="I1752" s="70" t="n">
        <v>1176</v>
      </c>
      <c r="J1752" s="70" t="n">
        <v>744</v>
      </c>
      <c r="K1752" s="70" t="n">
        <f aca="false">IF(ISTEXT(H1752),VALUE(H1752),H1752)*I1752</f>
        <v>27048</v>
      </c>
    </row>
    <row r="1753" customFormat="false" ht="15" hidden="false" customHeight="false" outlineLevel="0" collapsed="false">
      <c r="A1753" s="0" t="n">
        <v>103</v>
      </c>
      <c r="B1753" s="69" t="s">
        <v>713</v>
      </c>
      <c r="C1753" s="69" t="s">
        <v>25</v>
      </c>
      <c r="D1753" s="69" t="s">
        <v>97</v>
      </c>
      <c r="E1753" s="69" t="s">
        <v>138</v>
      </c>
      <c r="F1753" s="69" t="s">
        <v>153</v>
      </c>
      <c r="G1753" s="69" t="s">
        <v>43</v>
      </c>
      <c r="H1753" s="0" t="n">
        <v>16</v>
      </c>
      <c r="I1753" s="70" t="n">
        <v>441</v>
      </c>
      <c r="J1753" s="70" t="n">
        <v>272.25</v>
      </c>
      <c r="K1753" s="70" t="n">
        <f aca="false">IF(ISTEXT(H1753),VALUE(H1753),H1753)*I1753</f>
        <v>7056</v>
      </c>
    </row>
    <row r="1754" customFormat="false" ht="15" hidden="false" customHeight="false" outlineLevel="0" collapsed="false">
      <c r="A1754" s="0" t="n">
        <v>682</v>
      </c>
      <c r="B1754" s="68" t="n">
        <v>45496</v>
      </c>
      <c r="C1754" s="69" t="s">
        <v>34</v>
      </c>
      <c r="D1754" s="69" t="s">
        <v>112</v>
      </c>
      <c r="E1754" s="69" t="s">
        <v>98</v>
      </c>
      <c r="F1754" s="69" t="s">
        <v>88</v>
      </c>
      <c r="G1754" s="69" t="s">
        <v>151</v>
      </c>
      <c r="H1754" s="0" t="n">
        <v>3</v>
      </c>
      <c r="I1754" s="70" t="n">
        <v>1176</v>
      </c>
      <c r="J1754" s="70" t="n">
        <v>744</v>
      </c>
      <c r="K1754" s="70" t="n">
        <f aca="false">IF(ISTEXT(H1754),VALUE(H1754),H1754)*I1754</f>
        <v>3528</v>
      </c>
    </row>
    <row r="1755" customFormat="false" ht="15" hidden="false" customHeight="false" outlineLevel="0" collapsed="false">
      <c r="A1755" s="0" t="n">
        <v>94</v>
      </c>
      <c r="B1755" s="68" t="n">
        <v>45302</v>
      </c>
      <c r="C1755" s="69" t="s">
        <v>34</v>
      </c>
      <c r="D1755" s="69" t="s">
        <v>112</v>
      </c>
      <c r="E1755" s="69" t="s">
        <v>98</v>
      </c>
      <c r="F1755" s="69" t="s">
        <v>115</v>
      </c>
      <c r="G1755" s="69" t="s">
        <v>50</v>
      </c>
      <c r="H1755" s="0" t="n">
        <v>5</v>
      </c>
      <c r="I1755" s="70" t="n">
        <v>117.6</v>
      </c>
      <c r="J1755" s="70" t="n">
        <v>63.6</v>
      </c>
      <c r="K1755" s="70" t="n">
        <f aca="false">IF(ISTEXT(H1755),VALUE(H1755),H1755)*I1755</f>
        <v>588</v>
      </c>
    </row>
    <row r="1756" customFormat="false" ht="15" hidden="false" customHeight="false" outlineLevel="0" collapsed="false">
      <c r="A1756" s="0" t="n">
        <v>1121</v>
      </c>
      <c r="B1756" s="68" t="n">
        <v>45644</v>
      </c>
      <c r="C1756" s="69" t="s">
        <v>27</v>
      </c>
      <c r="D1756" s="69" t="s">
        <v>86</v>
      </c>
      <c r="E1756" s="69" t="s">
        <v>121</v>
      </c>
      <c r="F1756" s="69" t="s">
        <v>135</v>
      </c>
      <c r="G1756" s="69" t="s">
        <v>154</v>
      </c>
      <c r="H1756" s="0" t="n">
        <v>17</v>
      </c>
      <c r="I1756" s="70" t="n">
        <v>1176</v>
      </c>
      <c r="J1756" s="70" t="n">
        <v>744</v>
      </c>
      <c r="K1756" s="70" t="n">
        <f aca="false">IF(ISTEXT(H1756),VALUE(H1756),H1756)*I1756</f>
        <v>19992</v>
      </c>
    </row>
    <row r="1757" customFormat="false" ht="15" hidden="false" customHeight="false" outlineLevel="0" collapsed="false">
      <c r="A1757" s="0" t="n">
        <v>2338</v>
      </c>
      <c r="B1757" s="68" t="n">
        <v>45996</v>
      </c>
      <c r="C1757" s="69" t="s">
        <v>91</v>
      </c>
      <c r="D1757" s="69" t="s">
        <v>86</v>
      </c>
      <c r="E1757" s="69" t="s">
        <v>119</v>
      </c>
      <c r="F1757" s="69" t="s">
        <v>93</v>
      </c>
      <c r="G1757" s="69" t="s">
        <v>52</v>
      </c>
      <c r="H1757" s="0" t="n">
        <v>32</v>
      </c>
      <c r="I1757" s="70" t="n">
        <v>130.51</v>
      </c>
      <c r="J1757" s="70" t="n">
        <v>78.33</v>
      </c>
      <c r="K1757" s="70" t="n">
        <f aca="false">IF(ISTEXT(H1757),VALUE(H1757),H1757)*I1757</f>
        <v>4176.32</v>
      </c>
    </row>
    <row r="1758" customFormat="false" ht="15" hidden="false" customHeight="false" outlineLevel="0" collapsed="false">
      <c r="A1758" s="0" t="n">
        <v>2280</v>
      </c>
      <c r="B1758" s="68" t="n">
        <v>45965</v>
      </c>
      <c r="C1758" s="69" t="s">
        <v>32</v>
      </c>
      <c r="D1758" s="69" t="s">
        <v>137</v>
      </c>
      <c r="E1758" s="69" t="s">
        <v>119</v>
      </c>
      <c r="F1758" s="69" t="s">
        <v>183</v>
      </c>
      <c r="G1758" s="69" t="s">
        <v>94</v>
      </c>
      <c r="H1758" s="0" t="n">
        <v>13</v>
      </c>
      <c r="I1758" s="70" t="n">
        <v>35.14</v>
      </c>
      <c r="J1758" s="70" t="n">
        <v>18.39</v>
      </c>
      <c r="K1758" s="70" t="n">
        <f aca="false">IF(ISTEXT(H1758),VALUE(H1758),H1758)*I1758</f>
        <v>456.82</v>
      </c>
    </row>
    <row r="1759" customFormat="false" ht="15" hidden="false" customHeight="false" outlineLevel="0" collapsed="false">
      <c r="A1759" s="0" t="n">
        <v>1976</v>
      </c>
      <c r="B1759" s="68" t="n">
        <v>45878</v>
      </c>
      <c r="C1759" s="69" t="s">
        <v>136</v>
      </c>
      <c r="D1759" s="69" t="s">
        <v>137</v>
      </c>
      <c r="E1759" s="69" t="s">
        <v>87</v>
      </c>
      <c r="F1759" s="69" t="s">
        <v>31</v>
      </c>
      <c r="G1759" s="69" t="s">
        <v>51</v>
      </c>
      <c r="H1759" s="0" t="n">
        <v>11</v>
      </c>
      <c r="I1759" s="70" t="n">
        <v>85.34</v>
      </c>
      <c r="J1759" s="70" t="n">
        <v>49.47</v>
      </c>
      <c r="K1759" s="70" t="n">
        <f aca="false">IF(ISTEXT(H1759),VALUE(H1759),H1759)*I1759</f>
        <v>938.74</v>
      </c>
    </row>
    <row r="1760" customFormat="false" ht="15" hidden="false" customHeight="false" outlineLevel="0" collapsed="false">
      <c r="A1760" s="0" t="n">
        <v>1180</v>
      </c>
      <c r="B1760" s="69" t="s">
        <v>714</v>
      </c>
      <c r="C1760" s="69" t="s">
        <v>193</v>
      </c>
      <c r="D1760" s="69" t="s">
        <v>137</v>
      </c>
      <c r="E1760" s="69" t="s">
        <v>107</v>
      </c>
      <c r="F1760" s="69" t="s">
        <v>182</v>
      </c>
      <c r="G1760" s="69" t="s">
        <v>94</v>
      </c>
      <c r="H1760" s="0" t="n">
        <v>9</v>
      </c>
      <c r="I1760" s="70" t="n">
        <v>34.3</v>
      </c>
      <c r="J1760" s="70" t="n">
        <v>17.85</v>
      </c>
      <c r="K1760" s="70" t="n">
        <f aca="false">IF(ISTEXT(H1760),VALUE(H1760),H1760)*I1760</f>
        <v>308.7</v>
      </c>
    </row>
    <row r="1761" customFormat="false" ht="15" hidden="false" customHeight="false" outlineLevel="0" collapsed="false">
      <c r="A1761" s="0" t="n">
        <v>2375</v>
      </c>
      <c r="B1761" s="68" t="n">
        <v>46012</v>
      </c>
      <c r="C1761" s="69" t="s">
        <v>184</v>
      </c>
      <c r="D1761" s="69" t="s">
        <v>137</v>
      </c>
      <c r="E1761" s="69" t="s">
        <v>101</v>
      </c>
      <c r="F1761" s="69" t="s">
        <v>31</v>
      </c>
      <c r="G1761" s="69" t="s">
        <v>51</v>
      </c>
      <c r="H1761" s="0" t="n">
        <v>18</v>
      </c>
      <c r="I1761" s="70" t="n">
        <v>85.34</v>
      </c>
      <c r="J1761" s="70" t="n">
        <v>49.47</v>
      </c>
      <c r="K1761" s="70" t="n">
        <f aca="false">IF(ISTEXT(H1761),VALUE(H1761),H1761)*I1761</f>
        <v>1536.12</v>
      </c>
    </row>
    <row r="1762" customFormat="false" ht="15" hidden="false" customHeight="false" outlineLevel="0" collapsed="false">
      <c r="A1762" s="0" t="n">
        <v>1538</v>
      </c>
      <c r="B1762" s="68" t="n">
        <v>45768</v>
      </c>
      <c r="C1762" s="69" t="s">
        <v>91</v>
      </c>
      <c r="D1762" s="69" t="s">
        <v>86</v>
      </c>
      <c r="E1762" s="69" t="s">
        <v>125</v>
      </c>
      <c r="F1762" s="69" t="s">
        <v>183</v>
      </c>
      <c r="G1762" s="69" t="s">
        <v>127</v>
      </c>
      <c r="H1762" s="0" t="n">
        <v>24</v>
      </c>
      <c r="I1762" s="70" t="n">
        <v>129.17</v>
      </c>
      <c r="J1762" s="70" t="n">
        <v>78.33</v>
      </c>
      <c r="K1762" s="70" t="n">
        <f aca="false">IF(ISTEXT(H1762),VALUE(H1762),H1762)*I1762</f>
        <v>3100.08</v>
      </c>
    </row>
    <row r="1763" customFormat="false" ht="15" hidden="false" customHeight="false" outlineLevel="0" collapsed="false">
      <c r="A1763" s="0" t="n">
        <v>2196</v>
      </c>
      <c r="B1763" s="69" t="s">
        <v>715</v>
      </c>
      <c r="C1763" s="69" t="s">
        <v>34</v>
      </c>
      <c r="D1763" s="69" t="s">
        <v>112</v>
      </c>
      <c r="E1763" s="69" t="s">
        <v>125</v>
      </c>
      <c r="F1763" s="69" t="s">
        <v>166</v>
      </c>
      <c r="G1763" s="69" t="s">
        <v>51</v>
      </c>
      <c r="H1763" s="0" t="n">
        <v>11</v>
      </c>
      <c r="I1763" s="70" t="n">
        <v>85.34</v>
      </c>
      <c r="J1763" s="70" t="n">
        <v>49.47</v>
      </c>
      <c r="K1763" s="70" t="n">
        <f aca="false">IF(ISTEXT(H1763),VALUE(H1763),H1763)*I1763</f>
        <v>938.74</v>
      </c>
    </row>
    <row r="1764" customFormat="false" ht="15" hidden="false" customHeight="false" outlineLevel="0" collapsed="false">
      <c r="A1764" s="0" t="n">
        <v>236</v>
      </c>
      <c r="B1764" s="69" t="s">
        <v>716</v>
      </c>
      <c r="C1764" s="69" t="s">
        <v>91</v>
      </c>
      <c r="D1764" s="69" t="s">
        <v>86</v>
      </c>
      <c r="E1764" s="69" t="s">
        <v>107</v>
      </c>
      <c r="F1764" s="69" t="s">
        <v>162</v>
      </c>
      <c r="G1764" s="69" t="s">
        <v>116</v>
      </c>
      <c r="H1764" s="0" t="n">
        <v>9</v>
      </c>
      <c r="I1764" s="70" t="n">
        <v>83.3</v>
      </c>
      <c r="J1764" s="70" t="n">
        <v>48.03</v>
      </c>
      <c r="K1764" s="70" t="n">
        <f aca="false">IF(ISTEXT(H1764),VALUE(H1764),H1764)*I1764</f>
        <v>749.7</v>
      </c>
    </row>
    <row r="1765" customFormat="false" ht="15" hidden="false" customHeight="false" outlineLevel="0" collapsed="false">
      <c r="A1765" s="0" t="n">
        <v>703</v>
      </c>
      <c r="B1765" s="68" t="n">
        <v>45512</v>
      </c>
      <c r="C1765" s="69" t="s">
        <v>25</v>
      </c>
      <c r="D1765" s="69" t="s">
        <v>97</v>
      </c>
      <c r="E1765" s="69" t="s">
        <v>101</v>
      </c>
      <c r="F1765" s="69" t="s">
        <v>26</v>
      </c>
      <c r="G1765" s="69" t="s">
        <v>177</v>
      </c>
      <c r="H1765" s="0" t="n">
        <v>18</v>
      </c>
      <c r="I1765" s="70" t="n">
        <v>441</v>
      </c>
      <c r="J1765" s="70" t="n">
        <v>272.25</v>
      </c>
      <c r="K1765" s="70" t="n">
        <f aca="false">IF(ISTEXT(H1765),VALUE(H1765),H1765)*I1765</f>
        <v>7938</v>
      </c>
    </row>
    <row r="1766" customFormat="false" ht="15" hidden="false" customHeight="false" outlineLevel="0" collapsed="false">
      <c r="A1766" s="0" t="n">
        <v>429</v>
      </c>
      <c r="B1766" s="68" t="n">
        <v>45419</v>
      </c>
      <c r="C1766" s="69" t="s">
        <v>27</v>
      </c>
      <c r="D1766" s="69" t="s">
        <v>86</v>
      </c>
      <c r="E1766" s="69" t="s">
        <v>121</v>
      </c>
      <c r="F1766" s="69" t="s">
        <v>155</v>
      </c>
      <c r="G1766" s="69" t="s">
        <v>235</v>
      </c>
      <c r="H1766" s="0" t="n">
        <v>65</v>
      </c>
      <c r="I1766" s="70" t="n">
        <v>93.1</v>
      </c>
      <c r="J1766" s="70" t="n">
        <v>47.98</v>
      </c>
      <c r="K1766" s="70" t="n">
        <f aca="false">IF(ISTEXT(H1766),VALUE(H1766),H1766)*I1766</f>
        <v>6051.5</v>
      </c>
    </row>
    <row r="1767" customFormat="false" ht="15" hidden="false" customHeight="false" outlineLevel="0" collapsed="false">
      <c r="A1767" s="0" t="n">
        <v>995</v>
      </c>
      <c r="B1767" s="69" t="s">
        <v>602</v>
      </c>
      <c r="C1767" s="69" t="s">
        <v>34</v>
      </c>
      <c r="D1767" s="69" t="s">
        <v>112</v>
      </c>
      <c r="E1767" s="69" t="s">
        <v>101</v>
      </c>
      <c r="F1767" s="69" t="s">
        <v>115</v>
      </c>
      <c r="G1767" s="69" t="s">
        <v>111</v>
      </c>
      <c r="H1767" s="0" t="n">
        <v>17</v>
      </c>
      <c r="I1767" s="70" t="n">
        <v>83.3</v>
      </c>
      <c r="J1767" s="70" t="n">
        <v>48.03</v>
      </c>
      <c r="K1767" s="70" t="n">
        <f aca="false">IF(ISTEXT(H1767),VALUE(H1767),H1767)*I1767</f>
        <v>1416.1</v>
      </c>
    </row>
    <row r="1768" customFormat="false" ht="15" hidden="false" customHeight="false" outlineLevel="0" collapsed="false">
      <c r="A1768" s="0" t="n">
        <v>2225</v>
      </c>
      <c r="B1768" s="69" t="s">
        <v>269</v>
      </c>
      <c r="C1768" s="69" t="s">
        <v>120</v>
      </c>
      <c r="D1768" s="69" t="s">
        <v>86</v>
      </c>
      <c r="E1768" s="69" t="s">
        <v>121</v>
      </c>
      <c r="F1768" s="69" t="s">
        <v>139</v>
      </c>
      <c r="G1768" s="69" t="s">
        <v>141</v>
      </c>
      <c r="H1768" s="0" t="n">
        <v>16</v>
      </c>
      <c r="I1768" s="70" t="n">
        <v>1656.52</v>
      </c>
      <c r="J1768" s="70" t="n">
        <v>1155.66</v>
      </c>
      <c r="K1768" s="70" t="n">
        <f aca="false">IF(ISTEXT(H1768),VALUE(H1768),H1768)*I1768</f>
        <v>26504.32</v>
      </c>
    </row>
    <row r="1769" customFormat="false" ht="15" hidden="false" customHeight="false" outlineLevel="0" collapsed="false">
      <c r="A1769" s="0" t="n">
        <v>866</v>
      </c>
      <c r="B1769" s="69" t="s">
        <v>275</v>
      </c>
      <c r="C1769" s="69" t="s">
        <v>32</v>
      </c>
      <c r="D1769" s="69"/>
      <c r="E1769" s="69" t="s">
        <v>180</v>
      </c>
      <c r="F1769" s="69" t="s">
        <v>88</v>
      </c>
      <c r="G1769" s="69" t="s">
        <v>141</v>
      </c>
      <c r="H1769" s="0" t="n">
        <v>2</v>
      </c>
      <c r="I1769" s="70" t="n">
        <v>1617</v>
      </c>
      <c r="J1769" s="70" t="n">
        <v>1122</v>
      </c>
      <c r="K1769" s="70" t="n">
        <f aca="false">IF(ISTEXT(H1769),VALUE(H1769),H1769)*I1769</f>
        <v>3234</v>
      </c>
    </row>
    <row r="1770" customFormat="false" ht="15" hidden="false" customHeight="false" outlineLevel="0" collapsed="false">
      <c r="A1770" s="0" t="n">
        <v>1826</v>
      </c>
      <c r="B1770" s="68" t="n">
        <v>45850</v>
      </c>
      <c r="C1770" s="69" t="s">
        <v>91</v>
      </c>
      <c r="D1770" s="69" t="s">
        <v>86</v>
      </c>
      <c r="E1770" s="69" t="s">
        <v>87</v>
      </c>
      <c r="F1770" s="69" t="s">
        <v>135</v>
      </c>
      <c r="G1770" s="69" t="s">
        <v>157</v>
      </c>
      <c r="H1770" s="0" t="n">
        <v>8</v>
      </c>
      <c r="I1770" s="70" t="n">
        <v>1656.52</v>
      </c>
      <c r="J1770" s="70" t="n">
        <v>1155.66</v>
      </c>
      <c r="K1770" s="70" t="n">
        <f aca="false">IF(ISTEXT(H1770),VALUE(H1770),H1770)*I1770</f>
        <v>13252.16</v>
      </c>
    </row>
    <row r="1771" customFormat="false" ht="15" hidden="false" customHeight="false" outlineLevel="0" collapsed="false">
      <c r="A1771" s="0" t="n">
        <v>1473</v>
      </c>
      <c r="B1771" s="69" t="s">
        <v>354</v>
      </c>
      <c r="C1771" s="69" t="s">
        <v>184</v>
      </c>
      <c r="D1771" s="69" t="s">
        <v>137</v>
      </c>
      <c r="E1771" s="69" t="s">
        <v>110</v>
      </c>
      <c r="F1771" s="69" t="s">
        <v>31</v>
      </c>
      <c r="G1771" s="69" t="s">
        <v>156</v>
      </c>
      <c r="H1771" s="0" t="n">
        <v>12</v>
      </c>
      <c r="I1771" s="70" t="n">
        <v>119.23</v>
      </c>
      <c r="J1771" s="70" t="n">
        <v>65.51</v>
      </c>
      <c r="K1771" s="70" t="n">
        <f aca="false">IF(ISTEXT(H1771),VALUE(H1771),H1771)*I1771</f>
        <v>1430.76</v>
      </c>
    </row>
    <row r="1772" customFormat="false" ht="15" hidden="false" customHeight="false" outlineLevel="0" collapsed="false">
      <c r="A1772" s="0" t="n">
        <v>293</v>
      </c>
      <c r="B1772" s="68" t="n">
        <v>45378</v>
      </c>
      <c r="C1772" s="69" t="s">
        <v>133</v>
      </c>
      <c r="D1772" s="69" t="s">
        <v>112</v>
      </c>
      <c r="E1772" s="69" t="s">
        <v>121</v>
      </c>
      <c r="F1772" s="69" t="s">
        <v>31</v>
      </c>
      <c r="G1772" s="69" t="s">
        <v>156</v>
      </c>
      <c r="H1772" s="0" t="n">
        <v>13</v>
      </c>
      <c r="I1772" s="70" t="n">
        <v>117.6</v>
      </c>
      <c r="J1772" s="70" t="n">
        <v>63.6</v>
      </c>
      <c r="K1772" s="70" t="n">
        <f aca="false">IF(ISTEXT(H1772),VALUE(H1772),H1772)*I1772</f>
        <v>1528.8</v>
      </c>
    </row>
    <row r="1773" customFormat="false" ht="15" hidden="false" customHeight="false" outlineLevel="0" collapsed="false">
      <c r="A1773" s="0" t="n">
        <v>1634</v>
      </c>
      <c r="B1773" s="68" t="n">
        <v>45795</v>
      </c>
      <c r="C1773" s="69" t="s">
        <v>120</v>
      </c>
      <c r="D1773" s="69" t="s">
        <v>86</v>
      </c>
      <c r="E1773" s="69" t="s">
        <v>180</v>
      </c>
      <c r="F1773" s="69" t="s">
        <v>115</v>
      </c>
      <c r="G1773" s="69" t="s">
        <v>50</v>
      </c>
      <c r="H1773" s="0" t="s">
        <v>201</v>
      </c>
      <c r="I1773" s="70" t="n">
        <v>119.23</v>
      </c>
      <c r="J1773" s="70" t="n">
        <v>65.51</v>
      </c>
      <c r="K1773" s="70" t="n">
        <f aca="false">IF(ISTEXT(H1773),VALUE(H1773),H1773)*I1773</f>
        <v>1907.68</v>
      </c>
    </row>
    <row r="1774" customFormat="false" ht="15" hidden="false" customHeight="false" outlineLevel="0" collapsed="false">
      <c r="A1774" s="0" t="n">
        <v>1638</v>
      </c>
      <c r="B1774" s="68" t="n">
        <v>45796</v>
      </c>
      <c r="C1774" s="69" t="s">
        <v>27</v>
      </c>
      <c r="D1774" s="69" t="s">
        <v>86</v>
      </c>
      <c r="E1774" s="69" t="s">
        <v>87</v>
      </c>
      <c r="F1774" s="69" t="s">
        <v>182</v>
      </c>
      <c r="G1774" s="69" t="s">
        <v>52</v>
      </c>
      <c r="H1774" s="0" t="n">
        <v>24</v>
      </c>
      <c r="I1774" s="70" t="n">
        <v>129.17</v>
      </c>
      <c r="J1774" s="70" t="n">
        <v>78.33</v>
      </c>
      <c r="K1774" s="70" t="n">
        <f aca="false">IF(ISTEXT(H1774),VALUE(H1774),H1774)*I1774</f>
        <v>3100.08</v>
      </c>
    </row>
    <row r="1775" customFormat="false" ht="15" hidden="false" customHeight="false" outlineLevel="0" collapsed="false">
      <c r="A1775" s="0" t="n">
        <v>1257</v>
      </c>
      <c r="B1775" s="69" t="s">
        <v>712</v>
      </c>
      <c r="C1775" s="69" t="s">
        <v>108</v>
      </c>
      <c r="D1775" s="69" t="s">
        <v>109</v>
      </c>
      <c r="E1775" s="69" t="s">
        <v>110</v>
      </c>
      <c r="F1775" s="69" t="s">
        <v>182</v>
      </c>
      <c r="G1775" s="69" t="s">
        <v>52</v>
      </c>
      <c r="H1775" s="0" t="n">
        <v>21</v>
      </c>
      <c r="I1775" s="70" t="n">
        <v>129.17</v>
      </c>
      <c r="J1775" s="70" t="n">
        <v>78.33</v>
      </c>
      <c r="K1775" s="70" t="n">
        <f aca="false">IF(ISTEXT(H1775),VALUE(H1775),H1775)*I1775</f>
        <v>2712.57</v>
      </c>
    </row>
    <row r="1776" customFormat="false" ht="15" hidden="false" customHeight="false" outlineLevel="0" collapsed="false">
      <c r="A1776" s="0" t="n">
        <v>1588</v>
      </c>
      <c r="B1776" s="68" t="n">
        <v>45767</v>
      </c>
      <c r="C1776" s="69" t="s">
        <v>142</v>
      </c>
      <c r="D1776" s="69" t="s">
        <v>112</v>
      </c>
      <c r="E1776" s="69" t="s">
        <v>180</v>
      </c>
      <c r="F1776" s="69" t="s">
        <v>155</v>
      </c>
      <c r="G1776" s="69" t="s">
        <v>103</v>
      </c>
      <c r="H1776" s="0" t="n">
        <v>16</v>
      </c>
      <c r="I1776" s="70" t="n">
        <v>27.82</v>
      </c>
      <c r="J1776" s="70" t="n">
        <v>13.84</v>
      </c>
      <c r="K1776" s="70" t="n">
        <f aca="false">IF(ISTEXT(H1776),VALUE(H1776),H1776)*I1776</f>
        <v>445.12</v>
      </c>
    </row>
    <row r="1777" customFormat="false" ht="15" hidden="false" customHeight="false" outlineLevel="0" collapsed="false">
      <c r="A1777" s="0" t="n">
        <v>406</v>
      </c>
      <c r="B1777" s="68" t="n">
        <v>45420</v>
      </c>
      <c r="C1777" s="69" t="s">
        <v>96</v>
      </c>
      <c r="D1777" s="69" t="s">
        <v>97</v>
      </c>
      <c r="E1777" s="69" t="s">
        <v>107</v>
      </c>
      <c r="F1777" s="69" t="s">
        <v>147</v>
      </c>
      <c r="G1777" s="69" t="s">
        <v>141</v>
      </c>
      <c r="H1777" s="0" t="n">
        <v>10</v>
      </c>
      <c r="I1777" s="70" t="n">
        <v>1617</v>
      </c>
      <c r="J1777" s="70" t="n">
        <v>1122</v>
      </c>
      <c r="K1777" s="70" t="n">
        <f aca="false">IF(ISTEXT(H1777),VALUE(H1777),H1777)*I1777</f>
        <v>16170</v>
      </c>
    </row>
    <row r="1778" customFormat="false" ht="15" hidden="false" customHeight="false" outlineLevel="0" collapsed="false">
      <c r="A1778" s="0" t="n">
        <v>1558</v>
      </c>
      <c r="B1778" s="68" t="n">
        <v>45773</v>
      </c>
      <c r="C1778" s="69" t="s">
        <v>118</v>
      </c>
      <c r="D1778" s="69" t="s">
        <v>109</v>
      </c>
      <c r="E1778" s="69" t="s">
        <v>125</v>
      </c>
      <c r="F1778" s="69" t="s">
        <v>168</v>
      </c>
      <c r="G1778" s="69" t="s">
        <v>52</v>
      </c>
      <c r="H1778" s="0" t="n">
        <v>14</v>
      </c>
      <c r="I1778" s="70" t="n">
        <v>129.17</v>
      </c>
      <c r="J1778" s="70" t="n">
        <v>78.33</v>
      </c>
      <c r="K1778" s="70" t="n">
        <f aca="false">IF(ISTEXT(H1778),VALUE(H1778),H1778)*I1778</f>
        <v>1808.38</v>
      </c>
    </row>
    <row r="1779" customFormat="false" ht="15" hidden="false" customHeight="false" outlineLevel="0" collapsed="false">
      <c r="A1779" s="0" t="n">
        <v>869</v>
      </c>
      <c r="B1779" s="69" t="s">
        <v>671</v>
      </c>
      <c r="C1779" s="69" t="s">
        <v>32</v>
      </c>
      <c r="D1779" s="69" t="s">
        <v>137</v>
      </c>
      <c r="E1779" s="69" t="s">
        <v>92</v>
      </c>
      <c r="F1779" s="69" t="s">
        <v>99</v>
      </c>
      <c r="G1779" s="69" t="s">
        <v>172</v>
      </c>
      <c r="H1779" s="0" t="n">
        <v>26</v>
      </c>
      <c r="I1779" s="70" t="n">
        <v>93.1</v>
      </c>
      <c r="J1779" s="70" t="n">
        <v>47.98</v>
      </c>
      <c r="K1779" s="70" t="n">
        <f aca="false">IF(ISTEXT(H1779),VALUE(H1779),H1779)*I1779</f>
        <v>2420.6</v>
      </c>
    </row>
    <row r="1780" customFormat="false" ht="15" hidden="false" customHeight="false" outlineLevel="0" collapsed="false">
      <c r="A1780" s="0" t="n">
        <v>903</v>
      </c>
      <c r="B1780" s="68" t="n">
        <v>45569</v>
      </c>
      <c r="C1780" s="69" t="s">
        <v>124</v>
      </c>
      <c r="D1780" s="69" t="s">
        <v>97</v>
      </c>
      <c r="E1780" s="69" t="s">
        <v>110</v>
      </c>
      <c r="F1780" s="69" t="s">
        <v>135</v>
      </c>
      <c r="G1780" s="69" t="s">
        <v>177</v>
      </c>
      <c r="H1780" s="0" t="n">
        <v>19</v>
      </c>
      <c r="I1780" s="70" t="n">
        <v>441</v>
      </c>
      <c r="J1780" s="70" t="n">
        <v>272.25</v>
      </c>
      <c r="K1780" s="70" t="n">
        <f aca="false">IF(ISTEXT(H1780),VALUE(H1780),H1780)*I1780</f>
        <v>8379</v>
      </c>
    </row>
    <row r="1781" customFormat="false" ht="15" hidden="false" customHeight="false" outlineLevel="0" collapsed="false">
      <c r="A1781" s="0" t="n">
        <v>2236</v>
      </c>
      <c r="B1781" s="68" t="n">
        <v>45981</v>
      </c>
      <c r="C1781" s="69" t="s">
        <v>159</v>
      </c>
      <c r="D1781" s="69" t="s">
        <v>86</v>
      </c>
      <c r="E1781" s="69" t="s">
        <v>119</v>
      </c>
      <c r="F1781" s="69" t="s">
        <v>166</v>
      </c>
      <c r="G1781" s="69" t="s">
        <v>116</v>
      </c>
      <c r="H1781" s="0" t="n">
        <v>22</v>
      </c>
      <c r="I1781" s="70" t="n">
        <v>85.34</v>
      </c>
      <c r="J1781" s="70" t="n">
        <v>49.47</v>
      </c>
      <c r="K1781" s="70" t="n">
        <f aca="false">IF(ISTEXT(H1781),VALUE(H1781),H1781)*I1781</f>
        <v>1877.48</v>
      </c>
    </row>
    <row r="1782" customFormat="false" ht="15" hidden="false" customHeight="false" outlineLevel="0" collapsed="false">
      <c r="A1782" s="0" t="n">
        <v>2142</v>
      </c>
      <c r="B1782" s="69" t="s">
        <v>715</v>
      </c>
      <c r="C1782" s="69" t="s">
        <v>30</v>
      </c>
      <c r="D1782" s="69" t="s">
        <v>109</v>
      </c>
      <c r="E1782" s="69" t="s">
        <v>180</v>
      </c>
      <c r="F1782" s="69" t="s">
        <v>88</v>
      </c>
      <c r="G1782" s="69" t="s">
        <v>154</v>
      </c>
      <c r="H1782" s="0" t="n">
        <v>7</v>
      </c>
      <c r="I1782" s="70" t="n">
        <v>1204.74</v>
      </c>
      <c r="J1782" s="70" t="n">
        <v>766.32</v>
      </c>
      <c r="K1782" s="70" t="n">
        <f aca="false">IF(ISTEXT(H1782),VALUE(H1782),H1782)*I1782</f>
        <v>8433.18</v>
      </c>
    </row>
    <row r="1783" customFormat="false" ht="15" hidden="false" customHeight="false" outlineLevel="0" collapsed="false">
      <c r="A1783" s="0" t="n">
        <v>1070</v>
      </c>
      <c r="B1783" s="68" t="n">
        <v>45608</v>
      </c>
      <c r="C1783" s="69" t="s">
        <v>32</v>
      </c>
      <c r="D1783" s="69" t="s">
        <v>137</v>
      </c>
      <c r="E1783" s="69" t="s">
        <v>125</v>
      </c>
      <c r="F1783" s="69" t="s">
        <v>143</v>
      </c>
      <c r="G1783" s="69" t="s">
        <v>48</v>
      </c>
      <c r="H1783" s="0" t="n">
        <v>16</v>
      </c>
      <c r="I1783" s="70" t="n">
        <v>93.1</v>
      </c>
      <c r="J1783" s="70" t="n">
        <v>47.98</v>
      </c>
      <c r="K1783" s="70" t="n">
        <f aca="false">IF(ISTEXT(H1783),VALUE(H1783),H1783)*I1783</f>
        <v>1489.6</v>
      </c>
    </row>
    <row r="1784" customFormat="false" ht="15" hidden="false" customHeight="false" outlineLevel="0" collapsed="false">
      <c r="A1784" s="0" t="n">
        <v>1335</v>
      </c>
      <c r="B1784" s="68" t="n">
        <v>45692</v>
      </c>
      <c r="C1784" s="69" t="s">
        <v>91</v>
      </c>
      <c r="D1784" s="69" t="s">
        <v>86</v>
      </c>
      <c r="E1784" s="69" t="s">
        <v>134</v>
      </c>
      <c r="F1784" s="69" t="s">
        <v>162</v>
      </c>
      <c r="G1784" s="69" t="s">
        <v>51</v>
      </c>
      <c r="H1784" s="0" t="n">
        <v>18</v>
      </c>
      <c r="I1784" s="70" t="n">
        <v>84.46</v>
      </c>
      <c r="J1784" s="70" t="n">
        <v>49.47</v>
      </c>
      <c r="K1784" s="70" t="n">
        <f aca="false">IF(ISTEXT(H1784),VALUE(H1784),H1784)*I1784</f>
        <v>1520.28</v>
      </c>
    </row>
    <row r="1785" customFormat="false" ht="15" hidden="false" customHeight="false" outlineLevel="0" collapsed="false">
      <c r="A1785" s="0" t="n">
        <v>1890</v>
      </c>
      <c r="B1785" s="68" t="n">
        <v>45839</v>
      </c>
      <c r="C1785" s="69" t="s">
        <v>161</v>
      </c>
      <c r="D1785" s="69" t="s">
        <v>112</v>
      </c>
      <c r="E1785" s="69" t="s">
        <v>180</v>
      </c>
      <c r="F1785" s="69" t="s">
        <v>102</v>
      </c>
      <c r="G1785" s="69" t="s">
        <v>48</v>
      </c>
      <c r="H1785" s="0" t="n">
        <v>26</v>
      </c>
      <c r="I1785" s="70" t="n">
        <v>95.38</v>
      </c>
      <c r="J1785" s="70" t="n">
        <v>49.41</v>
      </c>
      <c r="K1785" s="70" t="n">
        <f aca="false">IF(ISTEXT(H1785),VALUE(H1785),H1785)*I1785</f>
        <v>2479.88</v>
      </c>
    </row>
    <row r="1786" customFormat="false" ht="15" hidden="false" customHeight="false" outlineLevel="0" collapsed="false">
      <c r="A1786" s="0" t="n">
        <v>1521</v>
      </c>
      <c r="B1786" s="68" t="n">
        <v>45757</v>
      </c>
      <c r="C1786" s="69" t="s">
        <v>159</v>
      </c>
      <c r="D1786" s="69" t="s">
        <v>86</v>
      </c>
      <c r="E1786" s="69" t="s">
        <v>121</v>
      </c>
      <c r="F1786" s="69" t="s">
        <v>147</v>
      </c>
      <c r="G1786" s="69" t="s">
        <v>151</v>
      </c>
      <c r="H1786" s="0" t="n">
        <v>11</v>
      </c>
      <c r="I1786" s="70" t="n">
        <v>1155.06</v>
      </c>
      <c r="J1786" s="70" t="n">
        <v>766.32</v>
      </c>
      <c r="K1786" s="70" t="n">
        <f aca="false">IF(ISTEXT(H1786),VALUE(H1786),H1786)*I1786</f>
        <v>12705.66</v>
      </c>
    </row>
    <row r="1787" customFormat="false" ht="15" hidden="false" customHeight="false" outlineLevel="0" collapsed="false">
      <c r="A1787" s="0" t="n">
        <v>2312</v>
      </c>
      <c r="B1787" s="68" t="n">
        <v>46003</v>
      </c>
      <c r="C1787" s="69" t="s">
        <v>170</v>
      </c>
      <c r="D1787" s="69" t="s">
        <v>97</v>
      </c>
      <c r="E1787" s="69" t="s">
        <v>87</v>
      </c>
      <c r="F1787" s="69" t="s">
        <v>143</v>
      </c>
      <c r="G1787" s="69" t="s">
        <v>208</v>
      </c>
      <c r="H1787" s="0" t="n">
        <v>83</v>
      </c>
      <c r="I1787" s="70" t="n">
        <v>65.26</v>
      </c>
      <c r="J1787" s="70" t="n">
        <v>36.49</v>
      </c>
      <c r="K1787" s="70" t="n">
        <f aca="false">IF(ISTEXT(H1787),VALUE(H1787),H1787)*I1787</f>
        <v>5416.58</v>
      </c>
    </row>
    <row r="1788" customFormat="false" ht="15" hidden="false" customHeight="false" outlineLevel="0" collapsed="false">
      <c r="A1788" s="0" t="n">
        <v>885</v>
      </c>
      <c r="B1788" s="69" t="s">
        <v>717</v>
      </c>
      <c r="C1788" s="69" t="s">
        <v>142</v>
      </c>
      <c r="D1788" s="69" t="s">
        <v>112</v>
      </c>
      <c r="E1788" s="69" t="s">
        <v>121</v>
      </c>
      <c r="F1788" s="69" t="s">
        <v>147</v>
      </c>
      <c r="G1788" s="69" t="s">
        <v>45</v>
      </c>
      <c r="H1788" s="0" t="n">
        <v>6</v>
      </c>
      <c r="I1788" s="70" t="n">
        <v>1617</v>
      </c>
      <c r="J1788" s="70" t="n">
        <v>1122</v>
      </c>
      <c r="K1788" s="70" t="n">
        <f aca="false">IF(ISTEXT(H1788),VALUE(H1788),H1788)*I1788</f>
        <v>9702</v>
      </c>
    </row>
    <row r="1789" customFormat="false" ht="15" hidden="false" customHeight="false" outlineLevel="0" collapsed="false">
      <c r="A1789" s="0" t="n">
        <v>1111</v>
      </c>
      <c r="B1789" s="68" t="n">
        <v>45628</v>
      </c>
      <c r="C1789" s="69" t="s">
        <v>25</v>
      </c>
      <c r="D1789" s="69" t="s">
        <v>97</v>
      </c>
      <c r="E1789" s="69" t="s">
        <v>134</v>
      </c>
      <c r="F1789" s="69" t="s">
        <v>99</v>
      </c>
      <c r="G1789" s="69" t="s">
        <v>144</v>
      </c>
      <c r="H1789" s="0" t="n">
        <v>132</v>
      </c>
      <c r="I1789" s="70" t="n">
        <v>63.7</v>
      </c>
      <c r="J1789" s="70" t="n">
        <v>35.43</v>
      </c>
      <c r="K1789" s="70" t="n">
        <f aca="false">IF(ISTEXT(H1789),VALUE(H1789),H1789)*I1789</f>
        <v>8408.4</v>
      </c>
    </row>
    <row r="1790" customFormat="false" ht="15" hidden="false" customHeight="false" outlineLevel="0" collapsed="false">
      <c r="A1790" s="0" t="n">
        <v>1891</v>
      </c>
      <c r="B1790" s="68" t="n">
        <v>45846</v>
      </c>
      <c r="C1790" s="69" t="s">
        <v>161</v>
      </c>
      <c r="D1790" s="69" t="s">
        <v>112</v>
      </c>
      <c r="E1790" s="69" t="s">
        <v>101</v>
      </c>
      <c r="F1790" s="69" t="s">
        <v>155</v>
      </c>
      <c r="G1790" s="69" t="s">
        <v>49</v>
      </c>
      <c r="H1790" s="0" t="n">
        <v>37</v>
      </c>
      <c r="I1790" s="70" t="n">
        <v>65.26</v>
      </c>
      <c r="J1790" s="70" t="n">
        <v>36.49</v>
      </c>
      <c r="K1790" s="70" t="n">
        <f aca="false">IF(ISTEXT(H1790),VALUE(H1790),H1790)*I1790</f>
        <v>2414.62</v>
      </c>
    </row>
    <row r="1791" customFormat="false" ht="15" hidden="false" customHeight="false" outlineLevel="0" collapsed="false">
      <c r="A1791" s="0" t="n">
        <v>598</v>
      </c>
      <c r="B1791" s="68" t="n">
        <v>45445</v>
      </c>
      <c r="C1791" s="69" t="s">
        <v>34</v>
      </c>
      <c r="D1791" s="69" t="s">
        <v>112</v>
      </c>
      <c r="E1791" s="69" t="s">
        <v>119</v>
      </c>
      <c r="F1791" s="69" t="s">
        <v>168</v>
      </c>
      <c r="G1791" s="69" t="s">
        <v>127</v>
      </c>
      <c r="H1791" s="0" t="s">
        <v>122</v>
      </c>
      <c r="I1791" s="70" t="n">
        <v>127.4</v>
      </c>
      <c r="J1791" s="70" t="n">
        <v>76.05</v>
      </c>
      <c r="K1791" s="70" t="n">
        <f aca="false">IF(ISTEXT(H1791),VALUE(H1791),H1791)*I1791</f>
        <v>1146.6</v>
      </c>
    </row>
    <row r="1792" customFormat="false" ht="15" hidden="false" customHeight="false" outlineLevel="0" collapsed="false">
      <c r="A1792" s="0" t="n">
        <v>1046</v>
      </c>
      <c r="B1792" s="68" t="n">
        <v>45602</v>
      </c>
      <c r="C1792" s="69" t="s">
        <v>118</v>
      </c>
      <c r="D1792" s="69"/>
      <c r="E1792" s="69" t="s">
        <v>125</v>
      </c>
      <c r="F1792" s="69" t="s">
        <v>26</v>
      </c>
      <c r="G1792" s="69" t="s">
        <v>141</v>
      </c>
      <c r="H1792" s="0" t="n">
        <v>4</v>
      </c>
      <c r="I1792" s="70" t="n">
        <v>1617</v>
      </c>
      <c r="J1792" s="70" t="n">
        <v>1122</v>
      </c>
      <c r="K1792" s="70" t="n">
        <f aca="false">IF(ISTEXT(H1792),VALUE(H1792),H1792)*I1792</f>
        <v>6468</v>
      </c>
    </row>
    <row r="1793" customFormat="false" ht="15" hidden="false" customHeight="false" outlineLevel="0" collapsed="false">
      <c r="A1793" s="0" t="n">
        <v>98</v>
      </c>
      <c r="B1793" s="68" t="n">
        <v>45303</v>
      </c>
      <c r="C1793" s="69" t="s">
        <v>133</v>
      </c>
      <c r="D1793" s="69" t="s">
        <v>112</v>
      </c>
      <c r="E1793" s="69" t="s">
        <v>98</v>
      </c>
      <c r="F1793" s="69" t="s">
        <v>33</v>
      </c>
      <c r="G1793" s="69" t="s">
        <v>127</v>
      </c>
      <c r="H1793" s="0" t="n">
        <v>6</v>
      </c>
      <c r="I1793" s="70" t="n">
        <v>127.4</v>
      </c>
      <c r="J1793" s="70" t="n">
        <v>76.05</v>
      </c>
      <c r="K1793" s="70" t="n">
        <f aca="false">IF(ISTEXT(H1793),VALUE(H1793),H1793)*I1793</f>
        <v>764.4</v>
      </c>
    </row>
    <row r="1794" customFormat="false" ht="15" hidden="false" customHeight="false" outlineLevel="0" collapsed="false">
      <c r="A1794" s="0" t="n">
        <v>1794</v>
      </c>
      <c r="B1794" s="68" t="n">
        <v>45812</v>
      </c>
      <c r="C1794" s="69" t="s">
        <v>161</v>
      </c>
      <c r="D1794" s="69" t="s">
        <v>112</v>
      </c>
      <c r="E1794" s="69" t="s">
        <v>107</v>
      </c>
      <c r="F1794" s="69" t="s">
        <v>115</v>
      </c>
      <c r="G1794" s="69" t="s">
        <v>50</v>
      </c>
      <c r="H1794" s="0" t="s">
        <v>372</v>
      </c>
      <c r="I1794" s="70" t="n">
        <v>119.23</v>
      </c>
      <c r="J1794" s="70" t="n">
        <v>65.51</v>
      </c>
      <c r="K1794" s="70" t="n">
        <f aca="false">IF(ISTEXT(H1794),VALUE(H1794),H1794)*I1794</f>
        <v>1311.53</v>
      </c>
    </row>
    <row r="1795" customFormat="false" ht="15" hidden="false" customHeight="false" outlineLevel="0" collapsed="false">
      <c r="A1795" s="0" t="n">
        <v>1681</v>
      </c>
      <c r="B1795" s="69" t="s">
        <v>718</v>
      </c>
      <c r="C1795" s="69" t="s">
        <v>133</v>
      </c>
      <c r="D1795" s="69" t="s">
        <v>112</v>
      </c>
      <c r="E1795" s="69" t="s">
        <v>138</v>
      </c>
      <c r="F1795" s="69" t="s">
        <v>26</v>
      </c>
      <c r="G1795" s="69" t="s">
        <v>151</v>
      </c>
      <c r="H1795" s="0" t="s">
        <v>222</v>
      </c>
      <c r="I1795" s="70" t="n">
        <v>1155.06</v>
      </c>
      <c r="J1795" s="70" t="n">
        <v>766.32</v>
      </c>
      <c r="K1795" s="70" t="n">
        <f aca="false">IF(ISTEXT(H1795),VALUE(H1795),H1795)*I1795</f>
        <v>6930.36</v>
      </c>
    </row>
    <row r="1796" customFormat="false" ht="15" hidden="false" customHeight="false" outlineLevel="0" collapsed="false">
      <c r="A1796" s="0" t="n">
        <v>757</v>
      </c>
      <c r="B1796" s="68" t="n">
        <v>45512</v>
      </c>
      <c r="C1796" s="69" t="s">
        <v>118</v>
      </c>
      <c r="D1796" s="69" t="s">
        <v>109</v>
      </c>
      <c r="E1796" s="69" t="s">
        <v>92</v>
      </c>
      <c r="F1796" s="69" t="s">
        <v>168</v>
      </c>
      <c r="G1796" s="69" t="s">
        <v>52</v>
      </c>
      <c r="H1796" s="0" t="n">
        <v>25</v>
      </c>
      <c r="I1796" s="70" t="n">
        <v>127.4</v>
      </c>
      <c r="J1796" s="70" t="n">
        <v>76.05</v>
      </c>
      <c r="K1796" s="70" t="n">
        <f aca="false">IF(ISTEXT(H1796),VALUE(H1796),H1796)*I1796</f>
        <v>3185</v>
      </c>
    </row>
    <row r="1797" customFormat="false" ht="15" hidden="false" customHeight="false" outlineLevel="0" collapsed="false">
      <c r="A1797" s="0" t="n">
        <v>1069</v>
      </c>
      <c r="B1797" s="69" t="s">
        <v>719</v>
      </c>
      <c r="C1797" s="69" t="s">
        <v>193</v>
      </c>
      <c r="D1797" s="69" t="s">
        <v>137</v>
      </c>
      <c r="E1797" s="69" t="s">
        <v>138</v>
      </c>
      <c r="F1797" s="69" t="s">
        <v>155</v>
      </c>
      <c r="G1797" s="69" t="s">
        <v>172</v>
      </c>
      <c r="H1797" s="0" t="n">
        <v>41</v>
      </c>
      <c r="I1797" s="70" t="n">
        <v>93.1</v>
      </c>
      <c r="J1797" s="70" t="n">
        <v>47.98</v>
      </c>
      <c r="K1797" s="70" t="n">
        <f aca="false">IF(ISTEXT(H1797),VALUE(H1797),H1797)*I1797</f>
        <v>3817.1</v>
      </c>
    </row>
    <row r="1798" customFormat="false" ht="15" hidden="false" customHeight="false" outlineLevel="0" collapsed="false">
      <c r="A1798" s="0" t="n">
        <v>1852</v>
      </c>
      <c r="B1798" s="69" t="s">
        <v>288</v>
      </c>
      <c r="C1798" s="69" t="s">
        <v>152</v>
      </c>
      <c r="D1798" s="69" t="s">
        <v>109</v>
      </c>
      <c r="E1798" s="69" t="s">
        <v>87</v>
      </c>
      <c r="F1798" s="69" t="s">
        <v>102</v>
      </c>
      <c r="G1798" s="69" t="s">
        <v>208</v>
      </c>
      <c r="H1798" s="0" t="n">
        <v>31</v>
      </c>
      <c r="I1798" s="70" t="n">
        <v>65.26</v>
      </c>
      <c r="J1798" s="70" t="n">
        <v>36.49</v>
      </c>
      <c r="K1798" s="70" t="n">
        <f aca="false">IF(ISTEXT(H1798),VALUE(H1798),H1798)*I1798</f>
        <v>2023.06</v>
      </c>
    </row>
    <row r="1799" customFormat="false" ht="15" hidden="false" customHeight="false" outlineLevel="0" collapsed="false">
      <c r="A1799" s="0" t="n">
        <v>2009</v>
      </c>
      <c r="B1799" s="69" t="s">
        <v>411</v>
      </c>
      <c r="C1799" s="69" t="s">
        <v>25</v>
      </c>
      <c r="D1799" s="69" t="s">
        <v>97</v>
      </c>
      <c r="E1799" s="69" t="s">
        <v>92</v>
      </c>
      <c r="F1799" s="69" t="s">
        <v>99</v>
      </c>
      <c r="G1799" s="69" t="s">
        <v>48</v>
      </c>
      <c r="H1799" s="0" t="n">
        <v>95</v>
      </c>
      <c r="I1799" s="70" t="n">
        <v>95.38</v>
      </c>
      <c r="J1799" s="70" t="n">
        <v>49.41</v>
      </c>
      <c r="K1799" s="70" t="n">
        <f aca="false">IF(ISTEXT(H1799),VALUE(H1799),H1799)*I1799</f>
        <v>9061.1</v>
      </c>
    </row>
    <row r="1800" customFormat="false" ht="15" hidden="false" customHeight="false" outlineLevel="0" collapsed="false">
      <c r="A1800" s="0" t="n">
        <v>340</v>
      </c>
      <c r="B1800" s="68" t="n">
        <v>45387</v>
      </c>
      <c r="C1800" s="69" t="s">
        <v>159</v>
      </c>
      <c r="D1800" s="69" t="s">
        <v>86</v>
      </c>
      <c r="E1800" s="69" t="s">
        <v>125</v>
      </c>
      <c r="F1800" s="69" t="s">
        <v>33</v>
      </c>
      <c r="G1800" s="69" t="s">
        <v>94</v>
      </c>
      <c r="H1800" s="0" t="n">
        <v>11</v>
      </c>
      <c r="I1800" s="70" t="n">
        <v>34.3</v>
      </c>
      <c r="J1800" s="70" t="n">
        <v>17.85</v>
      </c>
      <c r="K1800" s="70" t="n">
        <f aca="false">IF(ISTEXT(H1800),VALUE(H1800),H1800)*I1800</f>
        <v>377.3</v>
      </c>
    </row>
    <row r="1801" customFormat="false" ht="15" hidden="false" customHeight="false" outlineLevel="0" collapsed="false">
      <c r="A1801" s="0" t="n">
        <v>2262</v>
      </c>
      <c r="B1801" s="69" t="s">
        <v>720</v>
      </c>
      <c r="C1801" s="69" t="s">
        <v>32</v>
      </c>
      <c r="D1801" s="69" t="s">
        <v>137</v>
      </c>
      <c r="E1801" s="69" t="s">
        <v>107</v>
      </c>
      <c r="F1801" s="69" t="s">
        <v>139</v>
      </c>
      <c r="G1801" s="69" t="s">
        <v>41</v>
      </c>
      <c r="H1801" s="0" t="n">
        <v>6</v>
      </c>
      <c r="I1801" s="70" t="n">
        <v>1204.74</v>
      </c>
      <c r="J1801" s="70" t="n">
        <v>766.32</v>
      </c>
      <c r="K1801" s="70" t="n">
        <f aca="false">IF(ISTEXT(H1801),VALUE(H1801),H1801)*I1801</f>
        <v>7228.44</v>
      </c>
    </row>
    <row r="1802" customFormat="false" ht="15" hidden="false" customHeight="false" outlineLevel="0" collapsed="false">
      <c r="A1802" s="0" t="n">
        <v>1059</v>
      </c>
      <c r="B1802" s="68" t="n">
        <v>45612</v>
      </c>
      <c r="C1802" s="69" t="s">
        <v>152</v>
      </c>
      <c r="D1802" s="69" t="s">
        <v>109</v>
      </c>
      <c r="E1802" s="69" t="s">
        <v>92</v>
      </c>
      <c r="F1802" s="69" t="s">
        <v>182</v>
      </c>
      <c r="G1802" s="69" t="s">
        <v>217</v>
      </c>
      <c r="H1802" s="0" t="s">
        <v>218</v>
      </c>
      <c r="I1802" s="70" t="n">
        <v>34.3</v>
      </c>
      <c r="J1802" s="70" t="n">
        <v>17.85</v>
      </c>
      <c r="K1802" s="70" t="n">
        <f aca="false">IF(ISTEXT(H1802),VALUE(H1802),H1802)*I1802</f>
        <v>960.4</v>
      </c>
    </row>
    <row r="1803" customFormat="false" ht="15" hidden="false" customHeight="false" outlineLevel="0" collapsed="false">
      <c r="A1803" s="0" t="n">
        <v>2072</v>
      </c>
      <c r="B1803" s="68" t="n">
        <v>45906</v>
      </c>
      <c r="C1803" s="69" t="s">
        <v>32</v>
      </c>
      <c r="D1803" s="69" t="s">
        <v>137</v>
      </c>
      <c r="E1803" s="69" t="s">
        <v>125</v>
      </c>
      <c r="F1803" s="69" t="s">
        <v>155</v>
      </c>
      <c r="G1803" s="69" t="s">
        <v>208</v>
      </c>
      <c r="H1803" s="0" t="n">
        <v>18</v>
      </c>
      <c r="I1803" s="70" t="n">
        <v>65.26</v>
      </c>
      <c r="J1803" s="70" t="n">
        <v>36.49</v>
      </c>
      <c r="K1803" s="70" t="n">
        <f aca="false">IF(ISTEXT(H1803),VALUE(H1803),H1803)*I1803</f>
        <v>1174.68</v>
      </c>
    </row>
    <row r="1804" customFormat="false" ht="15" hidden="false" customHeight="false" outlineLevel="0" collapsed="false">
      <c r="A1804" s="0" t="n">
        <v>422</v>
      </c>
      <c r="B1804" s="69" t="s">
        <v>721</v>
      </c>
      <c r="C1804" s="69" t="s">
        <v>27</v>
      </c>
      <c r="D1804" s="69" t="s">
        <v>86</v>
      </c>
      <c r="E1804" s="69" t="s">
        <v>180</v>
      </c>
      <c r="F1804" s="69" t="s">
        <v>88</v>
      </c>
      <c r="G1804" s="69" t="s">
        <v>154</v>
      </c>
      <c r="H1804" s="0" t="n">
        <v>6</v>
      </c>
      <c r="I1804" s="70" t="n">
        <v>1176</v>
      </c>
      <c r="J1804" s="70" t="n">
        <v>744</v>
      </c>
      <c r="K1804" s="70" t="n">
        <f aca="false">IF(ISTEXT(H1804),VALUE(H1804),H1804)*I1804</f>
        <v>7056</v>
      </c>
    </row>
    <row r="1805" customFormat="false" ht="15" hidden="false" customHeight="false" outlineLevel="0" collapsed="false">
      <c r="A1805" s="0" t="n">
        <v>27</v>
      </c>
      <c r="B1805" s="68" t="n">
        <v>45292</v>
      </c>
      <c r="C1805" s="69" t="s">
        <v>27</v>
      </c>
      <c r="D1805" s="69" t="s">
        <v>86</v>
      </c>
      <c r="E1805" s="69" t="s">
        <v>121</v>
      </c>
      <c r="F1805" s="69" t="s">
        <v>102</v>
      </c>
      <c r="G1805" s="69" t="s">
        <v>113</v>
      </c>
      <c r="H1805" s="0" t="n">
        <v>57</v>
      </c>
      <c r="I1805" s="70" t="n">
        <v>27.44</v>
      </c>
      <c r="J1805" s="70" t="n">
        <v>13.44</v>
      </c>
      <c r="K1805" s="70" t="n">
        <f aca="false">IF(ISTEXT(H1805),VALUE(H1805),H1805)*I1805</f>
        <v>1564.08</v>
      </c>
    </row>
    <row r="1806" customFormat="false" ht="15" hidden="false" customHeight="false" outlineLevel="0" collapsed="false">
      <c r="A1806" s="0" t="n">
        <v>2237</v>
      </c>
      <c r="B1806" s="68" t="n">
        <v>45988</v>
      </c>
      <c r="C1806" s="69" t="s">
        <v>27</v>
      </c>
      <c r="D1806" s="69"/>
      <c r="E1806" s="69" t="s">
        <v>92</v>
      </c>
      <c r="F1806" s="69" t="s">
        <v>182</v>
      </c>
      <c r="G1806" s="69" t="s">
        <v>130</v>
      </c>
      <c r="H1806" s="0" t="n">
        <v>41</v>
      </c>
      <c r="I1806" s="70" t="n">
        <v>130.51</v>
      </c>
      <c r="J1806" s="70" t="n">
        <v>78.33</v>
      </c>
      <c r="K1806" s="70" t="n">
        <f aca="false">IF(ISTEXT(H1806),VALUE(H1806),H1806)*I1806</f>
        <v>5350.91</v>
      </c>
    </row>
    <row r="1807" customFormat="false" ht="15" hidden="false" customHeight="false" outlineLevel="0" collapsed="false">
      <c r="A1807" s="0" t="n">
        <v>1522</v>
      </c>
      <c r="B1807" s="69" t="s">
        <v>722</v>
      </c>
      <c r="C1807" s="69" t="s">
        <v>91</v>
      </c>
      <c r="D1807" s="69" t="s">
        <v>86</v>
      </c>
      <c r="E1807" s="69" t="s">
        <v>125</v>
      </c>
      <c r="F1807" s="69" t="s">
        <v>26</v>
      </c>
      <c r="G1807" s="69" t="s">
        <v>41</v>
      </c>
      <c r="H1807" s="0" t="n">
        <v>7</v>
      </c>
      <c r="I1807" s="70" t="n">
        <v>1155.06</v>
      </c>
      <c r="J1807" s="70" t="n">
        <v>766.32</v>
      </c>
      <c r="K1807" s="70" t="n">
        <f aca="false">IF(ISTEXT(H1807),VALUE(H1807),H1807)*I1807</f>
        <v>8085.42</v>
      </c>
    </row>
    <row r="1808" customFormat="false" ht="15" hidden="false" customHeight="false" outlineLevel="0" collapsed="false">
      <c r="A1808" s="0" t="n">
        <v>1653</v>
      </c>
      <c r="B1808" s="68" t="n">
        <v>45793</v>
      </c>
      <c r="C1808" s="69" t="s">
        <v>118</v>
      </c>
      <c r="D1808" s="69" t="s">
        <v>109</v>
      </c>
      <c r="E1808" s="69" t="s">
        <v>92</v>
      </c>
      <c r="F1808" s="69" t="s">
        <v>162</v>
      </c>
      <c r="G1808" s="69" t="s">
        <v>156</v>
      </c>
      <c r="H1808" s="0" t="n">
        <v>15</v>
      </c>
      <c r="I1808" s="70" t="n">
        <v>119.23</v>
      </c>
      <c r="J1808" s="70" t="n">
        <v>65.51</v>
      </c>
      <c r="K1808" s="70" t="n">
        <f aca="false">IF(ISTEXT(H1808),VALUE(H1808),H1808)*I1808</f>
        <v>1788.45</v>
      </c>
    </row>
    <row r="1809" customFormat="false" ht="15" hidden="false" customHeight="false" outlineLevel="0" collapsed="false">
      <c r="A1809" s="0" t="n">
        <v>876</v>
      </c>
      <c r="B1809" s="69" t="s">
        <v>619</v>
      </c>
      <c r="C1809" s="69" t="s">
        <v>193</v>
      </c>
      <c r="D1809" s="69" t="s">
        <v>137</v>
      </c>
      <c r="E1809" s="69" t="s">
        <v>180</v>
      </c>
      <c r="F1809" s="69" t="s">
        <v>115</v>
      </c>
      <c r="G1809" s="69" t="s">
        <v>51</v>
      </c>
      <c r="H1809" s="0" t="n">
        <v>5</v>
      </c>
      <c r="I1809" s="70" t="n">
        <v>83.3</v>
      </c>
      <c r="J1809" s="70" t="n">
        <v>48.03</v>
      </c>
      <c r="K1809" s="70" t="n">
        <f aca="false">IF(ISTEXT(H1809),VALUE(H1809),H1809)*I1809</f>
        <v>416.5</v>
      </c>
    </row>
    <row r="1810" customFormat="false" ht="15" hidden="false" customHeight="false" outlineLevel="0" collapsed="false">
      <c r="A1810" s="0" t="n">
        <v>1264</v>
      </c>
      <c r="B1810" s="68" t="n">
        <v>45677</v>
      </c>
      <c r="C1810" s="69" t="s">
        <v>32</v>
      </c>
      <c r="D1810" s="69"/>
      <c r="E1810" s="69" t="s">
        <v>107</v>
      </c>
      <c r="F1810" s="69" t="s">
        <v>135</v>
      </c>
      <c r="G1810" s="69" t="s">
        <v>177</v>
      </c>
      <c r="H1810" s="0" t="n">
        <v>4</v>
      </c>
      <c r="I1810" s="70" t="n">
        <v>433.15</v>
      </c>
      <c r="J1810" s="70" t="n">
        <v>280.42</v>
      </c>
      <c r="K1810" s="70" t="n">
        <f aca="false">IF(ISTEXT(H1810),VALUE(H1810),H1810)*I1810</f>
        <v>1732.6</v>
      </c>
    </row>
    <row r="1811" customFormat="false" ht="15" hidden="false" customHeight="false" outlineLevel="0" collapsed="false">
      <c r="A1811" s="0" t="n">
        <v>287</v>
      </c>
      <c r="B1811" s="68" t="n">
        <v>45363</v>
      </c>
      <c r="C1811" s="69" t="s">
        <v>133</v>
      </c>
      <c r="D1811" s="69" t="s">
        <v>112</v>
      </c>
      <c r="E1811" s="69" t="s">
        <v>138</v>
      </c>
      <c r="F1811" s="69" t="s">
        <v>143</v>
      </c>
      <c r="G1811" s="69" t="s">
        <v>113</v>
      </c>
      <c r="H1811" s="0" t="n">
        <v>25</v>
      </c>
      <c r="I1811" s="70" t="n">
        <v>27.44</v>
      </c>
      <c r="J1811" s="70" t="n">
        <v>13.44</v>
      </c>
      <c r="K1811" s="70" t="n">
        <f aca="false">IF(ISTEXT(H1811),VALUE(H1811),H1811)*I1811</f>
        <v>686</v>
      </c>
    </row>
    <row r="1812" customFormat="false" ht="15" hidden="false" customHeight="false" outlineLevel="0" collapsed="false">
      <c r="A1812" s="0" t="n">
        <v>2350</v>
      </c>
      <c r="B1812" s="68" t="n">
        <v>45999</v>
      </c>
      <c r="C1812" s="69" t="s">
        <v>152</v>
      </c>
      <c r="D1812" s="69" t="s">
        <v>109</v>
      </c>
      <c r="E1812" s="69" t="s">
        <v>125</v>
      </c>
      <c r="F1812" s="69" t="s">
        <v>143</v>
      </c>
      <c r="G1812" s="69" t="s">
        <v>48</v>
      </c>
      <c r="H1812" s="0" t="n">
        <v>34</v>
      </c>
      <c r="I1812" s="70" t="n">
        <v>95.38</v>
      </c>
      <c r="J1812" s="70" t="n">
        <v>49.41</v>
      </c>
      <c r="K1812" s="70" t="n">
        <f aca="false">IF(ISTEXT(H1812),VALUE(H1812),H1812)*I1812</f>
        <v>3242.92</v>
      </c>
    </row>
    <row r="1813" customFormat="false" ht="15" hidden="false" customHeight="false" outlineLevel="0" collapsed="false">
      <c r="A1813" s="0" t="n">
        <v>470</v>
      </c>
      <c r="B1813" s="69" t="s">
        <v>723</v>
      </c>
      <c r="C1813" s="69" t="s">
        <v>193</v>
      </c>
      <c r="D1813" s="69" t="s">
        <v>137</v>
      </c>
      <c r="E1813" s="69" t="s">
        <v>107</v>
      </c>
      <c r="F1813" s="69" t="s">
        <v>143</v>
      </c>
      <c r="G1813" s="69" t="s">
        <v>48</v>
      </c>
      <c r="H1813" s="0" t="n">
        <v>11</v>
      </c>
      <c r="I1813" s="70" t="n">
        <v>93.1</v>
      </c>
      <c r="J1813" s="70" t="n">
        <v>47.98</v>
      </c>
      <c r="K1813" s="70" t="n">
        <f aca="false">IF(ISTEXT(H1813),VALUE(H1813),H1813)*I1813</f>
        <v>1024.1</v>
      </c>
    </row>
    <row r="1814" customFormat="false" ht="15" hidden="false" customHeight="false" outlineLevel="0" collapsed="false">
      <c r="A1814" s="0" t="n">
        <v>1834</v>
      </c>
      <c r="B1814" s="68" t="n">
        <v>45852</v>
      </c>
      <c r="C1814" s="69" t="s">
        <v>27</v>
      </c>
      <c r="D1814" s="69" t="s">
        <v>86</v>
      </c>
      <c r="E1814" s="69" t="s">
        <v>98</v>
      </c>
      <c r="F1814" s="69" t="s">
        <v>31</v>
      </c>
      <c r="G1814" s="69" t="s">
        <v>50</v>
      </c>
      <c r="H1814" s="0" t="n">
        <v>18</v>
      </c>
      <c r="I1814" s="70" t="n">
        <v>120.47</v>
      </c>
      <c r="J1814" s="70" t="n">
        <v>65.51</v>
      </c>
      <c r="K1814" s="70" t="n">
        <f aca="false">IF(ISTEXT(H1814),VALUE(H1814),H1814)*I1814</f>
        <v>2168.46</v>
      </c>
    </row>
    <row r="1815" customFormat="false" ht="15" hidden="false" customHeight="false" outlineLevel="0" collapsed="false">
      <c r="A1815" s="0" t="n">
        <v>547</v>
      </c>
      <c r="B1815" s="68" t="n">
        <v>45466</v>
      </c>
      <c r="C1815" s="69" t="s">
        <v>152</v>
      </c>
      <c r="D1815" s="69"/>
      <c r="E1815" s="69" t="s">
        <v>101</v>
      </c>
      <c r="F1815" s="69" t="s">
        <v>155</v>
      </c>
      <c r="G1815" s="69" t="s">
        <v>113</v>
      </c>
      <c r="H1815" s="0" t="s">
        <v>622</v>
      </c>
      <c r="I1815" s="70" t="n">
        <v>27.44</v>
      </c>
      <c r="J1815" s="70" t="n">
        <v>13.44</v>
      </c>
      <c r="K1815" s="70" t="n">
        <f aca="false">IF(ISTEXT(H1815),VALUE(H1815),H1815)*I1815</f>
        <v>1207.36</v>
      </c>
    </row>
    <row r="1816" customFormat="false" ht="15" hidden="false" customHeight="false" outlineLevel="0" collapsed="false">
      <c r="A1816" s="0" t="n">
        <v>982</v>
      </c>
      <c r="B1816" s="68" t="n">
        <v>45582</v>
      </c>
      <c r="C1816" s="69" t="s">
        <v>133</v>
      </c>
      <c r="D1816" s="69" t="s">
        <v>112</v>
      </c>
      <c r="E1816" s="69" t="s">
        <v>119</v>
      </c>
      <c r="F1816" s="69" t="s">
        <v>139</v>
      </c>
      <c r="G1816" s="69" t="s">
        <v>41</v>
      </c>
      <c r="H1816" s="0" t="n">
        <v>3</v>
      </c>
      <c r="I1816" s="70" t="n">
        <v>1176</v>
      </c>
      <c r="J1816" s="70" t="n">
        <v>744</v>
      </c>
      <c r="K1816" s="70" t="n">
        <f aca="false">IF(ISTEXT(H1816),VALUE(H1816),H1816)*I1816</f>
        <v>3528</v>
      </c>
    </row>
    <row r="1817" customFormat="false" ht="15" hidden="false" customHeight="false" outlineLevel="0" collapsed="false">
      <c r="A1817" s="0" t="n">
        <v>640</v>
      </c>
      <c r="B1817" s="68" t="n">
        <v>45499</v>
      </c>
      <c r="C1817" s="69" t="s">
        <v>159</v>
      </c>
      <c r="D1817" s="69" t="s">
        <v>86</v>
      </c>
      <c r="E1817" s="69" t="s">
        <v>98</v>
      </c>
      <c r="F1817" s="69" t="s">
        <v>182</v>
      </c>
      <c r="G1817" s="69" t="s">
        <v>217</v>
      </c>
      <c r="H1817" s="0" t="n">
        <v>16</v>
      </c>
      <c r="I1817" s="70" t="n">
        <v>34.3</v>
      </c>
      <c r="J1817" s="70" t="n">
        <v>17.85</v>
      </c>
      <c r="K1817" s="70" t="n">
        <f aca="false">IF(ISTEXT(H1817),VALUE(H1817),H1817)*I1817</f>
        <v>548.8</v>
      </c>
    </row>
    <row r="1818" customFormat="false" ht="15" hidden="false" customHeight="false" outlineLevel="0" collapsed="false">
      <c r="A1818" s="0" t="n">
        <v>713</v>
      </c>
      <c r="B1818" s="68" t="n">
        <v>45528</v>
      </c>
      <c r="C1818" s="69" t="s">
        <v>170</v>
      </c>
      <c r="D1818" s="69" t="s">
        <v>97</v>
      </c>
      <c r="E1818" s="69" t="s">
        <v>101</v>
      </c>
      <c r="F1818" s="69" t="s">
        <v>166</v>
      </c>
      <c r="G1818" s="69" t="s">
        <v>171</v>
      </c>
      <c r="H1818" s="0" t="n">
        <v>37</v>
      </c>
      <c r="I1818" s="70" t="n">
        <v>117.6</v>
      </c>
      <c r="J1818" s="70" t="n">
        <v>63.6</v>
      </c>
      <c r="K1818" s="70" t="n">
        <f aca="false">IF(ISTEXT(H1818),VALUE(H1818),H1818)*I1818</f>
        <v>4351.2</v>
      </c>
    </row>
    <row r="1819" customFormat="false" ht="15" hidden="false" customHeight="false" outlineLevel="0" collapsed="false">
      <c r="A1819" s="0" t="n">
        <v>526</v>
      </c>
      <c r="B1819" s="68" t="n">
        <v>45454</v>
      </c>
      <c r="C1819" s="69" t="s">
        <v>27</v>
      </c>
      <c r="D1819" s="69" t="s">
        <v>86</v>
      </c>
      <c r="E1819" s="69" t="s">
        <v>119</v>
      </c>
      <c r="F1819" s="69" t="s">
        <v>153</v>
      </c>
      <c r="G1819" s="69" t="s">
        <v>45</v>
      </c>
      <c r="H1819" s="0" t="n">
        <v>5</v>
      </c>
      <c r="I1819" s="70" t="n">
        <v>1617</v>
      </c>
      <c r="J1819" s="70" t="n">
        <v>1122</v>
      </c>
      <c r="K1819" s="70" t="n">
        <f aca="false">IF(ISTEXT(H1819),VALUE(H1819),H1819)*I1819</f>
        <v>8085</v>
      </c>
    </row>
    <row r="1820" customFormat="false" ht="15" hidden="false" customHeight="false" outlineLevel="0" collapsed="false">
      <c r="A1820" s="0" t="n">
        <v>2029</v>
      </c>
      <c r="B1820" s="69" t="s">
        <v>724</v>
      </c>
      <c r="C1820" s="69" t="s">
        <v>159</v>
      </c>
      <c r="D1820" s="69" t="s">
        <v>86</v>
      </c>
      <c r="E1820" s="69" t="s">
        <v>110</v>
      </c>
      <c r="F1820" s="69" t="s">
        <v>28</v>
      </c>
      <c r="G1820" s="69" t="s">
        <v>235</v>
      </c>
      <c r="H1820" s="0" t="n">
        <v>55</v>
      </c>
      <c r="I1820" s="70" t="n">
        <v>95.38</v>
      </c>
      <c r="J1820" s="70" t="n">
        <v>49.41</v>
      </c>
      <c r="K1820" s="70" t="n">
        <f aca="false">IF(ISTEXT(H1820),VALUE(H1820),H1820)*I1820</f>
        <v>5245.9</v>
      </c>
    </row>
    <row r="1821" customFormat="false" ht="15" hidden="false" customHeight="false" outlineLevel="0" collapsed="false">
      <c r="A1821" s="0" t="n">
        <v>242</v>
      </c>
      <c r="B1821" s="68" t="n">
        <v>45372</v>
      </c>
      <c r="C1821" s="69" t="s">
        <v>152</v>
      </c>
      <c r="D1821" s="69" t="s">
        <v>109</v>
      </c>
      <c r="E1821" s="69" t="s">
        <v>107</v>
      </c>
      <c r="F1821" s="69" t="s">
        <v>139</v>
      </c>
      <c r="G1821" s="69" t="s">
        <v>154</v>
      </c>
      <c r="H1821" s="0" t="n">
        <v>4</v>
      </c>
      <c r="I1821" s="70" t="n">
        <v>1176</v>
      </c>
      <c r="J1821" s="70" t="n">
        <v>744</v>
      </c>
      <c r="K1821" s="70" t="n">
        <f aca="false">IF(ISTEXT(H1821),VALUE(H1821),H1821)*I1821</f>
        <v>4704</v>
      </c>
    </row>
    <row r="1822" customFormat="false" ht="15" hidden="false" customHeight="false" outlineLevel="0" collapsed="false">
      <c r="A1822" s="0" t="n">
        <v>1544</v>
      </c>
      <c r="B1822" s="68" t="n">
        <v>45756</v>
      </c>
      <c r="C1822" s="69" t="s">
        <v>30</v>
      </c>
      <c r="D1822" s="69" t="s">
        <v>109</v>
      </c>
      <c r="E1822" s="69" t="s">
        <v>98</v>
      </c>
      <c r="F1822" s="69" t="s">
        <v>88</v>
      </c>
      <c r="G1822" s="69" t="s">
        <v>89</v>
      </c>
      <c r="H1822" s="0" t="n">
        <v>6</v>
      </c>
      <c r="I1822" s="70" t="n">
        <v>433.15</v>
      </c>
      <c r="J1822" s="70" t="n">
        <v>280.42</v>
      </c>
      <c r="K1822" s="70" t="n">
        <f aca="false">IF(ISTEXT(H1822),VALUE(H1822),H1822)*I1822</f>
        <v>2598.9</v>
      </c>
    </row>
    <row r="1823" customFormat="false" ht="15" hidden="false" customHeight="false" outlineLevel="0" collapsed="false">
      <c r="A1823" s="0" t="n">
        <v>1782</v>
      </c>
      <c r="B1823" s="68" t="n">
        <v>45809</v>
      </c>
      <c r="C1823" s="69" t="s">
        <v>142</v>
      </c>
      <c r="D1823" s="69" t="s">
        <v>112</v>
      </c>
      <c r="E1823" s="69" t="s">
        <v>180</v>
      </c>
      <c r="F1823" s="69" t="s">
        <v>153</v>
      </c>
      <c r="G1823" s="69" t="s">
        <v>41</v>
      </c>
      <c r="H1823" s="0" t="n">
        <v>4</v>
      </c>
      <c r="I1823" s="70" t="n">
        <v>1155.06</v>
      </c>
      <c r="J1823" s="70" t="n">
        <v>766.32</v>
      </c>
      <c r="K1823" s="70" t="n">
        <f aca="false">IF(ISTEXT(H1823),VALUE(H1823),H1823)*I1823</f>
        <v>4620.24</v>
      </c>
    </row>
    <row r="1824" customFormat="false" ht="15" hidden="false" customHeight="false" outlineLevel="0" collapsed="false">
      <c r="A1824" s="0" t="n">
        <v>2136</v>
      </c>
      <c r="B1824" s="68" t="n">
        <v>45952</v>
      </c>
      <c r="C1824" s="69" t="s">
        <v>91</v>
      </c>
      <c r="D1824" s="69" t="s">
        <v>86</v>
      </c>
      <c r="E1824" s="69" t="s">
        <v>125</v>
      </c>
      <c r="F1824" s="69" t="s">
        <v>115</v>
      </c>
      <c r="G1824" s="69" t="s">
        <v>51</v>
      </c>
      <c r="H1824" s="0" t="n">
        <v>18</v>
      </c>
      <c r="I1824" s="70" t="n">
        <v>85.34</v>
      </c>
      <c r="J1824" s="70" t="n">
        <v>49.47</v>
      </c>
      <c r="K1824" s="70" t="n">
        <f aca="false">IF(ISTEXT(H1824),VALUE(H1824),H1824)*I1824</f>
        <v>1536.12</v>
      </c>
    </row>
    <row r="1825" customFormat="false" ht="15" hidden="false" customHeight="false" outlineLevel="0" collapsed="false">
      <c r="A1825" s="0" t="n">
        <v>267</v>
      </c>
      <c r="B1825" s="69" t="s">
        <v>725</v>
      </c>
      <c r="C1825" s="69" t="s">
        <v>32</v>
      </c>
      <c r="D1825" s="69" t="s">
        <v>137</v>
      </c>
      <c r="E1825" s="69" t="s">
        <v>134</v>
      </c>
      <c r="F1825" s="69" t="s">
        <v>155</v>
      </c>
      <c r="G1825" s="69" t="s">
        <v>113</v>
      </c>
      <c r="H1825" s="0" t="n">
        <v>30</v>
      </c>
      <c r="I1825" s="70" t="n">
        <v>27.44</v>
      </c>
      <c r="J1825" s="70" t="n">
        <v>13.44</v>
      </c>
      <c r="K1825" s="70" t="n">
        <f aca="false">IF(ISTEXT(H1825),VALUE(H1825),H1825)*I1825</f>
        <v>823.2</v>
      </c>
    </row>
    <row r="1826" customFormat="false" ht="15" hidden="false" customHeight="false" outlineLevel="0" collapsed="false">
      <c r="A1826" s="0" t="n">
        <v>2295</v>
      </c>
      <c r="B1826" s="68" t="n">
        <v>45962</v>
      </c>
      <c r="C1826" s="69" t="s">
        <v>133</v>
      </c>
      <c r="D1826" s="69" t="s">
        <v>112</v>
      </c>
      <c r="E1826" s="69" t="s">
        <v>121</v>
      </c>
      <c r="F1826" s="69" t="s">
        <v>166</v>
      </c>
      <c r="G1826" s="69" t="s">
        <v>116</v>
      </c>
      <c r="H1826" s="0" t="s">
        <v>213</v>
      </c>
      <c r="I1826" s="70" t="n">
        <v>85.34</v>
      </c>
      <c r="J1826" s="70" t="n">
        <v>49.47</v>
      </c>
      <c r="K1826" s="70" t="n">
        <f aca="false">IF(ISTEXT(H1826),VALUE(H1826),H1826)*I1826</f>
        <v>1450.78</v>
      </c>
    </row>
    <row r="1827" customFormat="false" ht="15" hidden="false" customHeight="false" outlineLevel="0" collapsed="false">
      <c r="A1827" s="0" t="n">
        <v>1528</v>
      </c>
      <c r="B1827" s="68" t="n">
        <v>45752</v>
      </c>
      <c r="C1827" s="69" t="s">
        <v>120</v>
      </c>
      <c r="D1827" s="69" t="s">
        <v>86</v>
      </c>
      <c r="E1827" s="69" t="s">
        <v>87</v>
      </c>
      <c r="F1827" s="69" t="s">
        <v>28</v>
      </c>
      <c r="G1827" s="69" t="s">
        <v>47</v>
      </c>
      <c r="H1827" s="0" t="n">
        <v>32</v>
      </c>
      <c r="I1827" s="70" t="n">
        <v>27.82</v>
      </c>
      <c r="J1827" s="70" t="n">
        <v>13.84</v>
      </c>
      <c r="K1827" s="70" t="n">
        <f aca="false">IF(ISTEXT(H1827),VALUE(H1827),H1827)*I1827</f>
        <v>890.24</v>
      </c>
    </row>
    <row r="1828" customFormat="false" ht="15" hidden="false" customHeight="false" outlineLevel="0" collapsed="false">
      <c r="A1828" s="0" t="n">
        <v>2193</v>
      </c>
      <c r="B1828" s="69" t="s">
        <v>726</v>
      </c>
      <c r="C1828" s="69" t="s">
        <v>133</v>
      </c>
      <c r="D1828" s="69" t="s">
        <v>112</v>
      </c>
      <c r="E1828" s="69" t="s">
        <v>101</v>
      </c>
      <c r="F1828" s="69" t="s">
        <v>31</v>
      </c>
      <c r="G1828" s="69" t="s">
        <v>171</v>
      </c>
      <c r="H1828" s="0" t="n">
        <v>13</v>
      </c>
      <c r="I1828" s="70" t="n">
        <v>120.47</v>
      </c>
      <c r="J1828" s="70" t="n">
        <v>65.51</v>
      </c>
      <c r="K1828" s="70" t="n">
        <f aca="false">IF(ISTEXT(H1828),VALUE(H1828),H1828)*I1828</f>
        <v>1566.11</v>
      </c>
    </row>
    <row r="1829" customFormat="false" ht="15" hidden="false" customHeight="false" outlineLevel="0" collapsed="false">
      <c r="A1829" s="0" t="n">
        <v>1765</v>
      </c>
      <c r="B1829" s="68" t="n">
        <v>45825</v>
      </c>
      <c r="C1829" s="69" t="s">
        <v>136</v>
      </c>
      <c r="D1829" s="69" t="s">
        <v>137</v>
      </c>
      <c r="E1829" s="69" t="s">
        <v>110</v>
      </c>
      <c r="F1829" s="69" t="s">
        <v>135</v>
      </c>
      <c r="G1829" s="69" t="s">
        <v>45</v>
      </c>
      <c r="H1829" s="0" t="n">
        <v>8</v>
      </c>
      <c r="I1829" s="70" t="n">
        <v>1588.21</v>
      </c>
      <c r="J1829" s="70" t="n">
        <v>1155.66</v>
      </c>
      <c r="K1829" s="70" t="n">
        <f aca="false">IF(ISTEXT(H1829),VALUE(H1829),H1829)*I1829</f>
        <v>12705.68</v>
      </c>
    </row>
    <row r="1830" customFormat="false" ht="15" hidden="false" customHeight="false" outlineLevel="0" collapsed="false">
      <c r="A1830" s="0" t="n">
        <v>622</v>
      </c>
      <c r="B1830" s="69" t="s">
        <v>674</v>
      </c>
      <c r="C1830" s="69" t="s">
        <v>91</v>
      </c>
      <c r="D1830" s="69" t="s">
        <v>86</v>
      </c>
      <c r="E1830" s="69" t="s">
        <v>125</v>
      </c>
      <c r="F1830" s="69" t="s">
        <v>88</v>
      </c>
      <c r="G1830" s="69" t="s">
        <v>151</v>
      </c>
      <c r="H1830" s="0" t="n">
        <v>5</v>
      </c>
      <c r="I1830" s="70" t="n">
        <v>1176</v>
      </c>
      <c r="J1830" s="70" t="n">
        <v>744</v>
      </c>
      <c r="K1830" s="70" t="n">
        <f aca="false">IF(ISTEXT(H1830),VALUE(H1830),H1830)*I1830</f>
        <v>5880</v>
      </c>
    </row>
    <row r="1831" customFormat="false" ht="15" hidden="false" customHeight="false" outlineLevel="0" collapsed="false">
      <c r="A1831" s="0" t="n">
        <v>875</v>
      </c>
      <c r="B1831" s="68" t="n">
        <v>45559</v>
      </c>
      <c r="C1831" s="69" t="s">
        <v>193</v>
      </c>
      <c r="D1831" s="69" t="s">
        <v>137</v>
      </c>
      <c r="E1831" s="69" t="s">
        <v>134</v>
      </c>
      <c r="F1831" s="69" t="s">
        <v>31</v>
      </c>
      <c r="G1831" s="69" t="s">
        <v>111</v>
      </c>
      <c r="H1831" s="0" t="s">
        <v>328</v>
      </c>
      <c r="I1831" s="70" t="n">
        <v>83.3</v>
      </c>
      <c r="J1831" s="70" t="n">
        <v>48.03</v>
      </c>
      <c r="K1831" s="70" t="n">
        <f aca="false">IF(ISTEXT(H1831),VALUE(H1831),H1831)*I1831</f>
        <v>999.6</v>
      </c>
    </row>
    <row r="1832" customFormat="false" ht="15" hidden="false" customHeight="false" outlineLevel="0" collapsed="false">
      <c r="A1832" s="0" t="n">
        <v>301</v>
      </c>
      <c r="B1832" s="69" t="s">
        <v>564</v>
      </c>
      <c r="C1832" s="69" t="s">
        <v>124</v>
      </c>
      <c r="D1832" s="69" t="s">
        <v>97</v>
      </c>
      <c r="E1832" s="69" t="s">
        <v>121</v>
      </c>
      <c r="F1832" s="69" t="s">
        <v>153</v>
      </c>
      <c r="G1832" s="69" t="s">
        <v>41</v>
      </c>
      <c r="H1832" s="0" t="s">
        <v>254</v>
      </c>
      <c r="I1832" s="70" t="n">
        <v>1176</v>
      </c>
      <c r="J1832" s="70" t="n">
        <v>744</v>
      </c>
      <c r="K1832" s="70" t="n">
        <f aca="false">IF(ISTEXT(H1832),VALUE(H1832),H1832)*I1832</f>
        <v>23520</v>
      </c>
    </row>
    <row r="1833" customFormat="false" ht="15" hidden="false" customHeight="false" outlineLevel="0" collapsed="false">
      <c r="A1833" s="0" t="n">
        <v>321</v>
      </c>
      <c r="B1833" s="69" t="s">
        <v>346</v>
      </c>
      <c r="C1833" s="69" t="s">
        <v>27</v>
      </c>
      <c r="D1833" s="69" t="s">
        <v>86</v>
      </c>
      <c r="E1833" s="69" t="s">
        <v>121</v>
      </c>
      <c r="F1833" s="69" t="s">
        <v>139</v>
      </c>
      <c r="G1833" s="69" t="s">
        <v>151</v>
      </c>
      <c r="H1833" s="0" t="n">
        <v>13</v>
      </c>
      <c r="I1833" s="70" t="n">
        <v>1176</v>
      </c>
      <c r="J1833" s="70" t="n">
        <v>744</v>
      </c>
      <c r="K1833" s="70" t="n">
        <f aca="false">IF(ISTEXT(H1833),VALUE(H1833),H1833)*I1833</f>
        <v>15288</v>
      </c>
    </row>
    <row r="1834" customFormat="false" ht="15" hidden="false" customHeight="false" outlineLevel="0" collapsed="false">
      <c r="A1834" s="0" t="n">
        <v>705</v>
      </c>
      <c r="B1834" s="68" t="n">
        <v>45526</v>
      </c>
      <c r="C1834" s="69" t="s">
        <v>170</v>
      </c>
      <c r="D1834" s="69" t="s">
        <v>97</v>
      </c>
      <c r="E1834" s="69" t="s">
        <v>101</v>
      </c>
      <c r="F1834" s="69" t="s">
        <v>147</v>
      </c>
      <c r="G1834" s="69" t="s">
        <v>45</v>
      </c>
      <c r="H1834" s="0" t="n">
        <v>17</v>
      </c>
      <c r="I1834" s="70" t="n">
        <v>1617</v>
      </c>
      <c r="J1834" s="70" t="n">
        <v>1122</v>
      </c>
      <c r="K1834" s="70" t="n">
        <f aca="false">IF(ISTEXT(H1834),VALUE(H1834),H1834)*I1834</f>
        <v>27489</v>
      </c>
    </row>
    <row r="1835" customFormat="false" ht="15" hidden="false" customHeight="false" outlineLevel="0" collapsed="false">
      <c r="A1835" s="0" t="n">
        <v>1471</v>
      </c>
      <c r="B1835" s="69" t="s">
        <v>375</v>
      </c>
      <c r="C1835" s="69" t="s">
        <v>136</v>
      </c>
      <c r="D1835" s="69" t="s">
        <v>137</v>
      </c>
      <c r="E1835" s="69" t="s">
        <v>134</v>
      </c>
      <c r="F1835" s="69" t="s">
        <v>155</v>
      </c>
      <c r="G1835" s="69" t="s">
        <v>49</v>
      </c>
      <c r="H1835" s="0" t="n">
        <v>31</v>
      </c>
      <c r="I1835" s="70" t="n">
        <v>64.58</v>
      </c>
      <c r="J1835" s="70" t="n">
        <v>36.49</v>
      </c>
      <c r="K1835" s="70" t="n">
        <f aca="false">IF(ISTEXT(H1835),VALUE(H1835),H1835)*I1835</f>
        <v>2001.98</v>
      </c>
    </row>
    <row r="1836" customFormat="false" ht="15" hidden="false" customHeight="false" outlineLevel="0" collapsed="false">
      <c r="A1836" s="0" t="n">
        <v>1954</v>
      </c>
      <c r="B1836" s="68" t="n">
        <v>45886</v>
      </c>
      <c r="C1836" s="69" t="s">
        <v>152</v>
      </c>
      <c r="D1836" s="69" t="s">
        <v>109</v>
      </c>
      <c r="E1836" s="69" t="s">
        <v>107</v>
      </c>
      <c r="F1836" s="69" t="s">
        <v>31</v>
      </c>
      <c r="G1836" s="69" t="s">
        <v>156</v>
      </c>
      <c r="H1836" s="0" t="n">
        <v>11</v>
      </c>
      <c r="I1836" s="70" t="n">
        <v>120.47</v>
      </c>
      <c r="J1836" s="70" t="n">
        <v>65.51</v>
      </c>
      <c r="K1836" s="70" t="n">
        <f aca="false">IF(ISTEXT(H1836),VALUE(H1836),H1836)*I1836</f>
        <v>1325.17</v>
      </c>
    </row>
    <row r="1837" customFormat="false" ht="15" hidden="false" customHeight="false" outlineLevel="0" collapsed="false">
      <c r="A1837" s="0" t="n">
        <v>1530</v>
      </c>
      <c r="B1837" s="69" t="s">
        <v>727</v>
      </c>
      <c r="C1837" s="69" t="s">
        <v>91</v>
      </c>
      <c r="D1837" s="69"/>
      <c r="E1837" s="69" t="s">
        <v>180</v>
      </c>
      <c r="F1837" s="69" t="s">
        <v>143</v>
      </c>
      <c r="G1837" s="69" t="s">
        <v>48</v>
      </c>
      <c r="H1837" s="0" t="n">
        <v>40</v>
      </c>
      <c r="I1837" s="70" t="n">
        <v>94.39</v>
      </c>
      <c r="J1837" s="70" t="n">
        <v>49.41</v>
      </c>
      <c r="K1837" s="70" t="n">
        <f aca="false">IF(ISTEXT(H1837),VALUE(H1837),H1837)*I1837</f>
        <v>3775.6</v>
      </c>
    </row>
    <row r="1838" customFormat="false" ht="15" hidden="false" customHeight="false" outlineLevel="0" collapsed="false">
      <c r="A1838" s="0" t="n">
        <v>1147</v>
      </c>
      <c r="B1838" s="69" t="s">
        <v>728</v>
      </c>
      <c r="C1838" s="69" t="s">
        <v>108</v>
      </c>
      <c r="D1838" s="69" t="s">
        <v>109</v>
      </c>
      <c r="E1838" s="69" t="s">
        <v>101</v>
      </c>
      <c r="F1838" s="69" t="s">
        <v>143</v>
      </c>
      <c r="G1838" s="69" t="s">
        <v>103</v>
      </c>
      <c r="H1838" s="0" t="n">
        <v>69</v>
      </c>
      <c r="I1838" s="70" t="n">
        <v>27.44</v>
      </c>
      <c r="J1838" s="70" t="n">
        <v>13.44</v>
      </c>
      <c r="K1838" s="70" t="n">
        <f aca="false">IF(ISTEXT(H1838),VALUE(H1838),H1838)*I1838</f>
        <v>1893.36</v>
      </c>
    </row>
    <row r="1839" customFormat="false" ht="15" hidden="false" customHeight="false" outlineLevel="0" collapsed="false">
      <c r="A1839" s="0" t="n">
        <v>219</v>
      </c>
      <c r="B1839" s="69" t="s">
        <v>707</v>
      </c>
      <c r="C1839" s="69" t="s">
        <v>170</v>
      </c>
      <c r="D1839" s="69" t="s">
        <v>97</v>
      </c>
      <c r="E1839" s="69" t="s">
        <v>121</v>
      </c>
      <c r="F1839" s="69" t="s">
        <v>33</v>
      </c>
      <c r="G1839" s="69" t="s">
        <v>217</v>
      </c>
      <c r="H1839" s="0" t="n">
        <v>53</v>
      </c>
      <c r="I1839" s="70" t="n">
        <v>34.3</v>
      </c>
      <c r="J1839" s="70" t="n">
        <v>17.85</v>
      </c>
      <c r="K1839" s="70" t="n">
        <f aca="false">IF(ISTEXT(H1839),VALUE(H1839),H1839)*I1839</f>
        <v>1817.9</v>
      </c>
    </row>
    <row r="1840" customFormat="false" ht="15" hidden="false" customHeight="false" outlineLevel="0" collapsed="false">
      <c r="A1840" s="0" t="n">
        <v>2223</v>
      </c>
      <c r="B1840" s="69" t="s">
        <v>532</v>
      </c>
      <c r="C1840" s="69" t="s">
        <v>27</v>
      </c>
      <c r="D1840" s="69" t="s">
        <v>86</v>
      </c>
      <c r="E1840" s="69" t="s">
        <v>110</v>
      </c>
      <c r="F1840" s="69" t="s">
        <v>139</v>
      </c>
      <c r="G1840" s="69" t="s">
        <v>177</v>
      </c>
      <c r="H1840" s="0" t="n">
        <v>14</v>
      </c>
      <c r="I1840" s="70" t="n">
        <v>451.78</v>
      </c>
      <c r="J1840" s="70" t="n">
        <v>280.42</v>
      </c>
      <c r="K1840" s="70" t="n">
        <f aca="false">IF(ISTEXT(H1840),VALUE(H1840),H1840)*I1840</f>
        <v>6324.92</v>
      </c>
    </row>
    <row r="1841" customFormat="false" ht="15" hidden="false" customHeight="false" outlineLevel="0" collapsed="false">
      <c r="A1841" s="0" t="n">
        <v>1352</v>
      </c>
      <c r="B1841" s="69" t="s">
        <v>399</v>
      </c>
      <c r="C1841" s="69" t="s">
        <v>118</v>
      </c>
      <c r="D1841" s="69" t="s">
        <v>109</v>
      </c>
      <c r="E1841" s="69" t="s">
        <v>125</v>
      </c>
      <c r="F1841" s="69" t="s">
        <v>102</v>
      </c>
      <c r="G1841" s="69" t="s">
        <v>144</v>
      </c>
      <c r="H1841" s="0" t="n">
        <v>24</v>
      </c>
      <c r="I1841" s="70" t="n">
        <v>64.58</v>
      </c>
      <c r="J1841" s="70" t="n">
        <v>36.49</v>
      </c>
      <c r="K1841" s="70" t="n">
        <f aca="false">IF(ISTEXT(H1841),VALUE(H1841),H1841)*I1841</f>
        <v>1549.92</v>
      </c>
    </row>
    <row r="1842" customFormat="false" ht="15" hidden="false" customHeight="false" outlineLevel="0" collapsed="false">
      <c r="A1842" s="0" t="n">
        <v>1696</v>
      </c>
      <c r="B1842" s="68" t="n">
        <v>45797</v>
      </c>
      <c r="C1842" s="69" t="s">
        <v>133</v>
      </c>
      <c r="D1842" s="69" t="s">
        <v>112</v>
      </c>
      <c r="E1842" s="69" t="s">
        <v>125</v>
      </c>
      <c r="F1842" s="69" t="s">
        <v>31</v>
      </c>
      <c r="G1842" s="69" t="s">
        <v>116</v>
      </c>
      <c r="H1842" s="0" t="s">
        <v>122</v>
      </c>
      <c r="I1842" s="70" t="n">
        <v>84.46</v>
      </c>
      <c r="J1842" s="70" t="n">
        <v>49.47</v>
      </c>
      <c r="K1842" s="70" t="n">
        <f aca="false">IF(ISTEXT(H1842),VALUE(H1842),H1842)*I1842</f>
        <v>760.14</v>
      </c>
    </row>
    <row r="1843" customFormat="false" ht="15" hidden="false" customHeight="false" outlineLevel="0" collapsed="false">
      <c r="A1843" s="0" t="n">
        <v>309</v>
      </c>
      <c r="B1843" s="68" t="n">
        <v>45386</v>
      </c>
      <c r="C1843" s="69" t="s">
        <v>124</v>
      </c>
      <c r="D1843" s="69" t="s">
        <v>97</v>
      </c>
      <c r="E1843" s="69" t="s">
        <v>138</v>
      </c>
      <c r="F1843" s="69" t="s">
        <v>28</v>
      </c>
      <c r="G1843" s="69" t="s">
        <v>48</v>
      </c>
      <c r="H1843" s="0" t="n">
        <v>97</v>
      </c>
      <c r="I1843" s="70" t="n">
        <v>93.1</v>
      </c>
      <c r="J1843" s="70" t="n">
        <v>47.98</v>
      </c>
      <c r="K1843" s="70" t="n">
        <f aca="false">IF(ISTEXT(H1843),VALUE(H1843),H1843)*I1843</f>
        <v>9030.7</v>
      </c>
    </row>
    <row r="1844" customFormat="false" ht="15" hidden="false" customHeight="false" outlineLevel="0" collapsed="false">
      <c r="A1844" s="0" t="n">
        <v>1269</v>
      </c>
      <c r="B1844" s="68" t="n">
        <v>45658</v>
      </c>
      <c r="C1844" s="69" t="s">
        <v>184</v>
      </c>
      <c r="D1844" s="69" t="s">
        <v>137</v>
      </c>
      <c r="E1844" s="69" t="s">
        <v>134</v>
      </c>
      <c r="F1844" s="69" t="s">
        <v>28</v>
      </c>
      <c r="G1844" s="69" t="s">
        <v>172</v>
      </c>
      <c r="H1844" s="0" t="n">
        <v>27</v>
      </c>
      <c r="I1844" s="70" t="n">
        <v>94.39</v>
      </c>
      <c r="J1844" s="70" t="n">
        <v>49.41</v>
      </c>
      <c r="K1844" s="70" t="n">
        <f aca="false">IF(ISTEXT(H1844),VALUE(H1844),H1844)*I1844</f>
        <v>2548.53</v>
      </c>
    </row>
    <row r="1845" customFormat="false" ht="15" hidden="false" customHeight="false" outlineLevel="0" collapsed="false">
      <c r="A1845" s="0" t="n">
        <v>463</v>
      </c>
      <c r="B1845" s="68" t="n">
        <v>45414</v>
      </c>
      <c r="C1845" s="69" t="s">
        <v>136</v>
      </c>
      <c r="D1845" s="69" t="s">
        <v>137</v>
      </c>
      <c r="E1845" s="69" t="s">
        <v>138</v>
      </c>
      <c r="F1845" s="69" t="s">
        <v>88</v>
      </c>
      <c r="G1845" s="69" t="s">
        <v>177</v>
      </c>
      <c r="H1845" s="0" t="n">
        <v>7</v>
      </c>
      <c r="I1845" s="70" t="n">
        <v>441</v>
      </c>
      <c r="J1845" s="70" t="n">
        <v>272.25</v>
      </c>
      <c r="K1845" s="70" t="n">
        <f aca="false">IF(ISTEXT(H1845),VALUE(H1845),H1845)*I1845</f>
        <v>3087</v>
      </c>
    </row>
    <row r="1846" customFormat="false" ht="15" hidden="false" customHeight="false" outlineLevel="0" collapsed="false">
      <c r="A1846" s="0" t="n">
        <v>501</v>
      </c>
      <c r="B1846" s="69" t="s">
        <v>729</v>
      </c>
      <c r="C1846" s="69" t="s">
        <v>124</v>
      </c>
      <c r="D1846" s="69"/>
      <c r="E1846" s="69" t="s">
        <v>101</v>
      </c>
      <c r="F1846" s="69" t="s">
        <v>139</v>
      </c>
      <c r="G1846" s="69" t="s">
        <v>154</v>
      </c>
      <c r="H1846" s="0" t="n">
        <v>19</v>
      </c>
      <c r="I1846" s="70" t="n">
        <v>1176</v>
      </c>
      <c r="J1846" s="70" t="n">
        <v>744</v>
      </c>
      <c r="K1846" s="70" t="n">
        <f aca="false">IF(ISTEXT(H1846),VALUE(H1846),H1846)*I1846</f>
        <v>22344</v>
      </c>
    </row>
    <row r="1847" customFormat="false" ht="15" hidden="false" customHeight="false" outlineLevel="0" collapsed="false">
      <c r="A1847" s="0" t="n">
        <v>1583</v>
      </c>
      <c r="B1847" s="68" t="n">
        <v>45759</v>
      </c>
      <c r="C1847" s="69" t="s">
        <v>142</v>
      </c>
      <c r="D1847" s="69" t="s">
        <v>112</v>
      </c>
      <c r="E1847" s="69" t="s">
        <v>138</v>
      </c>
      <c r="F1847" s="69" t="s">
        <v>153</v>
      </c>
      <c r="G1847" s="69" t="s">
        <v>89</v>
      </c>
      <c r="H1847" s="0" t="n">
        <v>6</v>
      </c>
      <c r="I1847" s="70" t="n">
        <v>433.15</v>
      </c>
      <c r="J1847" s="70" t="n">
        <v>280.42</v>
      </c>
      <c r="K1847" s="70" t="n">
        <f aca="false">IF(ISTEXT(H1847),VALUE(H1847),H1847)*I1847</f>
        <v>2598.9</v>
      </c>
    </row>
    <row r="1848" customFormat="false" ht="15" hidden="false" customHeight="false" outlineLevel="0" collapsed="false">
      <c r="A1848" s="0" t="n">
        <v>1343</v>
      </c>
      <c r="B1848" s="68" t="n">
        <v>45694</v>
      </c>
      <c r="C1848" s="69" t="s">
        <v>108</v>
      </c>
      <c r="D1848" s="69" t="s">
        <v>109</v>
      </c>
      <c r="E1848" s="69" t="s">
        <v>134</v>
      </c>
      <c r="F1848" s="69" t="s">
        <v>135</v>
      </c>
      <c r="G1848" s="69" t="s">
        <v>89</v>
      </c>
      <c r="H1848" s="0" t="n">
        <v>7</v>
      </c>
      <c r="I1848" s="70" t="n">
        <v>433.15</v>
      </c>
      <c r="J1848" s="70" t="n">
        <v>280.42</v>
      </c>
      <c r="K1848" s="70" t="n">
        <f aca="false">IF(ISTEXT(H1848),VALUE(H1848),H1848)*I1848</f>
        <v>3032.05</v>
      </c>
    </row>
    <row r="1849" customFormat="false" ht="15" hidden="false" customHeight="false" outlineLevel="0" collapsed="false">
      <c r="A1849" s="0" t="n">
        <v>52</v>
      </c>
      <c r="B1849" s="68" t="n">
        <v>45305</v>
      </c>
      <c r="C1849" s="69" t="s">
        <v>30</v>
      </c>
      <c r="D1849" s="69" t="s">
        <v>109</v>
      </c>
      <c r="E1849" s="69" t="s">
        <v>125</v>
      </c>
      <c r="F1849" s="69" t="s">
        <v>99</v>
      </c>
      <c r="G1849" s="69" t="s">
        <v>144</v>
      </c>
      <c r="H1849" s="0" t="n">
        <v>13</v>
      </c>
      <c r="I1849" s="70" t="n">
        <v>63.7</v>
      </c>
      <c r="J1849" s="70" t="n">
        <v>35.43</v>
      </c>
      <c r="K1849" s="70" t="n">
        <f aca="false">IF(ISTEXT(H1849),VALUE(H1849),H1849)*I1849</f>
        <v>828.1</v>
      </c>
    </row>
    <row r="1850" customFormat="false" ht="15" hidden="false" customHeight="false" outlineLevel="0" collapsed="false">
      <c r="A1850" s="0" t="n">
        <v>423</v>
      </c>
      <c r="B1850" s="68" t="n">
        <v>45431</v>
      </c>
      <c r="C1850" s="69" t="s">
        <v>27</v>
      </c>
      <c r="D1850" s="69" t="s">
        <v>86</v>
      </c>
      <c r="E1850" s="69" t="s">
        <v>101</v>
      </c>
      <c r="F1850" s="69" t="s">
        <v>26</v>
      </c>
      <c r="G1850" s="69" t="s">
        <v>89</v>
      </c>
      <c r="H1850" s="0" t="n">
        <v>13</v>
      </c>
      <c r="I1850" s="70" t="n">
        <v>441</v>
      </c>
      <c r="J1850" s="70" t="n">
        <v>272.25</v>
      </c>
      <c r="K1850" s="70" t="n">
        <f aca="false">IF(ISTEXT(H1850),VALUE(H1850),H1850)*I1850</f>
        <v>5733</v>
      </c>
    </row>
    <row r="1851" customFormat="false" ht="15" hidden="false" customHeight="false" outlineLevel="0" collapsed="false">
      <c r="A1851" s="0" t="n">
        <v>359</v>
      </c>
      <c r="B1851" s="68" t="n">
        <v>45385</v>
      </c>
      <c r="C1851" s="69" t="s">
        <v>30</v>
      </c>
      <c r="D1851" s="69" t="s">
        <v>109</v>
      </c>
      <c r="E1851" s="69" t="s">
        <v>92</v>
      </c>
      <c r="F1851" s="69" t="s">
        <v>33</v>
      </c>
      <c r="G1851" s="69" t="s">
        <v>217</v>
      </c>
      <c r="H1851" s="0" t="n">
        <v>23</v>
      </c>
      <c r="I1851" s="70" t="n">
        <v>34.3</v>
      </c>
      <c r="J1851" s="70" t="n">
        <v>17.85</v>
      </c>
      <c r="K1851" s="70" t="n">
        <f aca="false">IF(ISTEXT(H1851),VALUE(H1851),H1851)*I1851</f>
        <v>788.9</v>
      </c>
    </row>
    <row r="1852" customFormat="false" ht="15" hidden="false" customHeight="false" outlineLevel="0" collapsed="false">
      <c r="A1852" s="0" t="n">
        <v>45</v>
      </c>
      <c r="B1852" s="68" t="n">
        <v>45310</v>
      </c>
      <c r="C1852" s="69" t="s">
        <v>152</v>
      </c>
      <c r="D1852" s="69" t="s">
        <v>109</v>
      </c>
      <c r="E1852" s="69" t="s">
        <v>134</v>
      </c>
      <c r="F1852" s="69" t="s">
        <v>147</v>
      </c>
      <c r="G1852" s="69" t="s">
        <v>141</v>
      </c>
      <c r="H1852" s="0" t="n">
        <v>7</v>
      </c>
      <c r="I1852" s="70" t="n">
        <v>1617</v>
      </c>
      <c r="J1852" s="70" t="n">
        <v>1122</v>
      </c>
      <c r="K1852" s="70" t="n">
        <f aca="false">IF(ISTEXT(H1852),VALUE(H1852),H1852)*I1852</f>
        <v>11319</v>
      </c>
    </row>
    <row r="1853" customFormat="false" ht="15" hidden="false" customHeight="false" outlineLevel="0" collapsed="false">
      <c r="A1853" s="0" t="n">
        <v>1165</v>
      </c>
      <c r="B1853" s="69" t="s">
        <v>413</v>
      </c>
      <c r="C1853" s="69" t="s">
        <v>32</v>
      </c>
      <c r="D1853" s="69" t="s">
        <v>137</v>
      </c>
      <c r="E1853" s="69" t="s">
        <v>110</v>
      </c>
      <c r="F1853" s="69" t="s">
        <v>26</v>
      </c>
      <c r="G1853" s="69" t="s">
        <v>157</v>
      </c>
      <c r="H1853" s="0" t="n">
        <v>11</v>
      </c>
      <c r="I1853" s="70" t="n">
        <v>1617</v>
      </c>
      <c r="J1853" s="70" t="n">
        <v>1122</v>
      </c>
      <c r="K1853" s="70" t="n">
        <f aca="false">IF(ISTEXT(H1853),VALUE(H1853),H1853)*I1853</f>
        <v>17787</v>
      </c>
    </row>
    <row r="1854" customFormat="false" ht="15" hidden="false" customHeight="false" outlineLevel="0" collapsed="false">
      <c r="A1854" s="0" t="n">
        <v>1357</v>
      </c>
      <c r="B1854" s="68" t="n">
        <v>45711</v>
      </c>
      <c r="C1854" s="69" t="s">
        <v>152</v>
      </c>
      <c r="D1854" s="69" t="s">
        <v>109</v>
      </c>
      <c r="E1854" s="69" t="s">
        <v>110</v>
      </c>
      <c r="F1854" s="69" t="s">
        <v>33</v>
      </c>
      <c r="G1854" s="69" t="s">
        <v>127</v>
      </c>
      <c r="H1854" s="0" t="n">
        <v>18</v>
      </c>
      <c r="I1854" s="70" t="n">
        <v>129.17</v>
      </c>
      <c r="J1854" s="70" t="n">
        <v>78.33</v>
      </c>
      <c r="K1854" s="70" t="n">
        <f aca="false">IF(ISTEXT(H1854),VALUE(H1854),H1854)*I1854</f>
        <v>2325.06</v>
      </c>
    </row>
    <row r="1855" customFormat="false" ht="15" hidden="false" customHeight="false" outlineLevel="0" collapsed="false">
      <c r="A1855" s="0" t="n">
        <v>578</v>
      </c>
      <c r="B1855" s="68" t="n">
        <v>45467</v>
      </c>
      <c r="C1855" s="69" t="s">
        <v>193</v>
      </c>
      <c r="D1855" s="69" t="s">
        <v>137</v>
      </c>
      <c r="E1855" s="69" t="s">
        <v>125</v>
      </c>
      <c r="F1855" s="69" t="s">
        <v>182</v>
      </c>
      <c r="G1855" s="69" t="s">
        <v>127</v>
      </c>
      <c r="H1855" s="0" t="n">
        <v>8</v>
      </c>
      <c r="I1855" s="70" t="n">
        <v>127.4</v>
      </c>
      <c r="J1855" s="70" t="n">
        <v>76.05</v>
      </c>
      <c r="K1855" s="70" t="n">
        <f aca="false">IF(ISTEXT(H1855),VALUE(H1855),H1855)*I1855</f>
        <v>1019.2</v>
      </c>
    </row>
    <row r="1856" customFormat="false" ht="15" hidden="false" customHeight="false" outlineLevel="0" collapsed="false">
      <c r="A1856" s="0" t="n">
        <v>1204</v>
      </c>
      <c r="B1856" s="68" t="n">
        <v>45662</v>
      </c>
      <c r="C1856" s="69" t="s">
        <v>124</v>
      </c>
      <c r="D1856" s="69" t="s">
        <v>97</v>
      </c>
      <c r="E1856" s="69" t="s">
        <v>107</v>
      </c>
      <c r="F1856" s="69" t="s">
        <v>88</v>
      </c>
      <c r="G1856" s="69" t="s">
        <v>177</v>
      </c>
      <c r="H1856" s="0" t="n">
        <v>10</v>
      </c>
      <c r="I1856" s="70" t="n">
        <v>433.15</v>
      </c>
      <c r="J1856" s="70" t="n">
        <v>280.42</v>
      </c>
      <c r="K1856" s="70" t="n">
        <f aca="false">IF(ISTEXT(H1856),VALUE(H1856),H1856)*I1856</f>
        <v>4331.5</v>
      </c>
    </row>
    <row r="1857" customFormat="false" ht="15" hidden="false" customHeight="false" outlineLevel="0" collapsed="false">
      <c r="A1857" s="0" t="n">
        <v>2161</v>
      </c>
      <c r="B1857" s="68" t="n">
        <v>45938</v>
      </c>
      <c r="C1857" s="69" t="s">
        <v>32</v>
      </c>
      <c r="D1857" s="69" t="s">
        <v>137</v>
      </c>
      <c r="E1857" s="69" t="s">
        <v>138</v>
      </c>
      <c r="F1857" s="69" t="s">
        <v>153</v>
      </c>
      <c r="G1857" s="69" t="s">
        <v>154</v>
      </c>
      <c r="H1857" s="0" t="n">
        <v>7</v>
      </c>
      <c r="I1857" s="70" t="n">
        <v>1204.74</v>
      </c>
      <c r="J1857" s="70" t="n">
        <v>766.32</v>
      </c>
      <c r="K1857" s="70" t="n">
        <f aca="false">IF(ISTEXT(H1857),VALUE(H1857),H1857)*I1857</f>
        <v>8433.18</v>
      </c>
    </row>
    <row r="1858" customFormat="false" ht="15" hidden="false" customHeight="false" outlineLevel="0" collapsed="false">
      <c r="A1858" s="0" t="n">
        <v>1464</v>
      </c>
      <c r="B1858" s="68" t="n">
        <v>45732</v>
      </c>
      <c r="C1858" s="69" t="s">
        <v>32</v>
      </c>
      <c r="D1858" s="69" t="s">
        <v>137</v>
      </c>
      <c r="E1858" s="69" t="s">
        <v>87</v>
      </c>
      <c r="F1858" s="69" t="s">
        <v>26</v>
      </c>
      <c r="G1858" s="69" t="s">
        <v>89</v>
      </c>
      <c r="H1858" s="0" t="n">
        <v>4</v>
      </c>
      <c r="I1858" s="70" t="n">
        <v>433.15</v>
      </c>
      <c r="J1858" s="70" t="n">
        <v>280.42</v>
      </c>
      <c r="K1858" s="70" t="n">
        <f aca="false">IF(ISTEXT(H1858),VALUE(H1858),H1858)*I1858</f>
        <v>1732.6</v>
      </c>
    </row>
    <row r="1859" customFormat="false" ht="15" hidden="false" customHeight="false" outlineLevel="0" collapsed="false">
      <c r="A1859" s="0" t="n">
        <v>1723</v>
      </c>
      <c r="B1859" s="68" t="n">
        <v>45828</v>
      </c>
      <c r="C1859" s="69" t="s">
        <v>91</v>
      </c>
      <c r="D1859" s="69" t="s">
        <v>86</v>
      </c>
      <c r="E1859" s="69" t="s">
        <v>101</v>
      </c>
      <c r="F1859" s="69" t="s">
        <v>139</v>
      </c>
      <c r="G1859" s="69" t="s">
        <v>89</v>
      </c>
      <c r="H1859" s="0" t="n">
        <v>14</v>
      </c>
      <c r="I1859" s="70" t="n">
        <v>433.15</v>
      </c>
      <c r="J1859" s="70" t="n">
        <v>280.42</v>
      </c>
      <c r="K1859" s="70" t="n">
        <f aca="false">IF(ISTEXT(H1859),VALUE(H1859),H1859)*I1859</f>
        <v>6064.1</v>
      </c>
    </row>
    <row r="1860" customFormat="false" ht="15" hidden="false" customHeight="false" outlineLevel="0" collapsed="false">
      <c r="A1860" s="0" t="n">
        <v>585</v>
      </c>
      <c r="B1860" s="69" t="s">
        <v>730</v>
      </c>
      <c r="C1860" s="69" t="s">
        <v>142</v>
      </c>
      <c r="D1860" s="69" t="s">
        <v>112</v>
      </c>
      <c r="E1860" s="69" t="s">
        <v>138</v>
      </c>
      <c r="F1860" s="69" t="s">
        <v>26</v>
      </c>
      <c r="G1860" s="69" t="s">
        <v>45</v>
      </c>
      <c r="H1860" s="0" t="n">
        <v>8</v>
      </c>
      <c r="I1860" s="70" t="n">
        <v>1617</v>
      </c>
      <c r="J1860" s="70" t="n">
        <v>1122</v>
      </c>
      <c r="K1860" s="70" t="n">
        <f aca="false">IF(ISTEXT(H1860),VALUE(H1860),H1860)*I1860</f>
        <v>12936</v>
      </c>
    </row>
    <row r="1861" customFormat="false" ht="15" hidden="false" customHeight="false" outlineLevel="0" collapsed="false">
      <c r="A1861" s="0" t="n">
        <v>642</v>
      </c>
      <c r="B1861" s="68" t="n">
        <v>45486</v>
      </c>
      <c r="C1861" s="69" t="s">
        <v>152</v>
      </c>
      <c r="D1861" s="69" t="s">
        <v>109</v>
      </c>
      <c r="E1861" s="69" t="s">
        <v>180</v>
      </c>
      <c r="F1861" s="69" t="s">
        <v>147</v>
      </c>
      <c r="G1861" s="69" t="s">
        <v>41</v>
      </c>
      <c r="H1861" s="0" t="n">
        <v>4</v>
      </c>
      <c r="I1861" s="70" t="n">
        <v>1176</v>
      </c>
      <c r="J1861" s="70" t="n">
        <v>744</v>
      </c>
      <c r="K1861" s="70" t="n">
        <f aca="false">IF(ISTEXT(H1861),VALUE(H1861),H1861)*I1861</f>
        <v>4704</v>
      </c>
    </row>
    <row r="1862" customFormat="false" ht="15" hidden="false" customHeight="false" outlineLevel="0" collapsed="false">
      <c r="A1862" s="0" t="n">
        <v>1706</v>
      </c>
      <c r="B1862" s="69" t="s">
        <v>731</v>
      </c>
      <c r="C1862" s="69" t="s">
        <v>124</v>
      </c>
      <c r="D1862" s="69" t="s">
        <v>97</v>
      </c>
      <c r="E1862" s="69" t="s">
        <v>87</v>
      </c>
      <c r="F1862" s="69" t="s">
        <v>26</v>
      </c>
      <c r="G1862" s="69" t="s">
        <v>45</v>
      </c>
      <c r="H1862" s="0" t="n">
        <v>13</v>
      </c>
      <c r="I1862" s="70" t="n">
        <v>1588.21</v>
      </c>
      <c r="J1862" s="70" t="n">
        <v>1155.66</v>
      </c>
      <c r="K1862" s="70" t="n">
        <f aca="false">IF(ISTEXT(H1862),VALUE(H1862),H1862)*I1862</f>
        <v>20646.73</v>
      </c>
    </row>
    <row r="1863" customFormat="false" ht="15" hidden="false" customHeight="false" outlineLevel="0" collapsed="false">
      <c r="A1863" s="0" t="n">
        <v>1712</v>
      </c>
      <c r="B1863" s="68" t="n">
        <v>45832</v>
      </c>
      <c r="C1863" s="69" t="s">
        <v>150</v>
      </c>
      <c r="D1863" s="69"/>
      <c r="E1863" s="69" t="s">
        <v>87</v>
      </c>
      <c r="F1863" s="69" t="s">
        <v>28</v>
      </c>
      <c r="G1863" s="69" t="s">
        <v>144</v>
      </c>
      <c r="H1863" s="0" t="n">
        <v>65</v>
      </c>
      <c r="I1863" s="70" t="n">
        <v>64.58</v>
      </c>
      <c r="J1863" s="70" t="n">
        <v>36.49</v>
      </c>
      <c r="K1863" s="70" t="n">
        <f aca="false">IF(ISTEXT(H1863),VALUE(H1863),H1863)*I1863</f>
        <v>4197.7</v>
      </c>
    </row>
    <row r="1864" customFormat="false" ht="15" hidden="false" customHeight="false" outlineLevel="0" collapsed="false">
      <c r="A1864" s="0" t="n">
        <v>1398</v>
      </c>
      <c r="B1864" s="69" t="s">
        <v>732</v>
      </c>
      <c r="C1864" s="69" t="s">
        <v>133</v>
      </c>
      <c r="D1864" s="69" t="s">
        <v>112</v>
      </c>
      <c r="E1864" s="69" t="s">
        <v>87</v>
      </c>
      <c r="F1864" s="69" t="s">
        <v>33</v>
      </c>
      <c r="G1864" s="69" t="s">
        <v>130</v>
      </c>
      <c r="H1864" s="0" t="s">
        <v>299</v>
      </c>
      <c r="I1864" s="70" t="n">
        <v>129.17</v>
      </c>
      <c r="J1864" s="70" t="n">
        <v>78.33</v>
      </c>
      <c r="K1864" s="70" t="n">
        <f aca="false">IF(ISTEXT(H1864),VALUE(H1864),H1864)*I1864</f>
        <v>1291.7</v>
      </c>
    </row>
    <row r="1865" customFormat="false" ht="15" hidden="false" customHeight="false" outlineLevel="0" collapsed="false">
      <c r="A1865" s="0" t="n">
        <v>1680</v>
      </c>
      <c r="B1865" s="68" t="n">
        <v>45793</v>
      </c>
      <c r="C1865" s="69" t="s">
        <v>136</v>
      </c>
      <c r="D1865" s="69" t="s">
        <v>137</v>
      </c>
      <c r="E1865" s="69" t="s">
        <v>180</v>
      </c>
      <c r="F1865" s="69" t="s">
        <v>182</v>
      </c>
      <c r="G1865" s="69" t="s">
        <v>217</v>
      </c>
      <c r="H1865" s="0" t="n">
        <v>11</v>
      </c>
      <c r="I1865" s="70" t="n">
        <v>34.78</v>
      </c>
      <c r="J1865" s="70" t="n">
        <v>18.39</v>
      </c>
      <c r="K1865" s="70" t="n">
        <f aca="false">IF(ISTEXT(H1865),VALUE(H1865),H1865)*I1865</f>
        <v>382.58</v>
      </c>
    </row>
    <row r="1866" customFormat="false" ht="15" hidden="false" customHeight="false" outlineLevel="0" collapsed="false">
      <c r="A1866" s="0" t="n">
        <v>1975</v>
      </c>
      <c r="B1866" s="69" t="s">
        <v>733</v>
      </c>
      <c r="C1866" s="69" t="s">
        <v>193</v>
      </c>
      <c r="D1866" s="69" t="s">
        <v>137</v>
      </c>
      <c r="E1866" s="69" t="s">
        <v>92</v>
      </c>
      <c r="F1866" s="69" t="s">
        <v>115</v>
      </c>
      <c r="G1866" s="69" t="s">
        <v>111</v>
      </c>
      <c r="H1866" s="0" t="n">
        <v>11</v>
      </c>
      <c r="I1866" s="70" t="n">
        <v>85.34</v>
      </c>
      <c r="J1866" s="70" t="n">
        <v>49.47</v>
      </c>
      <c r="K1866" s="70" t="n">
        <f aca="false">IF(ISTEXT(H1866),VALUE(H1866),H1866)*I1866</f>
        <v>938.74</v>
      </c>
    </row>
    <row r="1867" customFormat="false" ht="15" hidden="false" customHeight="false" outlineLevel="0" collapsed="false">
      <c r="A1867" s="0" t="n">
        <v>1977</v>
      </c>
      <c r="B1867" s="68" t="n">
        <v>45885</v>
      </c>
      <c r="C1867" s="69" t="s">
        <v>184</v>
      </c>
      <c r="D1867" s="69"/>
      <c r="E1867" s="69" t="s">
        <v>110</v>
      </c>
      <c r="F1867" s="69" t="s">
        <v>33</v>
      </c>
      <c r="G1867" s="69" t="s">
        <v>52</v>
      </c>
      <c r="H1867" s="0" t="n">
        <v>14</v>
      </c>
      <c r="I1867" s="70" t="n">
        <v>130.51</v>
      </c>
      <c r="J1867" s="70" t="n">
        <v>78.33</v>
      </c>
      <c r="K1867" s="70" t="n">
        <f aca="false">IF(ISTEXT(H1867),VALUE(H1867),H1867)*I1867</f>
        <v>1827.14</v>
      </c>
    </row>
    <row r="1868" customFormat="false" ht="15" hidden="false" customHeight="false" outlineLevel="0" collapsed="false">
      <c r="A1868" s="0" t="n">
        <v>529</v>
      </c>
      <c r="B1868" s="68" t="n">
        <v>45448</v>
      </c>
      <c r="C1868" s="69" t="s">
        <v>120</v>
      </c>
      <c r="D1868" s="69" t="s">
        <v>86</v>
      </c>
      <c r="E1868" s="69" t="s">
        <v>92</v>
      </c>
      <c r="F1868" s="69" t="s">
        <v>155</v>
      </c>
      <c r="G1868" s="69" t="s">
        <v>48</v>
      </c>
      <c r="H1868" s="0" t="n">
        <v>58</v>
      </c>
      <c r="I1868" s="70" t="n">
        <v>93.1</v>
      </c>
      <c r="J1868" s="70" t="n">
        <v>47.98</v>
      </c>
      <c r="K1868" s="70" t="n">
        <f aca="false">IF(ISTEXT(H1868),VALUE(H1868),H1868)*I1868</f>
        <v>5399.8</v>
      </c>
    </row>
    <row r="1869" customFormat="false" ht="15" hidden="false" customHeight="false" outlineLevel="0" collapsed="false">
      <c r="A1869" s="0" t="n">
        <v>2355</v>
      </c>
      <c r="B1869" s="68" t="n">
        <v>46007</v>
      </c>
      <c r="C1869" s="69" t="s">
        <v>108</v>
      </c>
      <c r="D1869" s="69" t="s">
        <v>109</v>
      </c>
      <c r="E1869" s="69" t="s">
        <v>134</v>
      </c>
      <c r="F1869" s="69" t="s">
        <v>162</v>
      </c>
      <c r="G1869" s="69" t="s">
        <v>111</v>
      </c>
      <c r="H1869" s="0" t="n">
        <v>24</v>
      </c>
      <c r="I1869" s="70" t="n">
        <v>85.34</v>
      </c>
      <c r="J1869" s="70" t="n">
        <v>49.47</v>
      </c>
      <c r="K1869" s="70" t="n">
        <f aca="false">IF(ISTEXT(H1869),VALUE(H1869),H1869)*I1869</f>
        <v>2048.16</v>
      </c>
    </row>
    <row r="1870" customFormat="false" ht="15" hidden="false" customHeight="false" outlineLevel="0" collapsed="false">
      <c r="A1870" s="0" t="n">
        <v>444</v>
      </c>
      <c r="B1870" s="69" t="s">
        <v>298</v>
      </c>
      <c r="C1870" s="69" t="s">
        <v>30</v>
      </c>
      <c r="D1870" s="69" t="s">
        <v>109</v>
      </c>
      <c r="E1870" s="69" t="s">
        <v>98</v>
      </c>
      <c r="F1870" s="69" t="s">
        <v>26</v>
      </c>
      <c r="G1870" s="69" t="s">
        <v>43</v>
      </c>
      <c r="H1870" s="0" t="n">
        <v>3</v>
      </c>
      <c r="I1870" s="70" t="n">
        <v>441</v>
      </c>
      <c r="J1870" s="70" t="n">
        <v>272.25</v>
      </c>
      <c r="K1870" s="70" t="n">
        <f aca="false">IF(ISTEXT(H1870),VALUE(H1870),H1870)*I1870</f>
        <v>1323</v>
      </c>
    </row>
    <row r="1871" customFormat="false" ht="15" hidden="false" customHeight="false" outlineLevel="0" collapsed="false">
      <c r="A1871" s="0" t="n">
        <v>345</v>
      </c>
      <c r="B1871" s="69" t="s">
        <v>689</v>
      </c>
      <c r="C1871" s="69" t="s">
        <v>108</v>
      </c>
      <c r="D1871" s="69" t="s">
        <v>109</v>
      </c>
      <c r="E1871" s="69" t="s">
        <v>101</v>
      </c>
      <c r="F1871" s="69" t="s">
        <v>88</v>
      </c>
      <c r="G1871" s="69" t="s">
        <v>141</v>
      </c>
      <c r="H1871" s="0" t="n">
        <v>8</v>
      </c>
      <c r="I1871" s="70" t="n">
        <v>1617</v>
      </c>
      <c r="J1871" s="70" t="n">
        <v>1122</v>
      </c>
      <c r="K1871" s="70" t="n">
        <f aca="false">IF(ISTEXT(H1871),VALUE(H1871),H1871)*I1871</f>
        <v>12936</v>
      </c>
    </row>
    <row r="1872" customFormat="false" ht="15" hidden="false" customHeight="false" outlineLevel="0" collapsed="false">
      <c r="A1872" s="0" t="n">
        <v>2174</v>
      </c>
      <c r="B1872" s="69" t="s">
        <v>362</v>
      </c>
      <c r="C1872" s="69" t="s">
        <v>184</v>
      </c>
      <c r="D1872" s="69" t="s">
        <v>137</v>
      </c>
      <c r="E1872" s="69" t="s">
        <v>107</v>
      </c>
      <c r="F1872" s="69" t="s">
        <v>115</v>
      </c>
      <c r="G1872" s="69" t="s">
        <v>171</v>
      </c>
      <c r="H1872" s="0" t="s">
        <v>122</v>
      </c>
      <c r="I1872" s="70" t="n">
        <v>120.47</v>
      </c>
      <c r="J1872" s="70" t="n">
        <v>65.51</v>
      </c>
      <c r="K1872" s="70" t="n">
        <f aca="false">IF(ISTEXT(H1872),VALUE(H1872),H1872)*I1872</f>
        <v>1084.23</v>
      </c>
    </row>
    <row r="1873" customFormat="false" ht="15" hidden="false" customHeight="false" outlineLevel="0" collapsed="false">
      <c r="A1873" s="0" t="n">
        <v>781</v>
      </c>
      <c r="B1873" s="69" t="s">
        <v>424</v>
      </c>
      <c r="C1873" s="69" t="s">
        <v>34</v>
      </c>
      <c r="D1873" s="69" t="s">
        <v>112</v>
      </c>
      <c r="E1873" s="69" t="s">
        <v>92</v>
      </c>
      <c r="F1873" s="69" t="s">
        <v>135</v>
      </c>
      <c r="G1873" s="69" t="s">
        <v>41</v>
      </c>
      <c r="H1873" s="0" t="s">
        <v>229</v>
      </c>
      <c r="I1873" s="70" t="n">
        <v>1176</v>
      </c>
      <c r="J1873" s="70" t="n">
        <v>744</v>
      </c>
      <c r="K1873" s="70" t="n">
        <f aca="false">IF(ISTEXT(H1873),VALUE(H1873),H1873)*I1873</f>
        <v>8232</v>
      </c>
    </row>
    <row r="1874" customFormat="false" ht="15" hidden="false" customHeight="false" outlineLevel="0" collapsed="false">
      <c r="A1874" s="0" t="n">
        <v>2075</v>
      </c>
      <c r="B1874" s="69" t="s">
        <v>734</v>
      </c>
      <c r="C1874" s="69" t="s">
        <v>193</v>
      </c>
      <c r="D1874" s="69" t="s">
        <v>137</v>
      </c>
      <c r="E1874" s="69" t="s">
        <v>121</v>
      </c>
      <c r="F1874" s="69" t="s">
        <v>162</v>
      </c>
      <c r="G1874" s="69" t="s">
        <v>111</v>
      </c>
      <c r="H1874" s="0" t="n">
        <v>13</v>
      </c>
      <c r="I1874" s="70" t="n">
        <v>85.34</v>
      </c>
      <c r="J1874" s="70" t="n">
        <v>49.47</v>
      </c>
      <c r="K1874" s="70" t="n">
        <f aca="false">IF(ISTEXT(H1874),VALUE(H1874),H1874)*I1874</f>
        <v>1109.42</v>
      </c>
    </row>
    <row r="1875" customFormat="false" ht="15" hidden="false" customHeight="false" outlineLevel="0" collapsed="false">
      <c r="A1875" s="0" t="n">
        <v>1364</v>
      </c>
      <c r="B1875" s="69" t="s">
        <v>268</v>
      </c>
      <c r="C1875" s="69" t="s">
        <v>136</v>
      </c>
      <c r="D1875" s="69" t="s">
        <v>137</v>
      </c>
      <c r="E1875" s="69" t="s">
        <v>125</v>
      </c>
      <c r="F1875" s="69" t="s">
        <v>26</v>
      </c>
      <c r="G1875" s="69" t="s">
        <v>43</v>
      </c>
      <c r="H1875" s="0" t="n">
        <v>3</v>
      </c>
      <c r="I1875" s="70" t="n">
        <v>433.15</v>
      </c>
      <c r="J1875" s="70" t="n">
        <v>280.42</v>
      </c>
      <c r="K1875" s="70" t="n">
        <f aca="false">IF(ISTEXT(H1875),VALUE(H1875),H1875)*I1875</f>
        <v>1299.45</v>
      </c>
    </row>
    <row r="1876" customFormat="false" ht="15" hidden="false" customHeight="false" outlineLevel="0" collapsed="false">
      <c r="A1876" s="0" t="n">
        <v>2101</v>
      </c>
      <c r="B1876" s="69" t="s">
        <v>258</v>
      </c>
      <c r="C1876" s="69" t="s">
        <v>25</v>
      </c>
      <c r="D1876" s="69" t="s">
        <v>97</v>
      </c>
      <c r="E1876" s="69" t="s">
        <v>121</v>
      </c>
      <c r="F1876" s="69" t="s">
        <v>26</v>
      </c>
      <c r="G1876" s="69" t="s">
        <v>41</v>
      </c>
      <c r="H1876" s="0" t="n">
        <v>18</v>
      </c>
      <c r="I1876" s="70" t="n">
        <v>1204.74</v>
      </c>
      <c r="J1876" s="70" t="n">
        <v>766.32</v>
      </c>
      <c r="K1876" s="70" t="n">
        <f aca="false">IF(ISTEXT(H1876),VALUE(H1876),H1876)*I1876</f>
        <v>21685.32</v>
      </c>
    </row>
    <row r="1877" customFormat="false" ht="15" hidden="false" customHeight="false" outlineLevel="0" collapsed="false">
      <c r="A1877" s="0" t="n">
        <v>797</v>
      </c>
      <c r="B1877" s="69" t="s">
        <v>735</v>
      </c>
      <c r="C1877" s="69" t="s">
        <v>142</v>
      </c>
      <c r="D1877" s="69" t="s">
        <v>112</v>
      </c>
      <c r="E1877" s="69" t="s">
        <v>110</v>
      </c>
      <c r="F1877" s="69" t="s">
        <v>33</v>
      </c>
      <c r="G1877" s="69" t="s">
        <v>130</v>
      </c>
      <c r="H1877" s="0" t="n">
        <v>20</v>
      </c>
      <c r="I1877" s="70" t="n">
        <v>127.4</v>
      </c>
      <c r="J1877" s="70" t="n">
        <v>76.05</v>
      </c>
      <c r="K1877" s="70" t="n">
        <f aca="false">IF(ISTEXT(H1877),VALUE(H1877),H1877)*I1877</f>
        <v>2548</v>
      </c>
    </row>
    <row r="1878" customFormat="false" ht="15" hidden="false" customHeight="false" outlineLevel="0" collapsed="false">
      <c r="A1878" s="0" t="n">
        <v>651</v>
      </c>
      <c r="B1878" s="68" t="n">
        <v>45495</v>
      </c>
      <c r="C1878" s="69" t="s">
        <v>152</v>
      </c>
      <c r="D1878" s="69" t="s">
        <v>109</v>
      </c>
      <c r="E1878" s="69" t="s">
        <v>101</v>
      </c>
      <c r="F1878" s="69" t="s">
        <v>28</v>
      </c>
      <c r="G1878" s="69" t="s">
        <v>49</v>
      </c>
      <c r="H1878" s="0" t="s">
        <v>736</v>
      </c>
      <c r="I1878" s="70" t="n">
        <v>63.7</v>
      </c>
      <c r="J1878" s="70" t="n">
        <v>35.43</v>
      </c>
      <c r="K1878" s="70" t="n">
        <f aca="false">IF(ISTEXT(H1878),VALUE(H1878),H1878)*I1878</f>
        <v>3439.8</v>
      </c>
    </row>
    <row r="1879" customFormat="false" ht="15" hidden="false" customHeight="false" outlineLevel="0" collapsed="false">
      <c r="A1879" s="0" t="n">
        <v>1002</v>
      </c>
      <c r="B1879" s="68" t="n">
        <v>45618</v>
      </c>
      <c r="C1879" s="69" t="s">
        <v>96</v>
      </c>
      <c r="D1879" s="69" t="s">
        <v>97</v>
      </c>
      <c r="E1879" s="69" t="s">
        <v>107</v>
      </c>
      <c r="F1879" s="69" t="s">
        <v>26</v>
      </c>
      <c r="G1879" s="69" t="s">
        <v>154</v>
      </c>
      <c r="H1879" s="0" t="n">
        <v>10</v>
      </c>
      <c r="I1879" s="70" t="n">
        <v>1176</v>
      </c>
      <c r="J1879" s="70" t="n">
        <v>744</v>
      </c>
      <c r="K1879" s="70" t="n">
        <f aca="false">IF(ISTEXT(H1879),VALUE(H1879),H1879)*I1879</f>
        <v>11760</v>
      </c>
    </row>
    <row r="1880" customFormat="false" ht="15" hidden="false" customHeight="false" outlineLevel="0" collapsed="false">
      <c r="A1880" s="0" t="n">
        <v>2336</v>
      </c>
      <c r="B1880" s="68" t="n">
        <v>46009</v>
      </c>
      <c r="C1880" s="69" t="s">
        <v>159</v>
      </c>
      <c r="D1880" s="69" t="s">
        <v>86</v>
      </c>
      <c r="E1880" s="69" t="s">
        <v>107</v>
      </c>
      <c r="F1880" s="69" t="s">
        <v>166</v>
      </c>
      <c r="G1880" s="69" t="s">
        <v>51</v>
      </c>
      <c r="H1880" s="0" t="n">
        <v>22</v>
      </c>
      <c r="I1880" s="70" t="n">
        <v>85.34</v>
      </c>
      <c r="J1880" s="70" t="n">
        <v>49.47</v>
      </c>
      <c r="K1880" s="70" t="n">
        <f aca="false">IF(ISTEXT(H1880),VALUE(H1880),H1880)*I1880</f>
        <v>1877.48</v>
      </c>
    </row>
    <row r="1881" customFormat="false" ht="15" hidden="false" customHeight="false" outlineLevel="0" collapsed="false">
      <c r="A1881" s="0" t="n">
        <v>387</v>
      </c>
      <c r="B1881" s="68" t="n">
        <v>45392</v>
      </c>
      <c r="C1881" s="69" t="s">
        <v>34</v>
      </c>
      <c r="D1881" s="69" t="s">
        <v>112</v>
      </c>
      <c r="E1881" s="69" t="s">
        <v>121</v>
      </c>
      <c r="F1881" s="69" t="s">
        <v>102</v>
      </c>
      <c r="G1881" s="69" t="s">
        <v>113</v>
      </c>
      <c r="H1881" s="0" t="n">
        <v>33</v>
      </c>
      <c r="I1881" s="70" t="n">
        <v>27.44</v>
      </c>
      <c r="J1881" s="70" t="n">
        <v>13.44</v>
      </c>
      <c r="K1881" s="70" t="n">
        <f aca="false">IF(ISTEXT(H1881),VALUE(H1881),H1881)*I1881</f>
        <v>905.52</v>
      </c>
    </row>
    <row r="1882" customFormat="false" ht="15" hidden="false" customHeight="false" outlineLevel="0" collapsed="false">
      <c r="A1882" s="0" t="n">
        <v>1853</v>
      </c>
      <c r="B1882" s="69" t="s">
        <v>737</v>
      </c>
      <c r="C1882" s="69" t="s">
        <v>30</v>
      </c>
      <c r="D1882" s="69" t="s">
        <v>109</v>
      </c>
      <c r="E1882" s="69" t="s">
        <v>92</v>
      </c>
      <c r="F1882" s="69" t="s">
        <v>162</v>
      </c>
      <c r="G1882" s="69" t="s">
        <v>50</v>
      </c>
      <c r="H1882" s="0" t="n">
        <v>22</v>
      </c>
      <c r="I1882" s="70" t="n">
        <v>120.47</v>
      </c>
      <c r="J1882" s="70" t="n">
        <v>65.51</v>
      </c>
      <c r="K1882" s="70" t="n">
        <f aca="false">IF(ISTEXT(H1882),VALUE(H1882),H1882)*I1882</f>
        <v>2650.34</v>
      </c>
    </row>
    <row r="1883" customFormat="false" ht="15" hidden="false" customHeight="false" outlineLevel="0" collapsed="false">
      <c r="A1883" s="0" t="n">
        <v>2050</v>
      </c>
      <c r="B1883" s="68" t="n">
        <v>45914</v>
      </c>
      <c r="C1883" s="69" t="s">
        <v>118</v>
      </c>
      <c r="D1883" s="69" t="s">
        <v>109</v>
      </c>
      <c r="E1883" s="69" t="s">
        <v>119</v>
      </c>
      <c r="F1883" s="69" t="s">
        <v>99</v>
      </c>
      <c r="G1883" s="69" t="s">
        <v>235</v>
      </c>
      <c r="H1883" s="0" t="n">
        <v>29</v>
      </c>
      <c r="I1883" s="70" t="n">
        <v>95.38</v>
      </c>
      <c r="J1883" s="70" t="n">
        <v>49.41</v>
      </c>
      <c r="K1883" s="70" t="n">
        <f aca="false">IF(ISTEXT(H1883),VALUE(H1883),H1883)*I1883</f>
        <v>2766.02</v>
      </c>
    </row>
    <row r="1884" customFormat="false" ht="15" hidden="false" customHeight="false" outlineLevel="0" collapsed="false">
      <c r="A1884" s="0" t="n">
        <v>2207</v>
      </c>
      <c r="B1884" s="68" t="n">
        <v>45967</v>
      </c>
      <c r="C1884" s="69" t="s">
        <v>124</v>
      </c>
      <c r="D1884" s="69" t="s">
        <v>97</v>
      </c>
      <c r="E1884" s="69" t="s">
        <v>134</v>
      </c>
      <c r="F1884" s="69" t="s">
        <v>143</v>
      </c>
      <c r="G1884" s="69" t="s">
        <v>103</v>
      </c>
      <c r="H1884" s="0" t="n">
        <v>118</v>
      </c>
      <c r="I1884" s="70" t="n">
        <v>28.11</v>
      </c>
      <c r="J1884" s="70" t="n">
        <v>13.84</v>
      </c>
      <c r="K1884" s="70" t="n">
        <f aca="false">IF(ISTEXT(H1884),VALUE(H1884),H1884)*I1884</f>
        <v>3316.98</v>
      </c>
    </row>
    <row r="1885" customFormat="false" ht="15" hidden="false" customHeight="false" outlineLevel="0" collapsed="false">
      <c r="A1885" s="0" t="n">
        <v>465</v>
      </c>
      <c r="B1885" s="68" t="n">
        <v>45428</v>
      </c>
      <c r="C1885" s="69" t="s">
        <v>32</v>
      </c>
      <c r="D1885" s="69" t="s">
        <v>137</v>
      </c>
      <c r="E1885" s="69" t="s">
        <v>110</v>
      </c>
      <c r="F1885" s="69" t="s">
        <v>139</v>
      </c>
      <c r="G1885" s="69" t="s">
        <v>157</v>
      </c>
      <c r="H1885" s="0" t="n">
        <v>7</v>
      </c>
      <c r="I1885" s="70" t="n">
        <v>1617</v>
      </c>
      <c r="J1885" s="70" t="n">
        <v>1122</v>
      </c>
      <c r="K1885" s="70" t="n">
        <f aca="false">IF(ISTEXT(H1885),VALUE(H1885),H1885)*I1885</f>
        <v>11319</v>
      </c>
    </row>
    <row r="1886" customFormat="false" ht="15" hidden="false" customHeight="false" outlineLevel="0" collapsed="false">
      <c r="A1886" s="0" t="n">
        <v>154</v>
      </c>
      <c r="B1886" s="68" t="n">
        <v>45348</v>
      </c>
      <c r="C1886" s="69" t="s">
        <v>108</v>
      </c>
      <c r="D1886" s="69" t="s">
        <v>109</v>
      </c>
      <c r="E1886" s="69" t="s">
        <v>87</v>
      </c>
      <c r="F1886" s="69" t="s">
        <v>31</v>
      </c>
      <c r="G1886" s="69" t="s">
        <v>171</v>
      </c>
      <c r="H1886" s="0" t="n">
        <v>6</v>
      </c>
      <c r="I1886" s="70" t="n">
        <v>117.6</v>
      </c>
      <c r="J1886" s="70" t="n">
        <v>63.6</v>
      </c>
      <c r="K1886" s="70" t="n">
        <f aca="false">IF(ISTEXT(H1886),VALUE(H1886),H1886)*I1886</f>
        <v>705.6</v>
      </c>
    </row>
    <row r="1887" customFormat="false" ht="15" hidden="false" customHeight="false" outlineLevel="0" collapsed="false">
      <c r="A1887" s="0" t="n">
        <v>269</v>
      </c>
      <c r="B1887" s="69" t="s">
        <v>738</v>
      </c>
      <c r="C1887" s="69" t="s">
        <v>136</v>
      </c>
      <c r="D1887" s="69" t="s">
        <v>137</v>
      </c>
      <c r="E1887" s="69" t="s">
        <v>138</v>
      </c>
      <c r="F1887" s="69" t="s">
        <v>99</v>
      </c>
      <c r="G1887" s="69" t="s">
        <v>48</v>
      </c>
      <c r="H1887" s="0" t="n">
        <v>33</v>
      </c>
      <c r="I1887" s="70" t="n">
        <v>93.1</v>
      </c>
      <c r="J1887" s="70" t="n">
        <v>47.98</v>
      </c>
      <c r="K1887" s="70" t="n">
        <f aca="false">IF(ISTEXT(H1887),VALUE(H1887),H1887)*I1887</f>
        <v>3072.3</v>
      </c>
    </row>
    <row r="1888" customFormat="false" ht="15" hidden="false" customHeight="false" outlineLevel="0" collapsed="false">
      <c r="A1888" s="0" t="n">
        <v>1662</v>
      </c>
      <c r="B1888" s="68" t="n">
        <v>45802</v>
      </c>
      <c r="C1888" s="69" t="s">
        <v>32</v>
      </c>
      <c r="D1888" s="69" t="s">
        <v>137</v>
      </c>
      <c r="E1888" s="69" t="s">
        <v>180</v>
      </c>
      <c r="F1888" s="69" t="s">
        <v>88</v>
      </c>
      <c r="G1888" s="69" t="s">
        <v>154</v>
      </c>
      <c r="H1888" s="0" t="s">
        <v>627</v>
      </c>
      <c r="I1888" s="70" t="n">
        <v>1155.06</v>
      </c>
      <c r="J1888" s="70" t="n">
        <v>766.32</v>
      </c>
      <c r="K1888" s="70" t="n">
        <f aca="false">IF(ISTEXT(H1888),VALUE(H1888),H1888)*I1888</f>
        <v>5775.3</v>
      </c>
    </row>
    <row r="1889" customFormat="false" ht="15" hidden="false" customHeight="false" outlineLevel="0" collapsed="false">
      <c r="A1889" s="0" t="n">
        <v>835</v>
      </c>
      <c r="B1889" s="68" t="n">
        <v>45549</v>
      </c>
      <c r="C1889" s="69" t="s">
        <v>159</v>
      </c>
      <c r="D1889" s="69" t="s">
        <v>86</v>
      </c>
      <c r="E1889" s="69" t="s">
        <v>110</v>
      </c>
      <c r="F1889" s="69" t="s">
        <v>162</v>
      </c>
      <c r="G1889" s="69" t="s">
        <v>111</v>
      </c>
      <c r="H1889" s="0" t="n">
        <v>23</v>
      </c>
      <c r="I1889" s="70" t="n">
        <v>83.3</v>
      </c>
      <c r="J1889" s="70" t="n">
        <v>48.03</v>
      </c>
      <c r="K1889" s="70" t="n">
        <f aca="false">IF(ISTEXT(H1889),VALUE(H1889),H1889)*I1889</f>
        <v>1915.9</v>
      </c>
    </row>
    <row r="1890" customFormat="false" ht="15" hidden="false" customHeight="false" outlineLevel="0" collapsed="false">
      <c r="A1890" s="0" t="n">
        <v>307</v>
      </c>
      <c r="B1890" s="69" t="s">
        <v>739</v>
      </c>
      <c r="C1890" s="69" t="s">
        <v>170</v>
      </c>
      <c r="D1890" s="69" t="s">
        <v>97</v>
      </c>
      <c r="E1890" s="69" t="s">
        <v>134</v>
      </c>
      <c r="F1890" s="69" t="s">
        <v>28</v>
      </c>
      <c r="G1890" s="69" t="s">
        <v>113</v>
      </c>
      <c r="H1890" s="0" t="n">
        <v>101</v>
      </c>
      <c r="I1890" s="70" t="n">
        <v>27.44</v>
      </c>
      <c r="J1890" s="70" t="n">
        <v>13.44</v>
      </c>
      <c r="K1890" s="70" t="n">
        <f aca="false">IF(ISTEXT(H1890),VALUE(H1890),H1890)*I1890</f>
        <v>2771.44</v>
      </c>
    </row>
    <row r="1891" customFormat="false" ht="15" hidden="false" customHeight="false" outlineLevel="0" collapsed="false">
      <c r="A1891" s="0" t="n">
        <v>1233</v>
      </c>
      <c r="B1891" s="69" t="s">
        <v>482</v>
      </c>
      <c r="C1891" s="69" t="s">
        <v>91</v>
      </c>
      <c r="D1891" s="69" t="s">
        <v>86</v>
      </c>
      <c r="E1891" s="69" t="s">
        <v>101</v>
      </c>
      <c r="F1891" s="69" t="s">
        <v>162</v>
      </c>
      <c r="G1891" s="69" t="s">
        <v>50</v>
      </c>
      <c r="H1891" s="0" t="n">
        <v>22</v>
      </c>
      <c r="I1891" s="70" t="n">
        <v>119.23</v>
      </c>
      <c r="J1891" s="70" t="n">
        <v>65.51</v>
      </c>
      <c r="K1891" s="70" t="n">
        <f aca="false">IF(ISTEXT(H1891),VALUE(H1891),H1891)*I1891</f>
        <v>2623.06</v>
      </c>
    </row>
    <row r="1892" customFormat="false" ht="15" hidden="false" customHeight="false" outlineLevel="0" collapsed="false">
      <c r="A1892" s="0" t="n">
        <v>741</v>
      </c>
      <c r="B1892" s="69" t="s">
        <v>189</v>
      </c>
      <c r="C1892" s="69" t="s">
        <v>30</v>
      </c>
      <c r="D1892" s="69" t="s">
        <v>109</v>
      </c>
      <c r="E1892" s="69" t="s">
        <v>92</v>
      </c>
      <c r="F1892" s="69" t="s">
        <v>147</v>
      </c>
      <c r="G1892" s="69" t="s">
        <v>154</v>
      </c>
      <c r="H1892" s="0" t="n">
        <v>9</v>
      </c>
      <c r="I1892" s="70" t="n">
        <v>1176</v>
      </c>
      <c r="J1892" s="70" t="n">
        <v>744</v>
      </c>
      <c r="K1892" s="70" t="n">
        <f aca="false">IF(ISTEXT(H1892),VALUE(H1892),H1892)*I1892</f>
        <v>10584</v>
      </c>
    </row>
    <row r="1893" customFormat="false" ht="15" hidden="false" customHeight="false" outlineLevel="0" collapsed="false">
      <c r="A1893" s="0" t="n">
        <v>750</v>
      </c>
      <c r="B1893" s="68" t="n">
        <v>45517</v>
      </c>
      <c r="C1893" s="69" t="s">
        <v>152</v>
      </c>
      <c r="D1893" s="69" t="s">
        <v>109</v>
      </c>
      <c r="E1893" s="69" t="s">
        <v>98</v>
      </c>
      <c r="F1893" s="69" t="s">
        <v>99</v>
      </c>
      <c r="G1893" s="69" t="s">
        <v>235</v>
      </c>
      <c r="H1893" s="0" t="n">
        <v>17</v>
      </c>
      <c r="I1893" s="70" t="n">
        <v>93.1</v>
      </c>
      <c r="J1893" s="70" t="n">
        <v>47.98</v>
      </c>
      <c r="K1893" s="70" t="n">
        <f aca="false">IF(ISTEXT(H1893),VALUE(H1893),H1893)*I1893</f>
        <v>1582.7</v>
      </c>
    </row>
    <row r="1894" customFormat="false" ht="15" hidden="false" customHeight="false" outlineLevel="0" collapsed="false">
      <c r="A1894" s="0" t="n">
        <v>161</v>
      </c>
      <c r="B1894" s="69" t="s">
        <v>624</v>
      </c>
      <c r="C1894" s="69" t="s">
        <v>193</v>
      </c>
      <c r="D1894" s="69" t="s">
        <v>137</v>
      </c>
      <c r="E1894" s="69" t="s">
        <v>110</v>
      </c>
      <c r="F1894" s="69" t="s">
        <v>139</v>
      </c>
      <c r="G1894" s="69" t="s">
        <v>154</v>
      </c>
      <c r="H1894" s="0" t="n">
        <v>5</v>
      </c>
      <c r="I1894" s="70" t="n">
        <v>1176</v>
      </c>
      <c r="J1894" s="70" t="n">
        <v>744</v>
      </c>
      <c r="K1894" s="70" t="n">
        <f aca="false">IF(ISTEXT(H1894),VALUE(H1894),H1894)*I1894</f>
        <v>5880</v>
      </c>
    </row>
    <row r="1895" customFormat="false" ht="15" hidden="false" customHeight="false" outlineLevel="0" collapsed="false">
      <c r="A1895" s="0" t="n">
        <v>1699</v>
      </c>
      <c r="B1895" s="68" t="n">
        <v>45791</v>
      </c>
      <c r="C1895" s="69" t="s">
        <v>161</v>
      </c>
      <c r="D1895" s="69" t="s">
        <v>112</v>
      </c>
      <c r="E1895" s="69" t="s">
        <v>121</v>
      </c>
      <c r="F1895" s="69" t="s">
        <v>183</v>
      </c>
      <c r="G1895" s="69" t="s">
        <v>53</v>
      </c>
      <c r="H1895" s="0" t="n">
        <v>15</v>
      </c>
      <c r="I1895" s="70" t="n">
        <v>34.78</v>
      </c>
      <c r="J1895" s="70" t="n">
        <v>18.39</v>
      </c>
      <c r="K1895" s="70" t="n">
        <f aca="false">IF(ISTEXT(H1895),VALUE(H1895),H1895)*I1895</f>
        <v>521.7</v>
      </c>
    </row>
    <row r="1896" customFormat="false" ht="15" hidden="false" customHeight="false" outlineLevel="0" collapsed="false">
      <c r="A1896" s="0" t="n">
        <v>2184</v>
      </c>
      <c r="B1896" s="68" t="n">
        <v>45937</v>
      </c>
      <c r="C1896" s="69" t="s">
        <v>34</v>
      </c>
      <c r="D1896" s="69" t="s">
        <v>112</v>
      </c>
      <c r="E1896" s="69" t="s">
        <v>98</v>
      </c>
      <c r="F1896" s="69" t="s">
        <v>147</v>
      </c>
      <c r="G1896" s="69" t="s">
        <v>89</v>
      </c>
      <c r="H1896" s="0" t="n">
        <v>5</v>
      </c>
      <c r="I1896" s="70" t="n">
        <v>451.78</v>
      </c>
      <c r="J1896" s="70" t="n">
        <v>280.42</v>
      </c>
      <c r="K1896" s="70" t="n">
        <f aca="false">IF(ISTEXT(H1896),VALUE(H1896),H1896)*I1896</f>
        <v>2258.9</v>
      </c>
    </row>
    <row r="1897" customFormat="false" ht="15" hidden="false" customHeight="false" outlineLevel="0" collapsed="false">
      <c r="A1897" s="0" t="n">
        <v>1945</v>
      </c>
      <c r="B1897" s="68" t="n">
        <v>45877</v>
      </c>
      <c r="C1897" s="69" t="s">
        <v>108</v>
      </c>
      <c r="D1897" s="69" t="s">
        <v>109</v>
      </c>
      <c r="E1897" s="69" t="s">
        <v>110</v>
      </c>
      <c r="F1897" s="69" t="s">
        <v>147</v>
      </c>
      <c r="G1897" s="69" t="s">
        <v>141</v>
      </c>
      <c r="H1897" s="0" t="n">
        <v>10</v>
      </c>
      <c r="I1897" s="70" t="n">
        <v>1656.52</v>
      </c>
      <c r="J1897" s="70" t="n">
        <v>1155.66</v>
      </c>
      <c r="K1897" s="70" t="n">
        <f aca="false">IF(ISTEXT(H1897),VALUE(H1897),H1897)*I1897</f>
        <v>16565.2</v>
      </c>
    </row>
    <row r="1898" customFormat="false" ht="15" hidden="false" customHeight="false" outlineLevel="0" collapsed="false">
      <c r="A1898" s="0" t="n">
        <v>934</v>
      </c>
      <c r="B1898" s="68" t="n">
        <v>45570</v>
      </c>
      <c r="C1898" s="69" t="s">
        <v>159</v>
      </c>
      <c r="D1898" s="69" t="s">
        <v>86</v>
      </c>
      <c r="E1898" s="69" t="s">
        <v>119</v>
      </c>
      <c r="F1898" s="69" t="s">
        <v>115</v>
      </c>
      <c r="G1898" s="69" t="s">
        <v>171</v>
      </c>
      <c r="H1898" s="0" t="n">
        <v>12</v>
      </c>
      <c r="I1898" s="70" t="n">
        <v>117.6</v>
      </c>
      <c r="J1898" s="70" t="n">
        <v>63.6</v>
      </c>
      <c r="K1898" s="70" t="n">
        <f aca="false">IF(ISTEXT(H1898),VALUE(H1898),H1898)*I1898</f>
        <v>1411.2</v>
      </c>
    </row>
    <row r="1899" customFormat="false" ht="15" hidden="false" customHeight="false" outlineLevel="0" collapsed="false">
      <c r="A1899" s="0" t="n">
        <v>432</v>
      </c>
      <c r="B1899" s="68" t="n">
        <v>45413</v>
      </c>
      <c r="C1899" s="69" t="s">
        <v>159</v>
      </c>
      <c r="D1899" s="69" t="s">
        <v>86</v>
      </c>
      <c r="E1899" s="69" t="s">
        <v>125</v>
      </c>
      <c r="F1899" s="69" t="s">
        <v>28</v>
      </c>
      <c r="G1899" s="69" t="s">
        <v>49</v>
      </c>
      <c r="H1899" s="0" t="n">
        <v>21</v>
      </c>
      <c r="I1899" s="70" t="n">
        <v>63.7</v>
      </c>
      <c r="J1899" s="70" t="n">
        <v>35.43</v>
      </c>
      <c r="K1899" s="70" t="n">
        <f aca="false">IF(ISTEXT(H1899),VALUE(H1899),H1899)*I1899</f>
        <v>1337.7</v>
      </c>
    </row>
    <row r="1900" customFormat="false" ht="15" hidden="false" customHeight="false" outlineLevel="0" collapsed="false">
      <c r="A1900" s="0" t="n">
        <v>2329</v>
      </c>
      <c r="B1900" s="68" t="n">
        <v>46014</v>
      </c>
      <c r="C1900" s="69" t="s">
        <v>159</v>
      </c>
      <c r="D1900" s="69" t="s">
        <v>86</v>
      </c>
      <c r="E1900" s="69" t="s">
        <v>134</v>
      </c>
      <c r="F1900" s="69" t="s">
        <v>28</v>
      </c>
      <c r="G1900" s="69" t="s">
        <v>235</v>
      </c>
      <c r="H1900" s="0" t="n">
        <v>73</v>
      </c>
      <c r="I1900" s="70" t="n">
        <v>95.38</v>
      </c>
      <c r="J1900" s="70" t="n">
        <v>49.41</v>
      </c>
      <c r="K1900" s="70" t="n">
        <f aca="false">IF(ISTEXT(H1900),VALUE(H1900),H1900)*I1900</f>
        <v>6962.74</v>
      </c>
    </row>
    <row r="1901" customFormat="false" ht="15" hidden="false" customHeight="false" outlineLevel="0" collapsed="false">
      <c r="A1901" s="0" t="n">
        <v>1564</v>
      </c>
      <c r="B1901" s="68" t="n">
        <v>45761</v>
      </c>
      <c r="C1901" s="69" t="s">
        <v>136</v>
      </c>
      <c r="D1901" s="69" t="s">
        <v>137</v>
      </c>
      <c r="E1901" s="69" t="s">
        <v>125</v>
      </c>
      <c r="F1901" s="69" t="s">
        <v>139</v>
      </c>
      <c r="G1901" s="69" t="s">
        <v>89</v>
      </c>
      <c r="H1901" s="0" t="n">
        <v>4</v>
      </c>
      <c r="I1901" s="70" t="n">
        <v>433.15</v>
      </c>
      <c r="J1901" s="70" t="n">
        <v>280.42</v>
      </c>
      <c r="K1901" s="70" t="n">
        <f aca="false">IF(ISTEXT(H1901),VALUE(H1901),H1901)*I1901</f>
        <v>1732.6</v>
      </c>
    </row>
    <row r="1902" customFormat="false" ht="15" hidden="false" customHeight="false" outlineLevel="0" collapsed="false">
      <c r="A1902" s="0" t="n">
        <v>1739</v>
      </c>
      <c r="B1902" s="68" t="n">
        <v>45832</v>
      </c>
      <c r="C1902" s="69" t="s">
        <v>120</v>
      </c>
      <c r="D1902" s="69"/>
      <c r="E1902" s="69" t="s">
        <v>92</v>
      </c>
      <c r="F1902" s="69" t="s">
        <v>33</v>
      </c>
      <c r="G1902" s="69" t="s">
        <v>53</v>
      </c>
      <c r="H1902" s="0" t="n">
        <v>38</v>
      </c>
      <c r="I1902" s="70" t="n">
        <v>34.78</v>
      </c>
      <c r="J1902" s="70" t="n">
        <v>18.39</v>
      </c>
      <c r="K1902" s="70" t="n">
        <f aca="false">IF(ISTEXT(H1902),VALUE(H1902),H1902)*I1902</f>
        <v>1321.64</v>
      </c>
    </row>
    <row r="1903" customFormat="false" ht="15" hidden="false" customHeight="false" outlineLevel="0" collapsed="false">
      <c r="A1903" s="0" t="n">
        <v>806</v>
      </c>
      <c r="B1903" s="68" t="n">
        <v>45562</v>
      </c>
      <c r="C1903" s="69" t="s">
        <v>124</v>
      </c>
      <c r="D1903" s="69" t="s">
        <v>97</v>
      </c>
      <c r="E1903" s="69" t="s">
        <v>98</v>
      </c>
      <c r="F1903" s="69" t="s">
        <v>153</v>
      </c>
      <c r="G1903" s="69" t="s">
        <v>157</v>
      </c>
      <c r="H1903" s="0" t="n">
        <v>8</v>
      </c>
      <c r="I1903" s="70" t="n">
        <v>1617</v>
      </c>
      <c r="J1903" s="70" t="n">
        <v>1122</v>
      </c>
      <c r="K1903" s="70" t="n">
        <f aca="false">IF(ISTEXT(H1903),VALUE(H1903),H1903)*I1903</f>
        <v>12936</v>
      </c>
    </row>
    <row r="1904" customFormat="false" ht="15" hidden="false" customHeight="false" outlineLevel="0" collapsed="false">
      <c r="A1904" s="0" t="n">
        <v>2119</v>
      </c>
      <c r="B1904" s="68" t="n">
        <v>45941</v>
      </c>
      <c r="C1904" s="69" t="s">
        <v>25</v>
      </c>
      <c r="D1904" s="69"/>
      <c r="E1904" s="69" t="s">
        <v>110</v>
      </c>
      <c r="F1904" s="69" t="s">
        <v>182</v>
      </c>
      <c r="G1904" s="69" t="s">
        <v>53</v>
      </c>
      <c r="H1904" s="0" t="n">
        <v>51</v>
      </c>
      <c r="I1904" s="70" t="n">
        <v>35.14</v>
      </c>
      <c r="J1904" s="70" t="n">
        <v>18.39</v>
      </c>
      <c r="K1904" s="70" t="n">
        <f aca="false">IF(ISTEXT(H1904),VALUE(H1904),H1904)*I1904</f>
        <v>1792.14</v>
      </c>
    </row>
    <row r="1905" customFormat="false" ht="15" hidden="false" customHeight="false" outlineLevel="0" collapsed="false">
      <c r="A1905" s="0" t="n">
        <v>1842</v>
      </c>
      <c r="B1905" s="68" t="n">
        <v>45854</v>
      </c>
      <c r="C1905" s="69" t="s">
        <v>30</v>
      </c>
      <c r="D1905" s="69" t="s">
        <v>109</v>
      </c>
      <c r="E1905" s="69" t="s">
        <v>107</v>
      </c>
      <c r="F1905" s="69" t="s">
        <v>26</v>
      </c>
      <c r="G1905" s="69" t="s">
        <v>151</v>
      </c>
      <c r="H1905" s="0" t="n">
        <v>8</v>
      </c>
      <c r="I1905" s="70" t="n">
        <v>1204.74</v>
      </c>
      <c r="J1905" s="70" t="n">
        <v>766.32</v>
      </c>
      <c r="K1905" s="70" t="n">
        <f aca="false">IF(ISTEXT(H1905),VALUE(H1905),H1905)*I1905</f>
        <v>9637.92</v>
      </c>
    </row>
    <row r="1906" customFormat="false" ht="15" hidden="false" customHeight="false" outlineLevel="0" collapsed="false">
      <c r="A1906" s="0" t="n">
        <v>837</v>
      </c>
      <c r="B1906" s="68" t="n">
        <v>45536</v>
      </c>
      <c r="C1906" s="69" t="s">
        <v>27</v>
      </c>
      <c r="D1906" s="69" t="s">
        <v>86</v>
      </c>
      <c r="E1906" s="69" t="s">
        <v>92</v>
      </c>
      <c r="F1906" s="69" t="s">
        <v>168</v>
      </c>
      <c r="G1906" s="69" t="s">
        <v>130</v>
      </c>
      <c r="H1906" s="0" t="n">
        <v>35</v>
      </c>
      <c r="I1906" s="70" t="n">
        <v>127.4</v>
      </c>
      <c r="J1906" s="70" t="n">
        <v>76.05</v>
      </c>
      <c r="K1906" s="70" t="n">
        <f aca="false">IF(ISTEXT(H1906),VALUE(H1906),H1906)*I1906</f>
        <v>4459</v>
      </c>
    </row>
    <row r="1907" customFormat="false" ht="15" hidden="false" customHeight="false" outlineLevel="0" collapsed="false">
      <c r="A1907" s="0" t="n">
        <v>1267</v>
      </c>
      <c r="B1907" s="69" t="s">
        <v>202</v>
      </c>
      <c r="C1907" s="69" t="s">
        <v>136</v>
      </c>
      <c r="D1907" s="69" t="s">
        <v>137</v>
      </c>
      <c r="E1907" s="69" t="s">
        <v>134</v>
      </c>
      <c r="F1907" s="69" t="s">
        <v>28</v>
      </c>
      <c r="G1907" s="69" t="s">
        <v>47</v>
      </c>
      <c r="H1907" s="0" t="n">
        <v>21</v>
      </c>
      <c r="I1907" s="70" t="n">
        <v>27.82</v>
      </c>
      <c r="J1907" s="70" t="n">
        <v>13.84</v>
      </c>
      <c r="K1907" s="70" t="n">
        <f aca="false">IF(ISTEXT(H1907),VALUE(H1907),H1907)*I1907</f>
        <v>584.22</v>
      </c>
    </row>
    <row r="1908" customFormat="false" ht="15" hidden="false" customHeight="false" outlineLevel="0" collapsed="false">
      <c r="A1908" s="0" t="n">
        <v>1856</v>
      </c>
      <c r="B1908" s="68" t="n">
        <v>45844</v>
      </c>
      <c r="C1908" s="69" t="s">
        <v>118</v>
      </c>
      <c r="D1908" s="69"/>
      <c r="E1908" s="69" t="s">
        <v>107</v>
      </c>
      <c r="F1908" s="69" t="s">
        <v>166</v>
      </c>
      <c r="G1908" s="69" t="s">
        <v>116</v>
      </c>
      <c r="H1908" s="0" t="s">
        <v>370</v>
      </c>
      <c r="I1908" s="70" t="n">
        <v>85.34</v>
      </c>
      <c r="J1908" s="70" t="n">
        <v>49.47</v>
      </c>
      <c r="K1908" s="70" t="n">
        <f aca="false">IF(ISTEXT(H1908),VALUE(H1908),H1908)*I1908</f>
        <v>1109.42</v>
      </c>
    </row>
    <row r="1909" customFormat="false" ht="15" hidden="false" customHeight="false" outlineLevel="0" collapsed="false">
      <c r="A1909" s="0" t="n">
        <v>884</v>
      </c>
      <c r="B1909" s="69" t="s">
        <v>740</v>
      </c>
      <c r="C1909" s="69" t="s">
        <v>161</v>
      </c>
      <c r="D1909" s="69" t="s">
        <v>112</v>
      </c>
      <c r="E1909" s="69" t="s">
        <v>107</v>
      </c>
      <c r="F1909" s="69" t="s">
        <v>139</v>
      </c>
      <c r="G1909" s="69" t="s">
        <v>89</v>
      </c>
      <c r="H1909" s="0" t="n">
        <v>3</v>
      </c>
      <c r="I1909" s="70" t="n">
        <v>441</v>
      </c>
      <c r="J1909" s="70" t="n">
        <v>272.25</v>
      </c>
      <c r="K1909" s="70" t="n">
        <f aca="false">IF(ISTEXT(H1909),VALUE(H1909),H1909)*I1909</f>
        <v>1323</v>
      </c>
    </row>
    <row r="1910" customFormat="false" ht="15" hidden="false" customHeight="false" outlineLevel="0" collapsed="false">
      <c r="A1910" s="0" t="n">
        <v>751</v>
      </c>
      <c r="B1910" s="68" t="n">
        <v>45524</v>
      </c>
      <c r="C1910" s="69" t="s">
        <v>30</v>
      </c>
      <c r="D1910" s="69" t="s">
        <v>109</v>
      </c>
      <c r="E1910" s="69" t="s">
        <v>101</v>
      </c>
      <c r="F1910" s="69" t="s">
        <v>99</v>
      </c>
      <c r="G1910" s="69" t="s">
        <v>49</v>
      </c>
      <c r="H1910" s="0" t="n">
        <v>46</v>
      </c>
      <c r="I1910" s="70" t="n">
        <v>63.7</v>
      </c>
      <c r="J1910" s="70" t="n">
        <v>35.43</v>
      </c>
      <c r="K1910" s="70" t="n">
        <f aca="false">IF(ISTEXT(H1910),VALUE(H1910),H1910)*I1910</f>
        <v>2930.2</v>
      </c>
    </row>
    <row r="1911" customFormat="false" ht="15" hidden="false" customHeight="false" outlineLevel="0" collapsed="false">
      <c r="A1911" s="0" t="n">
        <v>2077</v>
      </c>
      <c r="B1911" s="69" t="s">
        <v>741</v>
      </c>
      <c r="C1911" s="69" t="s">
        <v>32</v>
      </c>
      <c r="D1911" s="69" t="s">
        <v>137</v>
      </c>
      <c r="E1911" s="69" t="s">
        <v>110</v>
      </c>
      <c r="F1911" s="69" t="s">
        <v>33</v>
      </c>
      <c r="G1911" s="69" t="s">
        <v>52</v>
      </c>
      <c r="H1911" s="0" t="n">
        <v>16</v>
      </c>
      <c r="I1911" s="70" t="n">
        <v>130.51</v>
      </c>
      <c r="J1911" s="70" t="n">
        <v>78.33</v>
      </c>
      <c r="K1911" s="70" t="n">
        <f aca="false">IF(ISTEXT(H1911),VALUE(H1911),H1911)*I1911</f>
        <v>2088.16</v>
      </c>
    </row>
    <row r="1912" customFormat="false" ht="15" hidden="false" customHeight="false" outlineLevel="0" collapsed="false">
      <c r="A1912" s="0" t="n">
        <v>409</v>
      </c>
      <c r="B1912" s="69" t="s">
        <v>742</v>
      </c>
      <c r="C1912" s="69" t="s">
        <v>96</v>
      </c>
      <c r="D1912" s="69" t="s">
        <v>97</v>
      </c>
      <c r="E1912" s="69" t="s">
        <v>101</v>
      </c>
      <c r="F1912" s="69" t="s">
        <v>155</v>
      </c>
      <c r="G1912" s="69" t="s">
        <v>235</v>
      </c>
      <c r="H1912" s="0" t="n">
        <v>87</v>
      </c>
      <c r="I1912" s="70" t="n">
        <v>93.1</v>
      </c>
      <c r="J1912" s="70" t="n">
        <v>47.98</v>
      </c>
      <c r="K1912" s="70" t="n">
        <f aca="false">IF(ISTEXT(H1912),VALUE(H1912),H1912)*I1912</f>
        <v>8099.7</v>
      </c>
    </row>
    <row r="1913" customFormat="false" ht="15" hidden="false" customHeight="false" outlineLevel="0" collapsed="false">
      <c r="A1913" s="0" t="n">
        <v>1476</v>
      </c>
      <c r="B1913" s="68" t="n">
        <v>45735</v>
      </c>
      <c r="C1913" s="69" t="s">
        <v>32</v>
      </c>
      <c r="D1913" s="69" t="s">
        <v>137</v>
      </c>
      <c r="E1913" s="69" t="s">
        <v>107</v>
      </c>
      <c r="F1913" s="69" t="s">
        <v>31</v>
      </c>
      <c r="G1913" s="69" t="s">
        <v>111</v>
      </c>
      <c r="H1913" s="0" t="n">
        <v>10</v>
      </c>
      <c r="I1913" s="70" t="n">
        <v>84.46</v>
      </c>
      <c r="J1913" s="70" t="n">
        <v>49.47</v>
      </c>
      <c r="K1913" s="70" t="n">
        <f aca="false">IF(ISTEXT(H1913),VALUE(H1913),H1913)*I1913</f>
        <v>844.6</v>
      </c>
    </row>
    <row r="1914" customFormat="false" ht="15" hidden="false" customHeight="false" outlineLevel="0" collapsed="false">
      <c r="A1914" s="0" t="n">
        <v>1571</v>
      </c>
      <c r="B1914" s="68" t="n">
        <v>45756</v>
      </c>
      <c r="C1914" s="69" t="s">
        <v>136</v>
      </c>
      <c r="D1914" s="69" t="s">
        <v>137</v>
      </c>
      <c r="E1914" s="69" t="s">
        <v>101</v>
      </c>
      <c r="F1914" s="69" t="s">
        <v>28</v>
      </c>
      <c r="G1914" s="69" t="s">
        <v>208</v>
      </c>
      <c r="H1914" s="0" t="n">
        <v>29</v>
      </c>
      <c r="I1914" s="70" t="n">
        <v>64.58</v>
      </c>
      <c r="J1914" s="70" t="n">
        <v>36.49</v>
      </c>
      <c r="K1914" s="70" t="n">
        <f aca="false">IF(ISTEXT(H1914),VALUE(H1914),H1914)*I1914</f>
        <v>1872.82</v>
      </c>
    </row>
    <row r="1915" customFormat="false" ht="15" hidden="false" customHeight="false" outlineLevel="0" collapsed="false">
      <c r="A1915" s="0" t="n">
        <v>2088</v>
      </c>
      <c r="B1915" s="68" t="n">
        <v>45910</v>
      </c>
      <c r="C1915" s="69" t="s">
        <v>133</v>
      </c>
      <c r="D1915" s="69" t="s">
        <v>112</v>
      </c>
      <c r="E1915" s="69" t="s">
        <v>180</v>
      </c>
      <c r="F1915" s="69" t="s">
        <v>143</v>
      </c>
      <c r="G1915" s="69" t="s">
        <v>47</v>
      </c>
      <c r="H1915" s="0" t="n">
        <v>18</v>
      </c>
      <c r="I1915" s="70" t="n">
        <v>28.11</v>
      </c>
      <c r="J1915" s="70" t="n">
        <v>13.84</v>
      </c>
      <c r="K1915" s="70" t="n">
        <f aca="false">IF(ISTEXT(H1915),VALUE(H1915),H1915)*I1915</f>
        <v>505.98</v>
      </c>
    </row>
    <row r="1916" customFormat="false" ht="15" hidden="false" customHeight="false" outlineLevel="0" collapsed="false">
      <c r="A1916" s="0" t="n">
        <v>2037</v>
      </c>
      <c r="B1916" s="68" t="n">
        <v>45904</v>
      </c>
      <c r="C1916" s="69" t="s">
        <v>120</v>
      </c>
      <c r="D1916" s="69" t="s">
        <v>86</v>
      </c>
      <c r="E1916" s="69" t="s">
        <v>121</v>
      </c>
      <c r="F1916" s="69" t="s">
        <v>168</v>
      </c>
      <c r="G1916" s="69" t="s">
        <v>52</v>
      </c>
      <c r="H1916" s="0" t="n">
        <v>30</v>
      </c>
      <c r="I1916" s="70" t="n">
        <v>130.51</v>
      </c>
      <c r="J1916" s="70" t="n">
        <v>78.33</v>
      </c>
      <c r="K1916" s="70" t="n">
        <f aca="false">IF(ISTEXT(H1916),VALUE(H1916),H1916)*I1916</f>
        <v>3915.3</v>
      </c>
    </row>
    <row r="1917" customFormat="false" ht="15" hidden="false" customHeight="false" outlineLevel="0" collapsed="false">
      <c r="A1917" s="0" t="n">
        <v>1251</v>
      </c>
      <c r="B1917" s="68" t="n">
        <v>45667</v>
      </c>
      <c r="C1917" s="69" t="s">
        <v>30</v>
      </c>
      <c r="D1917" s="69" t="s">
        <v>109</v>
      </c>
      <c r="E1917" s="69" t="s">
        <v>134</v>
      </c>
      <c r="F1917" s="69" t="s">
        <v>155</v>
      </c>
      <c r="G1917" s="69" t="s">
        <v>144</v>
      </c>
      <c r="H1917" s="0" t="n">
        <v>31</v>
      </c>
      <c r="I1917" s="70" t="n">
        <v>64.58</v>
      </c>
      <c r="J1917" s="70" t="n">
        <v>36.49</v>
      </c>
      <c r="K1917" s="70" t="n">
        <f aca="false">IF(ISTEXT(H1917),VALUE(H1917),H1917)*I1917</f>
        <v>2001.98</v>
      </c>
    </row>
    <row r="1918" customFormat="false" ht="15" hidden="false" customHeight="false" outlineLevel="0" collapsed="false">
      <c r="A1918" s="0" t="n">
        <v>306</v>
      </c>
      <c r="B1918" s="68" t="n">
        <v>45392</v>
      </c>
      <c r="C1918" s="69" t="s">
        <v>25</v>
      </c>
      <c r="D1918" s="69" t="s">
        <v>97</v>
      </c>
      <c r="E1918" s="69" t="s">
        <v>180</v>
      </c>
      <c r="F1918" s="69" t="s">
        <v>26</v>
      </c>
      <c r="G1918" s="69" t="s">
        <v>141</v>
      </c>
      <c r="H1918" s="0" t="n">
        <v>9</v>
      </c>
      <c r="I1918" s="70" t="n">
        <v>1617</v>
      </c>
      <c r="J1918" s="70" t="n">
        <v>1122</v>
      </c>
      <c r="K1918" s="70" t="n">
        <f aca="false">IF(ISTEXT(H1918),VALUE(H1918),H1918)*I1918</f>
        <v>14553</v>
      </c>
    </row>
    <row r="1919" customFormat="false" ht="15" hidden="false" customHeight="false" outlineLevel="0" collapsed="false">
      <c r="A1919" s="0" t="n">
        <v>581</v>
      </c>
      <c r="B1919" s="68" t="n">
        <v>45461</v>
      </c>
      <c r="C1919" s="69" t="s">
        <v>133</v>
      </c>
      <c r="D1919" s="69" t="s">
        <v>112</v>
      </c>
      <c r="E1919" s="69" t="s">
        <v>101</v>
      </c>
      <c r="F1919" s="69" t="s">
        <v>135</v>
      </c>
      <c r="G1919" s="69" t="s">
        <v>154</v>
      </c>
      <c r="H1919" s="0" t="n">
        <v>7</v>
      </c>
      <c r="I1919" s="70" t="n">
        <v>1176</v>
      </c>
      <c r="J1919" s="70" t="n">
        <v>744</v>
      </c>
      <c r="K1919" s="70" t="n">
        <f aca="false">IF(ISTEXT(H1919),VALUE(H1919),H1919)*I1919</f>
        <v>8232</v>
      </c>
    </row>
    <row r="1920" customFormat="false" ht="15" hidden="false" customHeight="false" outlineLevel="0" collapsed="false">
      <c r="A1920" s="0" t="n">
        <v>2099</v>
      </c>
      <c r="B1920" s="69" t="s">
        <v>743</v>
      </c>
      <c r="C1920" s="69" t="s">
        <v>161</v>
      </c>
      <c r="D1920" s="69" t="s">
        <v>112</v>
      </c>
      <c r="E1920" s="69" t="s">
        <v>138</v>
      </c>
      <c r="F1920" s="69" t="s">
        <v>168</v>
      </c>
      <c r="G1920" s="69" t="s">
        <v>217</v>
      </c>
      <c r="H1920" s="0" t="n">
        <v>15</v>
      </c>
      <c r="I1920" s="70" t="n">
        <v>35.14</v>
      </c>
      <c r="J1920" s="70" t="n">
        <v>18.39</v>
      </c>
      <c r="K1920" s="70" t="n">
        <f aca="false">IF(ISTEXT(H1920),VALUE(H1920),H1920)*I1920</f>
        <v>527.1</v>
      </c>
    </row>
    <row r="1921" customFormat="false" ht="15" hidden="false" customHeight="false" outlineLevel="0" collapsed="false">
      <c r="A1921" s="0" t="n">
        <v>1466</v>
      </c>
      <c r="B1921" s="68" t="n">
        <v>45719</v>
      </c>
      <c r="C1921" s="69" t="s">
        <v>184</v>
      </c>
      <c r="D1921" s="69" t="s">
        <v>137</v>
      </c>
      <c r="E1921" s="69" t="s">
        <v>87</v>
      </c>
      <c r="F1921" s="69" t="s">
        <v>139</v>
      </c>
      <c r="G1921" s="69" t="s">
        <v>141</v>
      </c>
      <c r="H1921" s="0" t="n">
        <v>4</v>
      </c>
      <c r="I1921" s="70" t="n">
        <v>1588.21</v>
      </c>
      <c r="J1921" s="70" t="n">
        <v>1155.66</v>
      </c>
      <c r="K1921" s="70" t="n">
        <f aca="false">IF(ISTEXT(H1921),VALUE(H1921),H1921)*I1921</f>
        <v>6352.84</v>
      </c>
    </row>
    <row r="1922" customFormat="false" ht="15" hidden="false" customHeight="false" outlineLevel="0" collapsed="false">
      <c r="A1922" s="0" t="n">
        <v>3</v>
      </c>
      <c r="B1922" s="69" t="s">
        <v>744</v>
      </c>
      <c r="C1922" s="69" t="s">
        <v>96</v>
      </c>
      <c r="D1922" s="69"/>
      <c r="E1922" s="69" t="s">
        <v>101</v>
      </c>
      <c r="F1922" s="69" t="s">
        <v>153</v>
      </c>
      <c r="G1922" s="69" t="s">
        <v>177</v>
      </c>
      <c r="H1922" s="0" t="n">
        <v>18</v>
      </c>
      <c r="I1922" s="70" t="n">
        <v>441</v>
      </c>
      <c r="J1922" s="70" t="n">
        <v>272.25</v>
      </c>
      <c r="K1922" s="70" t="n">
        <f aca="false">IF(ISTEXT(H1922),VALUE(H1922),H1922)*I1922</f>
        <v>7938</v>
      </c>
    </row>
    <row r="1923" customFormat="false" ht="15" hidden="false" customHeight="false" outlineLevel="0" collapsed="false">
      <c r="A1923" s="0" t="n">
        <v>517</v>
      </c>
      <c r="B1923" s="68" t="n">
        <v>45445</v>
      </c>
      <c r="C1923" s="69" t="s">
        <v>124</v>
      </c>
      <c r="D1923" s="69" t="s">
        <v>97</v>
      </c>
      <c r="E1923" s="69" t="s">
        <v>134</v>
      </c>
      <c r="F1923" s="69" t="s">
        <v>182</v>
      </c>
      <c r="G1923" s="69" t="s">
        <v>130</v>
      </c>
      <c r="H1923" s="0" t="n">
        <v>65</v>
      </c>
      <c r="I1923" s="70" t="n">
        <v>127.4</v>
      </c>
      <c r="J1923" s="70" t="n">
        <v>76.05</v>
      </c>
      <c r="K1923" s="70" t="n">
        <f aca="false">IF(ISTEXT(H1923),VALUE(H1923),H1923)*I1923</f>
        <v>8281</v>
      </c>
    </row>
    <row r="1924" customFormat="false" ht="15" hidden="false" customHeight="false" outlineLevel="0" collapsed="false">
      <c r="A1924" s="0" t="n">
        <v>1984</v>
      </c>
      <c r="B1924" s="68" t="n">
        <v>45880</v>
      </c>
      <c r="C1924" s="69" t="s">
        <v>142</v>
      </c>
      <c r="D1924" s="69" t="s">
        <v>112</v>
      </c>
      <c r="E1924" s="69" t="s">
        <v>119</v>
      </c>
      <c r="F1924" s="69" t="s">
        <v>139</v>
      </c>
      <c r="G1924" s="69" t="s">
        <v>43</v>
      </c>
      <c r="H1924" s="0" t="n">
        <v>4</v>
      </c>
      <c r="I1924" s="70" t="n">
        <v>451.78</v>
      </c>
      <c r="J1924" s="70" t="n">
        <v>280.42</v>
      </c>
      <c r="K1924" s="70" t="n">
        <f aca="false">IF(ISTEXT(H1924),VALUE(H1924),H1924)*I1924</f>
        <v>1807.12</v>
      </c>
    </row>
    <row r="1925" customFormat="false" ht="15" hidden="false" customHeight="false" outlineLevel="0" collapsed="false">
      <c r="A1925" s="0" t="n">
        <v>151</v>
      </c>
      <c r="B1925" s="68" t="n">
        <v>45327</v>
      </c>
      <c r="C1925" s="69" t="s">
        <v>30</v>
      </c>
      <c r="D1925" s="69" t="s">
        <v>109</v>
      </c>
      <c r="E1925" s="69" t="s">
        <v>92</v>
      </c>
      <c r="F1925" s="69" t="s">
        <v>28</v>
      </c>
      <c r="G1925" s="69" t="s">
        <v>144</v>
      </c>
      <c r="H1925" s="0" t="s">
        <v>592</v>
      </c>
      <c r="I1925" s="70" t="n">
        <v>63.7</v>
      </c>
      <c r="J1925" s="70" t="n">
        <v>35.43</v>
      </c>
      <c r="K1925" s="70" t="n">
        <f aca="false">IF(ISTEXT(H1925),VALUE(H1925),H1925)*I1925</f>
        <v>2356.9</v>
      </c>
    </row>
    <row r="1926" customFormat="false" ht="15" hidden="false" customHeight="false" outlineLevel="0" collapsed="false">
      <c r="A1926" s="0" t="n">
        <v>1886</v>
      </c>
      <c r="B1926" s="68" t="n">
        <v>45865</v>
      </c>
      <c r="C1926" s="69" t="s">
        <v>133</v>
      </c>
      <c r="D1926" s="69" t="s">
        <v>112</v>
      </c>
      <c r="E1926" s="69" t="s">
        <v>180</v>
      </c>
      <c r="F1926" s="69" t="s">
        <v>135</v>
      </c>
      <c r="G1926" s="69" t="s">
        <v>157</v>
      </c>
      <c r="H1926" s="0" t="n">
        <v>4</v>
      </c>
      <c r="I1926" s="70" t="n">
        <v>1656.52</v>
      </c>
      <c r="J1926" s="70" t="n">
        <v>1155.66</v>
      </c>
      <c r="K1926" s="70" t="n">
        <f aca="false">IF(ISTEXT(H1926),VALUE(H1926),H1926)*I1926</f>
        <v>6626.08</v>
      </c>
    </row>
    <row r="1927" customFormat="false" ht="15" hidden="false" customHeight="false" outlineLevel="0" collapsed="false">
      <c r="A1927" s="0" t="n">
        <v>966</v>
      </c>
      <c r="B1927" s="68" t="n">
        <v>45578</v>
      </c>
      <c r="C1927" s="69" t="s">
        <v>193</v>
      </c>
      <c r="D1927" s="69" t="s">
        <v>137</v>
      </c>
      <c r="E1927" s="69" t="s">
        <v>107</v>
      </c>
      <c r="F1927" s="69" t="s">
        <v>26</v>
      </c>
      <c r="G1927" s="69" t="s">
        <v>45</v>
      </c>
      <c r="H1927" s="0" t="n">
        <v>3</v>
      </c>
      <c r="I1927" s="70" t="n">
        <v>1617</v>
      </c>
      <c r="J1927" s="70" t="n">
        <v>1122</v>
      </c>
      <c r="K1927" s="70" t="n">
        <f aca="false">IF(ISTEXT(H1927),VALUE(H1927),H1927)*I1927</f>
        <v>4851</v>
      </c>
    </row>
    <row r="1928" customFormat="false" ht="15" hidden="false" customHeight="false" outlineLevel="0" collapsed="false">
      <c r="A1928" s="0" t="n">
        <v>1300</v>
      </c>
      <c r="B1928" s="68" t="n">
        <v>45659</v>
      </c>
      <c r="C1928" s="69" t="s">
        <v>133</v>
      </c>
      <c r="D1928" s="69" t="s">
        <v>112</v>
      </c>
      <c r="E1928" s="69" t="s">
        <v>180</v>
      </c>
      <c r="F1928" s="69" t="s">
        <v>33</v>
      </c>
      <c r="G1928" s="69" t="s">
        <v>217</v>
      </c>
      <c r="H1928" s="0" t="n">
        <v>11</v>
      </c>
      <c r="I1928" s="70" t="n">
        <v>34.78</v>
      </c>
      <c r="J1928" s="70" t="n">
        <v>18.39</v>
      </c>
      <c r="K1928" s="70" t="n">
        <f aca="false">IF(ISTEXT(H1928),VALUE(H1928),H1928)*I1928</f>
        <v>382.58</v>
      </c>
    </row>
    <row r="1929" customFormat="false" ht="15" hidden="false" customHeight="false" outlineLevel="0" collapsed="false">
      <c r="A1929" s="0" t="n">
        <v>1056</v>
      </c>
      <c r="B1929" s="68" t="n">
        <v>45618</v>
      </c>
      <c r="C1929" s="69" t="s">
        <v>30</v>
      </c>
      <c r="D1929" s="69" t="s">
        <v>109</v>
      </c>
      <c r="E1929" s="69" t="s">
        <v>87</v>
      </c>
      <c r="F1929" s="69" t="s">
        <v>115</v>
      </c>
      <c r="G1929" s="69" t="s">
        <v>51</v>
      </c>
      <c r="H1929" s="0" t="n">
        <v>9</v>
      </c>
      <c r="I1929" s="70" t="n">
        <v>83.3</v>
      </c>
      <c r="J1929" s="70" t="n">
        <v>48.03</v>
      </c>
      <c r="K1929" s="70" t="n">
        <f aca="false">IF(ISTEXT(H1929),VALUE(H1929),H1929)*I1929</f>
        <v>749.7</v>
      </c>
    </row>
    <row r="1930" customFormat="false" ht="15" hidden="false" customHeight="false" outlineLevel="0" collapsed="false">
      <c r="A1930" s="0" t="n">
        <v>1287</v>
      </c>
      <c r="B1930" s="69" t="s">
        <v>482</v>
      </c>
      <c r="C1930" s="69" t="s">
        <v>133</v>
      </c>
      <c r="D1930" s="69" t="s">
        <v>112</v>
      </c>
      <c r="E1930" s="69" t="s">
        <v>138</v>
      </c>
      <c r="F1930" s="69" t="s">
        <v>28</v>
      </c>
      <c r="G1930" s="69" t="s">
        <v>103</v>
      </c>
      <c r="H1930" s="0" t="n">
        <v>26</v>
      </c>
      <c r="I1930" s="70" t="n">
        <v>27.82</v>
      </c>
      <c r="J1930" s="70" t="n">
        <v>13.84</v>
      </c>
      <c r="K1930" s="70" t="n">
        <f aca="false">IF(ISTEXT(H1930),VALUE(H1930),H1930)*I1930</f>
        <v>723.32</v>
      </c>
    </row>
    <row r="1931" customFormat="false" ht="15" hidden="false" customHeight="false" outlineLevel="0" collapsed="false">
      <c r="A1931" s="0" t="n">
        <v>1037</v>
      </c>
      <c r="B1931" s="69" t="s">
        <v>237</v>
      </c>
      <c r="C1931" s="69" t="s">
        <v>27</v>
      </c>
      <c r="D1931" s="69" t="s">
        <v>86</v>
      </c>
      <c r="E1931" s="69" t="s">
        <v>138</v>
      </c>
      <c r="F1931" s="69" t="s">
        <v>33</v>
      </c>
      <c r="G1931" s="69" t="s">
        <v>127</v>
      </c>
      <c r="H1931" s="0" t="n">
        <v>45</v>
      </c>
      <c r="I1931" s="70" t="n">
        <v>127.4</v>
      </c>
      <c r="J1931" s="70" t="n">
        <v>76.05</v>
      </c>
      <c r="K1931" s="70" t="n">
        <f aca="false">IF(ISTEXT(H1931),VALUE(H1931),H1931)*I1931</f>
        <v>5733</v>
      </c>
    </row>
    <row r="1932" customFormat="false" ht="15" hidden="false" customHeight="false" outlineLevel="0" collapsed="false">
      <c r="A1932" s="0" t="n">
        <v>2023</v>
      </c>
      <c r="B1932" s="69" t="s">
        <v>741</v>
      </c>
      <c r="C1932" s="69" t="s">
        <v>91</v>
      </c>
      <c r="D1932" s="69"/>
      <c r="E1932" s="69" t="s">
        <v>92</v>
      </c>
      <c r="F1932" s="69" t="s">
        <v>88</v>
      </c>
      <c r="G1932" s="69" t="s">
        <v>177</v>
      </c>
      <c r="H1932" s="0" t="n">
        <v>10</v>
      </c>
      <c r="I1932" s="70" t="n">
        <v>451.78</v>
      </c>
      <c r="J1932" s="70" t="n">
        <v>280.42</v>
      </c>
      <c r="K1932" s="70" t="n">
        <f aca="false">IF(ISTEXT(H1932),VALUE(H1932),H1932)*I1932</f>
        <v>4517.8</v>
      </c>
    </row>
    <row r="1933" customFormat="false" ht="15" hidden="false" customHeight="false" outlineLevel="0" collapsed="false">
      <c r="A1933" s="0" t="n">
        <v>533</v>
      </c>
      <c r="B1933" s="68" t="n">
        <v>45449</v>
      </c>
      <c r="C1933" s="69" t="s">
        <v>120</v>
      </c>
      <c r="D1933" s="69" t="s">
        <v>86</v>
      </c>
      <c r="E1933" s="69" t="s">
        <v>110</v>
      </c>
      <c r="F1933" s="69" t="s">
        <v>166</v>
      </c>
      <c r="G1933" s="69" t="s">
        <v>156</v>
      </c>
      <c r="H1933" s="0" t="n">
        <v>23</v>
      </c>
      <c r="I1933" s="70" t="n">
        <v>117.6</v>
      </c>
      <c r="J1933" s="70" t="n">
        <v>63.6</v>
      </c>
      <c r="K1933" s="70" t="n">
        <f aca="false">IF(ISTEXT(H1933),VALUE(H1933),H1933)*I1933</f>
        <v>2704.8</v>
      </c>
    </row>
    <row r="1934" customFormat="false" ht="15" hidden="false" customHeight="false" outlineLevel="0" collapsed="false">
      <c r="A1934" s="0" t="n">
        <v>1737</v>
      </c>
      <c r="B1934" s="69" t="s">
        <v>745</v>
      </c>
      <c r="C1934" s="69" t="s">
        <v>91</v>
      </c>
      <c r="D1934" s="69" t="s">
        <v>86</v>
      </c>
      <c r="E1934" s="69" t="s">
        <v>121</v>
      </c>
      <c r="F1934" s="69" t="s">
        <v>93</v>
      </c>
      <c r="G1934" s="69" t="s">
        <v>127</v>
      </c>
      <c r="H1934" s="0" t="n">
        <v>35</v>
      </c>
      <c r="I1934" s="70" t="n">
        <v>129.17</v>
      </c>
      <c r="J1934" s="70" t="n">
        <v>78.33</v>
      </c>
      <c r="K1934" s="70" t="n">
        <f aca="false">IF(ISTEXT(H1934),VALUE(H1934),H1934)*I1934</f>
        <v>4520.95</v>
      </c>
    </row>
    <row r="1935" customFormat="false" ht="15" hidden="false" customHeight="false" outlineLevel="0" collapsed="false">
      <c r="A1935" s="0" t="n">
        <v>2266</v>
      </c>
      <c r="B1935" s="69" t="s">
        <v>746</v>
      </c>
      <c r="C1935" s="69" t="s">
        <v>32</v>
      </c>
      <c r="D1935" s="69" t="s">
        <v>137</v>
      </c>
      <c r="E1935" s="69" t="s">
        <v>125</v>
      </c>
      <c r="F1935" s="69" t="s">
        <v>26</v>
      </c>
      <c r="G1935" s="69" t="s">
        <v>45</v>
      </c>
      <c r="H1935" s="0" t="n">
        <v>6</v>
      </c>
      <c r="I1935" s="70" t="n">
        <v>1656.52</v>
      </c>
      <c r="J1935" s="70" t="n">
        <v>1155.66</v>
      </c>
      <c r="K1935" s="70" t="n">
        <f aca="false">IF(ISTEXT(H1935),VALUE(H1935),H1935)*I1935</f>
        <v>9939.12</v>
      </c>
    </row>
    <row r="1936" customFormat="false" ht="15" hidden="false" customHeight="false" outlineLevel="0" collapsed="false">
      <c r="A1936" s="0" t="n">
        <v>473</v>
      </c>
      <c r="B1936" s="69" t="s">
        <v>747</v>
      </c>
      <c r="C1936" s="69" t="s">
        <v>193</v>
      </c>
      <c r="D1936" s="69" t="s">
        <v>137</v>
      </c>
      <c r="E1936" s="69" t="s">
        <v>92</v>
      </c>
      <c r="F1936" s="69" t="s">
        <v>115</v>
      </c>
      <c r="G1936" s="69" t="s">
        <v>50</v>
      </c>
      <c r="H1936" s="0" t="n">
        <v>14</v>
      </c>
      <c r="I1936" s="70" t="n">
        <v>117.6</v>
      </c>
      <c r="J1936" s="70" t="n">
        <v>63.6</v>
      </c>
      <c r="K1936" s="70" t="n">
        <f aca="false">IF(ISTEXT(H1936),VALUE(H1936),H1936)*I1936</f>
        <v>1646.4</v>
      </c>
    </row>
    <row r="1937" customFormat="false" ht="15" hidden="false" customHeight="false" outlineLevel="0" collapsed="false">
      <c r="A1937" s="0" t="n">
        <v>756</v>
      </c>
      <c r="B1937" s="68" t="n">
        <v>45505</v>
      </c>
      <c r="C1937" s="69" t="s">
        <v>108</v>
      </c>
      <c r="D1937" s="69" t="s">
        <v>109</v>
      </c>
      <c r="E1937" s="69" t="s">
        <v>180</v>
      </c>
      <c r="F1937" s="69" t="s">
        <v>162</v>
      </c>
      <c r="G1937" s="69" t="s">
        <v>116</v>
      </c>
      <c r="H1937" s="0" t="n">
        <v>7</v>
      </c>
      <c r="I1937" s="70" t="n">
        <v>83.3</v>
      </c>
      <c r="J1937" s="70" t="n">
        <v>48.03</v>
      </c>
      <c r="K1937" s="70" t="n">
        <f aca="false">IF(ISTEXT(H1937),VALUE(H1937),H1937)*I1937</f>
        <v>583.1</v>
      </c>
    </row>
    <row r="1938" customFormat="false" ht="15" hidden="false" customHeight="false" outlineLevel="0" collapsed="false">
      <c r="A1938" s="0" t="n">
        <v>347</v>
      </c>
      <c r="B1938" s="68" t="n">
        <v>45409</v>
      </c>
      <c r="C1938" s="69" t="s">
        <v>152</v>
      </c>
      <c r="D1938" s="69"/>
      <c r="E1938" s="69" t="s">
        <v>121</v>
      </c>
      <c r="F1938" s="69" t="s">
        <v>28</v>
      </c>
      <c r="G1938" s="69" t="s">
        <v>103</v>
      </c>
      <c r="H1938" s="0" t="n">
        <v>35</v>
      </c>
      <c r="I1938" s="70" t="n">
        <v>27.44</v>
      </c>
      <c r="J1938" s="70" t="n">
        <v>13.44</v>
      </c>
      <c r="K1938" s="70" t="n">
        <f aca="false">IF(ISTEXT(H1938),VALUE(H1938),H1938)*I1938</f>
        <v>960.4</v>
      </c>
    </row>
    <row r="1939" customFormat="false" ht="15" hidden="false" customHeight="false" outlineLevel="0" collapsed="false">
      <c r="A1939" s="0" t="n">
        <v>32</v>
      </c>
      <c r="B1939" s="68" t="n">
        <v>45300</v>
      </c>
      <c r="C1939" s="69" t="s">
        <v>91</v>
      </c>
      <c r="D1939" s="69" t="s">
        <v>86</v>
      </c>
      <c r="E1939" s="69" t="s">
        <v>180</v>
      </c>
      <c r="F1939" s="69" t="s">
        <v>99</v>
      </c>
      <c r="G1939" s="69" t="s">
        <v>49</v>
      </c>
      <c r="H1939" s="0" t="n">
        <v>18</v>
      </c>
      <c r="I1939" s="70" t="n">
        <v>63.7</v>
      </c>
      <c r="J1939" s="70" t="n">
        <v>35.43</v>
      </c>
      <c r="K1939" s="70" t="n">
        <f aca="false">IF(ISTEXT(H1939),VALUE(H1939),H1939)*I1939</f>
        <v>1146.6</v>
      </c>
    </row>
    <row r="1940" customFormat="false" ht="15" hidden="false" customHeight="false" outlineLevel="0" collapsed="false">
      <c r="A1940" s="0" t="n">
        <v>2359</v>
      </c>
      <c r="B1940" s="68" t="n">
        <v>46008</v>
      </c>
      <c r="C1940" s="69" t="s">
        <v>118</v>
      </c>
      <c r="D1940" s="69" t="s">
        <v>109</v>
      </c>
      <c r="E1940" s="69" t="s">
        <v>121</v>
      </c>
      <c r="F1940" s="69" t="s">
        <v>182</v>
      </c>
      <c r="G1940" s="69" t="s">
        <v>53</v>
      </c>
      <c r="H1940" s="0" t="n">
        <v>39</v>
      </c>
      <c r="I1940" s="70" t="n">
        <v>35.14</v>
      </c>
      <c r="J1940" s="70" t="n">
        <v>18.39</v>
      </c>
      <c r="K1940" s="70" t="n">
        <f aca="false">IF(ISTEXT(H1940),VALUE(H1940),H1940)*I1940</f>
        <v>1370.46</v>
      </c>
    </row>
    <row r="1941" customFormat="false" ht="15" hidden="false" customHeight="false" outlineLevel="0" collapsed="false">
      <c r="A1941" s="0" t="n">
        <v>461</v>
      </c>
      <c r="B1941" s="68" t="n">
        <v>45427</v>
      </c>
      <c r="C1941" s="69" t="s">
        <v>193</v>
      </c>
      <c r="D1941" s="69" t="s">
        <v>137</v>
      </c>
      <c r="E1941" s="69" t="s">
        <v>138</v>
      </c>
      <c r="F1941" s="69" t="s">
        <v>26</v>
      </c>
      <c r="G1941" s="69" t="s">
        <v>154</v>
      </c>
      <c r="H1941" s="0" t="n">
        <v>8</v>
      </c>
      <c r="I1941" s="70" t="n">
        <v>1176</v>
      </c>
      <c r="J1941" s="70" t="n">
        <v>744</v>
      </c>
      <c r="K1941" s="70" t="n">
        <f aca="false">IF(ISTEXT(H1941),VALUE(H1941),H1941)*I1941</f>
        <v>9408</v>
      </c>
    </row>
    <row r="1942" customFormat="false" ht="15" hidden="false" customHeight="false" outlineLevel="0" collapsed="false">
      <c r="A1942" s="0" t="n">
        <v>569</v>
      </c>
      <c r="B1942" s="69" t="s">
        <v>748</v>
      </c>
      <c r="C1942" s="69" t="s">
        <v>136</v>
      </c>
      <c r="D1942" s="69" t="s">
        <v>137</v>
      </c>
      <c r="E1942" s="69" t="s">
        <v>134</v>
      </c>
      <c r="F1942" s="69" t="s">
        <v>102</v>
      </c>
      <c r="G1942" s="69" t="s">
        <v>235</v>
      </c>
      <c r="H1942" s="0" t="n">
        <v>34</v>
      </c>
      <c r="I1942" s="70" t="n">
        <v>93.1</v>
      </c>
      <c r="J1942" s="70" t="n">
        <v>47.98</v>
      </c>
      <c r="K1942" s="70" t="n">
        <f aca="false">IF(ISTEXT(H1942),VALUE(H1942),H1942)*I1942</f>
        <v>3165.4</v>
      </c>
    </row>
    <row r="1943" customFormat="false" ht="15" hidden="false" customHeight="false" outlineLevel="0" collapsed="false">
      <c r="A1943" s="0" t="n">
        <v>226</v>
      </c>
      <c r="B1943" s="69" t="s">
        <v>664</v>
      </c>
      <c r="C1943" s="69" t="s">
        <v>91</v>
      </c>
      <c r="D1943" s="69" t="s">
        <v>86</v>
      </c>
      <c r="E1943" s="69" t="s">
        <v>180</v>
      </c>
      <c r="F1943" s="69" t="s">
        <v>88</v>
      </c>
      <c r="G1943" s="69" t="s">
        <v>45</v>
      </c>
      <c r="H1943" s="0" t="n">
        <v>5</v>
      </c>
      <c r="I1943" s="70" t="n">
        <v>1617</v>
      </c>
      <c r="J1943" s="70" t="n">
        <v>1122</v>
      </c>
      <c r="K1943" s="70" t="n">
        <f aca="false">IF(ISTEXT(H1943),VALUE(H1943),H1943)*I1943</f>
        <v>8085</v>
      </c>
    </row>
    <row r="1944" customFormat="false" ht="15" hidden="false" customHeight="false" outlineLevel="0" collapsed="false">
      <c r="A1944" s="0" t="n">
        <v>1413</v>
      </c>
      <c r="B1944" s="69" t="s">
        <v>749</v>
      </c>
      <c r="C1944" s="69" t="s">
        <v>150</v>
      </c>
      <c r="D1944" s="69" t="s">
        <v>97</v>
      </c>
      <c r="E1944" s="69" t="s">
        <v>134</v>
      </c>
      <c r="F1944" s="69" t="s">
        <v>166</v>
      </c>
      <c r="G1944" s="69" t="s">
        <v>171</v>
      </c>
      <c r="H1944" s="0" t="s">
        <v>441</v>
      </c>
      <c r="I1944" s="70" t="n">
        <v>119.23</v>
      </c>
      <c r="J1944" s="70" t="n">
        <v>65.51</v>
      </c>
      <c r="K1944" s="70" t="n">
        <f aca="false">IF(ISTEXT(H1944),VALUE(H1944),H1944)*I1944</f>
        <v>4530.74</v>
      </c>
    </row>
    <row r="1945" customFormat="false" ht="15" hidden="false" customHeight="false" outlineLevel="0" collapsed="false">
      <c r="A1945" s="0" t="n">
        <v>1774</v>
      </c>
      <c r="B1945" s="68" t="n">
        <v>45834</v>
      </c>
      <c r="C1945" s="69" t="s">
        <v>32</v>
      </c>
      <c r="D1945" s="69" t="s">
        <v>137</v>
      </c>
      <c r="E1945" s="69" t="s">
        <v>98</v>
      </c>
      <c r="F1945" s="69" t="s">
        <v>115</v>
      </c>
      <c r="G1945" s="69" t="s">
        <v>50</v>
      </c>
      <c r="H1945" s="0" t="n">
        <v>9</v>
      </c>
      <c r="I1945" s="70" t="n">
        <v>119.23</v>
      </c>
      <c r="J1945" s="70" t="n">
        <v>65.51</v>
      </c>
      <c r="K1945" s="70" t="n">
        <f aca="false">IF(ISTEXT(H1945),VALUE(H1945),H1945)*I1945</f>
        <v>1073.07</v>
      </c>
    </row>
    <row r="1946" customFormat="false" ht="15" hidden="false" customHeight="false" outlineLevel="0" collapsed="false">
      <c r="A1946" s="0" t="n">
        <v>291</v>
      </c>
      <c r="B1946" s="68" t="n">
        <v>45364</v>
      </c>
      <c r="C1946" s="69" t="s">
        <v>161</v>
      </c>
      <c r="D1946" s="69" t="s">
        <v>112</v>
      </c>
      <c r="E1946" s="69" t="s">
        <v>101</v>
      </c>
      <c r="F1946" s="69" t="s">
        <v>143</v>
      </c>
      <c r="G1946" s="69" t="s">
        <v>49</v>
      </c>
      <c r="H1946" s="0" t="n">
        <v>31</v>
      </c>
      <c r="I1946" s="70" t="n">
        <v>63.7</v>
      </c>
      <c r="J1946" s="70" t="n">
        <v>35.43</v>
      </c>
      <c r="K1946" s="70" t="n">
        <f aca="false">IF(ISTEXT(H1946),VALUE(H1946),H1946)*I1946</f>
        <v>1974.7</v>
      </c>
    </row>
    <row r="1947" customFormat="false" ht="15" hidden="false" customHeight="false" outlineLevel="0" collapsed="false">
      <c r="A1947" s="0" t="n">
        <v>851</v>
      </c>
      <c r="B1947" s="69" t="s">
        <v>694</v>
      </c>
      <c r="C1947" s="69" t="s">
        <v>118</v>
      </c>
      <c r="D1947" s="69" t="s">
        <v>109</v>
      </c>
      <c r="E1947" s="69" t="s">
        <v>134</v>
      </c>
      <c r="F1947" s="69" t="s">
        <v>155</v>
      </c>
      <c r="G1947" s="69" t="s">
        <v>49</v>
      </c>
      <c r="H1947" s="0" t="n">
        <v>46</v>
      </c>
      <c r="I1947" s="70" t="n">
        <v>63.7</v>
      </c>
      <c r="J1947" s="70" t="n">
        <v>35.43</v>
      </c>
      <c r="K1947" s="70" t="n">
        <f aca="false">IF(ISTEXT(H1947),VALUE(H1947),H1947)*I1947</f>
        <v>2930.2</v>
      </c>
    </row>
    <row r="1948" customFormat="false" ht="15" hidden="false" customHeight="false" outlineLevel="0" collapsed="false">
      <c r="A1948" s="0" t="n">
        <v>2269</v>
      </c>
      <c r="B1948" s="69" t="s">
        <v>750</v>
      </c>
      <c r="C1948" s="69" t="s">
        <v>184</v>
      </c>
      <c r="D1948" s="69" t="s">
        <v>137</v>
      </c>
      <c r="E1948" s="69" t="s">
        <v>121</v>
      </c>
      <c r="F1948" s="69" t="s">
        <v>99</v>
      </c>
      <c r="G1948" s="69" t="s">
        <v>172</v>
      </c>
      <c r="H1948" s="0" t="n">
        <v>37</v>
      </c>
      <c r="I1948" s="70" t="n">
        <v>95.38</v>
      </c>
      <c r="J1948" s="70" t="n">
        <v>49.41</v>
      </c>
      <c r="K1948" s="70" t="n">
        <f aca="false">IF(ISTEXT(H1948),VALUE(H1948),H1948)*I1948</f>
        <v>3529.06</v>
      </c>
    </row>
    <row r="1949" customFormat="false" ht="15" hidden="false" customHeight="false" outlineLevel="0" collapsed="false">
      <c r="A1949" s="0" t="n">
        <v>2178</v>
      </c>
      <c r="B1949" s="68" t="n">
        <v>45949</v>
      </c>
      <c r="C1949" s="69" t="s">
        <v>32</v>
      </c>
      <c r="D1949" s="69" t="s">
        <v>137</v>
      </c>
      <c r="E1949" s="69" t="s">
        <v>87</v>
      </c>
      <c r="F1949" s="69" t="s">
        <v>93</v>
      </c>
      <c r="G1949" s="69" t="s">
        <v>52</v>
      </c>
      <c r="H1949" s="0" t="n">
        <v>13</v>
      </c>
      <c r="I1949" s="70" t="n">
        <v>130.51</v>
      </c>
      <c r="J1949" s="70" t="n">
        <v>78.33</v>
      </c>
      <c r="K1949" s="70" t="n">
        <f aca="false">IF(ISTEXT(H1949),VALUE(H1949),H1949)*I1949</f>
        <v>1696.63</v>
      </c>
    </row>
    <row r="1950" customFormat="false" ht="15" hidden="false" customHeight="false" outlineLevel="0" collapsed="false">
      <c r="A1950" s="0" t="n">
        <v>471</v>
      </c>
      <c r="B1950" s="69" t="s">
        <v>751</v>
      </c>
      <c r="C1950" s="69" t="s">
        <v>184</v>
      </c>
      <c r="D1950" s="69" t="s">
        <v>137</v>
      </c>
      <c r="E1950" s="69" t="s">
        <v>92</v>
      </c>
      <c r="F1950" s="69" t="s">
        <v>143</v>
      </c>
      <c r="G1950" s="69" t="s">
        <v>49</v>
      </c>
      <c r="H1950" s="0" t="n">
        <v>26</v>
      </c>
      <c r="I1950" s="70" t="n">
        <v>63.7</v>
      </c>
      <c r="J1950" s="70" t="n">
        <v>35.43</v>
      </c>
      <c r="K1950" s="70" t="n">
        <f aca="false">IF(ISTEXT(H1950),VALUE(H1950),H1950)*I1950</f>
        <v>1656.2</v>
      </c>
    </row>
    <row r="1951" customFormat="false" ht="15" hidden="false" customHeight="false" outlineLevel="0" collapsed="false">
      <c r="A1951" s="0" t="n">
        <v>2122</v>
      </c>
      <c r="B1951" s="68" t="n">
        <v>45935</v>
      </c>
      <c r="C1951" s="69" t="s">
        <v>159</v>
      </c>
      <c r="D1951" s="69" t="s">
        <v>86</v>
      </c>
      <c r="E1951" s="69" t="s">
        <v>98</v>
      </c>
      <c r="F1951" s="69" t="s">
        <v>26</v>
      </c>
      <c r="G1951" s="69" t="s">
        <v>41</v>
      </c>
      <c r="H1951" s="0" t="n">
        <v>8</v>
      </c>
      <c r="I1951" s="70" t="n">
        <v>1204.74</v>
      </c>
      <c r="J1951" s="70" t="n">
        <v>766.32</v>
      </c>
      <c r="K1951" s="70" t="n">
        <f aca="false">IF(ISTEXT(H1951),VALUE(H1951),H1951)*I1951</f>
        <v>9637.92</v>
      </c>
    </row>
    <row r="1952" customFormat="false" ht="15" hidden="false" customHeight="false" outlineLevel="0" collapsed="false">
      <c r="A1952" s="0" t="n">
        <v>168</v>
      </c>
      <c r="B1952" s="69" t="s">
        <v>752</v>
      </c>
      <c r="C1952" s="69" t="s">
        <v>184</v>
      </c>
      <c r="D1952" s="69" t="s">
        <v>137</v>
      </c>
      <c r="E1952" s="69" t="s">
        <v>119</v>
      </c>
      <c r="F1952" s="69" t="s">
        <v>102</v>
      </c>
      <c r="G1952" s="69" t="s">
        <v>47</v>
      </c>
      <c r="H1952" s="0" t="n">
        <v>8</v>
      </c>
      <c r="I1952" s="70" t="n">
        <v>27.44</v>
      </c>
      <c r="J1952" s="70" t="n">
        <v>13.44</v>
      </c>
      <c r="K1952" s="70" t="n">
        <f aca="false">IF(ISTEXT(H1952),VALUE(H1952),H1952)*I1952</f>
        <v>219.52</v>
      </c>
    </row>
    <row r="1953" customFormat="false" ht="15" hidden="false" customHeight="false" outlineLevel="0" collapsed="false">
      <c r="A1953" s="0" t="n">
        <v>2303</v>
      </c>
      <c r="B1953" s="68" t="n">
        <v>45994</v>
      </c>
      <c r="C1953" s="69" t="s">
        <v>25</v>
      </c>
      <c r="D1953" s="69" t="s">
        <v>97</v>
      </c>
      <c r="E1953" s="69" t="s">
        <v>121</v>
      </c>
      <c r="F1953" s="69" t="s">
        <v>139</v>
      </c>
      <c r="G1953" s="69" t="s">
        <v>43</v>
      </c>
      <c r="H1953" s="0" t="n">
        <v>31</v>
      </c>
      <c r="I1953" s="70" t="n">
        <v>451.78</v>
      </c>
      <c r="J1953" s="70" t="n">
        <v>280.42</v>
      </c>
      <c r="K1953" s="70" t="n">
        <f aca="false">IF(ISTEXT(H1953),VALUE(H1953),H1953)*I1953</f>
        <v>14005.18</v>
      </c>
    </row>
    <row r="1954" customFormat="false" ht="15" hidden="false" customHeight="false" outlineLevel="0" collapsed="false">
      <c r="A1954" s="0" t="n">
        <v>411</v>
      </c>
      <c r="B1954" s="68" t="n">
        <v>45428</v>
      </c>
      <c r="C1954" s="69" t="s">
        <v>124</v>
      </c>
      <c r="D1954" s="69" t="s">
        <v>97</v>
      </c>
      <c r="E1954" s="69" t="s">
        <v>121</v>
      </c>
      <c r="F1954" s="69" t="s">
        <v>143</v>
      </c>
      <c r="G1954" s="69" t="s">
        <v>208</v>
      </c>
      <c r="H1954" s="0" t="n">
        <v>81</v>
      </c>
      <c r="I1954" s="70" t="n">
        <v>63.7</v>
      </c>
      <c r="J1954" s="70" t="n">
        <v>35.43</v>
      </c>
      <c r="K1954" s="70" t="n">
        <f aca="false">IF(ISTEXT(H1954),VALUE(H1954),H1954)*I1954</f>
        <v>5159.7</v>
      </c>
    </row>
    <row r="1955" customFormat="false" ht="15" hidden="false" customHeight="false" outlineLevel="0" collapsed="false">
      <c r="A1955" s="0" t="n">
        <v>1507</v>
      </c>
      <c r="B1955" s="68" t="n">
        <v>45767</v>
      </c>
      <c r="C1955" s="69" t="s">
        <v>25</v>
      </c>
      <c r="D1955" s="69" t="s">
        <v>97</v>
      </c>
      <c r="E1955" s="69" t="s">
        <v>110</v>
      </c>
      <c r="F1955" s="69" t="s">
        <v>28</v>
      </c>
      <c r="G1955" s="69" t="s">
        <v>113</v>
      </c>
      <c r="H1955" s="0" t="n">
        <v>82</v>
      </c>
      <c r="I1955" s="70" t="n">
        <v>27.82</v>
      </c>
      <c r="J1955" s="70" t="n">
        <v>13.84</v>
      </c>
      <c r="K1955" s="70" t="n">
        <f aca="false">IF(ISTEXT(H1955),VALUE(H1955),H1955)*I1955</f>
        <v>2281.24</v>
      </c>
    </row>
    <row r="1956" customFormat="false" ht="15" hidden="false" customHeight="false" outlineLevel="0" collapsed="false">
      <c r="A1956" s="0" t="n">
        <v>1114</v>
      </c>
      <c r="B1956" s="68" t="n">
        <v>45649</v>
      </c>
      <c r="C1956" s="69" t="s">
        <v>96</v>
      </c>
      <c r="D1956" s="69" t="s">
        <v>97</v>
      </c>
      <c r="E1956" s="69" t="s">
        <v>180</v>
      </c>
      <c r="F1956" s="69" t="s">
        <v>166</v>
      </c>
      <c r="G1956" s="69" t="s">
        <v>171</v>
      </c>
      <c r="H1956" s="0" t="n">
        <v>22</v>
      </c>
      <c r="I1956" s="70" t="n">
        <v>117.6</v>
      </c>
      <c r="J1956" s="70" t="n">
        <v>63.6</v>
      </c>
      <c r="K1956" s="70" t="n">
        <f aca="false">IF(ISTEXT(H1956),VALUE(H1956),H1956)*I1956</f>
        <v>2587.2</v>
      </c>
    </row>
    <row r="1957" customFormat="false" ht="15" hidden="false" customHeight="false" outlineLevel="0" collapsed="false">
      <c r="A1957" s="0" t="n">
        <v>155</v>
      </c>
      <c r="B1957" s="68" t="n">
        <v>45328</v>
      </c>
      <c r="C1957" s="69" t="s">
        <v>118</v>
      </c>
      <c r="D1957" s="69" t="s">
        <v>109</v>
      </c>
      <c r="E1957" s="69" t="s">
        <v>134</v>
      </c>
      <c r="F1957" s="69" t="s">
        <v>162</v>
      </c>
      <c r="G1957" s="69" t="s">
        <v>111</v>
      </c>
      <c r="H1957" s="0" t="n">
        <v>13</v>
      </c>
      <c r="I1957" s="70" t="n">
        <v>83.3</v>
      </c>
      <c r="J1957" s="70" t="n">
        <v>48.03</v>
      </c>
      <c r="K1957" s="70" t="n">
        <f aca="false">IF(ISTEXT(H1957),VALUE(H1957),H1957)*I1957</f>
        <v>1082.9</v>
      </c>
    </row>
    <row r="1958" customFormat="false" ht="15" hidden="false" customHeight="false" outlineLevel="0" collapsed="false">
      <c r="A1958" s="0" t="n">
        <v>1862</v>
      </c>
      <c r="B1958" s="68" t="n">
        <v>45859</v>
      </c>
      <c r="C1958" s="69" t="s">
        <v>193</v>
      </c>
      <c r="D1958" s="69" t="s">
        <v>137</v>
      </c>
      <c r="E1958" s="69" t="s">
        <v>107</v>
      </c>
      <c r="F1958" s="69" t="s">
        <v>26</v>
      </c>
      <c r="G1958" s="69" t="s">
        <v>154</v>
      </c>
      <c r="H1958" s="0" t="n">
        <v>4</v>
      </c>
      <c r="I1958" s="70" t="n">
        <v>1204.74</v>
      </c>
      <c r="J1958" s="70" t="n">
        <v>766.32</v>
      </c>
      <c r="K1958" s="70" t="n">
        <f aca="false">IF(ISTEXT(H1958),VALUE(H1958),H1958)*I1958</f>
        <v>4818.96</v>
      </c>
    </row>
    <row r="1959" customFormat="false" ht="15" hidden="false" customHeight="false" outlineLevel="0" collapsed="false">
      <c r="A1959" s="0" t="n">
        <v>2278</v>
      </c>
      <c r="B1959" s="68" t="n">
        <v>45978</v>
      </c>
      <c r="C1959" s="69" t="s">
        <v>136</v>
      </c>
      <c r="D1959" s="69"/>
      <c r="E1959" s="69" t="s">
        <v>98</v>
      </c>
      <c r="F1959" s="69" t="s">
        <v>33</v>
      </c>
      <c r="G1959" s="69" t="s">
        <v>127</v>
      </c>
      <c r="H1959" s="0" t="n">
        <v>14</v>
      </c>
      <c r="I1959" s="70" t="n">
        <v>130.51</v>
      </c>
      <c r="J1959" s="70" t="n">
        <v>78.33</v>
      </c>
      <c r="K1959" s="70" t="n">
        <f aca="false">IF(ISTEXT(H1959),VALUE(H1959),H1959)*I1959</f>
        <v>1827.14</v>
      </c>
    </row>
    <row r="1960" customFormat="false" ht="15" hidden="false" customHeight="false" outlineLevel="0" collapsed="false">
      <c r="A1960" s="0" t="n">
        <v>1504</v>
      </c>
      <c r="B1960" s="68" t="n">
        <v>45773</v>
      </c>
      <c r="C1960" s="69" t="s">
        <v>25</v>
      </c>
      <c r="D1960" s="69" t="s">
        <v>97</v>
      </c>
      <c r="E1960" s="69" t="s">
        <v>180</v>
      </c>
      <c r="F1960" s="69" t="s">
        <v>26</v>
      </c>
      <c r="G1960" s="69" t="s">
        <v>89</v>
      </c>
      <c r="H1960" s="0" t="n">
        <v>12</v>
      </c>
      <c r="I1960" s="70" t="n">
        <v>433.15</v>
      </c>
      <c r="J1960" s="70" t="n">
        <v>280.42</v>
      </c>
      <c r="K1960" s="70" t="n">
        <f aca="false">IF(ISTEXT(H1960),VALUE(H1960),H1960)*I1960</f>
        <v>5197.8</v>
      </c>
    </row>
    <row r="1961" customFormat="false" ht="15" hidden="false" customHeight="false" outlineLevel="0" collapsed="false">
      <c r="A1961" s="0" t="n">
        <v>2148</v>
      </c>
      <c r="B1961" s="69" t="s">
        <v>753</v>
      </c>
      <c r="C1961" s="69" t="s">
        <v>152</v>
      </c>
      <c r="D1961" s="69" t="s">
        <v>109</v>
      </c>
      <c r="E1961" s="69" t="s">
        <v>180</v>
      </c>
      <c r="F1961" s="69" t="s">
        <v>155</v>
      </c>
      <c r="G1961" s="69" t="s">
        <v>47</v>
      </c>
      <c r="H1961" s="0" t="n">
        <v>31</v>
      </c>
      <c r="I1961" s="70" t="n">
        <v>28.11</v>
      </c>
      <c r="J1961" s="70" t="n">
        <v>13.84</v>
      </c>
      <c r="K1961" s="70" t="n">
        <f aca="false">IF(ISTEXT(H1961),VALUE(H1961),H1961)*I1961</f>
        <v>871.41</v>
      </c>
    </row>
    <row r="1962" customFormat="false" ht="15" hidden="false" customHeight="false" outlineLevel="0" collapsed="false">
      <c r="A1962" s="0" t="n">
        <v>1893</v>
      </c>
      <c r="B1962" s="68" t="n">
        <v>45860</v>
      </c>
      <c r="C1962" s="69" t="s">
        <v>161</v>
      </c>
      <c r="D1962" s="69" t="s">
        <v>112</v>
      </c>
      <c r="E1962" s="69" t="s">
        <v>101</v>
      </c>
      <c r="F1962" s="69" t="s">
        <v>115</v>
      </c>
      <c r="G1962" s="69" t="s">
        <v>50</v>
      </c>
      <c r="H1962" s="0" t="n">
        <v>12</v>
      </c>
      <c r="I1962" s="70" t="n">
        <v>120.47</v>
      </c>
      <c r="J1962" s="70" t="n">
        <v>65.51</v>
      </c>
      <c r="K1962" s="70" t="n">
        <f aca="false">IF(ISTEXT(H1962),VALUE(H1962),H1962)*I1962</f>
        <v>1445.64</v>
      </c>
    </row>
    <row r="1963" customFormat="false" ht="15" hidden="false" customHeight="false" outlineLevel="0" collapsed="false">
      <c r="A1963" s="0" t="n">
        <v>560</v>
      </c>
      <c r="B1963" s="68" t="n">
        <v>45449</v>
      </c>
      <c r="C1963" s="69" t="s">
        <v>118</v>
      </c>
      <c r="D1963" s="69" t="s">
        <v>109</v>
      </c>
      <c r="E1963" s="69" t="s">
        <v>98</v>
      </c>
      <c r="F1963" s="69" t="s">
        <v>93</v>
      </c>
      <c r="G1963" s="69" t="s">
        <v>217</v>
      </c>
      <c r="H1963" s="0" t="s">
        <v>299</v>
      </c>
      <c r="I1963" s="70" t="n">
        <v>34.3</v>
      </c>
      <c r="J1963" s="70" t="n">
        <v>17.85</v>
      </c>
      <c r="K1963" s="70" t="n">
        <f aca="false">IF(ISTEXT(H1963),VALUE(H1963),H1963)*I1963</f>
        <v>343</v>
      </c>
    </row>
    <row r="1964" customFormat="false" ht="15" hidden="false" customHeight="false" outlineLevel="0" collapsed="false">
      <c r="A1964" s="0" t="n">
        <v>2343</v>
      </c>
      <c r="B1964" s="69" t="s">
        <v>754</v>
      </c>
      <c r="C1964" s="69" t="s">
        <v>118</v>
      </c>
      <c r="D1964" s="69" t="s">
        <v>109</v>
      </c>
      <c r="E1964" s="69" t="s">
        <v>121</v>
      </c>
      <c r="F1964" s="69" t="s">
        <v>26</v>
      </c>
      <c r="G1964" s="69" t="s">
        <v>43</v>
      </c>
      <c r="H1964" s="0" t="n">
        <v>11</v>
      </c>
      <c r="I1964" s="70" t="n">
        <v>451.78</v>
      </c>
      <c r="J1964" s="70" t="n">
        <v>280.42</v>
      </c>
      <c r="K1964" s="70" t="n">
        <f aca="false">IF(ISTEXT(H1964),VALUE(H1964),H1964)*I1964</f>
        <v>4969.58</v>
      </c>
    </row>
    <row r="1965" customFormat="false" ht="15" hidden="false" customHeight="false" outlineLevel="0" collapsed="false">
      <c r="A1965" s="0" t="n">
        <v>2166</v>
      </c>
      <c r="B1965" s="69" t="s">
        <v>726</v>
      </c>
      <c r="C1965" s="69" t="s">
        <v>32</v>
      </c>
      <c r="D1965" s="69" t="s">
        <v>137</v>
      </c>
      <c r="E1965" s="69" t="s">
        <v>87</v>
      </c>
      <c r="F1965" s="69" t="s">
        <v>88</v>
      </c>
      <c r="G1965" s="69" t="s">
        <v>157</v>
      </c>
      <c r="H1965" s="0" t="n">
        <v>5</v>
      </c>
      <c r="I1965" s="70" t="n">
        <v>1656.52</v>
      </c>
      <c r="J1965" s="70" t="n">
        <v>1155.66</v>
      </c>
      <c r="K1965" s="70" t="n">
        <f aca="false">IF(ISTEXT(H1965),VALUE(H1965),H1965)*I1965</f>
        <v>8282.6</v>
      </c>
    </row>
    <row r="1966" customFormat="false" ht="15" hidden="false" customHeight="false" outlineLevel="0" collapsed="false">
      <c r="A1966" s="0" t="n">
        <v>1959</v>
      </c>
      <c r="B1966" s="68" t="n">
        <v>45894</v>
      </c>
      <c r="C1966" s="69" t="s">
        <v>152</v>
      </c>
      <c r="D1966" s="69" t="s">
        <v>109</v>
      </c>
      <c r="E1966" s="69" t="s">
        <v>110</v>
      </c>
      <c r="F1966" s="69" t="s">
        <v>168</v>
      </c>
      <c r="G1966" s="69" t="s">
        <v>217</v>
      </c>
      <c r="H1966" s="0" t="n">
        <v>26</v>
      </c>
      <c r="I1966" s="70" t="n">
        <v>35.14</v>
      </c>
      <c r="J1966" s="70" t="n">
        <v>18.39</v>
      </c>
      <c r="K1966" s="70" t="n">
        <f aca="false">IF(ISTEXT(H1966),VALUE(H1966),H1966)*I1966</f>
        <v>913.64</v>
      </c>
    </row>
    <row r="1967" customFormat="false" ht="15" hidden="false" customHeight="false" outlineLevel="0" collapsed="false">
      <c r="A1967" s="0" t="n">
        <v>2281</v>
      </c>
      <c r="B1967" s="68" t="n">
        <v>45972</v>
      </c>
      <c r="C1967" s="69" t="s">
        <v>34</v>
      </c>
      <c r="D1967" s="69" t="s">
        <v>112</v>
      </c>
      <c r="E1967" s="69" t="s">
        <v>138</v>
      </c>
      <c r="F1967" s="69" t="s">
        <v>147</v>
      </c>
      <c r="G1967" s="69" t="s">
        <v>154</v>
      </c>
      <c r="H1967" s="0" t="n">
        <v>9</v>
      </c>
      <c r="I1967" s="70" t="n">
        <v>1204.74</v>
      </c>
      <c r="J1967" s="70" t="n">
        <v>766.32</v>
      </c>
      <c r="K1967" s="70" t="n">
        <f aca="false">IF(ISTEXT(H1967),VALUE(H1967),H1967)*I1967</f>
        <v>10842.66</v>
      </c>
    </row>
    <row r="1968" customFormat="false" ht="15" hidden="false" customHeight="false" outlineLevel="0" collapsed="false">
      <c r="A1968" s="0" t="n">
        <v>9</v>
      </c>
      <c r="B1968" s="69" t="s">
        <v>755</v>
      </c>
      <c r="C1968" s="69" t="s">
        <v>96</v>
      </c>
      <c r="D1968" s="69" t="s">
        <v>97</v>
      </c>
      <c r="E1968" s="69" t="s">
        <v>101</v>
      </c>
      <c r="F1968" s="69" t="s">
        <v>102</v>
      </c>
      <c r="G1968" s="69" t="s">
        <v>48</v>
      </c>
      <c r="H1968" s="0" t="n">
        <v>95</v>
      </c>
      <c r="I1968" s="70" t="n">
        <v>93.1</v>
      </c>
      <c r="J1968" s="70" t="n">
        <v>47.98</v>
      </c>
      <c r="K1968" s="70" t="n">
        <f aca="false">IF(ISTEXT(H1968),VALUE(H1968),H1968)*I1968</f>
        <v>8844.5</v>
      </c>
    </row>
    <row r="1969" customFormat="false" ht="15" hidden="false" customHeight="false" outlineLevel="0" collapsed="false">
      <c r="A1969" s="0" t="n">
        <v>381</v>
      </c>
      <c r="B1969" s="69" t="s">
        <v>756</v>
      </c>
      <c r="C1969" s="69" t="s">
        <v>34</v>
      </c>
      <c r="D1969" s="69" t="s">
        <v>112</v>
      </c>
      <c r="E1969" s="69" t="s">
        <v>92</v>
      </c>
      <c r="F1969" s="69" t="s">
        <v>88</v>
      </c>
      <c r="G1969" s="69" t="s">
        <v>151</v>
      </c>
      <c r="H1969" s="0" t="n">
        <v>5</v>
      </c>
      <c r="I1969" s="70" t="n">
        <v>1176</v>
      </c>
      <c r="J1969" s="70" t="n">
        <v>744</v>
      </c>
      <c r="K1969" s="70" t="n">
        <f aca="false">IF(ISTEXT(H1969),VALUE(H1969),H1969)*I1969</f>
        <v>5880</v>
      </c>
    </row>
    <row r="1970" customFormat="false" ht="15" hidden="false" customHeight="false" outlineLevel="0" collapsed="false">
      <c r="A1970" s="0" t="n">
        <v>1100</v>
      </c>
      <c r="B1970" s="68" t="n">
        <v>45602</v>
      </c>
      <c r="C1970" s="69" t="s">
        <v>34</v>
      </c>
      <c r="D1970" s="69" t="s">
        <v>112</v>
      </c>
      <c r="E1970" s="69" t="s">
        <v>119</v>
      </c>
      <c r="F1970" s="69" t="s">
        <v>182</v>
      </c>
      <c r="G1970" s="69" t="s">
        <v>94</v>
      </c>
      <c r="H1970" s="0" t="s">
        <v>148</v>
      </c>
      <c r="I1970" s="70" t="n">
        <v>34.3</v>
      </c>
      <c r="J1970" s="70" t="n">
        <v>17.85</v>
      </c>
      <c r="K1970" s="70" t="n">
        <f aca="false">IF(ISTEXT(H1970),VALUE(H1970),H1970)*I1970</f>
        <v>274.4</v>
      </c>
    </row>
    <row r="1971" customFormat="false" ht="15" hidden="false" customHeight="false" outlineLevel="0" collapsed="false">
      <c r="A1971" s="0" t="n">
        <v>87</v>
      </c>
      <c r="B1971" s="68" t="n">
        <v>45307</v>
      </c>
      <c r="C1971" s="69" t="s">
        <v>161</v>
      </c>
      <c r="D1971" s="69" t="s">
        <v>112</v>
      </c>
      <c r="E1971" s="69" t="s">
        <v>138</v>
      </c>
      <c r="F1971" s="69" t="s">
        <v>102</v>
      </c>
      <c r="G1971" s="69" t="s">
        <v>103</v>
      </c>
      <c r="H1971" s="0" t="n">
        <v>23</v>
      </c>
      <c r="I1971" s="70" t="n">
        <v>27.44</v>
      </c>
      <c r="J1971" s="70" t="n">
        <v>13.44</v>
      </c>
      <c r="K1971" s="70" t="n">
        <f aca="false">IF(ISTEXT(H1971),VALUE(H1971),H1971)*I1971</f>
        <v>631.12</v>
      </c>
    </row>
    <row r="1972" customFormat="false" ht="15" hidden="false" customHeight="false" outlineLevel="0" collapsed="false">
      <c r="A1972" s="0" t="n">
        <v>10</v>
      </c>
      <c r="B1972" s="68" t="n">
        <v>45308</v>
      </c>
      <c r="C1972" s="69" t="s">
        <v>150</v>
      </c>
      <c r="D1972" s="69" t="s">
        <v>97</v>
      </c>
      <c r="E1972" s="69" t="s">
        <v>180</v>
      </c>
      <c r="F1972" s="69" t="s">
        <v>102</v>
      </c>
      <c r="G1972" s="69" t="s">
        <v>172</v>
      </c>
      <c r="H1972" s="0" t="n">
        <v>35</v>
      </c>
      <c r="I1972" s="70" t="n">
        <v>93.1</v>
      </c>
      <c r="J1972" s="70" t="n">
        <v>47.98</v>
      </c>
      <c r="K1972" s="70" t="n">
        <f aca="false">IF(ISTEXT(H1972),VALUE(H1972),H1972)*I1972</f>
        <v>3258.5</v>
      </c>
    </row>
    <row r="1973" customFormat="false" ht="15" hidden="false" customHeight="false" outlineLevel="0" collapsed="false">
      <c r="A1973" s="0" t="n">
        <v>1241</v>
      </c>
      <c r="B1973" s="68" t="n">
        <v>45678</v>
      </c>
      <c r="C1973" s="69" t="s">
        <v>152</v>
      </c>
      <c r="D1973" s="69" t="s">
        <v>109</v>
      </c>
      <c r="E1973" s="69" t="s">
        <v>92</v>
      </c>
      <c r="F1973" s="69" t="s">
        <v>88</v>
      </c>
      <c r="G1973" s="69" t="s">
        <v>151</v>
      </c>
      <c r="H1973" s="0" t="n">
        <v>7</v>
      </c>
      <c r="I1973" s="70" t="n">
        <v>1155.06</v>
      </c>
      <c r="J1973" s="70" t="n">
        <v>766.32</v>
      </c>
      <c r="K1973" s="70" t="n">
        <f aca="false">IF(ISTEXT(H1973),VALUE(H1973),H1973)*I1973</f>
        <v>8085.42</v>
      </c>
    </row>
    <row r="1974" customFormat="false" ht="15" hidden="false" customHeight="false" outlineLevel="0" collapsed="false">
      <c r="A1974" s="0" t="n">
        <v>483</v>
      </c>
      <c r="B1974" s="68" t="n">
        <v>45419</v>
      </c>
      <c r="C1974" s="69" t="s">
        <v>142</v>
      </c>
      <c r="D1974" s="69" t="s">
        <v>112</v>
      </c>
      <c r="E1974" s="69" t="s">
        <v>101</v>
      </c>
      <c r="F1974" s="69" t="s">
        <v>135</v>
      </c>
      <c r="G1974" s="69" t="s">
        <v>89</v>
      </c>
      <c r="H1974" s="0" t="n">
        <v>6</v>
      </c>
      <c r="I1974" s="70" t="n">
        <v>441</v>
      </c>
      <c r="J1974" s="70" t="n">
        <v>272.25</v>
      </c>
      <c r="K1974" s="70" t="n">
        <f aca="false">IF(ISTEXT(H1974),VALUE(H1974),H1974)*I1974</f>
        <v>2646</v>
      </c>
    </row>
    <row r="1975" customFormat="false" ht="15" hidden="false" customHeight="false" outlineLevel="0" collapsed="false">
      <c r="A1975" s="0" t="n">
        <v>603</v>
      </c>
      <c r="B1975" s="68" t="n">
        <v>45483</v>
      </c>
      <c r="C1975" s="69" t="s">
        <v>96</v>
      </c>
      <c r="D1975" s="69" t="s">
        <v>97</v>
      </c>
      <c r="E1975" s="69" t="s">
        <v>101</v>
      </c>
      <c r="F1975" s="69" t="s">
        <v>88</v>
      </c>
      <c r="G1975" s="69" t="s">
        <v>43</v>
      </c>
      <c r="H1975" s="0" t="n">
        <v>22</v>
      </c>
      <c r="I1975" s="70" t="n">
        <v>441</v>
      </c>
      <c r="J1975" s="70" t="n">
        <v>272.25</v>
      </c>
      <c r="K1975" s="70" t="n">
        <f aca="false">IF(ISTEXT(H1975),VALUE(H1975),H1975)*I1975</f>
        <v>9702</v>
      </c>
    </row>
    <row r="1976" customFormat="false" ht="15" hidden="false" customHeight="false" outlineLevel="0" collapsed="false">
      <c r="A1976" s="0" t="n">
        <v>1537</v>
      </c>
      <c r="B1976" s="68" t="n">
        <v>45761</v>
      </c>
      <c r="C1976" s="69" t="s">
        <v>120</v>
      </c>
      <c r="D1976" s="69" t="s">
        <v>86</v>
      </c>
      <c r="E1976" s="69" t="s">
        <v>121</v>
      </c>
      <c r="F1976" s="69" t="s">
        <v>168</v>
      </c>
      <c r="G1976" s="69" t="s">
        <v>52</v>
      </c>
      <c r="H1976" s="0" t="n">
        <v>27</v>
      </c>
      <c r="I1976" s="70" t="n">
        <v>129.17</v>
      </c>
      <c r="J1976" s="70" t="n">
        <v>78.33</v>
      </c>
      <c r="K1976" s="70" t="n">
        <f aca="false">IF(ISTEXT(H1976),VALUE(H1976),H1976)*I1976</f>
        <v>3487.59</v>
      </c>
    </row>
    <row r="1977" customFormat="false" ht="15" hidden="false" customHeight="false" outlineLevel="0" collapsed="false">
      <c r="A1977" s="0" t="n">
        <v>22</v>
      </c>
      <c r="B1977" s="68" t="n">
        <v>45311</v>
      </c>
      <c r="C1977" s="69" t="s">
        <v>27</v>
      </c>
      <c r="D1977" s="69"/>
      <c r="E1977" s="69" t="s">
        <v>125</v>
      </c>
      <c r="F1977" s="69" t="s">
        <v>147</v>
      </c>
      <c r="G1977" s="69" t="s">
        <v>151</v>
      </c>
      <c r="H1977" s="0" t="n">
        <v>4</v>
      </c>
      <c r="I1977" s="70" t="n">
        <v>1176</v>
      </c>
      <c r="J1977" s="70" t="n">
        <v>744</v>
      </c>
      <c r="K1977" s="70" t="n">
        <f aca="false">IF(ISTEXT(H1977),VALUE(H1977),H1977)*I1977</f>
        <v>4704</v>
      </c>
    </row>
    <row r="1978" customFormat="false" ht="15" hidden="false" customHeight="false" outlineLevel="0" collapsed="false">
      <c r="A1978" s="0" t="n">
        <v>1494</v>
      </c>
      <c r="B1978" s="68" t="n">
        <v>45726</v>
      </c>
      <c r="C1978" s="69" t="s">
        <v>161</v>
      </c>
      <c r="D1978" s="69" t="s">
        <v>112</v>
      </c>
      <c r="E1978" s="69" t="s">
        <v>180</v>
      </c>
      <c r="F1978" s="69" t="s">
        <v>115</v>
      </c>
      <c r="G1978" s="69" t="s">
        <v>50</v>
      </c>
      <c r="H1978" s="0" t="n">
        <v>9</v>
      </c>
      <c r="I1978" s="70" t="n">
        <v>119.23</v>
      </c>
      <c r="J1978" s="70" t="n">
        <v>65.51</v>
      </c>
      <c r="K1978" s="70" t="n">
        <f aca="false">IF(ISTEXT(H1978),VALUE(H1978),H1978)*I1978</f>
        <v>1073.07</v>
      </c>
    </row>
    <row r="1979" customFormat="false" ht="15" hidden="false" customHeight="false" outlineLevel="0" collapsed="false">
      <c r="A1979" s="0" t="n">
        <v>2044</v>
      </c>
      <c r="B1979" s="69" t="s">
        <v>264</v>
      </c>
      <c r="C1979" s="69" t="s">
        <v>30</v>
      </c>
      <c r="D1979" s="69" t="s">
        <v>109</v>
      </c>
      <c r="E1979" s="69" t="s">
        <v>87</v>
      </c>
      <c r="F1979" s="69" t="s">
        <v>147</v>
      </c>
      <c r="G1979" s="69" t="s">
        <v>89</v>
      </c>
      <c r="H1979" s="0" t="n">
        <v>5</v>
      </c>
      <c r="I1979" s="70" t="n">
        <v>451.78</v>
      </c>
      <c r="J1979" s="70" t="n">
        <v>280.42</v>
      </c>
      <c r="K1979" s="70" t="n">
        <f aca="false">IF(ISTEXT(H1979),VALUE(H1979),H1979)*I1979</f>
        <v>2258.9</v>
      </c>
    </row>
    <row r="1980" customFormat="false" ht="15" hidden="false" customHeight="false" outlineLevel="0" collapsed="false">
      <c r="A1980" s="0" t="n">
        <v>858</v>
      </c>
      <c r="B1980" s="68" t="n">
        <v>45548</v>
      </c>
      <c r="C1980" s="69" t="s">
        <v>30</v>
      </c>
      <c r="D1980" s="69" t="s">
        <v>109</v>
      </c>
      <c r="E1980" s="69" t="s">
        <v>87</v>
      </c>
      <c r="F1980" s="69" t="s">
        <v>183</v>
      </c>
      <c r="G1980" s="69" t="s">
        <v>130</v>
      </c>
      <c r="H1980" s="0" t="n">
        <v>10</v>
      </c>
      <c r="I1980" s="70" t="n">
        <v>127.4</v>
      </c>
      <c r="J1980" s="70" t="n">
        <v>76.05</v>
      </c>
      <c r="K1980" s="70" t="n">
        <f aca="false">IF(ISTEXT(H1980),VALUE(H1980),H1980)*I1980</f>
        <v>1274</v>
      </c>
    </row>
    <row r="1981" customFormat="false" ht="15" hidden="false" customHeight="false" outlineLevel="0" collapsed="false">
      <c r="A1981" s="0" t="n">
        <v>180</v>
      </c>
      <c r="B1981" s="69" t="s">
        <v>757</v>
      </c>
      <c r="C1981" s="69" t="s">
        <v>32</v>
      </c>
      <c r="D1981" s="69" t="s">
        <v>137</v>
      </c>
      <c r="E1981" s="69" t="s">
        <v>87</v>
      </c>
      <c r="F1981" s="69" t="s">
        <v>168</v>
      </c>
      <c r="G1981" s="69" t="s">
        <v>217</v>
      </c>
      <c r="H1981" s="0" t="n">
        <v>5</v>
      </c>
      <c r="I1981" s="70" t="n">
        <v>34.3</v>
      </c>
      <c r="J1981" s="70" t="n">
        <v>17.85</v>
      </c>
      <c r="K1981" s="70" t="n">
        <f aca="false">IF(ISTEXT(H1981),VALUE(H1981),H1981)*I1981</f>
        <v>171.5</v>
      </c>
    </row>
    <row r="1982" customFormat="false" ht="15" hidden="false" customHeight="false" outlineLevel="0" collapsed="false">
      <c r="A1982" s="0" t="n">
        <v>152</v>
      </c>
      <c r="B1982" s="69" t="s">
        <v>758</v>
      </c>
      <c r="C1982" s="69" t="s">
        <v>152</v>
      </c>
      <c r="D1982" s="69" t="s">
        <v>109</v>
      </c>
      <c r="E1982" s="69" t="s">
        <v>87</v>
      </c>
      <c r="F1982" s="69" t="s">
        <v>99</v>
      </c>
      <c r="G1982" s="69" t="s">
        <v>208</v>
      </c>
      <c r="H1982" s="0" t="n">
        <v>14</v>
      </c>
      <c r="I1982" s="70" t="n">
        <v>63.7</v>
      </c>
      <c r="J1982" s="70" t="n">
        <v>35.43</v>
      </c>
      <c r="K1982" s="70" t="n">
        <f aca="false">IF(ISTEXT(H1982),VALUE(H1982),H1982)*I1982</f>
        <v>891.8</v>
      </c>
    </row>
    <row r="1983" customFormat="false" ht="15" hidden="false" customHeight="false" outlineLevel="0" collapsed="false">
      <c r="A1983" s="0" t="n">
        <v>1962</v>
      </c>
      <c r="B1983" s="69" t="s">
        <v>759</v>
      </c>
      <c r="C1983" s="69" t="s">
        <v>136</v>
      </c>
      <c r="D1983" s="69" t="s">
        <v>137</v>
      </c>
      <c r="E1983" s="69" t="s">
        <v>107</v>
      </c>
      <c r="F1983" s="69" t="s">
        <v>88</v>
      </c>
      <c r="G1983" s="69" t="s">
        <v>151</v>
      </c>
      <c r="H1983" s="0" t="n">
        <v>5</v>
      </c>
      <c r="I1983" s="70" t="n">
        <v>1204.74</v>
      </c>
      <c r="J1983" s="70" t="n">
        <v>766.32</v>
      </c>
      <c r="K1983" s="70" t="n">
        <f aca="false">IF(ISTEXT(H1983),VALUE(H1983),H1983)*I1983</f>
        <v>6023.7</v>
      </c>
    </row>
    <row r="1984" customFormat="false" ht="15" hidden="false" customHeight="false" outlineLevel="0" collapsed="false">
      <c r="A1984" s="0" t="n">
        <v>766</v>
      </c>
      <c r="B1984" s="69" t="s">
        <v>760</v>
      </c>
      <c r="C1984" s="69" t="s">
        <v>193</v>
      </c>
      <c r="D1984" s="69" t="s">
        <v>137</v>
      </c>
      <c r="E1984" s="69" t="s">
        <v>119</v>
      </c>
      <c r="F1984" s="69" t="s">
        <v>135</v>
      </c>
      <c r="G1984" s="69" t="s">
        <v>157</v>
      </c>
      <c r="H1984" s="0" t="n">
        <v>2</v>
      </c>
      <c r="I1984" s="70" t="n">
        <v>1617</v>
      </c>
      <c r="J1984" s="70" t="n">
        <v>1122</v>
      </c>
      <c r="K1984" s="70" t="n">
        <f aca="false">IF(ISTEXT(H1984),VALUE(H1984),H1984)*I1984</f>
        <v>3234</v>
      </c>
    </row>
    <row r="1985" customFormat="false" ht="15" hidden="false" customHeight="false" outlineLevel="0" collapsed="false">
      <c r="A1985" s="0" t="n">
        <v>1303</v>
      </c>
      <c r="B1985" s="68" t="n">
        <v>45711</v>
      </c>
      <c r="C1985" s="69" t="s">
        <v>170</v>
      </c>
      <c r="D1985" s="69" t="s">
        <v>97</v>
      </c>
      <c r="E1985" s="69" t="s">
        <v>110</v>
      </c>
      <c r="F1985" s="69" t="s">
        <v>135</v>
      </c>
      <c r="G1985" s="69" t="s">
        <v>89</v>
      </c>
      <c r="H1985" s="0" t="n">
        <v>15</v>
      </c>
      <c r="I1985" s="70" t="n">
        <v>433.15</v>
      </c>
      <c r="J1985" s="70" t="n">
        <v>280.42</v>
      </c>
      <c r="K1985" s="70" t="n">
        <f aca="false">IF(ISTEXT(H1985),VALUE(H1985),H1985)*I1985</f>
        <v>6497.25</v>
      </c>
    </row>
    <row r="1986" customFormat="false" ht="15" hidden="false" customHeight="false" outlineLevel="0" collapsed="false">
      <c r="A1986" s="0" t="n">
        <v>2041</v>
      </c>
      <c r="B1986" s="69" t="s">
        <v>761</v>
      </c>
      <c r="C1986" s="69" t="s">
        <v>108</v>
      </c>
      <c r="D1986" s="69" t="s">
        <v>109</v>
      </c>
      <c r="E1986" s="69" t="s">
        <v>92</v>
      </c>
      <c r="F1986" s="69" t="s">
        <v>135</v>
      </c>
      <c r="G1986" s="69" t="s">
        <v>41</v>
      </c>
      <c r="H1986" s="0" t="n">
        <v>7</v>
      </c>
      <c r="I1986" s="70" t="n">
        <v>1204.74</v>
      </c>
      <c r="J1986" s="70" t="n">
        <v>766.32</v>
      </c>
      <c r="K1986" s="70" t="n">
        <f aca="false">IF(ISTEXT(H1986),VALUE(H1986),H1986)*I1986</f>
        <v>8433.18</v>
      </c>
    </row>
    <row r="1987" customFormat="false" ht="15" hidden="false" customHeight="false" outlineLevel="0" collapsed="false">
      <c r="A1987" s="0" t="n">
        <v>53</v>
      </c>
      <c r="B1987" s="68" t="n">
        <v>45312</v>
      </c>
      <c r="C1987" s="69" t="s">
        <v>152</v>
      </c>
      <c r="D1987" s="69" t="s">
        <v>109</v>
      </c>
      <c r="E1987" s="69" t="s">
        <v>138</v>
      </c>
      <c r="F1987" s="69" t="s">
        <v>115</v>
      </c>
      <c r="G1987" s="69" t="s">
        <v>50</v>
      </c>
      <c r="H1987" s="0" t="n">
        <v>17</v>
      </c>
      <c r="I1987" s="70" t="n">
        <v>117.6</v>
      </c>
      <c r="J1987" s="70" t="n">
        <v>63.6</v>
      </c>
      <c r="K1987" s="70" t="n">
        <f aca="false">IF(ISTEXT(H1987),VALUE(H1987),H1987)*I1987</f>
        <v>1999.2</v>
      </c>
    </row>
    <row r="1988" customFormat="false" ht="15" hidden="false" customHeight="false" outlineLevel="0" collapsed="false">
      <c r="A1988" s="0" t="n">
        <v>927</v>
      </c>
      <c r="B1988" s="68" t="n">
        <v>45575</v>
      </c>
      <c r="C1988" s="69" t="s">
        <v>27</v>
      </c>
      <c r="D1988" s="69"/>
      <c r="E1988" s="69" t="s">
        <v>101</v>
      </c>
      <c r="F1988" s="69" t="s">
        <v>102</v>
      </c>
      <c r="G1988" s="69" t="s">
        <v>103</v>
      </c>
      <c r="H1988" s="0" t="n">
        <v>51</v>
      </c>
      <c r="I1988" s="70" t="n">
        <v>27.44</v>
      </c>
      <c r="J1988" s="70" t="n">
        <v>13.44</v>
      </c>
      <c r="K1988" s="70" t="n">
        <f aca="false">IF(ISTEXT(H1988),VALUE(H1988),H1988)*I1988</f>
        <v>1399.44</v>
      </c>
    </row>
    <row r="1989" customFormat="false" ht="15" hidden="false" customHeight="false" outlineLevel="0" collapsed="false">
      <c r="A1989" s="0" t="n">
        <v>1787</v>
      </c>
      <c r="B1989" s="68" t="n">
        <v>45817</v>
      </c>
      <c r="C1989" s="69" t="s">
        <v>34</v>
      </c>
      <c r="D1989" s="69" t="s">
        <v>112</v>
      </c>
      <c r="E1989" s="69" t="s">
        <v>101</v>
      </c>
      <c r="F1989" s="69" t="s">
        <v>143</v>
      </c>
      <c r="G1989" s="69" t="s">
        <v>47</v>
      </c>
      <c r="H1989" s="0" t="n">
        <v>36</v>
      </c>
      <c r="I1989" s="70" t="n">
        <v>27.82</v>
      </c>
      <c r="J1989" s="70" t="n">
        <v>13.84</v>
      </c>
      <c r="K1989" s="70" t="n">
        <f aca="false">IF(ISTEXT(H1989),VALUE(H1989),H1989)*I1989</f>
        <v>1001.52</v>
      </c>
    </row>
    <row r="1990" customFormat="false" ht="15" hidden="false" customHeight="false" outlineLevel="0" collapsed="false">
      <c r="A1990" s="0" t="n">
        <v>2342</v>
      </c>
      <c r="B1990" s="68" t="n">
        <v>45997</v>
      </c>
      <c r="C1990" s="69" t="s">
        <v>152</v>
      </c>
      <c r="D1990" s="69" t="s">
        <v>109</v>
      </c>
      <c r="E1990" s="69" t="s">
        <v>87</v>
      </c>
      <c r="F1990" s="69" t="s">
        <v>135</v>
      </c>
      <c r="G1990" s="69" t="s">
        <v>41</v>
      </c>
      <c r="H1990" s="0" t="n">
        <v>9</v>
      </c>
      <c r="I1990" s="70" t="n">
        <v>1204.74</v>
      </c>
      <c r="J1990" s="70" t="n">
        <v>766.32</v>
      </c>
      <c r="K1990" s="70" t="n">
        <f aca="false">IF(ISTEXT(H1990),VALUE(H1990),H1990)*I1990</f>
        <v>10842.66</v>
      </c>
    </row>
    <row r="1991" customFormat="false" ht="15" hidden="false" customHeight="false" outlineLevel="0" collapsed="false">
      <c r="A1991" s="0" t="n">
        <v>678</v>
      </c>
      <c r="B1991" s="68" t="n">
        <v>45495</v>
      </c>
      <c r="C1991" s="69" t="s">
        <v>193</v>
      </c>
      <c r="D1991" s="69" t="s">
        <v>137</v>
      </c>
      <c r="E1991" s="69" t="s">
        <v>119</v>
      </c>
      <c r="F1991" s="69" t="s">
        <v>93</v>
      </c>
      <c r="G1991" s="69" t="s">
        <v>130</v>
      </c>
      <c r="H1991" s="0" t="n">
        <v>9</v>
      </c>
      <c r="I1991" s="70" t="n">
        <v>127.4</v>
      </c>
      <c r="J1991" s="70" t="n">
        <v>76.05</v>
      </c>
      <c r="K1991" s="70" t="n">
        <f aca="false">IF(ISTEXT(H1991),VALUE(H1991),H1991)*I1991</f>
        <v>1146.6</v>
      </c>
    </row>
    <row r="1992" customFormat="false" ht="15" hidden="false" customHeight="false" outlineLevel="0" collapsed="false">
      <c r="A1992" s="0" t="n">
        <v>28</v>
      </c>
      <c r="B1992" s="68" t="n">
        <v>45299</v>
      </c>
      <c r="C1992" s="69" t="s">
        <v>120</v>
      </c>
      <c r="D1992" s="69" t="s">
        <v>86</v>
      </c>
      <c r="E1992" s="69" t="s">
        <v>87</v>
      </c>
      <c r="F1992" s="69" t="s">
        <v>28</v>
      </c>
      <c r="G1992" s="69" t="s">
        <v>103</v>
      </c>
      <c r="H1992" s="0" t="n">
        <v>22</v>
      </c>
      <c r="I1992" s="70" t="n">
        <v>27.44</v>
      </c>
      <c r="J1992" s="70" t="n">
        <v>13.44</v>
      </c>
      <c r="K1992" s="70" t="n">
        <f aca="false">IF(ISTEXT(H1992),VALUE(H1992),H1992)*I1992</f>
        <v>603.68</v>
      </c>
    </row>
    <row r="1993" customFormat="false" ht="15" hidden="false" customHeight="false" outlineLevel="0" collapsed="false">
      <c r="A1993" s="0" t="n">
        <v>1199</v>
      </c>
      <c r="B1993" s="68" t="n">
        <v>45650</v>
      </c>
      <c r="C1993" s="69" t="s">
        <v>34</v>
      </c>
      <c r="D1993" s="69" t="s">
        <v>112</v>
      </c>
      <c r="E1993" s="69" t="s">
        <v>110</v>
      </c>
      <c r="F1993" s="69" t="s">
        <v>33</v>
      </c>
      <c r="G1993" s="69" t="s">
        <v>217</v>
      </c>
      <c r="H1993" s="0" t="n">
        <v>24</v>
      </c>
      <c r="I1993" s="70" t="n">
        <v>34.3</v>
      </c>
      <c r="J1993" s="70" t="n">
        <v>17.85</v>
      </c>
      <c r="K1993" s="70" t="n">
        <f aca="false">IF(ISTEXT(H1993),VALUE(H1993),H1993)*I1993</f>
        <v>823.2</v>
      </c>
    </row>
    <row r="1994" customFormat="false" ht="15" hidden="false" customHeight="false" outlineLevel="0" collapsed="false">
      <c r="A1994" s="0" t="n">
        <v>1368</v>
      </c>
      <c r="B1994" s="68" t="n">
        <v>45707</v>
      </c>
      <c r="C1994" s="69" t="s">
        <v>193</v>
      </c>
      <c r="D1994" s="69" t="s">
        <v>137</v>
      </c>
      <c r="E1994" s="69" t="s">
        <v>107</v>
      </c>
      <c r="F1994" s="69" t="s">
        <v>143</v>
      </c>
      <c r="G1994" s="69" t="s">
        <v>103</v>
      </c>
      <c r="H1994" s="0" t="n">
        <v>15</v>
      </c>
      <c r="I1994" s="70" t="n">
        <v>27.82</v>
      </c>
      <c r="J1994" s="70" t="n">
        <v>13.84</v>
      </c>
      <c r="K1994" s="70" t="n">
        <f aca="false">IF(ISTEXT(H1994),VALUE(H1994),H1994)*I1994</f>
        <v>417.3</v>
      </c>
    </row>
    <row r="1995" customFormat="false" ht="15" hidden="false" customHeight="false" outlineLevel="0" collapsed="false">
      <c r="A1995" s="0" t="n">
        <v>2057</v>
      </c>
      <c r="B1995" s="68" t="n">
        <v>45909</v>
      </c>
      <c r="C1995" s="69" t="s">
        <v>30</v>
      </c>
      <c r="D1995" s="69" t="s">
        <v>109</v>
      </c>
      <c r="E1995" s="69" t="s">
        <v>121</v>
      </c>
      <c r="F1995" s="69" t="s">
        <v>33</v>
      </c>
      <c r="G1995" s="69" t="s">
        <v>52</v>
      </c>
      <c r="H1995" s="0" t="n">
        <v>25</v>
      </c>
      <c r="I1995" s="70" t="n">
        <v>130.51</v>
      </c>
      <c r="J1995" s="70" t="n">
        <v>78.33</v>
      </c>
      <c r="K1995" s="70" t="n">
        <f aca="false">IF(ISTEXT(H1995),VALUE(H1995),H1995)*I1995</f>
        <v>3262.75</v>
      </c>
    </row>
    <row r="1996" customFormat="false" ht="15" hidden="false" customHeight="false" outlineLevel="0" collapsed="false">
      <c r="A1996" s="0" t="n">
        <v>1014</v>
      </c>
      <c r="B1996" s="68" t="n">
        <v>45621</v>
      </c>
      <c r="C1996" s="69" t="s">
        <v>96</v>
      </c>
      <c r="D1996" s="69" t="s">
        <v>97</v>
      </c>
      <c r="E1996" s="69" t="s">
        <v>125</v>
      </c>
      <c r="F1996" s="69" t="s">
        <v>166</v>
      </c>
      <c r="G1996" s="69" t="s">
        <v>156</v>
      </c>
      <c r="H1996" s="0" t="n">
        <v>23</v>
      </c>
      <c r="I1996" s="70" t="n">
        <v>117.6</v>
      </c>
      <c r="J1996" s="70" t="n">
        <v>63.6</v>
      </c>
      <c r="K1996" s="70" t="n">
        <f aca="false">IF(ISTEXT(H1996),VALUE(H1996),H1996)*I1996</f>
        <v>2704.8</v>
      </c>
    </row>
    <row r="1997" customFormat="false" ht="15" hidden="false" customHeight="false" outlineLevel="0" collapsed="false">
      <c r="A1997" s="0" t="n">
        <v>915</v>
      </c>
      <c r="B1997" s="68" t="n">
        <v>45572</v>
      </c>
      <c r="C1997" s="69" t="s">
        <v>124</v>
      </c>
      <c r="D1997" s="69" t="s">
        <v>97</v>
      </c>
      <c r="E1997" s="69" t="s">
        <v>110</v>
      </c>
      <c r="F1997" s="69" t="s">
        <v>115</v>
      </c>
      <c r="G1997" s="69" t="s">
        <v>116</v>
      </c>
      <c r="H1997" s="0" t="n">
        <v>43</v>
      </c>
      <c r="I1997" s="70" t="n">
        <v>83.3</v>
      </c>
      <c r="J1997" s="70" t="n">
        <v>48.03</v>
      </c>
      <c r="K1997" s="70" t="n">
        <f aca="false">IF(ISTEXT(H1997),VALUE(H1997),H1997)*I1997</f>
        <v>3581.9</v>
      </c>
    </row>
    <row r="1998" customFormat="false" ht="15" hidden="false" customHeight="false" outlineLevel="0" collapsed="false">
      <c r="A1998" s="0" t="n">
        <v>1721</v>
      </c>
      <c r="B1998" s="69" t="s">
        <v>762</v>
      </c>
      <c r="C1998" s="69" t="s">
        <v>159</v>
      </c>
      <c r="D1998" s="69" t="s">
        <v>86</v>
      </c>
      <c r="E1998" s="69" t="s">
        <v>101</v>
      </c>
      <c r="F1998" s="69" t="s">
        <v>26</v>
      </c>
      <c r="G1998" s="69" t="s">
        <v>41</v>
      </c>
      <c r="H1998" s="0" t="n">
        <v>11</v>
      </c>
      <c r="I1998" s="70" t="n">
        <v>1155.06</v>
      </c>
      <c r="J1998" s="70" t="n">
        <v>766.32</v>
      </c>
      <c r="K1998" s="70" t="n">
        <f aca="false">IF(ISTEXT(H1998),VALUE(H1998),H1998)*I1998</f>
        <v>12705.66</v>
      </c>
    </row>
    <row r="1999" customFormat="false" ht="15" hidden="false" customHeight="false" outlineLevel="0" collapsed="false">
      <c r="A1999" s="0" t="n">
        <v>650</v>
      </c>
      <c r="B1999" s="68" t="n">
        <v>45488</v>
      </c>
      <c r="C1999" s="69" t="s">
        <v>118</v>
      </c>
      <c r="D1999" s="69" t="s">
        <v>109</v>
      </c>
      <c r="E1999" s="69" t="s">
        <v>125</v>
      </c>
      <c r="F1999" s="69" t="s">
        <v>102</v>
      </c>
      <c r="G1999" s="69" t="s">
        <v>172</v>
      </c>
      <c r="H1999" s="0" t="n">
        <v>18</v>
      </c>
      <c r="I1999" s="70" t="n">
        <v>93.1</v>
      </c>
      <c r="J1999" s="70" t="n">
        <v>47.98</v>
      </c>
      <c r="K1999" s="70" t="n">
        <f aca="false">IF(ISTEXT(H1999),VALUE(H1999),H1999)*I1999</f>
        <v>1675.8</v>
      </c>
    </row>
    <row r="2000" customFormat="false" ht="15" hidden="false" customHeight="false" outlineLevel="0" collapsed="false">
      <c r="A2000" s="0" t="n">
        <v>967</v>
      </c>
      <c r="B2000" s="68" t="n">
        <v>45585</v>
      </c>
      <c r="C2000" s="69" t="s">
        <v>136</v>
      </c>
      <c r="D2000" s="69"/>
      <c r="E2000" s="69" t="s">
        <v>138</v>
      </c>
      <c r="F2000" s="69" t="s">
        <v>28</v>
      </c>
      <c r="G2000" s="69" t="s">
        <v>47</v>
      </c>
      <c r="H2000" s="0" t="n">
        <v>32</v>
      </c>
      <c r="I2000" s="70" t="n">
        <v>27.44</v>
      </c>
      <c r="J2000" s="70" t="n">
        <v>13.44</v>
      </c>
      <c r="K2000" s="70" t="n">
        <f aca="false">IF(ISTEXT(H2000),VALUE(H2000),H2000)*I2000</f>
        <v>878.08</v>
      </c>
    </row>
    <row r="2001" customFormat="false" ht="15" hidden="false" customHeight="false" outlineLevel="0" collapsed="false">
      <c r="A2001" s="0" t="n">
        <v>1154</v>
      </c>
      <c r="B2001" s="68" t="n">
        <v>45632</v>
      </c>
      <c r="C2001" s="69" t="s">
        <v>152</v>
      </c>
      <c r="D2001" s="69" t="s">
        <v>109</v>
      </c>
      <c r="E2001" s="69" t="s">
        <v>107</v>
      </c>
      <c r="F2001" s="69" t="s">
        <v>31</v>
      </c>
      <c r="G2001" s="69" t="s">
        <v>50</v>
      </c>
      <c r="H2001" s="0" t="n">
        <v>10</v>
      </c>
      <c r="I2001" s="70" t="n">
        <v>117.6</v>
      </c>
      <c r="J2001" s="70" t="n">
        <v>63.6</v>
      </c>
      <c r="K2001" s="70" t="n">
        <f aca="false">IF(ISTEXT(H2001),VALUE(H2001),H2001)*I2001</f>
        <v>1176</v>
      </c>
    </row>
    <row r="2002" customFormat="false" ht="15" hidden="false" customHeight="false" outlineLevel="0" collapsed="false">
      <c r="A2002" s="0" t="n">
        <v>810</v>
      </c>
      <c r="B2002" s="69" t="s">
        <v>763</v>
      </c>
      <c r="C2002" s="69" t="s">
        <v>96</v>
      </c>
      <c r="D2002" s="69" t="s">
        <v>97</v>
      </c>
      <c r="E2002" s="69" t="s">
        <v>107</v>
      </c>
      <c r="F2002" s="69" t="s">
        <v>102</v>
      </c>
      <c r="G2002" s="69" t="s">
        <v>48</v>
      </c>
      <c r="H2002" s="0" t="n">
        <v>35</v>
      </c>
      <c r="I2002" s="70" t="n">
        <v>93.1</v>
      </c>
      <c r="J2002" s="70" t="n">
        <v>47.98</v>
      </c>
      <c r="K2002" s="70" t="n">
        <f aca="false">IF(ISTEXT(H2002),VALUE(H2002),H2002)*I2002</f>
        <v>3258.5</v>
      </c>
    </row>
    <row r="2003" customFormat="false" ht="15" hidden="false" customHeight="false" outlineLevel="0" collapsed="false">
      <c r="A2003" s="0" t="n">
        <v>212</v>
      </c>
      <c r="B2003" s="69" t="s">
        <v>764</v>
      </c>
      <c r="C2003" s="69" t="s">
        <v>170</v>
      </c>
      <c r="D2003" s="69" t="s">
        <v>97</v>
      </c>
      <c r="E2003" s="69" t="s">
        <v>107</v>
      </c>
      <c r="F2003" s="69" t="s">
        <v>28</v>
      </c>
      <c r="G2003" s="69" t="s">
        <v>49</v>
      </c>
      <c r="H2003" s="0" t="s">
        <v>215</v>
      </c>
      <c r="I2003" s="70" t="n">
        <v>63.7</v>
      </c>
      <c r="J2003" s="70" t="n">
        <v>35.43</v>
      </c>
      <c r="K2003" s="70" t="n">
        <f aca="false">IF(ISTEXT(H2003),VALUE(H2003),H2003)*I2003</f>
        <v>1974.7</v>
      </c>
    </row>
    <row r="2004" customFormat="false" ht="15" hidden="false" customHeight="false" outlineLevel="0" collapsed="false">
      <c r="A2004" s="0" t="n">
        <v>1446</v>
      </c>
      <c r="B2004" s="68" t="n">
        <v>45741</v>
      </c>
      <c r="C2004" s="69" t="s">
        <v>108</v>
      </c>
      <c r="D2004" s="69" t="s">
        <v>109</v>
      </c>
      <c r="E2004" s="69" t="s">
        <v>107</v>
      </c>
      <c r="F2004" s="69" t="s">
        <v>88</v>
      </c>
      <c r="G2004" s="69" t="s">
        <v>141</v>
      </c>
      <c r="H2004" s="0" t="n">
        <v>6</v>
      </c>
      <c r="I2004" s="70" t="n">
        <v>1588.21</v>
      </c>
      <c r="J2004" s="70" t="n">
        <v>1155.66</v>
      </c>
      <c r="K2004" s="70" t="n">
        <f aca="false">IF(ISTEXT(H2004),VALUE(H2004),H2004)*I2004</f>
        <v>9529.26</v>
      </c>
    </row>
    <row r="2005" customFormat="false" ht="15" hidden="false" customHeight="false" outlineLevel="0" collapsed="false">
      <c r="A2005" s="0" t="n">
        <v>259</v>
      </c>
      <c r="B2005" s="69" t="s">
        <v>765</v>
      </c>
      <c r="C2005" s="69" t="s">
        <v>152</v>
      </c>
      <c r="D2005" s="69" t="s">
        <v>109</v>
      </c>
      <c r="E2005" s="69" t="s">
        <v>92</v>
      </c>
      <c r="F2005" s="69" t="s">
        <v>183</v>
      </c>
      <c r="G2005" s="69" t="s">
        <v>94</v>
      </c>
      <c r="H2005" s="0" t="n">
        <v>26</v>
      </c>
      <c r="I2005" s="70" t="n">
        <v>34.3</v>
      </c>
      <c r="J2005" s="70" t="n">
        <v>17.85</v>
      </c>
      <c r="K2005" s="70" t="n">
        <f aca="false">IF(ISTEXT(H2005),VALUE(H2005),H2005)*I2005</f>
        <v>891.8</v>
      </c>
    </row>
    <row r="2006" customFormat="false" ht="15" hidden="false" customHeight="false" outlineLevel="0" collapsed="false">
      <c r="A2006" s="0" t="n">
        <v>1730</v>
      </c>
      <c r="B2006" s="69" t="s">
        <v>766</v>
      </c>
      <c r="C2006" s="69" t="s">
        <v>91</v>
      </c>
      <c r="D2006" s="69" t="s">
        <v>86</v>
      </c>
      <c r="E2006" s="69" t="s">
        <v>107</v>
      </c>
      <c r="F2006" s="69" t="s">
        <v>102</v>
      </c>
      <c r="G2006" s="69" t="s">
        <v>172</v>
      </c>
      <c r="H2006" s="0" t="s">
        <v>238</v>
      </c>
      <c r="I2006" s="70" t="n">
        <v>94.39</v>
      </c>
      <c r="J2006" s="70" t="n">
        <v>49.41</v>
      </c>
      <c r="K2006" s="70" t="n">
        <f aca="false">IF(ISTEXT(H2006),VALUE(H2006),H2006)*I2006</f>
        <v>4341.94</v>
      </c>
    </row>
    <row r="2007" customFormat="false" ht="15" hidden="false" customHeight="false" outlineLevel="0" collapsed="false">
      <c r="A2007" s="0" t="n">
        <v>1766</v>
      </c>
      <c r="B2007" s="68" t="n">
        <v>45832</v>
      </c>
      <c r="C2007" s="69" t="s">
        <v>193</v>
      </c>
      <c r="D2007" s="69"/>
      <c r="E2007" s="69" t="s">
        <v>107</v>
      </c>
      <c r="F2007" s="69" t="s">
        <v>26</v>
      </c>
      <c r="G2007" s="69" t="s">
        <v>45</v>
      </c>
      <c r="H2007" s="0" t="n">
        <v>4</v>
      </c>
      <c r="I2007" s="70" t="n">
        <v>1588.21</v>
      </c>
      <c r="J2007" s="70" t="n">
        <v>1155.66</v>
      </c>
      <c r="K2007" s="70" t="n">
        <f aca="false">IF(ISTEXT(H2007),VALUE(H2007),H2007)*I2007</f>
        <v>6352.84</v>
      </c>
    </row>
    <row r="2008" customFormat="false" ht="15" hidden="false" customHeight="false" outlineLevel="0" collapsed="false">
      <c r="A2008" s="0" t="n">
        <v>1623</v>
      </c>
      <c r="B2008" s="68" t="n">
        <v>45799</v>
      </c>
      <c r="C2008" s="69" t="s">
        <v>120</v>
      </c>
      <c r="D2008" s="69" t="s">
        <v>86</v>
      </c>
      <c r="E2008" s="69" t="s">
        <v>101</v>
      </c>
      <c r="F2008" s="69" t="s">
        <v>147</v>
      </c>
      <c r="G2008" s="69" t="s">
        <v>43</v>
      </c>
      <c r="H2008" s="0" t="n">
        <v>11</v>
      </c>
      <c r="I2008" s="70" t="n">
        <v>433.15</v>
      </c>
      <c r="J2008" s="70" t="n">
        <v>280.42</v>
      </c>
      <c r="K2008" s="70" t="n">
        <f aca="false">IF(ISTEXT(H2008),VALUE(H2008),H2008)*I2008</f>
        <v>4764.65</v>
      </c>
    </row>
    <row r="2009" customFormat="false" ht="15" hidden="false" customHeight="false" outlineLevel="0" collapsed="false">
      <c r="A2009" s="0" t="n">
        <v>1181</v>
      </c>
      <c r="B2009" s="68" t="n">
        <v>45632</v>
      </c>
      <c r="C2009" s="69" t="s">
        <v>161</v>
      </c>
      <c r="D2009" s="69" t="s">
        <v>112</v>
      </c>
      <c r="E2009" s="69" t="s">
        <v>121</v>
      </c>
      <c r="F2009" s="69" t="s">
        <v>88</v>
      </c>
      <c r="G2009" s="69" t="s">
        <v>151</v>
      </c>
      <c r="H2009" s="0" t="n">
        <v>11</v>
      </c>
      <c r="I2009" s="70" t="n">
        <v>1176</v>
      </c>
      <c r="J2009" s="70" t="n">
        <v>744</v>
      </c>
      <c r="K2009" s="70" t="n">
        <f aca="false">IF(ISTEXT(H2009),VALUE(H2009),H2009)*I2009</f>
        <v>12936</v>
      </c>
    </row>
    <row r="2010" customFormat="false" ht="15" hidden="false" customHeight="false" outlineLevel="0" collapsed="false">
      <c r="A2010" s="0" t="n">
        <v>2007</v>
      </c>
      <c r="B2010" s="69" t="s">
        <v>233</v>
      </c>
      <c r="C2010" s="69" t="s">
        <v>124</v>
      </c>
      <c r="D2010" s="69" t="s">
        <v>97</v>
      </c>
      <c r="E2010" s="69" t="s">
        <v>110</v>
      </c>
      <c r="F2010" s="69" t="s">
        <v>102</v>
      </c>
      <c r="G2010" s="69" t="s">
        <v>113</v>
      </c>
      <c r="H2010" s="0" t="n">
        <v>84</v>
      </c>
      <c r="I2010" s="70" t="n">
        <v>28.11</v>
      </c>
      <c r="J2010" s="70" t="n">
        <v>13.84</v>
      </c>
      <c r="K2010" s="70" t="n">
        <f aca="false">IF(ISTEXT(H2010),VALUE(H2010),H2010)*I2010</f>
        <v>2361.24</v>
      </c>
    </row>
    <row r="2011" customFormat="false" ht="15" hidden="false" customHeight="false" outlineLevel="0" collapsed="false">
      <c r="A2011" s="0" t="n">
        <v>176</v>
      </c>
      <c r="B2011" s="69" t="s">
        <v>767</v>
      </c>
      <c r="C2011" s="69" t="s">
        <v>136</v>
      </c>
      <c r="D2011" s="69" t="s">
        <v>137</v>
      </c>
      <c r="E2011" s="69" t="s">
        <v>98</v>
      </c>
      <c r="F2011" s="69" t="s">
        <v>166</v>
      </c>
      <c r="G2011" s="69" t="s">
        <v>116</v>
      </c>
      <c r="H2011" s="0" t="n">
        <v>4</v>
      </c>
      <c r="I2011" s="70" t="n">
        <v>83.3</v>
      </c>
      <c r="J2011" s="70" t="n">
        <v>48.03</v>
      </c>
      <c r="K2011" s="70" t="n">
        <f aca="false">IF(ISTEXT(H2011),VALUE(H2011),H2011)*I2011</f>
        <v>333.2</v>
      </c>
    </row>
    <row r="2012" customFormat="false" ht="15" hidden="false" customHeight="false" outlineLevel="0" collapsed="false">
      <c r="A2012" s="0" t="n">
        <v>2128</v>
      </c>
      <c r="B2012" s="69" t="s">
        <v>258</v>
      </c>
      <c r="C2012" s="69" t="s">
        <v>91</v>
      </c>
      <c r="D2012" s="69" t="s">
        <v>86</v>
      </c>
      <c r="E2012" s="69" t="s">
        <v>107</v>
      </c>
      <c r="F2012" s="69" t="s">
        <v>102</v>
      </c>
      <c r="G2012" s="69" t="s">
        <v>103</v>
      </c>
      <c r="H2012" s="0" t="n">
        <v>33</v>
      </c>
      <c r="I2012" s="70" t="n">
        <v>28.11</v>
      </c>
      <c r="J2012" s="70" t="n">
        <v>13.84</v>
      </c>
      <c r="K2012" s="70" t="n">
        <f aca="false">IF(ISTEXT(H2012),VALUE(H2012),H2012)*I2012</f>
        <v>927.63</v>
      </c>
    </row>
    <row r="2013" customFormat="false" ht="15" hidden="false" customHeight="false" outlineLevel="0" collapsed="false">
      <c r="A2013" s="0" t="n">
        <v>2294</v>
      </c>
      <c r="B2013" s="68" t="n">
        <v>45982</v>
      </c>
      <c r="C2013" s="69" t="s">
        <v>142</v>
      </c>
      <c r="D2013" s="69" t="s">
        <v>112</v>
      </c>
      <c r="E2013" s="69" t="s">
        <v>180</v>
      </c>
      <c r="F2013" s="69" t="s">
        <v>166</v>
      </c>
      <c r="G2013" s="69" t="s">
        <v>156</v>
      </c>
      <c r="H2013" s="0" t="n">
        <v>11</v>
      </c>
      <c r="I2013" s="70" t="n">
        <v>120.47</v>
      </c>
      <c r="J2013" s="70" t="n">
        <v>65.51</v>
      </c>
      <c r="K2013" s="70" t="n">
        <f aca="false">IF(ISTEXT(H2013),VALUE(H2013),H2013)*I2013</f>
        <v>1325.17</v>
      </c>
    </row>
    <row r="2014" customFormat="false" ht="15" hidden="false" customHeight="false" outlineLevel="0" collapsed="false">
      <c r="A2014" s="0" t="n">
        <v>672</v>
      </c>
      <c r="B2014" s="68" t="n">
        <v>45480</v>
      </c>
      <c r="C2014" s="69" t="s">
        <v>32</v>
      </c>
      <c r="D2014" s="69" t="s">
        <v>137</v>
      </c>
      <c r="E2014" s="69" t="s">
        <v>98</v>
      </c>
      <c r="F2014" s="69" t="s">
        <v>155</v>
      </c>
      <c r="G2014" s="69" t="s">
        <v>144</v>
      </c>
      <c r="H2014" s="0" t="n">
        <v>12</v>
      </c>
      <c r="I2014" s="70" t="n">
        <v>63.7</v>
      </c>
      <c r="J2014" s="70" t="n">
        <v>35.43</v>
      </c>
      <c r="K2014" s="70" t="n">
        <f aca="false">IF(ISTEXT(H2014),VALUE(H2014),H2014)*I2014</f>
        <v>764.4</v>
      </c>
    </row>
    <row r="2015" customFormat="false" ht="15" hidden="false" customHeight="false" outlineLevel="0" collapsed="false">
      <c r="A2015" s="0" t="n">
        <v>1351</v>
      </c>
      <c r="B2015" s="68" t="n">
        <v>45696</v>
      </c>
      <c r="C2015" s="69" t="s">
        <v>152</v>
      </c>
      <c r="D2015" s="69" t="s">
        <v>109</v>
      </c>
      <c r="E2015" s="69" t="s">
        <v>138</v>
      </c>
      <c r="F2015" s="69" t="s">
        <v>155</v>
      </c>
      <c r="G2015" s="69" t="s">
        <v>49</v>
      </c>
      <c r="H2015" s="0" t="n">
        <v>27</v>
      </c>
      <c r="I2015" s="70" t="n">
        <v>64.58</v>
      </c>
      <c r="J2015" s="70" t="n">
        <v>36.49</v>
      </c>
      <c r="K2015" s="70" t="n">
        <f aca="false">IF(ISTEXT(H2015),VALUE(H2015),H2015)*I2015</f>
        <v>1743.66</v>
      </c>
    </row>
    <row r="2016" customFormat="false" ht="15" hidden="false" customHeight="false" outlineLevel="0" collapsed="false">
      <c r="A2016" s="0" t="n">
        <v>1161</v>
      </c>
      <c r="B2016" s="68" t="n">
        <v>45627</v>
      </c>
      <c r="C2016" s="69" t="s">
        <v>184</v>
      </c>
      <c r="D2016" s="69"/>
      <c r="E2016" s="69" t="s">
        <v>101</v>
      </c>
      <c r="F2016" s="69" t="s">
        <v>88</v>
      </c>
      <c r="G2016" s="69" t="s">
        <v>151</v>
      </c>
      <c r="H2016" s="0" t="n">
        <v>10</v>
      </c>
      <c r="I2016" s="70" t="n">
        <v>1176</v>
      </c>
      <c r="J2016" s="70" t="n">
        <v>744</v>
      </c>
      <c r="K2016" s="70" t="n">
        <f aca="false">IF(ISTEXT(H2016),VALUE(H2016),H2016)*I2016</f>
        <v>11760</v>
      </c>
    </row>
    <row r="2017" customFormat="false" ht="15" hidden="false" customHeight="false" outlineLevel="0" collapsed="false">
      <c r="A2017" s="0" t="n">
        <v>1981</v>
      </c>
      <c r="B2017" s="68" t="n">
        <v>45886</v>
      </c>
      <c r="C2017" s="69" t="s">
        <v>161</v>
      </c>
      <c r="D2017" s="69" t="s">
        <v>112</v>
      </c>
      <c r="E2017" s="69" t="s">
        <v>101</v>
      </c>
      <c r="F2017" s="69" t="s">
        <v>147</v>
      </c>
      <c r="G2017" s="69" t="s">
        <v>154</v>
      </c>
      <c r="H2017" s="0" t="n">
        <v>7</v>
      </c>
      <c r="I2017" s="70" t="n">
        <v>1204.74</v>
      </c>
      <c r="J2017" s="70" t="n">
        <v>766.32</v>
      </c>
      <c r="K2017" s="70" t="n">
        <f aca="false">IF(ISTEXT(H2017),VALUE(H2017),H2017)*I2017</f>
        <v>8433.18</v>
      </c>
    </row>
    <row r="2018" customFormat="false" ht="15" hidden="false" customHeight="false" outlineLevel="0" collapsed="false">
      <c r="A2018" s="0" t="n">
        <v>2268</v>
      </c>
      <c r="B2018" s="68" t="n">
        <v>45962</v>
      </c>
      <c r="C2018" s="69" t="s">
        <v>136</v>
      </c>
      <c r="D2018" s="69" t="s">
        <v>137</v>
      </c>
      <c r="E2018" s="69" t="s">
        <v>125</v>
      </c>
      <c r="F2018" s="69" t="s">
        <v>102</v>
      </c>
      <c r="G2018" s="69" t="s">
        <v>113</v>
      </c>
      <c r="H2018" s="0" t="n">
        <v>21</v>
      </c>
      <c r="I2018" s="70" t="n">
        <v>28.11</v>
      </c>
      <c r="J2018" s="70" t="n">
        <v>13.84</v>
      </c>
      <c r="K2018" s="70" t="n">
        <f aca="false">IF(ISTEXT(H2018),VALUE(H2018),H2018)*I2018</f>
        <v>590.31</v>
      </c>
    </row>
    <row r="2019" customFormat="false" ht="15" hidden="false" customHeight="false" outlineLevel="0" collapsed="false">
      <c r="A2019" s="0" t="n">
        <v>1769</v>
      </c>
      <c r="B2019" s="69" t="s">
        <v>768</v>
      </c>
      <c r="C2019" s="69" t="s">
        <v>193</v>
      </c>
      <c r="D2019" s="69" t="s">
        <v>137</v>
      </c>
      <c r="E2019" s="69" t="s">
        <v>92</v>
      </c>
      <c r="F2019" s="69" t="s">
        <v>155</v>
      </c>
      <c r="G2019" s="69" t="s">
        <v>172</v>
      </c>
      <c r="H2019" s="0" t="n">
        <v>28</v>
      </c>
      <c r="I2019" s="70" t="n">
        <v>94.39</v>
      </c>
      <c r="J2019" s="70" t="n">
        <v>49.41</v>
      </c>
      <c r="K2019" s="70" t="n">
        <f aca="false">IF(ISTEXT(H2019),VALUE(H2019),H2019)*I2019</f>
        <v>2642.92</v>
      </c>
    </row>
    <row r="2020" customFormat="false" ht="15" hidden="false" customHeight="false" outlineLevel="0" collapsed="false">
      <c r="A2020" s="0" t="n">
        <v>1149</v>
      </c>
      <c r="B2020" s="69" t="s">
        <v>552</v>
      </c>
      <c r="C2020" s="69" t="s">
        <v>108</v>
      </c>
      <c r="D2020" s="69" t="s">
        <v>109</v>
      </c>
      <c r="E2020" s="69" t="s">
        <v>110</v>
      </c>
      <c r="F2020" s="69" t="s">
        <v>143</v>
      </c>
      <c r="G2020" s="69" t="s">
        <v>48</v>
      </c>
      <c r="H2020" s="0" t="n">
        <v>53</v>
      </c>
      <c r="I2020" s="70" t="n">
        <v>93.1</v>
      </c>
      <c r="J2020" s="70" t="n">
        <v>47.98</v>
      </c>
      <c r="K2020" s="70" t="n">
        <f aca="false">IF(ISTEXT(H2020),VALUE(H2020),H2020)*I2020</f>
        <v>4934.3</v>
      </c>
    </row>
    <row r="2021" customFormat="false" ht="15" hidden="false" customHeight="false" outlineLevel="0" collapsed="false">
      <c r="A2021" s="0" t="n">
        <v>2194</v>
      </c>
      <c r="B2021" s="69" t="s">
        <v>598</v>
      </c>
      <c r="C2021" s="69" t="s">
        <v>34</v>
      </c>
      <c r="D2021" s="69" t="s">
        <v>112</v>
      </c>
      <c r="E2021" s="69" t="s">
        <v>125</v>
      </c>
      <c r="F2021" s="69" t="s">
        <v>162</v>
      </c>
      <c r="G2021" s="69" t="s">
        <v>50</v>
      </c>
      <c r="H2021" s="0" t="n">
        <v>9</v>
      </c>
      <c r="I2021" s="70" t="n">
        <v>120.47</v>
      </c>
      <c r="J2021" s="70" t="n">
        <v>65.51</v>
      </c>
      <c r="K2021" s="70" t="n">
        <f aca="false">IF(ISTEXT(H2021),VALUE(H2021),H2021)*I2021</f>
        <v>1084.23</v>
      </c>
    </row>
    <row r="2022" customFormat="false" ht="15" hidden="false" customHeight="false" outlineLevel="0" collapsed="false">
      <c r="A2022" s="0" t="n">
        <v>725</v>
      </c>
      <c r="B2022" s="68" t="n">
        <v>45531</v>
      </c>
      <c r="C2022" s="69" t="s">
        <v>27</v>
      </c>
      <c r="D2022" s="69" t="s">
        <v>86</v>
      </c>
      <c r="E2022" s="69" t="s">
        <v>121</v>
      </c>
      <c r="F2022" s="69" t="s">
        <v>153</v>
      </c>
      <c r="G2022" s="69" t="s">
        <v>45</v>
      </c>
      <c r="H2022" s="0" t="n">
        <v>13</v>
      </c>
      <c r="I2022" s="70" t="n">
        <v>1617</v>
      </c>
      <c r="J2022" s="70" t="n">
        <v>1122</v>
      </c>
      <c r="K2022" s="70" t="n">
        <f aca="false">IF(ISTEXT(H2022),VALUE(H2022),H2022)*I2022</f>
        <v>21021</v>
      </c>
    </row>
    <row r="2023" customFormat="false" ht="15" hidden="false" customHeight="false" outlineLevel="0" collapsed="false">
      <c r="A2023" s="0" t="n">
        <v>1983</v>
      </c>
      <c r="B2023" s="69" t="s">
        <v>630</v>
      </c>
      <c r="C2023" s="69" t="s">
        <v>142</v>
      </c>
      <c r="D2023" s="69" t="s">
        <v>112</v>
      </c>
      <c r="E2023" s="69" t="s">
        <v>138</v>
      </c>
      <c r="F2023" s="69" t="s">
        <v>147</v>
      </c>
      <c r="G2023" s="69" t="s">
        <v>89</v>
      </c>
      <c r="H2023" s="0" t="n">
        <v>7</v>
      </c>
      <c r="I2023" s="70" t="n">
        <v>451.78</v>
      </c>
      <c r="J2023" s="70" t="n">
        <v>280.42</v>
      </c>
      <c r="K2023" s="70" t="n">
        <f aca="false">IF(ISTEXT(H2023),VALUE(H2023),H2023)*I2023</f>
        <v>3162.46</v>
      </c>
    </row>
    <row r="2024" customFormat="false" ht="15" hidden="false" customHeight="false" outlineLevel="0" collapsed="false">
      <c r="A2024" s="0" t="n">
        <v>739</v>
      </c>
      <c r="B2024" s="68" t="n">
        <v>45521</v>
      </c>
      <c r="C2024" s="69" t="s">
        <v>27</v>
      </c>
      <c r="D2024" s="69" t="s">
        <v>86</v>
      </c>
      <c r="E2024" s="69" t="s">
        <v>138</v>
      </c>
      <c r="F2024" s="69" t="s">
        <v>93</v>
      </c>
      <c r="G2024" s="69" t="s">
        <v>53</v>
      </c>
      <c r="H2024" s="0" t="n">
        <v>33</v>
      </c>
      <c r="I2024" s="70" t="n">
        <v>34.3</v>
      </c>
      <c r="J2024" s="70" t="n">
        <v>17.85</v>
      </c>
      <c r="K2024" s="70" t="n">
        <f aca="false">IF(ISTEXT(H2024),VALUE(H2024),H2024)*I2024</f>
        <v>1131.9</v>
      </c>
    </row>
    <row r="2025" customFormat="false" ht="15" hidden="false" customHeight="false" outlineLevel="0" collapsed="false">
      <c r="A2025" s="0" t="n">
        <v>1</v>
      </c>
      <c r="B2025" s="69" t="s">
        <v>681</v>
      </c>
      <c r="C2025" s="69" t="s">
        <v>170</v>
      </c>
      <c r="D2025" s="69" t="s">
        <v>97</v>
      </c>
      <c r="E2025" s="69" t="s">
        <v>101</v>
      </c>
      <c r="F2025" s="69" t="s">
        <v>88</v>
      </c>
      <c r="G2025" s="69" t="s">
        <v>41</v>
      </c>
      <c r="H2025" s="0" t="n">
        <v>21</v>
      </c>
      <c r="I2025" s="70" t="n">
        <v>1176</v>
      </c>
      <c r="J2025" s="70" t="n">
        <v>744</v>
      </c>
      <c r="K2025" s="70" t="n">
        <f aca="false">IF(ISTEXT(H2025),VALUE(H2025),H2025)*I2025</f>
        <v>24696</v>
      </c>
    </row>
    <row r="2026" customFormat="false" ht="15" hidden="false" customHeight="false" outlineLevel="0" collapsed="false">
      <c r="A2026" s="0" t="n">
        <v>1202</v>
      </c>
      <c r="B2026" s="68" t="n">
        <v>45675</v>
      </c>
      <c r="C2026" s="69" t="s">
        <v>96</v>
      </c>
      <c r="D2026" s="69"/>
      <c r="E2026" s="69" t="s">
        <v>125</v>
      </c>
      <c r="F2026" s="69" t="s">
        <v>88</v>
      </c>
      <c r="G2026" s="69" t="s">
        <v>154</v>
      </c>
      <c r="H2026" s="0" t="s">
        <v>299</v>
      </c>
      <c r="I2026" s="70" t="n">
        <v>1155.06</v>
      </c>
      <c r="J2026" s="70" t="n">
        <v>766.32</v>
      </c>
      <c r="K2026" s="70" t="n">
        <f aca="false">IF(ISTEXT(H2026),VALUE(H2026),H2026)*I2026</f>
        <v>11550.6</v>
      </c>
    </row>
    <row r="2027" customFormat="false" ht="15" hidden="false" customHeight="false" outlineLevel="0" collapsed="false">
      <c r="A2027" s="0" t="n">
        <v>431</v>
      </c>
      <c r="B2027" s="69" t="s">
        <v>769</v>
      </c>
      <c r="C2027" s="69" t="s">
        <v>27</v>
      </c>
      <c r="D2027" s="69" t="s">
        <v>86</v>
      </c>
      <c r="E2027" s="69" t="s">
        <v>101</v>
      </c>
      <c r="F2027" s="69" t="s">
        <v>102</v>
      </c>
      <c r="G2027" s="69" t="s">
        <v>208</v>
      </c>
      <c r="H2027" s="0" t="n">
        <v>60</v>
      </c>
      <c r="I2027" s="70" t="n">
        <v>63.7</v>
      </c>
      <c r="J2027" s="70" t="n">
        <v>35.43</v>
      </c>
      <c r="K2027" s="70" t="n">
        <f aca="false">IF(ISTEXT(H2027),VALUE(H2027),H2027)*I2027</f>
        <v>3822</v>
      </c>
    </row>
    <row r="2028" customFormat="false" ht="15" hidden="false" customHeight="false" outlineLevel="0" collapsed="false">
      <c r="A2028" s="0" t="n">
        <v>877</v>
      </c>
      <c r="B2028" s="69" t="s">
        <v>448</v>
      </c>
      <c r="C2028" s="69" t="s">
        <v>184</v>
      </c>
      <c r="D2028" s="69" t="s">
        <v>137</v>
      </c>
      <c r="E2028" s="69" t="s">
        <v>110</v>
      </c>
      <c r="F2028" s="69" t="s">
        <v>182</v>
      </c>
      <c r="G2028" s="69" t="s">
        <v>127</v>
      </c>
      <c r="H2028" s="0" t="n">
        <v>20</v>
      </c>
      <c r="I2028" s="70" t="n">
        <v>127.4</v>
      </c>
      <c r="J2028" s="70" t="n">
        <v>76.05</v>
      </c>
      <c r="K2028" s="70" t="n">
        <f aca="false">IF(ISTEXT(H2028),VALUE(H2028),H2028)*I2028</f>
        <v>2548</v>
      </c>
    </row>
    <row r="2029" customFormat="false" ht="15" hidden="false" customHeight="false" outlineLevel="0" collapsed="false">
      <c r="A2029" s="0" t="n">
        <v>124</v>
      </c>
      <c r="B2029" s="68" t="n">
        <v>45327</v>
      </c>
      <c r="C2029" s="69" t="s">
        <v>120</v>
      </c>
      <c r="D2029" s="69" t="s">
        <v>86</v>
      </c>
      <c r="E2029" s="69" t="s">
        <v>125</v>
      </c>
      <c r="F2029" s="69" t="s">
        <v>147</v>
      </c>
      <c r="G2029" s="69" t="s">
        <v>43</v>
      </c>
      <c r="H2029" s="0" t="n">
        <v>3</v>
      </c>
      <c r="I2029" s="70" t="n">
        <v>441</v>
      </c>
      <c r="J2029" s="70" t="n">
        <v>272.25</v>
      </c>
      <c r="K2029" s="70" t="n">
        <f aca="false">IF(ISTEXT(H2029),VALUE(H2029),H2029)*I2029</f>
        <v>1323</v>
      </c>
    </row>
    <row r="2030" customFormat="false" ht="15" hidden="false" customHeight="false" outlineLevel="0" collapsed="false">
      <c r="A2030" s="0" t="n">
        <v>928</v>
      </c>
      <c r="B2030" s="69" t="s">
        <v>770</v>
      </c>
      <c r="C2030" s="69" t="s">
        <v>27</v>
      </c>
      <c r="D2030" s="69" t="s">
        <v>86</v>
      </c>
      <c r="E2030" s="69" t="s">
        <v>119</v>
      </c>
      <c r="F2030" s="69" t="s">
        <v>102</v>
      </c>
      <c r="G2030" s="69" t="s">
        <v>103</v>
      </c>
      <c r="H2030" s="0" t="n">
        <v>23</v>
      </c>
      <c r="I2030" s="70" t="n">
        <v>27.44</v>
      </c>
      <c r="J2030" s="70" t="n">
        <v>13.44</v>
      </c>
      <c r="K2030" s="70" t="n">
        <f aca="false">IF(ISTEXT(H2030),VALUE(H2030),H2030)*I2030</f>
        <v>631.12</v>
      </c>
    </row>
    <row r="2031" customFormat="false" ht="15" hidden="false" customHeight="false" outlineLevel="0" collapsed="false">
      <c r="A2031" s="0" t="n">
        <v>1621</v>
      </c>
      <c r="B2031" s="68" t="n">
        <v>45785</v>
      </c>
      <c r="C2031" s="69" t="s">
        <v>159</v>
      </c>
      <c r="D2031" s="69" t="s">
        <v>86</v>
      </c>
      <c r="E2031" s="69" t="s">
        <v>92</v>
      </c>
      <c r="F2031" s="69" t="s">
        <v>26</v>
      </c>
      <c r="G2031" s="69" t="s">
        <v>41</v>
      </c>
      <c r="H2031" s="0" t="n">
        <v>14</v>
      </c>
      <c r="I2031" s="70" t="n">
        <v>1155.06</v>
      </c>
      <c r="J2031" s="70" t="n">
        <v>766.32</v>
      </c>
      <c r="K2031" s="70" t="n">
        <f aca="false">IF(ISTEXT(H2031),VALUE(H2031),H2031)*I2031</f>
        <v>16170.84</v>
      </c>
    </row>
    <row r="2032" customFormat="false" ht="15" hidden="false" customHeight="false" outlineLevel="0" collapsed="false">
      <c r="A2032" s="0" t="n">
        <v>1412</v>
      </c>
      <c r="B2032" s="69" t="s">
        <v>771</v>
      </c>
      <c r="C2032" s="69" t="s">
        <v>96</v>
      </c>
      <c r="D2032" s="69" t="s">
        <v>97</v>
      </c>
      <c r="E2032" s="69" t="s">
        <v>180</v>
      </c>
      <c r="F2032" s="69" t="s">
        <v>102</v>
      </c>
      <c r="G2032" s="69" t="s">
        <v>208</v>
      </c>
      <c r="H2032" s="0" t="n">
        <v>56</v>
      </c>
      <c r="I2032" s="70" t="n">
        <v>64.58</v>
      </c>
      <c r="J2032" s="70" t="n">
        <v>36.49</v>
      </c>
      <c r="K2032" s="70" t="n">
        <f aca="false">IF(ISTEXT(H2032),VALUE(H2032),H2032)*I2032</f>
        <v>3616.48</v>
      </c>
    </row>
    <row r="2033" customFormat="false" ht="15" hidden="false" customHeight="false" outlineLevel="0" collapsed="false">
      <c r="A2033" s="0" t="n">
        <v>2267</v>
      </c>
      <c r="B2033" s="68" t="n">
        <v>45982</v>
      </c>
      <c r="C2033" s="69" t="s">
        <v>32</v>
      </c>
      <c r="D2033" s="69"/>
      <c r="E2033" s="69" t="s">
        <v>138</v>
      </c>
      <c r="F2033" s="69" t="s">
        <v>143</v>
      </c>
      <c r="G2033" s="69" t="s">
        <v>47</v>
      </c>
      <c r="H2033" s="0" t="n">
        <v>41</v>
      </c>
      <c r="I2033" s="70" t="n">
        <v>28.11</v>
      </c>
      <c r="J2033" s="70" t="n">
        <v>13.84</v>
      </c>
      <c r="K2033" s="70" t="n">
        <f aca="false">IF(ISTEXT(H2033),VALUE(H2033),H2033)*I2033</f>
        <v>1152.51</v>
      </c>
    </row>
    <row r="2034" customFormat="false" ht="15" hidden="false" customHeight="false" outlineLevel="0" collapsed="false">
      <c r="A2034" s="0" t="n">
        <v>1304</v>
      </c>
      <c r="B2034" s="68" t="n">
        <v>45691</v>
      </c>
      <c r="C2034" s="69" t="s">
        <v>25</v>
      </c>
      <c r="D2034" s="69" t="s">
        <v>97</v>
      </c>
      <c r="E2034" s="69" t="s">
        <v>107</v>
      </c>
      <c r="F2034" s="69" t="s">
        <v>139</v>
      </c>
      <c r="G2034" s="69" t="s">
        <v>177</v>
      </c>
      <c r="H2034" s="0" t="n">
        <v>12</v>
      </c>
      <c r="I2034" s="70" t="n">
        <v>433.15</v>
      </c>
      <c r="J2034" s="70" t="n">
        <v>280.42</v>
      </c>
      <c r="K2034" s="70" t="n">
        <f aca="false">IF(ISTEXT(H2034),VALUE(H2034),H2034)*I2034</f>
        <v>5197.8</v>
      </c>
    </row>
    <row r="2035" customFormat="false" ht="15" hidden="false" customHeight="false" outlineLevel="0" collapsed="false">
      <c r="A2035" s="0" t="n">
        <v>1462</v>
      </c>
      <c r="B2035" s="69" t="s">
        <v>772</v>
      </c>
      <c r="C2035" s="69" t="s">
        <v>136</v>
      </c>
      <c r="D2035" s="69" t="s">
        <v>137</v>
      </c>
      <c r="E2035" s="69" t="s">
        <v>107</v>
      </c>
      <c r="F2035" s="69" t="s">
        <v>153</v>
      </c>
      <c r="G2035" s="69" t="s">
        <v>151</v>
      </c>
      <c r="H2035" s="0" t="s">
        <v>627</v>
      </c>
      <c r="I2035" s="70" t="n">
        <v>1155.06</v>
      </c>
      <c r="J2035" s="70" t="n">
        <v>766.32</v>
      </c>
      <c r="K2035" s="70" t="n">
        <f aca="false">IF(ISTEXT(H2035),VALUE(H2035),H2035)*I2035</f>
        <v>5775.3</v>
      </c>
    </row>
    <row r="2036" customFormat="false" ht="15" hidden="false" customHeight="false" outlineLevel="0" collapsed="false">
      <c r="A2036" s="0" t="n">
        <v>1334</v>
      </c>
      <c r="B2036" s="68" t="n">
        <v>45712</v>
      </c>
      <c r="C2036" s="69" t="s">
        <v>159</v>
      </c>
      <c r="D2036" s="69" t="s">
        <v>86</v>
      </c>
      <c r="E2036" s="69" t="s">
        <v>180</v>
      </c>
      <c r="F2036" s="69" t="s">
        <v>162</v>
      </c>
      <c r="G2036" s="69" t="s">
        <v>156</v>
      </c>
      <c r="H2036" s="0" t="n">
        <v>15</v>
      </c>
      <c r="I2036" s="70" t="n">
        <v>119.23</v>
      </c>
      <c r="J2036" s="70" t="n">
        <v>65.51</v>
      </c>
      <c r="K2036" s="70" t="n">
        <f aca="false">IF(ISTEXT(H2036),VALUE(H2036),H2036)*I2036</f>
        <v>1788.45</v>
      </c>
    </row>
    <row r="2037" customFormat="false" ht="15" hidden="false" customHeight="false" outlineLevel="0" collapsed="false">
      <c r="A2037" s="0" t="n">
        <v>2387</v>
      </c>
      <c r="B2037" s="69" t="s">
        <v>773</v>
      </c>
      <c r="C2037" s="69" t="s">
        <v>133</v>
      </c>
      <c r="D2037" s="69" t="s">
        <v>112</v>
      </c>
      <c r="E2037" s="69" t="s">
        <v>92</v>
      </c>
      <c r="F2037" s="69" t="s">
        <v>143</v>
      </c>
      <c r="G2037" s="69" t="s">
        <v>47</v>
      </c>
      <c r="H2037" s="0" t="n">
        <v>45</v>
      </c>
      <c r="I2037" s="70" t="n">
        <v>28.11</v>
      </c>
      <c r="J2037" s="70" t="n">
        <v>13.84</v>
      </c>
      <c r="K2037" s="70" t="n">
        <f aca="false">IF(ISTEXT(H2037),VALUE(H2037),H2037)*I2037</f>
        <v>1264.95</v>
      </c>
    </row>
    <row r="2038" customFormat="false" ht="15" hidden="false" customHeight="false" outlineLevel="0" collapsed="false">
      <c r="A2038" s="0" t="n">
        <v>482</v>
      </c>
      <c r="B2038" s="68" t="n">
        <v>45439</v>
      </c>
      <c r="C2038" s="69" t="s">
        <v>161</v>
      </c>
      <c r="D2038" s="69" t="s">
        <v>112</v>
      </c>
      <c r="E2038" s="69" t="s">
        <v>87</v>
      </c>
      <c r="F2038" s="69" t="s">
        <v>153</v>
      </c>
      <c r="G2038" s="69" t="s">
        <v>151</v>
      </c>
      <c r="H2038" s="0" t="n">
        <v>2</v>
      </c>
      <c r="I2038" s="70" t="n">
        <v>1176</v>
      </c>
      <c r="J2038" s="70" t="n">
        <v>744</v>
      </c>
      <c r="K2038" s="70" t="n">
        <f aca="false">IF(ISTEXT(H2038),VALUE(H2038),H2038)*I2038</f>
        <v>2352</v>
      </c>
    </row>
    <row r="2039" customFormat="false" ht="15" hidden="false" customHeight="false" outlineLevel="0" collapsed="false">
      <c r="A2039" s="0" t="n">
        <v>1778</v>
      </c>
      <c r="B2039" s="69" t="s">
        <v>774</v>
      </c>
      <c r="C2039" s="69" t="s">
        <v>136</v>
      </c>
      <c r="D2039" s="69" t="s">
        <v>137</v>
      </c>
      <c r="E2039" s="69" t="s">
        <v>180</v>
      </c>
      <c r="F2039" s="69" t="s">
        <v>168</v>
      </c>
      <c r="G2039" s="69" t="s">
        <v>130</v>
      </c>
      <c r="H2039" s="0" t="n">
        <v>10</v>
      </c>
      <c r="I2039" s="70" t="n">
        <v>129.17</v>
      </c>
      <c r="J2039" s="70" t="n">
        <v>78.33</v>
      </c>
      <c r="K2039" s="70" t="n">
        <f aca="false">IF(ISTEXT(H2039),VALUE(H2039),H2039)*I2039</f>
        <v>1291.7</v>
      </c>
    </row>
    <row r="2040" customFormat="false" ht="15" hidden="false" customHeight="false" outlineLevel="0" collapsed="false">
      <c r="A2040" s="0" t="n">
        <v>1667</v>
      </c>
      <c r="B2040" s="68" t="n">
        <v>45783</v>
      </c>
      <c r="C2040" s="69" t="s">
        <v>184</v>
      </c>
      <c r="D2040" s="69" t="s">
        <v>137</v>
      </c>
      <c r="E2040" s="69" t="s">
        <v>101</v>
      </c>
      <c r="F2040" s="69" t="s">
        <v>28</v>
      </c>
      <c r="G2040" s="69" t="s">
        <v>113</v>
      </c>
      <c r="H2040" s="0" t="n">
        <v>31</v>
      </c>
      <c r="I2040" s="70" t="n">
        <v>27.82</v>
      </c>
      <c r="J2040" s="70" t="n">
        <v>13.84</v>
      </c>
      <c r="K2040" s="70" t="n">
        <f aca="false">IF(ISTEXT(H2040),VALUE(H2040),H2040)*I2040</f>
        <v>862.42</v>
      </c>
    </row>
    <row r="2041" customFormat="false" ht="15" hidden="false" customHeight="false" outlineLevel="0" collapsed="false">
      <c r="A2041" s="0" t="n">
        <v>631</v>
      </c>
      <c r="B2041" s="68" t="n">
        <v>45490</v>
      </c>
      <c r="C2041" s="69" t="s">
        <v>91</v>
      </c>
      <c r="D2041" s="69" t="s">
        <v>86</v>
      </c>
      <c r="E2041" s="69" t="s">
        <v>134</v>
      </c>
      <c r="F2041" s="69" t="s">
        <v>28</v>
      </c>
      <c r="G2041" s="69" t="s">
        <v>49</v>
      </c>
      <c r="H2041" s="0" t="s">
        <v>736</v>
      </c>
      <c r="I2041" s="70" t="n">
        <v>63.7</v>
      </c>
      <c r="J2041" s="70" t="n">
        <v>35.43</v>
      </c>
      <c r="K2041" s="70" t="n">
        <f aca="false">IF(ISTEXT(H2041),VALUE(H2041),H2041)*I2041</f>
        <v>3439.8</v>
      </c>
    </row>
    <row r="2042" customFormat="false" ht="15" hidden="false" customHeight="false" outlineLevel="0" collapsed="false">
      <c r="A2042" s="0" t="n">
        <v>2192</v>
      </c>
      <c r="B2042" s="68" t="n">
        <v>45939</v>
      </c>
      <c r="C2042" s="69" t="s">
        <v>142</v>
      </c>
      <c r="D2042" s="69" t="s">
        <v>112</v>
      </c>
      <c r="E2042" s="69" t="s">
        <v>107</v>
      </c>
      <c r="F2042" s="69" t="s">
        <v>143</v>
      </c>
      <c r="G2042" s="69" t="s">
        <v>144</v>
      </c>
      <c r="H2042" s="0" t="n">
        <v>22</v>
      </c>
      <c r="I2042" s="70" t="n">
        <v>65.26</v>
      </c>
      <c r="J2042" s="70" t="n">
        <v>36.49</v>
      </c>
      <c r="K2042" s="70" t="n">
        <f aca="false">IF(ISTEXT(H2042),VALUE(H2042),H2042)*I2042</f>
        <v>1435.72</v>
      </c>
    </row>
    <row r="2043" customFormat="false" ht="15" hidden="false" customHeight="false" outlineLevel="0" collapsed="false">
      <c r="A2043" s="0" t="n">
        <v>1940</v>
      </c>
      <c r="B2043" s="69" t="s">
        <v>775</v>
      </c>
      <c r="C2043" s="69" t="s">
        <v>27</v>
      </c>
      <c r="D2043" s="69" t="s">
        <v>86</v>
      </c>
      <c r="E2043" s="69" t="s">
        <v>125</v>
      </c>
      <c r="F2043" s="69" t="s">
        <v>33</v>
      </c>
      <c r="G2043" s="69" t="s">
        <v>94</v>
      </c>
      <c r="H2043" s="0" t="n">
        <v>25</v>
      </c>
      <c r="I2043" s="70" t="n">
        <v>35.14</v>
      </c>
      <c r="J2043" s="70" t="n">
        <v>18.39</v>
      </c>
      <c r="K2043" s="70" t="n">
        <f aca="false">IF(ISTEXT(H2043),VALUE(H2043),H2043)*I2043</f>
        <v>878.5</v>
      </c>
    </row>
    <row r="2044" customFormat="false" ht="15" hidden="false" customHeight="false" outlineLevel="0" collapsed="false">
      <c r="A2044" s="0" t="n">
        <v>554</v>
      </c>
      <c r="B2044" s="69" t="s">
        <v>776</v>
      </c>
      <c r="C2044" s="69" t="s">
        <v>118</v>
      </c>
      <c r="D2044" s="69" t="s">
        <v>109</v>
      </c>
      <c r="E2044" s="69" t="s">
        <v>119</v>
      </c>
      <c r="F2044" s="69" t="s">
        <v>31</v>
      </c>
      <c r="G2044" s="69" t="s">
        <v>156</v>
      </c>
      <c r="H2044" s="0" t="n">
        <v>6</v>
      </c>
      <c r="I2044" s="70" t="n">
        <v>117.6</v>
      </c>
      <c r="J2044" s="70" t="n">
        <v>63.6</v>
      </c>
      <c r="K2044" s="70" t="n">
        <f aca="false">IF(ISTEXT(H2044),VALUE(H2044),H2044)*I2044</f>
        <v>705.6</v>
      </c>
    </row>
    <row r="2045" customFormat="false" ht="15" hidden="false" customHeight="false" outlineLevel="0" collapsed="false">
      <c r="A2045" s="0" t="n">
        <v>1156</v>
      </c>
      <c r="B2045" s="69" t="s">
        <v>426</v>
      </c>
      <c r="C2045" s="69" t="s">
        <v>108</v>
      </c>
      <c r="D2045" s="69" t="s">
        <v>109</v>
      </c>
      <c r="E2045" s="69" t="s">
        <v>87</v>
      </c>
      <c r="F2045" s="69" t="s">
        <v>166</v>
      </c>
      <c r="G2045" s="69" t="s">
        <v>116</v>
      </c>
      <c r="H2045" s="0" t="s">
        <v>372</v>
      </c>
      <c r="I2045" s="70" t="n">
        <v>83.3</v>
      </c>
      <c r="J2045" s="70" t="n">
        <v>48.03</v>
      </c>
      <c r="K2045" s="70" t="n">
        <f aca="false">IF(ISTEXT(H2045),VALUE(H2045),H2045)*I2045</f>
        <v>916.3</v>
      </c>
    </row>
    <row r="2046" customFormat="false" ht="15" hidden="false" customHeight="false" outlineLevel="0" collapsed="false">
      <c r="A2046" s="0" t="n">
        <v>826</v>
      </c>
      <c r="B2046" s="68" t="n">
        <v>45540</v>
      </c>
      <c r="C2046" s="69" t="s">
        <v>159</v>
      </c>
      <c r="D2046" s="69" t="s">
        <v>86</v>
      </c>
      <c r="E2046" s="69" t="s">
        <v>98</v>
      </c>
      <c r="F2046" s="69" t="s">
        <v>139</v>
      </c>
      <c r="G2046" s="69" t="s">
        <v>157</v>
      </c>
      <c r="H2046" s="0" t="s">
        <v>222</v>
      </c>
      <c r="I2046" s="70" t="n">
        <v>1617</v>
      </c>
      <c r="J2046" s="70" t="n">
        <v>1122</v>
      </c>
      <c r="K2046" s="70" t="n">
        <f aca="false">IF(ISTEXT(H2046),VALUE(H2046),H2046)*I2046</f>
        <v>9702</v>
      </c>
    </row>
    <row r="2047" customFormat="false" ht="15" hidden="false" customHeight="false" outlineLevel="0" collapsed="false">
      <c r="A2047" s="0" t="n">
        <v>181</v>
      </c>
      <c r="B2047" s="68" t="n">
        <v>45348</v>
      </c>
      <c r="C2047" s="69" t="s">
        <v>34</v>
      </c>
      <c r="D2047" s="69" t="s">
        <v>112</v>
      </c>
      <c r="E2047" s="69" t="s">
        <v>134</v>
      </c>
      <c r="F2047" s="69" t="s">
        <v>26</v>
      </c>
      <c r="G2047" s="69" t="s">
        <v>154</v>
      </c>
      <c r="H2047" s="0" t="n">
        <v>5</v>
      </c>
      <c r="I2047" s="70" t="n">
        <v>1176</v>
      </c>
      <c r="J2047" s="70" t="n">
        <v>744</v>
      </c>
      <c r="K2047" s="70" t="n">
        <f aca="false">IF(ISTEXT(H2047),VALUE(H2047),H2047)*I2047</f>
        <v>5880</v>
      </c>
    </row>
    <row r="2048" customFormat="false" ht="15" hidden="false" customHeight="false" outlineLevel="0" collapsed="false">
      <c r="A2048" s="0" t="n">
        <v>1877</v>
      </c>
      <c r="B2048" s="68" t="n">
        <v>45856</v>
      </c>
      <c r="C2048" s="69" t="s">
        <v>184</v>
      </c>
      <c r="D2048" s="69" t="s">
        <v>137</v>
      </c>
      <c r="E2048" s="69" t="s">
        <v>121</v>
      </c>
      <c r="F2048" s="69" t="s">
        <v>183</v>
      </c>
      <c r="G2048" s="69" t="s">
        <v>52</v>
      </c>
      <c r="H2048" s="0" t="n">
        <v>20</v>
      </c>
      <c r="I2048" s="70" t="n">
        <v>130.51</v>
      </c>
      <c r="J2048" s="70" t="n">
        <v>78.33</v>
      </c>
      <c r="K2048" s="70" t="n">
        <f aca="false">IF(ISTEXT(H2048),VALUE(H2048),H2048)*I2048</f>
        <v>2610.2</v>
      </c>
    </row>
    <row r="2049" customFormat="false" ht="15" hidden="false" customHeight="false" outlineLevel="0" collapsed="false">
      <c r="A2049" s="0" t="n">
        <v>1417</v>
      </c>
      <c r="B2049" s="68" t="n">
        <v>45727</v>
      </c>
      <c r="C2049" s="69" t="s">
        <v>150</v>
      </c>
      <c r="D2049" s="69" t="s">
        <v>97</v>
      </c>
      <c r="E2049" s="69" t="s">
        <v>101</v>
      </c>
      <c r="F2049" s="69" t="s">
        <v>182</v>
      </c>
      <c r="G2049" s="69" t="s">
        <v>52</v>
      </c>
      <c r="H2049" s="0" t="n">
        <v>60</v>
      </c>
      <c r="I2049" s="70" t="n">
        <v>129.17</v>
      </c>
      <c r="J2049" s="70" t="n">
        <v>78.33</v>
      </c>
      <c r="K2049" s="70" t="n">
        <f aca="false">IF(ISTEXT(H2049),VALUE(H2049),H2049)*I2049</f>
        <v>7750.2</v>
      </c>
    </row>
    <row r="2050" customFormat="false" ht="15" hidden="false" customHeight="false" outlineLevel="0" collapsed="false">
      <c r="A2050" s="0" t="n">
        <v>1043</v>
      </c>
      <c r="B2050" s="68" t="n">
        <v>45608</v>
      </c>
      <c r="C2050" s="69" t="s">
        <v>152</v>
      </c>
      <c r="D2050" s="69" t="s">
        <v>109</v>
      </c>
      <c r="E2050" s="69" t="s">
        <v>134</v>
      </c>
      <c r="F2050" s="69" t="s">
        <v>139</v>
      </c>
      <c r="G2050" s="69" t="s">
        <v>89</v>
      </c>
      <c r="H2050" s="0" t="n">
        <v>12</v>
      </c>
      <c r="I2050" s="70" t="n">
        <v>441</v>
      </c>
      <c r="J2050" s="70" t="n">
        <v>272.25</v>
      </c>
      <c r="K2050" s="70" t="n">
        <f aca="false">IF(ISTEXT(H2050),VALUE(H2050),H2050)*I2050</f>
        <v>5292</v>
      </c>
    </row>
    <row r="2051" customFormat="false" ht="15" hidden="false" customHeight="false" outlineLevel="0" collapsed="false">
      <c r="A2051" s="0" t="n">
        <v>2036</v>
      </c>
      <c r="B2051" s="68" t="n">
        <v>45924</v>
      </c>
      <c r="C2051" s="69" t="s">
        <v>91</v>
      </c>
      <c r="D2051" s="69" t="s">
        <v>86</v>
      </c>
      <c r="E2051" s="69" t="s">
        <v>119</v>
      </c>
      <c r="F2051" s="69" t="s">
        <v>31</v>
      </c>
      <c r="G2051" s="69" t="s">
        <v>51</v>
      </c>
      <c r="H2051" s="0" t="n">
        <v>17</v>
      </c>
      <c r="I2051" s="70" t="n">
        <v>85.34</v>
      </c>
      <c r="J2051" s="70" t="n">
        <v>49.47</v>
      </c>
      <c r="K2051" s="70" t="n">
        <f aca="false">IF(ISTEXT(H2051),VALUE(H2051),H2051)*I2051</f>
        <v>1450.78</v>
      </c>
    </row>
    <row r="2052" customFormat="false" ht="15" hidden="false" customHeight="false" outlineLevel="0" collapsed="false">
      <c r="A2052" s="0" t="n">
        <v>1491</v>
      </c>
      <c r="B2052" s="69" t="s">
        <v>777</v>
      </c>
      <c r="C2052" s="69" t="s">
        <v>142</v>
      </c>
      <c r="D2052" s="69" t="s">
        <v>112</v>
      </c>
      <c r="E2052" s="69" t="s">
        <v>138</v>
      </c>
      <c r="F2052" s="69" t="s">
        <v>28</v>
      </c>
      <c r="G2052" s="69" t="s">
        <v>144</v>
      </c>
      <c r="H2052" s="0" t="n">
        <v>30</v>
      </c>
      <c r="I2052" s="70" t="n">
        <v>64.58</v>
      </c>
      <c r="J2052" s="70" t="n">
        <v>36.49</v>
      </c>
      <c r="K2052" s="70" t="n">
        <f aca="false">IF(ISTEXT(H2052),VALUE(H2052),H2052)*I2052</f>
        <v>1937.4</v>
      </c>
    </row>
    <row r="2053" customFormat="false" ht="15" hidden="false" customHeight="false" outlineLevel="0" collapsed="false">
      <c r="A2053" s="0" t="n">
        <v>380</v>
      </c>
      <c r="B2053" s="68" t="n">
        <v>45397</v>
      </c>
      <c r="C2053" s="69" t="s">
        <v>193</v>
      </c>
      <c r="D2053" s="69" t="s">
        <v>137</v>
      </c>
      <c r="E2053" s="69" t="s">
        <v>87</v>
      </c>
      <c r="F2053" s="69" t="s">
        <v>93</v>
      </c>
      <c r="G2053" s="69" t="s">
        <v>94</v>
      </c>
      <c r="H2053" s="0" t="n">
        <v>7</v>
      </c>
      <c r="I2053" s="70" t="n">
        <v>34.3</v>
      </c>
      <c r="J2053" s="70" t="n">
        <v>17.85</v>
      </c>
      <c r="K2053" s="70" t="n">
        <f aca="false">IF(ISTEXT(H2053),VALUE(H2053),H2053)*I2053</f>
        <v>240.1</v>
      </c>
    </row>
    <row r="2054" customFormat="false" ht="15" hidden="false" customHeight="false" outlineLevel="0" collapsed="false">
      <c r="A2054" s="0" t="n">
        <v>910</v>
      </c>
      <c r="B2054" s="68" t="n">
        <v>45591</v>
      </c>
      <c r="C2054" s="69" t="s">
        <v>124</v>
      </c>
      <c r="D2054" s="69" t="s">
        <v>97</v>
      </c>
      <c r="E2054" s="69" t="s">
        <v>125</v>
      </c>
      <c r="F2054" s="69" t="s">
        <v>28</v>
      </c>
      <c r="G2054" s="69" t="s">
        <v>172</v>
      </c>
      <c r="H2054" s="0" t="n">
        <v>43</v>
      </c>
      <c r="I2054" s="70" t="n">
        <v>93.1</v>
      </c>
      <c r="J2054" s="70" t="n">
        <v>47.98</v>
      </c>
      <c r="K2054" s="70" t="n">
        <f aca="false">IF(ISTEXT(H2054),VALUE(H2054),H2054)*I2054</f>
        <v>4003.3</v>
      </c>
    </row>
    <row r="2055" customFormat="false" ht="15" hidden="false" customHeight="false" outlineLevel="0" collapsed="false">
      <c r="A2055" s="0" t="n">
        <v>372</v>
      </c>
      <c r="B2055" s="68" t="n">
        <v>45395</v>
      </c>
      <c r="C2055" s="69" t="s">
        <v>32</v>
      </c>
      <c r="D2055" s="69" t="s">
        <v>137</v>
      </c>
      <c r="E2055" s="69" t="s">
        <v>119</v>
      </c>
      <c r="F2055" s="69" t="s">
        <v>102</v>
      </c>
      <c r="G2055" s="69" t="s">
        <v>208</v>
      </c>
      <c r="H2055" s="0" t="n">
        <v>12</v>
      </c>
      <c r="I2055" s="70" t="n">
        <v>63.7</v>
      </c>
      <c r="J2055" s="70" t="n">
        <v>35.43</v>
      </c>
      <c r="K2055" s="70" t="n">
        <f aca="false">IF(ISTEXT(H2055),VALUE(H2055),H2055)*I2055</f>
        <v>764.4</v>
      </c>
    </row>
    <row r="2056" customFormat="false" ht="15" hidden="false" customHeight="false" outlineLevel="0" collapsed="false">
      <c r="A2056" s="0" t="n">
        <v>1632</v>
      </c>
      <c r="B2056" s="68" t="n">
        <v>45781</v>
      </c>
      <c r="C2056" s="69" t="s">
        <v>27</v>
      </c>
      <c r="D2056" s="69" t="s">
        <v>86</v>
      </c>
      <c r="E2056" s="69" t="s">
        <v>107</v>
      </c>
      <c r="F2056" s="69" t="s">
        <v>143</v>
      </c>
      <c r="G2056" s="69" t="s">
        <v>144</v>
      </c>
      <c r="H2056" s="0" t="n">
        <v>31</v>
      </c>
      <c r="I2056" s="70" t="n">
        <v>64.58</v>
      </c>
      <c r="J2056" s="70" t="n">
        <v>36.49</v>
      </c>
      <c r="K2056" s="70" t="n">
        <f aca="false">IF(ISTEXT(H2056),VALUE(H2056),H2056)*I2056</f>
        <v>2001.98</v>
      </c>
    </row>
    <row r="2057" customFormat="false" ht="15" hidden="false" customHeight="false" outlineLevel="0" collapsed="false">
      <c r="A2057" s="0" t="n">
        <v>252</v>
      </c>
      <c r="B2057" s="68" t="n">
        <v>45361</v>
      </c>
      <c r="C2057" s="69" t="s">
        <v>118</v>
      </c>
      <c r="D2057" s="69" t="s">
        <v>109</v>
      </c>
      <c r="E2057" s="69" t="s">
        <v>180</v>
      </c>
      <c r="F2057" s="69" t="s">
        <v>99</v>
      </c>
      <c r="G2057" s="69" t="s">
        <v>144</v>
      </c>
      <c r="H2057" s="0" t="s">
        <v>213</v>
      </c>
      <c r="I2057" s="70" t="n">
        <v>63.7</v>
      </c>
      <c r="J2057" s="70" t="n">
        <v>35.43</v>
      </c>
      <c r="K2057" s="70" t="n">
        <f aca="false">IF(ISTEXT(H2057),VALUE(H2057),H2057)*I2057</f>
        <v>1082.9</v>
      </c>
    </row>
    <row r="2058" customFormat="false" ht="15" hidden="false" customHeight="false" outlineLevel="0" collapsed="false">
      <c r="A2058" s="0" t="n">
        <v>1947</v>
      </c>
      <c r="B2058" s="68" t="n">
        <v>45891</v>
      </c>
      <c r="C2058" s="69" t="s">
        <v>108</v>
      </c>
      <c r="D2058" s="69" t="s">
        <v>109</v>
      </c>
      <c r="E2058" s="69" t="s">
        <v>134</v>
      </c>
      <c r="F2058" s="69" t="s">
        <v>28</v>
      </c>
      <c r="G2058" s="69" t="s">
        <v>103</v>
      </c>
      <c r="H2058" s="0" t="n">
        <v>36</v>
      </c>
      <c r="I2058" s="70" t="n">
        <v>28.11</v>
      </c>
      <c r="J2058" s="70" t="n">
        <v>13.84</v>
      </c>
      <c r="K2058" s="70" t="n">
        <f aca="false">IF(ISTEXT(H2058),VALUE(H2058),H2058)*I2058</f>
        <v>1011.96</v>
      </c>
    </row>
    <row r="2059" customFormat="false" ht="15" hidden="false" customHeight="false" outlineLevel="0" collapsed="false">
      <c r="A2059" s="0" t="n">
        <v>737</v>
      </c>
      <c r="B2059" s="68" t="n">
        <v>45507</v>
      </c>
      <c r="C2059" s="69" t="s">
        <v>120</v>
      </c>
      <c r="D2059" s="69" t="s">
        <v>86</v>
      </c>
      <c r="E2059" s="69" t="s">
        <v>121</v>
      </c>
      <c r="F2059" s="69" t="s">
        <v>182</v>
      </c>
      <c r="G2059" s="69" t="s">
        <v>127</v>
      </c>
      <c r="H2059" s="0" t="n">
        <v>27</v>
      </c>
      <c r="I2059" s="70" t="n">
        <v>127.4</v>
      </c>
      <c r="J2059" s="70" t="n">
        <v>76.05</v>
      </c>
      <c r="K2059" s="70" t="n">
        <f aca="false">IF(ISTEXT(H2059),VALUE(H2059),H2059)*I2059</f>
        <v>3439.8</v>
      </c>
    </row>
    <row r="2060" customFormat="false" ht="15" hidden="false" customHeight="false" outlineLevel="0" collapsed="false">
      <c r="A2060" s="0" t="n">
        <v>817</v>
      </c>
      <c r="B2060" s="69" t="s">
        <v>778</v>
      </c>
      <c r="C2060" s="69" t="s">
        <v>96</v>
      </c>
      <c r="D2060" s="69" t="s">
        <v>97</v>
      </c>
      <c r="E2060" s="69" t="s">
        <v>134</v>
      </c>
      <c r="F2060" s="69" t="s">
        <v>182</v>
      </c>
      <c r="G2060" s="69" t="s">
        <v>127</v>
      </c>
      <c r="H2060" s="0" t="n">
        <v>65</v>
      </c>
      <c r="I2060" s="70" t="n">
        <v>127.4</v>
      </c>
      <c r="J2060" s="70" t="n">
        <v>76.05</v>
      </c>
      <c r="K2060" s="70" t="n">
        <f aca="false">IF(ISTEXT(H2060),VALUE(H2060),H2060)*I2060</f>
        <v>8281</v>
      </c>
    </row>
    <row r="2061" customFormat="false" ht="15" hidden="false" customHeight="false" outlineLevel="0" collapsed="false">
      <c r="A2061" s="0" t="n">
        <v>668</v>
      </c>
      <c r="B2061" s="68" t="n">
        <v>45479</v>
      </c>
      <c r="C2061" s="69" t="s">
        <v>184</v>
      </c>
      <c r="D2061" s="69" t="s">
        <v>137</v>
      </c>
      <c r="E2061" s="69" t="s">
        <v>87</v>
      </c>
      <c r="F2061" s="69" t="s">
        <v>155</v>
      </c>
      <c r="G2061" s="69" t="s">
        <v>47</v>
      </c>
      <c r="H2061" s="0" t="n">
        <v>13</v>
      </c>
      <c r="I2061" s="70" t="n">
        <v>27.44</v>
      </c>
      <c r="J2061" s="70" t="n">
        <v>13.44</v>
      </c>
      <c r="K2061" s="70" t="n">
        <f aca="false">IF(ISTEXT(H2061),VALUE(H2061),H2061)*I2061</f>
        <v>356.72</v>
      </c>
    </row>
    <row r="2062" customFormat="false" ht="15" hidden="false" customHeight="false" outlineLevel="0" collapsed="false">
      <c r="A2062" s="0" t="n">
        <v>1817</v>
      </c>
      <c r="B2062" s="68" t="n">
        <v>45841</v>
      </c>
      <c r="C2062" s="69" t="s">
        <v>25</v>
      </c>
      <c r="D2062" s="69" t="s">
        <v>97</v>
      </c>
      <c r="E2062" s="69" t="s">
        <v>110</v>
      </c>
      <c r="F2062" s="69" t="s">
        <v>182</v>
      </c>
      <c r="G2062" s="69" t="s">
        <v>130</v>
      </c>
      <c r="H2062" s="0" t="n">
        <v>55</v>
      </c>
      <c r="I2062" s="70" t="n">
        <v>130.51</v>
      </c>
      <c r="J2062" s="70" t="n">
        <v>78.33</v>
      </c>
      <c r="K2062" s="70" t="n">
        <f aca="false">IF(ISTEXT(H2062),VALUE(H2062),H2062)*I2062</f>
        <v>7178.05</v>
      </c>
    </row>
    <row r="2063" customFormat="false" ht="15" hidden="false" customHeight="false" outlineLevel="0" collapsed="false">
      <c r="A2063" s="0" t="n">
        <v>510</v>
      </c>
      <c r="B2063" s="69" t="s">
        <v>529</v>
      </c>
      <c r="C2063" s="69" t="s">
        <v>150</v>
      </c>
      <c r="D2063" s="69" t="s">
        <v>97</v>
      </c>
      <c r="E2063" s="69" t="s">
        <v>87</v>
      </c>
      <c r="F2063" s="69" t="s">
        <v>28</v>
      </c>
      <c r="G2063" s="69" t="s">
        <v>172</v>
      </c>
      <c r="H2063" s="0" t="n">
        <v>45</v>
      </c>
      <c r="I2063" s="70" t="n">
        <v>93.1</v>
      </c>
      <c r="J2063" s="70" t="n">
        <v>47.98</v>
      </c>
      <c r="K2063" s="70" t="n">
        <f aca="false">IF(ISTEXT(H2063),VALUE(H2063),H2063)*I2063</f>
        <v>4189.5</v>
      </c>
    </row>
    <row r="2064" customFormat="false" ht="15" hidden="false" customHeight="false" outlineLevel="0" collapsed="false">
      <c r="A2064" s="0" t="n">
        <v>1628</v>
      </c>
      <c r="B2064" s="68" t="n">
        <v>45780</v>
      </c>
      <c r="C2064" s="69" t="s">
        <v>159</v>
      </c>
      <c r="D2064" s="69"/>
      <c r="E2064" s="69" t="s">
        <v>98</v>
      </c>
      <c r="F2064" s="69" t="s">
        <v>102</v>
      </c>
      <c r="G2064" s="69" t="s">
        <v>47</v>
      </c>
      <c r="H2064" s="0" t="s">
        <v>325</v>
      </c>
      <c r="I2064" s="70" t="n">
        <v>27.82</v>
      </c>
      <c r="J2064" s="70" t="n">
        <v>13.84</v>
      </c>
      <c r="K2064" s="70" t="n">
        <f aca="false">IF(ISTEXT(H2064),VALUE(H2064),H2064)*I2064</f>
        <v>1084.98</v>
      </c>
    </row>
    <row r="2065" customFormat="false" ht="15" hidden="false" customHeight="false" outlineLevel="0" collapsed="false">
      <c r="A2065" s="0" t="n">
        <v>1135</v>
      </c>
      <c r="B2065" s="69" t="s">
        <v>779</v>
      </c>
      <c r="C2065" s="69" t="s">
        <v>159</v>
      </c>
      <c r="D2065" s="69" t="s">
        <v>86</v>
      </c>
      <c r="E2065" s="69" t="s">
        <v>121</v>
      </c>
      <c r="F2065" s="69" t="s">
        <v>31</v>
      </c>
      <c r="G2065" s="69" t="s">
        <v>116</v>
      </c>
      <c r="H2065" s="0" t="n">
        <v>41</v>
      </c>
      <c r="I2065" s="70" t="n">
        <v>83.3</v>
      </c>
      <c r="J2065" s="70" t="n">
        <v>48.03</v>
      </c>
      <c r="K2065" s="70" t="n">
        <f aca="false">IF(ISTEXT(H2065),VALUE(H2065),H2065)*I2065</f>
        <v>3415.3</v>
      </c>
    </row>
    <row r="2066" customFormat="false" ht="15" hidden="false" customHeight="false" outlineLevel="0" collapsed="false">
      <c r="A2066" s="0" t="n">
        <v>1732</v>
      </c>
      <c r="B2066" s="68" t="n">
        <v>45810</v>
      </c>
      <c r="C2066" s="69" t="s">
        <v>120</v>
      </c>
      <c r="D2066" s="69" t="s">
        <v>86</v>
      </c>
      <c r="E2066" s="69" t="s">
        <v>107</v>
      </c>
      <c r="F2066" s="69" t="s">
        <v>143</v>
      </c>
      <c r="G2066" s="69" t="s">
        <v>144</v>
      </c>
      <c r="H2066" s="0" t="n">
        <v>43</v>
      </c>
      <c r="I2066" s="70" t="n">
        <v>64.58</v>
      </c>
      <c r="J2066" s="70" t="n">
        <v>36.49</v>
      </c>
      <c r="K2066" s="70" t="n">
        <f aca="false">IF(ISTEXT(H2066),VALUE(H2066),H2066)*I2066</f>
        <v>2776.94</v>
      </c>
    </row>
    <row r="2067" customFormat="false" ht="15" hidden="false" customHeight="false" outlineLevel="0" collapsed="false">
      <c r="A2067" s="0" t="n">
        <v>1193</v>
      </c>
      <c r="B2067" s="68" t="n">
        <v>45635</v>
      </c>
      <c r="C2067" s="69" t="s">
        <v>34</v>
      </c>
      <c r="D2067" s="69" t="s">
        <v>112</v>
      </c>
      <c r="E2067" s="69" t="s">
        <v>110</v>
      </c>
      <c r="F2067" s="69" t="s">
        <v>115</v>
      </c>
      <c r="G2067" s="69" t="s">
        <v>50</v>
      </c>
      <c r="H2067" s="0" t="n">
        <v>21</v>
      </c>
      <c r="I2067" s="70" t="n">
        <v>117.6</v>
      </c>
      <c r="J2067" s="70" t="n">
        <v>63.6</v>
      </c>
      <c r="K2067" s="70" t="n">
        <f aca="false">IF(ISTEXT(H2067),VALUE(H2067),H2067)*I2067</f>
        <v>2469.6</v>
      </c>
    </row>
    <row r="2068" customFormat="false" ht="15" hidden="false" customHeight="false" outlineLevel="0" collapsed="false">
      <c r="A2068" s="0" t="n">
        <v>1329</v>
      </c>
      <c r="B2068" s="68" t="n">
        <v>45704</v>
      </c>
      <c r="C2068" s="69" t="s">
        <v>27</v>
      </c>
      <c r="D2068" s="69" t="s">
        <v>86</v>
      </c>
      <c r="E2068" s="69" t="s">
        <v>121</v>
      </c>
      <c r="F2068" s="69" t="s">
        <v>99</v>
      </c>
      <c r="G2068" s="69" t="s">
        <v>48</v>
      </c>
      <c r="H2068" s="0" t="n">
        <v>43</v>
      </c>
      <c r="I2068" s="70" t="n">
        <v>94.39</v>
      </c>
      <c r="J2068" s="70" t="n">
        <v>49.41</v>
      </c>
      <c r="K2068" s="70" t="n">
        <f aca="false">IF(ISTEXT(H2068),VALUE(H2068),H2068)*I2068</f>
        <v>4058.77</v>
      </c>
    </row>
    <row r="2069" customFormat="false" ht="15" hidden="false" customHeight="false" outlineLevel="0" collapsed="false">
      <c r="A2069" s="0" t="n">
        <v>1827</v>
      </c>
      <c r="B2069" s="69" t="s">
        <v>780</v>
      </c>
      <c r="C2069" s="69" t="s">
        <v>27</v>
      </c>
      <c r="D2069" s="69" t="s">
        <v>86</v>
      </c>
      <c r="E2069" s="69" t="s">
        <v>138</v>
      </c>
      <c r="F2069" s="69" t="s">
        <v>155</v>
      </c>
      <c r="G2069" s="69" t="s">
        <v>113</v>
      </c>
      <c r="H2069" s="0" t="n">
        <v>49</v>
      </c>
      <c r="I2069" s="70" t="n">
        <v>28.11</v>
      </c>
      <c r="J2069" s="70" t="n">
        <v>13.84</v>
      </c>
      <c r="K2069" s="70" t="n">
        <f aca="false">IF(ISTEXT(H2069),VALUE(H2069),H2069)*I2069</f>
        <v>1377.39</v>
      </c>
    </row>
    <row r="2070" customFormat="false" ht="15" hidden="false" customHeight="false" outlineLevel="0" collapsed="false">
      <c r="A2070" s="0" t="n">
        <v>568</v>
      </c>
      <c r="B2070" s="69" t="s">
        <v>505</v>
      </c>
      <c r="C2070" s="69" t="s">
        <v>193</v>
      </c>
      <c r="D2070" s="69" t="s">
        <v>137</v>
      </c>
      <c r="E2070" s="69" t="s">
        <v>87</v>
      </c>
      <c r="F2070" s="69" t="s">
        <v>28</v>
      </c>
      <c r="G2070" s="69" t="s">
        <v>113</v>
      </c>
      <c r="H2070" s="0" t="n">
        <v>11</v>
      </c>
      <c r="I2070" s="70" t="n">
        <v>27.44</v>
      </c>
      <c r="J2070" s="70" t="n">
        <v>13.44</v>
      </c>
      <c r="K2070" s="70" t="n">
        <f aca="false">IF(ISTEXT(H2070),VALUE(H2070),H2070)*I2070</f>
        <v>301.84</v>
      </c>
    </row>
    <row r="2071" customFormat="false" ht="15" hidden="false" customHeight="false" outlineLevel="0" collapsed="false">
      <c r="A2071" s="0" t="n">
        <v>2165</v>
      </c>
      <c r="B2071" s="68" t="n">
        <v>45939</v>
      </c>
      <c r="C2071" s="69" t="s">
        <v>32</v>
      </c>
      <c r="D2071" s="69" t="s">
        <v>137</v>
      </c>
      <c r="E2071" s="69" t="s">
        <v>110</v>
      </c>
      <c r="F2071" s="69" t="s">
        <v>135</v>
      </c>
      <c r="G2071" s="69" t="s">
        <v>45</v>
      </c>
      <c r="H2071" s="0" t="n">
        <v>6</v>
      </c>
      <c r="I2071" s="70" t="n">
        <v>1656.52</v>
      </c>
      <c r="J2071" s="70" t="n">
        <v>1155.66</v>
      </c>
      <c r="K2071" s="70" t="n">
        <f aca="false">IF(ISTEXT(H2071),VALUE(H2071),H2071)*I2071</f>
        <v>9939.12</v>
      </c>
    </row>
    <row r="2072" customFormat="false" ht="15" hidden="false" customHeight="false" outlineLevel="0" collapsed="false">
      <c r="A2072" s="0" t="n">
        <v>1365</v>
      </c>
      <c r="B2072" s="68" t="n">
        <v>45713</v>
      </c>
      <c r="C2072" s="69" t="s">
        <v>32</v>
      </c>
      <c r="D2072" s="69" t="s">
        <v>137</v>
      </c>
      <c r="E2072" s="69" t="s">
        <v>101</v>
      </c>
      <c r="F2072" s="69" t="s">
        <v>26</v>
      </c>
      <c r="G2072" s="69" t="s">
        <v>45</v>
      </c>
      <c r="H2072" s="0" t="n">
        <v>5</v>
      </c>
      <c r="I2072" s="70" t="n">
        <v>1588.21</v>
      </c>
      <c r="J2072" s="70" t="n">
        <v>1155.66</v>
      </c>
      <c r="K2072" s="70" t="n">
        <f aca="false">IF(ISTEXT(H2072),VALUE(H2072),H2072)*I2072</f>
        <v>7941.05</v>
      </c>
    </row>
    <row r="2073" customFormat="false" ht="15" hidden="false" customHeight="false" outlineLevel="0" collapsed="false">
      <c r="A2073" s="0" t="n">
        <v>1084</v>
      </c>
      <c r="B2073" s="68" t="n">
        <v>45598</v>
      </c>
      <c r="C2073" s="69" t="s">
        <v>133</v>
      </c>
      <c r="D2073" s="69" t="s">
        <v>112</v>
      </c>
      <c r="E2073" s="69" t="s">
        <v>119</v>
      </c>
      <c r="F2073" s="69" t="s">
        <v>26</v>
      </c>
      <c r="G2073" s="69" t="s">
        <v>89</v>
      </c>
      <c r="H2073" s="0" t="n">
        <v>3</v>
      </c>
      <c r="I2073" s="70" t="n">
        <v>441</v>
      </c>
      <c r="J2073" s="70" t="n">
        <v>272.25</v>
      </c>
      <c r="K2073" s="70" t="n">
        <f aca="false">IF(ISTEXT(H2073),VALUE(H2073),H2073)*I2073</f>
        <v>1323</v>
      </c>
    </row>
    <row r="2074" customFormat="false" ht="15" hidden="false" customHeight="false" outlineLevel="0" collapsed="false">
      <c r="A2074" s="0" t="n">
        <v>2328</v>
      </c>
      <c r="B2074" s="69" t="s">
        <v>781</v>
      </c>
      <c r="C2074" s="69" t="s">
        <v>27</v>
      </c>
      <c r="D2074" s="69" t="s">
        <v>86</v>
      </c>
      <c r="E2074" s="69" t="s">
        <v>180</v>
      </c>
      <c r="F2074" s="69" t="s">
        <v>102</v>
      </c>
      <c r="G2074" s="69" t="s">
        <v>47</v>
      </c>
      <c r="H2074" s="0" t="n">
        <v>57</v>
      </c>
      <c r="I2074" s="70" t="n">
        <v>28.11</v>
      </c>
      <c r="J2074" s="70" t="n">
        <v>13.84</v>
      </c>
      <c r="K2074" s="70" t="n">
        <f aca="false">IF(ISTEXT(H2074),VALUE(H2074),H2074)*I2074</f>
        <v>1602.27</v>
      </c>
    </row>
    <row r="2075" customFormat="false" ht="15" hidden="false" customHeight="false" outlineLevel="0" collapsed="false">
      <c r="A2075" s="0" t="n">
        <v>1997</v>
      </c>
      <c r="B2075" s="69" t="s">
        <v>782</v>
      </c>
      <c r="C2075" s="69" t="s">
        <v>142</v>
      </c>
      <c r="D2075" s="69" t="s">
        <v>112</v>
      </c>
      <c r="E2075" s="69" t="s">
        <v>134</v>
      </c>
      <c r="F2075" s="69" t="s">
        <v>183</v>
      </c>
      <c r="G2075" s="69" t="s">
        <v>127</v>
      </c>
      <c r="H2075" s="0" t="n">
        <v>17</v>
      </c>
      <c r="I2075" s="70" t="n">
        <v>130.51</v>
      </c>
      <c r="J2075" s="70" t="n">
        <v>78.33</v>
      </c>
      <c r="K2075" s="70" t="n">
        <f aca="false">IF(ISTEXT(H2075),VALUE(H2075),H2075)*I2075</f>
        <v>2218.67</v>
      </c>
    </row>
    <row r="2076" customFormat="false" ht="15" hidden="false" customHeight="false" outlineLevel="0" collapsed="false">
      <c r="A2076" s="0" t="n">
        <v>173</v>
      </c>
      <c r="B2076" s="68" t="n">
        <v>45346</v>
      </c>
      <c r="C2076" s="69" t="s">
        <v>136</v>
      </c>
      <c r="D2076" s="69" t="s">
        <v>137</v>
      </c>
      <c r="E2076" s="69" t="s">
        <v>121</v>
      </c>
      <c r="F2076" s="69" t="s">
        <v>166</v>
      </c>
      <c r="G2076" s="69" t="s">
        <v>156</v>
      </c>
      <c r="H2076" s="0" t="s">
        <v>328</v>
      </c>
      <c r="I2076" s="70" t="n">
        <v>117.6</v>
      </c>
      <c r="J2076" s="70" t="n">
        <v>63.6</v>
      </c>
      <c r="K2076" s="70" t="n">
        <f aca="false">IF(ISTEXT(H2076),VALUE(H2076),H2076)*I2076</f>
        <v>1411.2</v>
      </c>
    </row>
    <row r="2077" customFormat="false" ht="15" hidden="false" customHeight="false" outlineLevel="0" collapsed="false">
      <c r="A2077" s="0" t="n">
        <v>535</v>
      </c>
      <c r="B2077" s="68" t="n">
        <v>45463</v>
      </c>
      <c r="C2077" s="69" t="s">
        <v>27</v>
      </c>
      <c r="D2077" s="69" t="s">
        <v>86</v>
      </c>
      <c r="E2077" s="69" t="s">
        <v>110</v>
      </c>
      <c r="F2077" s="69" t="s">
        <v>162</v>
      </c>
      <c r="G2077" s="69" t="s">
        <v>51</v>
      </c>
      <c r="H2077" s="0" t="n">
        <v>27</v>
      </c>
      <c r="I2077" s="70" t="n">
        <v>83.3</v>
      </c>
      <c r="J2077" s="70" t="n">
        <v>48.03</v>
      </c>
      <c r="K2077" s="70" t="n">
        <f aca="false">IF(ISTEXT(H2077),VALUE(H2077),H2077)*I2077</f>
        <v>2249.1</v>
      </c>
    </row>
    <row r="2078" customFormat="false" ht="15" hidden="false" customHeight="false" outlineLevel="0" collapsed="false">
      <c r="A2078" s="0" t="n">
        <v>2360</v>
      </c>
      <c r="B2078" s="68" t="n">
        <v>46015</v>
      </c>
      <c r="C2078" s="69" t="s">
        <v>152</v>
      </c>
      <c r="D2078" s="69" t="s">
        <v>109</v>
      </c>
      <c r="E2078" s="69" t="s">
        <v>125</v>
      </c>
      <c r="F2078" s="69" t="s">
        <v>183</v>
      </c>
      <c r="G2078" s="69" t="s">
        <v>217</v>
      </c>
      <c r="H2078" s="0" t="n">
        <v>25</v>
      </c>
      <c r="I2078" s="70" t="n">
        <v>35.14</v>
      </c>
      <c r="J2078" s="70" t="n">
        <v>18.39</v>
      </c>
      <c r="K2078" s="70" t="n">
        <f aca="false">IF(ISTEXT(H2078),VALUE(H2078),H2078)*I2078</f>
        <v>878.5</v>
      </c>
    </row>
    <row r="2079" customFormat="false" ht="15" hidden="false" customHeight="false" outlineLevel="0" collapsed="false">
      <c r="A2079" s="0" t="n">
        <v>926</v>
      </c>
      <c r="B2079" s="68" t="n">
        <v>45568</v>
      </c>
      <c r="C2079" s="69" t="s">
        <v>27</v>
      </c>
      <c r="D2079" s="69" t="s">
        <v>86</v>
      </c>
      <c r="E2079" s="69" t="s">
        <v>125</v>
      </c>
      <c r="F2079" s="69" t="s">
        <v>147</v>
      </c>
      <c r="G2079" s="69" t="s">
        <v>157</v>
      </c>
      <c r="H2079" s="0" t="n">
        <v>5</v>
      </c>
      <c r="I2079" s="70" t="n">
        <v>1617</v>
      </c>
      <c r="J2079" s="70" t="n">
        <v>1122</v>
      </c>
      <c r="K2079" s="70" t="n">
        <f aca="false">IF(ISTEXT(H2079),VALUE(H2079),H2079)*I2079</f>
        <v>8085</v>
      </c>
    </row>
    <row r="2080" customFormat="false" ht="15" hidden="false" customHeight="false" outlineLevel="0" collapsed="false">
      <c r="A2080" s="0" t="n">
        <v>1185</v>
      </c>
      <c r="B2080" s="69" t="s">
        <v>691</v>
      </c>
      <c r="C2080" s="69" t="s">
        <v>133</v>
      </c>
      <c r="D2080" s="69" t="s">
        <v>112</v>
      </c>
      <c r="E2080" s="69" t="s">
        <v>92</v>
      </c>
      <c r="F2080" s="69" t="s">
        <v>139</v>
      </c>
      <c r="G2080" s="69" t="s">
        <v>45</v>
      </c>
      <c r="H2080" s="0" t="n">
        <v>9</v>
      </c>
      <c r="I2080" s="70" t="n">
        <v>1617</v>
      </c>
      <c r="J2080" s="70" t="n">
        <v>1122</v>
      </c>
      <c r="K2080" s="70" t="n">
        <f aca="false">IF(ISTEXT(H2080),VALUE(H2080),H2080)*I2080</f>
        <v>14553</v>
      </c>
    </row>
    <row r="2081" customFormat="false" ht="15" hidden="false" customHeight="false" outlineLevel="0" collapsed="false">
      <c r="A2081" s="0" t="n">
        <v>590</v>
      </c>
      <c r="B2081" s="68" t="n">
        <v>45470</v>
      </c>
      <c r="C2081" s="69" t="s">
        <v>142</v>
      </c>
      <c r="D2081" s="69" t="s">
        <v>112</v>
      </c>
      <c r="E2081" s="69" t="s">
        <v>125</v>
      </c>
      <c r="F2081" s="69" t="s">
        <v>143</v>
      </c>
      <c r="G2081" s="69" t="s">
        <v>48</v>
      </c>
      <c r="H2081" s="0" t="n">
        <v>14</v>
      </c>
      <c r="I2081" s="70" t="n">
        <v>93.1</v>
      </c>
      <c r="J2081" s="70" t="n">
        <v>47.98</v>
      </c>
      <c r="K2081" s="70" t="n">
        <f aca="false">IF(ISTEXT(H2081),VALUE(H2081),H2081)*I2081</f>
        <v>1303.4</v>
      </c>
    </row>
    <row r="2082" customFormat="false" ht="15" hidden="false" customHeight="false" outlineLevel="0" collapsed="false">
      <c r="A2082" s="0" t="n">
        <v>1197</v>
      </c>
      <c r="B2082" s="68" t="n">
        <v>45636</v>
      </c>
      <c r="C2082" s="69" t="s">
        <v>142</v>
      </c>
      <c r="D2082" s="69" t="s">
        <v>112</v>
      </c>
      <c r="E2082" s="69" t="s">
        <v>101</v>
      </c>
      <c r="F2082" s="69" t="s">
        <v>182</v>
      </c>
      <c r="G2082" s="69" t="s">
        <v>130</v>
      </c>
      <c r="H2082" s="0" t="n">
        <v>24</v>
      </c>
      <c r="I2082" s="70" t="n">
        <v>127.4</v>
      </c>
      <c r="J2082" s="70" t="n">
        <v>76.05</v>
      </c>
      <c r="K2082" s="70" t="n">
        <f aca="false">IF(ISTEXT(H2082),VALUE(H2082),H2082)*I2082</f>
        <v>3057.6</v>
      </c>
    </row>
    <row r="2083" customFormat="false" ht="15" hidden="false" customHeight="false" outlineLevel="0" collapsed="false">
      <c r="A2083" s="0" t="n">
        <v>894</v>
      </c>
      <c r="B2083" s="69" t="s">
        <v>783</v>
      </c>
      <c r="C2083" s="69" t="s">
        <v>133</v>
      </c>
      <c r="D2083" s="69" t="s">
        <v>112</v>
      </c>
      <c r="E2083" s="69" t="s">
        <v>125</v>
      </c>
      <c r="F2083" s="69" t="s">
        <v>31</v>
      </c>
      <c r="G2083" s="69" t="s">
        <v>171</v>
      </c>
      <c r="H2083" s="0" t="n">
        <v>5</v>
      </c>
      <c r="I2083" s="70" t="n">
        <v>117.6</v>
      </c>
      <c r="J2083" s="70" t="n">
        <v>63.6</v>
      </c>
      <c r="K2083" s="70" t="n">
        <f aca="false">IF(ISTEXT(H2083),VALUE(H2083),H2083)*I2083</f>
        <v>588</v>
      </c>
    </row>
    <row r="2084" customFormat="false" ht="15" hidden="false" customHeight="false" outlineLevel="0" collapsed="false">
      <c r="A2084" s="0" t="n">
        <v>189</v>
      </c>
      <c r="B2084" s="69" t="s">
        <v>784</v>
      </c>
      <c r="C2084" s="69" t="s">
        <v>142</v>
      </c>
      <c r="D2084" s="69" t="s">
        <v>112</v>
      </c>
      <c r="E2084" s="69" t="s">
        <v>121</v>
      </c>
      <c r="F2084" s="69" t="s">
        <v>143</v>
      </c>
      <c r="G2084" s="69" t="s">
        <v>235</v>
      </c>
      <c r="H2084" s="0" t="n">
        <v>21</v>
      </c>
      <c r="I2084" s="70" t="n">
        <v>93.1</v>
      </c>
      <c r="J2084" s="70" t="n">
        <v>47.98</v>
      </c>
      <c r="K2084" s="70" t="n">
        <f aca="false">IF(ISTEXT(H2084),VALUE(H2084),H2084)*I2084</f>
        <v>1955.1</v>
      </c>
    </row>
    <row r="2085" customFormat="false" ht="15" hidden="false" customHeight="false" outlineLevel="0" collapsed="false">
      <c r="A2085" s="0" t="n">
        <v>895</v>
      </c>
      <c r="B2085" s="69" t="s">
        <v>785</v>
      </c>
      <c r="C2085" s="69" t="s">
        <v>161</v>
      </c>
      <c r="D2085" s="69" t="s">
        <v>112</v>
      </c>
      <c r="E2085" s="69" t="s">
        <v>134</v>
      </c>
      <c r="F2085" s="69" t="s">
        <v>162</v>
      </c>
      <c r="G2085" s="69" t="s">
        <v>116</v>
      </c>
      <c r="H2085" s="0" t="n">
        <v>12</v>
      </c>
      <c r="I2085" s="70" t="n">
        <v>83.3</v>
      </c>
      <c r="J2085" s="70" t="n">
        <v>48.03</v>
      </c>
      <c r="K2085" s="70" t="n">
        <f aca="false">IF(ISTEXT(H2085),VALUE(H2085),H2085)*I2085</f>
        <v>999.6</v>
      </c>
    </row>
    <row r="2086" customFormat="false" ht="15" hidden="false" customHeight="false" outlineLevel="0" collapsed="false">
      <c r="A2086" s="0" t="n">
        <v>1488</v>
      </c>
      <c r="B2086" s="69" t="s">
        <v>786</v>
      </c>
      <c r="C2086" s="69" t="s">
        <v>161</v>
      </c>
      <c r="D2086" s="69" t="s">
        <v>112</v>
      </c>
      <c r="E2086" s="69" t="s">
        <v>98</v>
      </c>
      <c r="F2086" s="69" t="s">
        <v>102</v>
      </c>
      <c r="G2086" s="69" t="s">
        <v>103</v>
      </c>
      <c r="H2086" s="0" t="n">
        <v>17</v>
      </c>
      <c r="I2086" s="70" t="n">
        <v>27.82</v>
      </c>
      <c r="J2086" s="70" t="n">
        <v>13.84</v>
      </c>
      <c r="K2086" s="70" t="n">
        <f aca="false">IF(ISTEXT(H2086),VALUE(H2086),H2086)*I2086</f>
        <v>472.94</v>
      </c>
    </row>
    <row r="2087" customFormat="false" ht="15" hidden="false" customHeight="false" outlineLevel="0" collapsed="false">
      <c r="A2087" s="0" t="n">
        <v>1221</v>
      </c>
      <c r="B2087" s="68" t="n">
        <v>45673</v>
      </c>
      <c r="C2087" s="69" t="s">
        <v>120</v>
      </c>
      <c r="D2087" s="69" t="s">
        <v>86</v>
      </c>
      <c r="E2087" s="69" t="s">
        <v>101</v>
      </c>
      <c r="F2087" s="69" t="s">
        <v>88</v>
      </c>
      <c r="G2087" s="69" t="s">
        <v>154</v>
      </c>
      <c r="H2087" s="0" t="n">
        <v>10</v>
      </c>
      <c r="I2087" s="70" t="n">
        <v>1155.06</v>
      </c>
      <c r="J2087" s="70" t="n">
        <v>766.32</v>
      </c>
      <c r="K2087" s="70" t="n">
        <f aca="false">IF(ISTEXT(H2087),VALUE(H2087),H2087)*I2087</f>
        <v>11550.6</v>
      </c>
    </row>
    <row r="2088" customFormat="false" ht="15" hidden="false" customHeight="false" outlineLevel="0" collapsed="false">
      <c r="A2088" s="0" t="n">
        <v>1465</v>
      </c>
      <c r="B2088" s="69" t="s">
        <v>787</v>
      </c>
      <c r="C2088" s="69" t="s">
        <v>32</v>
      </c>
      <c r="D2088" s="69" t="s">
        <v>137</v>
      </c>
      <c r="E2088" s="69" t="s">
        <v>92</v>
      </c>
      <c r="F2088" s="69" t="s">
        <v>153</v>
      </c>
      <c r="G2088" s="69" t="s">
        <v>141</v>
      </c>
      <c r="H2088" s="0" t="n">
        <v>6</v>
      </c>
      <c r="I2088" s="70" t="n">
        <v>1588.21</v>
      </c>
      <c r="J2088" s="70" t="n">
        <v>1155.66</v>
      </c>
      <c r="K2088" s="70" t="n">
        <f aca="false">IF(ISTEXT(H2088),VALUE(H2088),H2088)*I2088</f>
        <v>9529.26</v>
      </c>
    </row>
    <row r="2089" customFormat="false" ht="15" hidden="false" customHeight="false" outlineLevel="0" collapsed="false">
      <c r="A2089" s="0" t="n">
        <v>97</v>
      </c>
      <c r="B2089" s="69" t="s">
        <v>504</v>
      </c>
      <c r="C2089" s="69" t="s">
        <v>34</v>
      </c>
      <c r="D2089" s="69" t="s">
        <v>112</v>
      </c>
      <c r="E2089" s="69" t="s">
        <v>138</v>
      </c>
      <c r="F2089" s="69" t="s">
        <v>183</v>
      </c>
      <c r="G2089" s="69" t="s">
        <v>130</v>
      </c>
      <c r="H2089" s="0" t="s">
        <v>260</v>
      </c>
      <c r="I2089" s="70" t="n">
        <v>127.4</v>
      </c>
      <c r="J2089" s="70" t="n">
        <v>76.05</v>
      </c>
      <c r="K2089" s="70" t="n">
        <f aca="false">IF(ISTEXT(H2089),VALUE(H2089),H2089)*I2089</f>
        <v>1783.6</v>
      </c>
    </row>
    <row r="2090" customFormat="false" ht="15" hidden="false" customHeight="false" outlineLevel="0" collapsed="false">
      <c r="A2090" s="0" t="n">
        <v>687</v>
      </c>
      <c r="B2090" s="68" t="n">
        <v>45477</v>
      </c>
      <c r="C2090" s="69" t="s">
        <v>34</v>
      </c>
      <c r="D2090" s="69" t="s">
        <v>112</v>
      </c>
      <c r="E2090" s="69" t="s">
        <v>121</v>
      </c>
      <c r="F2090" s="69" t="s">
        <v>99</v>
      </c>
      <c r="G2090" s="69" t="s">
        <v>103</v>
      </c>
      <c r="H2090" s="0" t="n">
        <v>33</v>
      </c>
      <c r="I2090" s="70" t="n">
        <v>27.44</v>
      </c>
      <c r="J2090" s="70" t="n">
        <v>13.44</v>
      </c>
      <c r="K2090" s="70" t="n">
        <f aca="false">IF(ISTEXT(H2090),VALUE(H2090),H2090)*I2090</f>
        <v>905.52</v>
      </c>
    </row>
    <row r="2091" customFormat="false" ht="15" hidden="false" customHeight="false" outlineLevel="0" collapsed="false">
      <c r="A2091" s="0" t="n">
        <v>20</v>
      </c>
      <c r="B2091" s="68" t="n">
        <v>45297</v>
      </c>
      <c r="C2091" s="69" t="s">
        <v>25</v>
      </c>
      <c r="D2091" s="69" t="s">
        <v>97</v>
      </c>
      <c r="E2091" s="69" t="s">
        <v>107</v>
      </c>
      <c r="F2091" s="69" t="s">
        <v>93</v>
      </c>
      <c r="G2091" s="69" t="s">
        <v>53</v>
      </c>
      <c r="H2091" s="0" t="n">
        <v>17</v>
      </c>
      <c r="I2091" s="70" t="n">
        <v>34.3</v>
      </c>
      <c r="J2091" s="70" t="n">
        <v>17.85</v>
      </c>
      <c r="K2091" s="70" t="n">
        <f aca="false">IF(ISTEXT(H2091),VALUE(H2091),H2091)*I2091</f>
        <v>583.1</v>
      </c>
    </row>
    <row r="2092" customFormat="false" ht="15" hidden="false" customHeight="false" outlineLevel="0" collapsed="false">
      <c r="A2092" s="0" t="n">
        <v>1425</v>
      </c>
      <c r="B2092" s="69" t="s">
        <v>788</v>
      </c>
      <c r="C2092" s="69" t="s">
        <v>159</v>
      </c>
      <c r="D2092" s="69" t="s">
        <v>86</v>
      </c>
      <c r="E2092" s="69" t="s">
        <v>138</v>
      </c>
      <c r="F2092" s="69" t="s">
        <v>153</v>
      </c>
      <c r="G2092" s="69" t="s">
        <v>141</v>
      </c>
      <c r="H2092" s="0" t="n">
        <v>9</v>
      </c>
      <c r="I2092" s="70" t="n">
        <v>1588.21</v>
      </c>
      <c r="J2092" s="70" t="n">
        <v>1155.66</v>
      </c>
      <c r="K2092" s="70" t="n">
        <f aca="false">IF(ISTEXT(H2092),VALUE(H2092),H2092)*I2092</f>
        <v>14293.89</v>
      </c>
    </row>
    <row r="2093" customFormat="false" ht="15" hidden="false" customHeight="false" outlineLevel="0" collapsed="false">
      <c r="A2093" s="0" t="n">
        <v>2314</v>
      </c>
      <c r="B2093" s="68" t="n">
        <v>46017</v>
      </c>
      <c r="C2093" s="69" t="s">
        <v>25</v>
      </c>
      <c r="D2093" s="69" t="s">
        <v>97</v>
      </c>
      <c r="E2093" s="69" t="s">
        <v>119</v>
      </c>
      <c r="F2093" s="69" t="s">
        <v>115</v>
      </c>
      <c r="G2093" s="69" t="s">
        <v>171</v>
      </c>
      <c r="H2093" s="0" t="n">
        <v>47</v>
      </c>
      <c r="I2093" s="70" t="n">
        <v>120.47</v>
      </c>
      <c r="J2093" s="70" t="n">
        <v>65.51</v>
      </c>
      <c r="K2093" s="70" t="n">
        <f aca="false">IF(ISTEXT(H2093),VALUE(H2093),H2093)*I2093</f>
        <v>5662.09</v>
      </c>
    </row>
    <row r="2094" customFormat="false" ht="15" hidden="false" customHeight="false" outlineLevel="0" collapsed="false">
      <c r="A2094" s="0" t="n">
        <v>630</v>
      </c>
      <c r="B2094" s="68" t="n">
        <v>45483</v>
      </c>
      <c r="C2094" s="69" t="s">
        <v>27</v>
      </c>
      <c r="D2094" s="69" t="s">
        <v>86</v>
      </c>
      <c r="E2094" s="69" t="s">
        <v>107</v>
      </c>
      <c r="F2094" s="69" t="s">
        <v>28</v>
      </c>
      <c r="G2094" s="69" t="s">
        <v>235</v>
      </c>
      <c r="H2094" s="0" t="n">
        <v>28</v>
      </c>
      <c r="I2094" s="70" t="n">
        <v>93.1</v>
      </c>
      <c r="J2094" s="70" t="n">
        <v>47.98</v>
      </c>
      <c r="K2094" s="70" t="n">
        <f aca="false">IF(ISTEXT(H2094),VALUE(H2094),H2094)*I2094</f>
        <v>2606.8</v>
      </c>
    </row>
    <row r="2095" customFormat="false" ht="15" hidden="false" customHeight="false" outlineLevel="0" collapsed="false">
      <c r="A2095" s="0" t="n">
        <v>1090</v>
      </c>
      <c r="B2095" s="69" t="s">
        <v>789</v>
      </c>
      <c r="C2095" s="69" t="s">
        <v>161</v>
      </c>
      <c r="D2095" s="69" t="s">
        <v>112</v>
      </c>
      <c r="E2095" s="69" t="s">
        <v>119</v>
      </c>
      <c r="F2095" s="69" t="s">
        <v>155</v>
      </c>
      <c r="G2095" s="69" t="s">
        <v>235</v>
      </c>
      <c r="H2095" s="0" t="n">
        <v>13</v>
      </c>
      <c r="I2095" s="70" t="n">
        <v>93.1</v>
      </c>
      <c r="J2095" s="70" t="n">
        <v>47.98</v>
      </c>
      <c r="K2095" s="70" t="n">
        <f aca="false">IF(ISTEXT(H2095),VALUE(H2095),H2095)*I2095</f>
        <v>1210.3</v>
      </c>
    </row>
    <row r="2096" customFormat="false" ht="15" hidden="false" customHeight="false" outlineLevel="0" collapsed="false">
      <c r="A2096" s="0" t="n">
        <v>1174</v>
      </c>
      <c r="B2096" s="69" t="s">
        <v>728</v>
      </c>
      <c r="C2096" s="69" t="s">
        <v>136</v>
      </c>
      <c r="D2096" s="69" t="s">
        <v>137</v>
      </c>
      <c r="E2096" s="69" t="s">
        <v>125</v>
      </c>
      <c r="F2096" s="69" t="s">
        <v>166</v>
      </c>
      <c r="G2096" s="69" t="s">
        <v>50</v>
      </c>
      <c r="H2096" s="0" t="n">
        <v>8</v>
      </c>
      <c r="I2096" s="70" t="n">
        <v>117.6</v>
      </c>
      <c r="J2096" s="70" t="n">
        <v>63.6</v>
      </c>
      <c r="K2096" s="70" t="n">
        <f aca="false">IF(ISTEXT(H2096),VALUE(H2096),H2096)*I2096</f>
        <v>940.8</v>
      </c>
    </row>
    <row r="2097" customFormat="false" ht="15" hidden="false" customHeight="false" outlineLevel="0" collapsed="false">
      <c r="A2097" s="0" t="n">
        <v>1436</v>
      </c>
      <c r="B2097" s="68" t="n">
        <v>45725</v>
      </c>
      <c r="C2097" s="69" t="s">
        <v>27</v>
      </c>
      <c r="D2097" s="69" t="s">
        <v>86</v>
      </c>
      <c r="E2097" s="69" t="s">
        <v>87</v>
      </c>
      <c r="F2097" s="69" t="s">
        <v>31</v>
      </c>
      <c r="G2097" s="69" t="s">
        <v>116</v>
      </c>
      <c r="H2097" s="0" t="n">
        <v>16</v>
      </c>
      <c r="I2097" s="70" t="n">
        <v>84.46</v>
      </c>
      <c r="J2097" s="70" t="n">
        <v>49.47</v>
      </c>
      <c r="K2097" s="70" t="n">
        <f aca="false">IF(ISTEXT(H2097),VALUE(H2097),H2097)*I2097</f>
        <v>1351.36</v>
      </c>
    </row>
    <row r="2098" customFormat="false" ht="15" hidden="false" customHeight="false" outlineLevel="0" collapsed="false">
      <c r="A2098" s="0" t="n">
        <v>308</v>
      </c>
      <c r="B2098" s="68" t="n">
        <v>45406</v>
      </c>
      <c r="C2098" s="69" t="s">
        <v>124</v>
      </c>
      <c r="D2098" s="69" t="s">
        <v>97</v>
      </c>
      <c r="E2098" s="69" t="s">
        <v>98</v>
      </c>
      <c r="F2098" s="69" t="s">
        <v>99</v>
      </c>
      <c r="G2098" s="69" t="s">
        <v>47</v>
      </c>
      <c r="H2098" s="0" t="n">
        <v>32</v>
      </c>
      <c r="I2098" s="70" t="n">
        <v>27.44</v>
      </c>
      <c r="J2098" s="70" t="n">
        <v>13.44</v>
      </c>
      <c r="K2098" s="70" t="n">
        <f aca="false">IF(ISTEXT(H2098),VALUE(H2098),H2098)*I2098</f>
        <v>878.08</v>
      </c>
    </row>
    <row r="2099" customFormat="false" ht="15" hidden="false" customHeight="false" outlineLevel="0" collapsed="false">
      <c r="A2099" s="0" t="n">
        <v>442</v>
      </c>
      <c r="B2099" s="68" t="n">
        <v>45429</v>
      </c>
      <c r="C2099" s="69" t="s">
        <v>30</v>
      </c>
      <c r="D2099" s="69" t="s">
        <v>109</v>
      </c>
      <c r="E2099" s="69" t="s">
        <v>180</v>
      </c>
      <c r="F2099" s="69" t="s">
        <v>153</v>
      </c>
      <c r="G2099" s="69" t="s">
        <v>151</v>
      </c>
      <c r="H2099" s="0" t="n">
        <v>4</v>
      </c>
      <c r="I2099" s="70" t="n">
        <v>1176</v>
      </c>
      <c r="J2099" s="70" t="n">
        <v>744</v>
      </c>
      <c r="K2099" s="70" t="n">
        <f aca="false">IF(ISTEXT(H2099),VALUE(H2099),H2099)*I2099</f>
        <v>4704</v>
      </c>
    </row>
    <row r="2100" customFormat="false" ht="15" hidden="false" customHeight="false" outlineLevel="0" collapsed="false">
      <c r="A2100" s="0" t="n">
        <v>528</v>
      </c>
      <c r="B2100" s="68" t="n">
        <v>45468</v>
      </c>
      <c r="C2100" s="69" t="s">
        <v>27</v>
      </c>
      <c r="D2100" s="69" t="s">
        <v>86</v>
      </c>
      <c r="E2100" s="69" t="s">
        <v>125</v>
      </c>
      <c r="F2100" s="69" t="s">
        <v>155</v>
      </c>
      <c r="G2100" s="69" t="s">
        <v>103</v>
      </c>
      <c r="H2100" s="0" t="n">
        <v>24</v>
      </c>
      <c r="I2100" s="70" t="n">
        <v>27.44</v>
      </c>
      <c r="J2100" s="70" t="n">
        <v>13.44</v>
      </c>
      <c r="K2100" s="70" t="n">
        <f aca="false">IF(ISTEXT(H2100),VALUE(H2100),H2100)*I2100</f>
        <v>658.56</v>
      </c>
    </row>
    <row r="2101" customFormat="false" ht="15" hidden="false" customHeight="false" outlineLevel="0" collapsed="false">
      <c r="A2101" s="0" t="n">
        <v>847</v>
      </c>
      <c r="B2101" s="68" t="n">
        <v>45552</v>
      </c>
      <c r="C2101" s="69" t="s">
        <v>152</v>
      </c>
      <c r="D2101" s="69" t="s">
        <v>109</v>
      </c>
      <c r="E2101" s="69" t="s">
        <v>92</v>
      </c>
      <c r="F2101" s="69" t="s">
        <v>155</v>
      </c>
      <c r="G2101" s="69" t="s">
        <v>103</v>
      </c>
      <c r="H2101" s="0" t="n">
        <v>40</v>
      </c>
      <c r="I2101" s="70" t="n">
        <v>27.44</v>
      </c>
      <c r="J2101" s="70" t="n">
        <v>13.44</v>
      </c>
      <c r="K2101" s="70" t="n">
        <f aca="false">IF(ISTEXT(H2101),VALUE(H2101),H2101)*I2101</f>
        <v>1097.6</v>
      </c>
    </row>
    <row r="2102" customFormat="false" ht="15" hidden="false" customHeight="false" outlineLevel="0" collapsed="false">
      <c r="A2102" s="0" t="n">
        <v>122</v>
      </c>
      <c r="B2102" s="68" t="n">
        <v>45340</v>
      </c>
      <c r="C2102" s="69" t="s">
        <v>27</v>
      </c>
      <c r="D2102" s="69" t="s">
        <v>86</v>
      </c>
      <c r="E2102" s="69" t="s">
        <v>98</v>
      </c>
      <c r="F2102" s="69" t="s">
        <v>153</v>
      </c>
      <c r="G2102" s="69" t="s">
        <v>154</v>
      </c>
      <c r="H2102" s="0" t="n">
        <v>3</v>
      </c>
      <c r="I2102" s="70" t="n">
        <v>1176</v>
      </c>
      <c r="J2102" s="70" t="n">
        <v>744</v>
      </c>
      <c r="K2102" s="70" t="n">
        <f aca="false">IF(ISTEXT(H2102),VALUE(H2102),H2102)*I2102</f>
        <v>3528</v>
      </c>
    </row>
    <row r="2103" customFormat="false" ht="15" hidden="false" customHeight="false" outlineLevel="0" collapsed="false">
      <c r="A2103" s="0" t="n">
        <v>1096</v>
      </c>
      <c r="B2103" s="68" t="n">
        <v>45601</v>
      </c>
      <c r="C2103" s="69" t="s">
        <v>142</v>
      </c>
      <c r="D2103" s="69" t="s">
        <v>112</v>
      </c>
      <c r="E2103" s="69" t="s">
        <v>107</v>
      </c>
      <c r="F2103" s="69" t="s">
        <v>166</v>
      </c>
      <c r="G2103" s="69" t="s">
        <v>111</v>
      </c>
      <c r="H2103" s="0" t="n">
        <v>7</v>
      </c>
      <c r="I2103" s="70" t="n">
        <v>83.3</v>
      </c>
      <c r="J2103" s="70" t="n">
        <v>48.03</v>
      </c>
      <c r="K2103" s="70" t="n">
        <f aca="false">IF(ISTEXT(H2103),VALUE(H2103),H2103)*I2103</f>
        <v>583.1</v>
      </c>
    </row>
    <row r="2104" customFormat="false" ht="15" hidden="false" customHeight="false" outlineLevel="0" collapsed="false">
      <c r="A2104" s="0" t="n">
        <v>1279</v>
      </c>
      <c r="B2104" s="68" t="n">
        <v>45674</v>
      </c>
      <c r="C2104" s="69" t="s">
        <v>136</v>
      </c>
      <c r="D2104" s="69" t="s">
        <v>137</v>
      </c>
      <c r="E2104" s="69" t="s">
        <v>138</v>
      </c>
      <c r="F2104" s="69" t="s">
        <v>183</v>
      </c>
      <c r="G2104" s="69" t="s">
        <v>217</v>
      </c>
      <c r="H2104" s="0" t="n">
        <v>13</v>
      </c>
      <c r="I2104" s="70" t="n">
        <v>34.78</v>
      </c>
      <c r="J2104" s="70" t="n">
        <v>18.39</v>
      </c>
      <c r="K2104" s="70" t="n">
        <f aca="false">IF(ISTEXT(H2104),VALUE(H2104),H2104)*I2104</f>
        <v>452.14</v>
      </c>
    </row>
    <row r="2105" customFormat="false" ht="15" hidden="false" customHeight="false" outlineLevel="0" collapsed="false">
      <c r="A2105" s="0" t="n">
        <v>497</v>
      </c>
      <c r="B2105" s="68" t="n">
        <v>45436</v>
      </c>
      <c r="C2105" s="69" t="s">
        <v>142</v>
      </c>
      <c r="D2105" s="69" t="s">
        <v>112</v>
      </c>
      <c r="E2105" s="69" t="s">
        <v>101</v>
      </c>
      <c r="F2105" s="69" t="s">
        <v>183</v>
      </c>
      <c r="G2105" s="69" t="s">
        <v>127</v>
      </c>
      <c r="H2105" s="0" t="n">
        <v>18</v>
      </c>
      <c r="I2105" s="70" t="n">
        <v>127.4</v>
      </c>
      <c r="J2105" s="70" t="n">
        <v>76.05</v>
      </c>
      <c r="K2105" s="70" t="n">
        <f aca="false">IF(ISTEXT(H2105),VALUE(H2105),H2105)*I2105</f>
        <v>2293.2</v>
      </c>
    </row>
    <row r="2106" customFormat="false" ht="15" hidden="false" customHeight="false" outlineLevel="0" collapsed="false">
      <c r="A2106" s="0" t="n">
        <v>125</v>
      </c>
      <c r="B2106" s="69" t="s">
        <v>758</v>
      </c>
      <c r="C2106" s="69" t="s">
        <v>91</v>
      </c>
      <c r="D2106" s="69" t="s">
        <v>86</v>
      </c>
      <c r="E2106" s="69" t="s">
        <v>121</v>
      </c>
      <c r="F2106" s="69" t="s">
        <v>139</v>
      </c>
      <c r="G2106" s="69" t="s">
        <v>45</v>
      </c>
      <c r="H2106" s="0" t="n">
        <v>10</v>
      </c>
      <c r="I2106" s="70" t="n">
        <v>1617</v>
      </c>
      <c r="J2106" s="70" t="n">
        <v>1122</v>
      </c>
      <c r="K2106" s="70" t="n">
        <f aca="false">IF(ISTEXT(H2106),VALUE(H2106),H2106)*I2106</f>
        <v>16170</v>
      </c>
    </row>
    <row r="2107" customFormat="false" ht="15" hidden="false" customHeight="false" outlineLevel="0" collapsed="false">
      <c r="A2107" s="0" t="n">
        <v>1040</v>
      </c>
      <c r="B2107" s="68" t="n">
        <v>45614</v>
      </c>
      <c r="C2107" s="69" t="s">
        <v>159</v>
      </c>
      <c r="D2107" s="69" t="s">
        <v>86</v>
      </c>
      <c r="E2107" s="69" t="s">
        <v>98</v>
      </c>
      <c r="F2107" s="69" t="s">
        <v>182</v>
      </c>
      <c r="G2107" s="69" t="s">
        <v>217</v>
      </c>
      <c r="H2107" s="0" t="n">
        <v>17</v>
      </c>
      <c r="I2107" s="70" t="n">
        <v>34.3</v>
      </c>
      <c r="J2107" s="70" t="n">
        <v>17.85</v>
      </c>
      <c r="K2107" s="70" t="n">
        <f aca="false">IF(ISTEXT(H2107),VALUE(H2107),H2107)*I2107</f>
        <v>583.1</v>
      </c>
    </row>
    <row r="2108" customFormat="false" ht="15" hidden="false" customHeight="false" outlineLevel="0" collapsed="false">
      <c r="A2108" s="0" t="n">
        <v>1231</v>
      </c>
      <c r="B2108" s="68" t="n">
        <v>45662</v>
      </c>
      <c r="C2108" s="69" t="s">
        <v>91</v>
      </c>
      <c r="D2108" s="69" t="s">
        <v>86</v>
      </c>
      <c r="E2108" s="69" t="s">
        <v>92</v>
      </c>
      <c r="F2108" s="69" t="s">
        <v>102</v>
      </c>
      <c r="G2108" s="69" t="s">
        <v>144</v>
      </c>
      <c r="H2108" s="0" t="n">
        <v>43</v>
      </c>
      <c r="I2108" s="70" t="n">
        <v>64.58</v>
      </c>
      <c r="J2108" s="70" t="n">
        <v>36.49</v>
      </c>
      <c r="K2108" s="70" t="n">
        <f aca="false">IF(ISTEXT(H2108),VALUE(H2108),H2108)*I2108</f>
        <v>2776.94</v>
      </c>
    </row>
    <row r="2109" customFormat="false" ht="15" hidden="false" customHeight="false" outlineLevel="0" collapsed="false">
      <c r="A2109" s="0" t="n">
        <v>1767</v>
      </c>
      <c r="B2109" s="69" t="s">
        <v>790</v>
      </c>
      <c r="C2109" s="69" t="s">
        <v>193</v>
      </c>
      <c r="D2109" s="69" t="s">
        <v>137</v>
      </c>
      <c r="E2109" s="69" t="s">
        <v>121</v>
      </c>
      <c r="F2109" s="69" t="s">
        <v>28</v>
      </c>
      <c r="G2109" s="69" t="s">
        <v>103</v>
      </c>
      <c r="H2109" s="0" t="n">
        <v>30</v>
      </c>
      <c r="I2109" s="70" t="n">
        <v>27.82</v>
      </c>
      <c r="J2109" s="70" t="n">
        <v>13.84</v>
      </c>
      <c r="K2109" s="70" t="n">
        <f aca="false">IF(ISTEXT(H2109),VALUE(H2109),H2109)*I2109</f>
        <v>834.6</v>
      </c>
    </row>
    <row r="2110" customFormat="false" ht="15" hidden="false" customHeight="false" outlineLevel="0" collapsed="false">
      <c r="A2110" s="0" t="n">
        <v>1529</v>
      </c>
      <c r="B2110" s="69" t="s">
        <v>791</v>
      </c>
      <c r="C2110" s="69" t="s">
        <v>91</v>
      </c>
      <c r="D2110" s="69" t="s">
        <v>86</v>
      </c>
      <c r="E2110" s="69" t="s">
        <v>110</v>
      </c>
      <c r="F2110" s="69" t="s">
        <v>155</v>
      </c>
      <c r="G2110" s="69" t="s">
        <v>172</v>
      </c>
      <c r="H2110" s="0" t="n">
        <v>54</v>
      </c>
      <c r="I2110" s="70" t="n">
        <v>94.39</v>
      </c>
      <c r="J2110" s="70" t="n">
        <v>49.41</v>
      </c>
      <c r="K2110" s="70" t="n">
        <f aca="false">IF(ISTEXT(H2110),VALUE(H2110),H2110)*I2110</f>
        <v>5097.06</v>
      </c>
    </row>
    <row r="2111" customFormat="false" ht="15" hidden="false" customHeight="false" outlineLevel="0" collapsed="false">
      <c r="A2111" s="0" t="n">
        <v>2203</v>
      </c>
      <c r="B2111" s="68" t="n">
        <v>45966</v>
      </c>
      <c r="C2111" s="69" t="s">
        <v>96</v>
      </c>
      <c r="D2111" s="69" t="s">
        <v>97</v>
      </c>
      <c r="E2111" s="69" t="s">
        <v>121</v>
      </c>
      <c r="F2111" s="69" t="s">
        <v>26</v>
      </c>
      <c r="G2111" s="69" t="s">
        <v>43</v>
      </c>
      <c r="H2111" s="0" t="n">
        <v>28</v>
      </c>
      <c r="I2111" s="70" t="n">
        <v>451.78</v>
      </c>
      <c r="J2111" s="70" t="n">
        <v>280.42</v>
      </c>
      <c r="K2111" s="70" t="n">
        <f aca="false">IF(ISTEXT(H2111),VALUE(H2111),H2111)*I2111</f>
        <v>12649.84</v>
      </c>
    </row>
    <row r="2112" customFormat="false" ht="15" hidden="false" customHeight="false" outlineLevel="0" collapsed="false">
      <c r="A2112" s="0" t="n">
        <v>2052</v>
      </c>
      <c r="B2112" s="68" t="n">
        <v>45901</v>
      </c>
      <c r="C2112" s="69" t="s">
        <v>118</v>
      </c>
      <c r="D2112" s="69"/>
      <c r="E2112" s="69" t="s">
        <v>98</v>
      </c>
      <c r="F2112" s="69" t="s">
        <v>28</v>
      </c>
      <c r="G2112" s="69" t="s">
        <v>208</v>
      </c>
      <c r="H2112" s="0" t="n">
        <v>23</v>
      </c>
      <c r="I2112" s="70" t="n">
        <v>65.26</v>
      </c>
      <c r="J2112" s="70" t="n">
        <v>36.49</v>
      </c>
      <c r="K2112" s="70" t="n">
        <f aca="false">IF(ISTEXT(H2112),VALUE(H2112),H2112)*I2112</f>
        <v>1500.98</v>
      </c>
    </row>
    <row r="2113" customFormat="false" ht="15" hidden="false" customHeight="false" outlineLevel="0" collapsed="false">
      <c r="A2113" s="0" t="n">
        <v>868</v>
      </c>
      <c r="B2113" s="69" t="s">
        <v>792</v>
      </c>
      <c r="C2113" s="69" t="s">
        <v>136</v>
      </c>
      <c r="D2113" s="69" t="s">
        <v>137</v>
      </c>
      <c r="E2113" s="69" t="s">
        <v>87</v>
      </c>
      <c r="F2113" s="69" t="s">
        <v>155</v>
      </c>
      <c r="G2113" s="69" t="s">
        <v>47</v>
      </c>
      <c r="H2113" s="0" t="n">
        <v>14</v>
      </c>
      <c r="I2113" s="70" t="n">
        <v>27.44</v>
      </c>
      <c r="J2113" s="70" t="n">
        <v>13.44</v>
      </c>
      <c r="K2113" s="70" t="n">
        <f aca="false">IF(ISTEXT(H2113),VALUE(H2113),H2113)*I2113</f>
        <v>384.16</v>
      </c>
    </row>
    <row r="2114" customFormat="false" ht="15" hidden="false" customHeight="false" outlineLevel="0" collapsed="false">
      <c r="A2114" s="0" t="n">
        <v>369</v>
      </c>
      <c r="B2114" s="68" t="n">
        <v>45401</v>
      </c>
      <c r="C2114" s="69" t="s">
        <v>184</v>
      </c>
      <c r="D2114" s="69" t="s">
        <v>137</v>
      </c>
      <c r="E2114" s="69" t="s">
        <v>110</v>
      </c>
      <c r="F2114" s="69" t="s">
        <v>102</v>
      </c>
      <c r="G2114" s="69" t="s">
        <v>235</v>
      </c>
      <c r="H2114" s="0" t="n">
        <v>28</v>
      </c>
      <c r="I2114" s="70" t="n">
        <v>93.1</v>
      </c>
      <c r="J2114" s="70" t="n">
        <v>47.98</v>
      </c>
      <c r="K2114" s="70" t="n">
        <f aca="false">IF(ISTEXT(H2114),VALUE(H2114),H2114)*I2114</f>
        <v>2606.8</v>
      </c>
    </row>
    <row r="2115" customFormat="false" ht="15" hidden="false" customHeight="false" outlineLevel="0" collapsed="false">
      <c r="A2115" s="0" t="n">
        <v>748</v>
      </c>
      <c r="B2115" s="69" t="s">
        <v>793</v>
      </c>
      <c r="C2115" s="69" t="s">
        <v>152</v>
      </c>
      <c r="D2115" s="69" t="s">
        <v>109</v>
      </c>
      <c r="E2115" s="69" t="s">
        <v>180</v>
      </c>
      <c r="F2115" s="69" t="s">
        <v>28</v>
      </c>
      <c r="G2115" s="69" t="s">
        <v>113</v>
      </c>
      <c r="H2115" s="0" t="n">
        <v>16</v>
      </c>
      <c r="I2115" s="70" t="n">
        <v>27.44</v>
      </c>
      <c r="J2115" s="70" t="n">
        <v>13.44</v>
      </c>
      <c r="K2115" s="70" t="n">
        <f aca="false">IF(ISTEXT(H2115),VALUE(H2115),H2115)*I2115</f>
        <v>439.04</v>
      </c>
    </row>
    <row r="2116" customFormat="false" ht="15" hidden="false" customHeight="false" outlineLevel="0" collapsed="false">
      <c r="A2116" s="0" t="n">
        <v>1836</v>
      </c>
      <c r="B2116" s="69" t="s">
        <v>240</v>
      </c>
      <c r="C2116" s="69" t="s">
        <v>159</v>
      </c>
      <c r="D2116" s="69" t="s">
        <v>86</v>
      </c>
      <c r="E2116" s="69" t="s">
        <v>107</v>
      </c>
      <c r="F2116" s="69" t="s">
        <v>162</v>
      </c>
      <c r="G2116" s="69" t="s">
        <v>111</v>
      </c>
      <c r="H2116" s="0" t="n">
        <v>21</v>
      </c>
      <c r="I2116" s="70" t="n">
        <v>85.34</v>
      </c>
      <c r="J2116" s="70" t="n">
        <v>49.47</v>
      </c>
      <c r="K2116" s="70" t="n">
        <f aca="false">IF(ISTEXT(H2116),VALUE(H2116),H2116)*I2116</f>
        <v>1792.14</v>
      </c>
    </row>
    <row r="2117" customFormat="false" ht="15" hidden="false" customHeight="false" outlineLevel="0" collapsed="false">
      <c r="A2117" s="0" t="n">
        <v>217</v>
      </c>
      <c r="B2117" s="68" t="n">
        <v>45359</v>
      </c>
      <c r="C2117" s="69" t="s">
        <v>25</v>
      </c>
      <c r="D2117" s="69" t="s">
        <v>97</v>
      </c>
      <c r="E2117" s="69" t="s">
        <v>138</v>
      </c>
      <c r="F2117" s="69" t="s">
        <v>33</v>
      </c>
      <c r="G2117" s="69" t="s">
        <v>52</v>
      </c>
      <c r="H2117" s="0" t="n">
        <v>56</v>
      </c>
      <c r="I2117" s="70" t="n">
        <v>127.4</v>
      </c>
      <c r="J2117" s="70" t="n">
        <v>76.05</v>
      </c>
      <c r="K2117" s="70" t="n">
        <f aca="false">IF(ISTEXT(H2117),VALUE(H2117),H2117)*I2117</f>
        <v>7134.4</v>
      </c>
    </row>
    <row r="2118" customFormat="false" ht="15" hidden="false" customHeight="false" outlineLevel="0" collapsed="false">
      <c r="A2118" s="0" t="n">
        <v>832</v>
      </c>
      <c r="B2118" s="68" t="n">
        <v>45555</v>
      </c>
      <c r="C2118" s="69" t="s">
        <v>120</v>
      </c>
      <c r="D2118" s="69" t="s">
        <v>86</v>
      </c>
      <c r="E2118" s="69" t="s">
        <v>180</v>
      </c>
      <c r="F2118" s="69" t="s">
        <v>99</v>
      </c>
      <c r="G2118" s="69" t="s">
        <v>208</v>
      </c>
      <c r="H2118" s="0" t="s">
        <v>207</v>
      </c>
      <c r="I2118" s="70" t="n">
        <v>63.7</v>
      </c>
      <c r="J2118" s="70" t="n">
        <v>35.43</v>
      </c>
      <c r="K2118" s="70" t="n">
        <f aca="false">IF(ISTEXT(H2118),VALUE(H2118),H2118)*I2118</f>
        <v>1656.2</v>
      </c>
    </row>
    <row r="2119" customFormat="false" ht="15" hidden="false" customHeight="false" outlineLevel="0" collapsed="false">
      <c r="A2119" s="0" t="n">
        <v>2331</v>
      </c>
      <c r="B2119" s="68" t="n">
        <v>46001</v>
      </c>
      <c r="C2119" s="69" t="s">
        <v>159</v>
      </c>
      <c r="D2119" s="69" t="s">
        <v>86</v>
      </c>
      <c r="E2119" s="69" t="s">
        <v>92</v>
      </c>
      <c r="F2119" s="69" t="s">
        <v>143</v>
      </c>
      <c r="G2119" s="69" t="s">
        <v>144</v>
      </c>
      <c r="H2119" s="0" t="n">
        <v>72</v>
      </c>
      <c r="I2119" s="70" t="n">
        <v>65.26</v>
      </c>
      <c r="J2119" s="70" t="n">
        <v>36.49</v>
      </c>
      <c r="K2119" s="70" t="n">
        <f aca="false">IF(ISTEXT(H2119),VALUE(H2119),H2119)*I2119</f>
        <v>4698.72</v>
      </c>
    </row>
    <row r="2120" customFormat="false" ht="15" hidden="false" customHeight="false" outlineLevel="0" collapsed="false">
      <c r="A2120" s="0" t="n">
        <v>809</v>
      </c>
      <c r="B2120" s="68" t="n">
        <v>45556</v>
      </c>
      <c r="C2120" s="69" t="s">
        <v>124</v>
      </c>
      <c r="D2120" s="69" t="s">
        <v>97</v>
      </c>
      <c r="E2120" s="69" t="s">
        <v>134</v>
      </c>
      <c r="F2120" s="69" t="s">
        <v>143</v>
      </c>
      <c r="G2120" s="69" t="s">
        <v>172</v>
      </c>
      <c r="H2120" s="0" t="n">
        <v>97</v>
      </c>
      <c r="I2120" s="70" t="n">
        <v>93.1</v>
      </c>
      <c r="J2120" s="70" t="n">
        <v>47.98</v>
      </c>
      <c r="K2120" s="70" t="n">
        <f aca="false">IF(ISTEXT(H2120),VALUE(H2120),H2120)*I2120</f>
        <v>9030.7</v>
      </c>
    </row>
    <row r="2121" customFormat="false" ht="15" hidden="false" customHeight="false" outlineLevel="0" collapsed="false">
      <c r="A2121" s="0" t="n">
        <v>111</v>
      </c>
      <c r="B2121" s="68" t="n">
        <v>45344</v>
      </c>
      <c r="C2121" s="69" t="s">
        <v>124</v>
      </c>
      <c r="D2121" s="69" t="s">
        <v>97</v>
      </c>
      <c r="E2121" s="69" t="s">
        <v>121</v>
      </c>
      <c r="F2121" s="69" t="s">
        <v>28</v>
      </c>
      <c r="G2121" s="69" t="s">
        <v>49</v>
      </c>
      <c r="H2121" s="0" t="s">
        <v>794</v>
      </c>
      <c r="I2121" s="70" t="n">
        <v>63.7</v>
      </c>
      <c r="J2121" s="70" t="n">
        <v>35.43</v>
      </c>
      <c r="K2121" s="70" t="n">
        <f aca="false">IF(ISTEXT(H2121),VALUE(H2121),H2121)*I2121</f>
        <v>4586.4</v>
      </c>
    </row>
    <row r="2122" customFormat="false" ht="15" hidden="false" customHeight="false" outlineLevel="0" collapsed="false">
      <c r="A2122" s="0" t="n">
        <v>1783</v>
      </c>
      <c r="B2122" s="68" t="n">
        <v>45816</v>
      </c>
      <c r="C2122" s="69" t="s">
        <v>142</v>
      </c>
      <c r="D2122" s="69" t="s">
        <v>112</v>
      </c>
      <c r="E2122" s="69" t="s">
        <v>101</v>
      </c>
      <c r="F2122" s="69" t="s">
        <v>139</v>
      </c>
      <c r="G2122" s="69" t="s">
        <v>43</v>
      </c>
      <c r="H2122" s="0" t="n">
        <v>7</v>
      </c>
      <c r="I2122" s="70" t="n">
        <v>433.15</v>
      </c>
      <c r="J2122" s="70" t="n">
        <v>280.42</v>
      </c>
      <c r="K2122" s="70" t="n">
        <f aca="false">IF(ISTEXT(H2122),VALUE(H2122),H2122)*I2122</f>
        <v>3032.05</v>
      </c>
    </row>
    <row r="2123" customFormat="false" ht="15" hidden="false" customHeight="false" outlineLevel="0" collapsed="false">
      <c r="A2123" s="0" t="n">
        <v>1848</v>
      </c>
      <c r="B2123" s="69" t="s">
        <v>795</v>
      </c>
      <c r="C2123" s="69" t="s">
        <v>118</v>
      </c>
      <c r="D2123" s="69"/>
      <c r="E2123" s="69" t="s">
        <v>98</v>
      </c>
      <c r="F2123" s="69" t="s">
        <v>28</v>
      </c>
      <c r="G2123" s="69" t="s">
        <v>103</v>
      </c>
      <c r="H2123" s="0" t="n">
        <v>30</v>
      </c>
      <c r="I2123" s="70" t="n">
        <v>28.11</v>
      </c>
      <c r="J2123" s="70" t="n">
        <v>13.84</v>
      </c>
      <c r="K2123" s="70" t="n">
        <f aca="false">IF(ISTEXT(H2123),VALUE(H2123),H2123)*I2123</f>
        <v>843.3</v>
      </c>
    </row>
    <row r="2124" customFormat="false" ht="15" hidden="false" customHeight="false" outlineLevel="0" collapsed="false">
      <c r="A2124" s="0" t="n">
        <v>371</v>
      </c>
      <c r="B2124" s="68" t="n">
        <v>45388</v>
      </c>
      <c r="C2124" s="69" t="s">
        <v>184</v>
      </c>
      <c r="D2124" s="69" t="s">
        <v>137</v>
      </c>
      <c r="E2124" s="69" t="s">
        <v>101</v>
      </c>
      <c r="F2124" s="69" t="s">
        <v>99</v>
      </c>
      <c r="G2124" s="69" t="s">
        <v>208</v>
      </c>
      <c r="H2124" s="0" t="n">
        <v>26</v>
      </c>
      <c r="I2124" s="70" t="n">
        <v>63.7</v>
      </c>
      <c r="J2124" s="70" t="n">
        <v>35.43</v>
      </c>
      <c r="K2124" s="70" t="n">
        <f aca="false">IF(ISTEXT(H2124),VALUE(H2124),H2124)*I2124</f>
        <v>1656.2</v>
      </c>
    </row>
    <row r="2125" customFormat="false" ht="15" hidden="false" customHeight="false" outlineLevel="0" collapsed="false">
      <c r="A2125" s="0" t="n">
        <v>2189</v>
      </c>
      <c r="B2125" s="68" t="n">
        <v>45945</v>
      </c>
      <c r="C2125" s="69" t="s">
        <v>34</v>
      </c>
      <c r="D2125" s="69" t="s">
        <v>112</v>
      </c>
      <c r="E2125" s="69" t="s">
        <v>138</v>
      </c>
      <c r="F2125" s="69" t="s">
        <v>99</v>
      </c>
      <c r="G2125" s="69" t="s">
        <v>172</v>
      </c>
      <c r="H2125" s="0" t="n">
        <v>31</v>
      </c>
      <c r="I2125" s="70" t="n">
        <v>95.38</v>
      </c>
      <c r="J2125" s="70" t="n">
        <v>49.41</v>
      </c>
      <c r="K2125" s="70" t="n">
        <f aca="false">IF(ISTEXT(H2125),VALUE(H2125),H2125)*I2125</f>
        <v>2956.78</v>
      </c>
    </row>
    <row r="2126" customFormat="false" ht="15" hidden="false" customHeight="false" outlineLevel="0" collapsed="false">
      <c r="A2126" s="0" t="n">
        <v>2250</v>
      </c>
      <c r="B2126" s="69" t="s">
        <v>532</v>
      </c>
      <c r="C2126" s="69" t="s">
        <v>30</v>
      </c>
      <c r="D2126" s="69" t="s">
        <v>109</v>
      </c>
      <c r="E2126" s="69" t="s">
        <v>119</v>
      </c>
      <c r="F2126" s="69" t="s">
        <v>102</v>
      </c>
      <c r="G2126" s="69" t="s">
        <v>48</v>
      </c>
      <c r="H2126" s="0" t="n">
        <v>31</v>
      </c>
      <c r="I2126" s="70" t="n">
        <v>95.38</v>
      </c>
      <c r="J2126" s="70" t="n">
        <v>49.41</v>
      </c>
      <c r="K2126" s="70" t="n">
        <f aca="false">IF(ISTEXT(H2126),VALUE(H2126),H2126)*I2126</f>
        <v>2956.78</v>
      </c>
    </row>
    <row r="2127" customFormat="false" ht="15" hidden="false" customHeight="false" outlineLevel="0" collapsed="false">
      <c r="A2127" s="0" t="n">
        <v>1875</v>
      </c>
      <c r="B2127" s="68" t="n">
        <v>45842</v>
      </c>
      <c r="C2127" s="69" t="s">
        <v>184</v>
      </c>
      <c r="D2127" s="69" t="s">
        <v>137</v>
      </c>
      <c r="E2127" s="69" t="s">
        <v>134</v>
      </c>
      <c r="F2127" s="69" t="s">
        <v>31</v>
      </c>
      <c r="G2127" s="69" t="s">
        <v>111</v>
      </c>
      <c r="H2127" s="0" t="n">
        <v>14</v>
      </c>
      <c r="I2127" s="70" t="n">
        <v>85.34</v>
      </c>
      <c r="J2127" s="70" t="n">
        <v>49.47</v>
      </c>
      <c r="K2127" s="70" t="n">
        <f aca="false">IF(ISTEXT(H2127),VALUE(H2127),H2127)*I2127</f>
        <v>1194.76</v>
      </c>
    </row>
    <row r="2128" customFormat="false" ht="15" hidden="false" customHeight="false" outlineLevel="0" collapsed="false">
      <c r="A2128" s="0" t="n">
        <v>455</v>
      </c>
      <c r="B2128" s="68" t="n">
        <v>45439</v>
      </c>
      <c r="C2128" s="69" t="s">
        <v>30</v>
      </c>
      <c r="D2128" s="69" t="s">
        <v>109</v>
      </c>
      <c r="E2128" s="69" t="s">
        <v>134</v>
      </c>
      <c r="F2128" s="69" t="s">
        <v>31</v>
      </c>
      <c r="G2128" s="69" t="s">
        <v>116</v>
      </c>
      <c r="H2128" s="0" t="n">
        <v>17</v>
      </c>
      <c r="I2128" s="70" t="n">
        <v>83.3</v>
      </c>
      <c r="J2128" s="70" t="n">
        <v>48.03</v>
      </c>
      <c r="K2128" s="70" t="n">
        <f aca="false">IF(ISTEXT(H2128),VALUE(H2128),H2128)*I2128</f>
        <v>1416.1</v>
      </c>
    </row>
    <row r="2129" customFormat="false" ht="15" hidden="false" customHeight="false" outlineLevel="0" collapsed="false">
      <c r="A2129" s="0" t="n">
        <v>1176</v>
      </c>
      <c r="B2129" s="69" t="s">
        <v>552</v>
      </c>
      <c r="C2129" s="69" t="s">
        <v>184</v>
      </c>
      <c r="D2129" s="69" t="s">
        <v>137</v>
      </c>
      <c r="E2129" s="69" t="s">
        <v>98</v>
      </c>
      <c r="F2129" s="69" t="s">
        <v>166</v>
      </c>
      <c r="G2129" s="69" t="s">
        <v>51</v>
      </c>
      <c r="H2129" s="0" t="n">
        <v>9</v>
      </c>
      <c r="I2129" s="70" t="n">
        <v>83.3</v>
      </c>
      <c r="J2129" s="70" t="n">
        <v>48.03</v>
      </c>
      <c r="K2129" s="70" t="n">
        <f aca="false">IF(ISTEXT(H2129),VALUE(H2129),H2129)*I2129</f>
        <v>749.7</v>
      </c>
    </row>
    <row r="2130" customFormat="false" ht="15" hidden="false" customHeight="false" outlineLevel="0" collapsed="false">
      <c r="A2130" s="0" t="n">
        <v>1469</v>
      </c>
      <c r="B2130" s="68" t="n">
        <v>45740</v>
      </c>
      <c r="C2130" s="69" t="s">
        <v>193</v>
      </c>
      <c r="D2130" s="69" t="s">
        <v>137</v>
      </c>
      <c r="E2130" s="69" t="s">
        <v>92</v>
      </c>
      <c r="F2130" s="69" t="s">
        <v>28</v>
      </c>
      <c r="G2130" s="69" t="s">
        <v>235</v>
      </c>
      <c r="H2130" s="0" t="n">
        <v>30</v>
      </c>
      <c r="I2130" s="70" t="n">
        <v>94.39</v>
      </c>
      <c r="J2130" s="70" t="n">
        <v>49.41</v>
      </c>
      <c r="K2130" s="70" t="n">
        <f aca="false">IF(ISTEXT(H2130),VALUE(H2130),H2130)*I2130</f>
        <v>2831.7</v>
      </c>
    </row>
    <row r="2131" customFormat="false" ht="15" hidden="false" customHeight="false" outlineLevel="0" collapsed="false">
      <c r="A2131" s="0" t="n">
        <v>398</v>
      </c>
      <c r="B2131" s="68" t="n">
        <v>45388</v>
      </c>
      <c r="C2131" s="69" t="s">
        <v>142</v>
      </c>
      <c r="D2131" s="69" t="s">
        <v>112</v>
      </c>
      <c r="E2131" s="69" t="s">
        <v>125</v>
      </c>
      <c r="F2131" s="69" t="s">
        <v>183</v>
      </c>
      <c r="G2131" s="69" t="s">
        <v>127</v>
      </c>
      <c r="H2131" s="0" t="n">
        <v>7</v>
      </c>
      <c r="I2131" s="70" t="n">
        <v>127.4</v>
      </c>
      <c r="J2131" s="70" t="n">
        <v>76.05</v>
      </c>
      <c r="K2131" s="70" t="n">
        <f aca="false">IF(ISTEXT(H2131),VALUE(H2131),H2131)*I2131</f>
        <v>891.8</v>
      </c>
    </row>
    <row r="2132" customFormat="false" ht="15" hidden="false" customHeight="false" outlineLevel="0" collapsed="false">
      <c r="A2132" s="0" t="n">
        <v>500</v>
      </c>
      <c r="B2132" s="68" t="n">
        <v>45430</v>
      </c>
      <c r="C2132" s="69" t="s">
        <v>161</v>
      </c>
      <c r="D2132" s="69" t="s">
        <v>112</v>
      </c>
      <c r="E2132" s="69" t="s">
        <v>125</v>
      </c>
      <c r="F2132" s="69" t="s">
        <v>93</v>
      </c>
      <c r="G2132" s="69" t="s">
        <v>53</v>
      </c>
      <c r="H2132" s="0" t="n">
        <v>6</v>
      </c>
      <c r="I2132" s="70" t="n">
        <v>34.3</v>
      </c>
      <c r="J2132" s="70" t="n">
        <v>17.85</v>
      </c>
      <c r="K2132" s="70" t="n">
        <f aca="false">IF(ISTEXT(H2132),VALUE(H2132),H2132)*I2132</f>
        <v>205.8</v>
      </c>
    </row>
    <row r="2133" customFormat="false" ht="15" hidden="false" customHeight="false" outlineLevel="0" collapsed="false">
      <c r="A2133" s="0" t="n">
        <v>1629</v>
      </c>
      <c r="B2133" s="68" t="n">
        <v>45787</v>
      </c>
      <c r="C2133" s="69" t="s">
        <v>159</v>
      </c>
      <c r="D2133" s="69" t="s">
        <v>86</v>
      </c>
      <c r="E2133" s="69" t="s">
        <v>110</v>
      </c>
      <c r="F2133" s="69" t="s">
        <v>155</v>
      </c>
      <c r="G2133" s="69" t="s">
        <v>172</v>
      </c>
      <c r="H2133" s="0" t="n">
        <v>46</v>
      </c>
      <c r="I2133" s="70" t="n">
        <v>94.39</v>
      </c>
      <c r="J2133" s="70" t="n">
        <v>49.41</v>
      </c>
      <c r="K2133" s="70" t="n">
        <f aca="false">IF(ISTEXT(H2133),VALUE(H2133),H2133)*I2133</f>
        <v>4341.94</v>
      </c>
    </row>
    <row r="2134" customFormat="false" ht="15" hidden="false" customHeight="false" outlineLevel="0" collapsed="false">
      <c r="A2134" s="0" t="n">
        <v>150</v>
      </c>
      <c r="B2134" s="68" t="n">
        <v>45347</v>
      </c>
      <c r="C2134" s="69" t="s">
        <v>118</v>
      </c>
      <c r="D2134" s="69" t="s">
        <v>109</v>
      </c>
      <c r="E2134" s="69" t="s">
        <v>119</v>
      </c>
      <c r="F2134" s="69" t="s">
        <v>99</v>
      </c>
      <c r="G2134" s="69" t="s">
        <v>172</v>
      </c>
      <c r="H2134" s="0" t="n">
        <v>14</v>
      </c>
      <c r="I2134" s="70" t="n">
        <v>93.1</v>
      </c>
      <c r="J2134" s="70" t="n">
        <v>47.98</v>
      </c>
      <c r="K2134" s="70" t="n">
        <f aca="false">IF(ISTEXT(H2134),VALUE(H2134),H2134)*I2134</f>
        <v>1303.4</v>
      </c>
    </row>
    <row r="2135" customFormat="false" ht="15" hidden="false" customHeight="false" outlineLevel="0" collapsed="false">
      <c r="A2135" s="0" t="n">
        <v>2033</v>
      </c>
      <c r="B2135" s="68" t="n">
        <v>45903</v>
      </c>
      <c r="C2135" s="69" t="s">
        <v>27</v>
      </c>
      <c r="D2135" s="69" t="s">
        <v>86</v>
      </c>
      <c r="E2135" s="69" t="s">
        <v>138</v>
      </c>
      <c r="F2135" s="69" t="s">
        <v>162</v>
      </c>
      <c r="G2135" s="69" t="s">
        <v>156</v>
      </c>
      <c r="H2135" s="0" t="s">
        <v>251</v>
      </c>
      <c r="I2135" s="70" t="n">
        <v>120.47</v>
      </c>
      <c r="J2135" s="70" t="n">
        <v>65.51</v>
      </c>
      <c r="K2135" s="70" t="n">
        <f aca="false">IF(ISTEXT(H2135),VALUE(H2135),H2135)*I2135</f>
        <v>2891.28</v>
      </c>
    </row>
    <row r="2136" customFormat="false" ht="15" hidden="false" customHeight="false" outlineLevel="0" collapsed="false">
      <c r="A2136" s="0" t="n">
        <v>670</v>
      </c>
      <c r="B2136" s="69" t="s">
        <v>796</v>
      </c>
      <c r="C2136" s="69" t="s">
        <v>184</v>
      </c>
      <c r="D2136" s="69" t="s">
        <v>137</v>
      </c>
      <c r="E2136" s="69" t="s">
        <v>119</v>
      </c>
      <c r="F2136" s="69" t="s">
        <v>143</v>
      </c>
      <c r="G2136" s="69" t="s">
        <v>172</v>
      </c>
      <c r="H2136" s="0" t="n">
        <v>11</v>
      </c>
      <c r="I2136" s="70" t="n">
        <v>93.1</v>
      </c>
      <c r="J2136" s="70" t="n">
        <v>47.98</v>
      </c>
      <c r="K2136" s="70" t="n">
        <f aca="false">IF(ISTEXT(H2136),VALUE(H2136),H2136)*I2136</f>
        <v>1024.1</v>
      </c>
    </row>
    <row r="2137" customFormat="false" ht="15" hidden="false" customHeight="false" outlineLevel="0" collapsed="false">
      <c r="A2137" s="0" t="n">
        <v>721</v>
      </c>
      <c r="B2137" s="68" t="n">
        <v>45530</v>
      </c>
      <c r="C2137" s="69" t="s">
        <v>120</v>
      </c>
      <c r="D2137" s="69" t="s">
        <v>86</v>
      </c>
      <c r="E2137" s="69" t="s">
        <v>138</v>
      </c>
      <c r="F2137" s="69" t="s">
        <v>153</v>
      </c>
      <c r="G2137" s="69" t="s">
        <v>154</v>
      </c>
      <c r="H2137" s="0" t="n">
        <v>11</v>
      </c>
      <c r="I2137" s="70" t="n">
        <v>1176</v>
      </c>
      <c r="J2137" s="70" t="n">
        <v>744</v>
      </c>
      <c r="K2137" s="70" t="n">
        <f aca="false">IF(ISTEXT(H2137),VALUE(H2137),H2137)*I2137</f>
        <v>12936</v>
      </c>
    </row>
    <row r="2138" customFormat="false" ht="15" hidden="false" customHeight="false" outlineLevel="0" collapsed="false">
      <c r="A2138" s="0" t="n">
        <v>1900</v>
      </c>
      <c r="B2138" s="68" t="n">
        <v>45855</v>
      </c>
      <c r="C2138" s="69" t="s">
        <v>142</v>
      </c>
      <c r="D2138" s="69"/>
      <c r="E2138" s="69" t="s">
        <v>180</v>
      </c>
      <c r="F2138" s="69" t="s">
        <v>183</v>
      </c>
      <c r="G2138" s="69" t="s">
        <v>53</v>
      </c>
      <c r="H2138" s="0" t="n">
        <v>12</v>
      </c>
      <c r="I2138" s="70" t="n">
        <v>35.14</v>
      </c>
      <c r="J2138" s="70" t="n">
        <v>18.39</v>
      </c>
      <c r="K2138" s="70" t="n">
        <f aca="false">IF(ISTEXT(H2138),VALUE(H2138),H2138)*I2138</f>
        <v>421.68</v>
      </c>
    </row>
    <row r="2139" customFormat="false" ht="15" hidden="false" customHeight="false" outlineLevel="0" collapsed="false">
      <c r="A2139" s="0" t="n">
        <v>1729</v>
      </c>
      <c r="B2139" s="68" t="n">
        <v>45816</v>
      </c>
      <c r="C2139" s="69" t="s">
        <v>120</v>
      </c>
      <c r="D2139" s="69"/>
      <c r="E2139" s="69" t="s">
        <v>134</v>
      </c>
      <c r="F2139" s="69" t="s">
        <v>99</v>
      </c>
      <c r="G2139" s="69" t="s">
        <v>48</v>
      </c>
      <c r="H2139" s="0" t="s">
        <v>380</v>
      </c>
      <c r="I2139" s="70" t="n">
        <v>94.39</v>
      </c>
      <c r="J2139" s="70" t="n">
        <v>49.41</v>
      </c>
      <c r="K2139" s="70" t="n">
        <f aca="false">IF(ISTEXT(H2139),VALUE(H2139),H2139)*I2139</f>
        <v>5474.62</v>
      </c>
    </row>
    <row r="2140" customFormat="false" ht="15" hidden="false" customHeight="false" outlineLevel="0" collapsed="false">
      <c r="A2140" s="0" t="n">
        <v>1523</v>
      </c>
      <c r="B2140" s="69" t="s">
        <v>797</v>
      </c>
      <c r="C2140" s="69" t="s">
        <v>159</v>
      </c>
      <c r="D2140" s="69" t="s">
        <v>86</v>
      </c>
      <c r="E2140" s="69" t="s">
        <v>121</v>
      </c>
      <c r="F2140" s="69" t="s">
        <v>153</v>
      </c>
      <c r="G2140" s="69" t="s">
        <v>177</v>
      </c>
      <c r="H2140" s="0" t="n">
        <v>9</v>
      </c>
      <c r="I2140" s="70" t="n">
        <v>433.15</v>
      </c>
      <c r="J2140" s="70" t="n">
        <v>280.42</v>
      </c>
      <c r="K2140" s="70" t="n">
        <f aca="false">IF(ISTEXT(H2140),VALUE(H2140),H2140)*I2140</f>
        <v>3898.35</v>
      </c>
    </row>
    <row r="2141" customFormat="false" ht="15" hidden="false" customHeight="false" outlineLevel="0" collapsed="false">
      <c r="A2141" s="0" t="n">
        <v>1820</v>
      </c>
      <c r="B2141" s="69" t="s">
        <v>283</v>
      </c>
      <c r="C2141" s="69" t="s">
        <v>170</v>
      </c>
      <c r="D2141" s="69" t="s">
        <v>97</v>
      </c>
      <c r="E2141" s="69" t="s">
        <v>98</v>
      </c>
      <c r="F2141" s="69" t="s">
        <v>183</v>
      </c>
      <c r="G2141" s="69" t="s">
        <v>217</v>
      </c>
      <c r="H2141" s="0" t="n">
        <v>46</v>
      </c>
      <c r="I2141" s="70" t="n">
        <v>35.14</v>
      </c>
      <c r="J2141" s="70" t="n">
        <v>18.39</v>
      </c>
      <c r="K2141" s="70" t="n">
        <f aca="false">IF(ISTEXT(H2141),VALUE(H2141),H2141)*I2141</f>
        <v>1616.44</v>
      </c>
    </row>
    <row r="2142" customFormat="false" ht="15" hidden="false" customHeight="false" outlineLevel="0" collapsed="false">
      <c r="A2142" s="0" t="n">
        <v>262</v>
      </c>
      <c r="B2142" s="68" t="n">
        <v>45377</v>
      </c>
      <c r="C2142" s="69" t="s">
        <v>184</v>
      </c>
      <c r="D2142" s="69" t="s">
        <v>137</v>
      </c>
      <c r="E2142" s="69" t="s">
        <v>125</v>
      </c>
      <c r="F2142" s="69" t="s">
        <v>26</v>
      </c>
      <c r="G2142" s="69" t="s">
        <v>41</v>
      </c>
      <c r="H2142" s="0" t="n">
        <v>2</v>
      </c>
      <c r="I2142" s="70" t="n">
        <v>1176</v>
      </c>
      <c r="J2142" s="70" t="n">
        <v>744</v>
      </c>
      <c r="K2142" s="70" t="n">
        <f aca="false">IF(ISTEXT(H2142),VALUE(H2142),H2142)*I2142</f>
        <v>2352</v>
      </c>
    </row>
    <row r="2143" customFormat="false" ht="15" hidden="false" customHeight="false" outlineLevel="0" collapsed="false">
      <c r="A2143" s="0" t="n">
        <v>1958</v>
      </c>
      <c r="B2143" s="69" t="s">
        <v>798</v>
      </c>
      <c r="C2143" s="69" t="s">
        <v>30</v>
      </c>
      <c r="D2143" s="69" t="s">
        <v>109</v>
      </c>
      <c r="E2143" s="69" t="s">
        <v>107</v>
      </c>
      <c r="F2143" s="69" t="s">
        <v>182</v>
      </c>
      <c r="G2143" s="69" t="s">
        <v>52</v>
      </c>
      <c r="H2143" s="0" t="n">
        <v>14</v>
      </c>
      <c r="I2143" s="70" t="n">
        <v>130.51</v>
      </c>
      <c r="J2143" s="70" t="n">
        <v>78.33</v>
      </c>
      <c r="K2143" s="70" t="n">
        <f aca="false">IF(ISTEXT(H2143),VALUE(H2143),H2143)*I2143</f>
        <v>1827.14</v>
      </c>
    </row>
    <row r="2144" customFormat="false" ht="15" hidden="false" customHeight="false" outlineLevel="0" collapsed="false">
      <c r="A2144" s="0" t="n">
        <v>1797</v>
      </c>
      <c r="B2144" s="69" t="s">
        <v>799</v>
      </c>
      <c r="C2144" s="69" t="s">
        <v>142</v>
      </c>
      <c r="D2144" s="69" t="s">
        <v>112</v>
      </c>
      <c r="E2144" s="69" t="s">
        <v>121</v>
      </c>
      <c r="F2144" s="69" t="s">
        <v>168</v>
      </c>
      <c r="G2144" s="69" t="s">
        <v>130</v>
      </c>
      <c r="H2144" s="0" t="n">
        <v>19</v>
      </c>
      <c r="I2144" s="70" t="n">
        <v>129.17</v>
      </c>
      <c r="J2144" s="70" t="n">
        <v>78.33</v>
      </c>
      <c r="K2144" s="70" t="n">
        <f aca="false">IF(ISTEXT(H2144),VALUE(H2144),H2144)*I2144</f>
        <v>2454.23</v>
      </c>
    </row>
    <row r="2145" customFormat="false" ht="15" hidden="false" customHeight="false" outlineLevel="0" collapsed="false">
      <c r="A2145" s="0" t="n">
        <v>1320</v>
      </c>
      <c r="B2145" s="68" t="n">
        <v>45695</v>
      </c>
      <c r="C2145" s="69" t="s">
        <v>96</v>
      </c>
      <c r="D2145" s="69" t="s">
        <v>97</v>
      </c>
      <c r="E2145" s="69" t="s">
        <v>119</v>
      </c>
      <c r="F2145" s="69" t="s">
        <v>33</v>
      </c>
      <c r="G2145" s="69" t="s">
        <v>217</v>
      </c>
      <c r="H2145" s="0" t="n">
        <v>27</v>
      </c>
      <c r="I2145" s="70" t="n">
        <v>34.78</v>
      </c>
      <c r="J2145" s="70" t="n">
        <v>18.39</v>
      </c>
      <c r="K2145" s="70" t="n">
        <f aca="false">IF(ISTEXT(H2145),VALUE(H2145),H2145)*I2145</f>
        <v>939.06</v>
      </c>
    </row>
    <row r="2146" customFormat="false" ht="15" hidden="false" customHeight="false" outlineLevel="0" collapsed="false">
      <c r="A2146" s="0" t="n">
        <v>1081</v>
      </c>
      <c r="B2146" s="68" t="n">
        <v>45604</v>
      </c>
      <c r="C2146" s="69" t="s">
        <v>142</v>
      </c>
      <c r="D2146" s="69" t="s">
        <v>112</v>
      </c>
      <c r="E2146" s="69" t="s">
        <v>134</v>
      </c>
      <c r="F2146" s="69" t="s">
        <v>139</v>
      </c>
      <c r="G2146" s="69" t="s">
        <v>154</v>
      </c>
      <c r="H2146" s="0" t="n">
        <v>9</v>
      </c>
      <c r="I2146" s="70" t="n">
        <v>1176</v>
      </c>
      <c r="J2146" s="70" t="n">
        <v>744</v>
      </c>
      <c r="K2146" s="70" t="n">
        <f aca="false">IF(ISTEXT(H2146),VALUE(H2146),H2146)*I2146</f>
        <v>10584</v>
      </c>
    </row>
    <row r="2147" customFormat="false" ht="15" hidden="false" customHeight="false" outlineLevel="0" collapsed="false">
      <c r="A2147" s="0" t="n">
        <v>105</v>
      </c>
      <c r="B2147" s="69" t="s">
        <v>800</v>
      </c>
      <c r="C2147" s="69" t="s">
        <v>170</v>
      </c>
      <c r="D2147" s="69" t="s">
        <v>97</v>
      </c>
      <c r="E2147" s="69" t="s">
        <v>134</v>
      </c>
      <c r="F2147" s="69" t="s">
        <v>153</v>
      </c>
      <c r="G2147" s="69" t="s">
        <v>141</v>
      </c>
      <c r="H2147" s="0" t="n">
        <v>14</v>
      </c>
      <c r="I2147" s="70" t="n">
        <v>1617</v>
      </c>
      <c r="J2147" s="70" t="n">
        <v>1122</v>
      </c>
      <c r="K2147" s="70" t="n">
        <f aca="false">IF(ISTEXT(H2147),VALUE(H2147),H2147)*I2147</f>
        <v>22638</v>
      </c>
    </row>
    <row r="2148" customFormat="false" ht="15" hidden="false" customHeight="false" outlineLevel="0" collapsed="false">
      <c r="A2148" s="0" t="n">
        <v>1848</v>
      </c>
      <c r="B2148" s="69" t="s">
        <v>795</v>
      </c>
      <c r="C2148" s="69" t="s">
        <v>118</v>
      </c>
      <c r="D2148" s="69"/>
      <c r="E2148" s="69" t="s">
        <v>98</v>
      </c>
      <c r="F2148" s="69" t="s">
        <v>28</v>
      </c>
      <c r="G2148" s="69" t="s">
        <v>103</v>
      </c>
      <c r="H2148" s="0" t="n">
        <v>30</v>
      </c>
      <c r="I2148" s="70" t="n">
        <v>28.11</v>
      </c>
      <c r="J2148" s="70" t="n">
        <v>13.84</v>
      </c>
      <c r="K2148" s="70" t="n">
        <f aca="false">IF(ISTEXT(H2148),VALUE(H2148),H2148)*I2148</f>
        <v>843.3</v>
      </c>
    </row>
    <row r="2149" customFormat="false" ht="15" hidden="false" customHeight="false" outlineLevel="0" collapsed="false">
      <c r="A2149" s="0" t="n">
        <v>1073</v>
      </c>
      <c r="B2149" s="68" t="n">
        <v>45602</v>
      </c>
      <c r="C2149" s="69" t="s">
        <v>32</v>
      </c>
      <c r="D2149" s="69" t="s">
        <v>137</v>
      </c>
      <c r="E2149" s="69" t="s">
        <v>134</v>
      </c>
      <c r="F2149" s="69" t="s">
        <v>31</v>
      </c>
      <c r="G2149" s="69" t="s">
        <v>50</v>
      </c>
      <c r="H2149" s="0" t="n">
        <v>20</v>
      </c>
      <c r="I2149" s="70" t="n">
        <v>117.6</v>
      </c>
      <c r="J2149" s="70" t="n">
        <v>63.6</v>
      </c>
      <c r="K2149" s="70" t="n">
        <f aca="false">IF(ISTEXT(H2149),VALUE(H2149),H2149)*I2149</f>
        <v>2352</v>
      </c>
    </row>
    <row r="2150" customFormat="false" ht="15" hidden="false" customHeight="false" outlineLevel="0" collapsed="false">
      <c r="A2150" s="0" t="n">
        <v>2400</v>
      </c>
      <c r="B2150" s="68" t="n">
        <v>45998</v>
      </c>
      <c r="C2150" s="69" t="s">
        <v>142</v>
      </c>
      <c r="D2150" s="69" t="s">
        <v>112</v>
      </c>
      <c r="E2150" s="69" t="s">
        <v>98</v>
      </c>
      <c r="F2150" s="69" t="s">
        <v>168</v>
      </c>
      <c r="G2150" s="69" t="s">
        <v>217</v>
      </c>
      <c r="H2150" s="0" t="n">
        <v>17</v>
      </c>
      <c r="I2150" s="70" t="n">
        <v>35.14</v>
      </c>
      <c r="J2150" s="70" t="n">
        <v>18.39</v>
      </c>
      <c r="K2150" s="70" t="n">
        <f aca="false">IF(ISTEXT(H2150),VALUE(H2150),H2150)*I2150</f>
        <v>597.38</v>
      </c>
    </row>
    <row r="2151" customFormat="false" ht="15" hidden="false" customHeight="false" outlineLevel="0" collapsed="false">
      <c r="A2151" s="0" t="n">
        <v>2219</v>
      </c>
      <c r="B2151" s="69" t="s">
        <v>495</v>
      </c>
      <c r="C2151" s="69" t="s">
        <v>25</v>
      </c>
      <c r="D2151" s="69" t="s">
        <v>97</v>
      </c>
      <c r="E2151" s="69" t="s">
        <v>110</v>
      </c>
      <c r="F2151" s="69" t="s">
        <v>93</v>
      </c>
      <c r="G2151" s="69" t="s">
        <v>53</v>
      </c>
      <c r="H2151" s="0" t="n">
        <v>57</v>
      </c>
      <c r="I2151" s="70" t="n">
        <v>35.14</v>
      </c>
      <c r="J2151" s="70" t="n">
        <v>18.39</v>
      </c>
      <c r="K2151" s="70" t="n">
        <f aca="false">IF(ISTEXT(H2151),VALUE(H2151),H2151)*I2151</f>
        <v>2002.98</v>
      </c>
    </row>
    <row r="2152" customFormat="false" ht="15" hidden="false" customHeight="false" outlineLevel="0" collapsed="false">
      <c r="A2152" s="0" t="n">
        <v>2298</v>
      </c>
      <c r="B2152" s="68" t="n">
        <v>45983</v>
      </c>
      <c r="C2152" s="69" t="s">
        <v>161</v>
      </c>
      <c r="D2152" s="69" t="s">
        <v>112</v>
      </c>
      <c r="E2152" s="69" t="s">
        <v>107</v>
      </c>
      <c r="F2152" s="69" t="s">
        <v>183</v>
      </c>
      <c r="G2152" s="69" t="s">
        <v>130</v>
      </c>
      <c r="H2152" s="0" t="n">
        <v>12</v>
      </c>
      <c r="I2152" s="70" t="n">
        <v>130.51</v>
      </c>
      <c r="J2152" s="70" t="n">
        <v>78.33</v>
      </c>
      <c r="K2152" s="70" t="n">
        <f aca="false">IF(ISTEXT(H2152),VALUE(H2152),H2152)*I2152</f>
        <v>1566.12</v>
      </c>
    </row>
    <row r="2153" customFormat="false" ht="15" hidden="false" customHeight="false" outlineLevel="0" collapsed="false">
      <c r="A2153" s="0" t="n">
        <v>1283</v>
      </c>
      <c r="B2153" s="69" t="s">
        <v>801</v>
      </c>
      <c r="C2153" s="69" t="s">
        <v>142</v>
      </c>
      <c r="D2153" s="69" t="s">
        <v>112</v>
      </c>
      <c r="E2153" s="69" t="s">
        <v>92</v>
      </c>
      <c r="F2153" s="69" t="s">
        <v>135</v>
      </c>
      <c r="G2153" s="69" t="s">
        <v>177</v>
      </c>
      <c r="H2153" s="0" t="n">
        <v>5</v>
      </c>
      <c r="I2153" s="70" t="n">
        <v>433.15</v>
      </c>
      <c r="J2153" s="70" t="n">
        <v>280.42</v>
      </c>
      <c r="K2153" s="70" t="n">
        <f aca="false">IF(ISTEXT(H2153),VALUE(H2153),H2153)*I2153</f>
        <v>2165.75</v>
      </c>
    </row>
    <row r="2154" customFormat="false" ht="15" hidden="false" customHeight="false" outlineLevel="0" collapsed="false">
      <c r="A2154" s="0" t="n">
        <v>634</v>
      </c>
      <c r="B2154" s="68" t="n">
        <v>45484</v>
      </c>
      <c r="C2154" s="69" t="s">
        <v>27</v>
      </c>
      <c r="D2154" s="69" t="s">
        <v>86</v>
      </c>
      <c r="E2154" s="69" t="s">
        <v>98</v>
      </c>
      <c r="F2154" s="69" t="s">
        <v>115</v>
      </c>
      <c r="G2154" s="69" t="s">
        <v>50</v>
      </c>
      <c r="H2154" s="0" t="n">
        <v>12</v>
      </c>
      <c r="I2154" s="70" t="n">
        <v>117.6</v>
      </c>
      <c r="J2154" s="70" t="n">
        <v>63.6</v>
      </c>
      <c r="K2154" s="70" t="n">
        <f aca="false">IF(ISTEXT(H2154),VALUE(H2154),H2154)*I2154</f>
        <v>1411.2</v>
      </c>
    </row>
    <row r="2155" customFormat="false" ht="15" hidden="false" customHeight="false" outlineLevel="0" collapsed="false">
      <c r="A2155" s="0" t="n">
        <v>1391</v>
      </c>
      <c r="B2155" s="68" t="n">
        <v>45706</v>
      </c>
      <c r="C2155" s="69" t="s">
        <v>34</v>
      </c>
      <c r="D2155" s="69" t="s">
        <v>112</v>
      </c>
      <c r="E2155" s="69" t="s">
        <v>138</v>
      </c>
      <c r="F2155" s="69" t="s">
        <v>102</v>
      </c>
      <c r="G2155" s="69" t="s">
        <v>49</v>
      </c>
      <c r="H2155" s="0" t="n">
        <v>23</v>
      </c>
      <c r="I2155" s="70" t="n">
        <v>64.58</v>
      </c>
      <c r="J2155" s="70" t="n">
        <v>36.49</v>
      </c>
      <c r="K2155" s="70" t="n">
        <f aca="false">IF(ISTEXT(H2155),VALUE(H2155),H2155)*I2155</f>
        <v>1485.34</v>
      </c>
    </row>
    <row r="2156" customFormat="false" ht="15" hidden="false" customHeight="false" outlineLevel="0" collapsed="false">
      <c r="A2156" s="0" t="n">
        <v>1722</v>
      </c>
      <c r="B2156" s="68" t="n">
        <v>45821</v>
      </c>
      <c r="C2156" s="69" t="s">
        <v>159</v>
      </c>
      <c r="D2156" s="69" t="s">
        <v>86</v>
      </c>
      <c r="E2156" s="69" t="s">
        <v>98</v>
      </c>
      <c r="F2156" s="69" t="s">
        <v>147</v>
      </c>
      <c r="G2156" s="69" t="s">
        <v>151</v>
      </c>
      <c r="H2156" s="0" t="n">
        <v>8</v>
      </c>
      <c r="I2156" s="70" t="n">
        <v>1155.06</v>
      </c>
      <c r="J2156" s="70" t="n">
        <v>766.32</v>
      </c>
      <c r="K2156" s="70" t="n">
        <f aca="false">IF(ISTEXT(H2156),VALUE(H2156),H2156)*I2156</f>
        <v>9240.48</v>
      </c>
    </row>
    <row r="2157" customFormat="false" ht="15" hidden="false" customHeight="false" outlineLevel="0" collapsed="false">
      <c r="A2157" s="0" t="n">
        <v>320</v>
      </c>
      <c r="B2157" s="69" t="s">
        <v>802</v>
      </c>
      <c r="C2157" s="69" t="s">
        <v>96</v>
      </c>
      <c r="D2157" s="69" t="s">
        <v>97</v>
      </c>
      <c r="E2157" s="69" t="s">
        <v>180</v>
      </c>
      <c r="F2157" s="69" t="s">
        <v>168</v>
      </c>
      <c r="G2157" s="69" t="s">
        <v>94</v>
      </c>
      <c r="H2157" s="0" t="n">
        <v>20</v>
      </c>
      <c r="I2157" s="70" t="n">
        <v>34.3</v>
      </c>
      <c r="J2157" s="70" t="n">
        <v>17.85</v>
      </c>
      <c r="K2157" s="70" t="n">
        <f aca="false">IF(ISTEXT(H2157),VALUE(H2157),H2157)*I2157</f>
        <v>686</v>
      </c>
    </row>
    <row r="2158" customFormat="false" ht="15" hidden="false" customHeight="false" outlineLevel="0" collapsed="false">
      <c r="A2158" s="0" t="n">
        <v>74</v>
      </c>
      <c r="B2158" s="68" t="n">
        <v>45297</v>
      </c>
      <c r="C2158" s="69" t="s">
        <v>184</v>
      </c>
      <c r="D2158" s="69" t="s">
        <v>137</v>
      </c>
      <c r="E2158" s="69" t="s">
        <v>119</v>
      </c>
      <c r="F2158" s="69" t="s">
        <v>162</v>
      </c>
      <c r="G2158" s="69" t="s">
        <v>171</v>
      </c>
      <c r="H2158" s="0" t="n">
        <v>4</v>
      </c>
      <c r="I2158" s="70" t="n">
        <v>117.6</v>
      </c>
      <c r="J2158" s="70" t="n">
        <v>63.6</v>
      </c>
      <c r="K2158" s="70" t="n">
        <f aca="false">IF(ISTEXT(H2158),VALUE(H2158),H2158)*I2158</f>
        <v>470.4</v>
      </c>
    </row>
    <row r="2159" customFormat="false" ht="15" hidden="false" customHeight="false" outlineLevel="0" collapsed="false">
      <c r="A2159" s="0" t="n">
        <v>1650</v>
      </c>
      <c r="B2159" s="68" t="n">
        <v>45799</v>
      </c>
      <c r="C2159" s="69" t="s">
        <v>108</v>
      </c>
      <c r="D2159" s="69" t="s">
        <v>109</v>
      </c>
      <c r="E2159" s="69" t="s">
        <v>125</v>
      </c>
      <c r="F2159" s="69" t="s">
        <v>155</v>
      </c>
      <c r="G2159" s="69" t="s">
        <v>235</v>
      </c>
      <c r="H2159" s="0" t="n">
        <v>27</v>
      </c>
      <c r="I2159" s="70" t="n">
        <v>94.39</v>
      </c>
      <c r="J2159" s="70" t="n">
        <v>49.41</v>
      </c>
      <c r="K2159" s="70" t="n">
        <f aca="false">IF(ISTEXT(H2159),VALUE(H2159),H2159)*I2159</f>
        <v>2548.53</v>
      </c>
    </row>
    <row r="2160" customFormat="false" ht="15" hidden="false" customHeight="false" outlineLevel="0" collapsed="false">
      <c r="A2160" s="0" t="n">
        <v>1151</v>
      </c>
      <c r="B2160" s="68" t="n">
        <v>45638</v>
      </c>
      <c r="C2160" s="69" t="s">
        <v>152</v>
      </c>
      <c r="D2160" s="69" t="s">
        <v>109</v>
      </c>
      <c r="E2160" s="69" t="s">
        <v>110</v>
      </c>
      <c r="F2160" s="69" t="s">
        <v>28</v>
      </c>
      <c r="G2160" s="69" t="s">
        <v>208</v>
      </c>
      <c r="H2160" s="0" t="n">
        <v>57</v>
      </c>
      <c r="I2160" s="70" t="n">
        <v>63.7</v>
      </c>
      <c r="J2160" s="70" t="n">
        <v>35.43</v>
      </c>
      <c r="K2160" s="70" t="n">
        <f aca="false">IF(ISTEXT(H2160),VALUE(H2160),H2160)*I2160</f>
        <v>3630.9</v>
      </c>
    </row>
    <row r="2161" customFormat="false" ht="15" hidden="false" customHeight="false" outlineLevel="0" collapsed="false">
      <c r="A2161" s="0" t="n">
        <v>508</v>
      </c>
      <c r="B2161" s="69" t="s">
        <v>803</v>
      </c>
      <c r="C2161" s="69" t="s">
        <v>25</v>
      </c>
      <c r="D2161" s="69" t="s">
        <v>97</v>
      </c>
      <c r="E2161" s="69" t="s">
        <v>98</v>
      </c>
      <c r="F2161" s="69" t="s">
        <v>28</v>
      </c>
      <c r="G2161" s="69" t="s">
        <v>113</v>
      </c>
      <c r="H2161" s="0" t="s">
        <v>431</v>
      </c>
      <c r="I2161" s="70" t="n">
        <v>27.44</v>
      </c>
      <c r="J2161" s="70" t="n">
        <v>13.44</v>
      </c>
      <c r="K2161" s="70" t="n">
        <f aca="false">IF(ISTEXT(H2161),VALUE(H2161),H2161)*I2161</f>
        <v>987.84</v>
      </c>
    </row>
    <row r="2162" customFormat="false" ht="15" hidden="false" customHeight="false" outlineLevel="0" collapsed="false">
      <c r="A2162" s="0" t="n">
        <v>488</v>
      </c>
      <c r="B2162" s="68" t="n">
        <v>45427</v>
      </c>
      <c r="C2162" s="69" t="s">
        <v>34</v>
      </c>
      <c r="D2162" s="69" t="s">
        <v>112</v>
      </c>
      <c r="E2162" s="69" t="s">
        <v>107</v>
      </c>
      <c r="F2162" s="69" t="s">
        <v>99</v>
      </c>
      <c r="G2162" s="69" t="s">
        <v>47</v>
      </c>
      <c r="H2162" s="0" t="s">
        <v>372</v>
      </c>
      <c r="I2162" s="70" t="n">
        <v>27.44</v>
      </c>
      <c r="J2162" s="70" t="n">
        <v>13.44</v>
      </c>
      <c r="K2162" s="70" t="n">
        <f aca="false">IF(ISTEXT(H2162),VALUE(H2162),H2162)*I2162</f>
        <v>301.84</v>
      </c>
    </row>
    <row r="2163" customFormat="false" ht="15" hidden="false" customHeight="false" outlineLevel="0" collapsed="false">
      <c r="A2163" s="0" t="n">
        <v>955</v>
      </c>
      <c r="B2163" s="69" t="s">
        <v>804</v>
      </c>
      <c r="C2163" s="69" t="s">
        <v>30</v>
      </c>
      <c r="D2163" s="69" t="s">
        <v>109</v>
      </c>
      <c r="E2163" s="69" t="s">
        <v>121</v>
      </c>
      <c r="F2163" s="69" t="s">
        <v>31</v>
      </c>
      <c r="G2163" s="69" t="s">
        <v>111</v>
      </c>
      <c r="H2163" s="0" t="n">
        <v>23</v>
      </c>
      <c r="I2163" s="70" t="n">
        <v>83.3</v>
      </c>
      <c r="J2163" s="70" t="n">
        <v>48.03</v>
      </c>
      <c r="K2163" s="70" t="n">
        <f aca="false">IF(ISTEXT(H2163),VALUE(H2163),H2163)*I2163</f>
        <v>1915.9</v>
      </c>
    </row>
    <row r="2164" customFormat="false" ht="15" hidden="false" customHeight="false" outlineLevel="0" collapsed="false">
      <c r="A2164" s="0" t="n">
        <v>2032</v>
      </c>
      <c r="B2164" s="68" t="n">
        <v>45923</v>
      </c>
      <c r="C2164" s="69" t="s">
        <v>159</v>
      </c>
      <c r="D2164" s="69" t="s">
        <v>86</v>
      </c>
      <c r="E2164" s="69" t="s">
        <v>87</v>
      </c>
      <c r="F2164" s="69" t="s">
        <v>28</v>
      </c>
      <c r="G2164" s="69" t="s">
        <v>49</v>
      </c>
      <c r="H2164" s="0" t="n">
        <v>43</v>
      </c>
      <c r="I2164" s="70" t="n">
        <v>65.26</v>
      </c>
      <c r="J2164" s="70" t="n">
        <v>36.49</v>
      </c>
      <c r="K2164" s="70" t="n">
        <f aca="false">IF(ISTEXT(H2164),VALUE(H2164),H2164)*I2164</f>
        <v>2806.18</v>
      </c>
    </row>
    <row r="2165" customFormat="false" ht="15" hidden="false" customHeight="false" outlineLevel="0" collapsed="false">
      <c r="A2165" s="0" t="n">
        <v>802</v>
      </c>
      <c r="B2165" s="68" t="n">
        <v>45561</v>
      </c>
      <c r="C2165" s="69" t="s">
        <v>124</v>
      </c>
      <c r="D2165" s="69" t="s">
        <v>97</v>
      </c>
      <c r="E2165" s="69" t="s">
        <v>107</v>
      </c>
      <c r="F2165" s="69" t="s">
        <v>147</v>
      </c>
      <c r="G2165" s="69" t="s">
        <v>41</v>
      </c>
      <c r="H2165" s="0" t="n">
        <v>7</v>
      </c>
      <c r="I2165" s="70" t="n">
        <v>1176</v>
      </c>
      <c r="J2165" s="70" t="n">
        <v>744</v>
      </c>
      <c r="K2165" s="70" t="n">
        <f aca="false">IF(ISTEXT(H2165),VALUE(H2165),H2165)*I2165</f>
        <v>8232</v>
      </c>
    </row>
    <row r="2166" customFormat="false" ht="15" hidden="false" customHeight="false" outlineLevel="0" collapsed="false">
      <c r="A2166" s="0" t="n">
        <v>358</v>
      </c>
      <c r="B2166" s="69" t="s">
        <v>805</v>
      </c>
      <c r="C2166" s="69" t="s">
        <v>108</v>
      </c>
      <c r="D2166" s="69" t="s">
        <v>109</v>
      </c>
      <c r="E2166" s="69" t="s">
        <v>180</v>
      </c>
      <c r="F2166" s="69" t="s">
        <v>182</v>
      </c>
      <c r="G2166" s="69" t="s">
        <v>127</v>
      </c>
      <c r="H2166" s="0" t="n">
        <v>7</v>
      </c>
      <c r="I2166" s="70" t="n">
        <v>127.4</v>
      </c>
      <c r="J2166" s="70" t="n">
        <v>76.05</v>
      </c>
      <c r="K2166" s="70" t="n">
        <f aca="false">IF(ISTEXT(H2166),VALUE(H2166),H2166)*I2166</f>
        <v>891.8</v>
      </c>
    </row>
    <row r="2167" customFormat="false" ht="15" hidden="false" customHeight="false" outlineLevel="0" collapsed="false">
      <c r="A2167" s="0" t="n">
        <v>1990</v>
      </c>
      <c r="B2167" s="68" t="n">
        <v>45895</v>
      </c>
      <c r="C2167" s="69" t="s">
        <v>133</v>
      </c>
      <c r="D2167" s="69" t="s">
        <v>112</v>
      </c>
      <c r="E2167" s="69" t="s">
        <v>87</v>
      </c>
      <c r="F2167" s="69" t="s">
        <v>155</v>
      </c>
      <c r="G2167" s="69" t="s">
        <v>235</v>
      </c>
      <c r="H2167" s="0" t="s">
        <v>213</v>
      </c>
      <c r="I2167" s="70" t="n">
        <v>95.38</v>
      </c>
      <c r="J2167" s="70" t="n">
        <v>49.41</v>
      </c>
      <c r="K2167" s="70" t="n">
        <f aca="false">IF(ISTEXT(H2167),VALUE(H2167),H2167)*I2167</f>
        <v>1621.46</v>
      </c>
    </row>
    <row r="2168" customFormat="false" ht="15" hidden="false" customHeight="false" outlineLevel="0" collapsed="false">
      <c r="A2168" s="0" t="n">
        <v>1311</v>
      </c>
      <c r="B2168" s="69" t="s">
        <v>806</v>
      </c>
      <c r="C2168" s="69" t="s">
        <v>124</v>
      </c>
      <c r="D2168" s="69" t="s">
        <v>97</v>
      </c>
      <c r="E2168" s="69" t="s">
        <v>110</v>
      </c>
      <c r="F2168" s="69" t="s">
        <v>102</v>
      </c>
      <c r="G2168" s="69" t="s">
        <v>144</v>
      </c>
      <c r="H2168" s="0" t="n">
        <v>84</v>
      </c>
      <c r="I2168" s="70" t="n">
        <v>64.58</v>
      </c>
      <c r="J2168" s="70" t="n">
        <v>36.49</v>
      </c>
      <c r="K2168" s="70" t="n">
        <f aca="false">IF(ISTEXT(H2168),VALUE(H2168),H2168)*I2168</f>
        <v>5424.72</v>
      </c>
    </row>
    <row r="2169" customFormat="false" ht="15" hidden="false" customHeight="false" outlineLevel="0" collapsed="false">
      <c r="A2169" s="0" t="n">
        <v>412</v>
      </c>
      <c r="B2169" s="68" t="n">
        <v>45435</v>
      </c>
      <c r="C2169" s="69" t="s">
        <v>96</v>
      </c>
      <c r="D2169" s="69" t="s">
        <v>97</v>
      </c>
      <c r="E2169" s="69" t="s">
        <v>87</v>
      </c>
      <c r="F2169" s="69" t="s">
        <v>143</v>
      </c>
      <c r="G2169" s="69" t="s">
        <v>144</v>
      </c>
      <c r="H2169" s="0" t="n">
        <v>33</v>
      </c>
      <c r="I2169" s="70" t="n">
        <v>63.7</v>
      </c>
      <c r="J2169" s="70" t="n">
        <v>35.43</v>
      </c>
      <c r="K2169" s="70" t="n">
        <f aca="false">IF(ISTEXT(H2169),VALUE(H2169),H2169)*I2169</f>
        <v>2102.1</v>
      </c>
    </row>
    <row r="2170" customFormat="false" ht="15" hidden="false" customHeight="false" outlineLevel="0" collapsed="false">
      <c r="A2170" s="0" t="n">
        <v>1763</v>
      </c>
      <c r="B2170" s="69" t="s">
        <v>807</v>
      </c>
      <c r="C2170" s="69" t="s">
        <v>184</v>
      </c>
      <c r="D2170" s="69" t="s">
        <v>137</v>
      </c>
      <c r="E2170" s="69" t="s">
        <v>101</v>
      </c>
      <c r="F2170" s="69" t="s">
        <v>26</v>
      </c>
      <c r="G2170" s="69" t="s">
        <v>43</v>
      </c>
      <c r="H2170" s="0" t="n">
        <v>7</v>
      </c>
      <c r="I2170" s="70" t="n">
        <v>433.15</v>
      </c>
      <c r="J2170" s="70" t="n">
        <v>280.42</v>
      </c>
      <c r="K2170" s="70" t="n">
        <f aca="false">IF(ISTEXT(H2170),VALUE(H2170),H2170)*I2170</f>
        <v>3032.05</v>
      </c>
    </row>
    <row r="2171" customFormat="false" ht="15" hidden="false" customHeight="false" outlineLevel="0" collapsed="false">
      <c r="A2171" s="0" t="n">
        <v>2396</v>
      </c>
      <c r="B2171" s="69" t="s">
        <v>808</v>
      </c>
      <c r="C2171" s="69" t="s">
        <v>133</v>
      </c>
      <c r="D2171" s="69" t="s">
        <v>112</v>
      </c>
      <c r="E2171" s="69" t="s">
        <v>107</v>
      </c>
      <c r="F2171" s="69" t="s">
        <v>162</v>
      </c>
      <c r="G2171" s="69" t="s">
        <v>51</v>
      </c>
      <c r="H2171" s="0" t="n">
        <v>15</v>
      </c>
      <c r="I2171" s="70" t="n">
        <v>85.34</v>
      </c>
      <c r="J2171" s="70" t="n">
        <v>49.47</v>
      </c>
      <c r="K2171" s="70" t="n">
        <f aca="false">IF(ISTEXT(H2171),VALUE(H2171),H2171)*I2171</f>
        <v>1280.1</v>
      </c>
    </row>
    <row r="2172" customFormat="false" ht="15" hidden="false" customHeight="false" outlineLevel="0" collapsed="false">
      <c r="A2172" s="0" t="n">
        <v>633</v>
      </c>
      <c r="B2172" s="68" t="n">
        <v>45477</v>
      </c>
      <c r="C2172" s="69" t="s">
        <v>91</v>
      </c>
      <c r="D2172" s="69" t="s">
        <v>86</v>
      </c>
      <c r="E2172" s="69" t="s">
        <v>110</v>
      </c>
      <c r="F2172" s="69" t="s">
        <v>31</v>
      </c>
      <c r="G2172" s="69" t="s">
        <v>171</v>
      </c>
      <c r="H2172" s="0" t="n">
        <v>24</v>
      </c>
      <c r="I2172" s="70" t="n">
        <v>117.6</v>
      </c>
      <c r="J2172" s="70" t="n">
        <v>63.6</v>
      </c>
      <c r="K2172" s="70" t="n">
        <f aca="false">IF(ISTEXT(H2172),VALUE(H2172),H2172)*I2172</f>
        <v>2822.4</v>
      </c>
    </row>
    <row r="2173" customFormat="false" ht="15" hidden="false" customHeight="false" outlineLevel="0" collapsed="false">
      <c r="A2173" s="0" t="n">
        <v>1980</v>
      </c>
      <c r="B2173" s="68" t="n">
        <v>45879</v>
      </c>
      <c r="C2173" s="69" t="s">
        <v>193</v>
      </c>
      <c r="D2173" s="69" t="s">
        <v>137</v>
      </c>
      <c r="E2173" s="69" t="s">
        <v>125</v>
      </c>
      <c r="F2173" s="69" t="s">
        <v>183</v>
      </c>
      <c r="G2173" s="69" t="s">
        <v>94</v>
      </c>
      <c r="H2173" s="0" t="n">
        <v>13</v>
      </c>
      <c r="I2173" s="70" t="n">
        <v>35.14</v>
      </c>
      <c r="J2173" s="70" t="n">
        <v>18.39</v>
      </c>
      <c r="K2173" s="70" t="n">
        <f aca="false">IF(ISTEXT(H2173),VALUE(H2173),H2173)*I2173</f>
        <v>456.82</v>
      </c>
    </row>
    <row r="2174" customFormat="false" ht="15" hidden="false" customHeight="false" outlineLevel="0" collapsed="false">
      <c r="A2174" s="0" t="n">
        <v>1800</v>
      </c>
      <c r="B2174" s="69" t="s">
        <v>651</v>
      </c>
      <c r="C2174" s="69" t="s">
        <v>161</v>
      </c>
      <c r="D2174" s="69" t="s">
        <v>112</v>
      </c>
      <c r="E2174" s="69" t="s">
        <v>125</v>
      </c>
      <c r="F2174" s="69" t="s">
        <v>182</v>
      </c>
      <c r="G2174" s="69" t="s">
        <v>53</v>
      </c>
      <c r="H2174" s="0" t="n">
        <v>15</v>
      </c>
      <c r="I2174" s="70" t="n">
        <v>34.78</v>
      </c>
      <c r="J2174" s="70" t="n">
        <v>18.39</v>
      </c>
      <c r="K2174" s="70" t="n">
        <f aca="false">IF(ISTEXT(H2174),VALUE(H2174),H2174)*I2174</f>
        <v>521.7</v>
      </c>
    </row>
    <row r="2175" customFormat="false" ht="15" hidden="false" customHeight="false" outlineLevel="0" collapsed="false">
      <c r="A2175" s="0" t="n">
        <v>187</v>
      </c>
      <c r="B2175" s="68" t="n">
        <v>45336</v>
      </c>
      <c r="C2175" s="69" t="s">
        <v>161</v>
      </c>
      <c r="D2175" s="69" t="s">
        <v>112</v>
      </c>
      <c r="E2175" s="69" t="s">
        <v>138</v>
      </c>
      <c r="F2175" s="69" t="s">
        <v>143</v>
      </c>
      <c r="G2175" s="69" t="s">
        <v>103</v>
      </c>
      <c r="H2175" s="0" t="n">
        <v>22</v>
      </c>
      <c r="I2175" s="70" t="n">
        <v>27.44</v>
      </c>
      <c r="J2175" s="70" t="n">
        <v>13.44</v>
      </c>
      <c r="K2175" s="70" t="n">
        <f aca="false">IF(ISTEXT(H2175),VALUE(H2175),H2175)*I2175</f>
        <v>603.68</v>
      </c>
    </row>
    <row r="2176" customFormat="false" ht="15" hidden="false" customHeight="false" outlineLevel="0" collapsed="false">
      <c r="A2176" s="0" t="n">
        <v>1392</v>
      </c>
      <c r="B2176" s="69" t="s">
        <v>806</v>
      </c>
      <c r="C2176" s="69" t="s">
        <v>133</v>
      </c>
      <c r="D2176" s="69" t="s">
        <v>112</v>
      </c>
      <c r="E2176" s="69" t="s">
        <v>125</v>
      </c>
      <c r="F2176" s="69" t="s">
        <v>143</v>
      </c>
      <c r="G2176" s="69" t="s">
        <v>208</v>
      </c>
      <c r="H2176" s="0" t="n">
        <v>15</v>
      </c>
      <c r="I2176" s="70" t="n">
        <v>64.58</v>
      </c>
      <c r="J2176" s="70" t="n">
        <v>36.49</v>
      </c>
      <c r="K2176" s="70" t="n">
        <f aca="false">IF(ISTEXT(H2176),VALUE(H2176),H2176)*I2176</f>
        <v>968.7</v>
      </c>
    </row>
    <row r="2177" customFormat="false" ht="15" hidden="false" customHeight="false" outlineLevel="0" collapsed="false">
      <c r="A2177" s="0" t="n">
        <v>789</v>
      </c>
      <c r="B2177" s="69" t="s">
        <v>232</v>
      </c>
      <c r="C2177" s="69" t="s">
        <v>133</v>
      </c>
      <c r="D2177" s="69" t="s">
        <v>112</v>
      </c>
      <c r="E2177" s="69" t="s">
        <v>110</v>
      </c>
      <c r="F2177" s="69" t="s">
        <v>155</v>
      </c>
      <c r="G2177" s="69" t="s">
        <v>235</v>
      </c>
      <c r="H2177" s="0" t="s">
        <v>483</v>
      </c>
      <c r="I2177" s="70" t="n">
        <v>93.1</v>
      </c>
      <c r="J2177" s="70" t="n">
        <v>47.98</v>
      </c>
      <c r="K2177" s="70" t="n">
        <f aca="false">IF(ISTEXT(H2177),VALUE(H2177),H2177)*I2177</f>
        <v>2793</v>
      </c>
    </row>
    <row r="2178" customFormat="false" ht="15" hidden="false" customHeight="false" outlineLevel="0" collapsed="false">
      <c r="A2178" s="0" t="n">
        <v>135</v>
      </c>
      <c r="B2178" s="69" t="s">
        <v>669</v>
      </c>
      <c r="C2178" s="69" t="s">
        <v>27</v>
      </c>
      <c r="D2178" s="69" t="s">
        <v>86</v>
      </c>
      <c r="E2178" s="69" t="s">
        <v>92</v>
      </c>
      <c r="F2178" s="69" t="s">
        <v>31</v>
      </c>
      <c r="G2178" s="69" t="s">
        <v>111</v>
      </c>
      <c r="H2178" s="0" t="n">
        <v>17</v>
      </c>
      <c r="I2178" s="70" t="n">
        <v>83.3</v>
      </c>
      <c r="J2178" s="70" t="n">
        <v>48.03</v>
      </c>
      <c r="K2178" s="70" t="n">
        <f aca="false">IF(ISTEXT(H2178),VALUE(H2178),H2178)*I2178</f>
        <v>1416.1</v>
      </c>
    </row>
    <row r="2179" customFormat="false" ht="15" hidden="false" customHeight="false" outlineLevel="0" collapsed="false">
      <c r="A2179" s="0" t="n">
        <v>1526</v>
      </c>
      <c r="B2179" s="68" t="n">
        <v>45765</v>
      </c>
      <c r="C2179" s="69" t="s">
        <v>91</v>
      </c>
      <c r="D2179" s="69" t="s">
        <v>86</v>
      </c>
      <c r="E2179" s="69" t="s">
        <v>107</v>
      </c>
      <c r="F2179" s="69" t="s">
        <v>153</v>
      </c>
      <c r="G2179" s="69" t="s">
        <v>45</v>
      </c>
      <c r="H2179" s="0" t="n">
        <v>8</v>
      </c>
      <c r="I2179" s="70" t="n">
        <v>1588.21</v>
      </c>
      <c r="J2179" s="70" t="n">
        <v>1155.66</v>
      </c>
      <c r="K2179" s="70" t="n">
        <f aca="false">IF(ISTEXT(H2179),VALUE(H2179),H2179)*I2179</f>
        <v>12705.68</v>
      </c>
    </row>
    <row r="2180" customFormat="false" ht="15" hidden="false" customHeight="false" outlineLevel="0" collapsed="false">
      <c r="A2180" s="0" t="n">
        <v>1733</v>
      </c>
      <c r="B2180" s="68" t="n">
        <v>45817</v>
      </c>
      <c r="C2180" s="69" t="s">
        <v>159</v>
      </c>
      <c r="D2180" s="69" t="s">
        <v>86</v>
      </c>
      <c r="E2180" s="69" t="s">
        <v>121</v>
      </c>
      <c r="F2180" s="69" t="s">
        <v>162</v>
      </c>
      <c r="G2180" s="69" t="s">
        <v>156</v>
      </c>
      <c r="H2180" s="0" t="n">
        <v>28</v>
      </c>
      <c r="I2180" s="70" t="n">
        <v>119.23</v>
      </c>
      <c r="J2180" s="70" t="n">
        <v>65.51</v>
      </c>
      <c r="K2180" s="70" t="n">
        <f aca="false">IF(ISTEXT(H2180),VALUE(H2180),H2180)*I2180</f>
        <v>3338.44</v>
      </c>
    </row>
    <row r="2181" customFormat="false" ht="15" hidden="false" customHeight="false" outlineLevel="0" collapsed="false">
      <c r="A2181" s="0" t="n">
        <v>2051</v>
      </c>
      <c r="B2181" s="69" t="s">
        <v>809</v>
      </c>
      <c r="C2181" s="69" t="s">
        <v>118</v>
      </c>
      <c r="D2181" s="69" t="s">
        <v>109</v>
      </c>
      <c r="E2181" s="69" t="s">
        <v>110</v>
      </c>
      <c r="F2181" s="69" t="s">
        <v>28</v>
      </c>
      <c r="G2181" s="69" t="s">
        <v>49</v>
      </c>
      <c r="H2181" s="0" t="n">
        <v>36</v>
      </c>
      <c r="I2181" s="70" t="n">
        <v>65.26</v>
      </c>
      <c r="J2181" s="70" t="n">
        <v>36.49</v>
      </c>
      <c r="K2181" s="70" t="n">
        <f aca="false">IF(ISTEXT(H2181),VALUE(H2181),H2181)*I2181</f>
        <v>2349.36</v>
      </c>
    </row>
    <row r="2182" customFormat="false" ht="15" hidden="false" customHeight="false" outlineLevel="0" collapsed="false">
      <c r="A2182" s="0" t="n">
        <v>19</v>
      </c>
      <c r="B2182" s="68" t="n">
        <v>45317</v>
      </c>
      <c r="C2182" s="69" t="s">
        <v>25</v>
      </c>
      <c r="D2182" s="69" t="s">
        <v>97</v>
      </c>
      <c r="E2182" s="69" t="s">
        <v>134</v>
      </c>
      <c r="F2182" s="69" t="s">
        <v>168</v>
      </c>
      <c r="G2182" s="69" t="s">
        <v>94</v>
      </c>
      <c r="H2182" s="0" t="n">
        <v>52</v>
      </c>
      <c r="I2182" s="70" t="n">
        <v>34.3</v>
      </c>
      <c r="J2182" s="70" t="n">
        <v>17.85</v>
      </c>
      <c r="K2182" s="70" t="n">
        <f aca="false">IF(ISTEXT(H2182),VALUE(H2182),H2182)*I2182</f>
        <v>1783.6</v>
      </c>
    </row>
    <row r="2183" customFormat="false" ht="15" hidden="false" customHeight="false" outlineLevel="0" collapsed="false">
      <c r="A2183" s="0" t="n">
        <v>1046</v>
      </c>
      <c r="B2183" s="68" t="n">
        <v>45602</v>
      </c>
      <c r="C2183" s="69" t="s">
        <v>118</v>
      </c>
      <c r="D2183" s="69"/>
      <c r="E2183" s="69" t="s">
        <v>125</v>
      </c>
      <c r="F2183" s="69" t="s">
        <v>26</v>
      </c>
      <c r="G2183" s="69" t="s">
        <v>141</v>
      </c>
      <c r="H2183" s="0" t="n">
        <v>4</v>
      </c>
      <c r="I2183" s="70" t="n">
        <v>1617</v>
      </c>
      <c r="J2183" s="70" t="n">
        <v>1122</v>
      </c>
      <c r="K2183" s="70" t="n">
        <f aca="false">IF(ISTEXT(H2183),VALUE(H2183),H2183)*I2183</f>
        <v>6468</v>
      </c>
    </row>
    <row r="2184" customFormat="false" ht="15" hidden="false" customHeight="false" outlineLevel="0" collapsed="false">
      <c r="A2184" s="0" t="n">
        <v>1982</v>
      </c>
      <c r="B2184" s="69" t="s">
        <v>534</v>
      </c>
      <c r="C2184" s="69" t="s">
        <v>133</v>
      </c>
      <c r="D2184" s="69" t="s">
        <v>112</v>
      </c>
      <c r="E2184" s="69" t="s">
        <v>125</v>
      </c>
      <c r="F2184" s="69" t="s">
        <v>153</v>
      </c>
      <c r="G2184" s="69" t="s">
        <v>41</v>
      </c>
      <c r="H2184" s="0" t="n">
        <v>4</v>
      </c>
      <c r="I2184" s="70" t="n">
        <v>1204.74</v>
      </c>
      <c r="J2184" s="70" t="n">
        <v>766.32</v>
      </c>
      <c r="K2184" s="70" t="n">
        <f aca="false">IF(ISTEXT(H2184),VALUE(H2184),H2184)*I2184</f>
        <v>4818.96</v>
      </c>
    </row>
    <row r="2185" customFormat="false" ht="15" hidden="false" customHeight="false" outlineLevel="0" collapsed="false">
      <c r="A2185" s="0" t="n">
        <v>2209</v>
      </c>
      <c r="B2185" s="69" t="s">
        <v>810</v>
      </c>
      <c r="C2185" s="69" t="s">
        <v>170</v>
      </c>
      <c r="D2185" s="69" t="s">
        <v>97</v>
      </c>
      <c r="E2185" s="69" t="s">
        <v>121</v>
      </c>
      <c r="F2185" s="69" t="s">
        <v>143</v>
      </c>
      <c r="G2185" s="69" t="s">
        <v>235</v>
      </c>
      <c r="H2185" s="0" t="n">
        <v>122</v>
      </c>
      <c r="I2185" s="70" t="n">
        <v>95.38</v>
      </c>
      <c r="J2185" s="70" t="n">
        <v>49.41</v>
      </c>
      <c r="K2185" s="70" t="n">
        <f aca="false">IF(ISTEXT(H2185),VALUE(H2185),H2185)*I2185</f>
        <v>11636.36</v>
      </c>
    </row>
    <row r="2186" customFormat="false" ht="15" hidden="false" customHeight="false" outlineLevel="0" collapsed="false">
      <c r="A2186" s="0" t="n">
        <v>1148</v>
      </c>
      <c r="B2186" s="68" t="n">
        <v>45644</v>
      </c>
      <c r="C2186" s="69" t="s">
        <v>108</v>
      </c>
      <c r="D2186" s="69" t="s">
        <v>109</v>
      </c>
      <c r="E2186" s="69" t="s">
        <v>87</v>
      </c>
      <c r="F2186" s="69" t="s">
        <v>99</v>
      </c>
      <c r="G2186" s="69" t="s">
        <v>103</v>
      </c>
      <c r="H2186" s="0" t="n">
        <v>20</v>
      </c>
      <c r="I2186" s="70" t="n">
        <v>27.44</v>
      </c>
      <c r="J2186" s="70" t="n">
        <v>13.44</v>
      </c>
      <c r="K2186" s="70" t="n">
        <f aca="false">IF(ISTEXT(H2186),VALUE(H2186),H2186)*I2186</f>
        <v>548.8</v>
      </c>
    </row>
    <row r="2187" customFormat="false" ht="15" hidden="false" customHeight="false" outlineLevel="0" collapsed="false">
      <c r="A2187" s="0" t="n">
        <v>1281</v>
      </c>
      <c r="B2187" s="68" t="n">
        <v>45661</v>
      </c>
      <c r="C2187" s="69" t="s">
        <v>142</v>
      </c>
      <c r="D2187" s="69" t="s">
        <v>112</v>
      </c>
      <c r="E2187" s="69" t="s">
        <v>101</v>
      </c>
      <c r="F2187" s="69" t="s">
        <v>88</v>
      </c>
      <c r="G2187" s="69" t="s">
        <v>41</v>
      </c>
      <c r="H2187" s="0" t="n">
        <v>6</v>
      </c>
      <c r="I2187" s="70" t="n">
        <v>1155.06</v>
      </c>
      <c r="J2187" s="70" t="n">
        <v>766.32</v>
      </c>
      <c r="K2187" s="70" t="n">
        <f aca="false">IF(ISTEXT(H2187),VALUE(H2187),H2187)*I2187</f>
        <v>6930.36</v>
      </c>
    </row>
    <row r="2188" customFormat="false" ht="15" hidden="false" customHeight="false" outlineLevel="0" collapsed="false">
      <c r="A2188" s="0" t="n">
        <v>112</v>
      </c>
      <c r="B2188" s="68" t="n">
        <v>45324</v>
      </c>
      <c r="C2188" s="69" t="s">
        <v>170</v>
      </c>
      <c r="D2188" s="69" t="s">
        <v>97</v>
      </c>
      <c r="E2188" s="69" t="s">
        <v>119</v>
      </c>
      <c r="F2188" s="69" t="s">
        <v>155</v>
      </c>
      <c r="G2188" s="69" t="s">
        <v>144</v>
      </c>
      <c r="H2188" s="0" t="n">
        <v>27</v>
      </c>
      <c r="I2188" s="70" t="n">
        <v>63.7</v>
      </c>
      <c r="J2188" s="70" t="n">
        <v>35.43</v>
      </c>
      <c r="K2188" s="70" t="n">
        <f aca="false">IF(ISTEXT(H2188),VALUE(H2188),H2188)*I2188</f>
        <v>1719.9</v>
      </c>
    </row>
    <row r="2189" customFormat="false" ht="15" hidden="false" customHeight="false" outlineLevel="0" collapsed="false">
      <c r="A2189" s="0" t="n">
        <v>2018</v>
      </c>
      <c r="B2189" s="68" t="n">
        <v>45906</v>
      </c>
      <c r="C2189" s="69" t="s">
        <v>25</v>
      </c>
      <c r="D2189" s="69" t="s">
        <v>97</v>
      </c>
      <c r="E2189" s="69" t="s">
        <v>107</v>
      </c>
      <c r="F2189" s="69" t="s">
        <v>33</v>
      </c>
      <c r="G2189" s="69" t="s">
        <v>130</v>
      </c>
      <c r="H2189" s="0" t="n">
        <v>34</v>
      </c>
      <c r="I2189" s="70" t="n">
        <v>130.51</v>
      </c>
      <c r="J2189" s="70" t="n">
        <v>78.33</v>
      </c>
      <c r="K2189" s="70" t="n">
        <f aca="false">IF(ISTEXT(H2189),VALUE(H2189),H2189)*I2189</f>
        <v>4437.34</v>
      </c>
    </row>
    <row r="2190" customFormat="false" ht="15" hidden="false" customHeight="false" outlineLevel="0" collapsed="false">
      <c r="A2190" s="0" t="n">
        <v>1342</v>
      </c>
      <c r="B2190" s="68" t="n">
        <v>45714</v>
      </c>
      <c r="C2190" s="69" t="s">
        <v>152</v>
      </c>
      <c r="D2190" s="69" t="s">
        <v>109</v>
      </c>
      <c r="E2190" s="69" t="s">
        <v>98</v>
      </c>
      <c r="F2190" s="69" t="s">
        <v>139</v>
      </c>
      <c r="G2190" s="69" t="s">
        <v>154</v>
      </c>
      <c r="H2190" s="0" t="n">
        <v>5</v>
      </c>
      <c r="I2190" s="70" t="n">
        <v>1155.06</v>
      </c>
      <c r="J2190" s="70" t="n">
        <v>766.32</v>
      </c>
      <c r="K2190" s="70" t="n">
        <f aca="false">IF(ISTEXT(H2190),VALUE(H2190),H2190)*I2190</f>
        <v>5775.3</v>
      </c>
    </row>
    <row r="2191" customFormat="false" ht="15" hidden="false" customHeight="false" outlineLevel="0" collapsed="false">
      <c r="A2191" s="0" t="n">
        <v>1647</v>
      </c>
      <c r="B2191" s="69" t="s">
        <v>553</v>
      </c>
      <c r="C2191" s="69" t="s">
        <v>152</v>
      </c>
      <c r="D2191" s="69" t="s">
        <v>109</v>
      </c>
      <c r="E2191" s="69" t="s">
        <v>101</v>
      </c>
      <c r="F2191" s="69" t="s">
        <v>99</v>
      </c>
      <c r="G2191" s="69" t="s">
        <v>47</v>
      </c>
      <c r="H2191" s="0" t="n">
        <v>38</v>
      </c>
      <c r="I2191" s="70" t="n">
        <v>27.82</v>
      </c>
      <c r="J2191" s="70" t="n">
        <v>13.84</v>
      </c>
      <c r="K2191" s="70" t="n">
        <f aca="false">IF(ISTEXT(H2191),VALUE(H2191),H2191)*I2191</f>
        <v>1057.16</v>
      </c>
    </row>
    <row r="2192" customFormat="false" ht="15" hidden="false" customHeight="false" outlineLevel="0" collapsed="false">
      <c r="A2192" s="0" t="n">
        <v>758</v>
      </c>
      <c r="B2192" s="68" t="n">
        <v>45519</v>
      </c>
      <c r="C2192" s="69" t="s">
        <v>30</v>
      </c>
      <c r="D2192" s="69" t="s">
        <v>109</v>
      </c>
      <c r="E2192" s="69" t="s">
        <v>119</v>
      </c>
      <c r="F2192" s="69" t="s">
        <v>183</v>
      </c>
      <c r="G2192" s="69" t="s">
        <v>52</v>
      </c>
      <c r="H2192" s="0" t="n">
        <v>8</v>
      </c>
      <c r="I2192" s="70" t="n">
        <v>127.4</v>
      </c>
      <c r="J2192" s="70" t="n">
        <v>76.05</v>
      </c>
      <c r="K2192" s="70" t="n">
        <f aca="false">IF(ISTEXT(H2192),VALUE(H2192),H2192)*I2192</f>
        <v>1019.2</v>
      </c>
    </row>
    <row r="2193" customFormat="false" ht="15" hidden="false" customHeight="false" outlineLevel="0" collapsed="false">
      <c r="A2193" s="0" t="n">
        <v>451</v>
      </c>
      <c r="B2193" s="68" t="n">
        <v>45438</v>
      </c>
      <c r="C2193" s="69" t="s">
        <v>108</v>
      </c>
      <c r="D2193" s="69" t="s">
        <v>109</v>
      </c>
      <c r="E2193" s="69" t="s">
        <v>101</v>
      </c>
      <c r="F2193" s="69" t="s">
        <v>102</v>
      </c>
      <c r="G2193" s="69" t="s">
        <v>208</v>
      </c>
      <c r="H2193" s="0" t="n">
        <v>43</v>
      </c>
      <c r="I2193" s="70" t="n">
        <v>63.7</v>
      </c>
      <c r="J2193" s="70" t="n">
        <v>35.43</v>
      </c>
      <c r="K2193" s="70" t="n">
        <f aca="false">IF(ISTEXT(H2193),VALUE(H2193),H2193)*I2193</f>
        <v>2739.1</v>
      </c>
    </row>
    <row r="2194" customFormat="false" ht="15" hidden="false" customHeight="false" outlineLevel="0" collapsed="false">
      <c r="A2194" s="0" t="n">
        <v>2169</v>
      </c>
      <c r="B2194" s="68" t="n">
        <v>45940</v>
      </c>
      <c r="C2194" s="69" t="s">
        <v>136</v>
      </c>
      <c r="D2194" s="69" t="s">
        <v>137</v>
      </c>
      <c r="E2194" s="69" t="s">
        <v>101</v>
      </c>
      <c r="F2194" s="69" t="s">
        <v>155</v>
      </c>
      <c r="G2194" s="69" t="s">
        <v>235</v>
      </c>
      <c r="H2194" s="0" t="n">
        <v>34</v>
      </c>
      <c r="I2194" s="70" t="n">
        <v>95.38</v>
      </c>
      <c r="J2194" s="70" t="n">
        <v>49.41</v>
      </c>
      <c r="K2194" s="70" t="n">
        <f aca="false">IF(ISTEXT(H2194),VALUE(H2194),H2194)*I2194</f>
        <v>3242.92</v>
      </c>
    </row>
    <row r="2195" customFormat="false" ht="15" hidden="false" customHeight="false" outlineLevel="0" collapsed="false">
      <c r="A2195" s="0" t="n">
        <v>2200</v>
      </c>
      <c r="B2195" s="68" t="n">
        <v>45941</v>
      </c>
      <c r="C2195" s="69" t="s">
        <v>133</v>
      </c>
      <c r="D2195" s="69" t="s">
        <v>112</v>
      </c>
      <c r="E2195" s="69" t="s">
        <v>125</v>
      </c>
      <c r="F2195" s="69" t="s">
        <v>182</v>
      </c>
      <c r="G2195" s="69" t="s">
        <v>53</v>
      </c>
      <c r="H2195" s="0" t="n">
        <v>14</v>
      </c>
      <c r="I2195" s="70" t="n">
        <v>35.14</v>
      </c>
      <c r="J2195" s="70" t="n">
        <v>18.39</v>
      </c>
      <c r="K2195" s="70" t="n">
        <f aca="false">IF(ISTEXT(H2195),VALUE(H2195),H2195)*I2195</f>
        <v>491.96</v>
      </c>
    </row>
    <row r="2196" customFormat="false" ht="15" hidden="false" customHeight="false" outlineLevel="0" collapsed="false">
      <c r="A2196" s="0" t="n">
        <v>671</v>
      </c>
      <c r="B2196" s="68" t="n">
        <v>45500</v>
      </c>
      <c r="C2196" s="69" t="s">
        <v>193</v>
      </c>
      <c r="D2196" s="69" t="s">
        <v>137</v>
      </c>
      <c r="E2196" s="69" t="s">
        <v>121</v>
      </c>
      <c r="F2196" s="69" t="s">
        <v>99</v>
      </c>
      <c r="G2196" s="69" t="s">
        <v>144</v>
      </c>
      <c r="H2196" s="0" t="s">
        <v>431</v>
      </c>
      <c r="I2196" s="70" t="n">
        <v>63.7</v>
      </c>
      <c r="J2196" s="70" t="n">
        <v>35.43</v>
      </c>
      <c r="K2196" s="70" t="n">
        <f aca="false">IF(ISTEXT(H2196),VALUE(H2196),H2196)*I2196</f>
        <v>2293.2</v>
      </c>
    </row>
    <row r="2197" customFormat="false" ht="15" hidden="false" customHeight="false" outlineLevel="0" collapsed="false">
      <c r="A2197" s="0" t="n">
        <v>1389</v>
      </c>
      <c r="B2197" s="69" t="s">
        <v>811</v>
      </c>
      <c r="C2197" s="69" t="s">
        <v>34</v>
      </c>
      <c r="D2197" s="69" t="s">
        <v>112</v>
      </c>
      <c r="E2197" s="69" t="s">
        <v>134</v>
      </c>
      <c r="F2197" s="69" t="s">
        <v>99</v>
      </c>
      <c r="G2197" s="69" t="s">
        <v>48</v>
      </c>
      <c r="H2197" s="0" t="n">
        <v>22</v>
      </c>
      <c r="I2197" s="70" t="n">
        <v>94.39</v>
      </c>
      <c r="J2197" s="70" t="n">
        <v>49.41</v>
      </c>
      <c r="K2197" s="70" t="n">
        <f aca="false">IF(ISTEXT(H2197),VALUE(H2197),H2197)*I2197</f>
        <v>2076.58</v>
      </c>
    </row>
    <row r="2198" customFormat="false" ht="15" hidden="false" customHeight="false" outlineLevel="0" collapsed="false">
      <c r="A2198" s="0" t="n">
        <v>1187</v>
      </c>
      <c r="B2198" s="68" t="n">
        <v>45647</v>
      </c>
      <c r="C2198" s="69" t="s">
        <v>142</v>
      </c>
      <c r="D2198" s="69" t="s">
        <v>112</v>
      </c>
      <c r="E2198" s="69" t="s">
        <v>138</v>
      </c>
      <c r="F2198" s="69" t="s">
        <v>102</v>
      </c>
      <c r="G2198" s="69" t="s">
        <v>47</v>
      </c>
      <c r="H2198" s="0" t="n">
        <v>42</v>
      </c>
      <c r="I2198" s="70" t="n">
        <v>27.44</v>
      </c>
      <c r="J2198" s="70" t="n">
        <v>13.44</v>
      </c>
      <c r="K2198" s="70" t="n">
        <f aca="false">IF(ISTEXT(H2198),VALUE(H2198),H2198)*I2198</f>
        <v>1152.48</v>
      </c>
    </row>
    <row r="2199" customFormat="false" ht="15" hidden="false" customHeight="false" outlineLevel="0" collapsed="false">
      <c r="A2199" s="0" t="n">
        <v>852</v>
      </c>
      <c r="B2199" s="69" t="s">
        <v>812</v>
      </c>
      <c r="C2199" s="69" t="s">
        <v>30</v>
      </c>
      <c r="D2199" s="69" t="s">
        <v>109</v>
      </c>
      <c r="E2199" s="69" t="s">
        <v>87</v>
      </c>
      <c r="F2199" s="69" t="s">
        <v>155</v>
      </c>
      <c r="G2199" s="69" t="s">
        <v>208</v>
      </c>
      <c r="H2199" s="0" t="s">
        <v>211</v>
      </c>
      <c r="I2199" s="70" t="n">
        <v>63.7</v>
      </c>
      <c r="J2199" s="70" t="n">
        <v>35.43</v>
      </c>
      <c r="K2199" s="70" t="n">
        <f aca="false">IF(ISTEXT(H2199),VALUE(H2199),H2199)*I2199</f>
        <v>1146.6</v>
      </c>
    </row>
    <row r="2200" customFormat="false" ht="15" hidden="false" customHeight="false" outlineLevel="0" collapsed="false">
      <c r="A2200" s="0" t="n">
        <v>550</v>
      </c>
      <c r="B2200" s="69" t="s">
        <v>244</v>
      </c>
      <c r="C2200" s="69" t="s">
        <v>152</v>
      </c>
      <c r="D2200" s="69" t="s">
        <v>109</v>
      </c>
      <c r="E2200" s="69" t="s">
        <v>180</v>
      </c>
      <c r="F2200" s="69" t="s">
        <v>143</v>
      </c>
      <c r="G2200" s="69" t="s">
        <v>172</v>
      </c>
      <c r="H2200" s="0" t="n">
        <v>19</v>
      </c>
      <c r="I2200" s="70" t="n">
        <v>93.1</v>
      </c>
      <c r="J2200" s="70" t="n">
        <v>47.98</v>
      </c>
      <c r="K2200" s="70" t="n">
        <f aca="false">IF(ISTEXT(H2200),VALUE(H2200),H2200)*I2200</f>
        <v>1768.9</v>
      </c>
    </row>
    <row r="2201" customFormat="false" ht="15" hidden="false" customHeight="false" outlineLevel="0" collapsed="false">
      <c r="A2201" s="0" t="n">
        <v>932</v>
      </c>
      <c r="B2201" s="69" t="s">
        <v>813</v>
      </c>
      <c r="C2201" s="69" t="s">
        <v>120</v>
      </c>
      <c r="D2201" s="69" t="s">
        <v>86</v>
      </c>
      <c r="E2201" s="69" t="s">
        <v>119</v>
      </c>
      <c r="F2201" s="69" t="s">
        <v>28</v>
      </c>
      <c r="G2201" s="69" t="s">
        <v>144</v>
      </c>
      <c r="H2201" s="0" t="n">
        <v>21</v>
      </c>
      <c r="I2201" s="70" t="n">
        <v>63.7</v>
      </c>
      <c r="J2201" s="70" t="n">
        <v>35.43</v>
      </c>
      <c r="K2201" s="70" t="n">
        <f aca="false">IF(ISTEXT(H2201),VALUE(H2201),H2201)*I2201</f>
        <v>1337.7</v>
      </c>
    </row>
    <row r="2202" customFormat="false" ht="15" hidden="false" customHeight="false" outlineLevel="0" collapsed="false">
      <c r="A2202" s="0" t="n">
        <v>2199</v>
      </c>
      <c r="B2202" s="68" t="n">
        <v>45934</v>
      </c>
      <c r="C2202" s="69" t="s">
        <v>142</v>
      </c>
      <c r="D2202" s="69" t="s">
        <v>112</v>
      </c>
      <c r="E2202" s="69" t="s">
        <v>101</v>
      </c>
      <c r="F2202" s="69" t="s">
        <v>93</v>
      </c>
      <c r="G2202" s="69" t="s">
        <v>53</v>
      </c>
      <c r="H2202" s="0" t="s">
        <v>201</v>
      </c>
      <c r="I2202" s="70" t="n">
        <v>35.14</v>
      </c>
      <c r="J2202" s="70" t="n">
        <v>18.39</v>
      </c>
      <c r="K2202" s="70" t="n">
        <f aca="false">IF(ISTEXT(H2202),VALUE(H2202),H2202)*I2202</f>
        <v>562.24</v>
      </c>
    </row>
    <row r="2203" customFormat="false" ht="15" hidden="false" customHeight="false" outlineLevel="0" collapsed="false">
      <c r="A2203" s="0" t="n">
        <v>1467</v>
      </c>
      <c r="B2203" s="69" t="s">
        <v>749</v>
      </c>
      <c r="C2203" s="69" t="s">
        <v>193</v>
      </c>
      <c r="D2203" s="69" t="s">
        <v>137</v>
      </c>
      <c r="E2203" s="69" t="s">
        <v>121</v>
      </c>
      <c r="F2203" s="69" t="s">
        <v>28</v>
      </c>
      <c r="G2203" s="69" t="s">
        <v>103</v>
      </c>
      <c r="H2203" s="0" t="n">
        <v>23</v>
      </c>
      <c r="I2203" s="70" t="n">
        <v>27.82</v>
      </c>
      <c r="J2203" s="70" t="n">
        <v>13.84</v>
      </c>
      <c r="K2203" s="70" t="n">
        <f aca="false">IF(ISTEXT(H2203),VALUE(H2203),H2203)*I2203</f>
        <v>639.86</v>
      </c>
    </row>
    <row r="2204" customFormat="false" ht="15" hidden="false" customHeight="false" outlineLevel="0" collapsed="false">
      <c r="A2204" s="0" t="n">
        <v>2229</v>
      </c>
      <c r="B2204" s="68" t="n">
        <v>45986</v>
      </c>
      <c r="C2204" s="69" t="s">
        <v>120</v>
      </c>
      <c r="D2204" s="69" t="s">
        <v>86</v>
      </c>
      <c r="E2204" s="69" t="s">
        <v>101</v>
      </c>
      <c r="F2204" s="69" t="s">
        <v>143</v>
      </c>
      <c r="G2204" s="69" t="s">
        <v>235</v>
      </c>
      <c r="H2204" s="0" t="n">
        <v>61</v>
      </c>
      <c r="I2204" s="70" t="n">
        <v>95.38</v>
      </c>
      <c r="J2204" s="70" t="n">
        <v>49.41</v>
      </c>
      <c r="K2204" s="70" t="n">
        <f aca="false">IF(ISTEXT(H2204),VALUE(H2204),H2204)*I2204</f>
        <v>5818.18</v>
      </c>
    </row>
    <row r="2205" customFormat="false" ht="15" hidden="false" customHeight="false" outlineLevel="0" collapsed="false">
      <c r="A2205" s="0" t="n">
        <v>188</v>
      </c>
      <c r="B2205" s="68" t="n">
        <v>45343</v>
      </c>
      <c r="C2205" s="69" t="s">
        <v>133</v>
      </c>
      <c r="D2205" s="69" t="s">
        <v>112</v>
      </c>
      <c r="E2205" s="69" t="s">
        <v>107</v>
      </c>
      <c r="F2205" s="69" t="s">
        <v>28</v>
      </c>
      <c r="G2205" s="69" t="s">
        <v>47</v>
      </c>
      <c r="H2205" s="0" t="n">
        <v>9</v>
      </c>
      <c r="I2205" s="70" t="n">
        <v>27.44</v>
      </c>
      <c r="J2205" s="70" t="n">
        <v>13.44</v>
      </c>
      <c r="K2205" s="70" t="n">
        <f aca="false">IF(ISTEXT(H2205),VALUE(H2205),H2205)*I2205</f>
        <v>246.96</v>
      </c>
    </row>
    <row r="2206" customFormat="false" ht="15" hidden="false" customHeight="false" outlineLevel="0" collapsed="false">
      <c r="A2206" s="0" t="n">
        <v>110</v>
      </c>
      <c r="B2206" s="69" t="s">
        <v>814</v>
      </c>
      <c r="C2206" s="69" t="s">
        <v>25</v>
      </c>
      <c r="D2206" s="69"/>
      <c r="E2206" s="69" t="s">
        <v>119</v>
      </c>
      <c r="F2206" s="69" t="s">
        <v>155</v>
      </c>
      <c r="G2206" s="69" t="s">
        <v>235</v>
      </c>
      <c r="H2206" s="0" t="n">
        <v>27</v>
      </c>
      <c r="I2206" s="70" t="n">
        <v>93.1</v>
      </c>
      <c r="J2206" s="70" t="n">
        <v>47.98</v>
      </c>
      <c r="K2206" s="70" t="n">
        <f aca="false">IF(ISTEXT(H2206),VALUE(H2206),H2206)*I2206</f>
        <v>2513.7</v>
      </c>
    </row>
    <row r="2207" customFormat="false" ht="15" hidden="false" customHeight="false" outlineLevel="0" collapsed="false">
      <c r="A2207" s="0" t="n">
        <v>1974</v>
      </c>
      <c r="B2207" s="68" t="n">
        <v>45891</v>
      </c>
      <c r="C2207" s="69" t="s">
        <v>193</v>
      </c>
      <c r="D2207" s="69" t="s">
        <v>137</v>
      </c>
      <c r="E2207" s="69" t="s">
        <v>125</v>
      </c>
      <c r="F2207" s="69" t="s">
        <v>162</v>
      </c>
      <c r="G2207" s="69" t="s">
        <v>50</v>
      </c>
      <c r="H2207" s="0" t="n">
        <v>8</v>
      </c>
      <c r="I2207" s="70" t="n">
        <v>120.47</v>
      </c>
      <c r="J2207" s="70" t="n">
        <v>65.51</v>
      </c>
      <c r="K2207" s="70" t="n">
        <f aca="false">IF(ISTEXT(H2207),VALUE(H2207),H2207)*I2207</f>
        <v>963.76</v>
      </c>
    </row>
    <row r="2208" customFormat="false" ht="15" hidden="false" customHeight="false" outlineLevel="0" collapsed="false">
      <c r="A2208" s="0" t="n">
        <v>1777</v>
      </c>
      <c r="B2208" s="68" t="n">
        <v>45828</v>
      </c>
      <c r="C2208" s="69" t="s">
        <v>184</v>
      </c>
      <c r="D2208" s="69" t="s">
        <v>137</v>
      </c>
      <c r="E2208" s="69" t="s">
        <v>134</v>
      </c>
      <c r="F2208" s="69" t="s">
        <v>182</v>
      </c>
      <c r="G2208" s="69" t="s">
        <v>130</v>
      </c>
      <c r="H2208" s="0" t="n">
        <v>19</v>
      </c>
      <c r="I2208" s="70" t="n">
        <v>129.17</v>
      </c>
      <c r="J2208" s="70" t="n">
        <v>78.33</v>
      </c>
      <c r="K2208" s="70" t="n">
        <f aca="false">IF(ISTEXT(H2208),VALUE(H2208),H2208)*I2208</f>
        <v>2454.23</v>
      </c>
    </row>
    <row r="2209" customFormat="false" ht="15" hidden="false" customHeight="false" outlineLevel="0" collapsed="false">
      <c r="A2209" s="0" t="n">
        <v>249</v>
      </c>
      <c r="B2209" s="69" t="s">
        <v>815</v>
      </c>
      <c r="C2209" s="69" t="s">
        <v>30</v>
      </c>
      <c r="D2209" s="69" t="s">
        <v>109</v>
      </c>
      <c r="E2209" s="69" t="s">
        <v>101</v>
      </c>
      <c r="F2209" s="69" t="s">
        <v>102</v>
      </c>
      <c r="G2209" s="69" t="s">
        <v>48</v>
      </c>
      <c r="H2209" s="0" t="s">
        <v>301</v>
      </c>
      <c r="I2209" s="70" t="n">
        <v>93.1</v>
      </c>
      <c r="J2209" s="70" t="n">
        <v>47.98</v>
      </c>
      <c r="K2209" s="70" t="n">
        <f aca="false">IF(ISTEXT(H2209),VALUE(H2209),H2209)*I2209</f>
        <v>3072.3</v>
      </c>
    </row>
    <row r="2210" customFormat="false" ht="15" hidden="false" customHeight="false" outlineLevel="0" collapsed="false">
      <c r="A2210" s="0" t="n">
        <v>1390</v>
      </c>
      <c r="B2210" s="68" t="n">
        <v>45699</v>
      </c>
      <c r="C2210" s="69" t="s">
        <v>34</v>
      </c>
      <c r="D2210" s="69" t="s">
        <v>112</v>
      </c>
      <c r="E2210" s="69" t="s">
        <v>87</v>
      </c>
      <c r="F2210" s="69" t="s">
        <v>143</v>
      </c>
      <c r="G2210" s="69" t="s">
        <v>235</v>
      </c>
      <c r="H2210" s="0" t="n">
        <v>15</v>
      </c>
      <c r="I2210" s="70" t="n">
        <v>94.39</v>
      </c>
      <c r="J2210" s="70" t="n">
        <v>49.41</v>
      </c>
      <c r="K2210" s="70" t="n">
        <f aca="false">IF(ISTEXT(H2210),VALUE(H2210),H2210)*I2210</f>
        <v>1415.85</v>
      </c>
    </row>
    <row r="2211" customFormat="false" ht="15" hidden="false" customHeight="false" outlineLevel="0" collapsed="false">
      <c r="A2211" s="0" t="n">
        <v>1776</v>
      </c>
      <c r="B2211" s="69" t="s">
        <v>816</v>
      </c>
      <c r="C2211" s="69" t="s">
        <v>184</v>
      </c>
      <c r="D2211" s="69" t="s">
        <v>137</v>
      </c>
      <c r="E2211" s="69" t="s">
        <v>87</v>
      </c>
      <c r="F2211" s="69" t="s">
        <v>31</v>
      </c>
      <c r="G2211" s="69" t="s">
        <v>116</v>
      </c>
      <c r="H2211" s="0" t="n">
        <v>10</v>
      </c>
      <c r="I2211" s="70" t="n">
        <v>84.46</v>
      </c>
      <c r="J2211" s="70" t="n">
        <v>49.47</v>
      </c>
      <c r="K2211" s="70" t="n">
        <f aca="false">IF(ISTEXT(H2211),VALUE(H2211),H2211)*I2211</f>
        <v>844.6</v>
      </c>
    </row>
    <row r="2212" customFormat="false" ht="15" hidden="false" customHeight="false" outlineLevel="0" collapsed="false">
      <c r="A2212" s="0" t="n">
        <v>413</v>
      </c>
      <c r="B2212" s="69" t="s">
        <v>666</v>
      </c>
      <c r="C2212" s="69" t="s">
        <v>170</v>
      </c>
      <c r="D2212" s="69" t="s">
        <v>97</v>
      </c>
      <c r="E2212" s="69" t="s">
        <v>121</v>
      </c>
      <c r="F2212" s="69" t="s">
        <v>166</v>
      </c>
      <c r="G2212" s="69" t="s">
        <v>156</v>
      </c>
      <c r="H2212" s="0" t="n">
        <v>51</v>
      </c>
      <c r="I2212" s="70" t="n">
        <v>117.6</v>
      </c>
      <c r="J2212" s="70" t="n">
        <v>63.6</v>
      </c>
      <c r="K2212" s="70" t="n">
        <f aca="false">IF(ISTEXT(H2212),VALUE(H2212),H2212)*I2212</f>
        <v>5997.6</v>
      </c>
    </row>
    <row r="2213" customFormat="false" ht="15" hidden="false" customHeight="false" outlineLevel="0" collapsed="false">
      <c r="A2213" s="0" t="n">
        <v>1097</v>
      </c>
      <c r="B2213" s="69" t="s">
        <v>677</v>
      </c>
      <c r="C2213" s="69" t="s">
        <v>161</v>
      </c>
      <c r="D2213" s="69" t="s">
        <v>112</v>
      </c>
      <c r="E2213" s="69" t="s">
        <v>110</v>
      </c>
      <c r="F2213" s="69" t="s">
        <v>33</v>
      </c>
      <c r="G2213" s="69" t="s">
        <v>130</v>
      </c>
      <c r="H2213" s="0" t="n">
        <v>22</v>
      </c>
      <c r="I2213" s="70" t="n">
        <v>127.4</v>
      </c>
      <c r="J2213" s="70" t="n">
        <v>76.05</v>
      </c>
      <c r="K2213" s="70" t="n">
        <f aca="false">IF(ISTEXT(H2213),VALUE(H2213),H2213)*I2213</f>
        <v>2802.8</v>
      </c>
    </row>
    <row r="2214" customFormat="false" ht="15" hidden="false" customHeight="false" outlineLevel="0" collapsed="false">
      <c r="A2214" s="0" t="n">
        <v>779</v>
      </c>
      <c r="B2214" s="69" t="s">
        <v>817</v>
      </c>
      <c r="C2214" s="69" t="s">
        <v>136</v>
      </c>
      <c r="D2214" s="69" t="s">
        <v>137</v>
      </c>
      <c r="E2214" s="69" t="s">
        <v>138</v>
      </c>
      <c r="F2214" s="69" t="s">
        <v>182</v>
      </c>
      <c r="G2214" s="69" t="s">
        <v>53</v>
      </c>
      <c r="H2214" s="0" t="n">
        <v>15</v>
      </c>
      <c r="I2214" s="70" t="n">
        <v>34.3</v>
      </c>
      <c r="J2214" s="70" t="n">
        <v>17.85</v>
      </c>
      <c r="K2214" s="70" t="n">
        <f aca="false">IF(ISTEXT(H2214),VALUE(H2214),H2214)*I2214</f>
        <v>514.5</v>
      </c>
    </row>
    <row r="2215" customFormat="false" ht="15" hidden="false" customHeight="false" outlineLevel="0" collapsed="false">
      <c r="A2215" s="0" t="n">
        <v>407</v>
      </c>
      <c r="B2215" s="68" t="n">
        <v>45427</v>
      </c>
      <c r="C2215" s="69" t="s">
        <v>170</v>
      </c>
      <c r="D2215" s="69" t="s">
        <v>97</v>
      </c>
      <c r="E2215" s="69" t="s">
        <v>134</v>
      </c>
      <c r="F2215" s="69" t="s">
        <v>155</v>
      </c>
      <c r="G2215" s="69" t="s">
        <v>103</v>
      </c>
      <c r="H2215" s="0" t="n">
        <v>98</v>
      </c>
      <c r="I2215" s="70" t="n">
        <v>27.44</v>
      </c>
      <c r="J2215" s="70" t="n">
        <v>13.44</v>
      </c>
      <c r="K2215" s="70" t="n">
        <f aca="false">IF(ISTEXT(H2215),VALUE(H2215),H2215)*I2215</f>
        <v>2689.12</v>
      </c>
    </row>
    <row r="2216" customFormat="false" ht="15" hidden="false" customHeight="false" outlineLevel="0" collapsed="false">
      <c r="A2216" s="0" t="n">
        <v>1066</v>
      </c>
      <c r="B2216" s="68" t="n">
        <v>45607</v>
      </c>
      <c r="C2216" s="69" t="s">
        <v>193</v>
      </c>
      <c r="D2216" s="69" t="s">
        <v>137</v>
      </c>
      <c r="E2216" s="69" t="s">
        <v>180</v>
      </c>
      <c r="F2216" s="69" t="s">
        <v>88</v>
      </c>
      <c r="G2216" s="69" t="s">
        <v>45</v>
      </c>
      <c r="H2216" s="0" t="n">
        <v>3</v>
      </c>
      <c r="I2216" s="70" t="n">
        <v>1617</v>
      </c>
      <c r="J2216" s="70" t="n">
        <v>1122</v>
      </c>
      <c r="K2216" s="70" t="n">
        <f aca="false">IF(ISTEXT(H2216),VALUE(H2216),H2216)*I2216</f>
        <v>4851</v>
      </c>
    </row>
    <row r="2217" customFormat="false" ht="15" hidden="false" customHeight="false" outlineLevel="0" collapsed="false">
      <c r="A2217" s="0" t="n">
        <v>1961</v>
      </c>
      <c r="B2217" s="68" t="n">
        <v>45881</v>
      </c>
      <c r="C2217" s="69" t="s">
        <v>32</v>
      </c>
      <c r="D2217" s="69" t="s">
        <v>137</v>
      </c>
      <c r="E2217" s="69" t="s">
        <v>101</v>
      </c>
      <c r="F2217" s="69" t="s">
        <v>147</v>
      </c>
      <c r="G2217" s="69" t="s">
        <v>154</v>
      </c>
      <c r="H2217" s="0" t="n">
        <v>6</v>
      </c>
      <c r="I2217" s="70" t="n">
        <v>1204.74</v>
      </c>
      <c r="J2217" s="70" t="n">
        <v>766.32</v>
      </c>
      <c r="K2217" s="70" t="n">
        <f aca="false">IF(ISTEXT(H2217),VALUE(H2217),H2217)*I2217</f>
        <v>7228.44</v>
      </c>
    </row>
    <row r="2218" customFormat="false" ht="15" hidden="false" customHeight="false" outlineLevel="0" collapsed="false">
      <c r="A2218" s="0" t="n">
        <v>925</v>
      </c>
      <c r="B2218" s="68" t="n">
        <v>45588</v>
      </c>
      <c r="C2218" s="69" t="s">
        <v>27</v>
      </c>
      <c r="D2218" s="69" t="s">
        <v>86</v>
      </c>
      <c r="E2218" s="69" t="s">
        <v>110</v>
      </c>
      <c r="F2218" s="69" t="s">
        <v>147</v>
      </c>
      <c r="G2218" s="69" t="s">
        <v>157</v>
      </c>
      <c r="H2218" s="0" t="n">
        <v>12</v>
      </c>
      <c r="I2218" s="70" t="n">
        <v>1617</v>
      </c>
      <c r="J2218" s="70" t="n">
        <v>1122</v>
      </c>
      <c r="K2218" s="70" t="n">
        <f aca="false">IF(ISTEXT(H2218),VALUE(H2218),H2218)*I2218</f>
        <v>19404</v>
      </c>
    </row>
    <row r="2219" customFormat="false" ht="15" hidden="false" customHeight="false" outlineLevel="0" collapsed="false">
      <c r="A2219" s="0" t="n">
        <v>1120</v>
      </c>
      <c r="B2219" s="68" t="n">
        <v>45637</v>
      </c>
      <c r="C2219" s="69" t="s">
        <v>25</v>
      </c>
      <c r="D2219" s="69" t="s">
        <v>97</v>
      </c>
      <c r="E2219" s="69" t="s">
        <v>125</v>
      </c>
      <c r="F2219" s="69" t="s">
        <v>182</v>
      </c>
      <c r="G2219" s="69" t="s">
        <v>217</v>
      </c>
      <c r="H2219" s="0" t="n">
        <v>29</v>
      </c>
      <c r="I2219" s="70" t="n">
        <v>34.3</v>
      </c>
      <c r="J2219" s="70" t="n">
        <v>17.85</v>
      </c>
      <c r="K2219" s="70" t="n">
        <f aca="false">IF(ISTEXT(H2219),VALUE(H2219),H2219)*I2219</f>
        <v>994.7</v>
      </c>
    </row>
    <row r="2220" customFormat="false" ht="15" hidden="false" customHeight="false" outlineLevel="0" collapsed="false">
      <c r="A2220" s="0" t="n">
        <v>1064</v>
      </c>
      <c r="B2220" s="68" t="n">
        <v>45620</v>
      </c>
      <c r="C2220" s="69" t="s">
        <v>32</v>
      </c>
      <c r="D2220" s="69" t="s">
        <v>137</v>
      </c>
      <c r="E2220" s="69" t="s">
        <v>125</v>
      </c>
      <c r="F2220" s="69" t="s">
        <v>147</v>
      </c>
      <c r="G2220" s="69" t="s">
        <v>43</v>
      </c>
      <c r="H2220" s="0" t="n">
        <v>3</v>
      </c>
      <c r="I2220" s="70" t="n">
        <v>441</v>
      </c>
      <c r="J2220" s="70" t="n">
        <v>272.25</v>
      </c>
      <c r="K2220" s="70" t="n">
        <f aca="false">IF(ISTEXT(H2220),VALUE(H2220),H2220)*I2220</f>
        <v>1323</v>
      </c>
    </row>
    <row r="2221" customFormat="false" ht="15" hidden="false" customHeight="false" outlineLevel="0" collapsed="false">
      <c r="A2221" s="0" t="n">
        <v>719</v>
      </c>
      <c r="B2221" s="69" t="s">
        <v>315</v>
      </c>
      <c r="C2221" s="69" t="s">
        <v>25</v>
      </c>
      <c r="D2221" s="69" t="s">
        <v>97</v>
      </c>
      <c r="E2221" s="69" t="s">
        <v>101</v>
      </c>
      <c r="F2221" s="69" t="s">
        <v>182</v>
      </c>
      <c r="G2221" s="69" t="s">
        <v>94</v>
      </c>
      <c r="H2221" s="0" t="n">
        <v>61</v>
      </c>
      <c r="I2221" s="70" t="n">
        <v>34.3</v>
      </c>
      <c r="J2221" s="70" t="n">
        <v>17.85</v>
      </c>
      <c r="K2221" s="70" t="n">
        <f aca="false">IF(ISTEXT(H2221),VALUE(H2221),H2221)*I2221</f>
        <v>2092.3</v>
      </c>
    </row>
    <row r="2222" customFormat="false" ht="15" hidden="false" customHeight="false" outlineLevel="0" collapsed="false">
      <c r="A2222" s="0" t="n">
        <v>582</v>
      </c>
      <c r="B2222" s="68" t="n">
        <v>45468</v>
      </c>
      <c r="C2222" s="69" t="s">
        <v>161</v>
      </c>
      <c r="D2222" s="69" t="s">
        <v>112</v>
      </c>
      <c r="E2222" s="69" t="s">
        <v>180</v>
      </c>
      <c r="F2222" s="69" t="s">
        <v>88</v>
      </c>
      <c r="G2222" s="69" t="s">
        <v>154</v>
      </c>
      <c r="H2222" s="0" t="n">
        <v>3</v>
      </c>
      <c r="I2222" s="70" t="n">
        <v>1176</v>
      </c>
      <c r="J2222" s="70" t="n">
        <v>744</v>
      </c>
      <c r="K2222" s="70" t="n">
        <f aca="false">IF(ISTEXT(H2222),VALUE(H2222),H2222)*I2222</f>
        <v>3528</v>
      </c>
    </row>
    <row r="2223" customFormat="false" ht="15" hidden="false" customHeight="false" outlineLevel="0" collapsed="false">
      <c r="A2223" s="0" t="n">
        <v>295</v>
      </c>
      <c r="B2223" s="68" t="n">
        <v>45365</v>
      </c>
      <c r="C2223" s="69" t="s">
        <v>133</v>
      </c>
      <c r="D2223" s="69" t="s">
        <v>112</v>
      </c>
      <c r="E2223" s="69" t="s">
        <v>110</v>
      </c>
      <c r="F2223" s="69" t="s">
        <v>31</v>
      </c>
      <c r="G2223" s="69" t="s">
        <v>111</v>
      </c>
      <c r="H2223" s="0" t="n">
        <v>12</v>
      </c>
      <c r="I2223" s="70" t="n">
        <v>83.3</v>
      </c>
      <c r="J2223" s="70" t="n">
        <v>48.03</v>
      </c>
      <c r="K2223" s="70" t="n">
        <f aca="false">IF(ISTEXT(H2223),VALUE(H2223),H2223)*I2223</f>
        <v>999.6</v>
      </c>
    </row>
    <row r="2224" customFormat="false" ht="15" hidden="false" customHeight="false" outlineLevel="0" collapsed="false">
      <c r="A2224" s="0" t="n">
        <v>1468</v>
      </c>
      <c r="B2224" s="68" t="n">
        <v>45733</v>
      </c>
      <c r="C2224" s="69" t="s">
        <v>184</v>
      </c>
      <c r="D2224" s="69" t="s">
        <v>137</v>
      </c>
      <c r="E2224" s="69" t="s">
        <v>119</v>
      </c>
      <c r="F2224" s="69" t="s">
        <v>102</v>
      </c>
      <c r="G2224" s="69" t="s">
        <v>103</v>
      </c>
      <c r="H2224" s="0" t="n">
        <v>20</v>
      </c>
      <c r="I2224" s="70" t="n">
        <v>27.82</v>
      </c>
      <c r="J2224" s="70" t="n">
        <v>13.84</v>
      </c>
      <c r="K2224" s="70" t="n">
        <f aca="false">IF(ISTEXT(H2224),VALUE(H2224),H2224)*I2224</f>
        <v>556.4</v>
      </c>
    </row>
    <row r="2225" customFormat="false" ht="15" hidden="false" customHeight="false" outlineLevel="0" collapsed="false">
      <c r="A2225" s="0" t="n">
        <v>828</v>
      </c>
      <c r="B2225" s="68" t="n">
        <v>45554</v>
      </c>
      <c r="C2225" s="69" t="s">
        <v>120</v>
      </c>
      <c r="D2225" s="69" t="s">
        <v>86</v>
      </c>
      <c r="E2225" s="69" t="s">
        <v>180</v>
      </c>
      <c r="F2225" s="69" t="s">
        <v>28</v>
      </c>
      <c r="G2225" s="69" t="s">
        <v>103</v>
      </c>
      <c r="H2225" s="0" t="n">
        <v>18</v>
      </c>
      <c r="I2225" s="70" t="n">
        <v>27.44</v>
      </c>
      <c r="J2225" s="70" t="n">
        <v>13.44</v>
      </c>
      <c r="K2225" s="70" t="n">
        <f aca="false">IF(ISTEXT(H2225),VALUE(H2225),H2225)*I2225</f>
        <v>493.92</v>
      </c>
    </row>
    <row r="2226" customFormat="false" ht="15" hidden="false" customHeight="false" outlineLevel="0" collapsed="false">
      <c r="A2226" s="0" t="n">
        <v>1615</v>
      </c>
      <c r="B2226" s="68" t="n">
        <v>45797</v>
      </c>
      <c r="C2226" s="69" t="s">
        <v>96</v>
      </c>
      <c r="D2226" s="69" t="s">
        <v>97</v>
      </c>
      <c r="E2226" s="69" t="s">
        <v>92</v>
      </c>
      <c r="F2226" s="69" t="s">
        <v>162</v>
      </c>
      <c r="G2226" s="69" t="s">
        <v>51</v>
      </c>
      <c r="H2226" s="0" t="n">
        <v>35</v>
      </c>
      <c r="I2226" s="70" t="n">
        <v>84.46</v>
      </c>
      <c r="J2226" s="70" t="n">
        <v>49.47</v>
      </c>
      <c r="K2226" s="70" t="n">
        <f aca="false">IF(ISTEXT(H2226),VALUE(H2226),H2226)*I2226</f>
        <v>2956.1</v>
      </c>
    </row>
    <row r="2227" customFormat="false" ht="15" hidden="false" customHeight="false" outlineLevel="0" collapsed="false">
      <c r="A2227" s="0" t="n">
        <v>170</v>
      </c>
      <c r="B2227" s="69" t="s">
        <v>818</v>
      </c>
      <c r="C2227" s="69" t="s">
        <v>32</v>
      </c>
      <c r="D2227" s="69" t="s">
        <v>137</v>
      </c>
      <c r="E2227" s="69" t="s">
        <v>180</v>
      </c>
      <c r="F2227" s="69" t="s">
        <v>28</v>
      </c>
      <c r="G2227" s="69" t="s">
        <v>235</v>
      </c>
      <c r="H2227" s="0" t="n">
        <v>10</v>
      </c>
      <c r="I2227" s="70" t="n">
        <v>93.1</v>
      </c>
      <c r="J2227" s="70" t="n">
        <v>47.98</v>
      </c>
      <c r="K2227" s="70" t="n">
        <f aca="false">IF(ISTEXT(H2227),VALUE(H2227),H2227)*I2227</f>
        <v>931</v>
      </c>
    </row>
    <row r="2228" customFormat="false" ht="15" hidden="false" customHeight="false" outlineLevel="0" collapsed="false">
      <c r="A2228" s="0" t="n">
        <v>191</v>
      </c>
      <c r="B2228" s="68" t="n">
        <v>45337</v>
      </c>
      <c r="C2228" s="69" t="s">
        <v>161</v>
      </c>
      <c r="D2228" s="69" t="s">
        <v>112</v>
      </c>
      <c r="E2228" s="69" t="s">
        <v>92</v>
      </c>
      <c r="F2228" s="69" t="s">
        <v>155</v>
      </c>
      <c r="G2228" s="69" t="s">
        <v>49</v>
      </c>
      <c r="H2228" s="0" t="n">
        <v>24</v>
      </c>
      <c r="I2228" s="70" t="n">
        <v>63.7</v>
      </c>
      <c r="J2228" s="70" t="n">
        <v>35.43</v>
      </c>
      <c r="K2228" s="70" t="n">
        <f aca="false">IF(ISTEXT(H2228),VALUE(H2228),H2228)*I2228</f>
        <v>1528.8</v>
      </c>
    </row>
    <row r="2229" customFormat="false" ht="15" hidden="false" customHeight="false" outlineLevel="0" collapsed="false">
      <c r="A2229" s="0" t="n">
        <v>1078</v>
      </c>
      <c r="B2229" s="68" t="n">
        <v>45610</v>
      </c>
      <c r="C2229" s="69" t="s">
        <v>32</v>
      </c>
      <c r="D2229" s="69" t="s">
        <v>137</v>
      </c>
      <c r="E2229" s="69" t="s">
        <v>125</v>
      </c>
      <c r="F2229" s="69" t="s">
        <v>33</v>
      </c>
      <c r="G2229" s="69" t="s">
        <v>52</v>
      </c>
      <c r="H2229" s="0" t="n">
        <v>8</v>
      </c>
      <c r="I2229" s="70" t="n">
        <v>127.4</v>
      </c>
      <c r="J2229" s="70" t="n">
        <v>76.05</v>
      </c>
      <c r="K2229" s="70" t="n">
        <f aca="false">IF(ISTEXT(H2229),VALUE(H2229),H2229)*I2229</f>
        <v>1019.2</v>
      </c>
    </row>
    <row r="2230" customFormat="false" ht="15" hidden="false" customHeight="false" outlineLevel="0" collapsed="false">
      <c r="A2230" s="0" t="n">
        <v>171</v>
      </c>
      <c r="B2230" s="69" t="s">
        <v>578</v>
      </c>
      <c r="C2230" s="69" t="s">
        <v>193</v>
      </c>
      <c r="D2230" s="69" t="s">
        <v>137</v>
      </c>
      <c r="E2230" s="69" t="s">
        <v>110</v>
      </c>
      <c r="F2230" s="69" t="s">
        <v>102</v>
      </c>
      <c r="G2230" s="69" t="s">
        <v>144</v>
      </c>
      <c r="H2230" s="0" t="n">
        <v>28</v>
      </c>
      <c r="I2230" s="70" t="n">
        <v>63.7</v>
      </c>
      <c r="J2230" s="70" t="n">
        <v>35.43</v>
      </c>
      <c r="K2230" s="70" t="n">
        <f aca="false">IF(ISTEXT(H2230),VALUE(H2230),H2230)*I2230</f>
        <v>1783.6</v>
      </c>
    </row>
    <row r="2231" customFormat="false" ht="15" hidden="false" customHeight="false" outlineLevel="0" collapsed="false">
      <c r="A2231" s="0" t="n">
        <v>564</v>
      </c>
      <c r="B2231" s="69" t="s">
        <v>197</v>
      </c>
      <c r="C2231" s="69" t="s">
        <v>136</v>
      </c>
      <c r="D2231" s="69" t="s">
        <v>137</v>
      </c>
      <c r="E2231" s="69" t="s">
        <v>119</v>
      </c>
      <c r="F2231" s="69" t="s">
        <v>26</v>
      </c>
      <c r="G2231" s="69" t="s">
        <v>43</v>
      </c>
      <c r="H2231" s="0" t="n">
        <v>3</v>
      </c>
      <c r="I2231" s="70" t="n">
        <v>441</v>
      </c>
      <c r="J2231" s="70" t="n">
        <v>272.25</v>
      </c>
      <c r="K2231" s="70" t="n">
        <f aca="false">IF(ISTEXT(H2231),VALUE(H2231),H2231)*I2231</f>
        <v>1323</v>
      </c>
    </row>
    <row r="2232" customFormat="false" ht="15" hidden="false" customHeight="false" outlineLevel="0" collapsed="false">
      <c r="A2232" s="0" t="n">
        <v>755</v>
      </c>
      <c r="B2232" s="69" t="s">
        <v>646</v>
      </c>
      <c r="C2232" s="69" t="s">
        <v>108</v>
      </c>
      <c r="D2232" s="69" t="s">
        <v>109</v>
      </c>
      <c r="E2232" s="69" t="s">
        <v>138</v>
      </c>
      <c r="F2232" s="69" t="s">
        <v>162</v>
      </c>
      <c r="G2232" s="69" t="s">
        <v>51</v>
      </c>
      <c r="H2232" s="0" t="n">
        <v>18</v>
      </c>
      <c r="I2232" s="70" t="n">
        <v>83.3</v>
      </c>
      <c r="J2232" s="70" t="n">
        <v>48.03</v>
      </c>
      <c r="K2232" s="70" t="n">
        <f aca="false">IF(ISTEXT(H2232),VALUE(H2232),H2232)*I2232</f>
        <v>1499.4</v>
      </c>
    </row>
    <row r="2233" customFormat="false" ht="15" hidden="false" customHeight="false" outlineLevel="0" collapsed="false">
      <c r="A2233" s="0" t="n">
        <v>740</v>
      </c>
      <c r="B2233" s="69" t="s">
        <v>819</v>
      </c>
      <c r="C2233" s="69" t="s">
        <v>91</v>
      </c>
      <c r="D2233" s="69" t="s">
        <v>86</v>
      </c>
      <c r="E2233" s="69" t="s">
        <v>125</v>
      </c>
      <c r="F2233" s="69" t="s">
        <v>168</v>
      </c>
      <c r="G2233" s="69" t="s">
        <v>53</v>
      </c>
      <c r="H2233" s="0" t="n">
        <v>12</v>
      </c>
      <c r="I2233" s="70" t="n">
        <v>34.3</v>
      </c>
      <c r="J2233" s="70" t="n">
        <v>17.85</v>
      </c>
      <c r="K2233" s="70" t="n">
        <f aca="false">IF(ISTEXT(H2233),VALUE(H2233),H2233)*I2233</f>
        <v>411.6</v>
      </c>
    </row>
    <row r="2234" customFormat="false" ht="15" hidden="false" customHeight="false" outlineLevel="0" collapsed="false">
      <c r="A2234" s="0" t="n">
        <v>1596</v>
      </c>
      <c r="B2234" s="68" t="n">
        <v>45769</v>
      </c>
      <c r="C2234" s="69" t="s">
        <v>133</v>
      </c>
      <c r="D2234" s="69" t="s">
        <v>112</v>
      </c>
      <c r="E2234" s="69" t="s">
        <v>125</v>
      </c>
      <c r="F2234" s="69" t="s">
        <v>31</v>
      </c>
      <c r="G2234" s="69" t="s">
        <v>111</v>
      </c>
      <c r="H2234" s="0" t="n">
        <v>8</v>
      </c>
      <c r="I2234" s="70" t="n">
        <v>84.46</v>
      </c>
      <c r="J2234" s="70" t="n">
        <v>49.47</v>
      </c>
      <c r="K2234" s="70" t="n">
        <f aca="false">IF(ISTEXT(H2234),VALUE(H2234),H2234)*I2234</f>
        <v>675.68</v>
      </c>
    </row>
    <row r="2235" customFormat="false" ht="15" hidden="false" customHeight="false" outlineLevel="0" collapsed="false">
      <c r="A2235" s="0" t="n">
        <v>145</v>
      </c>
      <c r="B2235" s="68" t="n">
        <v>45339</v>
      </c>
      <c r="C2235" s="69" t="s">
        <v>152</v>
      </c>
      <c r="D2235" s="69" t="s">
        <v>109</v>
      </c>
      <c r="E2235" s="69" t="s">
        <v>138</v>
      </c>
      <c r="F2235" s="69" t="s">
        <v>26</v>
      </c>
      <c r="G2235" s="69" t="s">
        <v>45</v>
      </c>
      <c r="H2235" s="0" t="n">
        <v>7</v>
      </c>
      <c r="I2235" s="70" t="n">
        <v>1617</v>
      </c>
      <c r="J2235" s="70" t="n">
        <v>1122</v>
      </c>
      <c r="K2235" s="70" t="n">
        <f aca="false">IF(ISTEXT(H2235),VALUE(H2235),H2235)*I2235</f>
        <v>11319</v>
      </c>
    </row>
    <row r="2236" customFormat="false" ht="15" hidden="false" customHeight="false" outlineLevel="0" collapsed="false">
      <c r="A2236" s="0" t="n">
        <v>2087</v>
      </c>
      <c r="B2236" s="68" t="n">
        <v>45903</v>
      </c>
      <c r="C2236" s="69" t="s">
        <v>142</v>
      </c>
      <c r="D2236" s="69" t="s">
        <v>112</v>
      </c>
      <c r="E2236" s="69" t="s">
        <v>110</v>
      </c>
      <c r="F2236" s="69" t="s">
        <v>155</v>
      </c>
      <c r="G2236" s="69" t="s">
        <v>47</v>
      </c>
      <c r="H2236" s="0" t="n">
        <v>33</v>
      </c>
      <c r="I2236" s="70" t="n">
        <v>28.11</v>
      </c>
      <c r="J2236" s="70" t="n">
        <v>13.84</v>
      </c>
      <c r="K2236" s="70" t="n">
        <f aca="false">IF(ISTEXT(H2236),VALUE(H2236),H2236)*I2236</f>
        <v>927.63</v>
      </c>
    </row>
    <row r="2237" customFormat="false" ht="15" hidden="false" customHeight="false" outlineLevel="0" collapsed="false">
      <c r="A2237" s="0" t="n">
        <v>1912</v>
      </c>
      <c r="B2237" s="68" t="n">
        <v>45889</v>
      </c>
      <c r="C2237" s="69" t="s">
        <v>96</v>
      </c>
      <c r="D2237" s="69" t="s">
        <v>97</v>
      </c>
      <c r="E2237" s="69" t="s">
        <v>180</v>
      </c>
      <c r="F2237" s="69" t="s">
        <v>28</v>
      </c>
      <c r="G2237" s="69" t="s">
        <v>144</v>
      </c>
      <c r="H2237" s="0" t="n">
        <v>74</v>
      </c>
      <c r="I2237" s="70" t="n">
        <v>65.26</v>
      </c>
      <c r="J2237" s="70" t="n">
        <v>36.49</v>
      </c>
      <c r="K2237" s="70" t="n">
        <f aca="false">IF(ISTEXT(H2237),VALUE(H2237),H2237)*I2237</f>
        <v>4829.24</v>
      </c>
    </row>
    <row r="2238" customFormat="false" ht="15" hidden="false" customHeight="false" outlineLevel="0" collapsed="false">
      <c r="A2238" s="0" t="n">
        <v>979</v>
      </c>
      <c r="B2238" s="68" t="n">
        <v>45588</v>
      </c>
      <c r="C2238" s="69" t="s">
        <v>136</v>
      </c>
      <c r="D2238" s="69" t="s">
        <v>137</v>
      </c>
      <c r="E2238" s="69" t="s">
        <v>138</v>
      </c>
      <c r="F2238" s="69" t="s">
        <v>168</v>
      </c>
      <c r="G2238" s="69" t="s">
        <v>94</v>
      </c>
      <c r="H2238" s="0" t="n">
        <v>21</v>
      </c>
      <c r="I2238" s="70" t="n">
        <v>34.3</v>
      </c>
      <c r="J2238" s="70" t="n">
        <v>17.85</v>
      </c>
      <c r="K2238" s="70" t="n">
        <f aca="false">IF(ISTEXT(H2238),VALUE(H2238),H2238)*I2238</f>
        <v>720.3</v>
      </c>
    </row>
    <row r="2239" customFormat="false" ht="15" hidden="false" customHeight="false" outlineLevel="0" collapsed="false">
      <c r="A2239" s="0" t="n">
        <v>460</v>
      </c>
      <c r="B2239" s="69" t="s">
        <v>820</v>
      </c>
      <c r="C2239" s="69" t="s">
        <v>108</v>
      </c>
      <c r="D2239" s="69" t="s">
        <v>109</v>
      </c>
      <c r="E2239" s="69" t="s">
        <v>107</v>
      </c>
      <c r="F2239" s="69" t="s">
        <v>183</v>
      </c>
      <c r="G2239" s="69" t="s">
        <v>217</v>
      </c>
      <c r="H2239" s="0" t="n">
        <v>10</v>
      </c>
      <c r="I2239" s="70" t="n">
        <v>34.3</v>
      </c>
      <c r="J2239" s="70" t="n">
        <v>17.85</v>
      </c>
      <c r="K2239" s="70" t="n">
        <f aca="false">IF(ISTEXT(H2239),VALUE(H2239),H2239)*I2239</f>
        <v>343</v>
      </c>
    </row>
    <row r="2240" customFormat="false" ht="15" hidden="false" customHeight="false" outlineLevel="0" collapsed="false">
      <c r="A2240" s="0" t="n">
        <v>2287</v>
      </c>
      <c r="B2240" s="69" t="s">
        <v>556</v>
      </c>
      <c r="C2240" s="69" t="s">
        <v>133</v>
      </c>
      <c r="D2240" s="69" t="s">
        <v>112</v>
      </c>
      <c r="E2240" s="69" t="s">
        <v>121</v>
      </c>
      <c r="F2240" s="69" t="s">
        <v>28</v>
      </c>
      <c r="G2240" s="69" t="s">
        <v>113</v>
      </c>
      <c r="H2240" s="0" t="n">
        <v>38</v>
      </c>
      <c r="I2240" s="70" t="n">
        <v>28.11</v>
      </c>
      <c r="J2240" s="70" t="n">
        <v>13.84</v>
      </c>
      <c r="K2240" s="70" t="n">
        <f aca="false">IF(ISTEXT(H2240),VALUE(H2240),H2240)*I2240</f>
        <v>1068.18</v>
      </c>
    </row>
    <row r="2241" customFormat="false" ht="15" hidden="false" customHeight="false" outlineLevel="0" collapsed="false">
      <c r="A2241" s="0" t="n">
        <v>1131</v>
      </c>
      <c r="B2241" s="68" t="n">
        <v>45633</v>
      </c>
      <c r="C2241" s="69" t="s">
        <v>159</v>
      </c>
      <c r="D2241" s="69" t="s">
        <v>86</v>
      </c>
      <c r="E2241" s="69" t="s">
        <v>110</v>
      </c>
      <c r="F2241" s="69" t="s">
        <v>99</v>
      </c>
      <c r="G2241" s="69" t="s">
        <v>144</v>
      </c>
      <c r="H2241" s="0" t="n">
        <v>94</v>
      </c>
      <c r="I2241" s="70" t="n">
        <v>63.7</v>
      </c>
      <c r="J2241" s="70" t="n">
        <v>35.43</v>
      </c>
      <c r="K2241" s="70" t="n">
        <f aca="false">IF(ISTEXT(H2241),VALUE(H2241),H2241)*I2241</f>
        <v>5987.8</v>
      </c>
    </row>
    <row r="2242" customFormat="false" ht="15" hidden="false" customHeight="false" outlineLevel="0" collapsed="false">
      <c r="A2242" s="0" t="n">
        <v>1239</v>
      </c>
      <c r="B2242" s="68" t="n">
        <v>45664</v>
      </c>
      <c r="C2242" s="69" t="s">
        <v>91</v>
      </c>
      <c r="D2242" s="69"/>
      <c r="E2242" s="69" t="s">
        <v>134</v>
      </c>
      <c r="F2242" s="69" t="s">
        <v>168</v>
      </c>
      <c r="G2242" s="69" t="s">
        <v>53</v>
      </c>
      <c r="H2242" s="0" t="n">
        <v>25</v>
      </c>
      <c r="I2242" s="70" t="n">
        <v>34.78</v>
      </c>
      <c r="J2242" s="70" t="n">
        <v>18.39</v>
      </c>
      <c r="K2242" s="70" t="n">
        <f aca="false">IF(ISTEXT(H2242),VALUE(H2242),H2242)*I2242</f>
        <v>869.5</v>
      </c>
    </row>
    <row r="2243" customFormat="false" ht="15" hidden="false" customHeight="false" outlineLevel="0" collapsed="false">
      <c r="A2243" s="0" t="n">
        <v>1021</v>
      </c>
      <c r="B2243" s="68" t="n">
        <v>45616</v>
      </c>
      <c r="C2243" s="69" t="s">
        <v>159</v>
      </c>
      <c r="D2243" s="69"/>
      <c r="E2243" s="69" t="s">
        <v>134</v>
      </c>
      <c r="F2243" s="69" t="s">
        <v>153</v>
      </c>
      <c r="G2243" s="69" t="s">
        <v>151</v>
      </c>
      <c r="H2243" s="0" t="n">
        <v>17</v>
      </c>
      <c r="I2243" s="70" t="n">
        <v>1176</v>
      </c>
      <c r="J2243" s="70" t="n">
        <v>744</v>
      </c>
      <c r="K2243" s="70" t="n">
        <f aca="false">IF(ISTEXT(H2243),VALUE(H2243),H2243)*I2243</f>
        <v>19992</v>
      </c>
    </row>
    <row r="2244" customFormat="false" ht="15" hidden="false" customHeight="false" outlineLevel="0" collapsed="false">
      <c r="A2244" s="0" t="n">
        <v>2085</v>
      </c>
      <c r="B2244" s="68" t="n">
        <v>45916</v>
      </c>
      <c r="C2244" s="69" t="s">
        <v>142</v>
      </c>
      <c r="D2244" s="69" t="s">
        <v>112</v>
      </c>
      <c r="E2244" s="69" t="s">
        <v>110</v>
      </c>
      <c r="F2244" s="69" t="s">
        <v>139</v>
      </c>
      <c r="G2244" s="69" t="s">
        <v>141</v>
      </c>
      <c r="H2244" s="0" t="n">
        <v>7</v>
      </c>
      <c r="I2244" s="70" t="n">
        <v>1656.52</v>
      </c>
      <c r="J2244" s="70" t="n">
        <v>1155.66</v>
      </c>
      <c r="K2244" s="70" t="n">
        <f aca="false">IF(ISTEXT(H2244),VALUE(H2244),H2244)*I2244</f>
        <v>11595.64</v>
      </c>
    </row>
    <row r="2245" customFormat="false" ht="15" hidden="false" customHeight="false" outlineLevel="0" collapsed="false">
      <c r="A2245" s="0" t="n">
        <v>930</v>
      </c>
      <c r="B2245" s="68" t="n">
        <v>45569</v>
      </c>
      <c r="C2245" s="69" t="s">
        <v>120</v>
      </c>
      <c r="D2245" s="69" t="s">
        <v>86</v>
      </c>
      <c r="E2245" s="69" t="s">
        <v>180</v>
      </c>
      <c r="F2245" s="69" t="s">
        <v>155</v>
      </c>
      <c r="G2245" s="69" t="s">
        <v>48</v>
      </c>
      <c r="H2245" s="0" t="n">
        <v>27</v>
      </c>
      <c r="I2245" s="70" t="n">
        <v>93.1</v>
      </c>
      <c r="J2245" s="70" t="n">
        <v>47.98</v>
      </c>
      <c r="K2245" s="70" t="n">
        <f aca="false">IF(ISTEXT(H2245),VALUE(H2245),H2245)*I2245</f>
        <v>2513.7</v>
      </c>
    </row>
    <row r="2246" customFormat="false" ht="15" hidden="false" customHeight="false" outlineLevel="0" collapsed="false">
      <c r="A2246" s="0" t="n">
        <v>720</v>
      </c>
      <c r="B2246" s="69" t="s">
        <v>821</v>
      </c>
      <c r="C2246" s="69" t="s">
        <v>150</v>
      </c>
      <c r="D2246" s="69" t="s">
        <v>97</v>
      </c>
      <c r="E2246" s="69" t="s">
        <v>180</v>
      </c>
      <c r="F2246" s="69" t="s">
        <v>168</v>
      </c>
      <c r="G2246" s="69" t="s">
        <v>94</v>
      </c>
      <c r="H2246" s="0" t="n">
        <v>25</v>
      </c>
      <c r="I2246" s="70" t="n">
        <v>34.3</v>
      </c>
      <c r="J2246" s="70" t="n">
        <v>17.85</v>
      </c>
      <c r="K2246" s="70" t="n">
        <f aca="false">IF(ISTEXT(H2246),VALUE(H2246),H2246)*I2246</f>
        <v>857.5</v>
      </c>
    </row>
    <row r="2247" customFormat="false" ht="15" hidden="false" customHeight="false" outlineLevel="0" collapsed="false">
      <c r="A2247" s="0" t="n">
        <v>1323</v>
      </c>
      <c r="B2247" s="68" t="n">
        <v>45689</v>
      </c>
      <c r="C2247" s="69" t="s">
        <v>120</v>
      </c>
      <c r="D2247" s="69" t="s">
        <v>86</v>
      </c>
      <c r="E2247" s="69" t="s">
        <v>134</v>
      </c>
      <c r="F2247" s="69" t="s">
        <v>135</v>
      </c>
      <c r="G2247" s="69" t="s">
        <v>177</v>
      </c>
      <c r="H2247" s="0" t="n">
        <v>10</v>
      </c>
      <c r="I2247" s="70" t="n">
        <v>433.15</v>
      </c>
      <c r="J2247" s="70" t="n">
        <v>280.42</v>
      </c>
      <c r="K2247" s="70" t="n">
        <f aca="false">IF(ISTEXT(H2247),VALUE(H2247),H2247)*I2247</f>
        <v>4331.5</v>
      </c>
    </row>
    <row r="2248" customFormat="false" ht="15" hidden="false" customHeight="false" outlineLevel="0" collapsed="false">
      <c r="A2248" s="0" t="n">
        <v>260</v>
      </c>
      <c r="B2248" s="68" t="n">
        <v>45363</v>
      </c>
      <c r="C2248" s="69" t="s">
        <v>152</v>
      </c>
      <c r="D2248" s="69" t="s">
        <v>109</v>
      </c>
      <c r="E2248" s="69" t="s">
        <v>98</v>
      </c>
      <c r="F2248" s="69" t="s">
        <v>33</v>
      </c>
      <c r="G2248" s="69" t="s">
        <v>217</v>
      </c>
      <c r="H2248" s="0" t="n">
        <v>10</v>
      </c>
      <c r="I2248" s="70" t="n">
        <v>34.3</v>
      </c>
      <c r="J2248" s="70" t="n">
        <v>17.85</v>
      </c>
      <c r="K2248" s="70" t="n">
        <f aca="false">IF(ISTEXT(H2248),VALUE(H2248),H2248)*I2248</f>
        <v>343</v>
      </c>
    </row>
    <row r="2249" customFormat="false" ht="15" hidden="false" customHeight="false" outlineLevel="0" collapsed="false">
      <c r="A2249" s="0" t="n">
        <v>35</v>
      </c>
      <c r="B2249" s="69" t="s">
        <v>187</v>
      </c>
      <c r="C2249" s="69" t="s">
        <v>91</v>
      </c>
      <c r="D2249" s="69" t="s">
        <v>86</v>
      </c>
      <c r="E2249" s="69" t="s">
        <v>134</v>
      </c>
      <c r="F2249" s="69" t="s">
        <v>31</v>
      </c>
      <c r="G2249" s="69" t="s">
        <v>116</v>
      </c>
      <c r="H2249" s="0" t="n">
        <v>20</v>
      </c>
      <c r="I2249" s="70" t="n">
        <v>83.3</v>
      </c>
      <c r="J2249" s="70" t="n">
        <v>48.03</v>
      </c>
      <c r="K2249" s="70" t="n">
        <f aca="false">IF(ISTEXT(H2249),VALUE(H2249),H2249)*I2249</f>
        <v>1666</v>
      </c>
    </row>
    <row r="2250" customFormat="false" ht="15" hidden="false" customHeight="false" outlineLevel="0" collapsed="false">
      <c r="A2250" s="0" t="n">
        <v>324</v>
      </c>
      <c r="B2250" s="68" t="n">
        <v>45383</v>
      </c>
      <c r="C2250" s="69" t="s">
        <v>120</v>
      </c>
      <c r="D2250" s="69" t="s">
        <v>86</v>
      </c>
      <c r="E2250" s="69" t="s">
        <v>98</v>
      </c>
      <c r="F2250" s="69" t="s">
        <v>153</v>
      </c>
      <c r="G2250" s="69" t="s">
        <v>89</v>
      </c>
      <c r="H2250" s="0" t="n">
        <v>4</v>
      </c>
      <c r="I2250" s="70" t="n">
        <v>441</v>
      </c>
      <c r="J2250" s="70" t="n">
        <v>272.25</v>
      </c>
      <c r="K2250" s="70" t="n">
        <f aca="false">IF(ISTEXT(H2250),VALUE(H2250),H2250)*I2250</f>
        <v>1764</v>
      </c>
    </row>
    <row r="2251" customFormat="false" ht="15" hidden="false" customHeight="false" outlineLevel="0" collapsed="false">
      <c r="A2251" s="0" t="n">
        <v>530</v>
      </c>
      <c r="B2251" s="69" t="s">
        <v>822</v>
      </c>
      <c r="C2251" s="69" t="s">
        <v>159</v>
      </c>
      <c r="D2251" s="69" t="s">
        <v>86</v>
      </c>
      <c r="E2251" s="69" t="s">
        <v>98</v>
      </c>
      <c r="F2251" s="69" t="s">
        <v>28</v>
      </c>
      <c r="G2251" s="69" t="s">
        <v>235</v>
      </c>
      <c r="H2251" s="0" t="n">
        <v>20</v>
      </c>
      <c r="I2251" s="70" t="n">
        <v>93.1</v>
      </c>
      <c r="J2251" s="70" t="n">
        <v>47.98</v>
      </c>
      <c r="K2251" s="70" t="n">
        <f aca="false">IF(ISTEXT(H2251),VALUE(H2251),H2251)*I2251</f>
        <v>1862</v>
      </c>
    </row>
    <row r="2252" customFormat="false" ht="15" hidden="false" customHeight="false" outlineLevel="0" collapsed="false">
      <c r="A2252" s="0" t="n">
        <v>1668</v>
      </c>
      <c r="B2252" s="68" t="n">
        <v>45790</v>
      </c>
      <c r="C2252" s="69" t="s">
        <v>32</v>
      </c>
      <c r="D2252" s="69"/>
      <c r="E2252" s="69" t="s">
        <v>87</v>
      </c>
      <c r="F2252" s="69" t="s">
        <v>99</v>
      </c>
      <c r="G2252" s="69" t="s">
        <v>103</v>
      </c>
      <c r="H2252" s="0" t="n">
        <v>18</v>
      </c>
      <c r="I2252" s="70" t="n">
        <v>27.82</v>
      </c>
      <c r="J2252" s="70" t="n">
        <v>13.84</v>
      </c>
      <c r="K2252" s="70" t="n">
        <f aca="false">IF(ISTEXT(H2252),VALUE(H2252),H2252)*I2252</f>
        <v>500.76</v>
      </c>
    </row>
    <row r="2253" customFormat="false" ht="15" hidden="false" customHeight="false" outlineLevel="0" collapsed="false">
      <c r="A2253" s="0" t="n">
        <v>1263</v>
      </c>
      <c r="B2253" s="68" t="n">
        <v>45670</v>
      </c>
      <c r="C2253" s="69" t="s">
        <v>136</v>
      </c>
      <c r="D2253" s="69" t="s">
        <v>137</v>
      </c>
      <c r="E2253" s="69" t="s">
        <v>110</v>
      </c>
      <c r="F2253" s="69" t="s">
        <v>135</v>
      </c>
      <c r="G2253" s="69" t="s">
        <v>89</v>
      </c>
      <c r="H2253" s="0" t="n">
        <v>5</v>
      </c>
      <c r="I2253" s="70" t="n">
        <v>433.15</v>
      </c>
      <c r="J2253" s="70" t="n">
        <v>280.42</v>
      </c>
      <c r="K2253" s="70" t="n">
        <f aca="false">IF(ISTEXT(H2253),VALUE(H2253),H2253)*I2253</f>
        <v>2165.75</v>
      </c>
    </row>
    <row r="2254" customFormat="false" ht="15" hidden="false" customHeight="false" outlineLevel="0" collapsed="false">
      <c r="A2254" s="0" t="n">
        <v>570</v>
      </c>
      <c r="B2254" s="68" t="n">
        <v>45465</v>
      </c>
      <c r="C2254" s="69" t="s">
        <v>193</v>
      </c>
      <c r="D2254" s="69" t="s">
        <v>137</v>
      </c>
      <c r="E2254" s="69" t="s">
        <v>180</v>
      </c>
      <c r="F2254" s="69" t="s">
        <v>155</v>
      </c>
      <c r="G2254" s="69" t="s">
        <v>235</v>
      </c>
      <c r="H2254" s="0" t="n">
        <v>11</v>
      </c>
      <c r="I2254" s="70" t="n">
        <v>93.1</v>
      </c>
      <c r="J2254" s="70" t="n">
        <v>47.98</v>
      </c>
      <c r="K2254" s="70" t="n">
        <f aca="false">IF(ISTEXT(H2254),VALUE(H2254),H2254)*I2254</f>
        <v>1024.1</v>
      </c>
    </row>
    <row r="2255" customFormat="false" ht="15" hidden="false" customHeight="false" outlineLevel="0" collapsed="false">
      <c r="A2255" s="0" t="n">
        <v>2172</v>
      </c>
      <c r="B2255" s="68" t="n">
        <v>45934</v>
      </c>
      <c r="C2255" s="69" t="s">
        <v>32</v>
      </c>
      <c r="D2255" s="69" t="s">
        <v>137</v>
      </c>
      <c r="E2255" s="69" t="s">
        <v>119</v>
      </c>
      <c r="F2255" s="69" t="s">
        <v>102</v>
      </c>
      <c r="G2255" s="69" t="s">
        <v>144</v>
      </c>
      <c r="H2255" s="0" t="n">
        <v>22</v>
      </c>
      <c r="I2255" s="70" t="n">
        <v>65.26</v>
      </c>
      <c r="J2255" s="70" t="n">
        <v>36.49</v>
      </c>
      <c r="K2255" s="70" t="n">
        <f aca="false">IF(ISTEXT(H2255),VALUE(H2255),H2255)*I2255</f>
        <v>1435.72</v>
      </c>
    </row>
    <row r="2256" customFormat="false" ht="15" hidden="false" customHeight="false" outlineLevel="0" collapsed="false">
      <c r="A2256" s="0" t="n">
        <v>34</v>
      </c>
      <c r="B2256" s="68" t="n">
        <v>45314</v>
      </c>
      <c r="C2256" s="69" t="s">
        <v>120</v>
      </c>
      <c r="D2256" s="69" t="s">
        <v>86</v>
      </c>
      <c r="E2256" s="69" t="s">
        <v>107</v>
      </c>
      <c r="F2256" s="69" t="s">
        <v>162</v>
      </c>
      <c r="G2256" s="69" t="s">
        <v>171</v>
      </c>
      <c r="H2256" s="0" t="n">
        <v>9</v>
      </c>
      <c r="I2256" s="70" t="n">
        <v>117.6</v>
      </c>
      <c r="J2256" s="70" t="n">
        <v>63.6</v>
      </c>
      <c r="K2256" s="70" t="n">
        <f aca="false">IF(ISTEXT(H2256),VALUE(H2256),H2256)*I2256</f>
        <v>1058.4</v>
      </c>
    </row>
    <row r="2257" customFormat="false" ht="15" hidden="false" customHeight="false" outlineLevel="0" collapsed="false">
      <c r="A2257" s="0" t="n">
        <v>542</v>
      </c>
      <c r="B2257" s="68" t="n">
        <v>45458</v>
      </c>
      <c r="C2257" s="69" t="s">
        <v>108</v>
      </c>
      <c r="D2257" s="69" t="s">
        <v>109</v>
      </c>
      <c r="E2257" s="69" t="s">
        <v>125</v>
      </c>
      <c r="F2257" s="69" t="s">
        <v>135</v>
      </c>
      <c r="G2257" s="69" t="s">
        <v>41</v>
      </c>
      <c r="H2257" s="0" t="n">
        <v>3</v>
      </c>
      <c r="I2257" s="70" t="n">
        <v>1176</v>
      </c>
      <c r="J2257" s="70" t="n">
        <v>744</v>
      </c>
      <c r="K2257" s="70" t="n">
        <f aca="false">IF(ISTEXT(H2257),VALUE(H2257),H2257)*I2257</f>
        <v>3528</v>
      </c>
    </row>
    <row r="2258" customFormat="false" ht="15" hidden="false" customHeight="false" outlineLevel="0" collapsed="false">
      <c r="A2258" s="0" t="n">
        <v>2316</v>
      </c>
      <c r="B2258" s="69" t="s">
        <v>823</v>
      </c>
      <c r="C2258" s="69" t="s">
        <v>96</v>
      </c>
      <c r="D2258" s="69" t="s">
        <v>97</v>
      </c>
      <c r="E2258" s="69" t="s">
        <v>107</v>
      </c>
      <c r="F2258" s="69" t="s">
        <v>115</v>
      </c>
      <c r="G2258" s="69" t="s">
        <v>51</v>
      </c>
      <c r="H2258" s="0" t="n">
        <v>50</v>
      </c>
      <c r="I2258" s="70" t="n">
        <v>85.34</v>
      </c>
      <c r="J2258" s="70" t="n">
        <v>49.47</v>
      </c>
      <c r="K2258" s="70" t="n">
        <f aca="false">IF(ISTEXT(H2258),VALUE(H2258),H2258)*I2258</f>
        <v>4267</v>
      </c>
    </row>
    <row r="2259" customFormat="false" ht="15" hidden="false" customHeight="false" outlineLevel="0" collapsed="false">
      <c r="A2259" s="0" t="n">
        <v>1814</v>
      </c>
      <c r="B2259" s="68" t="n">
        <v>45847</v>
      </c>
      <c r="C2259" s="69" t="s">
        <v>170</v>
      </c>
      <c r="D2259" s="69"/>
      <c r="E2259" s="69" t="s">
        <v>107</v>
      </c>
      <c r="F2259" s="69" t="s">
        <v>31</v>
      </c>
      <c r="G2259" s="69" t="s">
        <v>50</v>
      </c>
      <c r="H2259" s="0" t="n">
        <v>35</v>
      </c>
      <c r="I2259" s="70" t="n">
        <v>120.47</v>
      </c>
      <c r="J2259" s="70" t="n">
        <v>65.51</v>
      </c>
      <c r="K2259" s="70" t="n">
        <f aca="false">IF(ISTEXT(H2259),VALUE(H2259),H2259)*I2259</f>
        <v>4216.45</v>
      </c>
    </row>
    <row r="2260" customFormat="false" ht="15" hidden="false" customHeight="false" outlineLevel="0" collapsed="false">
      <c r="A2260" s="0" t="n">
        <v>1659</v>
      </c>
      <c r="B2260" s="69" t="s">
        <v>824</v>
      </c>
      <c r="C2260" s="69" t="s">
        <v>108</v>
      </c>
      <c r="D2260" s="69" t="s">
        <v>109</v>
      </c>
      <c r="E2260" s="69" t="s">
        <v>101</v>
      </c>
      <c r="F2260" s="69" t="s">
        <v>93</v>
      </c>
      <c r="G2260" s="69" t="s">
        <v>94</v>
      </c>
      <c r="H2260" s="0" t="n">
        <v>27</v>
      </c>
      <c r="I2260" s="70" t="n">
        <v>34.78</v>
      </c>
      <c r="J2260" s="70" t="n">
        <v>18.39</v>
      </c>
      <c r="K2260" s="70" t="n">
        <f aca="false">IF(ISTEXT(H2260),VALUE(H2260),H2260)*I2260</f>
        <v>939.06</v>
      </c>
    </row>
    <row r="2261" customFormat="false" ht="15" hidden="false" customHeight="false" outlineLevel="0" collapsed="false">
      <c r="A2261" s="0" t="n">
        <v>2301</v>
      </c>
      <c r="B2261" s="68" t="n">
        <v>46007</v>
      </c>
      <c r="C2261" s="69" t="s">
        <v>124</v>
      </c>
      <c r="D2261" s="69" t="s">
        <v>97</v>
      </c>
      <c r="E2261" s="69" t="s">
        <v>134</v>
      </c>
      <c r="F2261" s="69" t="s">
        <v>88</v>
      </c>
      <c r="G2261" s="69" t="s">
        <v>151</v>
      </c>
      <c r="H2261" s="0" t="n">
        <v>31</v>
      </c>
      <c r="I2261" s="70" t="n">
        <v>1204.74</v>
      </c>
      <c r="J2261" s="70" t="n">
        <v>766.32</v>
      </c>
      <c r="K2261" s="70" t="n">
        <f aca="false">IF(ISTEXT(H2261),VALUE(H2261),H2261)*I2261</f>
        <v>37346.94</v>
      </c>
    </row>
    <row r="2262" customFormat="false" ht="15" hidden="false" customHeight="false" outlineLevel="0" collapsed="false">
      <c r="A2262" s="0" t="n">
        <v>674</v>
      </c>
      <c r="B2262" s="68" t="n">
        <v>45494</v>
      </c>
      <c r="C2262" s="69" t="s">
        <v>136</v>
      </c>
      <c r="D2262" s="69" t="s">
        <v>137</v>
      </c>
      <c r="E2262" s="69" t="s">
        <v>119</v>
      </c>
      <c r="F2262" s="69" t="s">
        <v>162</v>
      </c>
      <c r="G2262" s="69" t="s">
        <v>50</v>
      </c>
      <c r="H2262" s="0" t="n">
        <v>6</v>
      </c>
      <c r="I2262" s="70" t="n">
        <v>117.6</v>
      </c>
      <c r="J2262" s="70" t="n">
        <v>63.6</v>
      </c>
      <c r="K2262" s="70" t="n">
        <f aca="false">IF(ISTEXT(H2262),VALUE(H2262),H2262)*I2262</f>
        <v>705.6</v>
      </c>
    </row>
    <row r="2263" customFormat="false" ht="15" hidden="false" customHeight="false" outlineLevel="0" collapsed="false">
      <c r="A2263" s="0" t="n">
        <v>1127</v>
      </c>
      <c r="B2263" s="68" t="n">
        <v>45632</v>
      </c>
      <c r="C2263" s="69" t="s">
        <v>27</v>
      </c>
      <c r="D2263" s="69"/>
      <c r="E2263" s="69" t="s">
        <v>138</v>
      </c>
      <c r="F2263" s="69" t="s">
        <v>99</v>
      </c>
      <c r="G2263" s="69" t="s">
        <v>47</v>
      </c>
      <c r="H2263" s="0" t="n">
        <v>92</v>
      </c>
      <c r="I2263" s="70" t="n">
        <v>27.44</v>
      </c>
      <c r="J2263" s="70" t="n">
        <v>13.44</v>
      </c>
      <c r="K2263" s="70" t="n">
        <f aca="false">IF(ISTEXT(H2263),VALUE(H2263),H2263)*I2263</f>
        <v>2524.48</v>
      </c>
    </row>
    <row r="2264" customFormat="false" ht="15" hidden="false" customHeight="false" outlineLevel="0" collapsed="false">
      <c r="A2264" s="0" t="n">
        <v>2310</v>
      </c>
      <c r="B2264" s="68" t="n">
        <v>46016</v>
      </c>
      <c r="C2264" s="69" t="s">
        <v>150</v>
      </c>
      <c r="D2264" s="69" t="s">
        <v>97</v>
      </c>
      <c r="E2264" s="69" t="s">
        <v>180</v>
      </c>
      <c r="F2264" s="69" t="s">
        <v>102</v>
      </c>
      <c r="G2264" s="69" t="s">
        <v>235</v>
      </c>
      <c r="H2264" s="0" t="n">
        <v>103</v>
      </c>
      <c r="I2264" s="70" t="n">
        <v>95.38</v>
      </c>
      <c r="J2264" s="70" t="n">
        <v>49.41</v>
      </c>
      <c r="K2264" s="70" t="n">
        <f aca="false">IF(ISTEXT(H2264),VALUE(H2264),H2264)*I2264</f>
        <v>9824.14</v>
      </c>
    </row>
    <row r="2265" customFormat="false" ht="15" hidden="false" customHeight="false" outlineLevel="0" collapsed="false">
      <c r="A2265" s="0" t="n">
        <v>1614</v>
      </c>
      <c r="B2265" s="69" t="s">
        <v>165</v>
      </c>
      <c r="C2265" s="69" t="s">
        <v>170</v>
      </c>
      <c r="D2265" s="69" t="s">
        <v>97</v>
      </c>
      <c r="E2265" s="69" t="s">
        <v>119</v>
      </c>
      <c r="F2265" s="69" t="s">
        <v>31</v>
      </c>
      <c r="G2265" s="69" t="s">
        <v>156</v>
      </c>
      <c r="H2265" s="0" t="n">
        <v>25</v>
      </c>
      <c r="I2265" s="70" t="n">
        <v>119.23</v>
      </c>
      <c r="J2265" s="70" t="n">
        <v>65.51</v>
      </c>
      <c r="K2265" s="70" t="n">
        <f aca="false">IF(ISTEXT(H2265),VALUE(H2265),H2265)*I2265</f>
        <v>2980.75</v>
      </c>
    </row>
    <row r="2266" customFormat="false" ht="15" hidden="false" customHeight="false" outlineLevel="0" collapsed="false">
      <c r="A2266" s="0" t="n">
        <v>2054</v>
      </c>
      <c r="B2266" s="68" t="n">
        <v>45915</v>
      </c>
      <c r="C2266" s="69" t="s">
        <v>152</v>
      </c>
      <c r="D2266" s="69" t="s">
        <v>109</v>
      </c>
      <c r="E2266" s="69" t="s">
        <v>119</v>
      </c>
      <c r="F2266" s="69" t="s">
        <v>162</v>
      </c>
      <c r="G2266" s="69" t="s">
        <v>171</v>
      </c>
      <c r="H2266" s="0" t="n">
        <v>15</v>
      </c>
      <c r="I2266" s="70" t="n">
        <v>120.47</v>
      </c>
      <c r="J2266" s="70" t="n">
        <v>65.51</v>
      </c>
      <c r="K2266" s="70" t="n">
        <f aca="false">IF(ISTEXT(H2266),VALUE(H2266),H2266)*I2266</f>
        <v>1807.05</v>
      </c>
    </row>
    <row r="2267" customFormat="false" ht="15" hidden="false" customHeight="false" outlineLevel="0" collapsed="false">
      <c r="A2267" s="0" t="n">
        <v>2346</v>
      </c>
      <c r="B2267" s="68" t="n">
        <v>45998</v>
      </c>
      <c r="C2267" s="69" t="s">
        <v>30</v>
      </c>
      <c r="D2267" s="69"/>
      <c r="E2267" s="69" t="s">
        <v>87</v>
      </c>
      <c r="F2267" s="69" t="s">
        <v>135</v>
      </c>
      <c r="G2267" s="69" t="s">
        <v>45</v>
      </c>
      <c r="H2267" s="0" t="n">
        <v>8</v>
      </c>
      <c r="I2267" s="70" t="n">
        <v>1656.52</v>
      </c>
      <c r="J2267" s="70" t="n">
        <v>1155.66</v>
      </c>
      <c r="K2267" s="70" t="n">
        <f aca="false">IF(ISTEXT(H2267),VALUE(H2267),H2267)*I2267</f>
        <v>13252.16</v>
      </c>
    </row>
    <row r="2268" customFormat="false" ht="15" hidden="false" customHeight="false" outlineLevel="0" collapsed="false">
      <c r="A2268" s="0" t="n">
        <v>1478</v>
      </c>
      <c r="B2268" s="68" t="n">
        <v>45722</v>
      </c>
      <c r="C2268" s="69" t="s">
        <v>184</v>
      </c>
      <c r="D2268" s="69" t="s">
        <v>137</v>
      </c>
      <c r="E2268" s="69" t="s">
        <v>180</v>
      </c>
      <c r="F2268" s="69" t="s">
        <v>33</v>
      </c>
      <c r="G2268" s="69" t="s">
        <v>52</v>
      </c>
      <c r="H2268" s="0" t="n">
        <v>10</v>
      </c>
      <c r="I2268" s="70" t="n">
        <v>129.17</v>
      </c>
      <c r="J2268" s="70" t="n">
        <v>78.33</v>
      </c>
      <c r="K2268" s="70" t="n">
        <f aca="false">IF(ISTEXT(H2268),VALUE(H2268),H2268)*I2268</f>
        <v>1291.7</v>
      </c>
    </row>
    <row r="2269" customFormat="false" ht="15" hidden="false" customHeight="false" outlineLevel="0" collapsed="false">
      <c r="A2269" s="0" t="n">
        <v>1177</v>
      </c>
      <c r="B2269" s="69" t="s">
        <v>825</v>
      </c>
      <c r="C2269" s="69" t="s">
        <v>193</v>
      </c>
      <c r="D2269" s="69" t="s">
        <v>137</v>
      </c>
      <c r="E2269" s="69" t="s">
        <v>101</v>
      </c>
      <c r="F2269" s="69" t="s">
        <v>183</v>
      </c>
      <c r="G2269" s="69" t="s">
        <v>130</v>
      </c>
      <c r="H2269" s="0" t="n">
        <v>30</v>
      </c>
      <c r="I2269" s="70" t="n">
        <v>127.4</v>
      </c>
      <c r="J2269" s="70" t="n">
        <v>76.05</v>
      </c>
      <c r="K2269" s="70" t="n">
        <f aca="false">IF(ISTEXT(H2269),VALUE(H2269),H2269)*I2269</f>
        <v>3822</v>
      </c>
    </row>
    <row r="2270" customFormat="false" ht="15" hidden="false" customHeight="false" outlineLevel="0" collapsed="false">
      <c r="A2270" s="0" t="n">
        <v>2275</v>
      </c>
      <c r="B2270" s="68" t="n">
        <v>45984</v>
      </c>
      <c r="C2270" s="69" t="s">
        <v>32</v>
      </c>
      <c r="D2270" s="69" t="s">
        <v>137</v>
      </c>
      <c r="E2270" s="69" t="s">
        <v>134</v>
      </c>
      <c r="F2270" s="69" t="s">
        <v>162</v>
      </c>
      <c r="G2270" s="69" t="s">
        <v>111</v>
      </c>
      <c r="H2270" s="0" t="n">
        <v>18</v>
      </c>
      <c r="I2270" s="70" t="n">
        <v>85.34</v>
      </c>
      <c r="J2270" s="70" t="n">
        <v>49.47</v>
      </c>
      <c r="K2270" s="70" t="n">
        <f aca="false">IF(ISTEXT(H2270),VALUE(H2270),H2270)*I2270</f>
        <v>1536.12</v>
      </c>
    </row>
    <row r="2271" customFormat="false" ht="15" hidden="false" customHeight="false" outlineLevel="0" collapsed="false">
      <c r="A2271" s="0" t="n">
        <v>558</v>
      </c>
      <c r="B2271" s="68" t="n">
        <v>45462</v>
      </c>
      <c r="C2271" s="69" t="s">
        <v>118</v>
      </c>
      <c r="D2271" s="69" t="s">
        <v>109</v>
      </c>
      <c r="E2271" s="69" t="s">
        <v>98</v>
      </c>
      <c r="F2271" s="69" t="s">
        <v>33</v>
      </c>
      <c r="G2271" s="69" t="s">
        <v>127</v>
      </c>
      <c r="H2271" s="0" t="n">
        <v>10</v>
      </c>
      <c r="I2271" s="70" t="n">
        <v>127.4</v>
      </c>
      <c r="J2271" s="70" t="n">
        <v>76.05</v>
      </c>
      <c r="K2271" s="70" t="n">
        <f aca="false">IF(ISTEXT(H2271),VALUE(H2271),H2271)*I2271</f>
        <v>1274</v>
      </c>
    </row>
    <row r="2272" customFormat="false" ht="15" hidden="false" customHeight="false" outlineLevel="0" collapsed="false">
      <c r="A2272" s="0" t="n">
        <v>128</v>
      </c>
      <c r="B2272" s="68" t="n">
        <v>45328</v>
      </c>
      <c r="C2272" s="69" t="s">
        <v>159</v>
      </c>
      <c r="D2272" s="69" t="s">
        <v>86</v>
      </c>
      <c r="E2272" s="69" t="s">
        <v>98</v>
      </c>
      <c r="F2272" s="69" t="s">
        <v>102</v>
      </c>
      <c r="G2272" s="69" t="s">
        <v>47</v>
      </c>
      <c r="H2272" s="0" t="n">
        <v>16</v>
      </c>
      <c r="I2272" s="70" t="n">
        <v>27.44</v>
      </c>
      <c r="J2272" s="70" t="n">
        <v>13.44</v>
      </c>
      <c r="K2272" s="70" t="n">
        <f aca="false">IF(ISTEXT(H2272),VALUE(H2272),H2272)*I2272</f>
        <v>439.04</v>
      </c>
    </row>
    <row r="2273" customFormat="false" ht="15" hidden="false" customHeight="false" outlineLevel="0" collapsed="false">
      <c r="A2273" s="0" t="n">
        <v>378</v>
      </c>
      <c r="B2273" s="68" t="n">
        <v>45383</v>
      </c>
      <c r="C2273" s="69" t="s">
        <v>193</v>
      </c>
      <c r="D2273" s="69" t="s">
        <v>137</v>
      </c>
      <c r="E2273" s="69" t="s">
        <v>87</v>
      </c>
      <c r="F2273" s="69" t="s">
        <v>33</v>
      </c>
      <c r="G2273" s="69" t="s">
        <v>127</v>
      </c>
      <c r="H2273" s="0" t="n">
        <v>6</v>
      </c>
      <c r="I2273" s="70" t="n">
        <v>127.4</v>
      </c>
      <c r="J2273" s="70" t="n">
        <v>76.05</v>
      </c>
      <c r="K2273" s="70" t="n">
        <f aca="false">IF(ISTEXT(H2273),VALUE(H2273),H2273)*I2273</f>
        <v>764.4</v>
      </c>
    </row>
    <row r="2274" customFormat="false" ht="15" hidden="false" customHeight="false" outlineLevel="0" collapsed="false">
      <c r="A2274" s="0" t="n">
        <v>43</v>
      </c>
      <c r="B2274" s="68" t="n">
        <v>45296</v>
      </c>
      <c r="C2274" s="69" t="s">
        <v>118</v>
      </c>
      <c r="D2274" s="69" t="s">
        <v>109</v>
      </c>
      <c r="E2274" s="69" t="s">
        <v>101</v>
      </c>
      <c r="F2274" s="69" t="s">
        <v>135</v>
      </c>
      <c r="G2274" s="69" t="s">
        <v>177</v>
      </c>
      <c r="H2274" s="0" t="n">
        <v>7</v>
      </c>
      <c r="I2274" s="70" t="n">
        <v>441</v>
      </c>
      <c r="J2274" s="70" t="n">
        <v>272.25</v>
      </c>
      <c r="K2274" s="70" t="n">
        <f aca="false">IF(ISTEXT(H2274),VALUE(H2274),H2274)*I2274</f>
        <v>3087</v>
      </c>
    </row>
    <row r="2275" customFormat="false" ht="15" hidden="false" customHeight="false" outlineLevel="0" collapsed="false">
      <c r="A2275" s="0" t="n">
        <v>2145</v>
      </c>
      <c r="B2275" s="68" t="n">
        <v>45934</v>
      </c>
      <c r="C2275" s="69" t="s">
        <v>108</v>
      </c>
      <c r="D2275" s="69" t="s">
        <v>109</v>
      </c>
      <c r="E2275" s="69" t="s">
        <v>138</v>
      </c>
      <c r="F2275" s="69" t="s">
        <v>135</v>
      </c>
      <c r="G2275" s="69" t="s">
        <v>157</v>
      </c>
      <c r="H2275" s="0" t="n">
        <v>8</v>
      </c>
      <c r="I2275" s="70" t="n">
        <v>1656.52</v>
      </c>
      <c r="J2275" s="70" t="n">
        <v>1155.66</v>
      </c>
      <c r="K2275" s="70" t="n">
        <f aca="false">IF(ISTEXT(H2275),VALUE(H2275),H2275)*I2275</f>
        <v>13252.16</v>
      </c>
    </row>
    <row r="2276" customFormat="false" ht="15" hidden="false" customHeight="false" outlineLevel="0" collapsed="false">
      <c r="A2276" s="0" t="n">
        <v>1480</v>
      </c>
      <c r="B2276" s="68" t="n">
        <v>45736</v>
      </c>
      <c r="C2276" s="69" t="s">
        <v>32</v>
      </c>
      <c r="D2276" s="69" t="s">
        <v>137</v>
      </c>
      <c r="E2276" s="69" t="s">
        <v>107</v>
      </c>
      <c r="F2276" s="69" t="s">
        <v>33</v>
      </c>
      <c r="G2276" s="69" t="s">
        <v>94</v>
      </c>
      <c r="H2276" s="0" t="n">
        <v>10</v>
      </c>
      <c r="I2276" s="70" t="n">
        <v>34.78</v>
      </c>
      <c r="J2276" s="70" t="n">
        <v>18.39</v>
      </c>
      <c r="K2276" s="70" t="n">
        <f aca="false">IF(ISTEXT(H2276),VALUE(H2276),H2276)*I2276</f>
        <v>347.8</v>
      </c>
    </row>
    <row r="2277" customFormat="false" ht="15" hidden="false" customHeight="false" outlineLevel="0" collapsed="false">
      <c r="A2277" s="0" t="n">
        <v>2082</v>
      </c>
      <c r="B2277" s="68" t="n">
        <v>45922</v>
      </c>
      <c r="C2277" s="69" t="s">
        <v>161</v>
      </c>
      <c r="D2277" s="69" t="s">
        <v>112</v>
      </c>
      <c r="E2277" s="69" t="s">
        <v>107</v>
      </c>
      <c r="F2277" s="69" t="s">
        <v>153</v>
      </c>
      <c r="G2277" s="69" t="s">
        <v>41</v>
      </c>
      <c r="H2277" s="0" t="n">
        <v>4</v>
      </c>
      <c r="I2277" s="70" t="n">
        <v>1204.74</v>
      </c>
      <c r="J2277" s="70" t="n">
        <v>766.32</v>
      </c>
      <c r="K2277" s="70" t="n">
        <f aca="false">IF(ISTEXT(H2277),VALUE(H2277),H2277)*I2277</f>
        <v>4818.96</v>
      </c>
    </row>
    <row r="2278" customFormat="false" ht="15" hidden="false" customHeight="false" outlineLevel="0" collapsed="false">
      <c r="A2278" s="0" t="n">
        <v>1702</v>
      </c>
      <c r="B2278" s="69" t="s">
        <v>826</v>
      </c>
      <c r="C2278" s="69" t="s">
        <v>170</v>
      </c>
      <c r="D2278" s="69" t="s">
        <v>97</v>
      </c>
      <c r="E2278" s="69" t="s">
        <v>98</v>
      </c>
      <c r="F2278" s="69" t="s">
        <v>26</v>
      </c>
      <c r="G2278" s="69" t="s">
        <v>41</v>
      </c>
      <c r="H2278" s="0" t="s">
        <v>175</v>
      </c>
      <c r="I2278" s="70" t="n">
        <v>1155.06</v>
      </c>
      <c r="J2278" s="70" t="n">
        <v>766.32</v>
      </c>
      <c r="K2278" s="70" t="n">
        <f aca="false">IF(ISTEXT(H2278),VALUE(H2278),H2278)*I2278</f>
        <v>17325.9</v>
      </c>
    </row>
    <row r="2279" customFormat="false" ht="15" hidden="false" customHeight="false" outlineLevel="0" collapsed="false">
      <c r="A2279" s="0" t="n">
        <v>1167</v>
      </c>
      <c r="B2279" s="68" t="n">
        <v>45642</v>
      </c>
      <c r="C2279" s="69" t="s">
        <v>184</v>
      </c>
      <c r="D2279" s="69" t="s">
        <v>137</v>
      </c>
      <c r="E2279" s="69" t="s">
        <v>92</v>
      </c>
      <c r="F2279" s="69" t="s">
        <v>28</v>
      </c>
      <c r="G2279" s="69" t="s">
        <v>103</v>
      </c>
      <c r="H2279" s="0" t="s">
        <v>549</v>
      </c>
      <c r="I2279" s="70" t="n">
        <v>27.44</v>
      </c>
      <c r="J2279" s="70" t="n">
        <v>13.44</v>
      </c>
      <c r="K2279" s="70" t="n">
        <f aca="false">IF(ISTEXT(H2279),VALUE(H2279),H2279)*I2279</f>
        <v>1344.56</v>
      </c>
    </row>
    <row r="2280" customFormat="false" ht="15" hidden="false" customHeight="false" outlineLevel="0" collapsed="false">
      <c r="A2280" s="0" t="n">
        <v>2021</v>
      </c>
      <c r="B2280" s="68" t="n">
        <v>45927</v>
      </c>
      <c r="C2280" s="69" t="s">
        <v>91</v>
      </c>
      <c r="D2280" s="69" t="s">
        <v>86</v>
      </c>
      <c r="E2280" s="69" t="s">
        <v>101</v>
      </c>
      <c r="F2280" s="69" t="s">
        <v>139</v>
      </c>
      <c r="G2280" s="69" t="s">
        <v>41</v>
      </c>
      <c r="H2280" s="0" t="n">
        <v>12</v>
      </c>
      <c r="I2280" s="70" t="n">
        <v>1204.74</v>
      </c>
      <c r="J2280" s="70" t="n">
        <v>766.32</v>
      </c>
      <c r="K2280" s="70" t="n">
        <f aca="false">IF(ISTEXT(H2280),VALUE(H2280),H2280)*I2280</f>
        <v>14456.88</v>
      </c>
    </row>
    <row r="2281" customFormat="false" ht="15" hidden="false" customHeight="false" outlineLevel="0" collapsed="false">
      <c r="A2281" s="0" t="n">
        <v>118</v>
      </c>
      <c r="B2281" s="69" t="s">
        <v>393</v>
      </c>
      <c r="C2281" s="69" t="s">
        <v>25</v>
      </c>
      <c r="D2281" s="69" t="s">
        <v>97</v>
      </c>
      <c r="E2281" s="69" t="s">
        <v>87</v>
      </c>
      <c r="F2281" s="69" t="s">
        <v>182</v>
      </c>
      <c r="G2281" s="69" t="s">
        <v>52</v>
      </c>
      <c r="H2281" s="0" t="n">
        <v>19</v>
      </c>
      <c r="I2281" s="70" t="n">
        <v>127.4</v>
      </c>
      <c r="J2281" s="70" t="n">
        <v>76.05</v>
      </c>
      <c r="K2281" s="70" t="n">
        <f aca="false">IF(ISTEXT(H2281),VALUE(H2281),H2281)*I2281</f>
        <v>2420.6</v>
      </c>
    </row>
    <row r="2282" customFormat="false" ht="15" hidden="false" customHeight="false" outlineLevel="0" collapsed="false">
      <c r="A2282" s="0" t="n">
        <v>1784</v>
      </c>
      <c r="B2282" s="68" t="n">
        <v>45823</v>
      </c>
      <c r="C2282" s="69" t="s">
        <v>161</v>
      </c>
      <c r="D2282" s="69"/>
      <c r="E2282" s="69" t="s">
        <v>87</v>
      </c>
      <c r="F2282" s="69" t="s">
        <v>88</v>
      </c>
      <c r="G2282" s="69" t="s">
        <v>177</v>
      </c>
      <c r="H2282" s="0" t="n">
        <v>4</v>
      </c>
      <c r="I2282" s="70" t="n">
        <v>433.15</v>
      </c>
      <c r="J2282" s="70" t="n">
        <v>280.42</v>
      </c>
      <c r="K2282" s="70" t="n">
        <f aca="false">IF(ISTEXT(H2282),VALUE(H2282),H2282)*I2282</f>
        <v>1732.6</v>
      </c>
    </row>
    <row r="2283" customFormat="false" ht="15" hidden="false" customHeight="false" outlineLevel="0" collapsed="false">
      <c r="A2283" s="0" t="n">
        <v>1490</v>
      </c>
      <c r="B2283" s="68" t="n">
        <v>45725</v>
      </c>
      <c r="C2283" s="69" t="s">
        <v>34</v>
      </c>
      <c r="D2283" s="69" t="s">
        <v>112</v>
      </c>
      <c r="E2283" s="69" t="s">
        <v>107</v>
      </c>
      <c r="F2283" s="69" t="s">
        <v>28</v>
      </c>
      <c r="G2283" s="69" t="s">
        <v>172</v>
      </c>
      <c r="H2283" s="0" t="n">
        <v>19</v>
      </c>
      <c r="I2283" s="70" t="n">
        <v>94.39</v>
      </c>
      <c r="J2283" s="70" t="n">
        <v>49.41</v>
      </c>
      <c r="K2283" s="70" t="n">
        <f aca="false">IF(ISTEXT(H2283),VALUE(H2283),H2283)*I2283</f>
        <v>1793.41</v>
      </c>
    </row>
    <row r="2284" customFormat="false" ht="15" hidden="false" customHeight="false" outlineLevel="0" collapsed="false">
      <c r="A2284" s="0" t="n">
        <v>344</v>
      </c>
      <c r="B2284" s="68" t="n">
        <v>45388</v>
      </c>
      <c r="C2284" s="69" t="s">
        <v>152</v>
      </c>
      <c r="D2284" s="69" t="s">
        <v>109</v>
      </c>
      <c r="E2284" s="69" t="s">
        <v>87</v>
      </c>
      <c r="F2284" s="69" t="s">
        <v>135</v>
      </c>
      <c r="G2284" s="69" t="s">
        <v>177</v>
      </c>
      <c r="H2284" s="0" t="n">
        <v>4</v>
      </c>
      <c r="I2284" s="70" t="n">
        <v>441</v>
      </c>
      <c r="J2284" s="70" t="n">
        <v>272.25</v>
      </c>
      <c r="K2284" s="70" t="n">
        <f aca="false">IF(ISTEXT(H2284),VALUE(H2284),H2284)*I2284</f>
        <v>1764</v>
      </c>
    </row>
    <row r="2285" customFormat="false" ht="15" hidden="false" customHeight="false" outlineLevel="0" collapsed="false">
      <c r="A2285" s="0" t="n">
        <v>2089</v>
      </c>
      <c r="B2285" s="69" t="s">
        <v>827</v>
      </c>
      <c r="C2285" s="69" t="s">
        <v>142</v>
      </c>
      <c r="D2285" s="69" t="s">
        <v>112</v>
      </c>
      <c r="E2285" s="69" t="s">
        <v>121</v>
      </c>
      <c r="F2285" s="69" t="s">
        <v>155</v>
      </c>
      <c r="G2285" s="69" t="s">
        <v>48</v>
      </c>
      <c r="H2285" s="0" t="n">
        <v>26</v>
      </c>
      <c r="I2285" s="70" t="n">
        <v>95.38</v>
      </c>
      <c r="J2285" s="70" t="n">
        <v>49.41</v>
      </c>
      <c r="K2285" s="70" t="n">
        <f aca="false">IF(ISTEXT(H2285),VALUE(H2285),H2285)*I2285</f>
        <v>2479.88</v>
      </c>
    </row>
    <row r="2286" customFormat="false" ht="15" hidden="false" customHeight="false" outlineLevel="0" collapsed="false">
      <c r="A2286" s="0" t="n">
        <v>1317</v>
      </c>
      <c r="B2286" s="69" t="s">
        <v>732</v>
      </c>
      <c r="C2286" s="69" t="s">
        <v>150</v>
      </c>
      <c r="D2286" s="69"/>
      <c r="E2286" s="69" t="s">
        <v>121</v>
      </c>
      <c r="F2286" s="69" t="s">
        <v>93</v>
      </c>
      <c r="G2286" s="69" t="s">
        <v>52</v>
      </c>
      <c r="H2286" s="0" t="n">
        <v>40</v>
      </c>
      <c r="I2286" s="70" t="n">
        <v>129.17</v>
      </c>
      <c r="J2286" s="70" t="n">
        <v>78.33</v>
      </c>
      <c r="K2286" s="70" t="n">
        <f aca="false">IF(ISTEXT(H2286),VALUE(H2286),H2286)*I2286</f>
        <v>5166.8</v>
      </c>
    </row>
    <row r="2287" customFormat="false" ht="15" hidden="false" customHeight="false" outlineLevel="0" collapsed="false">
      <c r="A2287" s="0" t="n">
        <v>474</v>
      </c>
      <c r="B2287" s="68" t="n">
        <v>45437</v>
      </c>
      <c r="C2287" s="69" t="s">
        <v>193</v>
      </c>
      <c r="D2287" s="69" t="s">
        <v>137</v>
      </c>
      <c r="E2287" s="69" t="s">
        <v>125</v>
      </c>
      <c r="F2287" s="69" t="s">
        <v>162</v>
      </c>
      <c r="G2287" s="69" t="s">
        <v>171</v>
      </c>
      <c r="H2287" s="0" t="n">
        <v>5</v>
      </c>
      <c r="I2287" s="70" t="n">
        <v>117.6</v>
      </c>
      <c r="J2287" s="70" t="n">
        <v>63.6</v>
      </c>
      <c r="K2287" s="70" t="n">
        <f aca="false">IF(ISTEXT(H2287),VALUE(H2287),H2287)*I2287</f>
        <v>588</v>
      </c>
    </row>
    <row r="2288" customFormat="false" ht="15" hidden="false" customHeight="false" outlineLevel="0" collapsed="false">
      <c r="A2288" s="0" t="n">
        <v>2105</v>
      </c>
      <c r="B2288" s="68" t="n">
        <v>45951</v>
      </c>
      <c r="C2288" s="69" t="s">
        <v>96</v>
      </c>
      <c r="D2288" s="69" t="s">
        <v>97</v>
      </c>
      <c r="E2288" s="69" t="s">
        <v>121</v>
      </c>
      <c r="F2288" s="69" t="s">
        <v>135</v>
      </c>
      <c r="G2288" s="69" t="s">
        <v>157</v>
      </c>
      <c r="H2288" s="0" t="n">
        <v>25</v>
      </c>
      <c r="I2288" s="70" t="n">
        <v>1656.52</v>
      </c>
      <c r="J2288" s="70" t="n">
        <v>1155.66</v>
      </c>
      <c r="K2288" s="70" t="n">
        <f aca="false">IF(ISTEXT(H2288),VALUE(H2288),H2288)*I2288</f>
        <v>41413</v>
      </c>
    </row>
    <row r="2289" customFormat="false" ht="15" hidden="false" customHeight="false" outlineLevel="0" collapsed="false">
      <c r="A2289" s="0" t="n">
        <v>314</v>
      </c>
      <c r="B2289" s="68" t="n">
        <v>45394</v>
      </c>
      <c r="C2289" s="69" t="s">
        <v>124</v>
      </c>
      <c r="D2289" s="69" t="s">
        <v>97</v>
      </c>
      <c r="E2289" s="69" t="s">
        <v>180</v>
      </c>
      <c r="F2289" s="69" t="s">
        <v>162</v>
      </c>
      <c r="G2289" s="69" t="s">
        <v>171</v>
      </c>
      <c r="H2289" s="0" t="n">
        <v>18</v>
      </c>
      <c r="I2289" s="70" t="n">
        <v>117.6</v>
      </c>
      <c r="J2289" s="70" t="n">
        <v>63.6</v>
      </c>
      <c r="K2289" s="70" t="n">
        <f aca="false">IF(ISTEXT(H2289),VALUE(H2289),H2289)*I2289</f>
        <v>2116.8</v>
      </c>
    </row>
    <row r="2290" customFormat="false" ht="15" hidden="false" customHeight="false" outlineLevel="0" collapsed="false">
      <c r="A2290" s="0" t="n">
        <v>992</v>
      </c>
      <c r="B2290" s="69" t="s">
        <v>828</v>
      </c>
      <c r="C2290" s="69" t="s">
        <v>161</v>
      </c>
      <c r="D2290" s="69" t="s">
        <v>112</v>
      </c>
      <c r="E2290" s="69" t="s">
        <v>180</v>
      </c>
      <c r="F2290" s="69" t="s">
        <v>143</v>
      </c>
      <c r="G2290" s="69" t="s">
        <v>144</v>
      </c>
      <c r="H2290" s="0" t="s">
        <v>260</v>
      </c>
      <c r="I2290" s="70" t="n">
        <v>63.7</v>
      </c>
      <c r="J2290" s="70" t="n">
        <v>35.43</v>
      </c>
      <c r="K2290" s="70" t="n">
        <f aca="false">IF(ISTEXT(H2290),VALUE(H2290),H2290)*I2290</f>
        <v>891.8</v>
      </c>
    </row>
    <row r="2291" customFormat="false" ht="15" hidden="false" customHeight="false" outlineLevel="0" collapsed="false">
      <c r="A2291" s="0" t="n">
        <v>2255</v>
      </c>
      <c r="B2291" s="68" t="n">
        <v>45979</v>
      </c>
      <c r="C2291" s="69" t="s">
        <v>118</v>
      </c>
      <c r="D2291" s="69" t="s">
        <v>109</v>
      </c>
      <c r="E2291" s="69" t="s">
        <v>101</v>
      </c>
      <c r="F2291" s="69" t="s">
        <v>115</v>
      </c>
      <c r="G2291" s="69" t="s">
        <v>51</v>
      </c>
      <c r="H2291" s="0" t="n">
        <v>21</v>
      </c>
      <c r="I2291" s="70" t="n">
        <v>85.34</v>
      </c>
      <c r="J2291" s="70" t="n">
        <v>49.47</v>
      </c>
      <c r="K2291" s="70" t="n">
        <f aca="false">IF(ISTEXT(H2291),VALUE(H2291),H2291)*I2291</f>
        <v>1792.14</v>
      </c>
    </row>
    <row r="2292" customFormat="false" ht="15" hidden="false" customHeight="false" outlineLevel="0" collapsed="false">
      <c r="A2292" s="0" t="n">
        <v>2228</v>
      </c>
      <c r="B2292" s="68" t="n">
        <v>45979</v>
      </c>
      <c r="C2292" s="69" t="s">
        <v>91</v>
      </c>
      <c r="D2292" s="69"/>
      <c r="E2292" s="69" t="s">
        <v>125</v>
      </c>
      <c r="F2292" s="69" t="s">
        <v>99</v>
      </c>
      <c r="G2292" s="69" t="s">
        <v>113</v>
      </c>
      <c r="H2292" s="0" t="n">
        <v>49</v>
      </c>
      <c r="I2292" s="70" t="n">
        <v>28.11</v>
      </c>
      <c r="J2292" s="70" t="n">
        <v>13.84</v>
      </c>
      <c r="K2292" s="70" t="n">
        <f aca="false">IF(ISTEXT(H2292),VALUE(H2292),H2292)*I2292</f>
        <v>1377.39</v>
      </c>
    </row>
    <row r="2293" customFormat="false" ht="15" hidden="false" customHeight="false" outlineLevel="0" collapsed="false">
      <c r="A2293" s="0" t="n">
        <v>1079</v>
      </c>
      <c r="B2293" s="68" t="n">
        <v>45617</v>
      </c>
      <c r="C2293" s="69" t="s">
        <v>184</v>
      </c>
      <c r="D2293" s="69" t="s">
        <v>137</v>
      </c>
      <c r="E2293" s="69" t="s">
        <v>121</v>
      </c>
      <c r="F2293" s="69" t="s">
        <v>93</v>
      </c>
      <c r="G2293" s="69" t="s">
        <v>217</v>
      </c>
      <c r="H2293" s="0" t="n">
        <v>20</v>
      </c>
      <c r="I2293" s="70" t="n">
        <v>34.3</v>
      </c>
      <c r="J2293" s="70" t="n">
        <v>17.85</v>
      </c>
      <c r="K2293" s="70" t="n">
        <f aca="false">IF(ISTEXT(H2293),VALUE(H2293),H2293)*I2293</f>
        <v>686</v>
      </c>
    </row>
    <row r="2294" customFormat="false" ht="15" hidden="false" customHeight="false" outlineLevel="0" collapsed="false">
      <c r="A2294" s="0" t="n">
        <v>1450</v>
      </c>
      <c r="B2294" s="68" t="n">
        <v>45742</v>
      </c>
      <c r="C2294" s="69" t="s">
        <v>108</v>
      </c>
      <c r="D2294" s="69" t="s">
        <v>109</v>
      </c>
      <c r="E2294" s="69" t="s">
        <v>125</v>
      </c>
      <c r="F2294" s="69" t="s">
        <v>102</v>
      </c>
      <c r="G2294" s="69" t="s">
        <v>172</v>
      </c>
      <c r="H2294" s="0" t="s">
        <v>218</v>
      </c>
      <c r="I2294" s="70" t="n">
        <v>94.39</v>
      </c>
      <c r="J2294" s="70" t="n">
        <v>49.41</v>
      </c>
      <c r="K2294" s="70" t="n">
        <f aca="false">IF(ISTEXT(H2294),VALUE(H2294),H2294)*I2294</f>
        <v>2642.92</v>
      </c>
    </row>
    <row r="2295" customFormat="false" ht="15" hidden="false" customHeight="false" outlineLevel="0" collapsed="false">
      <c r="A2295" s="0" t="n">
        <v>1547</v>
      </c>
      <c r="B2295" s="68" t="n">
        <v>45750</v>
      </c>
      <c r="C2295" s="69" t="s">
        <v>118</v>
      </c>
      <c r="D2295" s="69" t="s">
        <v>109</v>
      </c>
      <c r="E2295" s="69" t="s">
        <v>138</v>
      </c>
      <c r="F2295" s="69" t="s">
        <v>102</v>
      </c>
      <c r="G2295" s="69" t="s">
        <v>113</v>
      </c>
      <c r="H2295" s="0" t="n">
        <v>36</v>
      </c>
      <c r="I2295" s="70" t="n">
        <v>27.82</v>
      </c>
      <c r="J2295" s="70" t="n">
        <v>13.84</v>
      </c>
      <c r="K2295" s="70" t="n">
        <f aca="false">IF(ISTEXT(H2295),VALUE(H2295),H2295)*I2295</f>
        <v>1001.52</v>
      </c>
    </row>
    <row r="2296" customFormat="false" ht="15" hidden="false" customHeight="false" outlineLevel="0" collapsed="false">
      <c r="A2296" s="0" t="n">
        <v>1340</v>
      </c>
      <c r="B2296" s="68" t="n">
        <v>45700</v>
      </c>
      <c r="C2296" s="69" t="s">
        <v>120</v>
      </c>
      <c r="D2296" s="69" t="s">
        <v>86</v>
      </c>
      <c r="E2296" s="69" t="s">
        <v>87</v>
      </c>
      <c r="F2296" s="69" t="s">
        <v>168</v>
      </c>
      <c r="G2296" s="69" t="s">
        <v>217</v>
      </c>
      <c r="H2296" s="0" t="n">
        <v>17</v>
      </c>
      <c r="I2296" s="70" t="n">
        <v>34.78</v>
      </c>
      <c r="J2296" s="70" t="n">
        <v>18.39</v>
      </c>
      <c r="K2296" s="70" t="n">
        <f aca="false">IF(ISTEXT(H2296),VALUE(H2296),H2296)*I2296</f>
        <v>591.26</v>
      </c>
    </row>
    <row r="2297" customFormat="false" ht="15" hidden="false" customHeight="false" outlineLevel="0" collapsed="false">
      <c r="A2297" s="0" t="n">
        <v>1608</v>
      </c>
      <c r="B2297" s="69" t="s">
        <v>829</v>
      </c>
      <c r="C2297" s="69" t="s">
        <v>170</v>
      </c>
      <c r="D2297" s="69" t="s">
        <v>97</v>
      </c>
      <c r="E2297" s="69" t="s">
        <v>87</v>
      </c>
      <c r="F2297" s="69" t="s">
        <v>102</v>
      </c>
      <c r="G2297" s="69" t="s">
        <v>103</v>
      </c>
      <c r="H2297" s="0" t="n">
        <v>61</v>
      </c>
      <c r="I2297" s="70" t="n">
        <v>27.82</v>
      </c>
      <c r="J2297" s="70" t="n">
        <v>13.84</v>
      </c>
      <c r="K2297" s="70" t="n">
        <f aca="false">IF(ISTEXT(H2297),VALUE(H2297),H2297)*I2297</f>
        <v>1697.02</v>
      </c>
    </row>
    <row r="2298" customFormat="false" ht="15" hidden="false" customHeight="false" outlineLevel="0" collapsed="false">
      <c r="A2298" s="0" t="n">
        <v>274</v>
      </c>
      <c r="B2298" s="69" t="s">
        <v>475</v>
      </c>
      <c r="C2298" s="69" t="s">
        <v>136</v>
      </c>
      <c r="D2298" s="69" t="s">
        <v>137</v>
      </c>
      <c r="E2298" s="69" t="s">
        <v>180</v>
      </c>
      <c r="F2298" s="69" t="s">
        <v>31</v>
      </c>
      <c r="G2298" s="69" t="s">
        <v>171</v>
      </c>
      <c r="H2298" s="0" t="n">
        <v>5</v>
      </c>
      <c r="I2298" s="70" t="n">
        <v>117.6</v>
      </c>
      <c r="J2298" s="70" t="n">
        <v>63.6</v>
      </c>
      <c r="K2298" s="70" t="n">
        <f aca="false">IF(ISTEXT(H2298),VALUE(H2298),H2298)*I2298</f>
        <v>588</v>
      </c>
    </row>
    <row r="2299" customFormat="false" ht="15" hidden="false" customHeight="false" outlineLevel="0" collapsed="false">
      <c r="A2299" s="0" t="n">
        <v>1201</v>
      </c>
      <c r="B2299" s="68" t="n">
        <v>45668</v>
      </c>
      <c r="C2299" s="69" t="s">
        <v>25</v>
      </c>
      <c r="D2299" s="69" t="s">
        <v>97</v>
      </c>
      <c r="E2299" s="69" t="s">
        <v>121</v>
      </c>
      <c r="F2299" s="69" t="s">
        <v>88</v>
      </c>
      <c r="G2299" s="69" t="s">
        <v>41</v>
      </c>
      <c r="H2299" s="0" t="n">
        <v>19</v>
      </c>
      <c r="I2299" s="70" t="n">
        <v>1155.06</v>
      </c>
      <c r="J2299" s="70" t="n">
        <v>766.32</v>
      </c>
      <c r="K2299" s="70" t="n">
        <f aca="false">IF(ISTEXT(H2299),VALUE(H2299),H2299)*I2299</f>
        <v>21946.14</v>
      </c>
    </row>
    <row r="2300" customFormat="false" ht="15" hidden="false" customHeight="false" outlineLevel="0" collapsed="false">
      <c r="A2300" s="0" t="n">
        <v>2176</v>
      </c>
      <c r="B2300" s="69" t="s">
        <v>830</v>
      </c>
      <c r="C2300" s="69" t="s">
        <v>184</v>
      </c>
      <c r="D2300" s="69" t="s">
        <v>137</v>
      </c>
      <c r="E2300" s="69" t="s">
        <v>119</v>
      </c>
      <c r="F2300" s="69" t="s">
        <v>162</v>
      </c>
      <c r="G2300" s="69" t="s">
        <v>51</v>
      </c>
      <c r="H2300" s="0" t="n">
        <v>9</v>
      </c>
      <c r="I2300" s="70" t="n">
        <v>85.34</v>
      </c>
      <c r="J2300" s="70" t="n">
        <v>49.47</v>
      </c>
      <c r="K2300" s="70" t="n">
        <f aca="false">IF(ISTEXT(H2300),VALUE(H2300),H2300)*I2300</f>
        <v>768.06</v>
      </c>
    </row>
    <row r="2301" customFormat="false" ht="15" hidden="false" customHeight="false" outlineLevel="0" collapsed="false">
      <c r="A2301" s="0" t="n">
        <v>2093</v>
      </c>
      <c r="B2301" s="69" t="s">
        <v>615</v>
      </c>
      <c r="C2301" s="69" t="s">
        <v>142</v>
      </c>
      <c r="D2301" s="69" t="s">
        <v>112</v>
      </c>
      <c r="E2301" s="69" t="s">
        <v>101</v>
      </c>
      <c r="F2301" s="69" t="s">
        <v>115</v>
      </c>
      <c r="G2301" s="69" t="s">
        <v>50</v>
      </c>
      <c r="H2301" s="0" t="n">
        <v>15</v>
      </c>
      <c r="I2301" s="70" t="n">
        <v>120.47</v>
      </c>
      <c r="J2301" s="70" t="n">
        <v>65.51</v>
      </c>
      <c r="K2301" s="70" t="n">
        <f aca="false">IF(ISTEXT(H2301),VALUE(H2301),H2301)*I2301</f>
        <v>1807.05</v>
      </c>
    </row>
    <row r="2302" customFormat="false" ht="15" hidden="false" customHeight="false" outlineLevel="0" collapsed="false">
      <c r="A2302" s="0" t="n">
        <v>2273</v>
      </c>
      <c r="B2302" s="69" t="s">
        <v>831</v>
      </c>
      <c r="C2302" s="69" t="s">
        <v>32</v>
      </c>
      <c r="D2302" s="69" t="s">
        <v>137</v>
      </c>
      <c r="E2302" s="69" t="s">
        <v>134</v>
      </c>
      <c r="F2302" s="69" t="s">
        <v>31</v>
      </c>
      <c r="G2302" s="69" t="s">
        <v>171</v>
      </c>
      <c r="H2302" s="0" t="n">
        <v>15</v>
      </c>
      <c r="I2302" s="70" t="n">
        <v>120.47</v>
      </c>
      <c r="J2302" s="70" t="n">
        <v>65.51</v>
      </c>
      <c r="K2302" s="70" t="n">
        <f aca="false">IF(ISTEXT(H2302),VALUE(H2302),H2302)*I2302</f>
        <v>1807.05</v>
      </c>
    </row>
    <row r="2303" customFormat="false" ht="15" hidden="false" customHeight="false" outlineLevel="0" collapsed="false">
      <c r="A2303" s="0" t="n">
        <v>139</v>
      </c>
      <c r="B2303" s="68" t="n">
        <v>45324</v>
      </c>
      <c r="C2303" s="69" t="s">
        <v>91</v>
      </c>
      <c r="D2303" s="69" t="s">
        <v>86</v>
      </c>
      <c r="E2303" s="69" t="s">
        <v>134</v>
      </c>
      <c r="F2303" s="69" t="s">
        <v>33</v>
      </c>
      <c r="G2303" s="69" t="s">
        <v>217</v>
      </c>
      <c r="H2303" s="0" t="n">
        <v>23</v>
      </c>
      <c r="I2303" s="70" t="n">
        <v>34.3</v>
      </c>
      <c r="J2303" s="70" t="n">
        <v>17.85</v>
      </c>
      <c r="K2303" s="70" t="n">
        <f aca="false">IF(ISTEXT(H2303),VALUE(H2303),H2303)*I2303</f>
        <v>788.9</v>
      </c>
    </row>
    <row r="2304" customFormat="false" ht="15" hidden="false" customHeight="false" outlineLevel="0" collapsed="false">
      <c r="A2304" s="0" t="n">
        <v>476</v>
      </c>
      <c r="B2304" s="68" t="n">
        <v>45424</v>
      </c>
      <c r="C2304" s="69" t="s">
        <v>32</v>
      </c>
      <c r="D2304" s="69" t="s">
        <v>137</v>
      </c>
      <c r="E2304" s="69" t="s">
        <v>119</v>
      </c>
      <c r="F2304" s="69" t="s">
        <v>162</v>
      </c>
      <c r="G2304" s="69" t="s">
        <v>116</v>
      </c>
      <c r="H2304" s="0" t="n">
        <v>5</v>
      </c>
      <c r="I2304" s="70" t="n">
        <v>83.3</v>
      </c>
      <c r="J2304" s="70" t="n">
        <v>48.03</v>
      </c>
      <c r="K2304" s="70" t="n">
        <f aca="false">IF(ISTEXT(H2304),VALUE(H2304),H2304)*I2304</f>
        <v>416.5</v>
      </c>
    </row>
    <row r="2305" customFormat="false" ht="15" hidden="false" customHeight="false" outlineLevel="0" collapsed="false">
      <c r="A2305" s="0" t="n">
        <v>316</v>
      </c>
      <c r="B2305" s="68" t="n">
        <v>45408</v>
      </c>
      <c r="C2305" s="69" t="s">
        <v>150</v>
      </c>
      <c r="D2305" s="69" t="s">
        <v>97</v>
      </c>
      <c r="E2305" s="69" t="s">
        <v>98</v>
      </c>
      <c r="F2305" s="69" t="s">
        <v>115</v>
      </c>
      <c r="G2305" s="69" t="s">
        <v>116</v>
      </c>
      <c r="H2305" s="0" t="n">
        <v>18</v>
      </c>
      <c r="I2305" s="70" t="n">
        <v>83.3</v>
      </c>
      <c r="J2305" s="70" t="n">
        <v>48.03</v>
      </c>
      <c r="K2305" s="70" t="n">
        <f aca="false">IF(ISTEXT(H2305),VALUE(H2305),H2305)*I2305</f>
        <v>1499.4</v>
      </c>
    </row>
    <row r="2306" customFormat="false" ht="15" hidden="false" customHeight="false" outlineLevel="0" collapsed="false">
      <c r="A2306" s="0" t="n">
        <v>2047</v>
      </c>
      <c r="B2306" s="69" t="s">
        <v>276</v>
      </c>
      <c r="C2306" s="69" t="s">
        <v>30</v>
      </c>
      <c r="D2306" s="69" t="s">
        <v>109</v>
      </c>
      <c r="E2306" s="69" t="s">
        <v>110</v>
      </c>
      <c r="F2306" s="69" t="s">
        <v>28</v>
      </c>
      <c r="G2306" s="69" t="s">
        <v>47</v>
      </c>
      <c r="H2306" s="0" t="n">
        <v>34</v>
      </c>
      <c r="I2306" s="70" t="n">
        <v>28.11</v>
      </c>
      <c r="J2306" s="70" t="n">
        <v>13.84</v>
      </c>
      <c r="K2306" s="70" t="n">
        <f aca="false">IF(ISTEXT(H2306),VALUE(H2306),H2306)*I2306</f>
        <v>955.74</v>
      </c>
    </row>
    <row r="2307" customFormat="false" ht="15" hidden="false" customHeight="false" outlineLevel="0" collapsed="false">
      <c r="A2307" s="0" t="n">
        <v>780</v>
      </c>
      <c r="B2307" s="68" t="n">
        <v>45511</v>
      </c>
      <c r="C2307" s="69" t="s">
        <v>193</v>
      </c>
      <c r="D2307" s="69" t="s">
        <v>137</v>
      </c>
      <c r="E2307" s="69" t="s">
        <v>125</v>
      </c>
      <c r="F2307" s="69" t="s">
        <v>182</v>
      </c>
      <c r="G2307" s="69" t="s">
        <v>53</v>
      </c>
      <c r="H2307" s="0" t="n">
        <v>6</v>
      </c>
      <c r="I2307" s="70" t="n">
        <v>34.3</v>
      </c>
      <c r="J2307" s="70" t="n">
        <v>17.85</v>
      </c>
      <c r="K2307" s="70" t="n">
        <f aca="false">IF(ISTEXT(H2307),VALUE(H2307),H2307)*I2307</f>
        <v>205.8</v>
      </c>
    </row>
    <row r="2308" customFormat="false" ht="15" hidden="false" customHeight="false" outlineLevel="0" collapsed="false">
      <c r="A2308" s="0" t="n">
        <v>2062</v>
      </c>
      <c r="B2308" s="68" t="n">
        <v>45917</v>
      </c>
      <c r="C2308" s="69" t="s">
        <v>184</v>
      </c>
      <c r="D2308" s="69" t="s">
        <v>137</v>
      </c>
      <c r="E2308" s="69" t="s">
        <v>87</v>
      </c>
      <c r="F2308" s="69" t="s">
        <v>26</v>
      </c>
      <c r="G2308" s="69" t="s">
        <v>154</v>
      </c>
      <c r="H2308" s="0" t="s">
        <v>832</v>
      </c>
      <c r="I2308" s="70" t="n">
        <v>1204.74</v>
      </c>
      <c r="J2308" s="70" t="n">
        <v>766.32</v>
      </c>
      <c r="K2308" s="70" t="n">
        <f aca="false">IF(ISTEXT(H2308),VALUE(H2308),H2308)*I2308</f>
        <v>4818.96</v>
      </c>
    </row>
    <row r="2309" customFormat="false" ht="15" hidden="false" customHeight="false" outlineLevel="0" collapsed="false">
      <c r="A2309" s="0" t="n">
        <v>1143</v>
      </c>
      <c r="B2309" s="68" t="n">
        <v>45636</v>
      </c>
      <c r="C2309" s="69" t="s">
        <v>108</v>
      </c>
      <c r="D2309" s="69" t="s">
        <v>109</v>
      </c>
      <c r="E2309" s="69" t="s">
        <v>121</v>
      </c>
      <c r="F2309" s="69" t="s">
        <v>26</v>
      </c>
      <c r="G2309" s="69" t="s">
        <v>43</v>
      </c>
      <c r="H2309" s="0" t="s">
        <v>175</v>
      </c>
      <c r="I2309" s="70" t="n">
        <v>441</v>
      </c>
      <c r="J2309" s="70" t="n">
        <v>272.25</v>
      </c>
      <c r="K2309" s="70" t="n">
        <f aca="false">IF(ISTEXT(H2309),VALUE(H2309),H2309)*I2309</f>
        <v>6615</v>
      </c>
    </row>
    <row r="2310" customFormat="false" ht="15" hidden="false" customHeight="false" outlineLevel="0" collapsed="false">
      <c r="A2310" s="0" t="n">
        <v>1549</v>
      </c>
      <c r="B2310" s="68" t="n">
        <v>45764</v>
      </c>
      <c r="C2310" s="69" t="s">
        <v>108</v>
      </c>
      <c r="D2310" s="69" t="s">
        <v>109</v>
      </c>
      <c r="E2310" s="69" t="s">
        <v>101</v>
      </c>
      <c r="F2310" s="69" t="s">
        <v>155</v>
      </c>
      <c r="G2310" s="69" t="s">
        <v>48</v>
      </c>
      <c r="H2310" s="0" t="n">
        <v>34</v>
      </c>
      <c r="I2310" s="70" t="n">
        <v>94.39</v>
      </c>
      <c r="J2310" s="70" t="n">
        <v>49.41</v>
      </c>
      <c r="K2310" s="70" t="n">
        <f aca="false">IF(ISTEXT(H2310),VALUE(H2310),H2310)*I2310</f>
        <v>3209.26</v>
      </c>
    </row>
    <row r="2311" customFormat="false" ht="15" hidden="false" customHeight="false" outlineLevel="0" collapsed="false">
      <c r="A2311" s="0" t="n">
        <v>1963</v>
      </c>
      <c r="B2311" s="69" t="s">
        <v>833</v>
      </c>
      <c r="C2311" s="69" t="s">
        <v>184</v>
      </c>
      <c r="D2311" s="69" t="s">
        <v>137</v>
      </c>
      <c r="E2311" s="69" t="s">
        <v>138</v>
      </c>
      <c r="F2311" s="69" t="s">
        <v>147</v>
      </c>
      <c r="G2311" s="69" t="s">
        <v>89</v>
      </c>
      <c r="H2311" s="0" t="s">
        <v>627</v>
      </c>
      <c r="I2311" s="70" t="n">
        <v>451.78</v>
      </c>
      <c r="J2311" s="70" t="n">
        <v>280.42</v>
      </c>
      <c r="K2311" s="70" t="n">
        <f aca="false">IF(ISTEXT(H2311),VALUE(H2311),H2311)*I2311</f>
        <v>2258.9</v>
      </c>
    </row>
    <row r="2312" customFormat="false" ht="15" hidden="false" customHeight="false" outlineLevel="0" collapsed="false">
      <c r="A2312" s="0" t="n">
        <v>871</v>
      </c>
      <c r="B2312" s="68" t="n">
        <v>45558</v>
      </c>
      <c r="C2312" s="69" t="s">
        <v>136</v>
      </c>
      <c r="D2312" s="69" t="s">
        <v>137</v>
      </c>
      <c r="E2312" s="69" t="s">
        <v>121</v>
      </c>
      <c r="F2312" s="69" t="s">
        <v>143</v>
      </c>
      <c r="G2312" s="69" t="s">
        <v>144</v>
      </c>
      <c r="H2312" s="0" t="n">
        <v>32</v>
      </c>
      <c r="I2312" s="70" t="n">
        <v>63.7</v>
      </c>
      <c r="J2312" s="70" t="n">
        <v>35.43</v>
      </c>
      <c r="K2312" s="70" t="n">
        <f aca="false">IF(ISTEXT(H2312),VALUE(H2312),H2312)*I2312</f>
        <v>2038.4</v>
      </c>
    </row>
    <row r="2313" customFormat="false" ht="15" hidden="false" customHeight="false" outlineLevel="0" collapsed="false">
      <c r="A2313" s="0" t="n">
        <v>1935</v>
      </c>
      <c r="B2313" s="68" t="n">
        <v>45888</v>
      </c>
      <c r="C2313" s="69" t="s">
        <v>159</v>
      </c>
      <c r="D2313" s="69" t="s">
        <v>86</v>
      </c>
      <c r="E2313" s="69" t="s">
        <v>121</v>
      </c>
      <c r="F2313" s="69" t="s">
        <v>115</v>
      </c>
      <c r="G2313" s="69" t="s">
        <v>51</v>
      </c>
      <c r="H2313" s="0" t="n">
        <v>24</v>
      </c>
      <c r="I2313" s="70" t="n">
        <v>85.34</v>
      </c>
      <c r="J2313" s="70" t="n">
        <v>49.47</v>
      </c>
      <c r="K2313" s="70" t="n">
        <f aca="false">IF(ISTEXT(H2313),VALUE(H2313),H2313)*I2313</f>
        <v>2048.16</v>
      </c>
    </row>
    <row r="2314" customFormat="false" ht="15" hidden="false" customHeight="false" outlineLevel="0" collapsed="false">
      <c r="A2314" s="0" t="n">
        <v>1863</v>
      </c>
      <c r="B2314" s="68" t="n">
        <v>45839</v>
      </c>
      <c r="C2314" s="69" t="s">
        <v>136</v>
      </c>
      <c r="D2314" s="69" t="s">
        <v>137</v>
      </c>
      <c r="E2314" s="69" t="s">
        <v>92</v>
      </c>
      <c r="F2314" s="69" t="s">
        <v>153</v>
      </c>
      <c r="G2314" s="69" t="s">
        <v>89</v>
      </c>
      <c r="H2314" s="0" t="n">
        <v>8</v>
      </c>
      <c r="I2314" s="70" t="n">
        <v>451.78</v>
      </c>
      <c r="J2314" s="70" t="n">
        <v>280.42</v>
      </c>
      <c r="K2314" s="70" t="n">
        <f aca="false">IF(ISTEXT(H2314),VALUE(H2314),H2314)*I2314</f>
        <v>3614.24</v>
      </c>
    </row>
    <row r="2315" customFormat="false" ht="15" hidden="false" customHeight="false" outlineLevel="0" collapsed="false">
      <c r="A2315" s="0" t="n">
        <v>83</v>
      </c>
      <c r="B2315" s="69" t="s">
        <v>631</v>
      </c>
      <c r="C2315" s="69" t="s">
        <v>161</v>
      </c>
      <c r="D2315" s="69" t="s">
        <v>112</v>
      </c>
      <c r="E2315" s="69" t="s">
        <v>134</v>
      </c>
      <c r="F2315" s="69" t="s">
        <v>26</v>
      </c>
      <c r="G2315" s="69" t="s">
        <v>177</v>
      </c>
      <c r="H2315" s="0" t="n">
        <v>5</v>
      </c>
      <c r="I2315" s="70" t="n">
        <v>441</v>
      </c>
      <c r="J2315" s="70" t="n">
        <v>272.25</v>
      </c>
      <c r="K2315" s="70" t="n">
        <f aca="false">IF(ISTEXT(H2315),VALUE(H2315),H2315)*I2315</f>
        <v>2205</v>
      </c>
    </row>
    <row r="2316" customFormat="false" ht="15" hidden="false" customHeight="false" outlineLevel="0" collapsed="false">
      <c r="A2316" s="0" t="n">
        <v>356</v>
      </c>
      <c r="B2316" s="68" t="n">
        <v>45391</v>
      </c>
      <c r="C2316" s="69" t="s">
        <v>30</v>
      </c>
      <c r="D2316" s="69" t="s">
        <v>109</v>
      </c>
      <c r="E2316" s="69" t="s">
        <v>119</v>
      </c>
      <c r="F2316" s="69" t="s">
        <v>115</v>
      </c>
      <c r="G2316" s="69" t="s">
        <v>116</v>
      </c>
      <c r="H2316" s="0" t="n">
        <v>6</v>
      </c>
      <c r="I2316" s="70" t="n">
        <v>83.3</v>
      </c>
      <c r="J2316" s="70" t="n">
        <v>48.03</v>
      </c>
      <c r="K2316" s="70" t="n">
        <f aca="false">IF(ISTEXT(H2316),VALUE(H2316),H2316)*I2316</f>
        <v>499.8</v>
      </c>
    </row>
    <row r="2317" customFormat="false" ht="15" hidden="false" customHeight="false" outlineLevel="0" collapsed="false">
      <c r="A2317" s="0" t="n">
        <v>901</v>
      </c>
      <c r="B2317" s="68" t="n">
        <v>45582</v>
      </c>
      <c r="C2317" s="69" t="s">
        <v>124</v>
      </c>
      <c r="D2317" s="69" t="s">
        <v>97</v>
      </c>
      <c r="E2317" s="69" t="s">
        <v>110</v>
      </c>
      <c r="F2317" s="69" t="s">
        <v>139</v>
      </c>
      <c r="G2317" s="69" t="s">
        <v>154</v>
      </c>
      <c r="H2317" s="0" t="n">
        <v>23</v>
      </c>
      <c r="I2317" s="70" t="n">
        <v>1176</v>
      </c>
      <c r="J2317" s="70" t="n">
        <v>744</v>
      </c>
      <c r="K2317" s="70" t="n">
        <f aca="false">IF(ISTEXT(H2317),VALUE(H2317),H2317)*I2317</f>
        <v>27048</v>
      </c>
    </row>
    <row r="2318" customFormat="false" ht="15" hidden="false" customHeight="false" outlineLevel="0" collapsed="false">
      <c r="A2318" s="0" t="n">
        <v>1347</v>
      </c>
      <c r="B2318" s="68" t="n">
        <v>45695</v>
      </c>
      <c r="C2318" s="69" t="s">
        <v>118</v>
      </c>
      <c r="D2318" s="69" t="s">
        <v>109</v>
      </c>
      <c r="E2318" s="69" t="s">
        <v>92</v>
      </c>
      <c r="F2318" s="69" t="s">
        <v>155</v>
      </c>
      <c r="G2318" s="69" t="s">
        <v>47</v>
      </c>
      <c r="H2318" s="0" t="n">
        <v>35</v>
      </c>
      <c r="I2318" s="70" t="n">
        <v>27.82</v>
      </c>
      <c r="J2318" s="70" t="n">
        <v>13.84</v>
      </c>
      <c r="K2318" s="70" t="n">
        <f aca="false">IF(ISTEXT(H2318),VALUE(H2318),H2318)*I2318</f>
        <v>973.7</v>
      </c>
    </row>
    <row r="2319" customFormat="false" ht="15" hidden="false" customHeight="false" outlineLevel="0" collapsed="false">
      <c r="A2319" s="0" t="n">
        <v>343</v>
      </c>
      <c r="B2319" s="69" t="s">
        <v>683</v>
      </c>
      <c r="C2319" s="69" t="s">
        <v>30</v>
      </c>
      <c r="D2319" s="69" t="s">
        <v>109</v>
      </c>
      <c r="E2319" s="69" t="s">
        <v>121</v>
      </c>
      <c r="F2319" s="69" t="s">
        <v>153</v>
      </c>
      <c r="G2319" s="69" t="s">
        <v>89</v>
      </c>
      <c r="H2319" s="0" t="n">
        <v>7</v>
      </c>
      <c r="I2319" s="70" t="n">
        <v>441</v>
      </c>
      <c r="J2319" s="70" t="n">
        <v>272.25</v>
      </c>
      <c r="K2319" s="70" t="n">
        <f aca="false">IF(ISTEXT(H2319),VALUE(H2319),H2319)*I2319</f>
        <v>3087</v>
      </c>
    </row>
    <row r="2320" customFormat="false" ht="15" hidden="false" customHeight="false" outlineLevel="0" collapsed="false">
      <c r="A2320" s="0" t="n">
        <v>988</v>
      </c>
      <c r="B2320" s="68" t="n">
        <v>45570</v>
      </c>
      <c r="C2320" s="69" t="s">
        <v>142</v>
      </c>
      <c r="D2320" s="69" t="s">
        <v>112</v>
      </c>
      <c r="E2320" s="69" t="s">
        <v>107</v>
      </c>
      <c r="F2320" s="69" t="s">
        <v>155</v>
      </c>
      <c r="G2320" s="69" t="s">
        <v>113</v>
      </c>
      <c r="H2320" s="0" t="n">
        <v>12</v>
      </c>
      <c r="I2320" s="70" t="n">
        <v>27.44</v>
      </c>
      <c r="J2320" s="70" t="n">
        <v>13.44</v>
      </c>
      <c r="K2320" s="70" t="n">
        <f aca="false">IF(ISTEXT(H2320),VALUE(H2320),H2320)*I2320</f>
        <v>329.28</v>
      </c>
    </row>
    <row r="2321" customFormat="false" ht="15" hidden="false" customHeight="false" outlineLevel="0" collapsed="false">
      <c r="A2321" s="0" t="n">
        <v>1546</v>
      </c>
      <c r="B2321" s="68" t="n">
        <v>45770</v>
      </c>
      <c r="C2321" s="69" t="s">
        <v>30</v>
      </c>
      <c r="D2321" s="69" t="s">
        <v>109</v>
      </c>
      <c r="E2321" s="69" t="s">
        <v>107</v>
      </c>
      <c r="F2321" s="69" t="s">
        <v>26</v>
      </c>
      <c r="G2321" s="69" t="s">
        <v>45</v>
      </c>
      <c r="H2321" s="0" t="n">
        <v>5</v>
      </c>
      <c r="I2321" s="70" t="n">
        <v>1588.21</v>
      </c>
      <c r="J2321" s="70" t="n">
        <v>1155.66</v>
      </c>
      <c r="K2321" s="70" t="n">
        <f aca="false">IF(ISTEXT(H2321),VALUE(H2321),H2321)*I2321</f>
        <v>7941.05</v>
      </c>
    </row>
    <row r="2322" customFormat="false" ht="15" hidden="false" customHeight="false" outlineLevel="0" collapsed="false">
      <c r="A2322" s="0" t="n">
        <v>944</v>
      </c>
      <c r="B2322" s="68" t="n">
        <v>45586</v>
      </c>
      <c r="C2322" s="69" t="s">
        <v>30</v>
      </c>
      <c r="D2322" s="69" t="s">
        <v>109</v>
      </c>
      <c r="E2322" s="69" t="s">
        <v>87</v>
      </c>
      <c r="F2322" s="69" t="s">
        <v>153</v>
      </c>
      <c r="G2322" s="69" t="s">
        <v>89</v>
      </c>
      <c r="H2322" s="0" t="n">
        <v>3</v>
      </c>
      <c r="I2322" s="70" t="n">
        <v>441</v>
      </c>
      <c r="J2322" s="70" t="n">
        <v>272.25</v>
      </c>
      <c r="K2322" s="70" t="n">
        <f aca="false">IF(ISTEXT(H2322),VALUE(H2322),H2322)*I2322</f>
        <v>1323</v>
      </c>
    </row>
    <row r="2323" customFormat="false" ht="15" hidden="false" customHeight="false" outlineLevel="0" collapsed="false">
      <c r="A2323" s="0" t="n">
        <v>238</v>
      </c>
      <c r="B2323" s="69" t="s">
        <v>834</v>
      </c>
      <c r="C2323" s="69" t="s">
        <v>120</v>
      </c>
      <c r="D2323" s="69" t="s">
        <v>86</v>
      </c>
      <c r="E2323" s="69" t="s">
        <v>107</v>
      </c>
      <c r="F2323" s="69" t="s">
        <v>168</v>
      </c>
      <c r="G2323" s="69" t="s">
        <v>130</v>
      </c>
      <c r="H2323" s="0" t="n">
        <v>14</v>
      </c>
      <c r="I2323" s="70" t="n">
        <v>127.4</v>
      </c>
      <c r="J2323" s="70" t="n">
        <v>76.05</v>
      </c>
      <c r="K2323" s="70" t="n">
        <f aca="false">IF(ISTEXT(H2323),VALUE(H2323),H2323)*I2323</f>
        <v>1783.6</v>
      </c>
    </row>
    <row r="2324" customFormat="false" ht="15" hidden="false" customHeight="false" outlineLevel="0" collapsed="false">
      <c r="A2324" s="0" t="n">
        <v>608</v>
      </c>
      <c r="B2324" s="68" t="n">
        <v>45491</v>
      </c>
      <c r="C2324" s="69" t="s">
        <v>150</v>
      </c>
      <c r="D2324" s="69" t="s">
        <v>97</v>
      </c>
      <c r="E2324" s="69" t="s">
        <v>87</v>
      </c>
      <c r="F2324" s="69" t="s">
        <v>102</v>
      </c>
      <c r="G2324" s="69" t="s">
        <v>103</v>
      </c>
      <c r="H2324" s="0" t="n">
        <v>40</v>
      </c>
      <c r="I2324" s="70" t="n">
        <v>27.44</v>
      </c>
      <c r="J2324" s="70" t="n">
        <v>13.44</v>
      </c>
      <c r="K2324" s="70" t="n">
        <f aca="false">IF(ISTEXT(H2324),VALUE(H2324),H2324)*I2324</f>
        <v>1097.6</v>
      </c>
    </row>
    <row r="2325" customFormat="false" ht="15" hidden="false" customHeight="false" outlineLevel="0" collapsed="false">
      <c r="A2325" s="0" t="n">
        <v>1038</v>
      </c>
      <c r="B2325" s="69" t="s">
        <v>835</v>
      </c>
      <c r="C2325" s="69" t="s">
        <v>159</v>
      </c>
      <c r="D2325" s="69" t="s">
        <v>86</v>
      </c>
      <c r="E2325" s="69" t="s">
        <v>87</v>
      </c>
      <c r="F2325" s="69" t="s">
        <v>93</v>
      </c>
      <c r="G2325" s="69" t="s">
        <v>130</v>
      </c>
      <c r="H2325" s="0" t="n">
        <v>18</v>
      </c>
      <c r="I2325" s="70" t="n">
        <v>127.4</v>
      </c>
      <c r="J2325" s="70" t="n">
        <v>76.05</v>
      </c>
      <c r="K2325" s="70" t="n">
        <f aca="false">IF(ISTEXT(H2325),VALUE(H2325),H2325)*I2325</f>
        <v>2293.2</v>
      </c>
    </row>
    <row r="2326" customFormat="false" ht="15" hidden="false" customHeight="false" outlineLevel="0" collapsed="false">
      <c r="A2326" s="0" t="n">
        <v>1846</v>
      </c>
      <c r="B2326" s="68" t="n">
        <v>45855</v>
      </c>
      <c r="C2326" s="69" t="s">
        <v>108</v>
      </c>
      <c r="D2326" s="69" t="s">
        <v>109</v>
      </c>
      <c r="E2326" s="69" t="s">
        <v>107</v>
      </c>
      <c r="F2326" s="69" t="s">
        <v>147</v>
      </c>
      <c r="G2326" s="69" t="s">
        <v>157</v>
      </c>
      <c r="H2326" s="0" t="n">
        <v>5</v>
      </c>
      <c r="I2326" s="70" t="n">
        <v>1656.52</v>
      </c>
      <c r="J2326" s="70" t="n">
        <v>1155.66</v>
      </c>
      <c r="K2326" s="70" t="n">
        <f aca="false">IF(ISTEXT(H2326),VALUE(H2326),H2326)*I2326</f>
        <v>8282.6</v>
      </c>
    </row>
    <row r="2327" customFormat="false" ht="15" hidden="false" customHeight="false" outlineLevel="0" collapsed="false">
      <c r="A2327" s="0" t="n">
        <v>2385</v>
      </c>
      <c r="B2327" s="69" t="s">
        <v>836</v>
      </c>
      <c r="C2327" s="69" t="s">
        <v>161</v>
      </c>
      <c r="D2327" s="69" t="s">
        <v>112</v>
      </c>
      <c r="E2327" s="69" t="s">
        <v>134</v>
      </c>
      <c r="F2327" s="69" t="s">
        <v>139</v>
      </c>
      <c r="G2327" s="69" t="s">
        <v>141</v>
      </c>
      <c r="H2327" s="0" t="n">
        <v>9</v>
      </c>
      <c r="I2327" s="70" t="n">
        <v>1656.52</v>
      </c>
      <c r="J2327" s="70" t="n">
        <v>1155.66</v>
      </c>
      <c r="K2327" s="70" t="n">
        <f aca="false">IF(ISTEXT(H2327),VALUE(H2327),H2327)*I2327</f>
        <v>14908.68</v>
      </c>
    </row>
    <row r="2328" customFormat="false" ht="15" hidden="false" customHeight="false" outlineLevel="0" collapsed="false">
      <c r="A2328" s="0" t="n">
        <v>1431</v>
      </c>
      <c r="B2328" s="68" t="n">
        <v>45717</v>
      </c>
      <c r="C2328" s="69" t="s">
        <v>159</v>
      </c>
      <c r="D2328" s="69" t="s">
        <v>86</v>
      </c>
      <c r="E2328" s="69" t="s">
        <v>134</v>
      </c>
      <c r="F2328" s="69" t="s">
        <v>99</v>
      </c>
      <c r="G2328" s="69" t="s">
        <v>208</v>
      </c>
      <c r="H2328" s="0" t="n">
        <v>59</v>
      </c>
      <c r="I2328" s="70" t="n">
        <v>64.58</v>
      </c>
      <c r="J2328" s="70" t="n">
        <v>36.49</v>
      </c>
      <c r="K2328" s="70" t="n">
        <f aca="false">IF(ISTEXT(H2328),VALUE(H2328),H2328)*I2328</f>
        <v>3810.22</v>
      </c>
    </row>
    <row r="2329" customFormat="false" ht="15" hidden="false" customHeight="false" outlineLevel="0" collapsed="false">
      <c r="A2329" s="0" t="n">
        <v>280</v>
      </c>
      <c r="B2329" s="68" t="n">
        <v>45368</v>
      </c>
      <c r="C2329" s="69" t="s">
        <v>32</v>
      </c>
      <c r="D2329" s="69" t="s">
        <v>137</v>
      </c>
      <c r="E2329" s="69" t="s">
        <v>87</v>
      </c>
      <c r="F2329" s="69" t="s">
        <v>183</v>
      </c>
      <c r="G2329" s="69" t="s">
        <v>94</v>
      </c>
      <c r="H2329" s="0" t="n">
        <v>6</v>
      </c>
      <c r="I2329" s="70" t="n">
        <v>34.3</v>
      </c>
      <c r="J2329" s="70" t="n">
        <v>17.85</v>
      </c>
      <c r="K2329" s="70" t="n">
        <f aca="false">IF(ISTEXT(H2329),VALUE(H2329),H2329)*I2329</f>
        <v>205.8</v>
      </c>
    </row>
    <row r="2330" customFormat="false" ht="15" hidden="false" customHeight="false" outlineLevel="0" collapsed="false">
      <c r="A2330" s="0" t="n">
        <v>1864</v>
      </c>
      <c r="B2330" s="68" t="n">
        <v>45846</v>
      </c>
      <c r="C2330" s="69" t="s">
        <v>184</v>
      </c>
      <c r="D2330" s="69" t="s">
        <v>137</v>
      </c>
      <c r="E2330" s="69" t="s">
        <v>87</v>
      </c>
      <c r="F2330" s="69" t="s">
        <v>139</v>
      </c>
      <c r="G2330" s="69" t="s">
        <v>43</v>
      </c>
      <c r="H2330" s="0" t="s">
        <v>222</v>
      </c>
      <c r="I2330" s="70" t="n">
        <v>451.78</v>
      </c>
      <c r="J2330" s="70" t="n">
        <v>280.42</v>
      </c>
      <c r="K2330" s="70" t="n">
        <f aca="false">IF(ISTEXT(H2330),VALUE(H2330),H2330)*I2330</f>
        <v>2710.68</v>
      </c>
    </row>
    <row r="2331" customFormat="false" ht="15" hidden="false" customHeight="false" outlineLevel="0" collapsed="false">
      <c r="A2331" s="0" t="n">
        <v>21</v>
      </c>
      <c r="B2331" s="69" t="s">
        <v>837</v>
      </c>
      <c r="C2331" s="69" t="s">
        <v>27</v>
      </c>
      <c r="D2331" s="69" t="s">
        <v>86</v>
      </c>
      <c r="E2331" s="69" t="s">
        <v>121</v>
      </c>
      <c r="F2331" s="69" t="s">
        <v>26</v>
      </c>
      <c r="G2331" s="69" t="s">
        <v>154</v>
      </c>
      <c r="H2331" s="0" t="n">
        <v>12</v>
      </c>
      <c r="I2331" s="70" t="n">
        <v>1176</v>
      </c>
      <c r="J2331" s="70" t="n">
        <v>744</v>
      </c>
      <c r="K2331" s="70" t="n">
        <f aca="false">IF(ISTEXT(H2331),VALUE(H2331),H2331)*I2331</f>
        <v>14112</v>
      </c>
    </row>
    <row r="2332" customFormat="false" ht="15" hidden="false" customHeight="false" outlineLevel="0" collapsed="false">
      <c r="A2332" s="0" t="n">
        <v>1113</v>
      </c>
      <c r="B2332" s="69" t="s">
        <v>503</v>
      </c>
      <c r="C2332" s="69" t="s">
        <v>150</v>
      </c>
      <c r="D2332" s="69" t="s">
        <v>97</v>
      </c>
      <c r="E2332" s="69" t="s">
        <v>101</v>
      </c>
      <c r="F2332" s="69" t="s">
        <v>115</v>
      </c>
      <c r="G2332" s="69" t="s">
        <v>171</v>
      </c>
      <c r="H2332" s="0" t="n">
        <v>68</v>
      </c>
      <c r="I2332" s="70" t="n">
        <v>117.6</v>
      </c>
      <c r="J2332" s="70" t="n">
        <v>63.6</v>
      </c>
      <c r="K2332" s="70" t="n">
        <f aca="false">IF(ISTEXT(H2332),VALUE(H2332),H2332)*I2332</f>
        <v>7996.8</v>
      </c>
    </row>
    <row r="2333" customFormat="false" ht="15" hidden="false" customHeight="false" outlineLevel="0" collapsed="false">
      <c r="A2333" s="0" t="n">
        <v>1808</v>
      </c>
      <c r="B2333" s="68" t="n">
        <v>45859</v>
      </c>
      <c r="C2333" s="69" t="s">
        <v>170</v>
      </c>
      <c r="D2333" s="69" t="s">
        <v>97</v>
      </c>
      <c r="E2333" s="69" t="s">
        <v>119</v>
      </c>
      <c r="F2333" s="69" t="s">
        <v>143</v>
      </c>
      <c r="G2333" s="69" t="s">
        <v>113</v>
      </c>
      <c r="H2333" s="0" t="n">
        <v>81</v>
      </c>
      <c r="I2333" s="70" t="n">
        <v>28.11</v>
      </c>
      <c r="J2333" s="70" t="n">
        <v>13.84</v>
      </c>
      <c r="K2333" s="70" t="n">
        <f aca="false">IF(ISTEXT(H2333),VALUE(H2333),H2333)*I2333</f>
        <v>2276.91</v>
      </c>
    </row>
    <row r="2334" customFormat="false" ht="15" hidden="false" customHeight="false" outlineLevel="0" collapsed="false">
      <c r="A2334" s="0" t="n">
        <v>2365</v>
      </c>
      <c r="B2334" s="68" t="n">
        <v>45996</v>
      </c>
      <c r="C2334" s="69" t="s">
        <v>193</v>
      </c>
      <c r="D2334" s="69" t="s">
        <v>137</v>
      </c>
      <c r="E2334" s="69" t="s">
        <v>101</v>
      </c>
      <c r="F2334" s="69" t="s">
        <v>88</v>
      </c>
      <c r="G2334" s="69" t="s">
        <v>157</v>
      </c>
      <c r="H2334" s="0" t="n">
        <v>11</v>
      </c>
      <c r="I2334" s="70" t="n">
        <v>1656.52</v>
      </c>
      <c r="J2334" s="70" t="n">
        <v>1155.66</v>
      </c>
      <c r="K2334" s="70" t="n">
        <f aca="false">IF(ISTEXT(H2334),VALUE(H2334),H2334)*I2334</f>
        <v>18221.72</v>
      </c>
    </row>
    <row r="2335" customFormat="false" ht="15" hidden="false" customHeight="false" outlineLevel="0" collapsed="false">
      <c r="A2335" s="0" t="n">
        <v>872</v>
      </c>
      <c r="B2335" s="68" t="n">
        <v>45538</v>
      </c>
      <c r="C2335" s="69" t="s">
        <v>193</v>
      </c>
      <c r="D2335" s="69"/>
      <c r="E2335" s="69" t="s">
        <v>107</v>
      </c>
      <c r="F2335" s="69" t="s">
        <v>143</v>
      </c>
      <c r="G2335" s="69" t="s">
        <v>144</v>
      </c>
      <c r="H2335" s="0" t="s">
        <v>299</v>
      </c>
      <c r="I2335" s="70" t="n">
        <v>63.7</v>
      </c>
      <c r="J2335" s="70" t="n">
        <v>35.43</v>
      </c>
      <c r="K2335" s="70" t="n">
        <f aca="false">IF(ISTEXT(H2335),VALUE(H2335),H2335)*I2335</f>
        <v>637</v>
      </c>
    </row>
    <row r="2336" customFormat="false" ht="15" hidden="false" customHeight="false" outlineLevel="0" collapsed="false">
      <c r="A2336" s="0" t="n">
        <v>1339</v>
      </c>
      <c r="B2336" s="68" t="n">
        <v>45693</v>
      </c>
      <c r="C2336" s="69" t="s">
        <v>120</v>
      </c>
      <c r="D2336" s="69" t="s">
        <v>86</v>
      </c>
      <c r="E2336" s="69" t="s">
        <v>134</v>
      </c>
      <c r="F2336" s="69" t="s">
        <v>93</v>
      </c>
      <c r="G2336" s="69" t="s">
        <v>53</v>
      </c>
      <c r="H2336" s="0" t="s">
        <v>322</v>
      </c>
      <c r="I2336" s="70" t="n">
        <v>34.78</v>
      </c>
      <c r="J2336" s="70" t="n">
        <v>18.39</v>
      </c>
      <c r="K2336" s="70" t="n">
        <f aca="false">IF(ISTEXT(H2336),VALUE(H2336),H2336)*I2336</f>
        <v>939.06</v>
      </c>
    </row>
    <row r="2337" customFormat="false" ht="15" hidden="false" customHeight="false" outlineLevel="0" collapsed="false">
      <c r="A2337" s="0" t="n">
        <v>1186</v>
      </c>
      <c r="B2337" s="68" t="n">
        <v>45640</v>
      </c>
      <c r="C2337" s="69" t="s">
        <v>161</v>
      </c>
      <c r="D2337" s="69" t="s">
        <v>112</v>
      </c>
      <c r="E2337" s="69" t="s">
        <v>119</v>
      </c>
      <c r="F2337" s="69" t="s">
        <v>135</v>
      </c>
      <c r="G2337" s="69" t="s">
        <v>157</v>
      </c>
      <c r="H2337" s="0" t="n">
        <v>4</v>
      </c>
      <c r="I2337" s="70" t="n">
        <v>1617</v>
      </c>
      <c r="J2337" s="70" t="n">
        <v>1122</v>
      </c>
      <c r="K2337" s="70" t="n">
        <f aca="false">IF(ISTEXT(H2337),VALUE(H2337),H2337)*I2337</f>
        <v>6468</v>
      </c>
    </row>
    <row r="2338" customFormat="false" ht="15" hidden="false" customHeight="false" outlineLevel="0" collapsed="false">
      <c r="A2338" s="0" t="n">
        <v>921</v>
      </c>
      <c r="B2338" s="68" t="n">
        <v>45587</v>
      </c>
      <c r="C2338" s="69" t="s">
        <v>159</v>
      </c>
      <c r="D2338" s="69" t="s">
        <v>86</v>
      </c>
      <c r="E2338" s="69" t="s">
        <v>138</v>
      </c>
      <c r="F2338" s="69" t="s">
        <v>139</v>
      </c>
      <c r="G2338" s="69" t="s">
        <v>151</v>
      </c>
      <c r="H2338" s="0" t="n">
        <v>11</v>
      </c>
      <c r="I2338" s="70" t="n">
        <v>1176</v>
      </c>
      <c r="J2338" s="70" t="n">
        <v>744</v>
      </c>
      <c r="K2338" s="70" t="n">
        <f aca="false">IF(ISTEXT(H2338),VALUE(H2338),H2338)*I2338</f>
        <v>12936</v>
      </c>
    </row>
    <row r="2339" customFormat="false" ht="15" hidden="false" customHeight="false" outlineLevel="0" collapsed="false">
      <c r="A2339" s="0" t="n">
        <v>2134</v>
      </c>
      <c r="B2339" s="68" t="n">
        <v>45938</v>
      </c>
      <c r="C2339" s="69" t="s">
        <v>27</v>
      </c>
      <c r="D2339" s="69" t="s">
        <v>86</v>
      </c>
      <c r="E2339" s="69" t="s">
        <v>125</v>
      </c>
      <c r="F2339" s="69" t="s">
        <v>115</v>
      </c>
      <c r="G2339" s="69" t="s">
        <v>156</v>
      </c>
      <c r="H2339" s="0" t="s">
        <v>254</v>
      </c>
      <c r="I2339" s="70" t="n">
        <v>120.47</v>
      </c>
      <c r="J2339" s="70" t="n">
        <v>65.51</v>
      </c>
      <c r="K2339" s="70" t="n">
        <f aca="false">IF(ISTEXT(H2339),VALUE(H2339),H2339)*I2339</f>
        <v>2409.4</v>
      </c>
    </row>
    <row r="2340" customFormat="false" ht="15" hidden="false" customHeight="false" outlineLevel="0" collapsed="false">
      <c r="A2340" s="0" t="n">
        <v>1370</v>
      </c>
      <c r="B2340" s="68" t="n">
        <v>45694</v>
      </c>
      <c r="C2340" s="69" t="s">
        <v>136</v>
      </c>
      <c r="D2340" s="69" t="s">
        <v>137</v>
      </c>
      <c r="E2340" s="69" t="s">
        <v>180</v>
      </c>
      <c r="F2340" s="69" t="s">
        <v>102</v>
      </c>
      <c r="G2340" s="69" t="s">
        <v>235</v>
      </c>
      <c r="H2340" s="0" t="n">
        <v>17</v>
      </c>
      <c r="I2340" s="70" t="n">
        <v>94.39</v>
      </c>
      <c r="J2340" s="70" t="n">
        <v>49.41</v>
      </c>
      <c r="K2340" s="70" t="n">
        <f aca="false">IF(ISTEXT(H2340),VALUE(H2340),H2340)*I2340</f>
        <v>1604.63</v>
      </c>
    </row>
    <row r="2341" customFormat="false" ht="15" hidden="false" customHeight="false" outlineLevel="0" collapsed="false">
      <c r="A2341" s="0" t="n">
        <v>2125</v>
      </c>
      <c r="B2341" s="68" t="n">
        <v>45956</v>
      </c>
      <c r="C2341" s="69" t="s">
        <v>91</v>
      </c>
      <c r="D2341" s="69" t="s">
        <v>86</v>
      </c>
      <c r="E2341" s="69" t="s">
        <v>101</v>
      </c>
      <c r="F2341" s="69" t="s">
        <v>26</v>
      </c>
      <c r="G2341" s="69" t="s">
        <v>157</v>
      </c>
      <c r="H2341" s="0" t="n">
        <v>11</v>
      </c>
      <c r="I2341" s="70" t="n">
        <v>1656.52</v>
      </c>
      <c r="J2341" s="70" t="n">
        <v>1155.66</v>
      </c>
      <c r="K2341" s="70" t="n">
        <f aca="false">IF(ISTEXT(H2341),VALUE(H2341),H2341)*I2341</f>
        <v>18221.72</v>
      </c>
    </row>
    <row r="2342" customFormat="false" ht="15" hidden="false" customHeight="false" outlineLevel="0" collapsed="false">
      <c r="A2342" s="0" t="n">
        <v>1705</v>
      </c>
      <c r="B2342" s="68" t="n">
        <v>45810</v>
      </c>
      <c r="C2342" s="69" t="s">
        <v>150</v>
      </c>
      <c r="D2342" s="69" t="s">
        <v>97</v>
      </c>
      <c r="E2342" s="69" t="s">
        <v>92</v>
      </c>
      <c r="F2342" s="69" t="s">
        <v>26</v>
      </c>
      <c r="G2342" s="69" t="s">
        <v>45</v>
      </c>
      <c r="H2342" s="0" t="n">
        <v>24</v>
      </c>
      <c r="I2342" s="70" t="n">
        <v>1588.21</v>
      </c>
      <c r="J2342" s="70" t="n">
        <v>1155.66</v>
      </c>
      <c r="K2342" s="70" t="n">
        <f aca="false">IF(ISTEXT(H2342),VALUE(H2342),H2342)*I2342</f>
        <v>38117.04</v>
      </c>
    </row>
    <row r="2343" customFormat="false" ht="15" hidden="false" customHeight="false" outlineLevel="0" collapsed="false">
      <c r="A2343" s="0" t="n">
        <v>961</v>
      </c>
      <c r="B2343" s="68" t="n">
        <v>45570</v>
      </c>
      <c r="C2343" s="69" t="s">
        <v>136</v>
      </c>
      <c r="D2343" s="69" t="s">
        <v>137</v>
      </c>
      <c r="E2343" s="69" t="s">
        <v>134</v>
      </c>
      <c r="F2343" s="69" t="s">
        <v>26</v>
      </c>
      <c r="G2343" s="69" t="s">
        <v>41</v>
      </c>
      <c r="H2343" s="0" t="s">
        <v>229</v>
      </c>
      <c r="I2343" s="70" t="n">
        <v>1176</v>
      </c>
      <c r="J2343" s="70" t="n">
        <v>744</v>
      </c>
      <c r="K2343" s="70" t="n">
        <f aca="false">IF(ISTEXT(H2343),VALUE(H2343),H2343)*I2343</f>
        <v>8232</v>
      </c>
    </row>
    <row r="2344" customFormat="false" ht="15" hidden="false" customHeight="false" outlineLevel="0" collapsed="false">
      <c r="A2344" s="0" t="n">
        <v>1536</v>
      </c>
      <c r="B2344" s="69" t="s">
        <v>838</v>
      </c>
      <c r="C2344" s="69" t="s">
        <v>91</v>
      </c>
      <c r="D2344" s="69"/>
      <c r="E2344" s="69" t="s">
        <v>180</v>
      </c>
      <c r="F2344" s="69" t="s">
        <v>31</v>
      </c>
      <c r="G2344" s="69" t="s">
        <v>116</v>
      </c>
      <c r="H2344" s="0" t="n">
        <v>13</v>
      </c>
      <c r="I2344" s="70" t="n">
        <v>84.46</v>
      </c>
      <c r="J2344" s="70" t="n">
        <v>49.47</v>
      </c>
      <c r="K2344" s="70" t="n">
        <f aca="false">IF(ISTEXT(H2344),VALUE(H2344),H2344)*I2344</f>
        <v>1097.98</v>
      </c>
    </row>
    <row r="2345" customFormat="false" ht="15" hidden="false" customHeight="false" outlineLevel="0" collapsed="false">
      <c r="A2345" s="0" t="n">
        <v>153</v>
      </c>
      <c r="B2345" s="69" t="s">
        <v>757</v>
      </c>
      <c r="C2345" s="69" t="s">
        <v>118</v>
      </c>
      <c r="D2345" s="69" t="s">
        <v>109</v>
      </c>
      <c r="E2345" s="69" t="s">
        <v>110</v>
      </c>
      <c r="F2345" s="69" t="s">
        <v>31</v>
      </c>
      <c r="G2345" s="69" t="s">
        <v>171</v>
      </c>
      <c r="H2345" s="0" t="n">
        <v>16</v>
      </c>
      <c r="I2345" s="70" t="n">
        <v>117.6</v>
      </c>
      <c r="J2345" s="70" t="n">
        <v>63.6</v>
      </c>
      <c r="K2345" s="70" t="n">
        <f aca="false">IF(ISTEXT(H2345),VALUE(H2345),H2345)*I2345</f>
        <v>1881.6</v>
      </c>
    </row>
    <row r="2346" customFormat="false" ht="15" hidden="false" customHeight="false" outlineLevel="0" collapsed="false">
      <c r="A2346" s="0" t="n">
        <v>812</v>
      </c>
      <c r="B2346" s="68" t="n">
        <v>45550</v>
      </c>
      <c r="C2346" s="69" t="s">
        <v>170</v>
      </c>
      <c r="D2346" s="69" t="s">
        <v>97</v>
      </c>
      <c r="E2346" s="69" t="s">
        <v>119</v>
      </c>
      <c r="F2346" s="69" t="s">
        <v>28</v>
      </c>
      <c r="G2346" s="69" t="s">
        <v>208</v>
      </c>
      <c r="H2346" s="0" t="n">
        <v>42</v>
      </c>
      <c r="I2346" s="70" t="n">
        <v>63.7</v>
      </c>
      <c r="J2346" s="70" t="n">
        <v>35.43</v>
      </c>
      <c r="K2346" s="70" t="n">
        <f aca="false">IF(ISTEXT(H2346),VALUE(H2346),H2346)*I2346</f>
        <v>2675.4</v>
      </c>
    </row>
    <row r="2347" customFormat="false" ht="15" hidden="false" customHeight="false" outlineLevel="0" collapsed="false">
      <c r="A2347" s="0" t="n">
        <v>616</v>
      </c>
      <c r="B2347" s="68" t="n">
        <v>45493</v>
      </c>
      <c r="C2347" s="69" t="s">
        <v>170</v>
      </c>
      <c r="D2347" s="69" t="s">
        <v>97</v>
      </c>
      <c r="E2347" s="69" t="s">
        <v>98</v>
      </c>
      <c r="F2347" s="69" t="s">
        <v>31</v>
      </c>
      <c r="G2347" s="69" t="s">
        <v>51</v>
      </c>
      <c r="H2347" s="0" t="n">
        <v>22</v>
      </c>
      <c r="I2347" s="70" t="n">
        <v>83.3</v>
      </c>
      <c r="J2347" s="70" t="n">
        <v>48.03</v>
      </c>
      <c r="K2347" s="70" t="n">
        <f aca="false">IF(ISTEXT(H2347),VALUE(H2347),H2347)*I2347</f>
        <v>1832.6</v>
      </c>
    </row>
    <row r="2348" customFormat="false" ht="15" hidden="false" customHeight="false" outlineLevel="0" collapsed="false">
      <c r="A2348" s="0" t="n">
        <v>1635</v>
      </c>
      <c r="B2348" s="68" t="n">
        <v>45802</v>
      </c>
      <c r="C2348" s="69" t="s">
        <v>27</v>
      </c>
      <c r="D2348" s="69" t="s">
        <v>86</v>
      </c>
      <c r="E2348" s="69" t="s">
        <v>110</v>
      </c>
      <c r="F2348" s="69" t="s">
        <v>166</v>
      </c>
      <c r="G2348" s="69" t="s">
        <v>51</v>
      </c>
      <c r="H2348" s="0" t="n">
        <v>22</v>
      </c>
      <c r="I2348" s="70" t="n">
        <v>84.46</v>
      </c>
      <c r="J2348" s="70" t="n">
        <v>49.47</v>
      </c>
      <c r="K2348" s="70" t="n">
        <f aca="false">IF(ISTEXT(H2348),VALUE(H2348),H2348)*I2348</f>
        <v>1858.12</v>
      </c>
    </row>
    <row r="2349" customFormat="false" ht="15" hidden="false" customHeight="false" outlineLevel="0" collapsed="false">
      <c r="A2349" s="0" t="n">
        <v>987</v>
      </c>
      <c r="B2349" s="68" t="n">
        <v>45590</v>
      </c>
      <c r="C2349" s="69" t="s">
        <v>161</v>
      </c>
      <c r="D2349" s="69" t="s">
        <v>112</v>
      </c>
      <c r="E2349" s="69" t="s">
        <v>138</v>
      </c>
      <c r="F2349" s="69" t="s">
        <v>102</v>
      </c>
      <c r="G2349" s="69" t="s">
        <v>47</v>
      </c>
      <c r="H2349" s="0" t="n">
        <v>28</v>
      </c>
      <c r="I2349" s="70" t="n">
        <v>27.44</v>
      </c>
      <c r="J2349" s="70" t="n">
        <v>13.44</v>
      </c>
      <c r="K2349" s="70" t="n">
        <f aca="false">IF(ISTEXT(H2349),VALUE(H2349),H2349)*I2349</f>
        <v>768.32</v>
      </c>
    </row>
    <row r="2350" customFormat="false" ht="15" hidden="false" customHeight="false" outlineLevel="0" collapsed="false">
      <c r="A2350" s="0" t="n">
        <v>1092</v>
      </c>
      <c r="B2350" s="68" t="n">
        <v>45600</v>
      </c>
      <c r="C2350" s="69" t="s">
        <v>34</v>
      </c>
      <c r="D2350" s="69" t="s">
        <v>112</v>
      </c>
      <c r="E2350" s="69" t="s">
        <v>87</v>
      </c>
      <c r="F2350" s="69" t="s">
        <v>143</v>
      </c>
      <c r="G2350" s="69" t="s">
        <v>208</v>
      </c>
      <c r="H2350" s="0" t="s">
        <v>260</v>
      </c>
      <c r="I2350" s="70" t="n">
        <v>63.7</v>
      </c>
      <c r="J2350" s="70" t="n">
        <v>35.43</v>
      </c>
      <c r="K2350" s="70" t="n">
        <f aca="false">IF(ISTEXT(H2350),VALUE(H2350),H2350)*I2350</f>
        <v>891.8</v>
      </c>
    </row>
    <row r="2351" customFormat="false" ht="15" hidden="false" customHeight="false" outlineLevel="0" collapsed="false">
      <c r="A2351" s="0" t="n">
        <v>2121</v>
      </c>
      <c r="B2351" s="68" t="n">
        <v>45955</v>
      </c>
      <c r="C2351" s="69" t="s">
        <v>91</v>
      </c>
      <c r="D2351" s="69" t="s">
        <v>86</v>
      </c>
      <c r="E2351" s="69" t="s">
        <v>110</v>
      </c>
      <c r="F2351" s="69" t="s">
        <v>147</v>
      </c>
      <c r="G2351" s="69" t="s">
        <v>41</v>
      </c>
      <c r="H2351" s="0" t="n">
        <v>12</v>
      </c>
      <c r="I2351" s="70" t="n">
        <v>1204.74</v>
      </c>
      <c r="J2351" s="70" t="n">
        <v>766.32</v>
      </c>
      <c r="K2351" s="70" t="n">
        <f aca="false">IF(ISTEXT(H2351),VALUE(H2351),H2351)*I2351</f>
        <v>14456.88</v>
      </c>
    </row>
    <row r="2352" customFormat="false" ht="15" hidden="false" customHeight="false" outlineLevel="0" collapsed="false">
      <c r="A2352" s="0" t="n">
        <v>2246</v>
      </c>
      <c r="B2352" s="68" t="n">
        <v>45970</v>
      </c>
      <c r="C2352" s="69" t="s">
        <v>152</v>
      </c>
      <c r="D2352" s="69" t="s">
        <v>109</v>
      </c>
      <c r="E2352" s="69" t="s">
        <v>98</v>
      </c>
      <c r="F2352" s="69" t="s">
        <v>26</v>
      </c>
      <c r="G2352" s="69" t="s">
        <v>141</v>
      </c>
      <c r="H2352" s="0" t="n">
        <v>6</v>
      </c>
      <c r="I2352" s="70" t="n">
        <v>1656.52</v>
      </c>
      <c r="J2352" s="70" t="n">
        <v>1155.66</v>
      </c>
      <c r="K2352" s="70" t="n">
        <f aca="false">IF(ISTEXT(H2352),VALUE(H2352),H2352)*I2352</f>
        <v>9939.12</v>
      </c>
    </row>
    <row r="2353" customFormat="false" ht="15" hidden="false" customHeight="false" outlineLevel="0" collapsed="false">
      <c r="A2353" s="0" t="n">
        <v>1567</v>
      </c>
      <c r="B2353" s="69" t="s">
        <v>839</v>
      </c>
      <c r="C2353" s="69" t="s">
        <v>32</v>
      </c>
      <c r="D2353" s="69" t="s">
        <v>137</v>
      </c>
      <c r="E2353" s="69" t="s">
        <v>92</v>
      </c>
      <c r="F2353" s="69" t="s">
        <v>155</v>
      </c>
      <c r="G2353" s="69" t="s">
        <v>47</v>
      </c>
      <c r="H2353" s="0" t="n">
        <v>30</v>
      </c>
      <c r="I2353" s="70" t="n">
        <v>27.82</v>
      </c>
      <c r="J2353" s="70" t="n">
        <v>13.84</v>
      </c>
      <c r="K2353" s="70" t="n">
        <f aca="false">IF(ISTEXT(H2353),VALUE(H2353),H2353)*I2353</f>
        <v>834.6</v>
      </c>
    </row>
    <row r="2354" customFormat="false" ht="15" hidden="false" customHeight="false" outlineLevel="0" collapsed="false">
      <c r="A2354" s="0" t="n">
        <v>332</v>
      </c>
      <c r="B2354" s="69" t="s">
        <v>382</v>
      </c>
      <c r="C2354" s="69" t="s">
        <v>27</v>
      </c>
      <c r="D2354" s="69" t="s">
        <v>86</v>
      </c>
      <c r="E2354" s="69" t="s">
        <v>180</v>
      </c>
      <c r="F2354" s="69" t="s">
        <v>143</v>
      </c>
      <c r="G2354" s="69" t="s">
        <v>208</v>
      </c>
      <c r="H2354" s="0" t="n">
        <v>21</v>
      </c>
      <c r="I2354" s="70" t="n">
        <v>63.7</v>
      </c>
      <c r="J2354" s="70" t="n">
        <v>35.43</v>
      </c>
      <c r="K2354" s="70" t="n">
        <f aca="false">IF(ISTEXT(H2354),VALUE(H2354),H2354)*I2354</f>
        <v>1337.7</v>
      </c>
    </row>
    <row r="2355" customFormat="false" ht="15" hidden="false" customHeight="false" outlineLevel="0" collapsed="false">
      <c r="A2355" s="0" t="n">
        <v>2240</v>
      </c>
      <c r="B2355" s="68" t="n">
        <v>45982</v>
      </c>
      <c r="C2355" s="69" t="s">
        <v>120</v>
      </c>
      <c r="D2355" s="69" t="s">
        <v>86</v>
      </c>
      <c r="E2355" s="69" t="s">
        <v>107</v>
      </c>
      <c r="F2355" s="69" t="s">
        <v>33</v>
      </c>
      <c r="G2355" s="69" t="s">
        <v>217</v>
      </c>
      <c r="H2355" s="0" t="n">
        <v>24</v>
      </c>
      <c r="I2355" s="70" t="n">
        <v>35.14</v>
      </c>
      <c r="J2355" s="70" t="n">
        <v>18.39</v>
      </c>
      <c r="K2355" s="70" t="n">
        <f aca="false">IF(ISTEXT(H2355),VALUE(H2355),H2355)*I2355</f>
        <v>843.36</v>
      </c>
    </row>
    <row r="2356" customFormat="false" ht="15" hidden="false" customHeight="false" outlineLevel="0" collapsed="false">
      <c r="A2356" s="0" t="n">
        <v>1513</v>
      </c>
      <c r="B2356" s="69" t="s">
        <v>282</v>
      </c>
      <c r="C2356" s="69" t="s">
        <v>25</v>
      </c>
      <c r="D2356" s="69" t="s">
        <v>97</v>
      </c>
      <c r="E2356" s="69" t="s">
        <v>121</v>
      </c>
      <c r="F2356" s="69" t="s">
        <v>31</v>
      </c>
      <c r="G2356" s="69" t="s">
        <v>156</v>
      </c>
      <c r="H2356" s="0" t="n">
        <v>45</v>
      </c>
      <c r="I2356" s="70" t="n">
        <v>119.23</v>
      </c>
      <c r="J2356" s="70" t="n">
        <v>65.51</v>
      </c>
      <c r="K2356" s="70" t="n">
        <f aca="false">IF(ISTEXT(H2356),VALUE(H2356),H2356)*I2356</f>
        <v>5365.35</v>
      </c>
    </row>
    <row r="2357" customFormat="false" ht="15" hidden="false" customHeight="false" outlineLevel="0" collapsed="false">
      <c r="A2357" s="0" t="n">
        <v>2026</v>
      </c>
      <c r="B2357" s="68" t="n">
        <v>45908</v>
      </c>
      <c r="C2357" s="69" t="s">
        <v>120</v>
      </c>
      <c r="D2357" s="69" t="s">
        <v>86</v>
      </c>
      <c r="E2357" s="69" t="s">
        <v>98</v>
      </c>
      <c r="F2357" s="69" t="s">
        <v>135</v>
      </c>
      <c r="G2357" s="69" t="s">
        <v>157</v>
      </c>
      <c r="H2357" s="0" t="n">
        <v>7</v>
      </c>
      <c r="I2357" s="70" t="n">
        <v>1656.52</v>
      </c>
      <c r="J2357" s="70" t="n">
        <v>1155.66</v>
      </c>
      <c r="K2357" s="70" t="n">
        <f aca="false">IF(ISTEXT(H2357),VALUE(H2357),H2357)*I2357</f>
        <v>11595.64</v>
      </c>
    </row>
    <row r="2358" customFormat="false" ht="15" hidden="false" customHeight="false" outlineLevel="0" collapsed="false">
      <c r="A2358" s="0" t="n">
        <v>1437</v>
      </c>
      <c r="B2358" s="68" t="n">
        <v>45732</v>
      </c>
      <c r="C2358" s="69" t="s">
        <v>27</v>
      </c>
      <c r="D2358" s="69" t="s">
        <v>86</v>
      </c>
      <c r="E2358" s="69" t="s">
        <v>110</v>
      </c>
      <c r="F2358" s="69" t="s">
        <v>33</v>
      </c>
      <c r="G2358" s="69" t="s">
        <v>52</v>
      </c>
      <c r="H2358" s="0" t="n">
        <v>29</v>
      </c>
      <c r="I2358" s="70" t="n">
        <v>129.17</v>
      </c>
      <c r="J2358" s="70" t="n">
        <v>78.33</v>
      </c>
      <c r="K2358" s="70" t="n">
        <f aca="false">IF(ISTEXT(H2358),VALUE(H2358),H2358)*I2358</f>
        <v>3745.93</v>
      </c>
    </row>
    <row r="2359" customFormat="false" ht="15" hidden="false" customHeight="false" outlineLevel="0" collapsed="false">
      <c r="A2359" s="0" t="n">
        <v>1619</v>
      </c>
      <c r="B2359" s="69" t="s">
        <v>840</v>
      </c>
      <c r="C2359" s="69" t="s">
        <v>150</v>
      </c>
      <c r="D2359" s="69" t="s">
        <v>97</v>
      </c>
      <c r="E2359" s="69" t="s">
        <v>110</v>
      </c>
      <c r="F2359" s="69" t="s">
        <v>182</v>
      </c>
      <c r="G2359" s="69" t="s">
        <v>217</v>
      </c>
      <c r="H2359" s="0" t="n">
        <v>63</v>
      </c>
      <c r="I2359" s="70" t="n">
        <v>34.78</v>
      </c>
      <c r="J2359" s="70" t="n">
        <v>18.39</v>
      </c>
      <c r="K2359" s="70" t="n">
        <f aca="false">IF(ISTEXT(H2359),VALUE(H2359),H2359)*I2359</f>
        <v>2191.14</v>
      </c>
    </row>
    <row r="2360" customFormat="false" ht="15" hidden="false" customHeight="false" outlineLevel="0" collapsed="false">
      <c r="A2360" s="0" t="n">
        <v>1509</v>
      </c>
      <c r="B2360" s="69" t="s">
        <v>841</v>
      </c>
      <c r="C2360" s="69" t="s">
        <v>96</v>
      </c>
      <c r="D2360" s="69" t="s">
        <v>97</v>
      </c>
      <c r="E2360" s="69" t="s">
        <v>101</v>
      </c>
      <c r="F2360" s="69" t="s">
        <v>99</v>
      </c>
      <c r="G2360" s="69" t="s">
        <v>48</v>
      </c>
      <c r="H2360" s="0" t="n">
        <v>95</v>
      </c>
      <c r="I2360" s="70" t="n">
        <v>94.39</v>
      </c>
      <c r="J2360" s="70" t="n">
        <v>49.41</v>
      </c>
      <c r="K2360" s="70" t="n">
        <f aca="false">IF(ISTEXT(H2360),VALUE(H2360),H2360)*I2360</f>
        <v>8967.05</v>
      </c>
    </row>
    <row r="2361" customFormat="false" ht="15" hidden="false" customHeight="false" outlineLevel="0" collapsed="false">
      <c r="A2361" s="0" t="n">
        <v>1451</v>
      </c>
      <c r="B2361" s="68" t="n">
        <v>45722</v>
      </c>
      <c r="C2361" s="69" t="s">
        <v>108</v>
      </c>
      <c r="D2361" s="69" t="s">
        <v>109</v>
      </c>
      <c r="E2361" s="69" t="s">
        <v>138</v>
      </c>
      <c r="F2361" s="69" t="s">
        <v>102</v>
      </c>
      <c r="G2361" s="69" t="s">
        <v>144</v>
      </c>
      <c r="H2361" s="0" t="n">
        <v>35</v>
      </c>
      <c r="I2361" s="70" t="n">
        <v>64.58</v>
      </c>
      <c r="J2361" s="70" t="n">
        <v>36.49</v>
      </c>
      <c r="K2361" s="70" t="n">
        <f aca="false">IF(ISTEXT(H2361),VALUE(H2361),H2361)*I2361</f>
        <v>2260.3</v>
      </c>
    </row>
    <row r="2362" customFormat="false" ht="15" hidden="false" customHeight="false" outlineLevel="0" collapsed="false">
      <c r="A2362" s="0" t="n">
        <v>962</v>
      </c>
      <c r="B2362" s="68" t="n">
        <v>45577</v>
      </c>
      <c r="C2362" s="69" t="s">
        <v>184</v>
      </c>
      <c r="D2362" s="69" t="s">
        <v>137</v>
      </c>
      <c r="E2362" s="69" t="s">
        <v>87</v>
      </c>
      <c r="F2362" s="69" t="s">
        <v>139</v>
      </c>
      <c r="G2362" s="69" t="s">
        <v>151</v>
      </c>
      <c r="H2362" s="0" t="n">
        <v>2</v>
      </c>
      <c r="I2362" s="70" t="n">
        <v>1176</v>
      </c>
      <c r="J2362" s="70" t="n">
        <v>744</v>
      </c>
      <c r="K2362" s="70" t="n">
        <f aca="false">IF(ISTEXT(H2362),VALUE(H2362),H2362)*I2362</f>
        <v>2352</v>
      </c>
    </row>
    <row r="2363" customFormat="false" ht="15" hidden="false" customHeight="false" outlineLevel="0" collapsed="false">
      <c r="A2363" s="0" t="n">
        <v>297</v>
      </c>
      <c r="B2363" s="69" t="s">
        <v>842</v>
      </c>
      <c r="C2363" s="69" t="s">
        <v>34</v>
      </c>
      <c r="D2363" s="69" t="s">
        <v>112</v>
      </c>
      <c r="E2363" s="69" t="s">
        <v>134</v>
      </c>
      <c r="F2363" s="69" t="s">
        <v>168</v>
      </c>
      <c r="G2363" s="69" t="s">
        <v>52</v>
      </c>
      <c r="H2363" s="0" t="n">
        <v>19</v>
      </c>
      <c r="I2363" s="70" t="n">
        <v>127.4</v>
      </c>
      <c r="J2363" s="70" t="n">
        <v>76.05</v>
      </c>
      <c r="K2363" s="70" t="n">
        <f aca="false">IF(ISTEXT(H2363),VALUE(H2363),H2363)*I2363</f>
        <v>2420.6</v>
      </c>
    </row>
    <row r="2364" customFormat="false" ht="15" hidden="false" customHeight="false" outlineLevel="0" collapsed="false">
      <c r="A2364" s="0" t="n">
        <v>2340</v>
      </c>
      <c r="B2364" s="69" t="s">
        <v>843</v>
      </c>
      <c r="C2364" s="69" t="s">
        <v>91</v>
      </c>
      <c r="D2364" s="69" t="s">
        <v>86</v>
      </c>
      <c r="E2364" s="69" t="s">
        <v>125</v>
      </c>
      <c r="F2364" s="69" t="s">
        <v>183</v>
      </c>
      <c r="G2364" s="69" t="s">
        <v>53</v>
      </c>
      <c r="H2364" s="0" t="n">
        <v>33</v>
      </c>
      <c r="I2364" s="70" t="n">
        <v>35.14</v>
      </c>
      <c r="J2364" s="70" t="n">
        <v>18.39</v>
      </c>
      <c r="K2364" s="70" t="n">
        <f aca="false">IF(ISTEXT(H2364),VALUE(H2364),H2364)*I2364</f>
        <v>1159.62</v>
      </c>
    </row>
    <row r="2365" customFormat="false" ht="15" hidden="false" customHeight="false" outlineLevel="0" collapsed="false">
      <c r="A2365" s="0" t="n">
        <v>828</v>
      </c>
      <c r="B2365" s="68" t="n">
        <v>45554</v>
      </c>
      <c r="C2365" s="69" t="s">
        <v>120</v>
      </c>
      <c r="D2365" s="69" t="s">
        <v>86</v>
      </c>
      <c r="E2365" s="69" t="s">
        <v>180</v>
      </c>
      <c r="F2365" s="69" t="s">
        <v>28</v>
      </c>
      <c r="G2365" s="69" t="s">
        <v>103</v>
      </c>
      <c r="H2365" s="0" t="n">
        <v>18</v>
      </c>
      <c r="I2365" s="70" t="n">
        <v>27.44</v>
      </c>
      <c r="J2365" s="70" t="n">
        <v>13.44</v>
      </c>
      <c r="K2365" s="70" t="n">
        <f aca="false">IF(ISTEXT(H2365),VALUE(H2365),H2365)*I2365</f>
        <v>493.92</v>
      </c>
    </row>
    <row r="2366" customFormat="false" ht="15" hidden="false" customHeight="false" outlineLevel="0" collapsed="false">
      <c r="A2366" s="0" t="n">
        <v>1817</v>
      </c>
      <c r="B2366" s="68" t="n">
        <v>45841</v>
      </c>
      <c r="C2366" s="69" t="s">
        <v>25</v>
      </c>
      <c r="D2366" s="69" t="s">
        <v>97</v>
      </c>
      <c r="E2366" s="69" t="s">
        <v>110</v>
      </c>
      <c r="F2366" s="69" t="s">
        <v>182</v>
      </c>
      <c r="G2366" s="69" t="s">
        <v>130</v>
      </c>
      <c r="H2366" s="0" t="n">
        <v>55</v>
      </c>
      <c r="I2366" s="70" t="n">
        <v>130.51</v>
      </c>
      <c r="J2366" s="70" t="n">
        <v>78.33</v>
      </c>
      <c r="K2366" s="70" t="n">
        <f aca="false">IF(ISTEXT(H2366),VALUE(H2366),H2366)*I2366</f>
        <v>7178.05</v>
      </c>
    </row>
    <row r="2367" customFormat="false" ht="15" hidden="false" customHeight="false" outlineLevel="0" collapsed="false">
      <c r="A2367" s="0" t="n">
        <v>1099</v>
      </c>
      <c r="B2367" s="68" t="n">
        <v>45622</v>
      </c>
      <c r="C2367" s="69" t="s">
        <v>34</v>
      </c>
      <c r="D2367" s="69" t="s">
        <v>112</v>
      </c>
      <c r="E2367" s="69" t="s">
        <v>92</v>
      </c>
      <c r="F2367" s="69" t="s">
        <v>168</v>
      </c>
      <c r="G2367" s="69" t="s">
        <v>217</v>
      </c>
      <c r="H2367" s="0" t="n">
        <v>24</v>
      </c>
      <c r="I2367" s="70" t="n">
        <v>34.3</v>
      </c>
      <c r="J2367" s="70" t="n">
        <v>17.85</v>
      </c>
      <c r="K2367" s="70" t="n">
        <f aca="false">IF(ISTEXT(H2367),VALUE(H2367),H2367)*I2367</f>
        <v>823.2</v>
      </c>
    </row>
    <row r="2368" customFormat="false" ht="15" hidden="false" customHeight="false" outlineLevel="0" collapsed="false">
      <c r="A2368" s="0" t="n">
        <v>652</v>
      </c>
      <c r="B2368" s="68" t="n">
        <v>45475</v>
      </c>
      <c r="C2368" s="69" t="s">
        <v>30</v>
      </c>
      <c r="D2368" s="69" t="s">
        <v>109</v>
      </c>
      <c r="E2368" s="69" t="s">
        <v>125</v>
      </c>
      <c r="F2368" s="69" t="s">
        <v>102</v>
      </c>
      <c r="G2368" s="69" t="s">
        <v>208</v>
      </c>
      <c r="H2368" s="0" t="s">
        <v>254</v>
      </c>
      <c r="I2368" s="70" t="n">
        <v>63.7</v>
      </c>
      <c r="J2368" s="70" t="n">
        <v>35.43</v>
      </c>
      <c r="K2368" s="70" t="n">
        <f aca="false">IF(ISTEXT(H2368),VALUE(H2368),H2368)*I2368</f>
        <v>1274</v>
      </c>
    </row>
    <row r="2369" customFormat="false" ht="15" hidden="false" customHeight="false" outlineLevel="0" collapsed="false">
      <c r="A2369" s="0" t="n">
        <v>1816</v>
      </c>
      <c r="B2369" s="68" t="n">
        <v>45861</v>
      </c>
      <c r="C2369" s="69" t="s">
        <v>170</v>
      </c>
      <c r="D2369" s="69" t="s">
        <v>97</v>
      </c>
      <c r="E2369" s="69" t="s">
        <v>107</v>
      </c>
      <c r="F2369" s="69" t="s">
        <v>31</v>
      </c>
      <c r="G2369" s="69" t="s">
        <v>51</v>
      </c>
      <c r="H2369" s="0" t="n">
        <v>31</v>
      </c>
      <c r="I2369" s="70" t="n">
        <v>85.34</v>
      </c>
      <c r="J2369" s="70" t="n">
        <v>49.47</v>
      </c>
      <c r="K2369" s="70" t="n">
        <f aca="false">IF(ISTEXT(H2369),VALUE(H2369),H2369)*I2369</f>
        <v>2645.54</v>
      </c>
    </row>
    <row r="2370" customFormat="false" ht="15" hidden="false" customHeight="false" outlineLevel="0" collapsed="false">
      <c r="A2370" s="0" t="n">
        <v>327</v>
      </c>
      <c r="B2370" s="69" t="s">
        <v>756</v>
      </c>
      <c r="C2370" s="69" t="s">
        <v>91</v>
      </c>
      <c r="D2370" s="69" t="s">
        <v>86</v>
      </c>
      <c r="E2370" s="69" t="s">
        <v>121</v>
      </c>
      <c r="F2370" s="69" t="s">
        <v>155</v>
      </c>
      <c r="G2370" s="69" t="s">
        <v>113</v>
      </c>
      <c r="H2370" s="0" t="n">
        <v>52</v>
      </c>
      <c r="I2370" s="70" t="n">
        <v>27.44</v>
      </c>
      <c r="J2370" s="70" t="n">
        <v>13.44</v>
      </c>
      <c r="K2370" s="70" t="n">
        <f aca="false">IF(ISTEXT(H2370),VALUE(H2370),H2370)*I2370</f>
        <v>1426.88</v>
      </c>
    </row>
    <row r="2371" customFormat="false" ht="15" hidden="false" customHeight="false" outlineLevel="0" collapsed="false">
      <c r="A2371" s="0" t="n">
        <v>1996</v>
      </c>
      <c r="B2371" s="68" t="n">
        <v>45883</v>
      </c>
      <c r="C2371" s="69" t="s">
        <v>34</v>
      </c>
      <c r="D2371" s="69" t="s">
        <v>112</v>
      </c>
      <c r="E2371" s="69" t="s">
        <v>87</v>
      </c>
      <c r="F2371" s="69" t="s">
        <v>31</v>
      </c>
      <c r="G2371" s="69" t="s">
        <v>111</v>
      </c>
      <c r="H2371" s="0" t="n">
        <v>10</v>
      </c>
      <c r="I2371" s="70" t="n">
        <v>85.34</v>
      </c>
      <c r="J2371" s="70" t="n">
        <v>49.47</v>
      </c>
      <c r="K2371" s="70" t="n">
        <f aca="false">IF(ISTEXT(H2371),VALUE(H2371),H2371)*I2371</f>
        <v>853.4</v>
      </c>
    </row>
    <row r="2372" customFormat="false" ht="15" hidden="false" customHeight="false" outlineLevel="0" collapsed="false">
      <c r="A2372" s="0" t="n">
        <v>942</v>
      </c>
      <c r="B2372" s="68" t="n">
        <v>45572</v>
      </c>
      <c r="C2372" s="69" t="s">
        <v>30</v>
      </c>
      <c r="D2372" s="69" t="s">
        <v>109</v>
      </c>
      <c r="E2372" s="69" t="s">
        <v>98</v>
      </c>
      <c r="F2372" s="69" t="s">
        <v>153</v>
      </c>
      <c r="G2372" s="69" t="s">
        <v>154</v>
      </c>
      <c r="H2372" s="0" t="n">
        <v>3</v>
      </c>
      <c r="I2372" s="70" t="n">
        <v>1176</v>
      </c>
      <c r="J2372" s="70" t="n">
        <v>744</v>
      </c>
      <c r="K2372" s="70" t="n">
        <f aca="false">IF(ISTEXT(H2372),VALUE(H2372),H2372)*I2372</f>
        <v>3528</v>
      </c>
    </row>
    <row r="2373" customFormat="false" ht="15" hidden="false" customHeight="false" outlineLevel="0" collapsed="false">
      <c r="A2373" s="0" t="n">
        <v>782</v>
      </c>
      <c r="B2373" s="68" t="n">
        <v>45525</v>
      </c>
      <c r="C2373" s="69" t="s">
        <v>34</v>
      </c>
      <c r="D2373" s="69" t="s">
        <v>112</v>
      </c>
      <c r="E2373" s="69" t="s">
        <v>87</v>
      </c>
      <c r="F2373" s="69" t="s">
        <v>153</v>
      </c>
      <c r="G2373" s="69" t="s">
        <v>151</v>
      </c>
      <c r="H2373" s="0" t="n">
        <v>3</v>
      </c>
      <c r="I2373" s="70" t="n">
        <v>1176</v>
      </c>
      <c r="J2373" s="70" t="n">
        <v>744</v>
      </c>
      <c r="K2373" s="70" t="n">
        <f aca="false">IF(ISTEXT(H2373),VALUE(H2373),H2373)*I2373</f>
        <v>3528</v>
      </c>
    </row>
    <row r="2374" customFormat="false" ht="15" hidden="false" customHeight="false" outlineLevel="0" collapsed="false">
      <c r="A2374" s="0" t="n">
        <v>1641</v>
      </c>
      <c r="B2374" s="68" t="n">
        <v>45790</v>
      </c>
      <c r="C2374" s="69" t="s">
        <v>118</v>
      </c>
      <c r="D2374" s="69" t="s">
        <v>109</v>
      </c>
      <c r="E2374" s="69" t="s">
        <v>121</v>
      </c>
      <c r="F2374" s="69" t="s">
        <v>153</v>
      </c>
      <c r="G2374" s="69" t="s">
        <v>151</v>
      </c>
      <c r="H2374" s="0" t="n">
        <v>7</v>
      </c>
      <c r="I2374" s="70" t="n">
        <v>1155.06</v>
      </c>
      <c r="J2374" s="70" t="n">
        <v>766.32</v>
      </c>
      <c r="K2374" s="70" t="n">
        <f aca="false">IF(ISTEXT(H2374),VALUE(H2374),H2374)*I2374</f>
        <v>8085.42</v>
      </c>
    </row>
    <row r="2375" customFormat="false" ht="15" hidden="false" customHeight="false" outlineLevel="0" collapsed="false">
      <c r="A2375" s="0" t="n">
        <v>2270</v>
      </c>
      <c r="B2375" s="69" t="s">
        <v>844</v>
      </c>
      <c r="C2375" s="69" t="s">
        <v>184</v>
      </c>
      <c r="D2375" s="69" t="s">
        <v>137</v>
      </c>
      <c r="E2375" s="69" t="s">
        <v>119</v>
      </c>
      <c r="F2375" s="69" t="s">
        <v>143</v>
      </c>
      <c r="G2375" s="69" t="s">
        <v>48</v>
      </c>
      <c r="H2375" s="0" t="n">
        <v>23</v>
      </c>
      <c r="I2375" s="70" t="n">
        <v>95.38</v>
      </c>
      <c r="J2375" s="70" t="n">
        <v>49.41</v>
      </c>
      <c r="K2375" s="70" t="n">
        <f aca="false">IF(ISTEXT(H2375),VALUE(H2375),H2375)*I2375</f>
        <v>2193.74</v>
      </c>
    </row>
    <row r="2376" customFormat="false" ht="15" hidden="false" customHeight="false" outlineLevel="0" collapsed="false">
      <c r="A2376" s="0" t="n">
        <v>294</v>
      </c>
      <c r="B2376" s="69" t="s">
        <v>845</v>
      </c>
      <c r="C2376" s="69" t="s">
        <v>161</v>
      </c>
      <c r="D2376" s="69" t="s">
        <v>112</v>
      </c>
      <c r="E2376" s="69" t="s">
        <v>107</v>
      </c>
      <c r="F2376" s="69" t="s">
        <v>162</v>
      </c>
      <c r="G2376" s="69" t="s">
        <v>50</v>
      </c>
      <c r="H2376" s="0" t="n">
        <v>5</v>
      </c>
      <c r="I2376" s="70" t="n">
        <v>117.6</v>
      </c>
      <c r="J2376" s="70" t="n">
        <v>63.6</v>
      </c>
      <c r="K2376" s="70" t="n">
        <f aca="false">IF(ISTEXT(H2376),VALUE(H2376),H2376)*I2376</f>
        <v>588</v>
      </c>
    </row>
    <row r="2377" customFormat="false" ht="15" hidden="false" customHeight="false" outlineLevel="0" collapsed="false">
      <c r="A2377" s="0" t="n">
        <v>392</v>
      </c>
      <c r="B2377" s="68" t="n">
        <v>45400</v>
      </c>
      <c r="C2377" s="69" t="s">
        <v>133</v>
      </c>
      <c r="D2377" s="69" t="s">
        <v>112</v>
      </c>
      <c r="E2377" s="69" t="s">
        <v>98</v>
      </c>
      <c r="F2377" s="69" t="s">
        <v>99</v>
      </c>
      <c r="G2377" s="69" t="s">
        <v>208</v>
      </c>
      <c r="H2377" s="0" t="n">
        <v>10</v>
      </c>
      <c r="I2377" s="70" t="n">
        <v>63.7</v>
      </c>
      <c r="J2377" s="70" t="n">
        <v>35.43</v>
      </c>
      <c r="K2377" s="70" t="n">
        <f aca="false">IF(ISTEXT(H2377),VALUE(H2377),H2377)*I2377</f>
        <v>637</v>
      </c>
    </row>
    <row r="2378" customFormat="false" ht="15" hidden="false" customHeight="false" outlineLevel="0" collapsed="false">
      <c r="A2378" s="0" t="n">
        <v>261</v>
      </c>
      <c r="B2378" s="68" t="n">
        <v>45370</v>
      </c>
      <c r="C2378" s="69" t="s">
        <v>193</v>
      </c>
      <c r="D2378" s="69" t="s">
        <v>137</v>
      </c>
      <c r="E2378" s="69" t="s">
        <v>101</v>
      </c>
      <c r="F2378" s="69" t="s">
        <v>88</v>
      </c>
      <c r="G2378" s="69" t="s">
        <v>154</v>
      </c>
      <c r="H2378" s="0" t="s">
        <v>627</v>
      </c>
      <c r="I2378" s="70" t="n">
        <v>1176</v>
      </c>
      <c r="J2378" s="70" t="n">
        <v>744</v>
      </c>
      <c r="K2378" s="70" t="n">
        <f aca="false">IF(ISTEXT(H2378),VALUE(H2378),H2378)*I2378</f>
        <v>5880</v>
      </c>
    </row>
    <row r="2379" customFormat="false" ht="15" hidden="false" customHeight="false" outlineLevel="0" collapsed="false">
      <c r="A2379" s="0" t="n">
        <v>594</v>
      </c>
      <c r="B2379" s="69" t="s">
        <v>617</v>
      </c>
      <c r="C2379" s="69" t="s">
        <v>34</v>
      </c>
      <c r="D2379" s="69" t="s">
        <v>112</v>
      </c>
      <c r="E2379" s="69" t="s">
        <v>87</v>
      </c>
      <c r="F2379" s="69" t="s">
        <v>115</v>
      </c>
      <c r="G2379" s="69" t="s">
        <v>50</v>
      </c>
      <c r="H2379" s="0" t="n">
        <v>6</v>
      </c>
      <c r="I2379" s="70" t="n">
        <v>117.6</v>
      </c>
      <c r="J2379" s="70" t="n">
        <v>63.6</v>
      </c>
      <c r="K2379" s="70" t="n">
        <f aca="false">IF(ISTEXT(H2379),VALUE(H2379),H2379)*I2379</f>
        <v>705.6</v>
      </c>
    </row>
    <row r="2380" customFormat="false" ht="15" hidden="false" customHeight="false" outlineLevel="0" collapsed="false">
      <c r="A2380" s="0" t="n">
        <v>774</v>
      </c>
      <c r="B2380" s="68" t="n">
        <v>45523</v>
      </c>
      <c r="C2380" s="69" t="s">
        <v>32</v>
      </c>
      <c r="D2380" s="69" t="s">
        <v>137</v>
      </c>
      <c r="E2380" s="69" t="s">
        <v>125</v>
      </c>
      <c r="F2380" s="69" t="s">
        <v>166</v>
      </c>
      <c r="G2380" s="69" t="s">
        <v>156</v>
      </c>
      <c r="H2380" s="0" t="n">
        <v>6</v>
      </c>
      <c r="I2380" s="70" t="n">
        <v>117.6</v>
      </c>
      <c r="J2380" s="70" t="n">
        <v>63.6</v>
      </c>
      <c r="K2380" s="70" t="n">
        <f aca="false">IF(ISTEXT(H2380),VALUE(H2380),H2380)*I2380</f>
        <v>705.6</v>
      </c>
    </row>
    <row r="2381" customFormat="false" ht="15" hidden="false" customHeight="false" outlineLevel="0" collapsed="false">
      <c r="A2381" s="0" t="n">
        <v>1921</v>
      </c>
      <c r="B2381" s="68" t="n">
        <v>45871</v>
      </c>
      <c r="C2381" s="69" t="s">
        <v>27</v>
      </c>
      <c r="D2381" s="69" t="s">
        <v>86</v>
      </c>
      <c r="E2381" s="69" t="s">
        <v>134</v>
      </c>
      <c r="F2381" s="69" t="s">
        <v>153</v>
      </c>
      <c r="G2381" s="69" t="s">
        <v>151</v>
      </c>
      <c r="H2381" s="0" t="n">
        <v>12</v>
      </c>
      <c r="I2381" s="70" t="n">
        <v>1204.74</v>
      </c>
      <c r="J2381" s="70" t="n">
        <v>766.32</v>
      </c>
      <c r="K2381" s="70" t="n">
        <f aca="false">IF(ISTEXT(H2381),VALUE(H2381),H2381)*I2381</f>
        <v>14456.88</v>
      </c>
    </row>
    <row r="2382" customFormat="false" ht="15" hidden="false" customHeight="false" outlineLevel="0" collapsed="false">
      <c r="A2382" s="0" t="n">
        <v>100</v>
      </c>
      <c r="B2382" s="68" t="n">
        <v>45317</v>
      </c>
      <c r="C2382" s="69" t="s">
        <v>142</v>
      </c>
      <c r="D2382" s="69" t="s">
        <v>112</v>
      </c>
      <c r="E2382" s="69" t="s">
        <v>119</v>
      </c>
      <c r="F2382" s="69" t="s">
        <v>33</v>
      </c>
      <c r="G2382" s="69" t="s">
        <v>217</v>
      </c>
      <c r="H2382" s="0" t="n">
        <v>6</v>
      </c>
      <c r="I2382" s="70" t="n">
        <v>34.3</v>
      </c>
      <c r="J2382" s="70" t="n">
        <v>17.85</v>
      </c>
      <c r="K2382" s="70" t="n">
        <f aca="false">IF(ISTEXT(H2382),VALUE(H2382),H2382)*I2382</f>
        <v>205.8</v>
      </c>
    </row>
    <row r="2383" customFormat="false" ht="15" hidden="false" customHeight="false" outlineLevel="0" collapsed="false">
      <c r="A2383" s="0" t="n">
        <v>2324</v>
      </c>
      <c r="B2383" s="69" t="s">
        <v>480</v>
      </c>
      <c r="C2383" s="69" t="s">
        <v>91</v>
      </c>
      <c r="D2383" s="69"/>
      <c r="E2383" s="69" t="s">
        <v>98</v>
      </c>
      <c r="F2383" s="69" t="s">
        <v>153</v>
      </c>
      <c r="G2383" s="69" t="s">
        <v>177</v>
      </c>
      <c r="H2383" s="0" t="n">
        <v>12</v>
      </c>
      <c r="I2383" s="70" t="n">
        <v>451.78</v>
      </c>
      <c r="J2383" s="70" t="n">
        <v>280.42</v>
      </c>
      <c r="K2383" s="70" t="n">
        <f aca="false">IF(ISTEXT(H2383),VALUE(H2383),H2383)*I2383</f>
        <v>5421.36</v>
      </c>
    </row>
    <row r="2384" customFormat="false" ht="15" hidden="false" customHeight="false" outlineLevel="0" collapsed="false">
      <c r="A2384" s="0" t="n">
        <v>86</v>
      </c>
      <c r="B2384" s="69" t="s">
        <v>846</v>
      </c>
      <c r="C2384" s="69" t="s">
        <v>142</v>
      </c>
      <c r="D2384" s="69" t="s">
        <v>112</v>
      </c>
      <c r="E2384" s="69" t="s">
        <v>180</v>
      </c>
      <c r="F2384" s="69" t="s">
        <v>153</v>
      </c>
      <c r="G2384" s="69" t="s">
        <v>141</v>
      </c>
      <c r="H2384" s="0" t="n">
        <v>2</v>
      </c>
      <c r="I2384" s="70" t="n">
        <v>1617</v>
      </c>
      <c r="J2384" s="70" t="n">
        <v>1122</v>
      </c>
      <c r="K2384" s="70" t="n">
        <f aca="false">IF(ISTEXT(H2384),VALUE(H2384),H2384)*I2384</f>
        <v>3234</v>
      </c>
    </row>
    <row r="2385" customFormat="false" ht="15" hidden="false" customHeight="false" outlineLevel="0" collapsed="false">
      <c r="A2385" s="0" t="n">
        <v>67</v>
      </c>
      <c r="B2385" s="68" t="n">
        <v>45302</v>
      </c>
      <c r="C2385" s="69" t="s">
        <v>184</v>
      </c>
      <c r="D2385" s="69" t="s">
        <v>137</v>
      </c>
      <c r="E2385" s="69" t="s">
        <v>138</v>
      </c>
      <c r="F2385" s="69" t="s">
        <v>102</v>
      </c>
      <c r="G2385" s="69" t="s">
        <v>113</v>
      </c>
      <c r="H2385" s="0" t="n">
        <v>29</v>
      </c>
      <c r="I2385" s="70" t="n">
        <v>27.44</v>
      </c>
      <c r="J2385" s="70" t="n">
        <v>13.44</v>
      </c>
      <c r="K2385" s="70" t="n">
        <f aca="false">IF(ISTEXT(H2385),VALUE(H2385),H2385)*I2385</f>
        <v>795.76</v>
      </c>
    </row>
    <row r="2386" customFormat="false" ht="15" hidden="false" customHeight="false" outlineLevel="0" collapsed="false">
      <c r="A2386" s="0" t="n">
        <v>870</v>
      </c>
      <c r="B2386" s="68" t="n">
        <v>45551</v>
      </c>
      <c r="C2386" s="69" t="s">
        <v>184</v>
      </c>
      <c r="D2386" s="69" t="s">
        <v>137</v>
      </c>
      <c r="E2386" s="69" t="s">
        <v>125</v>
      </c>
      <c r="F2386" s="69" t="s">
        <v>102</v>
      </c>
      <c r="G2386" s="69" t="s">
        <v>172</v>
      </c>
      <c r="H2386" s="0" t="n">
        <v>10</v>
      </c>
      <c r="I2386" s="70" t="n">
        <v>93.1</v>
      </c>
      <c r="J2386" s="70" t="n">
        <v>47.98</v>
      </c>
      <c r="K2386" s="70" t="n">
        <f aca="false">IF(ISTEXT(H2386),VALUE(H2386),H2386)*I2386</f>
        <v>931</v>
      </c>
    </row>
    <row r="2387" customFormat="false" ht="15" hidden="false" customHeight="false" outlineLevel="0" collapsed="false">
      <c r="A2387" s="0" t="n">
        <v>1716</v>
      </c>
      <c r="B2387" s="68" t="n">
        <v>45833</v>
      </c>
      <c r="C2387" s="69" t="s">
        <v>150</v>
      </c>
      <c r="D2387" s="69" t="s">
        <v>97</v>
      </c>
      <c r="E2387" s="69" t="s">
        <v>87</v>
      </c>
      <c r="F2387" s="69" t="s">
        <v>31</v>
      </c>
      <c r="G2387" s="69" t="s">
        <v>116</v>
      </c>
      <c r="H2387" s="0" t="n">
        <v>34</v>
      </c>
      <c r="I2387" s="70" t="n">
        <v>84.46</v>
      </c>
      <c r="J2387" s="70" t="n">
        <v>49.47</v>
      </c>
      <c r="K2387" s="70" t="n">
        <f aca="false">IF(ISTEXT(H2387),VALUE(H2387),H2387)*I2387</f>
        <v>2871.64</v>
      </c>
    </row>
    <row r="2388" customFormat="false" ht="15" hidden="false" customHeight="false" outlineLevel="0" collapsed="false">
      <c r="A2388" s="0" t="n">
        <v>2235</v>
      </c>
      <c r="B2388" s="68" t="n">
        <v>45974</v>
      </c>
      <c r="C2388" s="69" t="s">
        <v>159</v>
      </c>
      <c r="D2388" s="69" t="s">
        <v>86</v>
      </c>
      <c r="E2388" s="69" t="s">
        <v>134</v>
      </c>
      <c r="F2388" s="69" t="s">
        <v>31</v>
      </c>
      <c r="G2388" s="69" t="s">
        <v>51</v>
      </c>
      <c r="H2388" s="0" t="n">
        <v>27</v>
      </c>
      <c r="I2388" s="70" t="n">
        <v>85.34</v>
      </c>
      <c r="J2388" s="70" t="n">
        <v>49.47</v>
      </c>
      <c r="K2388" s="70" t="n">
        <f aca="false">IF(ISTEXT(H2388),VALUE(H2388),H2388)*I2388</f>
        <v>2304.18</v>
      </c>
    </row>
    <row r="2389" customFormat="false" ht="15" hidden="false" customHeight="false" outlineLevel="0" collapsed="false">
      <c r="A2389" s="0" t="n">
        <v>902</v>
      </c>
      <c r="B2389" s="68" t="n">
        <v>45589</v>
      </c>
      <c r="C2389" s="69" t="s">
        <v>96</v>
      </c>
      <c r="D2389" s="69" t="s">
        <v>97</v>
      </c>
      <c r="E2389" s="69" t="s">
        <v>119</v>
      </c>
      <c r="F2389" s="69" t="s">
        <v>153</v>
      </c>
      <c r="G2389" s="69" t="s">
        <v>154</v>
      </c>
      <c r="H2389" s="0" t="n">
        <v>9</v>
      </c>
      <c r="I2389" s="70" t="n">
        <v>1176</v>
      </c>
      <c r="J2389" s="70" t="n">
        <v>744</v>
      </c>
      <c r="K2389" s="70" t="n">
        <f aca="false">IF(ISTEXT(H2389),VALUE(H2389),H2389)*I2389</f>
        <v>10584</v>
      </c>
    </row>
    <row r="2390" customFormat="false" ht="15" hidden="false" customHeight="false" outlineLevel="0" collapsed="false">
      <c r="A2390" s="0" t="n">
        <v>1687</v>
      </c>
      <c r="B2390" s="69" t="s">
        <v>695</v>
      </c>
      <c r="C2390" s="69" t="s">
        <v>142</v>
      </c>
      <c r="D2390" s="69" t="s">
        <v>112</v>
      </c>
      <c r="E2390" s="69" t="s">
        <v>101</v>
      </c>
      <c r="F2390" s="69" t="s">
        <v>99</v>
      </c>
      <c r="G2390" s="69" t="s">
        <v>103</v>
      </c>
      <c r="H2390" s="0" t="n">
        <v>34</v>
      </c>
      <c r="I2390" s="70" t="n">
        <v>27.82</v>
      </c>
      <c r="J2390" s="70" t="n">
        <v>13.84</v>
      </c>
      <c r="K2390" s="70" t="n">
        <f aca="false">IF(ISTEXT(H2390),VALUE(H2390),H2390)*I2390</f>
        <v>945.88</v>
      </c>
    </row>
    <row r="2391" customFormat="false" ht="15" hidden="false" customHeight="false" outlineLevel="0" collapsed="false">
      <c r="A2391" s="0" t="n">
        <v>467</v>
      </c>
      <c r="B2391" s="69" t="s">
        <v>847</v>
      </c>
      <c r="C2391" s="69" t="s">
        <v>136</v>
      </c>
      <c r="D2391" s="69" t="s">
        <v>137</v>
      </c>
      <c r="E2391" s="69" t="s">
        <v>134</v>
      </c>
      <c r="F2391" s="69" t="s">
        <v>28</v>
      </c>
      <c r="G2391" s="69" t="s">
        <v>47</v>
      </c>
      <c r="H2391" s="0" t="n">
        <v>29</v>
      </c>
      <c r="I2391" s="70" t="n">
        <v>27.44</v>
      </c>
      <c r="J2391" s="70" t="n">
        <v>13.44</v>
      </c>
      <c r="K2391" s="70" t="n">
        <f aca="false">IF(ISTEXT(H2391),VALUE(H2391),H2391)*I2391</f>
        <v>795.76</v>
      </c>
    </row>
    <row r="2392" customFormat="false" ht="15" hidden="false" customHeight="false" outlineLevel="0" collapsed="false">
      <c r="A2392" s="0" t="n">
        <v>1788</v>
      </c>
      <c r="B2392" s="68" t="n">
        <v>45824</v>
      </c>
      <c r="C2392" s="69" t="s">
        <v>161</v>
      </c>
      <c r="D2392" s="69" t="s">
        <v>112</v>
      </c>
      <c r="E2392" s="69" t="s">
        <v>180</v>
      </c>
      <c r="F2392" s="69" t="s">
        <v>155</v>
      </c>
      <c r="G2392" s="69" t="s">
        <v>113</v>
      </c>
      <c r="H2392" s="0" t="n">
        <v>23</v>
      </c>
      <c r="I2392" s="70" t="n">
        <v>27.82</v>
      </c>
      <c r="J2392" s="70" t="n">
        <v>13.84</v>
      </c>
      <c r="K2392" s="70" t="n">
        <f aca="false">IF(ISTEXT(H2392),VALUE(H2392),H2392)*I2392</f>
        <v>639.86</v>
      </c>
    </row>
    <row r="2393" customFormat="false" ht="15" hidden="false" customHeight="false" outlineLevel="0" collapsed="false">
      <c r="A2393" s="0" t="n">
        <v>1157</v>
      </c>
      <c r="B2393" s="68" t="n">
        <v>45653</v>
      </c>
      <c r="C2393" s="69" t="s">
        <v>108</v>
      </c>
      <c r="D2393" s="69" t="s">
        <v>109</v>
      </c>
      <c r="E2393" s="69" t="s">
        <v>138</v>
      </c>
      <c r="F2393" s="69" t="s">
        <v>168</v>
      </c>
      <c r="G2393" s="69" t="s">
        <v>127</v>
      </c>
      <c r="H2393" s="0" t="s">
        <v>423</v>
      </c>
      <c r="I2393" s="70" t="n">
        <v>127.4</v>
      </c>
      <c r="J2393" s="70" t="n">
        <v>76.05</v>
      </c>
      <c r="K2393" s="70" t="n">
        <f aca="false">IF(ISTEXT(H2393),VALUE(H2393),H2393)*I2393</f>
        <v>4459</v>
      </c>
    </row>
    <row r="2394" customFormat="false" ht="15" hidden="false" customHeight="false" outlineLevel="0" collapsed="false">
      <c r="A2394" s="0" t="n">
        <v>1734</v>
      </c>
      <c r="B2394" s="68" t="n">
        <v>45824</v>
      </c>
      <c r="C2394" s="69" t="s">
        <v>120</v>
      </c>
      <c r="D2394" s="69" t="s">
        <v>86</v>
      </c>
      <c r="E2394" s="69" t="s">
        <v>98</v>
      </c>
      <c r="F2394" s="69" t="s">
        <v>162</v>
      </c>
      <c r="G2394" s="69" t="s">
        <v>50</v>
      </c>
      <c r="H2394" s="0" t="n">
        <v>16</v>
      </c>
      <c r="I2394" s="70" t="n">
        <v>119.23</v>
      </c>
      <c r="J2394" s="70" t="n">
        <v>65.51</v>
      </c>
      <c r="K2394" s="70" t="n">
        <f aca="false">IF(ISTEXT(H2394),VALUE(H2394),H2394)*I2394</f>
        <v>1907.68</v>
      </c>
    </row>
    <row r="2395" customFormat="false" ht="15" hidden="false" customHeight="false" outlineLevel="0" collapsed="false">
      <c r="A2395" s="0" t="n">
        <v>796</v>
      </c>
      <c r="B2395" s="69" t="s">
        <v>506</v>
      </c>
      <c r="C2395" s="69" t="s">
        <v>133</v>
      </c>
      <c r="D2395" s="69" t="s">
        <v>112</v>
      </c>
      <c r="E2395" s="69" t="s">
        <v>125</v>
      </c>
      <c r="F2395" s="69" t="s">
        <v>115</v>
      </c>
      <c r="G2395" s="69" t="s">
        <v>111</v>
      </c>
      <c r="H2395" s="0" t="n">
        <v>5</v>
      </c>
      <c r="I2395" s="70" t="n">
        <v>83.3</v>
      </c>
      <c r="J2395" s="70" t="n">
        <v>48.03</v>
      </c>
      <c r="K2395" s="70" t="n">
        <f aca="false">IF(ISTEXT(H2395),VALUE(H2395),H2395)*I2395</f>
        <v>416.5</v>
      </c>
    </row>
    <row r="2396" customFormat="false" ht="15" hidden="false" customHeight="false" outlineLevel="0" collapsed="false">
      <c r="A2396" s="0" t="n">
        <v>1107</v>
      </c>
      <c r="B2396" s="68" t="n">
        <v>45627</v>
      </c>
      <c r="C2396" s="69" t="s">
        <v>170</v>
      </c>
      <c r="D2396" s="69" t="s">
        <v>97</v>
      </c>
      <c r="E2396" s="69" t="s">
        <v>101</v>
      </c>
      <c r="F2396" s="69" t="s">
        <v>99</v>
      </c>
      <c r="G2396" s="69" t="s">
        <v>113</v>
      </c>
      <c r="H2396" s="0" t="n">
        <v>158</v>
      </c>
      <c r="I2396" s="70" t="n">
        <v>27.44</v>
      </c>
      <c r="J2396" s="70" t="n">
        <v>13.44</v>
      </c>
      <c r="K2396" s="70" t="n">
        <f aca="false">IF(ISTEXT(H2396),VALUE(H2396),H2396)*I2396</f>
        <v>4335.52</v>
      </c>
    </row>
    <row r="2397" customFormat="false" ht="15" hidden="false" customHeight="false" outlineLevel="0" collapsed="false">
      <c r="A2397" s="0" t="n">
        <v>1903</v>
      </c>
      <c r="B2397" s="68" t="n">
        <v>45880</v>
      </c>
      <c r="C2397" s="69" t="s">
        <v>96</v>
      </c>
      <c r="D2397" s="69" t="s">
        <v>97</v>
      </c>
      <c r="E2397" s="69" t="s">
        <v>101</v>
      </c>
      <c r="F2397" s="69" t="s">
        <v>147</v>
      </c>
      <c r="G2397" s="69" t="s">
        <v>89</v>
      </c>
      <c r="H2397" s="0" t="s">
        <v>211</v>
      </c>
      <c r="I2397" s="70" t="n">
        <v>451.78</v>
      </c>
      <c r="J2397" s="70" t="n">
        <v>280.42</v>
      </c>
      <c r="K2397" s="70" t="n">
        <f aca="false">IF(ISTEXT(H2397),VALUE(H2397),H2397)*I2397</f>
        <v>8132.04</v>
      </c>
    </row>
    <row r="2398" customFormat="false" ht="15" hidden="false" customHeight="false" outlineLevel="0" collapsed="false">
      <c r="A2398" s="0" t="n">
        <v>991</v>
      </c>
      <c r="B2398" s="68" t="n">
        <v>45591</v>
      </c>
      <c r="C2398" s="69" t="s">
        <v>142</v>
      </c>
      <c r="D2398" s="69" t="s">
        <v>112</v>
      </c>
      <c r="E2398" s="69" t="s">
        <v>134</v>
      </c>
      <c r="F2398" s="69" t="s">
        <v>28</v>
      </c>
      <c r="G2398" s="69" t="s">
        <v>49</v>
      </c>
      <c r="H2398" s="0" t="n">
        <v>32</v>
      </c>
      <c r="I2398" s="70" t="n">
        <v>63.7</v>
      </c>
      <c r="J2398" s="70" t="n">
        <v>35.43</v>
      </c>
      <c r="K2398" s="70" t="n">
        <f aca="false">IF(ISTEXT(H2398),VALUE(H2398),H2398)*I2398</f>
        <v>2038.4</v>
      </c>
    </row>
    <row r="2399" customFormat="false" ht="15" hidden="false" customHeight="false" outlineLevel="0" collapsed="false">
      <c r="A2399" s="0" t="n">
        <v>1061</v>
      </c>
      <c r="B2399" s="69" t="s">
        <v>280</v>
      </c>
      <c r="C2399" s="69" t="s">
        <v>184</v>
      </c>
      <c r="D2399" s="69" t="s">
        <v>137</v>
      </c>
      <c r="E2399" s="69" t="s">
        <v>92</v>
      </c>
      <c r="F2399" s="69" t="s">
        <v>135</v>
      </c>
      <c r="G2399" s="69" t="s">
        <v>151</v>
      </c>
      <c r="H2399" s="0" t="n">
        <v>8</v>
      </c>
      <c r="I2399" s="70" t="n">
        <v>1176</v>
      </c>
      <c r="J2399" s="70" t="n">
        <v>744</v>
      </c>
      <c r="K2399" s="70" t="n">
        <f aca="false">IF(ISTEXT(H2399),VALUE(H2399),H2399)*I2399</f>
        <v>9408</v>
      </c>
    </row>
    <row r="2400" customFormat="false" ht="15" hidden="false" customHeight="false" outlineLevel="0" collapsed="false">
      <c r="A2400" s="0" t="n">
        <v>1341</v>
      </c>
      <c r="B2400" s="68" t="n">
        <v>45707</v>
      </c>
      <c r="C2400" s="69" t="s">
        <v>152</v>
      </c>
      <c r="D2400" s="69" t="s">
        <v>109</v>
      </c>
      <c r="E2400" s="69" t="s">
        <v>92</v>
      </c>
      <c r="F2400" s="69" t="s">
        <v>147</v>
      </c>
      <c r="G2400" s="69" t="s">
        <v>41</v>
      </c>
      <c r="H2400" s="0" t="n">
        <v>7</v>
      </c>
      <c r="I2400" s="70" t="n">
        <v>1155.06</v>
      </c>
      <c r="J2400" s="70" t="n">
        <v>766.32</v>
      </c>
      <c r="K2400" s="70" t="n">
        <f aca="false">IF(ISTEXT(H2400),VALUE(H2400),H2400)*I2400</f>
        <v>8085.42</v>
      </c>
    </row>
    <row r="2401" customFormat="false" ht="15" hidden="false" customHeight="false" outlineLevel="0" collapsed="false">
      <c r="A2401" s="0" t="n">
        <v>364</v>
      </c>
      <c r="B2401" s="69" t="s">
        <v>848</v>
      </c>
      <c r="C2401" s="69" t="s">
        <v>32</v>
      </c>
      <c r="D2401" s="69" t="s">
        <v>137</v>
      </c>
      <c r="E2401" s="69" t="s">
        <v>107</v>
      </c>
      <c r="F2401" s="69" t="s">
        <v>26</v>
      </c>
      <c r="G2401" s="69" t="s">
        <v>177</v>
      </c>
      <c r="H2401" s="0" t="n">
        <v>2</v>
      </c>
      <c r="I2401" s="70" t="n">
        <v>441</v>
      </c>
      <c r="J2401" s="70" t="n">
        <v>272.25</v>
      </c>
      <c r="K2401" s="70" t="n">
        <f aca="false">IF(ISTEXT(H2401),VALUE(H2401),H2401)*I2401</f>
        <v>882</v>
      </c>
    </row>
    <row r="2402" customFormat="false" ht="15" hidden="false" customHeight="false" outlineLevel="0" collapsed="false">
      <c r="A2402" s="0" t="n">
        <v>1171</v>
      </c>
      <c r="B2402" s="68" t="n">
        <v>45643</v>
      </c>
      <c r="C2402" s="69" t="s">
        <v>32</v>
      </c>
      <c r="D2402" s="69" t="s">
        <v>137</v>
      </c>
      <c r="E2402" s="69" t="s">
        <v>138</v>
      </c>
      <c r="F2402" s="69" t="s">
        <v>102</v>
      </c>
      <c r="G2402" s="69" t="s">
        <v>144</v>
      </c>
      <c r="H2402" s="0" t="n">
        <v>40</v>
      </c>
      <c r="I2402" s="70" t="n">
        <v>63.7</v>
      </c>
      <c r="J2402" s="70" t="n">
        <v>35.43</v>
      </c>
      <c r="K2402" s="70" t="n">
        <f aca="false">IF(ISTEXT(H2402),VALUE(H2402),H2402)*I2402</f>
        <v>2548</v>
      </c>
    </row>
    <row r="2403" customFormat="false" ht="15" hidden="false" customHeight="false" outlineLevel="0" collapsed="false">
      <c r="A2403" s="0" t="n">
        <v>531</v>
      </c>
      <c r="B2403" s="68" t="n">
        <v>45462</v>
      </c>
      <c r="C2403" s="69" t="s">
        <v>27</v>
      </c>
      <c r="D2403" s="69" t="s">
        <v>86</v>
      </c>
      <c r="E2403" s="69" t="s">
        <v>134</v>
      </c>
      <c r="F2403" s="69" t="s">
        <v>155</v>
      </c>
      <c r="G2403" s="69" t="s">
        <v>208</v>
      </c>
      <c r="H2403" s="0" t="s">
        <v>849</v>
      </c>
      <c r="I2403" s="70" t="n">
        <v>63.7</v>
      </c>
      <c r="J2403" s="70" t="n">
        <v>35.43</v>
      </c>
      <c r="K2403" s="70" t="n">
        <f aca="false">IF(ISTEXT(H2403),VALUE(H2403),H2403)*I2403</f>
        <v>4459</v>
      </c>
    </row>
    <row r="2404" customFormat="false" ht="15" hidden="false" customHeight="false" outlineLevel="0" collapsed="false">
      <c r="A2404" s="0" t="n">
        <v>1049</v>
      </c>
      <c r="B2404" s="68" t="n">
        <v>45623</v>
      </c>
      <c r="C2404" s="69" t="s">
        <v>30</v>
      </c>
      <c r="D2404" s="69" t="s">
        <v>109</v>
      </c>
      <c r="E2404" s="69" t="s">
        <v>92</v>
      </c>
      <c r="F2404" s="69" t="s">
        <v>99</v>
      </c>
      <c r="G2404" s="69" t="s">
        <v>172</v>
      </c>
      <c r="H2404" s="0" t="n">
        <v>45</v>
      </c>
      <c r="I2404" s="70" t="n">
        <v>93.1</v>
      </c>
      <c r="J2404" s="70" t="n">
        <v>47.98</v>
      </c>
      <c r="K2404" s="70" t="n">
        <f aca="false">IF(ISTEXT(H2404),VALUE(H2404),H2404)*I2404</f>
        <v>4189.5</v>
      </c>
    </row>
    <row r="2405" customFormat="false" ht="15" hidden="false" customHeight="false" outlineLevel="0" collapsed="false">
      <c r="A2405" s="0" t="n">
        <v>203</v>
      </c>
      <c r="B2405" s="68" t="n">
        <v>45369</v>
      </c>
      <c r="C2405" s="69" t="s">
        <v>96</v>
      </c>
      <c r="D2405" s="69" t="s">
        <v>97</v>
      </c>
      <c r="E2405" s="69" t="s">
        <v>110</v>
      </c>
      <c r="F2405" s="69" t="s">
        <v>139</v>
      </c>
      <c r="G2405" s="69" t="s">
        <v>43</v>
      </c>
      <c r="H2405" s="0" t="n">
        <v>23</v>
      </c>
      <c r="I2405" s="70" t="n">
        <v>441</v>
      </c>
      <c r="J2405" s="70" t="n">
        <v>272.25</v>
      </c>
      <c r="K2405" s="70" t="n">
        <f aca="false">IF(ISTEXT(H2405),VALUE(H2405),H2405)*I2405</f>
        <v>10143</v>
      </c>
    </row>
    <row r="2406" customFormat="false" ht="15" hidden="false" customHeight="false" outlineLevel="0" collapsed="false">
      <c r="A2406" s="0" t="n">
        <v>1145</v>
      </c>
      <c r="B2406" s="68" t="n">
        <v>45650</v>
      </c>
      <c r="C2406" s="69" t="s">
        <v>108</v>
      </c>
      <c r="D2406" s="69" t="s">
        <v>109</v>
      </c>
      <c r="E2406" s="69" t="s">
        <v>134</v>
      </c>
      <c r="F2406" s="69" t="s">
        <v>26</v>
      </c>
      <c r="G2406" s="69" t="s">
        <v>141</v>
      </c>
      <c r="H2406" s="0" t="n">
        <v>13</v>
      </c>
      <c r="I2406" s="70" t="n">
        <v>1617</v>
      </c>
      <c r="J2406" s="70" t="n">
        <v>1122</v>
      </c>
      <c r="K2406" s="70" t="n">
        <f aca="false">IF(ISTEXT(H2406),VALUE(H2406),H2406)*I2406</f>
        <v>21021</v>
      </c>
    </row>
    <row r="2407" customFormat="false" ht="15" hidden="false" customHeight="false" outlineLevel="0" collapsed="false">
      <c r="A2407" s="0" t="n">
        <v>1152</v>
      </c>
      <c r="B2407" s="68" t="n">
        <v>45645</v>
      </c>
      <c r="C2407" s="69" t="s">
        <v>152</v>
      </c>
      <c r="D2407" s="69" t="s">
        <v>109</v>
      </c>
      <c r="E2407" s="69" t="s">
        <v>107</v>
      </c>
      <c r="F2407" s="69" t="s">
        <v>102</v>
      </c>
      <c r="G2407" s="69" t="s">
        <v>144</v>
      </c>
      <c r="H2407" s="0" t="n">
        <v>23</v>
      </c>
      <c r="I2407" s="70" t="n">
        <v>63.7</v>
      </c>
      <c r="J2407" s="70" t="n">
        <v>35.43</v>
      </c>
      <c r="K2407" s="70" t="n">
        <f aca="false">IF(ISTEXT(H2407),VALUE(H2407),H2407)*I2407</f>
        <v>1465.1</v>
      </c>
    </row>
    <row r="2408" customFormat="false" ht="15" hidden="false" customHeight="false" outlineLevel="0" collapsed="false">
      <c r="A2408" s="0" t="n">
        <v>669</v>
      </c>
      <c r="B2408" s="69" t="s">
        <v>850</v>
      </c>
      <c r="C2408" s="69" t="s">
        <v>193</v>
      </c>
      <c r="D2408" s="69" t="s">
        <v>137</v>
      </c>
      <c r="E2408" s="69" t="s">
        <v>138</v>
      </c>
      <c r="F2408" s="69" t="s">
        <v>155</v>
      </c>
      <c r="G2408" s="69" t="s">
        <v>48</v>
      </c>
      <c r="H2408" s="0" t="s">
        <v>325</v>
      </c>
      <c r="I2408" s="70" t="n">
        <v>93.1</v>
      </c>
      <c r="J2408" s="70" t="n">
        <v>47.98</v>
      </c>
      <c r="K2408" s="70" t="n">
        <f aca="false">IF(ISTEXT(H2408),VALUE(H2408),H2408)*I2408</f>
        <v>3630.9</v>
      </c>
    </row>
    <row r="2409" customFormat="false" ht="15" hidden="false" customHeight="false" outlineLevel="0" collapsed="false">
      <c r="A2409" s="0" t="n">
        <v>1260</v>
      </c>
      <c r="B2409" s="68" t="n">
        <v>45676</v>
      </c>
      <c r="C2409" s="69" t="s">
        <v>30</v>
      </c>
      <c r="D2409" s="69" t="s">
        <v>109</v>
      </c>
      <c r="E2409" s="69" t="s">
        <v>180</v>
      </c>
      <c r="F2409" s="69" t="s">
        <v>93</v>
      </c>
      <c r="G2409" s="69" t="s">
        <v>217</v>
      </c>
      <c r="H2409" s="0" t="n">
        <v>15</v>
      </c>
      <c r="I2409" s="70" t="n">
        <v>34.78</v>
      </c>
      <c r="J2409" s="70" t="n">
        <v>18.39</v>
      </c>
      <c r="K2409" s="70" t="n">
        <f aca="false">IF(ISTEXT(H2409),VALUE(H2409),H2409)*I2409</f>
        <v>521.7</v>
      </c>
    </row>
    <row r="2410" customFormat="false" ht="15" hidden="false" customHeight="false" outlineLevel="0" collapsed="false">
      <c r="A2410" s="0" t="n">
        <v>958</v>
      </c>
      <c r="B2410" s="68" t="n">
        <v>45576</v>
      </c>
      <c r="C2410" s="69" t="s">
        <v>152</v>
      </c>
      <c r="D2410" s="69" t="s">
        <v>109</v>
      </c>
      <c r="E2410" s="69" t="s">
        <v>180</v>
      </c>
      <c r="F2410" s="69" t="s">
        <v>33</v>
      </c>
      <c r="G2410" s="69" t="s">
        <v>127</v>
      </c>
      <c r="H2410" s="0" t="s">
        <v>122</v>
      </c>
      <c r="I2410" s="70" t="n">
        <v>127.4</v>
      </c>
      <c r="J2410" s="70" t="n">
        <v>76.05</v>
      </c>
      <c r="K2410" s="70" t="n">
        <f aca="false">IF(ISTEXT(H2410),VALUE(H2410),H2410)*I2410</f>
        <v>1146.6</v>
      </c>
    </row>
    <row r="2411" customFormat="false" ht="15" hidden="false" customHeight="false" outlineLevel="0" collapsed="false">
      <c r="A2411" s="0" t="n">
        <v>1956</v>
      </c>
      <c r="B2411" s="68" t="n">
        <v>45873</v>
      </c>
      <c r="C2411" s="69" t="s">
        <v>108</v>
      </c>
      <c r="D2411" s="69" t="s">
        <v>109</v>
      </c>
      <c r="E2411" s="69" t="s">
        <v>98</v>
      </c>
      <c r="F2411" s="69" t="s">
        <v>166</v>
      </c>
      <c r="G2411" s="69" t="s">
        <v>51</v>
      </c>
      <c r="H2411" s="0" t="n">
        <v>11</v>
      </c>
      <c r="I2411" s="70" t="n">
        <v>85.34</v>
      </c>
      <c r="J2411" s="70" t="n">
        <v>49.47</v>
      </c>
      <c r="K2411" s="70" t="n">
        <f aca="false">IF(ISTEXT(H2411),VALUE(H2411),H2411)*I2411</f>
        <v>938.74</v>
      </c>
    </row>
    <row r="2412" customFormat="false" ht="15" hidden="false" customHeight="false" outlineLevel="0" collapsed="false">
      <c r="A2412" s="0" t="n">
        <v>2143</v>
      </c>
      <c r="B2412" s="69" t="s">
        <v>851</v>
      </c>
      <c r="C2412" s="69" t="s">
        <v>152</v>
      </c>
      <c r="D2412" s="69" t="s">
        <v>109</v>
      </c>
      <c r="E2412" s="69" t="s">
        <v>134</v>
      </c>
      <c r="F2412" s="69" t="s">
        <v>153</v>
      </c>
      <c r="G2412" s="69" t="s">
        <v>43</v>
      </c>
      <c r="H2412" s="0" t="n">
        <v>8</v>
      </c>
      <c r="I2412" s="70" t="n">
        <v>451.78</v>
      </c>
      <c r="J2412" s="70" t="n">
        <v>280.42</v>
      </c>
      <c r="K2412" s="70" t="n">
        <f aca="false">IF(ISTEXT(H2412),VALUE(H2412),H2412)*I2412</f>
        <v>3614.24</v>
      </c>
    </row>
    <row r="2413" customFormat="false" ht="15" hidden="false" customHeight="false" outlineLevel="0" collapsed="false">
      <c r="A2413" s="0" t="n">
        <v>745</v>
      </c>
      <c r="B2413" s="68" t="n">
        <v>45509</v>
      </c>
      <c r="C2413" s="69" t="s">
        <v>30</v>
      </c>
      <c r="D2413" s="69" t="s">
        <v>109</v>
      </c>
      <c r="E2413" s="69" t="s">
        <v>92</v>
      </c>
      <c r="F2413" s="69" t="s">
        <v>26</v>
      </c>
      <c r="G2413" s="69" t="s">
        <v>157</v>
      </c>
      <c r="H2413" s="0" t="n">
        <v>10</v>
      </c>
      <c r="I2413" s="70" t="n">
        <v>1617</v>
      </c>
      <c r="J2413" s="70" t="n">
        <v>1122</v>
      </c>
      <c r="K2413" s="70" t="n">
        <f aca="false">IF(ISTEXT(H2413),VALUE(H2413),H2413)*I2413</f>
        <v>16170</v>
      </c>
    </row>
    <row r="2414" customFormat="false" ht="15" hidden="false" customHeight="false" outlineLevel="0" collapsed="false">
      <c r="A2414" s="0" t="n">
        <v>654</v>
      </c>
      <c r="B2414" s="68" t="n">
        <v>45489</v>
      </c>
      <c r="C2414" s="69" t="s">
        <v>30</v>
      </c>
      <c r="D2414" s="69" t="s">
        <v>109</v>
      </c>
      <c r="E2414" s="69" t="s">
        <v>87</v>
      </c>
      <c r="F2414" s="69" t="s">
        <v>162</v>
      </c>
      <c r="G2414" s="69" t="s">
        <v>156</v>
      </c>
      <c r="H2414" s="0" t="n">
        <v>8</v>
      </c>
      <c r="I2414" s="70" t="n">
        <v>117.6</v>
      </c>
      <c r="J2414" s="70" t="n">
        <v>63.6</v>
      </c>
      <c r="K2414" s="70" t="n">
        <f aca="false">IF(ISTEXT(H2414),VALUE(H2414),H2414)*I2414</f>
        <v>940.8</v>
      </c>
    </row>
    <row r="2415" customFormat="false" ht="15" hidden="false" customHeight="false" outlineLevel="0" collapsed="false">
      <c r="A2415" s="0" t="n">
        <v>382</v>
      </c>
      <c r="B2415" s="69" t="s">
        <v>564</v>
      </c>
      <c r="C2415" s="69" t="s">
        <v>133</v>
      </c>
      <c r="D2415" s="69" t="s">
        <v>112</v>
      </c>
      <c r="E2415" s="69" t="s">
        <v>98</v>
      </c>
      <c r="F2415" s="69" t="s">
        <v>135</v>
      </c>
      <c r="G2415" s="69" t="s">
        <v>151</v>
      </c>
      <c r="H2415" s="0" t="n">
        <v>2</v>
      </c>
      <c r="I2415" s="70" t="n">
        <v>1176</v>
      </c>
      <c r="J2415" s="70" t="n">
        <v>744</v>
      </c>
      <c r="K2415" s="70" t="n">
        <f aca="false">IF(ISTEXT(H2415),VALUE(H2415),H2415)*I2415</f>
        <v>2352</v>
      </c>
    </row>
    <row r="2416" customFormat="false" ht="15" hidden="false" customHeight="false" outlineLevel="0" collapsed="false">
      <c r="A2416" s="0" t="n">
        <v>1630</v>
      </c>
      <c r="B2416" s="68" t="n">
        <v>45794</v>
      </c>
      <c r="C2416" s="69" t="s">
        <v>120</v>
      </c>
      <c r="D2416" s="69" t="s">
        <v>86</v>
      </c>
      <c r="E2416" s="69" t="s">
        <v>180</v>
      </c>
      <c r="F2416" s="69" t="s">
        <v>99</v>
      </c>
      <c r="G2416" s="69" t="s">
        <v>172</v>
      </c>
      <c r="H2416" s="0" t="n">
        <v>34</v>
      </c>
      <c r="I2416" s="70" t="n">
        <v>94.39</v>
      </c>
      <c r="J2416" s="70" t="n">
        <v>49.41</v>
      </c>
      <c r="K2416" s="70" t="n">
        <f aca="false">IF(ISTEXT(H2416),VALUE(H2416),H2416)*I2416</f>
        <v>3209.26</v>
      </c>
    </row>
    <row r="2417" customFormat="false" ht="15" hidden="false" customHeight="false" outlineLevel="0" collapsed="false">
      <c r="A2417" s="0" t="n">
        <v>1337</v>
      </c>
      <c r="B2417" s="68" t="n">
        <v>45706</v>
      </c>
      <c r="C2417" s="69" t="s">
        <v>159</v>
      </c>
      <c r="D2417" s="69" t="s">
        <v>86</v>
      </c>
      <c r="E2417" s="69" t="s">
        <v>110</v>
      </c>
      <c r="F2417" s="69" t="s">
        <v>93</v>
      </c>
      <c r="G2417" s="69" t="s">
        <v>52</v>
      </c>
      <c r="H2417" s="0" t="n">
        <v>24</v>
      </c>
      <c r="I2417" s="70" t="n">
        <v>129.17</v>
      </c>
      <c r="J2417" s="70" t="n">
        <v>78.33</v>
      </c>
      <c r="K2417" s="70" t="n">
        <f aca="false">IF(ISTEXT(H2417),VALUE(H2417),H2417)*I2417</f>
        <v>3100.08</v>
      </c>
    </row>
    <row r="2418" customFormat="false" ht="15" hidden="false" customHeight="false" outlineLevel="0" collapsed="false">
      <c r="A2418" s="0" t="n">
        <v>1140</v>
      </c>
      <c r="B2418" s="69" t="s">
        <v>404</v>
      </c>
      <c r="C2418" s="69" t="s">
        <v>91</v>
      </c>
      <c r="D2418" s="69" t="s">
        <v>86</v>
      </c>
      <c r="E2418" s="69" t="s">
        <v>87</v>
      </c>
      <c r="F2418" s="69" t="s">
        <v>168</v>
      </c>
      <c r="G2418" s="69" t="s">
        <v>53</v>
      </c>
      <c r="H2418" s="0" t="n">
        <v>20</v>
      </c>
      <c r="I2418" s="70" t="n">
        <v>34.3</v>
      </c>
      <c r="J2418" s="70" t="n">
        <v>17.85</v>
      </c>
      <c r="K2418" s="70" t="n">
        <f aca="false">IF(ISTEXT(H2418),VALUE(H2418),H2418)*I2418</f>
        <v>686</v>
      </c>
    </row>
    <row r="2419" customFormat="false" ht="15" hidden="false" customHeight="false" outlineLevel="0" collapsed="false">
      <c r="A2419" s="0" t="n">
        <v>2079</v>
      </c>
      <c r="B2419" s="68" t="n">
        <v>45901</v>
      </c>
      <c r="C2419" s="69" t="s">
        <v>184</v>
      </c>
      <c r="D2419" s="69" t="s">
        <v>137</v>
      </c>
      <c r="E2419" s="69" t="s">
        <v>138</v>
      </c>
      <c r="F2419" s="69" t="s">
        <v>93</v>
      </c>
      <c r="G2419" s="69" t="s">
        <v>94</v>
      </c>
      <c r="H2419" s="0" t="n">
        <v>17</v>
      </c>
      <c r="I2419" s="70" t="n">
        <v>35.14</v>
      </c>
      <c r="J2419" s="70" t="n">
        <v>18.39</v>
      </c>
      <c r="K2419" s="70" t="n">
        <f aca="false">IF(ISTEXT(H2419),VALUE(H2419),H2419)*I2419</f>
        <v>597.38</v>
      </c>
    </row>
    <row r="2420" customFormat="false" ht="15" hidden="false" customHeight="false" outlineLevel="0" collapsed="false">
      <c r="A2420" s="0" t="n">
        <v>1791</v>
      </c>
      <c r="B2420" s="68" t="n">
        <v>45818</v>
      </c>
      <c r="C2420" s="69" t="s">
        <v>133</v>
      </c>
      <c r="D2420" s="69" t="s">
        <v>112</v>
      </c>
      <c r="E2420" s="69" t="s">
        <v>134</v>
      </c>
      <c r="F2420" s="69" t="s">
        <v>102</v>
      </c>
      <c r="G2420" s="69" t="s">
        <v>208</v>
      </c>
      <c r="H2420" s="0" t="n">
        <v>29</v>
      </c>
      <c r="I2420" s="70" t="n">
        <v>64.58</v>
      </c>
      <c r="J2420" s="70" t="n">
        <v>36.49</v>
      </c>
      <c r="K2420" s="70" t="n">
        <f aca="false">IF(ISTEXT(H2420),VALUE(H2420),H2420)*I2420</f>
        <v>1872.82</v>
      </c>
    </row>
    <row r="2421" customFormat="false" ht="15" hidden="false" customHeight="false" outlineLevel="0" collapsed="false">
      <c r="A2421" s="0" t="n">
        <v>2114</v>
      </c>
      <c r="B2421" s="69" t="s">
        <v>852</v>
      </c>
      <c r="C2421" s="69" t="s">
        <v>170</v>
      </c>
      <c r="D2421" s="69" t="s">
        <v>97</v>
      </c>
      <c r="E2421" s="69" t="s">
        <v>98</v>
      </c>
      <c r="F2421" s="69" t="s">
        <v>115</v>
      </c>
      <c r="G2421" s="69" t="s">
        <v>156</v>
      </c>
      <c r="H2421" s="0" t="n">
        <v>27</v>
      </c>
      <c r="I2421" s="70" t="n">
        <v>120.47</v>
      </c>
      <c r="J2421" s="70" t="n">
        <v>65.51</v>
      </c>
      <c r="K2421" s="70" t="n">
        <f aca="false">IF(ISTEXT(H2421),VALUE(H2421),H2421)*I2421</f>
        <v>3252.69</v>
      </c>
    </row>
    <row r="2422" customFormat="false" ht="15" hidden="false" customHeight="false" outlineLevel="0" collapsed="false">
      <c r="A2422" s="0" t="n">
        <v>395</v>
      </c>
      <c r="B2422" s="68" t="n">
        <v>45394</v>
      </c>
      <c r="C2422" s="69" t="s">
        <v>133</v>
      </c>
      <c r="D2422" s="69" t="s">
        <v>112</v>
      </c>
      <c r="E2422" s="69" t="s">
        <v>134</v>
      </c>
      <c r="F2422" s="69" t="s">
        <v>166</v>
      </c>
      <c r="G2422" s="69" t="s">
        <v>51</v>
      </c>
      <c r="H2422" s="0" t="s">
        <v>372</v>
      </c>
      <c r="I2422" s="70" t="n">
        <v>83.3</v>
      </c>
      <c r="J2422" s="70" t="n">
        <v>48.03</v>
      </c>
      <c r="K2422" s="70" t="n">
        <f aca="false">IF(ISTEXT(H2422),VALUE(H2422),H2422)*I2422</f>
        <v>916.3</v>
      </c>
    </row>
    <row r="2423" customFormat="false" ht="15" hidden="false" customHeight="false" outlineLevel="0" collapsed="false">
      <c r="A2423" s="0" t="n">
        <v>74</v>
      </c>
      <c r="B2423" s="68" t="n">
        <v>45297</v>
      </c>
      <c r="C2423" s="69" t="s">
        <v>184</v>
      </c>
      <c r="D2423" s="69" t="s">
        <v>137</v>
      </c>
      <c r="E2423" s="69" t="s">
        <v>119</v>
      </c>
      <c r="F2423" s="69" t="s">
        <v>162</v>
      </c>
      <c r="G2423" s="69" t="s">
        <v>171</v>
      </c>
      <c r="H2423" s="0" t="n">
        <v>4</v>
      </c>
      <c r="I2423" s="70" t="n">
        <v>117.6</v>
      </c>
      <c r="J2423" s="70" t="n">
        <v>63.6</v>
      </c>
      <c r="K2423" s="70" t="n">
        <f aca="false">IF(ISTEXT(H2423),VALUE(H2423),H2423)*I2423</f>
        <v>470.4</v>
      </c>
    </row>
    <row r="2424" customFormat="false" ht="15" hidden="false" customHeight="false" outlineLevel="0" collapsed="false">
      <c r="A2424" s="0" t="n">
        <v>1694</v>
      </c>
      <c r="B2424" s="68" t="n">
        <v>45783</v>
      </c>
      <c r="C2424" s="69" t="s">
        <v>34</v>
      </c>
      <c r="D2424" s="69" t="s">
        <v>112</v>
      </c>
      <c r="E2424" s="69" t="s">
        <v>180</v>
      </c>
      <c r="F2424" s="69" t="s">
        <v>115</v>
      </c>
      <c r="G2424" s="69" t="s">
        <v>156</v>
      </c>
      <c r="H2424" s="0" t="n">
        <v>8</v>
      </c>
      <c r="I2424" s="70" t="n">
        <v>119.23</v>
      </c>
      <c r="J2424" s="70" t="n">
        <v>65.51</v>
      </c>
      <c r="K2424" s="70" t="n">
        <f aca="false">IF(ISTEXT(H2424),VALUE(H2424),H2424)*I2424</f>
        <v>953.84</v>
      </c>
    </row>
    <row r="2425" customFormat="false" ht="15" hidden="false" customHeight="false" outlineLevel="0" collapsed="false">
      <c r="A2425" s="0" t="n">
        <v>1700</v>
      </c>
      <c r="B2425" s="68" t="n">
        <v>45798</v>
      </c>
      <c r="C2425" s="69" t="s">
        <v>34</v>
      </c>
      <c r="D2425" s="69" t="s">
        <v>112</v>
      </c>
      <c r="E2425" s="69" t="s">
        <v>107</v>
      </c>
      <c r="F2425" s="69" t="s">
        <v>182</v>
      </c>
      <c r="G2425" s="69" t="s">
        <v>53</v>
      </c>
      <c r="H2425" s="0" t="n">
        <v>10</v>
      </c>
      <c r="I2425" s="70" t="n">
        <v>34.78</v>
      </c>
      <c r="J2425" s="70" t="n">
        <v>18.39</v>
      </c>
      <c r="K2425" s="70" t="n">
        <f aca="false">IF(ISTEXT(H2425),VALUE(H2425),H2425)*I2425</f>
        <v>347.8</v>
      </c>
    </row>
    <row r="2426" customFormat="false" ht="15" hidden="false" customHeight="false" outlineLevel="0" collapsed="false">
      <c r="A2426" s="0" t="n">
        <v>394</v>
      </c>
      <c r="B2426" s="69" t="s">
        <v>648</v>
      </c>
      <c r="C2426" s="69" t="s">
        <v>133</v>
      </c>
      <c r="D2426" s="69" t="s">
        <v>112</v>
      </c>
      <c r="E2426" s="69" t="s">
        <v>107</v>
      </c>
      <c r="F2426" s="69" t="s">
        <v>166</v>
      </c>
      <c r="G2426" s="69" t="s">
        <v>156</v>
      </c>
      <c r="H2426" s="0" t="n">
        <v>5</v>
      </c>
      <c r="I2426" s="70" t="n">
        <v>117.6</v>
      </c>
      <c r="J2426" s="70" t="n">
        <v>63.6</v>
      </c>
      <c r="K2426" s="70" t="n">
        <f aca="false">IF(ISTEXT(H2426),VALUE(H2426),H2426)*I2426</f>
        <v>588</v>
      </c>
    </row>
    <row r="2427" customFormat="false" ht="15" hidden="false" customHeight="false" outlineLevel="0" collapsed="false">
      <c r="A2427" s="0" t="n">
        <v>148</v>
      </c>
      <c r="B2427" s="68" t="n">
        <v>45333</v>
      </c>
      <c r="C2427" s="69" t="s">
        <v>152</v>
      </c>
      <c r="D2427" s="69" t="s">
        <v>109</v>
      </c>
      <c r="E2427" s="69" t="s">
        <v>107</v>
      </c>
      <c r="F2427" s="69" t="s">
        <v>143</v>
      </c>
      <c r="G2427" s="69" t="s">
        <v>47</v>
      </c>
      <c r="H2427" s="0" t="n">
        <v>14</v>
      </c>
      <c r="I2427" s="70" t="n">
        <v>27.44</v>
      </c>
      <c r="J2427" s="70" t="n">
        <v>13.44</v>
      </c>
      <c r="K2427" s="70" t="n">
        <f aca="false">IF(ISTEXT(H2427),VALUE(H2427),H2427)*I2427</f>
        <v>384.16</v>
      </c>
    </row>
    <row r="2428" customFormat="false" ht="15" hidden="false" customHeight="false" outlineLevel="0" collapsed="false">
      <c r="A2428" s="0" t="n">
        <v>691</v>
      </c>
      <c r="B2428" s="68" t="n">
        <v>45478</v>
      </c>
      <c r="C2428" s="69" t="s">
        <v>34</v>
      </c>
      <c r="D2428" s="69" t="s">
        <v>112</v>
      </c>
      <c r="E2428" s="69" t="s">
        <v>110</v>
      </c>
      <c r="F2428" s="69" t="s">
        <v>102</v>
      </c>
      <c r="G2428" s="69" t="s">
        <v>208</v>
      </c>
      <c r="H2428" s="0" t="n">
        <v>34</v>
      </c>
      <c r="I2428" s="70" t="n">
        <v>63.7</v>
      </c>
      <c r="J2428" s="70" t="n">
        <v>35.43</v>
      </c>
      <c r="K2428" s="70" t="n">
        <f aca="false">IF(ISTEXT(H2428),VALUE(H2428),H2428)*I2428</f>
        <v>2165.8</v>
      </c>
    </row>
    <row r="2429" customFormat="false" ht="15" hidden="false" customHeight="false" outlineLevel="0" collapsed="false">
      <c r="A2429" s="0" t="n">
        <v>1421</v>
      </c>
      <c r="B2429" s="68" t="n">
        <v>45728</v>
      </c>
      <c r="C2429" s="69" t="s">
        <v>91</v>
      </c>
      <c r="D2429" s="69" t="s">
        <v>86</v>
      </c>
      <c r="E2429" s="69" t="s">
        <v>110</v>
      </c>
      <c r="F2429" s="69" t="s">
        <v>147</v>
      </c>
      <c r="G2429" s="69" t="s">
        <v>151</v>
      </c>
      <c r="H2429" s="0" t="n">
        <v>10</v>
      </c>
      <c r="I2429" s="70" t="n">
        <v>1155.06</v>
      </c>
      <c r="J2429" s="70" t="n">
        <v>766.32</v>
      </c>
      <c r="K2429" s="70" t="n">
        <f aca="false">IF(ISTEXT(H2429),VALUE(H2429),H2429)*I2429</f>
        <v>11550.6</v>
      </c>
    </row>
    <row r="2430" customFormat="false" ht="15" hidden="false" customHeight="false" outlineLevel="0" collapsed="false">
      <c r="A2430" s="0" t="n">
        <v>2170</v>
      </c>
      <c r="B2430" s="68" t="n">
        <v>45947</v>
      </c>
      <c r="C2430" s="69" t="s">
        <v>32</v>
      </c>
      <c r="D2430" s="69" t="s">
        <v>137</v>
      </c>
      <c r="E2430" s="69" t="s">
        <v>180</v>
      </c>
      <c r="F2430" s="69" t="s">
        <v>28</v>
      </c>
      <c r="G2430" s="69" t="s">
        <v>48</v>
      </c>
      <c r="H2430" s="0" t="s">
        <v>211</v>
      </c>
      <c r="I2430" s="70" t="n">
        <v>95.38</v>
      </c>
      <c r="J2430" s="70" t="n">
        <v>49.41</v>
      </c>
      <c r="K2430" s="70" t="n">
        <f aca="false">IF(ISTEXT(H2430),VALUE(H2430),H2430)*I2430</f>
        <v>1716.84</v>
      </c>
    </row>
    <row r="2431" customFormat="false" ht="15" hidden="false" customHeight="false" outlineLevel="0" collapsed="false">
      <c r="A2431" s="0" t="n">
        <v>2257</v>
      </c>
      <c r="B2431" s="68" t="n">
        <v>45966</v>
      </c>
      <c r="C2431" s="69" t="s">
        <v>152</v>
      </c>
      <c r="D2431" s="69" t="s">
        <v>109</v>
      </c>
      <c r="E2431" s="69" t="s">
        <v>121</v>
      </c>
      <c r="F2431" s="69" t="s">
        <v>33</v>
      </c>
      <c r="G2431" s="69" t="s">
        <v>52</v>
      </c>
      <c r="H2431" s="0" t="n">
        <v>27</v>
      </c>
      <c r="I2431" s="70" t="n">
        <v>130.51</v>
      </c>
      <c r="J2431" s="70" t="n">
        <v>78.33</v>
      </c>
      <c r="K2431" s="70" t="n">
        <f aca="false">IF(ISTEXT(H2431),VALUE(H2431),H2431)*I2431</f>
        <v>3523.77</v>
      </c>
    </row>
    <row r="2432" customFormat="false" ht="15" hidden="false" customHeight="false" outlineLevel="0" collapsed="false">
      <c r="A2432" s="0" t="n">
        <v>183</v>
      </c>
      <c r="B2432" s="68" t="n">
        <v>45335</v>
      </c>
      <c r="C2432" s="69" t="s">
        <v>161</v>
      </c>
      <c r="D2432" s="69" t="s">
        <v>112</v>
      </c>
      <c r="E2432" s="69" t="s">
        <v>101</v>
      </c>
      <c r="F2432" s="69" t="s">
        <v>26</v>
      </c>
      <c r="G2432" s="69" t="s">
        <v>43</v>
      </c>
      <c r="H2432" s="0" t="n">
        <v>5</v>
      </c>
      <c r="I2432" s="70" t="n">
        <v>441</v>
      </c>
      <c r="J2432" s="70" t="n">
        <v>272.25</v>
      </c>
      <c r="K2432" s="70" t="n">
        <f aca="false">IF(ISTEXT(H2432),VALUE(H2432),H2432)*I2432</f>
        <v>2205</v>
      </c>
    </row>
    <row r="2433" customFormat="false" ht="15" hidden="false" customHeight="false" outlineLevel="0" collapsed="false">
      <c r="A2433" s="0" t="n">
        <v>464</v>
      </c>
      <c r="B2433" s="68" t="n">
        <v>45421</v>
      </c>
      <c r="C2433" s="69" t="s">
        <v>32</v>
      </c>
      <c r="D2433" s="69" t="s">
        <v>137</v>
      </c>
      <c r="E2433" s="69" t="s">
        <v>107</v>
      </c>
      <c r="F2433" s="69" t="s">
        <v>135</v>
      </c>
      <c r="G2433" s="69" t="s">
        <v>43</v>
      </c>
      <c r="H2433" s="0" t="n">
        <v>2</v>
      </c>
      <c r="I2433" s="70" t="n">
        <v>441</v>
      </c>
      <c r="J2433" s="70" t="n">
        <v>272.25</v>
      </c>
      <c r="K2433" s="70" t="n">
        <f aca="false">IF(ISTEXT(H2433),VALUE(H2433),H2433)*I2433</f>
        <v>882</v>
      </c>
    </row>
    <row r="2434" customFormat="false" ht="15" hidden="false" customHeight="false" outlineLevel="0" collapsed="false">
      <c r="A2434" s="0" t="n">
        <v>1442</v>
      </c>
      <c r="B2434" s="68" t="n">
        <v>45740</v>
      </c>
      <c r="C2434" s="69" t="s">
        <v>152</v>
      </c>
      <c r="D2434" s="69" t="s">
        <v>109</v>
      </c>
      <c r="E2434" s="69" t="s">
        <v>119</v>
      </c>
      <c r="F2434" s="69" t="s">
        <v>135</v>
      </c>
      <c r="G2434" s="69" t="s">
        <v>41</v>
      </c>
      <c r="H2434" s="0" t="n">
        <v>6</v>
      </c>
      <c r="I2434" s="70" t="n">
        <v>1155.06</v>
      </c>
      <c r="J2434" s="70" t="n">
        <v>766.32</v>
      </c>
      <c r="K2434" s="70" t="n">
        <f aca="false">IF(ISTEXT(H2434),VALUE(H2434),H2434)*I2434</f>
        <v>6930.36</v>
      </c>
    </row>
    <row r="2435" customFormat="false" ht="15" hidden="false" customHeight="false" outlineLevel="0" collapsed="false">
      <c r="A2435" s="0" t="n">
        <v>205</v>
      </c>
      <c r="B2435" s="69" t="s">
        <v>853</v>
      </c>
      <c r="C2435" s="69" t="s">
        <v>96</v>
      </c>
      <c r="D2435" s="69" t="s">
        <v>97</v>
      </c>
      <c r="E2435" s="69" t="s">
        <v>110</v>
      </c>
      <c r="F2435" s="69" t="s">
        <v>153</v>
      </c>
      <c r="G2435" s="69" t="s">
        <v>157</v>
      </c>
      <c r="H2435" s="0" t="n">
        <v>20</v>
      </c>
      <c r="I2435" s="70" t="n">
        <v>1617</v>
      </c>
      <c r="J2435" s="70" t="n">
        <v>1122</v>
      </c>
      <c r="K2435" s="70" t="n">
        <f aca="false">IF(ISTEXT(H2435),VALUE(H2435),H2435)*I2435</f>
        <v>32340</v>
      </c>
    </row>
    <row r="2436" customFormat="false" ht="15" hidden="false" customHeight="false" outlineLevel="0" collapsed="false">
      <c r="A2436" s="0" t="n">
        <v>4</v>
      </c>
      <c r="B2436" s="68" t="n">
        <v>45293</v>
      </c>
      <c r="C2436" s="69" t="s">
        <v>25</v>
      </c>
      <c r="D2436" s="69" t="s">
        <v>97</v>
      </c>
      <c r="E2436" s="69" t="s">
        <v>87</v>
      </c>
      <c r="F2436" s="69" t="s">
        <v>153</v>
      </c>
      <c r="G2436" s="69" t="s">
        <v>43</v>
      </c>
      <c r="H2436" s="0" t="n">
        <v>8</v>
      </c>
      <c r="I2436" s="70" t="n">
        <v>441</v>
      </c>
      <c r="J2436" s="70" t="n">
        <v>272.25</v>
      </c>
      <c r="K2436" s="70" t="n">
        <f aca="false">IF(ISTEXT(H2436),VALUE(H2436),H2436)*I2436</f>
        <v>3528</v>
      </c>
    </row>
    <row r="2437" customFormat="false" ht="15" hidden="false" customHeight="false" outlineLevel="0" collapsed="false">
      <c r="A2437" s="0" t="n">
        <v>645</v>
      </c>
      <c r="B2437" s="69" t="s">
        <v>854</v>
      </c>
      <c r="C2437" s="69" t="s">
        <v>152</v>
      </c>
      <c r="D2437" s="69" t="s">
        <v>109</v>
      </c>
      <c r="E2437" s="69" t="s">
        <v>101</v>
      </c>
      <c r="F2437" s="69" t="s">
        <v>135</v>
      </c>
      <c r="G2437" s="69" t="s">
        <v>157</v>
      </c>
      <c r="H2437" s="0" t="n">
        <v>9</v>
      </c>
      <c r="I2437" s="70" t="n">
        <v>1617</v>
      </c>
      <c r="J2437" s="70" t="n">
        <v>1122</v>
      </c>
      <c r="K2437" s="70" t="n">
        <f aca="false">IF(ISTEXT(H2437),VALUE(H2437),H2437)*I2437</f>
        <v>14553</v>
      </c>
    </row>
    <row r="2438" customFormat="false" ht="15" hidden="false" customHeight="false" outlineLevel="0" collapsed="false">
      <c r="A2438" s="0" t="n">
        <v>638</v>
      </c>
      <c r="B2438" s="69" t="s">
        <v>219</v>
      </c>
      <c r="C2438" s="69" t="s">
        <v>91</v>
      </c>
      <c r="D2438" s="69"/>
      <c r="E2438" s="69" t="s">
        <v>98</v>
      </c>
      <c r="F2438" s="69" t="s">
        <v>182</v>
      </c>
      <c r="G2438" s="69" t="s">
        <v>130</v>
      </c>
      <c r="H2438" s="0" t="n">
        <v>12</v>
      </c>
      <c r="I2438" s="70" t="n">
        <v>127.4</v>
      </c>
      <c r="J2438" s="70" t="n">
        <v>76.05</v>
      </c>
      <c r="K2438" s="70" t="n">
        <f aca="false">IF(ISTEXT(H2438),VALUE(H2438),H2438)*I2438</f>
        <v>1528.8</v>
      </c>
    </row>
    <row r="2439" customFormat="false" ht="15" hidden="false" customHeight="false" outlineLevel="0" collapsed="false">
      <c r="A2439" s="0" t="n">
        <v>588</v>
      </c>
      <c r="B2439" s="68" t="n">
        <v>45456</v>
      </c>
      <c r="C2439" s="69" t="s">
        <v>161</v>
      </c>
      <c r="D2439" s="69" t="s">
        <v>112</v>
      </c>
      <c r="E2439" s="69" t="s">
        <v>119</v>
      </c>
      <c r="F2439" s="69" t="s">
        <v>102</v>
      </c>
      <c r="G2439" s="69" t="s">
        <v>103</v>
      </c>
      <c r="H2439" s="0" t="n">
        <v>11</v>
      </c>
      <c r="I2439" s="70" t="n">
        <v>27.44</v>
      </c>
      <c r="J2439" s="70" t="n">
        <v>13.44</v>
      </c>
      <c r="K2439" s="70" t="n">
        <f aca="false">IF(ISTEXT(H2439),VALUE(H2439),H2439)*I2439</f>
        <v>301.84</v>
      </c>
    </row>
    <row r="2440" customFormat="false" ht="15" hidden="false" customHeight="false" outlineLevel="0" collapsed="false">
      <c r="A2440" s="0" t="n">
        <v>1581</v>
      </c>
      <c r="B2440" s="68" t="n">
        <v>45772</v>
      </c>
      <c r="C2440" s="69" t="s">
        <v>142</v>
      </c>
      <c r="D2440" s="69" t="s">
        <v>112</v>
      </c>
      <c r="E2440" s="69" t="s">
        <v>110</v>
      </c>
      <c r="F2440" s="69" t="s">
        <v>139</v>
      </c>
      <c r="G2440" s="69" t="s">
        <v>151</v>
      </c>
      <c r="H2440" s="0" t="n">
        <v>5</v>
      </c>
      <c r="I2440" s="70" t="n">
        <v>1155.06</v>
      </c>
      <c r="J2440" s="70" t="n">
        <v>766.32</v>
      </c>
      <c r="K2440" s="70" t="n">
        <f aca="false">IF(ISTEXT(H2440),VALUE(H2440),H2440)*I2440</f>
        <v>5775.3</v>
      </c>
    </row>
    <row r="2441" customFormat="false" ht="15" hidden="false" customHeight="false" outlineLevel="0" collapsed="false">
      <c r="A2441" s="0" t="n">
        <v>627</v>
      </c>
      <c r="B2441" s="68" t="n">
        <v>45489</v>
      </c>
      <c r="C2441" s="69" t="s">
        <v>120</v>
      </c>
      <c r="D2441" s="69" t="s">
        <v>86</v>
      </c>
      <c r="E2441" s="69" t="s">
        <v>110</v>
      </c>
      <c r="F2441" s="69" t="s">
        <v>28</v>
      </c>
      <c r="G2441" s="69" t="s">
        <v>47</v>
      </c>
      <c r="H2441" s="0" t="n">
        <v>59</v>
      </c>
      <c r="I2441" s="70" t="n">
        <v>27.44</v>
      </c>
      <c r="J2441" s="70" t="n">
        <v>13.44</v>
      </c>
      <c r="K2441" s="70" t="n">
        <f aca="false">IF(ISTEXT(H2441),VALUE(H2441),H2441)*I2441</f>
        <v>1618.96</v>
      </c>
    </row>
    <row r="2442" customFormat="false" ht="15" hidden="false" customHeight="false" outlineLevel="0" collapsed="false">
      <c r="A2442" s="0" t="n">
        <v>1986</v>
      </c>
      <c r="B2442" s="69" t="s">
        <v>680</v>
      </c>
      <c r="C2442" s="69" t="s">
        <v>133</v>
      </c>
      <c r="D2442" s="69" t="s">
        <v>112</v>
      </c>
      <c r="E2442" s="69" t="s">
        <v>107</v>
      </c>
      <c r="F2442" s="69" t="s">
        <v>153</v>
      </c>
      <c r="G2442" s="69" t="s">
        <v>45</v>
      </c>
      <c r="H2442" s="0" t="n">
        <v>4</v>
      </c>
      <c r="I2442" s="70" t="n">
        <v>1656.52</v>
      </c>
      <c r="J2442" s="70" t="n">
        <v>1155.66</v>
      </c>
      <c r="K2442" s="70" t="n">
        <f aca="false">IF(ISTEXT(H2442),VALUE(H2442),H2442)*I2442</f>
        <v>6626.08</v>
      </c>
    </row>
    <row r="2443" customFormat="false" ht="15" hidden="false" customHeight="false" outlineLevel="0" collapsed="false">
      <c r="A2443" s="0" t="n">
        <v>235</v>
      </c>
      <c r="B2443" s="68" t="n">
        <v>45377</v>
      </c>
      <c r="C2443" s="69" t="s">
        <v>27</v>
      </c>
      <c r="D2443" s="69" t="s">
        <v>86</v>
      </c>
      <c r="E2443" s="69" t="s">
        <v>92</v>
      </c>
      <c r="F2443" s="69" t="s">
        <v>115</v>
      </c>
      <c r="G2443" s="69" t="s">
        <v>116</v>
      </c>
      <c r="H2443" s="0" t="n">
        <v>28</v>
      </c>
      <c r="I2443" s="70" t="n">
        <v>83.3</v>
      </c>
      <c r="J2443" s="70" t="n">
        <v>48.03</v>
      </c>
      <c r="K2443" s="70" t="n">
        <f aca="false">IF(ISTEXT(H2443),VALUE(H2443),H2443)*I2443</f>
        <v>2332.4</v>
      </c>
    </row>
    <row r="2444" customFormat="false" ht="15" hidden="false" customHeight="false" outlineLevel="0" collapsed="false">
      <c r="A2444" s="0" t="n">
        <v>2226</v>
      </c>
      <c r="B2444" s="68" t="n">
        <v>45965</v>
      </c>
      <c r="C2444" s="69" t="s">
        <v>27</v>
      </c>
      <c r="D2444" s="69" t="s">
        <v>86</v>
      </c>
      <c r="E2444" s="69" t="s">
        <v>119</v>
      </c>
      <c r="F2444" s="69" t="s">
        <v>139</v>
      </c>
      <c r="G2444" s="69" t="s">
        <v>45</v>
      </c>
      <c r="H2444" s="0" t="n">
        <v>9</v>
      </c>
      <c r="I2444" s="70" t="n">
        <v>1656.52</v>
      </c>
      <c r="J2444" s="70" t="n">
        <v>1155.66</v>
      </c>
      <c r="K2444" s="70" t="n">
        <f aca="false">IF(ISTEXT(H2444),VALUE(H2444),H2444)*I2444</f>
        <v>14908.68</v>
      </c>
    </row>
    <row r="2445" customFormat="false" ht="15" hidden="false" customHeight="false" outlineLevel="0" collapsed="false">
      <c r="A2445" s="0" t="n">
        <v>64</v>
      </c>
      <c r="B2445" s="68" t="n">
        <v>45308</v>
      </c>
      <c r="C2445" s="69" t="s">
        <v>136</v>
      </c>
      <c r="D2445" s="69"/>
      <c r="E2445" s="69" t="s">
        <v>125</v>
      </c>
      <c r="F2445" s="69" t="s">
        <v>153</v>
      </c>
      <c r="G2445" s="69" t="s">
        <v>43</v>
      </c>
      <c r="H2445" s="0" t="n">
        <v>2</v>
      </c>
      <c r="I2445" s="70" t="n">
        <v>441</v>
      </c>
      <c r="J2445" s="70" t="n">
        <v>272.25</v>
      </c>
      <c r="K2445" s="70" t="n">
        <f aca="false">IF(ISTEXT(H2445),VALUE(H2445),H2445)*I2445</f>
        <v>882</v>
      </c>
    </row>
    <row r="2446" customFormat="false" ht="15" hidden="false" customHeight="false" outlineLevel="0" collapsed="false">
      <c r="A2446" s="0" t="n">
        <v>140</v>
      </c>
      <c r="B2446" s="69" t="s">
        <v>169</v>
      </c>
      <c r="C2446" s="69" t="s">
        <v>159</v>
      </c>
      <c r="D2446" s="69" t="s">
        <v>86</v>
      </c>
      <c r="E2446" s="69" t="s">
        <v>119</v>
      </c>
      <c r="F2446" s="69" t="s">
        <v>33</v>
      </c>
      <c r="G2446" s="69" t="s">
        <v>53</v>
      </c>
      <c r="H2446" s="0" t="s">
        <v>122</v>
      </c>
      <c r="I2446" s="70" t="n">
        <v>34.3</v>
      </c>
      <c r="J2446" s="70" t="n">
        <v>17.85</v>
      </c>
      <c r="K2446" s="70" t="n">
        <f aca="false">IF(ISTEXT(H2446),VALUE(H2446),H2446)*I2446</f>
        <v>308.7</v>
      </c>
    </row>
    <row r="2447" customFormat="false" ht="15" hidden="false" customHeight="false" outlineLevel="0" collapsed="false">
      <c r="A2447" s="0" t="n">
        <v>1007</v>
      </c>
      <c r="B2447" s="68" t="n">
        <v>45599</v>
      </c>
      <c r="C2447" s="69" t="s">
        <v>170</v>
      </c>
      <c r="D2447" s="69" t="s">
        <v>97</v>
      </c>
      <c r="E2447" s="69" t="s">
        <v>138</v>
      </c>
      <c r="F2447" s="69" t="s">
        <v>102</v>
      </c>
      <c r="G2447" s="69" t="s">
        <v>103</v>
      </c>
      <c r="H2447" s="0" t="n">
        <v>103</v>
      </c>
      <c r="I2447" s="70" t="n">
        <v>27.44</v>
      </c>
      <c r="J2447" s="70" t="n">
        <v>13.44</v>
      </c>
      <c r="K2447" s="70" t="n">
        <f aca="false">IF(ISTEXT(H2447),VALUE(H2447),H2447)*I2447</f>
        <v>2826.32</v>
      </c>
    </row>
    <row r="2448" customFormat="false" ht="15" hidden="false" customHeight="false" outlineLevel="0" collapsed="false">
      <c r="A2448" s="0" t="n">
        <v>1949</v>
      </c>
      <c r="B2448" s="69" t="s">
        <v>855</v>
      </c>
      <c r="C2448" s="69" t="s">
        <v>108</v>
      </c>
      <c r="D2448" s="69" t="s">
        <v>109</v>
      </c>
      <c r="E2448" s="69" t="s">
        <v>92</v>
      </c>
      <c r="F2448" s="69" t="s">
        <v>155</v>
      </c>
      <c r="G2448" s="69" t="s">
        <v>235</v>
      </c>
      <c r="H2448" s="0" t="n">
        <v>38</v>
      </c>
      <c r="I2448" s="70" t="n">
        <v>95.38</v>
      </c>
      <c r="J2448" s="70" t="n">
        <v>49.41</v>
      </c>
      <c r="K2448" s="70" t="n">
        <f aca="false">IF(ISTEXT(H2448),VALUE(H2448),H2448)*I2448</f>
        <v>3624.44</v>
      </c>
    </row>
    <row r="2449" customFormat="false" ht="15" hidden="false" customHeight="false" outlineLevel="0" collapsed="false">
      <c r="A2449" s="0" t="n">
        <v>2003</v>
      </c>
      <c r="B2449" s="69" t="s">
        <v>856</v>
      </c>
      <c r="C2449" s="69" t="s">
        <v>150</v>
      </c>
      <c r="D2449" s="69" t="s">
        <v>97</v>
      </c>
      <c r="E2449" s="69" t="s">
        <v>92</v>
      </c>
      <c r="F2449" s="69" t="s">
        <v>153</v>
      </c>
      <c r="G2449" s="69" t="s">
        <v>43</v>
      </c>
      <c r="H2449" s="0" t="n">
        <v>17</v>
      </c>
      <c r="I2449" s="70" t="n">
        <v>451.78</v>
      </c>
      <c r="J2449" s="70" t="n">
        <v>280.42</v>
      </c>
      <c r="K2449" s="70" t="n">
        <f aca="false">IF(ISTEXT(H2449),VALUE(H2449),H2449)*I2449</f>
        <v>7680.26</v>
      </c>
    </row>
    <row r="2450" customFormat="false" ht="15" hidden="false" customHeight="false" outlineLevel="0" collapsed="false">
      <c r="A2450" s="0" t="n">
        <v>2283</v>
      </c>
      <c r="B2450" s="68" t="n">
        <v>45986</v>
      </c>
      <c r="C2450" s="69" t="s">
        <v>142</v>
      </c>
      <c r="D2450" s="69" t="s">
        <v>112</v>
      </c>
      <c r="E2450" s="69" t="s">
        <v>92</v>
      </c>
      <c r="F2450" s="69" t="s">
        <v>147</v>
      </c>
      <c r="G2450" s="69" t="s">
        <v>89</v>
      </c>
      <c r="H2450" s="0" t="n">
        <v>8</v>
      </c>
      <c r="I2450" s="70" t="n">
        <v>451.78</v>
      </c>
      <c r="J2450" s="70" t="n">
        <v>280.42</v>
      </c>
      <c r="K2450" s="70" t="n">
        <f aca="false">IF(ISTEXT(H2450),VALUE(H2450),H2450)*I2450</f>
        <v>3614.24</v>
      </c>
    </row>
    <row r="2451" customFormat="false" ht="15" hidden="false" customHeight="false" outlineLevel="0" collapsed="false">
      <c r="A2451" s="0" t="n">
        <v>133</v>
      </c>
      <c r="B2451" s="68" t="n">
        <v>45336</v>
      </c>
      <c r="C2451" s="69" t="s">
        <v>120</v>
      </c>
      <c r="D2451" s="69" t="s">
        <v>86</v>
      </c>
      <c r="E2451" s="69" t="s">
        <v>134</v>
      </c>
      <c r="F2451" s="69" t="s">
        <v>31</v>
      </c>
      <c r="G2451" s="69" t="s">
        <v>156</v>
      </c>
      <c r="H2451" s="0" t="n">
        <v>24</v>
      </c>
      <c r="I2451" s="70" t="n">
        <v>117.6</v>
      </c>
      <c r="J2451" s="70" t="n">
        <v>63.6</v>
      </c>
      <c r="K2451" s="70" t="n">
        <f aca="false">IF(ISTEXT(H2451),VALUE(H2451),H2451)*I2451</f>
        <v>2822.4</v>
      </c>
    </row>
    <row r="2452" customFormat="false" ht="15" hidden="false" customHeight="false" outlineLevel="0" collapsed="false">
      <c r="A2452" s="0" t="n">
        <v>1164</v>
      </c>
      <c r="B2452" s="68" t="n">
        <v>45648</v>
      </c>
      <c r="C2452" s="69" t="s">
        <v>32</v>
      </c>
      <c r="D2452" s="69" t="s">
        <v>137</v>
      </c>
      <c r="E2452" s="69" t="s">
        <v>98</v>
      </c>
      <c r="F2452" s="69" t="s">
        <v>88</v>
      </c>
      <c r="G2452" s="69" t="s">
        <v>177</v>
      </c>
      <c r="H2452" s="0" t="n">
        <v>4</v>
      </c>
      <c r="I2452" s="70" t="n">
        <v>441</v>
      </c>
      <c r="J2452" s="70" t="n">
        <v>272.25</v>
      </c>
      <c r="K2452" s="70" t="n">
        <f aca="false">IF(ISTEXT(H2452),VALUE(H2452),H2452)*I2452</f>
        <v>1764</v>
      </c>
    </row>
    <row r="2453" customFormat="false" ht="15" hidden="false" customHeight="false" outlineLevel="0" collapsed="false">
      <c r="A2453" s="0" t="n">
        <v>1076</v>
      </c>
      <c r="B2453" s="69" t="s">
        <v>253</v>
      </c>
      <c r="C2453" s="69" t="s">
        <v>32</v>
      </c>
      <c r="D2453" s="69" t="s">
        <v>137</v>
      </c>
      <c r="E2453" s="69" t="s">
        <v>180</v>
      </c>
      <c r="F2453" s="69" t="s">
        <v>166</v>
      </c>
      <c r="G2453" s="69" t="s">
        <v>111</v>
      </c>
      <c r="H2453" s="0" t="n">
        <v>8</v>
      </c>
      <c r="I2453" s="70" t="n">
        <v>83.3</v>
      </c>
      <c r="J2453" s="70" t="n">
        <v>48.03</v>
      </c>
      <c r="K2453" s="70" t="n">
        <f aca="false">IF(ISTEXT(H2453),VALUE(H2453),H2453)*I2453</f>
        <v>666.4</v>
      </c>
    </row>
    <row r="2454" customFormat="false" ht="15" hidden="false" customHeight="false" outlineLevel="0" collapsed="false">
      <c r="A2454" s="0" t="n">
        <v>452</v>
      </c>
      <c r="B2454" s="68" t="n">
        <v>45418</v>
      </c>
      <c r="C2454" s="69" t="s">
        <v>118</v>
      </c>
      <c r="D2454" s="69" t="s">
        <v>109</v>
      </c>
      <c r="E2454" s="69" t="s">
        <v>107</v>
      </c>
      <c r="F2454" s="69" t="s">
        <v>102</v>
      </c>
      <c r="G2454" s="69" t="s">
        <v>144</v>
      </c>
      <c r="H2454" s="0" t="n">
        <v>14</v>
      </c>
      <c r="I2454" s="70" t="n">
        <v>63.7</v>
      </c>
      <c r="J2454" s="70" t="n">
        <v>35.43</v>
      </c>
      <c r="K2454" s="70" t="n">
        <f aca="false">IF(ISTEXT(H2454),VALUE(H2454),H2454)*I2454</f>
        <v>891.8</v>
      </c>
    </row>
    <row r="2455" customFormat="false" ht="15" hidden="false" customHeight="false" outlineLevel="0" collapsed="false">
      <c r="A2455" s="0" t="n">
        <v>1403</v>
      </c>
      <c r="B2455" s="69" t="s">
        <v>857</v>
      </c>
      <c r="C2455" s="69" t="s">
        <v>150</v>
      </c>
      <c r="D2455" s="69" t="s">
        <v>97</v>
      </c>
      <c r="E2455" s="69" t="s">
        <v>110</v>
      </c>
      <c r="F2455" s="69" t="s">
        <v>26</v>
      </c>
      <c r="G2455" s="69" t="s">
        <v>43</v>
      </c>
      <c r="H2455" s="0" t="n">
        <v>23</v>
      </c>
      <c r="I2455" s="70" t="n">
        <v>433.15</v>
      </c>
      <c r="J2455" s="70" t="n">
        <v>280.42</v>
      </c>
      <c r="K2455" s="70" t="n">
        <f aca="false">IF(ISTEXT(H2455),VALUE(H2455),H2455)*I2455</f>
        <v>9962.45</v>
      </c>
    </row>
    <row r="2456" customFormat="false" ht="15" hidden="false" customHeight="false" outlineLevel="0" collapsed="false">
      <c r="A2456" s="0" t="n">
        <v>1613</v>
      </c>
      <c r="B2456" s="68" t="n">
        <v>45783</v>
      </c>
      <c r="C2456" s="69" t="s">
        <v>96</v>
      </c>
      <c r="D2456" s="69"/>
      <c r="E2456" s="69" t="s">
        <v>134</v>
      </c>
      <c r="F2456" s="69" t="s">
        <v>31</v>
      </c>
      <c r="G2456" s="69" t="s">
        <v>171</v>
      </c>
      <c r="H2456" s="0" t="n">
        <v>43</v>
      </c>
      <c r="I2456" s="70" t="n">
        <v>119.23</v>
      </c>
      <c r="J2456" s="70" t="n">
        <v>65.51</v>
      </c>
      <c r="K2456" s="70" t="n">
        <f aca="false">IF(ISTEXT(H2456),VALUE(H2456),H2456)*I2456</f>
        <v>5126.89</v>
      </c>
    </row>
    <row r="2457" customFormat="false" ht="15" hidden="false" customHeight="false" outlineLevel="0" collapsed="false">
      <c r="A2457" s="0" t="n">
        <v>1320</v>
      </c>
      <c r="B2457" s="68" t="n">
        <v>45695</v>
      </c>
      <c r="C2457" s="69" t="s">
        <v>96</v>
      </c>
      <c r="D2457" s="69" t="s">
        <v>97</v>
      </c>
      <c r="E2457" s="69" t="s">
        <v>119</v>
      </c>
      <c r="F2457" s="69" t="s">
        <v>33</v>
      </c>
      <c r="G2457" s="69" t="s">
        <v>217</v>
      </c>
      <c r="H2457" s="0" t="n">
        <v>27</v>
      </c>
      <c r="I2457" s="70" t="n">
        <v>34.78</v>
      </c>
      <c r="J2457" s="70" t="n">
        <v>18.39</v>
      </c>
      <c r="K2457" s="70" t="n">
        <f aca="false">IF(ISTEXT(H2457),VALUE(H2457),H2457)*I2457</f>
        <v>939.06</v>
      </c>
    </row>
    <row r="2458" customFormat="false" ht="15" hidden="false" customHeight="false" outlineLevel="0" collapsed="false">
      <c r="A2458" s="0" t="n">
        <v>1044</v>
      </c>
      <c r="B2458" s="68" t="n">
        <v>45615</v>
      </c>
      <c r="C2458" s="69" t="s">
        <v>108</v>
      </c>
      <c r="D2458" s="69" t="s">
        <v>109</v>
      </c>
      <c r="E2458" s="69" t="s">
        <v>98</v>
      </c>
      <c r="F2458" s="69" t="s">
        <v>26</v>
      </c>
      <c r="G2458" s="69" t="s">
        <v>89</v>
      </c>
      <c r="H2458" s="0" t="n">
        <v>4</v>
      </c>
      <c r="I2458" s="70" t="n">
        <v>441</v>
      </c>
      <c r="J2458" s="70" t="n">
        <v>272.25</v>
      </c>
      <c r="K2458" s="70" t="n">
        <f aca="false">IF(ISTEXT(H2458),VALUE(H2458),H2458)*I2458</f>
        <v>1764</v>
      </c>
    </row>
    <row r="2459" customFormat="false" ht="15" hidden="false" customHeight="false" outlineLevel="0" collapsed="false">
      <c r="A2459" s="0" t="n">
        <v>1249</v>
      </c>
      <c r="B2459" s="68" t="n">
        <v>45680</v>
      </c>
      <c r="C2459" s="69" t="s">
        <v>30</v>
      </c>
      <c r="D2459" s="69" t="s">
        <v>109</v>
      </c>
      <c r="E2459" s="69" t="s">
        <v>110</v>
      </c>
      <c r="F2459" s="69" t="s">
        <v>155</v>
      </c>
      <c r="G2459" s="69" t="s">
        <v>172</v>
      </c>
      <c r="H2459" s="0" t="n">
        <v>39</v>
      </c>
      <c r="I2459" s="70" t="n">
        <v>94.39</v>
      </c>
      <c r="J2459" s="70" t="n">
        <v>49.41</v>
      </c>
      <c r="K2459" s="70" t="n">
        <f aca="false">IF(ISTEXT(H2459),VALUE(H2459),H2459)*I2459</f>
        <v>3681.21</v>
      </c>
    </row>
  </sheetData>
  <mergeCells count="8">
    <mergeCell ref="N4:R4"/>
    <mergeCell ref="N5:R7"/>
    <mergeCell ref="N9:R9"/>
    <mergeCell ref="N10:R12"/>
    <mergeCell ref="N14:R14"/>
    <mergeCell ref="N15:R17"/>
    <mergeCell ref="N19:R19"/>
    <mergeCell ref="N20:R22"/>
  </mergeCells>
  <conditionalFormatting sqref="B2:B2459">
    <cfRule type="expression" priority="2" aboveAverage="0" equalAverage="0" bottom="0" percent="0" rank="0" text="" dxfId="9">
      <formula>ISTEXT(B2)</formula>
    </cfRule>
  </conditionalFormatting>
  <conditionalFormatting sqref="H2:H2459">
    <cfRule type="expression" priority="3" aboveAverage="0" equalAverage="0" bottom="0" percent="0" rank="0" text="" dxfId="9">
      <formula>ISTEXT(H2)</formula>
    </cfRule>
  </conditionalFormatting>
  <conditionalFormatting sqref="D2:D2459">
    <cfRule type="expression" priority="4" aboveAverage="0" equalAverage="0" bottom="0" percent="0" rank="0" text="" dxfId="9">
      <formula>D2=""</formula>
    </cfRule>
  </conditionalFormatting>
  <conditionalFormatting sqref="A2:A2459">
    <cfRule type="expression" priority="5" aboveAverage="0" equalAverage="0" bottom="0" percent="0" rank="0" text="" dxfId="9">
      <formula>COUNTIF($A$2:$A$2459,A2)&gt;1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43"/>
  <sheetViews>
    <sheetView showFormulas="false" showGridLines="0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46"/>
    <col collapsed="false" customWidth="true" hidden="false" outlineLevel="0" max="5" min="4" style="0" width="15"/>
    <col collapsed="false" customWidth="true" hidden="false" outlineLevel="0" max="6" min="6" style="0" width="13"/>
    <col collapsed="false" customWidth="true" hidden="false" outlineLevel="0" max="7" min="7" style="0" width="3"/>
  </cols>
  <sheetData>
    <row r="2" customFormat="false" ht="18.55" hidden="false" customHeight="false" outlineLevel="0" collapsed="false">
      <c r="B2" s="21" t="s">
        <v>858</v>
      </c>
    </row>
    <row r="3" customFormat="false" ht="24" hidden="false" customHeight="true" outlineLevel="0" collapsed="false">
      <c r="B3" s="73" t="s">
        <v>859</v>
      </c>
      <c r="C3" s="73"/>
      <c r="D3" s="73"/>
      <c r="E3" s="73"/>
      <c r="F3" s="73"/>
    </row>
    <row r="4" customFormat="false" ht="15" hidden="false" customHeight="false" outlineLevel="0" collapsed="false">
      <c r="B4" s="73"/>
      <c r="C4" s="73"/>
      <c r="D4" s="73"/>
      <c r="E4" s="73"/>
      <c r="F4" s="73"/>
    </row>
    <row r="6" customFormat="false" ht="15" hidden="false" customHeight="false" outlineLevel="0" collapsed="false">
      <c r="B6" s="49" t="s">
        <v>860</v>
      </c>
      <c r="C6" s="1"/>
      <c r="D6" s="1"/>
      <c r="E6" s="1"/>
      <c r="F6" s="1"/>
    </row>
    <row r="7" customFormat="false" ht="15" hidden="false" customHeight="false" outlineLevel="0" collapsed="false">
      <c r="B7" s="74" t="s">
        <v>861</v>
      </c>
      <c r="C7" s="74" t="s">
        <v>862</v>
      </c>
      <c r="D7" s="74" t="s">
        <v>863</v>
      </c>
      <c r="E7" s="74" t="s">
        <v>864</v>
      </c>
      <c r="F7" s="74" t="s">
        <v>865</v>
      </c>
    </row>
    <row r="8" customFormat="false" ht="30" hidden="false" customHeight="true" outlineLevel="0" collapsed="false">
      <c r="B8" s="51" t="s">
        <v>866</v>
      </c>
      <c r="C8" s="75" t="s">
        <v>867</v>
      </c>
      <c r="D8" s="76" t="n">
        <f aca="false">2458-SUMPRODUCT((Datos_Origen!$A$2:$A$2459&lt;&gt;"")/COUNTIF(Datos_Origen!$A$2:$A$2459,Datos_Origen!$A$2:$A$2459&amp;""))</f>
        <v>58</v>
      </c>
      <c r="E8" s="77" t="n">
        <f aca="false">2400-SUMPRODUCT((Datos_Limpios!$A$2:$A$2401&lt;&gt;"")/COUNTIF(Datos_Limpios!$A$2:$A$2401,Datos_Limpios!$A$2:$A$2401&amp;""))</f>
        <v>0</v>
      </c>
      <c r="F8" s="78" t="str">
        <f aca="false">IF(E8=0,"OK","REVISAR")</f>
        <v>OK</v>
      </c>
    </row>
    <row r="9" customFormat="false" ht="30" hidden="false" customHeight="true" outlineLevel="0" collapsed="false">
      <c r="B9" s="51" t="s">
        <v>868</v>
      </c>
      <c r="C9" s="75" t="s">
        <v>869</v>
      </c>
      <c r="D9" s="76" t="n">
        <f aca="false">SUMPRODUCT(--ISTEXT(Datos_Origen!$B$2:$B$2459))</f>
        <v>845</v>
      </c>
      <c r="E9" s="77" t="n">
        <f aca="false">SUMPRODUCT(--ISTEXT(Datos_Limpios!$B$2:$B$2401))</f>
        <v>0</v>
      </c>
      <c r="F9" s="78" t="str">
        <f aca="false">IF(E9=0,"OK","REVISAR")</f>
        <v>OK</v>
      </c>
    </row>
    <row r="10" customFormat="false" ht="30" hidden="false" customHeight="true" outlineLevel="0" collapsed="false">
      <c r="B10" s="51" t="s">
        <v>870</v>
      </c>
      <c r="C10" s="75" t="s">
        <v>871</v>
      </c>
      <c r="D10" s="76" t="n">
        <f aca="false">SUMPRODUCT(--ISTEXT(Datos_Origen!$H$2:$H$2459))</f>
        <v>246</v>
      </c>
      <c r="E10" s="77" t="n">
        <f aca="false">SUMPRODUCT(--ISTEXT(Datos_Limpios!$O$2:$O$2401))</f>
        <v>0</v>
      </c>
      <c r="F10" s="78" t="str">
        <f aca="false">IF(E10=0,"OK","REVISAR")</f>
        <v>OK</v>
      </c>
    </row>
    <row r="11" customFormat="false" ht="30" hidden="false" customHeight="true" outlineLevel="0" collapsed="false">
      <c r="B11" s="51" t="s">
        <v>872</v>
      </c>
      <c r="C11" s="75" t="s">
        <v>873</v>
      </c>
      <c r="D11" s="76" t="n">
        <f aca="false">COUNTBLANK(Datos_Origen!$D$2:$D$2459)</f>
        <v>159</v>
      </c>
      <c r="E11" s="77" t="n">
        <f aca="false">COUNTBLANK(Datos_Limpios!$I$2:$I$2401)</f>
        <v>0</v>
      </c>
      <c r="F11" s="78" t="str">
        <f aca="false">IF(E11=0,"OK","REVISAR")</f>
        <v>OK</v>
      </c>
    </row>
    <row r="12" customFormat="false" ht="30" hidden="false" customHeight="true" outlineLevel="0" collapsed="false">
      <c r="B12" s="51" t="s">
        <v>874</v>
      </c>
      <c r="C12" s="75" t="s">
        <v>875</v>
      </c>
      <c r="D12" s="76" t="n">
        <f aca="false">SUMPRODUCT((Datos_Origen!$F$2:$F$2459&lt;&gt;"")/COUNTIF(Datos_Origen!$F$2:$F$2459,Datos_Origen!$F$2:$F$2459&amp;""))</f>
        <v>11</v>
      </c>
      <c r="E12" s="77" t="n">
        <f aca="false">SUMPRODUCT((Datos_Limpios!$K$2:$K$2401&lt;&gt;"")/COUNTIF(Datos_Limpios!$K$2:$K$2401,Datos_Limpios!$K$2:$K$2401&amp;""))</f>
        <v>4</v>
      </c>
      <c r="F12" s="78" t="str">
        <f aca="false">IF(E12=4,"OK","REVISAR")</f>
        <v>OK</v>
      </c>
    </row>
    <row r="13" customFormat="false" ht="30" hidden="false" customHeight="true" outlineLevel="0" collapsed="false">
      <c r="B13" s="51" t="s">
        <v>876</v>
      </c>
      <c r="C13" s="75" t="s">
        <v>877</v>
      </c>
      <c r="D13" s="76" t="n">
        <f aca="false">SUMPRODUCT((Datos_Origen!$C$2:$C$2459&lt;&gt;"")/COUNTIF(Datos_Origen!$C$2:$C$2459,Datos_Origen!$C$2:$C$2459&amp;""))</f>
        <v>11</v>
      </c>
      <c r="E13" s="77" t="n">
        <f aca="false">SUMPRODUCT((Datos_Limpios!$H$2:$H$2401&lt;&gt;"")/COUNTIF(Datos_Limpios!$H$2:$H$2401,Datos_Limpios!$H$2:$H$2401&amp;""))</f>
        <v>5</v>
      </c>
      <c r="F13" s="78" t="str">
        <f aca="false">IF(E13=5,"OK","REVISAR")</f>
        <v>OK</v>
      </c>
    </row>
    <row r="14" customFormat="false" ht="30" hidden="false" customHeight="true" outlineLevel="0" collapsed="false">
      <c r="B14" s="51" t="s">
        <v>878</v>
      </c>
      <c r="C14" s="75" t="s">
        <v>879</v>
      </c>
      <c r="D14" s="76" t="n">
        <f aca="false">SUMPRODUCT((Datos_Origen!$E$2:$E$2459&lt;&gt;"")/COUNTIF(Datos_Origen!$E$2:$E$2459,Datos_Origen!$E$2:$E$2459&amp;""))</f>
        <v>7</v>
      </c>
      <c r="E14" s="77" t="n">
        <f aca="false">SUMPRODUCT((Datos_Limpios!$J$2:$J$2401&lt;&gt;"")/COUNTIF(Datos_Limpios!$J$2:$J$2401,Datos_Limpios!$J$2:$J$2401&amp;""))</f>
        <v>2</v>
      </c>
      <c r="F14" s="78" t="str">
        <f aca="false">IF(E14=2,"OK","REVISAR")</f>
        <v>OK</v>
      </c>
    </row>
    <row r="15" customFormat="false" ht="30" hidden="false" customHeight="true" outlineLevel="0" collapsed="false">
      <c r="B15" s="51" t="s">
        <v>880</v>
      </c>
      <c r="C15" s="75" t="s">
        <v>881</v>
      </c>
      <c r="D15" s="76" t="n">
        <f aca="false">SUMPRODUCT((Datos_Origen!$G$2:$G$2459&lt;&gt;"")/COUNTIF(Datos_Origen!$G$2:$G$2459,Datos_Origen!$G$2:$G$2459&amp;""))</f>
        <v>30</v>
      </c>
      <c r="E15" s="77" t="n">
        <f aca="false">SUMPRODUCT((Datos_Limpios!$M$2:$M$2401&lt;&gt;"")/COUNTIF(Datos_Limpios!$M$2:$M$2401,Datos_Limpios!$M$2:$M$2401&amp;""))</f>
        <v>10</v>
      </c>
      <c r="F15" s="78" t="str">
        <f aca="false">IF(E15=10,"OK","REVISAR")</f>
        <v>OK</v>
      </c>
    </row>
    <row r="17" customFormat="false" ht="15" hidden="false" customHeight="false" outlineLevel="0" collapsed="false">
      <c r="B17" s="49" t="s">
        <v>882</v>
      </c>
      <c r="C17" s="1"/>
      <c r="D17" s="1"/>
      <c r="E17" s="1"/>
      <c r="F17" s="1"/>
    </row>
    <row r="18" customFormat="false" ht="15" hidden="false" customHeight="false" outlineLevel="0" collapsed="false">
      <c r="B18" s="74" t="s">
        <v>883</v>
      </c>
      <c r="C18" s="74" t="s">
        <v>884</v>
      </c>
      <c r="D18" s="74" t="s">
        <v>885</v>
      </c>
      <c r="E18" s="74"/>
      <c r="F18" s="74"/>
    </row>
    <row r="19" customFormat="false" ht="25.5" hidden="false" customHeight="true" outlineLevel="0" collapsed="false">
      <c r="B19" s="51" t="s">
        <v>886</v>
      </c>
      <c r="C19" s="75" t="s">
        <v>887</v>
      </c>
      <c r="D19" s="77" t="n">
        <f aca="false">COUNTA(Datos_Origen!$A$2:$A$2459)</f>
        <v>2458</v>
      </c>
    </row>
    <row r="20" customFormat="false" ht="25.5" hidden="false" customHeight="true" outlineLevel="0" collapsed="false">
      <c r="B20" s="51" t="s">
        <v>888</v>
      </c>
      <c r="C20" s="75" t="s">
        <v>889</v>
      </c>
      <c r="D20" s="77" t="n">
        <f aca="false">SUMPRODUCT((Datos_Origen!$A$2:$A$2459&lt;&gt;"")/COUNTIF(Datos_Origen!$A$2:$A$2459,Datos_Origen!$A$2:$A$2459&amp;""))</f>
        <v>2400</v>
      </c>
    </row>
    <row r="21" customFormat="false" ht="25.5" hidden="false" customHeight="true" outlineLevel="0" collapsed="false">
      <c r="B21" s="51" t="s">
        <v>890</v>
      </c>
      <c r="C21" s="75" t="s">
        <v>891</v>
      </c>
      <c r="D21" s="77" t="n">
        <f aca="false">D19-D20</f>
        <v>58</v>
      </c>
    </row>
    <row r="22" customFormat="false" ht="25.5" hidden="false" customHeight="true" outlineLevel="0" collapsed="false">
      <c r="B22" s="51" t="s">
        <v>892</v>
      </c>
      <c r="C22" s="75" t="s">
        <v>893</v>
      </c>
      <c r="D22" s="79" t="n">
        <f aca="false">SUM(Datos_Origen!$K$2:$K$2459)</f>
        <v>10550976.53</v>
      </c>
    </row>
    <row r="23" customFormat="false" ht="25.5" hidden="false" customHeight="true" outlineLevel="0" collapsed="false">
      <c r="B23" s="51" t="s">
        <v>894</v>
      </c>
      <c r="C23" s="75" t="s">
        <v>895</v>
      </c>
      <c r="D23" s="79" t="n">
        <f aca="false">SUM(Datos_Limpios!$R$2:$R$2401)</f>
        <v>10292360.2</v>
      </c>
    </row>
    <row r="24" customFormat="false" ht="25.5" hidden="false" customHeight="true" outlineLevel="0" collapsed="false">
      <c r="B24" s="51" t="s">
        <v>896</v>
      </c>
      <c r="C24" s="75" t="s">
        <v>897</v>
      </c>
      <c r="D24" s="79" t="n">
        <f aca="false">D22-D23</f>
        <v>258616.33</v>
      </c>
    </row>
    <row r="25" customFormat="false" ht="25.5" hidden="false" customHeight="true" outlineLevel="0" collapsed="false">
      <c r="B25" s="51" t="s">
        <v>898</v>
      </c>
      <c r="C25" s="75" t="s">
        <v>899</v>
      </c>
      <c r="D25" s="77" t="n">
        <f aca="false">COUNTA(Datos_Limpios!$A$2:$A$2401)</f>
        <v>2400</v>
      </c>
    </row>
    <row r="26" customFormat="false" ht="25.5" hidden="false" customHeight="true" outlineLevel="0" collapsed="false">
      <c r="B26" s="51" t="s">
        <v>900</v>
      </c>
      <c r="C26" s="75" t="s">
        <v>901</v>
      </c>
      <c r="D26" s="77" t="n">
        <f aca="false">COUNTIF(Datos_Limpios!$AA$2:$AA$2401,"REVISAR")</f>
        <v>0</v>
      </c>
      <c r="E26" s="78" t="str">
        <f aca="false">IF(D26=0,"OK","REVISAR")</f>
        <v>OK</v>
      </c>
    </row>
    <row r="28" customFormat="false" ht="15" hidden="false" customHeight="false" outlineLevel="0" collapsed="false">
      <c r="B28" s="49" t="s">
        <v>902</v>
      </c>
      <c r="C28" s="1"/>
      <c r="D28" s="1"/>
      <c r="E28" s="1"/>
      <c r="F28" s="1"/>
    </row>
    <row r="29" customFormat="false" ht="15" hidden="false" customHeight="false" outlineLevel="0" collapsed="false">
      <c r="B29" s="74" t="s">
        <v>903</v>
      </c>
      <c r="C29" s="74" t="s">
        <v>904</v>
      </c>
      <c r="D29" s="74" t="s">
        <v>905</v>
      </c>
      <c r="E29" s="74"/>
      <c r="F29" s="74"/>
    </row>
    <row r="30" customFormat="false" ht="21.75" hidden="false" customHeight="true" outlineLevel="0" collapsed="false">
      <c r="B30" s="51" t="s">
        <v>40</v>
      </c>
      <c r="C30" s="72" t="s">
        <v>906</v>
      </c>
      <c r="D30" s="80" t="s">
        <v>42</v>
      </c>
      <c r="E30" s="77" t="n">
        <f aca="false">COUNTIF(Datos_Limpios!$W$2:$W$2401,"Alta rentabilidad")</f>
        <v>521</v>
      </c>
    </row>
    <row r="31" customFormat="false" ht="15" hidden="false" customHeight="true" outlineLevel="0" collapsed="false">
      <c r="C31" s="72"/>
      <c r="D31" s="80" t="s">
        <v>44</v>
      </c>
      <c r="E31" s="77" t="n">
        <f aca="false">COUNTIF(Datos_Limpios!$W$2:$W$2401,"Estandar")</f>
        <v>1655</v>
      </c>
    </row>
    <row r="32" customFormat="false" ht="15" hidden="false" customHeight="true" outlineLevel="0" collapsed="false">
      <c r="C32" s="72"/>
      <c r="D32" s="80" t="s">
        <v>46</v>
      </c>
      <c r="E32" s="77" t="n">
        <f aca="false">COUNTIF(Datos_Limpios!$W$2:$W$2401,"Revisar")</f>
        <v>224</v>
      </c>
    </row>
    <row r="34" customFormat="false" ht="21.75" hidden="false" customHeight="true" outlineLevel="0" collapsed="false">
      <c r="B34" s="51" t="s">
        <v>78</v>
      </c>
      <c r="C34" s="72" t="s">
        <v>907</v>
      </c>
      <c r="D34" s="80" t="s">
        <v>908</v>
      </c>
      <c r="E34" s="77" t="n">
        <f aca="false">COUNTIF(Datos_Limpios!$X$2:$X$2401,"Alerta")</f>
        <v>600</v>
      </c>
    </row>
    <row r="35" customFormat="false" ht="15" hidden="false" customHeight="true" outlineLevel="0" collapsed="false">
      <c r="C35" s="72"/>
      <c r="D35" s="80" t="s">
        <v>909</v>
      </c>
      <c r="E35" s="77" t="n">
        <f aca="false">COUNTIF(Datos_Limpios!$X$2:$X$2401,"OK")</f>
        <v>1800</v>
      </c>
    </row>
    <row r="37" customFormat="false" ht="21.75" hidden="false" customHeight="true" outlineLevel="0" collapsed="false">
      <c r="B37" s="51" t="s">
        <v>79</v>
      </c>
      <c r="C37" s="72" t="s">
        <v>910</v>
      </c>
      <c r="D37" s="80" t="s">
        <v>911</v>
      </c>
      <c r="E37" s="77" t="n">
        <f aca="false">COUNTIF(Datos_Limpios!$Y$2:$Y$2401,"Alto")</f>
        <v>965</v>
      </c>
    </row>
    <row r="38" customFormat="false" ht="15" hidden="false" customHeight="true" outlineLevel="0" collapsed="false">
      <c r="C38" s="72"/>
      <c r="D38" s="80" t="s">
        <v>912</v>
      </c>
      <c r="E38" s="77" t="n">
        <f aca="false">COUNTIF(Datos_Limpios!$Y$2:$Y$2401,"Medio")</f>
        <v>1406</v>
      </c>
    </row>
    <row r="39" customFormat="false" ht="15" hidden="false" customHeight="true" outlineLevel="0" collapsed="false">
      <c r="C39" s="72"/>
      <c r="D39" s="80" t="s">
        <v>913</v>
      </c>
      <c r="E39" s="77" t="n">
        <f aca="false">COUNTIF(Datos_Limpios!$Y$2:$Y$2401,"Bajo")</f>
        <v>29</v>
      </c>
    </row>
    <row r="42" customFormat="false" ht="15" hidden="false" customHeight="true" outlineLevel="0" collapsed="false">
      <c r="B42" s="50" t="s">
        <v>914</v>
      </c>
      <c r="C42" s="50"/>
      <c r="D42" s="50"/>
      <c r="E42" s="50"/>
      <c r="F42" s="50"/>
    </row>
    <row r="43" customFormat="false" ht="15" hidden="false" customHeight="false" outlineLevel="0" collapsed="false">
      <c r="B43" s="50"/>
      <c r="C43" s="50"/>
      <c r="D43" s="50"/>
      <c r="E43" s="50"/>
      <c r="F43" s="50"/>
    </row>
  </sheetData>
  <mergeCells count="5">
    <mergeCell ref="B3:F4"/>
    <mergeCell ref="C30:C32"/>
    <mergeCell ref="C34:C35"/>
    <mergeCell ref="C37:C39"/>
    <mergeCell ref="B42:F43"/>
  </mergeCells>
  <conditionalFormatting sqref="F8:F15">
    <cfRule type="expression" priority="2" aboveAverage="0" equalAverage="0" bottom="0" percent="0" rank="0" text="" dxfId="10">
      <formula>F8="OK"</formula>
    </cfRule>
    <cfRule type="expression" priority="3" aboveAverage="0" equalAverage="0" bottom="0" percent="0" rank="0" text="" dxfId="8">
      <formula>F8="REVISAR"</formula>
    </cfRule>
  </conditionalFormatting>
  <conditionalFormatting sqref="E26">
    <cfRule type="expression" priority="4" aboveAverage="0" equalAverage="0" bottom="0" percent="0" rank="0" text="" dxfId="10">
      <formula>E26="OK"</formula>
    </cfRule>
    <cfRule type="expression" priority="5" aboveAverage="0" equalAverage="0" bottom="0" percent="0" rank="0" text="" dxfId="8">
      <formula>E26="REVISAR"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106"/>
  <sheetViews>
    <sheetView showFormulas="false" showGridLines="0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5" min="3" style="0" width="16"/>
    <col collapsed="false" customWidth="true" hidden="false" outlineLevel="0" max="6" min="6" style="0" width="58"/>
    <col collapsed="false" customWidth="true" hidden="false" outlineLevel="0" max="7" min="7" style="0" width="3"/>
    <col collapsed="false" customWidth="true" hidden="false" outlineLevel="0" max="8" min="8" style="0" width="8"/>
    <col collapsed="false" customWidth="true" hidden="false" outlineLevel="0" max="9" min="9" style="0" width="22"/>
    <col collapsed="false" customWidth="true" hidden="false" outlineLevel="0" max="13" min="11" style="0" width="16"/>
  </cols>
  <sheetData>
    <row r="2" customFormat="false" ht="18.55" hidden="false" customHeight="false" outlineLevel="0" collapsed="false">
      <c r="B2" s="21" t="s">
        <v>915</v>
      </c>
    </row>
    <row r="3" customFormat="false" ht="15" hidden="false" customHeight="false" outlineLevel="0" collapsed="false">
      <c r="B3" s="81" t="s">
        <v>916</v>
      </c>
      <c r="H3" s="49" t="s">
        <v>917</v>
      </c>
      <c r="I3" s="1"/>
      <c r="K3" s="49" t="s">
        <v>918</v>
      </c>
      <c r="L3" s="1"/>
      <c r="M3" s="1"/>
    </row>
    <row r="4" customFormat="false" ht="15" hidden="false" customHeight="false" outlineLevel="0" collapsed="false">
      <c r="H4" s="74" t="s">
        <v>919</v>
      </c>
      <c r="I4" s="74" t="s">
        <v>66</v>
      </c>
      <c r="K4" s="74" t="s">
        <v>20</v>
      </c>
      <c r="L4" s="74" t="s">
        <v>24</v>
      </c>
      <c r="M4" s="74" t="s">
        <v>57</v>
      </c>
    </row>
    <row r="5" customFormat="false" ht="15" hidden="false" customHeight="false" outlineLevel="0" collapsed="false">
      <c r="B5" s="49" t="s">
        <v>920</v>
      </c>
      <c r="C5" s="1"/>
      <c r="D5" s="1"/>
      <c r="E5" s="1"/>
      <c r="F5" s="1"/>
      <c r="H5" s="82" t="n">
        <v>1</v>
      </c>
      <c r="I5" s="82" t="s">
        <v>921</v>
      </c>
      <c r="K5" s="83" t="s">
        <v>25</v>
      </c>
      <c r="L5" s="83" t="s">
        <v>26</v>
      </c>
      <c r="M5" s="82" t="s">
        <v>58</v>
      </c>
    </row>
    <row r="6" customFormat="false" ht="15" hidden="false" customHeight="false" outlineLevel="0" collapsed="false">
      <c r="B6" s="74" t="s">
        <v>922</v>
      </c>
      <c r="C6" s="74" t="s">
        <v>885</v>
      </c>
      <c r="D6" s="74" t="s">
        <v>923</v>
      </c>
      <c r="E6" s="74"/>
      <c r="F6" s="74" t="s">
        <v>924</v>
      </c>
      <c r="H6" s="82" t="n">
        <v>2</v>
      </c>
      <c r="I6" s="82" t="s">
        <v>925</v>
      </c>
      <c r="K6" s="83" t="s">
        <v>27</v>
      </c>
      <c r="L6" s="83" t="s">
        <v>28</v>
      </c>
      <c r="M6" s="82" t="n">
        <v>2024</v>
      </c>
    </row>
    <row r="7" customFormat="false" ht="15" hidden="false" customHeight="false" outlineLevel="0" collapsed="false">
      <c r="B7" s="83" t="s">
        <v>926</v>
      </c>
      <c r="C7" s="84" t="n">
        <v>5400000</v>
      </c>
      <c r="D7" s="85" t="s">
        <v>927</v>
      </c>
      <c r="E7" s="85"/>
      <c r="F7" s="86" t="s">
        <v>928</v>
      </c>
      <c r="H7" s="82" t="n">
        <v>3</v>
      </c>
      <c r="I7" s="82" t="s">
        <v>929</v>
      </c>
      <c r="K7" s="83" t="s">
        <v>30</v>
      </c>
      <c r="L7" s="83" t="s">
        <v>31</v>
      </c>
      <c r="M7" s="82" t="n">
        <v>2025</v>
      </c>
    </row>
    <row r="8" customFormat="false" ht="15" hidden="false" customHeight="false" outlineLevel="0" collapsed="false">
      <c r="B8" s="83" t="s">
        <v>930</v>
      </c>
      <c r="C8" s="87" t="n">
        <v>0.34</v>
      </c>
      <c r="D8" s="85" t="s">
        <v>931</v>
      </c>
      <c r="E8" s="85"/>
      <c r="F8" s="86" t="s">
        <v>932</v>
      </c>
      <c r="H8" s="82" t="n">
        <v>4</v>
      </c>
      <c r="I8" s="82" t="s">
        <v>933</v>
      </c>
      <c r="K8" s="83" t="s">
        <v>32</v>
      </c>
      <c r="L8" s="83" t="s">
        <v>33</v>
      </c>
    </row>
    <row r="9" customFormat="false" ht="15" hidden="false" customHeight="false" outlineLevel="0" collapsed="false">
      <c r="B9" s="83" t="s">
        <v>934</v>
      </c>
      <c r="C9" s="87" t="n">
        <v>0.15</v>
      </c>
      <c r="D9" s="85" t="s">
        <v>935</v>
      </c>
      <c r="E9" s="85"/>
      <c r="F9" s="86" t="s">
        <v>936</v>
      </c>
      <c r="H9" s="82" t="n">
        <v>5</v>
      </c>
      <c r="I9" s="82" t="s">
        <v>937</v>
      </c>
      <c r="K9" s="83" t="s">
        <v>34</v>
      </c>
    </row>
    <row r="10" customFormat="false" ht="15" hidden="false" customHeight="false" outlineLevel="0" collapsed="false">
      <c r="B10" s="83" t="s">
        <v>938</v>
      </c>
      <c r="C10" s="88" t="n">
        <v>0.025</v>
      </c>
      <c r="D10" s="85" t="s">
        <v>939</v>
      </c>
      <c r="E10" s="85"/>
      <c r="F10" s="86" t="s">
        <v>940</v>
      </c>
      <c r="H10" s="82" t="n">
        <v>6</v>
      </c>
      <c r="I10" s="82" t="s">
        <v>941</v>
      </c>
    </row>
    <row r="11" customFormat="false" ht="15" hidden="false" customHeight="true" outlineLevel="0" collapsed="false">
      <c r="B11" s="83" t="s">
        <v>942</v>
      </c>
      <c r="C11" s="87" t="n">
        <v>0.28</v>
      </c>
      <c r="D11" s="85" t="s">
        <v>943</v>
      </c>
      <c r="E11" s="85"/>
      <c r="F11" s="86" t="s">
        <v>944</v>
      </c>
      <c r="H11" s="82" t="n">
        <v>7</v>
      </c>
      <c r="I11" s="82" t="s">
        <v>945</v>
      </c>
      <c r="K11" s="89" t="s">
        <v>946</v>
      </c>
      <c r="L11" s="89"/>
      <c r="M11" s="89"/>
    </row>
    <row r="12" customFormat="false" ht="15" hidden="false" customHeight="false" outlineLevel="0" collapsed="false">
      <c r="B12" s="83" t="s">
        <v>947</v>
      </c>
      <c r="C12" s="84" t="n">
        <v>3000</v>
      </c>
      <c r="D12" s="85" t="s">
        <v>948</v>
      </c>
      <c r="E12" s="85"/>
      <c r="F12" s="86" t="s">
        <v>949</v>
      </c>
      <c r="H12" s="82" t="n">
        <v>8</v>
      </c>
      <c r="I12" s="82" t="s">
        <v>950</v>
      </c>
      <c r="K12" s="89"/>
      <c r="L12" s="89"/>
      <c r="M12" s="89"/>
    </row>
    <row r="13" customFormat="false" ht="15" hidden="false" customHeight="false" outlineLevel="0" collapsed="false">
      <c r="B13" s="83" t="s">
        <v>951</v>
      </c>
      <c r="C13" s="84" t="n">
        <v>300</v>
      </c>
      <c r="D13" s="85" t="s">
        <v>948</v>
      </c>
      <c r="E13" s="85"/>
      <c r="F13" s="86" t="s">
        <v>952</v>
      </c>
      <c r="H13" s="82" t="n">
        <v>9</v>
      </c>
      <c r="I13" s="82" t="s">
        <v>953</v>
      </c>
      <c r="K13" s="89"/>
      <c r="L13" s="89"/>
      <c r="M13" s="89"/>
    </row>
    <row r="14" customFormat="false" ht="15" hidden="false" customHeight="false" outlineLevel="0" collapsed="false">
      <c r="B14" s="83" t="s">
        <v>954</v>
      </c>
      <c r="C14" s="88" t="n">
        <v>0.05</v>
      </c>
      <c r="D14" s="85" t="s">
        <v>955</v>
      </c>
      <c r="E14" s="85"/>
      <c r="F14" s="86" t="s">
        <v>956</v>
      </c>
      <c r="H14" s="82" t="n">
        <v>10</v>
      </c>
      <c r="I14" s="82" t="s">
        <v>957</v>
      </c>
    </row>
    <row r="15" customFormat="false" ht="15" hidden="false" customHeight="false" outlineLevel="0" collapsed="false">
      <c r="B15" s="83" t="s">
        <v>958</v>
      </c>
      <c r="C15" s="87" t="n">
        <v>0.33</v>
      </c>
      <c r="D15" s="85" t="s">
        <v>959</v>
      </c>
      <c r="E15" s="85"/>
      <c r="F15" s="86" t="s">
        <v>960</v>
      </c>
      <c r="H15" s="82" t="n">
        <v>11</v>
      </c>
      <c r="I15" s="82" t="s">
        <v>961</v>
      </c>
    </row>
    <row r="16" customFormat="false" ht="15" hidden="false" customHeight="false" outlineLevel="0" collapsed="false">
      <c r="H16" s="82" t="n">
        <v>12</v>
      </c>
      <c r="I16" s="82" t="s">
        <v>962</v>
      </c>
    </row>
    <row r="17" customFormat="false" ht="15" hidden="false" customHeight="false" outlineLevel="0" collapsed="false">
      <c r="B17" s="49" t="s">
        <v>963</v>
      </c>
      <c r="C17" s="1"/>
      <c r="D17" s="1"/>
      <c r="E17" s="1"/>
      <c r="F17" s="1"/>
    </row>
    <row r="18" customFormat="false" ht="15" hidden="false" customHeight="true" outlineLevel="0" collapsed="false">
      <c r="B18" s="83" t="s">
        <v>964</v>
      </c>
      <c r="C18" s="90" t="s">
        <v>965</v>
      </c>
      <c r="F18" s="91" t="s">
        <v>966</v>
      </c>
      <c r="H18" s="49" t="s">
        <v>967</v>
      </c>
      <c r="I18" s="1"/>
    </row>
    <row r="19" customFormat="false" ht="15" hidden="false" customHeight="false" outlineLevel="0" collapsed="false">
      <c r="B19" s="83" t="s">
        <v>968</v>
      </c>
      <c r="C19" s="92" t="n">
        <v>2400</v>
      </c>
      <c r="F19" s="91"/>
      <c r="H19" s="74" t="s">
        <v>20</v>
      </c>
      <c r="I19" s="74" t="s">
        <v>68</v>
      </c>
    </row>
    <row r="20" customFormat="false" ht="15" hidden="false" customHeight="false" outlineLevel="0" collapsed="false">
      <c r="B20" s="83" t="s">
        <v>969</v>
      </c>
      <c r="C20" s="93" t="n">
        <v>0.035</v>
      </c>
      <c r="F20" s="91"/>
      <c r="H20" s="83" t="s">
        <v>25</v>
      </c>
      <c r="I20" s="83" t="s">
        <v>97</v>
      </c>
    </row>
    <row r="21" customFormat="false" ht="15" hidden="false" customHeight="false" outlineLevel="0" collapsed="false">
      <c r="B21" s="83" t="s">
        <v>970</v>
      </c>
      <c r="C21" s="93" t="n">
        <v>0.03</v>
      </c>
      <c r="F21" s="91"/>
      <c r="H21" s="83" t="s">
        <v>27</v>
      </c>
      <c r="I21" s="83" t="s">
        <v>86</v>
      </c>
    </row>
    <row r="22" customFormat="false" ht="15" hidden="false" customHeight="false" outlineLevel="0" collapsed="false">
      <c r="B22" s="83" t="s">
        <v>971</v>
      </c>
      <c r="C22" s="93" t="n">
        <v>0.155</v>
      </c>
      <c r="F22" s="91"/>
      <c r="H22" s="83" t="s">
        <v>30</v>
      </c>
      <c r="I22" s="83" t="s">
        <v>109</v>
      </c>
    </row>
    <row r="23" customFormat="false" ht="15" hidden="false" customHeight="false" outlineLevel="0" collapsed="false">
      <c r="B23" s="83" t="s">
        <v>972</v>
      </c>
      <c r="C23" s="93" t="n">
        <v>0.28</v>
      </c>
      <c r="F23" s="91"/>
      <c r="H23" s="83" t="s">
        <v>32</v>
      </c>
      <c r="I23" s="83" t="s">
        <v>137</v>
      </c>
    </row>
    <row r="24" customFormat="false" ht="15" hidden="false" customHeight="false" outlineLevel="0" collapsed="false">
      <c r="B24" s="83" t="s">
        <v>973</v>
      </c>
      <c r="C24" s="93" t="n">
        <v>0.41</v>
      </c>
      <c r="F24" s="91"/>
      <c r="H24" s="83" t="s">
        <v>34</v>
      </c>
      <c r="I24" s="83" t="s">
        <v>112</v>
      </c>
    </row>
    <row r="26" customFormat="false" ht="15" hidden="false" customHeight="true" outlineLevel="0" collapsed="false">
      <c r="B26" s="49" t="s">
        <v>974</v>
      </c>
      <c r="C26" s="1"/>
      <c r="D26" s="1"/>
      <c r="E26" s="1"/>
      <c r="F26" s="1"/>
      <c r="H26" s="89" t="s">
        <v>975</v>
      </c>
      <c r="I26" s="89"/>
    </row>
    <row r="27" customFormat="false" ht="15" hidden="false" customHeight="false" outlineLevel="0" collapsed="false">
      <c r="B27" s="74" t="s">
        <v>69</v>
      </c>
      <c r="C27" s="74" t="s">
        <v>57</v>
      </c>
      <c r="D27" s="74" t="s">
        <v>64</v>
      </c>
      <c r="E27" s="74" t="s">
        <v>976</v>
      </c>
      <c r="H27" s="89"/>
      <c r="I27" s="89"/>
    </row>
    <row r="28" customFormat="false" ht="15" hidden="false" customHeight="true" outlineLevel="0" collapsed="false">
      <c r="B28" s="83" t="s">
        <v>92</v>
      </c>
      <c r="C28" s="82" t="n">
        <v>2024</v>
      </c>
      <c r="D28" s="82" t="s">
        <v>977</v>
      </c>
      <c r="E28" s="94" t="n">
        <v>0.012</v>
      </c>
      <c r="F28" s="91" t="s">
        <v>978</v>
      </c>
    </row>
    <row r="29" customFormat="false" ht="15" hidden="false" customHeight="false" outlineLevel="0" collapsed="false">
      <c r="B29" s="83" t="s">
        <v>92</v>
      </c>
      <c r="C29" s="82" t="n">
        <v>2024</v>
      </c>
      <c r="D29" s="82" t="s">
        <v>979</v>
      </c>
      <c r="E29" s="94" t="n">
        <v>0.012</v>
      </c>
      <c r="F29" s="91"/>
    </row>
    <row r="30" customFormat="false" ht="15" hidden="false" customHeight="false" outlineLevel="0" collapsed="false">
      <c r="B30" s="83" t="s">
        <v>92</v>
      </c>
      <c r="C30" s="82" t="n">
        <v>2024</v>
      </c>
      <c r="D30" s="82" t="s">
        <v>980</v>
      </c>
      <c r="E30" s="94" t="n">
        <v>0.013</v>
      </c>
      <c r="F30" s="91"/>
    </row>
    <row r="31" customFormat="false" ht="15" hidden="false" customHeight="false" outlineLevel="0" collapsed="false">
      <c r="B31" s="83" t="s">
        <v>92</v>
      </c>
      <c r="C31" s="82" t="n">
        <v>2024</v>
      </c>
      <c r="D31" s="82" t="s">
        <v>981</v>
      </c>
      <c r="E31" s="94" t="n">
        <v>0.013</v>
      </c>
      <c r="F31" s="91"/>
    </row>
    <row r="32" customFormat="false" ht="15" hidden="false" customHeight="false" outlineLevel="0" collapsed="false">
      <c r="B32" s="83" t="s">
        <v>92</v>
      </c>
      <c r="C32" s="82" t="n">
        <v>2025</v>
      </c>
      <c r="D32" s="82" t="s">
        <v>977</v>
      </c>
      <c r="E32" s="94" t="n">
        <v>0.013</v>
      </c>
      <c r="F32" s="91"/>
    </row>
    <row r="33" customFormat="false" ht="15" hidden="false" customHeight="false" outlineLevel="0" collapsed="false">
      <c r="B33" s="83" t="s">
        <v>92</v>
      </c>
      <c r="C33" s="82" t="n">
        <v>2025</v>
      </c>
      <c r="D33" s="82" t="s">
        <v>979</v>
      </c>
      <c r="E33" s="94" t="n">
        <v>0.014</v>
      </c>
      <c r="F33" s="91"/>
    </row>
    <row r="34" customFormat="false" ht="15" hidden="false" customHeight="false" outlineLevel="0" collapsed="false">
      <c r="B34" s="83" t="s">
        <v>92</v>
      </c>
      <c r="C34" s="82" t="n">
        <v>2025</v>
      </c>
      <c r="D34" s="82" t="s">
        <v>980</v>
      </c>
      <c r="E34" s="94" t="n">
        <v>0.013</v>
      </c>
      <c r="F34" s="91"/>
    </row>
    <row r="35" customFormat="false" ht="15" hidden="false" customHeight="false" outlineLevel="0" collapsed="false">
      <c r="B35" s="83" t="s">
        <v>92</v>
      </c>
      <c r="C35" s="82" t="n">
        <v>2025</v>
      </c>
      <c r="D35" s="82" t="s">
        <v>981</v>
      </c>
      <c r="E35" s="94" t="n">
        <v>0.013</v>
      </c>
      <c r="F35" s="91"/>
    </row>
    <row r="36" customFormat="false" ht="15" hidden="false" customHeight="false" outlineLevel="0" collapsed="false">
      <c r="B36" s="83" t="s">
        <v>125</v>
      </c>
      <c r="C36" s="82" t="n">
        <v>2024</v>
      </c>
      <c r="D36" s="82" t="s">
        <v>977</v>
      </c>
      <c r="E36" s="94" t="n">
        <v>0.042</v>
      </c>
      <c r="F36" s="91"/>
    </row>
    <row r="37" customFormat="false" ht="15" hidden="false" customHeight="false" outlineLevel="0" collapsed="false">
      <c r="B37" s="83" t="s">
        <v>125</v>
      </c>
      <c r="C37" s="82" t="n">
        <v>2024</v>
      </c>
      <c r="D37" s="82" t="s">
        <v>979</v>
      </c>
      <c r="E37" s="94" t="n">
        <v>0.044</v>
      </c>
      <c r="F37" s="91"/>
    </row>
    <row r="38" customFormat="false" ht="15" hidden="false" customHeight="false" outlineLevel="0" collapsed="false">
      <c r="B38" s="83" t="s">
        <v>125</v>
      </c>
      <c r="C38" s="82" t="n">
        <v>2024</v>
      </c>
      <c r="D38" s="82" t="s">
        <v>980</v>
      </c>
      <c r="E38" s="94" t="n">
        <v>0.046</v>
      </c>
      <c r="F38" s="91"/>
    </row>
    <row r="39" customFormat="false" ht="15" hidden="false" customHeight="false" outlineLevel="0" collapsed="false">
      <c r="B39" s="83" t="s">
        <v>125</v>
      </c>
      <c r="C39" s="82" t="n">
        <v>2024</v>
      </c>
      <c r="D39" s="82" t="s">
        <v>981</v>
      </c>
      <c r="E39" s="94" t="n">
        <v>0.048</v>
      </c>
      <c r="F39" s="91"/>
    </row>
    <row r="40" customFormat="false" ht="15" hidden="false" customHeight="false" outlineLevel="0" collapsed="false">
      <c r="B40" s="83" t="s">
        <v>125</v>
      </c>
      <c r="C40" s="82" t="n">
        <v>2025</v>
      </c>
      <c r="D40" s="82" t="s">
        <v>977</v>
      </c>
      <c r="E40" s="94" t="n">
        <v>0.068</v>
      </c>
      <c r="F40" s="91"/>
    </row>
    <row r="41" customFormat="false" ht="15" hidden="false" customHeight="false" outlineLevel="0" collapsed="false">
      <c r="B41" s="83" t="s">
        <v>125</v>
      </c>
      <c r="C41" s="82" t="n">
        <v>2025</v>
      </c>
      <c r="D41" s="82" t="s">
        <v>979</v>
      </c>
      <c r="E41" s="94" t="n">
        <v>0.074</v>
      </c>
      <c r="F41" s="91"/>
    </row>
    <row r="42" customFormat="false" ht="15" hidden="false" customHeight="false" outlineLevel="0" collapsed="false">
      <c r="B42" s="83" t="s">
        <v>125</v>
      </c>
      <c r="C42" s="82" t="n">
        <v>2025</v>
      </c>
      <c r="D42" s="82" t="s">
        <v>980</v>
      </c>
      <c r="E42" s="94" t="n">
        <v>0.056</v>
      </c>
      <c r="F42" s="91"/>
    </row>
    <row r="43" customFormat="false" ht="15" hidden="false" customHeight="false" outlineLevel="0" collapsed="false">
      <c r="B43" s="83" t="s">
        <v>125</v>
      </c>
      <c r="C43" s="82" t="n">
        <v>2025</v>
      </c>
      <c r="D43" s="82" t="s">
        <v>981</v>
      </c>
      <c r="E43" s="94" t="n">
        <v>0.052</v>
      </c>
      <c r="F43" s="91"/>
    </row>
    <row r="46" customFormat="false" ht="15" hidden="false" customHeight="false" outlineLevel="0" collapsed="false">
      <c r="B46" s="49" t="s">
        <v>982</v>
      </c>
      <c r="C46" s="1"/>
      <c r="D46" s="1"/>
      <c r="E46" s="1"/>
      <c r="F46" s="1"/>
    </row>
    <row r="47" customFormat="false" ht="15" hidden="false" customHeight="true" outlineLevel="0" collapsed="false">
      <c r="B47" s="95" t="s">
        <v>983</v>
      </c>
      <c r="C47" s="96" t="s">
        <v>984</v>
      </c>
      <c r="F47" s="91" t="s">
        <v>985</v>
      </c>
    </row>
    <row r="48" customFormat="false" ht="15" hidden="false" customHeight="false" outlineLevel="0" collapsed="false">
      <c r="B48" s="97" t="s">
        <v>26</v>
      </c>
      <c r="C48" s="82" t="s">
        <v>26</v>
      </c>
      <c r="F48" s="91"/>
    </row>
    <row r="49" customFormat="false" ht="15" hidden="false" customHeight="false" outlineLevel="0" collapsed="false">
      <c r="B49" s="98" t="s">
        <v>153</v>
      </c>
      <c r="C49" s="82" t="s">
        <v>26</v>
      </c>
      <c r="F49" s="91"/>
    </row>
    <row r="50" customFormat="false" ht="15" hidden="false" customHeight="false" outlineLevel="0" collapsed="false">
      <c r="B50" s="98" t="s">
        <v>139</v>
      </c>
      <c r="C50" s="82" t="s">
        <v>26</v>
      </c>
      <c r="F50" s="91"/>
    </row>
    <row r="51" customFormat="false" ht="15" hidden="false" customHeight="false" outlineLevel="0" collapsed="false">
      <c r="B51" s="98" t="s">
        <v>147</v>
      </c>
      <c r="C51" s="82" t="s">
        <v>26</v>
      </c>
      <c r="F51" s="91"/>
    </row>
    <row r="52" customFormat="false" ht="15" hidden="false" customHeight="false" outlineLevel="0" collapsed="false">
      <c r="B52" s="98" t="s">
        <v>135</v>
      </c>
      <c r="C52" s="82" t="s">
        <v>26</v>
      </c>
      <c r="F52" s="91"/>
    </row>
    <row r="53" customFormat="false" ht="15" hidden="false" customHeight="false" outlineLevel="0" collapsed="false">
      <c r="B53" s="98" t="s">
        <v>88</v>
      </c>
      <c r="C53" s="82" t="s">
        <v>26</v>
      </c>
      <c r="F53" s="91"/>
    </row>
    <row r="54" customFormat="false" ht="15" hidden="false" customHeight="false" outlineLevel="0" collapsed="false">
      <c r="B54" s="97" t="s">
        <v>28</v>
      </c>
      <c r="C54" s="82" t="s">
        <v>28</v>
      </c>
      <c r="F54" s="91"/>
    </row>
    <row r="55" customFormat="false" ht="15" hidden="false" customHeight="false" outlineLevel="0" collapsed="false">
      <c r="B55" s="98" t="s">
        <v>155</v>
      </c>
      <c r="C55" s="82" t="s">
        <v>28</v>
      </c>
      <c r="F55" s="91"/>
    </row>
    <row r="56" customFormat="false" ht="15" hidden="false" customHeight="false" outlineLevel="0" collapsed="false">
      <c r="B56" s="98" t="s">
        <v>143</v>
      </c>
      <c r="C56" s="82" t="s">
        <v>28</v>
      </c>
      <c r="F56" s="91"/>
    </row>
    <row r="57" customFormat="false" ht="15" hidden="false" customHeight="false" outlineLevel="0" collapsed="false">
      <c r="B57" s="98" t="s">
        <v>102</v>
      </c>
      <c r="C57" s="82" t="s">
        <v>28</v>
      </c>
    </row>
    <row r="58" customFormat="false" ht="15" hidden="false" customHeight="false" outlineLevel="0" collapsed="false">
      <c r="B58" s="98" t="s">
        <v>99</v>
      </c>
      <c r="C58" s="82" t="s">
        <v>28</v>
      </c>
    </row>
    <row r="59" customFormat="false" ht="15" hidden="false" customHeight="false" outlineLevel="0" collapsed="false">
      <c r="B59" s="97" t="s">
        <v>31</v>
      </c>
      <c r="C59" s="82" t="s">
        <v>31</v>
      </c>
    </row>
    <row r="60" customFormat="false" ht="15" hidden="false" customHeight="false" outlineLevel="0" collapsed="false">
      <c r="B60" s="98" t="s">
        <v>162</v>
      </c>
      <c r="C60" s="82" t="s">
        <v>31</v>
      </c>
    </row>
    <row r="61" customFormat="false" ht="15" hidden="false" customHeight="false" outlineLevel="0" collapsed="false">
      <c r="B61" s="98" t="s">
        <v>115</v>
      </c>
      <c r="C61" s="82" t="s">
        <v>31</v>
      </c>
    </row>
    <row r="62" customFormat="false" ht="15" hidden="false" customHeight="false" outlineLevel="0" collapsed="false">
      <c r="B62" s="98" t="s">
        <v>166</v>
      </c>
      <c r="C62" s="82" t="s">
        <v>31</v>
      </c>
    </row>
    <row r="63" customFormat="false" ht="15" hidden="false" customHeight="false" outlineLevel="0" collapsed="false">
      <c r="B63" s="97" t="s">
        <v>33</v>
      </c>
      <c r="C63" s="82" t="s">
        <v>33</v>
      </c>
    </row>
    <row r="64" customFormat="false" ht="15" hidden="false" customHeight="false" outlineLevel="0" collapsed="false">
      <c r="B64" s="98" t="s">
        <v>183</v>
      </c>
      <c r="C64" s="82" t="s">
        <v>33</v>
      </c>
    </row>
    <row r="65" customFormat="false" ht="15" hidden="false" customHeight="false" outlineLevel="0" collapsed="false">
      <c r="B65" s="98" t="s">
        <v>168</v>
      </c>
      <c r="C65" s="82" t="s">
        <v>33</v>
      </c>
    </row>
    <row r="66" customFormat="false" ht="15" hidden="false" customHeight="false" outlineLevel="0" collapsed="false">
      <c r="B66" s="98" t="s">
        <v>93</v>
      </c>
      <c r="C66" s="82" t="s">
        <v>33</v>
      </c>
    </row>
    <row r="67" customFormat="false" ht="15" hidden="false" customHeight="false" outlineLevel="0" collapsed="false">
      <c r="B67" s="98" t="s">
        <v>182</v>
      </c>
      <c r="C67" s="82" t="s">
        <v>33</v>
      </c>
    </row>
    <row r="70" customFormat="false" ht="15" hidden="false" customHeight="false" outlineLevel="0" collapsed="false">
      <c r="B70" s="95" t="s">
        <v>986</v>
      </c>
      <c r="C70" s="96" t="s">
        <v>984</v>
      </c>
    </row>
    <row r="71" customFormat="false" ht="15" hidden="false" customHeight="false" outlineLevel="0" collapsed="false">
      <c r="B71" s="97" t="s">
        <v>25</v>
      </c>
      <c r="C71" s="82" t="s">
        <v>25</v>
      </c>
    </row>
    <row r="72" customFormat="false" ht="15" hidden="false" customHeight="false" outlineLevel="0" collapsed="false">
      <c r="B72" s="98" t="s">
        <v>150</v>
      </c>
      <c r="C72" s="82" t="s">
        <v>25</v>
      </c>
    </row>
    <row r="73" customFormat="false" ht="15" hidden="false" customHeight="false" outlineLevel="0" collapsed="false">
      <c r="B73" s="98" t="s">
        <v>170</v>
      </c>
      <c r="C73" s="82" t="s">
        <v>25</v>
      </c>
    </row>
    <row r="74" customFormat="false" ht="15" hidden="false" customHeight="false" outlineLevel="0" collapsed="false">
      <c r="B74" s="98" t="s">
        <v>124</v>
      </c>
      <c r="C74" s="82" t="s">
        <v>25</v>
      </c>
    </row>
    <row r="75" customFormat="false" ht="15" hidden="false" customHeight="false" outlineLevel="0" collapsed="false">
      <c r="B75" s="98" t="s">
        <v>96</v>
      </c>
      <c r="C75" s="82" t="s">
        <v>25</v>
      </c>
    </row>
    <row r="76" customFormat="false" ht="15" hidden="false" customHeight="false" outlineLevel="0" collapsed="false">
      <c r="B76" s="97" t="s">
        <v>27</v>
      </c>
      <c r="C76" s="82" t="s">
        <v>27</v>
      </c>
    </row>
    <row r="77" customFormat="false" ht="15" hidden="false" customHeight="false" outlineLevel="0" collapsed="false">
      <c r="B77" s="98" t="s">
        <v>159</v>
      </c>
      <c r="C77" s="82" t="s">
        <v>27</v>
      </c>
    </row>
    <row r="78" customFormat="false" ht="15" hidden="false" customHeight="false" outlineLevel="0" collapsed="false">
      <c r="B78" s="98" t="s">
        <v>120</v>
      </c>
      <c r="C78" s="82" t="s">
        <v>27</v>
      </c>
    </row>
    <row r="79" customFormat="false" ht="15" hidden="false" customHeight="false" outlineLevel="0" collapsed="false">
      <c r="B79" s="98" t="s">
        <v>91</v>
      </c>
      <c r="C79" s="82" t="s">
        <v>27</v>
      </c>
    </row>
    <row r="80" customFormat="false" ht="15" hidden="false" customHeight="false" outlineLevel="0" collapsed="false">
      <c r="B80" s="97" t="s">
        <v>30</v>
      </c>
      <c r="C80" s="82" t="s">
        <v>30</v>
      </c>
    </row>
    <row r="81" customFormat="false" ht="15" hidden="false" customHeight="false" outlineLevel="0" collapsed="false">
      <c r="B81" s="98" t="s">
        <v>152</v>
      </c>
      <c r="C81" s="82" t="s">
        <v>30</v>
      </c>
    </row>
    <row r="82" customFormat="false" ht="15" hidden="false" customHeight="false" outlineLevel="0" collapsed="false">
      <c r="B82" s="98" t="s">
        <v>108</v>
      </c>
      <c r="C82" s="82" t="s">
        <v>30</v>
      </c>
    </row>
    <row r="83" customFormat="false" ht="15" hidden="false" customHeight="false" outlineLevel="0" collapsed="false">
      <c r="B83" s="98" t="s">
        <v>118</v>
      </c>
      <c r="C83" s="82" t="s">
        <v>30</v>
      </c>
    </row>
    <row r="84" customFormat="false" ht="15" hidden="false" customHeight="false" outlineLevel="0" collapsed="false">
      <c r="B84" s="97" t="s">
        <v>32</v>
      </c>
      <c r="C84" s="82" t="s">
        <v>32</v>
      </c>
    </row>
    <row r="85" customFormat="false" ht="15" hidden="false" customHeight="false" outlineLevel="0" collapsed="false">
      <c r="B85" s="98" t="s">
        <v>193</v>
      </c>
      <c r="C85" s="82" t="s">
        <v>32</v>
      </c>
    </row>
    <row r="86" customFormat="false" ht="15" hidden="false" customHeight="false" outlineLevel="0" collapsed="false">
      <c r="B86" s="98" t="s">
        <v>184</v>
      </c>
      <c r="C86" s="82" t="s">
        <v>32</v>
      </c>
    </row>
    <row r="87" customFormat="false" ht="15" hidden="false" customHeight="false" outlineLevel="0" collapsed="false">
      <c r="B87" s="98" t="s">
        <v>136</v>
      </c>
      <c r="C87" s="82" t="s">
        <v>32</v>
      </c>
    </row>
    <row r="88" customFormat="false" ht="15" hidden="false" customHeight="false" outlineLevel="0" collapsed="false">
      <c r="B88" s="97" t="s">
        <v>34</v>
      </c>
      <c r="C88" s="82" t="s">
        <v>34</v>
      </c>
    </row>
    <row r="89" customFormat="false" ht="15" hidden="false" customHeight="false" outlineLevel="0" collapsed="false">
      <c r="B89" s="98" t="s">
        <v>142</v>
      </c>
      <c r="C89" s="82" t="s">
        <v>34</v>
      </c>
    </row>
    <row r="90" customFormat="false" ht="15" hidden="false" customHeight="false" outlineLevel="0" collapsed="false">
      <c r="B90" s="98" t="s">
        <v>133</v>
      </c>
      <c r="C90" s="82" t="s">
        <v>34</v>
      </c>
    </row>
    <row r="91" customFormat="false" ht="15" hidden="false" customHeight="false" outlineLevel="0" collapsed="false">
      <c r="B91" s="98" t="s">
        <v>161</v>
      </c>
      <c r="C91" s="82" t="s">
        <v>34</v>
      </c>
    </row>
    <row r="94" customFormat="false" ht="15" hidden="false" customHeight="false" outlineLevel="0" collapsed="false">
      <c r="B94" s="95" t="s">
        <v>987</v>
      </c>
      <c r="C94" s="96" t="s">
        <v>984</v>
      </c>
    </row>
    <row r="95" customFormat="false" ht="15" hidden="false" customHeight="false" outlineLevel="0" collapsed="false">
      <c r="B95" s="97" t="s">
        <v>92</v>
      </c>
      <c r="C95" s="82" t="s">
        <v>92</v>
      </c>
    </row>
    <row r="96" customFormat="false" ht="15" hidden="false" customHeight="false" outlineLevel="0" collapsed="false">
      <c r="B96" s="98" t="s">
        <v>110</v>
      </c>
      <c r="C96" s="82" t="s">
        <v>92</v>
      </c>
    </row>
    <row r="97" customFormat="false" ht="15" hidden="false" customHeight="false" outlineLevel="0" collapsed="false">
      <c r="B97" s="98" t="s">
        <v>101</v>
      </c>
      <c r="C97" s="82" t="s">
        <v>92</v>
      </c>
    </row>
    <row r="98" customFormat="false" ht="15" hidden="false" customHeight="false" outlineLevel="0" collapsed="false">
      <c r="B98" s="98" t="s">
        <v>121</v>
      </c>
      <c r="C98" s="82" t="s">
        <v>92</v>
      </c>
    </row>
    <row r="99" customFormat="false" ht="15" hidden="false" customHeight="false" outlineLevel="0" collapsed="false">
      <c r="B99" s="98" t="s">
        <v>138</v>
      </c>
      <c r="C99" s="82" t="s">
        <v>92</v>
      </c>
    </row>
    <row r="100" customFormat="false" ht="15" hidden="false" customHeight="false" outlineLevel="0" collapsed="false">
      <c r="B100" s="98" t="s">
        <v>134</v>
      </c>
      <c r="C100" s="82" t="s">
        <v>92</v>
      </c>
    </row>
    <row r="101" customFormat="false" ht="15" hidden="false" customHeight="false" outlineLevel="0" collapsed="false">
      <c r="B101" s="97" t="s">
        <v>125</v>
      </c>
      <c r="C101" s="82" t="s">
        <v>125</v>
      </c>
    </row>
    <row r="102" customFormat="false" ht="15" hidden="false" customHeight="false" outlineLevel="0" collapsed="false">
      <c r="B102" s="98" t="s">
        <v>87</v>
      </c>
      <c r="C102" s="82" t="s">
        <v>125</v>
      </c>
    </row>
    <row r="103" customFormat="false" ht="15" hidden="false" customHeight="false" outlineLevel="0" collapsed="false">
      <c r="B103" s="98" t="s">
        <v>98</v>
      </c>
      <c r="C103" s="82" t="s">
        <v>125</v>
      </c>
    </row>
    <row r="104" customFormat="false" ht="15" hidden="false" customHeight="false" outlineLevel="0" collapsed="false">
      <c r="B104" s="98" t="s">
        <v>119</v>
      </c>
      <c r="C104" s="82" t="s">
        <v>125</v>
      </c>
    </row>
    <row r="105" customFormat="false" ht="15" hidden="false" customHeight="false" outlineLevel="0" collapsed="false">
      <c r="B105" s="98" t="s">
        <v>180</v>
      </c>
      <c r="C105" s="82" t="s">
        <v>125</v>
      </c>
    </row>
    <row r="106" customFormat="false" ht="15" hidden="false" customHeight="false" outlineLevel="0" collapsed="false">
      <c r="B106" s="98" t="s">
        <v>107</v>
      </c>
      <c r="C106" s="82" t="s">
        <v>125</v>
      </c>
    </row>
  </sheetData>
  <mergeCells count="14">
    <mergeCell ref="D7:E7"/>
    <mergeCell ref="D8:E8"/>
    <mergeCell ref="D9:E9"/>
    <mergeCell ref="D10:E10"/>
    <mergeCell ref="D11:E11"/>
    <mergeCell ref="K11:M13"/>
    <mergeCell ref="D12:E12"/>
    <mergeCell ref="D13:E13"/>
    <mergeCell ref="D14:E14"/>
    <mergeCell ref="D15:E15"/>
    <mergeCell ref="F18:F24"/>
    <mergeCell ref="H26:I27"/>
    <mergeCell ref="F28:F43"/>
    <mergeCell ref="F47:F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57"/>
  <sheetViews>
    <sheetView showFormulas="false" showGridLines="0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74"/>
    <col collapsed="false" customWidth="true" hidden="false" outlineLevel="0" max="5" min="5" style="0" width="2"/>
  </cols>
  <sheetData>
    <row r="2" customFormat="false" ht="18.55" hidden="false" customHeight="false" outlineLevel="0" collapsed="false">
      <c r="B2" s="21" t="s">
        <v>988</v>
      </c>
    </row>
    <row r="3" customFormat="false" ht="15" hidden="false" customHeight="false" outlineLevel="0" collapsed="false">
      <c r="B3" s="99" t="s">
        <v>989</v>
      </c>
    </row>
    <row r="5" customFormat="false" ht="15" hidden="false" customHeight="false" outlineLevel="0" collapsed="false">
      <c r="B5" s="49" t="s">
        <v>990</v>
      </c>
      <c r="C5" s="1"/>
      <c r="D5" s="1"/>
    </row>
    <row r="6" customFormat="false" ht="25.5" hidden="false" customHeight="true" outlineLevel="0" collapsed="false">
      <c r="B6" s="100" t="s">
        <v>991</v>
      </c>
      <c r="C6" s="101" t="s">
        <v>992</v>
      </c>
      <c r="D6" s="101" t="s">
        <v>993</v>
      </c>
    </row>
    <row r="7" customFormat="false" ht="25.5" hidden="false" customHeight="true" outlineLevel="0" collapsed="false">
      <c r="B7" s="100" t="s">
        <v>994</v>
      </c>
      <c r="C7" s="101" t="s">
        <v>995</v>
      </c>
      <c r="D7" s="101" t="s">
        <v>996</v>
      </c>
    </row>
    <row r="8" customFormat="false" ht="25.5" hidden="false" customHeight="true" outlineLevel="0" collapsed="false">
      <c r="B8" s="100" t="s">
        <v>997</v>
      </c>
      <c r="C8" s="101" t="s">
        <v>998</v>
      </c>
      <c r="D8" s="101" t="s">
        <v>999</v>
      </c>
    </row>
    <row r="9" customFormat="false" ht="25.5" hidden="false" customHeight="true" outlineLevel="0" collapsed="false">
      <c r="B9" s="100" t="s">
        <v>1000</v>
      </c>
      <c r="C9" s="101" t="s">
        <v>1001</v>
      </c>
      <c r="D9" s="101" t="s">
        <v>1002</v>
      </c>
    </row>
    <row r="10" customFormat="false" ht="25.5" hidden="false" customHeight="true" outlineLevel="0" collapsed="false">
      <c r="B10" s="100" t="s">
        <v>1003</v>
      </c>
      <c r="C10" s="101" t="s">
        <v>1004</v>
      </c>
      <c r="D10" s="101" t="s">
        <v>1005</v>
      </c>
    </row>
    <row r="11" customFormat="false" ht="25.5" hidden="false" customHeight="true" outlineLevel="0" collapsed="false">
      <c r="B11" s="100" t="s">
        <v>1006</v>
      </c>
      <c r="C11" s="101" t="s">
        <v>1007</v>
      </c>
      <c r="D11" s="101" t="s">
        <v>1008</v>
      </c>
    </row>
    <row r="12" customFormat="false" ht="25.5" hidden="false" customHeight="true" outlineLevel="0" collapsed="false">
      <c r="B12" s="100" t="s">
        <v>1009</v>
      </c>
      <c r="C12" s="101" t="s">
        <v>1010</v>
      </c>
      <c r="D12" s="101" t="s">
        <v>1011</v>
      </c>
    </row>
    <row r="13" customFormat="false" ht="25.5" hidden="false" customHeight="true" outlineLevel="0" collapsed="false">
      <c r="B13" s="100" t="s">
        <v>1012</v>
      </c>
      <c r="C13" s="101" t="s">
        <v>1013</v>
      </c>
      <c r="D13" s="101" t="s">
        <v>1014</v>
      </c>
    </row>
    <row r="14" customFormat="false" ht="25.5" hidden="false" customHeight="true" outlineLevel="0" collapsed="false">
      <c r="B14" s="100" t="s">
        <v>1015</v>
      </c>
      <c r="C14" s="101" t="s">
        <v>1016</v>
      </c>
      <c r="D14" s="101" t="s">
        <v>1017</v>
      </c>
    </row>
    <row r="15" customFormat="false" ht="25.5" hidden="false" customHeight="true" outlineLevel="0" collapsed="false">
      <c r="B15" s="100" t="s">
        <v>1018</v>
      </c>
      <c r="C15" s="101" t="s">
        <v>1016</v>
      </c>
      <c r="D15" s="101" t="s">
        <v>1019</v>
      </c>
    </row>
    <row r="17" customFormat="false" ht="15" hidden="false" customHeight="false" outlineLevel="0" collapsed="false">
      <c r="B17" s="49" t="s">
        <v>1020</v>
      </c>
      <c r="C17" s="1"/>
      <c r="D17" s="1"/>
    </row>
    <row r="18" customFormat="false" ht="25.5" hidden="false" customHeight="true" outlineLevel="0" collapsed="false">
      <c r="B18" s="100" t="s">
        <v>1021</v>
      </c>
      <c r="C18" s="101" t="s">
        <v>1022</v>
      </c>
      <c r="D18" s="101" t="s">
        <v>1023</v>
      </c>
    </row>
    <row r="19" customFormat="false" ht="37.5" hidden="false" customHeight="true" outlineLevel="0" collapsed="false">
      <c r="B19" s="100" t="s">
        <v>1024</v>
      </c>
      <c r="C19" s="101" t="s">
        <v>1025</v>
      </c>
      <c r="D19" s="101" t="s">
        <v>1026</v>
      </c>
    </row>
    <row r="20" customFormat="false" ht="37.5" hidden="false" customHeight="true" outlineLevel="0" collapsed="false">
      <c r="B20" s="100" t="s">
        <v>1027</v>
      </c>
      <c r="C20" s="101" t="s">
        <v>1028</v>
      </c>
      <c r="D20" s="101" t="s">
        <v>1029</v>
      </c>
    </row>
    <row r="21" customFormat="false" ht="37.5" hidden="false" customHeight="true" outlineLevel="0" collapsed="false">
      <c r="B21" s="100" t="s">
        <v>1030</v>
      </c>
      <c r="C21" s="101" t="s">
        <v>1031</v>
      </c>
      <c r="D21" s="101" t="s">
        <v>1032</v>
      </c>
    </row>
    <row r="22" customFormat="false" ht="25.5" hidden="false" customHeight="true" outlineLevel="0" collapsed="false">
      <c r="B22" s="100" t="s">
        <v>1033</v>
      </c>
      <c r="C22" s="101" t="s">
        <v>1034</v>
      </c>
      <c r="D22" s="101" t="s">
        <v>1035</v>
      </c>
    </row>
    <row r="23" customFormat="false" ht="25.5" hidden="false" customHeight="true" outlineLevel="0" collapsed="false">
      <c r="B23" s="100" t="s">
        <v>1036</v>
      </c>
      <c r="C23" s="101" t="s">
        <v>1037</v>
      </c>
      <c r="D23" s="101" t="s">
        <v>1038</v>
      </c>
    </row>
    <row r="24" customFormat="false" ht="25.5" hidden="false" customHeight="true" outlineLevel="0" collapsed="false">
      <c r="B24" s="100" t="s">
        <v>1039</v>
      </c>
      <c r="C24" s="101" t="s">
        <v>1040</v>
      </c>
      <c r="D24" s="101" t="s">
        <v>1041</v>
      </c>
    </row>
    <row r="25" customFormat="false" ht="37.5" hidden="false" customHeight="true" outlineLevel="0" collapsed="false">
      <c r="B25" s="100" t="s">
        <v>1042</v>
      </c>
      <c r="C25" s="101" t="s">
        <v>1043</v>
      </c>
      <c r="D25" s="101" t="s">
        <v>1044</v>
      </c>
    </row>
    <row r="26" customFormat="false" ht="37.5" hidden="false" customHeight="true" outlineLevel="0" collapsed="false">
      <c r="B26" s="100" t="s">
        <v>1045</v>
      </c>
      <c r="C26" s="101" t="s">
        <v>1046</v>
      </c>
      <c r="D26" s="101" t="s">
        <v>1047</v>
      </c>
    </row>
    <row r="28" customFormat="false" ht="15" hidden="false" customHeight="false" outlineLevel="0" collapsed="false">
      <c r="B28" s="49" t="s">
        <v>1048</v>
      </c>
      <c r="C28" s="1"/>
      <c r="D28" s="1"/>
    </row>
    <row r="29" customFormat="false" ht="25.5" hidden="false" customHeight="true" outlineLevel="0" collapsed="false">
      <c r="B29" s="100" t="s">
        <v>1049</v>
      </c>
      <c r="C29" s="101" t="s">
        <v>904</v>
      </c>
      <c r="D29" s="101" t="s">
        <v>1050</v>
      </c>
    </row>
    <row r="30" customFormat="false" ht="49.5" hidden="false" customHeight="true" outlineLevel="0" collapsed="false">
      <c r="B30" s="100" t="s">
        <v>40</v>
      </c>
      <c r="C30" s="101" t="s">
        <v>906</v>
      </c>
      <c r="D30" s="101" t="s">
        <v>1051</v>
      </c>
    </row>
    <row r="31" customFormat="false" ht="37.5" hidden="false" customHeight="true" outlineLevel="0" collapsed="false">
      <c r="B31" s="100" t="s">
        <v>78</v>
      </c>
      <c r="C31" s="101" t="s">
        <v>907</v>
      </c>
      <c r="D31" s="101" t="s">
        <v>1052</v>
      </c>
    </row>
    <row r="32" customFormat="false" ht="37.5" hidden="false" customHeight="true" outlineLevel="0" collapsed="false">
      <c r="B32" s="100" t="s">
        <v>79</v>
      </c>
      <c r="C32" s="101" t="s">
        <v>910</v>
      </c>
      <c r="D32" s="101" t="s">
        <v>1053</v>
      </c>
    </row>
    <row r="33" customFormat="false" ht="25.5" hidden="false" customHeight="true" outlineLevel="0" collapsed="false">
      <c r="B33" s="100" t="s">
        <v>1054</v>
      </c>
      <c r="C33" s="101" t="s">
        <v>1055</v>
      </c>
      <c r="D33" s="101" t="s">
        <v>1056</v>
      </c>
    </row>
    <row r="35" customFormat="false" ht="15" hidden="false" customHeight="false" outlineLevel="0" collapsed="false">
      <c r="B35" s="49" t="s">
        <v>1057</v>
      </c>
      <c r="C35" s="1"/>
      <c r="D35" s="1"/>
    </row>
    <row r="36" customFormat="false" ht="49.5" hidden="false" customHeight="true" outlineLevel="0" collapsed="false">
      <c r="B36" s="100" t="s">
        <v>1058</v>
      </c>
      <c r="C36" s="101" t="s">
        <v>1059</v>
      </c>
      <c r="D36" s="101" t="s">
        <v>1060</v>
      </c>
    </row>
    <row r="37" customFormat="false" ht="37.5" hidden="false" customHeight="true" outlineLevel="0" collapsed="false">
      <c r="B37" s="100" t="s">
        <v>1061</v>
      </c>
      <c r="C37" s="101" t="s">
        <v>1062</v>
      </c>
      <c r="D37" s="101" t="s">
        <v>1063</v>
      </c>
    </row>
    <row r="38" customFormat="false" ht="37.5" hidden="false" customHeight="true" outlineLevel="0" collapsed="false">
      <c r="B38" s="100" t="s">
        <v>1064</v>
      </c>
      <c r="C38" s="101" t="s">
        <v>1065</v>
      </c>
      <c r="D38" s="101" t="s">
        <v>1066</v>
      </c>
    </row>
    <row r="39" customFormat="false" ht="37.5" hidden="false" customHeight="true" outlineLevel="0" collapsed="false">
      <c r="B39" s="100" t="s">
        <v>1067</v>
      </c>
      <c r="C39" s="101" t="s">
        <v>1068</v>
      </c>
      <c r="D39" s="101" t="s">
        <v>1069</v>
      </c>
    </row>
    <row r="41" customFormat="false" ht="15" hidden="false" customHeight="false" outlineLevel="0" collapsed="false">
      <c r="B41" s="49" t="s">
        <v>1070</v>
      </c>
      <c r="C41" s="1"/>
      <c r="D41" s="1"/>
    </row>
    <row r="42" customFormat="false" ht="25.5" hidden="false" customHeight="true" outlineLevel="0" collapsed="false">
      <c r="B42" s="100" t="s">
        <v>1071</v>
      </c>
      <c r="C42" s="101" t="s">
        <v>1072</v>
      </c>
      <c r="D42" s="101" t="s">
        <v>1073</v>
      </c>
    </row>
    <row r="43" customFormat="false" ht="37.5" hidden="false" customHeight="true" outlineLevel="0" collapsed="false">
      <c r="B43" s="100" t="s">
        <v>1074</v>
      </c>
      <c r="C43" s="101" t="s">
        <v>1075</v>
      </c>
      <c r="D43" s="101" t="s">
        <v>1076</v>
      </c>
    </row>
    <row r="44" customFormat="false" ht="25.5" hidden="false" customHeight="true" outlineLevel="0" collapsed="false">
      <c r="B44" s="100" t="s">
        <v>1077</v>
      </c>
      <c r="C44" s="101" t="s">
        <v>1078</v>
      </c>
      <c r="D44" s="101" t="s">
        <v>1079</v>
      </c>
    </row>
    <row r="45" customFormat="false" ht="25.5" hidden="false" customHeight="true" outlineLevel="0" collapsed="false">
      <c r="B45" s="100" t="s">
        <v>1080</v>
      </c>
      <c r="C45" s="101" t="s">
        <v>1081</v>
      </c>
      <c r="D45" s="101" t="s">
        <v>1082</v>
      </c>
    </row>
    <row r="46" customFormat="false" ht="25.5" hidden="false" customHeight="true" outlineLevel="0" collapsed="false">
      <c r="B46" s="100" t="s">
        <v>1083</v>
      </c>
      <c r="C46" s="101" t="s">
        <v>1084</v>
      </c>
      <c r="D46" s="101" t="s">
        <v>1085</v>
      </c>
    </row>
    <row r="47" customFormat="false" ht="25.5" hidden="false" customHeight="true" outlineLevel="0" collapsed="false">
      <c r="B47" s="100" t="s">
        <v>1086</v>
      </c>
      <c r="C47" s="101" t="s">
        <v>1087</v>
      </c>
      <c r="D47" s="101" t="s">
        <v>1088</v>
      </c>
    </row>
    <row r="48" customFormat="false" ht="25.5" hidden="false" customHeight="true" outlineLevel="0" collapsed="false">
      <c r="B48" s="100" t="s">
        <v>1089</v>
      </c>
      <c r="C48" s="101" t="s">
        <v>1090</v>
      </c>
      <c r="D48" s="101" t="s">
        <v>1091</v>
      </c>
    </row>
    <row r="49" customFormat="false" ht="25.5" hidden="false" customHeight="true" outlineLevel="0" collapsed="false">
      <c r="B49" s="100" t="s">
        <v>1092</v>
      </c>
      <c r="C49" s="101" t="s">
        <v>1093</v>
      </c>
      <c r="D49" s="101" t="s">
        <v>1094</v>
      </c>
    </row>
    <row r="51" customFormat="false" ht="15" hidden="false" customHeight="false" outlineLevel="0" collapsed="false">
      <c r="B51" s="49" t="s">
        <v>1095</v>
      </c>
      <c r="C51" s="1"/>
      <c r="D51" s="1"/>
    </row>
    <row r="52" customFormat="false" ht="25.5" hidden="false" customHeight="true" outlineLevel="0" collapsed="false">
      <c r="B52" s="100" t="s">
        <v>1096</v>
      </c>
      <c r="C52" s="101" t="s">
        <v>884</v>
      </c>
      <c r="D52" s="101" t="s">
        <v>1097</v>
      </c>
    </row>
    <row r="53" customFormat="false" ht="37.5" hidden="false" customHeight="true" outlineLevel="0" collapsed="false">
      <c r="B53" s="100" t="s">
        <v>1098</v>
      </c>
      <c r="C53" s="101" t="s">
        <v>1099</v>
      </c>
      <c r="D53" s="101" t="s">
        <v>1100</v>
      </c>
    </row>
    <row r="54" customFormat="false" ht="37.5" hidden="false" customHeight="true" outlineLevel="0" collapsed="false">
      <c r="B54" s="100" t="s">
        <v>1101</v>
      </c>
      <c r="C54" s="101" t="s">
        <v>1102</v>
      </c>
      <c r="D54" s="101" t="s">
        <v>1103</v>
      </c>
    </row>
    <row r="55" customFormat="false" ht="37.5" hidden="false" customHeight="true" outlineLevel="0" collapsed="false">
      <c r="B55" s="100" t="s">
        <v>1104</v>
      </c>
      <c r="C55" s="101" t="s">
        <v>1105</v>
      </c>
      <c r="D55" s="101" t="s">
        <v>1106</v>
      </c>
    </row>
    <row r="56" customFormat="false" ht="37.5" hidden="false" customHeight="true" outlineLevel="0" collapsed="false">
      <c r="B56" s="100" t="s">
        <v>1107</v>
      </c>
      <c r="C56" s="101" t="s">
        <v>1108</v>
      </c>
      <c r="D56" s="101" t="s">
        <v>1109</v>
      </c>
    </row>
    <row r="57" customFormat="false" ht="25.5" hidden="false" customHeight="true" outlineLevel="0" collapsed="false">
      <c r="B57" s="100" t="s">
        <v>1110</v>
      </c>
      <c r="C57" s="101" t="s">
        <v>1111</v>
      </c>
      <c r="D57" s="101" t="s">
        <v>1112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5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0" min="2" style="0" width="15"/>
  </cols>
  <sheetData>
    <row r="1" customFormat="false" ht="16.15" hidden="false" customHeight="false" outlineLevel="0" collapsed="false">
      <c r="A1" s="102" t="s">
        <v>1113</v>
      </c>
    </row>
    <row r="2" customFormat="false" ht="15" hidden="false" customHeight="false" outlineLevel="0" collapsed="false">
      <c r="A2" s="81" t="s">
        <v>1114</v>
      </c>
    </row>
    <row r="3" customFormat="false" ht="15" hidden="false" customHeight="false" outlineLevel="0" collapsed="false">
      <c r="A3" s="103" t="s">
        <v>1115</v>
      </c>
      <c r="B3" s="104" t="n">
        <v>2024</v>
      </c>
      <c r="C3" s="104" t="n">
        <v>2025</v>
      </c>
    </row>
    <row r="4" customFormat="false" ht="15" hidden="false" customHeight="false" outlineLevel="0" collapsed="false">
      <c r="A4" s="105" t="s">
        <v>21</v>
      </c>
      <c r="B4" s="106" t="n">
        <f aca="false">IFERROR(GETPIVOTDATA("Ventas",Pivots_Aux!$A$3,"Anio",2024),0)</f>
        <v>4726314.6</v>
      </c>
      <c r="C4" s="106" t="n">
        <f aca="false">IFERROR(GETPIVOTDATA("Ventas",Pivots_Aux!$A$3,"Anio",2025),0)</f>
        <v>5566045.6</v>
      </c>
    </row>
    <row r="5" customFormat="false" ht="15" hidden="false" customHeight="false" outlineLevel="0" collapsed="false">
      <c r="A5" s="105" t="s">
        <v>1116</v>
      </c>
      <c r="B5" s="106" t="n">
        <f aca="false">IFERROR(GETPIVOTDATA("CostoProd",Pivots_Aux!$J$3,"Anio",2024),0)</f>
        <v>2933624.54</v>
      </c>
      <c r="C5" s="106" t="n">
        <f aca="false">IFERROR(GETPIVOTDATA("CostoProd",Pivots_Aux!$J$3,"Anio",2025),0)</f>
        <v>3528561.39</v>
      </c>
    </row>
    <row r="6" customFormat="false" ht="15" hidden="false" customHeight="false" outlineLevel="0" collapsed="false">
      <c r="A6" s="105" t="s">
        <v>1117</v>
      </c>
      <c r="B6" s="106" t="n">
        <f aca="false">IFERROR(GETPIVOTDATA("CostoLog",Pivots_Aux!$M$3,"Anio",2024),0)</f>
        <v>102871.35</v>
      </c>
      <c r="C6" s="106" t="n">
        <f aca="false">IFERROR(GETPIVOTDATA("CostoLog",Pivots_Aux!$M$3,"Anio",2025),0)</f>
        <v>183791.9</v>
      </c>
    </row>
    <row r="7" customFormat="false" ht="15" hidden="false" customHeight="false" outlineLevel="0" collapsed="false">
      <c r="A7" s="105" t="s">
        <v>56</v>
      </c>
      <c r="B7" s="106" t="n">
        <f aca="false">IFERROR(GETPIVOTDATA("Margen",Pivots_Aux!$D$3,"Anio",2024),0)</f>
        <v>1689818.71</v>
      </c>
      <c r="C7" s="106" t="n">
        <f aca="false">IFERROR(GETPIVOTDATA("Margen",Pivots_Aux!$D$3,"Anio",2025),0)</f>
        <v>1853692.31</v>
      </c>
    </row>
    <row r="8" customFormat="false" ht="15" hidden="false" customHeight="false" outlineLevel="0" collapsed="false">
      <c r="A8" s="105" t="s">
        <v>23</v>
      </c>
      <c r="B8" s="107" t="n">
        <f aca="false">IFERROR(GETPIVOTDATA("Unidades",Pivots_Aux!$G$3,"Anio",2024),0)</f>
        <v>25681</v>
      </c>
      <c r="C8" s="107" t="n">
        <f aca="false">IFERROR(GETPIVOTDATA("Unidades",Pivots_Aux!$G$3,"Anio",2025),0)</f>
        <v>29379</v>
      </c>
    </row>
    <row r="9" customFormat="false" ht="15" hidden="false" customHeight="false" outlineLevel="0" collapsed="false">
      <c r="A9" s="105" t="s">
        <v>59</v>
      </c>
      <c r="B9" s="108" t="n">
        <f aca="false">IFERROR(B7/B4,0)</f>
        <v>0.35753411548186</v>
      </c>
      <c r="C9" s="108" t="n">
        <f aca="false">IFERROR(C7/C4,0)</f>
        <v>0.333035774985386</v>
      </c>
    </row>
    <row r="10" customFormat="false" ht="15" hidden="false" customHeight="false" outlineLevel="0" collapsed="false">
      <c r="A10" s="105" t="s">
        <v>1118</v>
      </c>
      <c r="B10" s="106" t="n">
        <f aca="false">IFERROR(B4/B8,0)</f>
        <v>184.039352050154</v>
      </c>
      <c r="C10" s="106" t="n">
        <f aca="false">IFERROR(C4/C8,0)</f>
        <v>189.456605058035</v>
      </c>
    </row>
    <row r="11" customFormat="false" ht="15" hidden="false" customHeight="false" outlineLevel="0" collapsed="false">
      <c r="A11" s="105" t="s">
        <v>1119</v>
      </c>
      <c r="B11" s="106" t="n">
        <f aca="false">IFERROR(B5/B8,0)</f>
        <v>114.233267396129</v>
      </c>
      <c r="C11" s="106" t="n">
        <f aca="false">IFERROR(C5/C8,0)</f>
        <v>120.104884100888</v>
      </c>
    </row>
    <row r="12" customFormat="false" ht="15" hidden="false" customHeight="false" outlineLevel="0" collapsed="false">
      <c r="A12" s="105" t="s">
        <v>1120</v>
      </c>
      <c r="B12" s="106" t="n">
        <f aca="false">B10-B11</f>
        <v>69.8060846540245</v>
      </c>
      <c r="C12" s="106" t="n">
        <f aca="false">C10-C11</f>
        <v>69.3517209571463</v>
      </c>
    </row>
    <row r="13" customFormat="false" ht="15" hidden="false" customHeight="false" outlineLevel="0" collapsed="false">
      <c r="A13" s="105" t="s">
        <v>1121</v>
      </c>
      <c r="B13" s="109" t="n">
        <f aca="false">IFERROR(B6/B4,0)</f>
        <v>0.0217656585958116</v>
      </c>
      <c r="C13" s="109" t="n">
        <f aca="false">IFERROR(C6/C4,0)</f>
        <v>0.0330201930074019</v>
      </c>
    </row>
    <row r="16" customFormat="false" ht="15" hidden="false" customHeight="false" outlineLevel="0" collapsed="false">
      <c r="A16" s="103" t="s">
        <v>1122</v>
      </c>
      <c r="B16" s="104" t="s">
        <v>885</v>
      </c>
      <c r="C16" s="104" t="s">
        <v>1123</v>
      </c>
      <c r="D16" s="104" t="s">
        <v>1124</v>
      </c>
      <c r="E16" s="104" t="s">
        <v>1125</v>
      </c>
    </row>
    <row r="17" customFormat="false" ht="15" hidden="false" customHeight="false" outlineLevel="0" collapsed="false">
      <c r="A17" s="105" t="s">
        <v>1126</v>
      </c>
      <c r="B17" s="110" t="n">
        <f aca="false">C4</f>
        <v>5566045.6</v>
      </c>
      <c r="C17" s="106" t="n">
        <f aca="false">Parametros!$C$7</f>
        <v>5400000</v>
      </c>
      <c r="D17" s="106" t="n">
        <f aca="false">B17-C17</f>
        <v>166045.600000003</v>
      </c>
      <c r="E17" s="111" t="str">
        <f aca="false">IF(D17&gt;=0,"EN META","BAJO META")</f>
        <v>EN META</v>
      </c>
    </row>
    <row r="18" customFormat="false" ht="15" hidden="false" customHeight="false" outlineLevel="0" collapsed="false">
      <c r="A18" s="105" t="s">
        <v>59</v>
      </c>
      <c r="B18" s="112" t="n">
        <f aca="false">C9</f>
        <v>0.333035774985386</v>
      </c>
      <c r="C18" s="108" t="n">
        <f aca="false">Parametros!$C$8</f>
        <v>0.34</v>
      </c>
      <c r="D18" s="108" t="n">
        <f aca="false">B18-C18</f>
        <v>-0.0069642250146138</v>
      </c>
      <c r="E18" s="111" t="str">
        <f aca="false">IF(D18&gt;=0,"EN META","BAJO META")</f>
        <v>BAJO META</v>
      </c>
    </row>
    <row r="19" customFormat="false" ht="15" hidden="false" customHeight="false" outlineLevel="0" collapsed="false">
      <c r="A19" s="105" t="s">
        <v>1127</v>
      </c>
      <c r="B19" s="112" t="n">
        <f aca="false">IFERROR(C4/B4-1,0)</f>
        <v>0.1776714144251</v>
      </c>
      <c r="C19" s="108" t="n">
        <f aca="false">Parametros!$C$9</f>
        <v>0.15</v>
      </c>
      <c r="D19" s="108" t="n">
        <f aca="false">B19-C19</f>
        <v>0.0276714144251002</v>
      </c>
      <c r="E19" s="111" t="str">
        <f aca="false">IF(D19&gt;=0,"EN META","BAJO META")</f>
        <v>EN META</v>
      </c>
    </row>
    <row r="20" customFormat="false" ht="15" hidden="false" customHeight="false" outlineLevel="0" collapsed="false">
      <c r="A20" s="105" t="s">
        <v>1121</v>
      </c>
      <c r="B20" s="113" t="n">
        <f aca="false">C13</f>
        <v>0.0330201930074019</v>
      </c>
      <c r="C20" s="109" t="n">
        <f aca="false">Parametros!$C$10</f>
        <v>0.025</v>
      </c>
      <c r="D20" s="109" t="n">
        <f aca="false">C20-B20</f>
        <v>-0.00802019300740185</v>
      </c>
      <c r="E20" s="111" t="str">
        <f aca="false">IF(D20&gt;=0,"EN META","BAJO META")</f>
        <v>BAJO META</v>
      </c>
    </row>
    <row r="21" customFormat="false" ht="15" hidden="false" customHeight="false" outlineLevel="0" collapsed="false">
      <c r="A21" s="105" t="s">
        <v>1128</v>
      </c>
      <c r="B21" s="114" t="n">
        <f aca="false">(C9-B9)*100</f>
        <v>-2.44983404964735</v>
      </c>
    </row>
    <row r="22" customFormat="false" ht="15" hidden="false" customHeight="false" outlineLevel="0" collapsed="false">
      <c r="A22" s="105" t="s">
        <v>1129</v>
      </c>
      <c r="B22" s="114" t="n">
        <f aca="false">(C13-B13)*100</f>
        <v>1.12545344115902</v>
      </c>
    </row>
    <row r="27" customFormat="false" ht="15" hidden="false" customHeight="false" outlineLevel="0" collapsed="false">
      <c r="A27" s="103" t="s">
        <v>1130</v>
      </c>
      <c r="B27" s="104" t="s">
        <v>1131</v>
      </c>
      <c r="C27" s="104" t="s">
        <v>1132</v>
      </c>
      <c r="D27" s="104" t="s">
        <v>1133</v>
      </c>
      <c r="E27" s="104" t="s">
        <v>1134</v>
      </c>
      <c r="F27" s="104" t="s">
        <v>1135</v>
      </c>
      <c r="G27" s="104" t="s">
        <v>1136</v>
      </c>
    </row>
    <row r="28" customFormat="false" ht="15" hidden="false" customHeight="false" outlineLevel="0" collapsed="false">
      <c r="A28" s="105" t="s">
        <v>1137</v>
      </c>
      <c r="B28" s="106" t="n">
        <f aca="false">B7</f>
        <v>1689818.71</v>
      </c>
      <c r="C28" s="106" t="n">
        <f aca="false">B28</f>
        <v>1689818.71</v>
      </c>
      <c r="D28" s="106" t="n">
        <v>0</v>
      </c>
      <c r="E28" s="106" t="n">
        <f aca="false">B28</f>
        <v>1689818.71</v>
      </c>
      <c r="F28" s="106" t="n">
        <v>0</v>
      </c>
      <c r="G28" s="106" t="n">
        <v>0</v>
      </c>
    </row>
    <row r="29" customFormat="false" ht="15" hidden="false" customHeight="false" outlineLevel="0" collapsed="false">
      <c r="A29" s="105" t="s">
        <v>1138</v>
      </c>
      <c r="B29" s="106" t="n">
        <f aca="false">(C8-B8)*B12</f>
        <v>258142.901050582</v>
      </c>
      <c r="C29" s="106" t="n">
        <f aca="false">C28+B29</f>
        <v>1947961.61105058</v>
      </c>
      <c r="D29" s="106" t="n">
        <f aca="false">MIN(C28,C29)</f>
        <v>1689818.71</v>
      </c>
      <c r="E29" s="106" t="n">
        <v>0</v>
      </c>
      <c r="F29" s="106" t="n">
        <f aca="false">MAX(B29,0)</f>
        <v>258142.901050582</v>
      </c>
      <c r="G29" s="106" t="n">
        <f aca="false">-MIN(B29,0)</f>
        <v>-0</v>
      </c>
    </row>
    <row r="30" customFormat="false" ht="15" hidden="false" customHeight="false" outlineLevel="0" collapsed="false">
      <c r="A30" s="105" t="s">
        <v>1139</v>
      </c>
      <c r="B30" s="106" t="n">
        <f aca="false">(C10-B10)*C8</f>
        <v>159153.476118533</v>
      </c>
      <c r="C30" s="106" t="n">
        <f aca="false">C29+B30</f>
        <v>2107115.08716912</v>
      </c>
      <c r="D30" s="106" t="n">
        <f aca="false">MIN(C29,C30)</f>
        <v>1947961.61105058</v>
      </c>
      <c r="E30" s="106" t="n">
        <v>0</v>
      </c>
      <c r="F30" s="106" t="n">
        <f aca="false">MAX(B30,0)</f>
        <v>159153.476118533</v>
      </c>
      <c r="G30" s="106" t="n">
        <f aca="false">-MIN(B30,0)</f>
        <v>-0</v>
      </c>
    </row>
    <row r="31" customFormat="false" ht="15" hidden="false" customHeight="false" outlineLevel="0" collapsed="false">
      <c r="A31" s="105" t="s">
        <v>1140</v>
      </c>
      <c r="B31" s="106" t="n">
        <f aca="false">-(C11-B11)*C8</f>
        <v>-172502.227169116</v>
      </c>
      <c r="C31" s="106" t="n">
        <f aca="false">C30+B31</f>
        <v>1934612.86</v>
      </c>
      <c r="D31" s="106" t="n">
        <f aca="false">MIN(C30,C31)</f>
        <v>1934612.86</v>
      </c>
      <c r="E31" s="106" t="n">
        <v>0</v>
      </c>
      <c r="F31" s="106" t="n">
        <f aca="false">MAX(B31,0)</f>
        <v>0</v>
      </c>
      <c r="G31" s="106" t="n">
        <f aca="false">-MIN(B31,0)</f>
        <v>172502.227169116</v>
      </c>
    </row>
    <row r="32" customFormat="false" ht="15" hidden="false" customHeight="false" outlineLevel="0" collapsed="false">
      <c r="A32" s="105" t="s">
        <v>1117</v>
      </c>
      <c r="B32" s="106" t="n">
        <f aca="false">-(C6-B6)</f>
        <v>-80920.5499999999</v>
      </c>
      <c r="C32" s="106" t="n">
        <f aca="false">C31+B32</f>
        <v>1853692.31</v>
      </c>
      <c r="D32" s="106" t="n">
        <f aca="false">MIN(C31,C32)</f>
        <v>1853692.31</v>
      </c>
      <c r="E32" s="106" t="n">
        <v>0</v>
      </c>
      <c r="F32" s="106" t="n">
        <f aca="false">MAX(B32,0)</f>
        <v>0</v>
      </c>
      <c r="G32" s="106" t="n">
        <f aca="false">-MIN(B32,0)</f>
        <v>80920.5499999999</v>
      </c>
    </row>
    <row r="33" customFormat="false" ht="15" hidden="false" customHeight="false" outlineLevel="0" collapsed="false">
      <c r="A33" s="105" t="s">
        <v>1141</v>
      </c>
      <c r="B33" s="106" t="n">
        <f aca="false">C7</f>
        <v>1853692.31</v>
      </c>
      <c r="C33" s="106" t="n">
        <f aca="false">B33</f>
        <v>1853692.31</v>
      </c>
      <c r="D33" s="106" t="n">
        <v>0</v>
      </c>
      <c r="E33" s="106" t="n">
        <f aca="false">B33</f>
        <v>1853692.31</v>
      </c>
      <c r="F33" s="106" t="n">
        <v>0</v>
      </c>
      <c r="G33" s="106" t="n">
        <v>0</v>
      </c>
    </row>
    <row r="34" customFormat="false" ht="15" hidden="false" customHeight="false" outlineLevel="0" collapsed="false">
      <c r="A34" s="81" t="s">
        <v>1142</v>
      </c>
      <c r="B34" s="115" t="n">
        <f aca="false">ROUND(SUM(B28:B32)-B33,2)</f>
        <v>0</v>
      </c>
    </row>
    <row r="37" customFormat="false" ht="15" hidden="false" customHeight="false" outlineLevel="0" collapsed="false">
      <c r="A37" s="103" t="s">
        <v>1143</v>
      </c>
      <c r="B37" s="104" t="s">
        <v>1144</v>
      </c>
      <c r="C37" s="104" t="s">
        <v>1126</v>
      </c>
      <c r="D37" s="104" t="s">
        <v>1145</v>
      </c>
      <c r="E37" s="104" t="s">
        <v>1141</v>
      </c>
      <c r="F37" s="104" t="s">
        <v>1137</v>
      </c>
      <c r="G37" s="104" t="s">
        <v>1146</v>
      </c>
      <c r="H37" s="104" t="s">
        <v>1147</v>
      </c>
      <c r="I37" s="104" t="s">
        <v>1148</v>
      </c>
      <c r="J37" s="104" t="s">
        <v>66</v>
      </c>
    </row>
    <row r="38" customFormat="false" ht="15" hidden="false" customHeight="false" outlineLevel="0" collapsed="false">
      <c r="A38" s="105" t="s">
        <v>921</v>
      </c>
      <c r="B38" s="106" t="n">
        <f aca="false">IFERROR(GETPIVOTDATA("Ventas",Pivots_Aux!$P$3,"Periodo","2024-01"),0)</f>
        <v>335709.78</v>
      </c>
      <c r="C38" s="106" t="n">
        <f aca="false">IFERROR(GETPIVOTDATA("Ventas",Pivots_Aux!$P$3,"Periodo","2025-01"),0)</f>
        <v>376115.96</v>
      </c>
      <c r="D38" s="108" t="n">
        <f aca="false">IFERROR(E38/C38,0)</f>
        <v>0.318490499578907</v>
      </c>
      <c r="E38" s="106" t="n">
        <f aca="false">IFERROR(GETPIVOTDATA("Margen",Pivots_Aux!$S$3,"Periodo","2025-01"),0)</f>
        <v>119789.36</v>
      </c>
      <c r="F38" s="106" t="n">
        <f aca="false">IFERROR(GETPIVOTDATA("Margen",Pivots_Aux!$S$3,"Periodo","2024-01"),0)</f>
        <v>120066.04</v>
      </c>
      <c r="G38" s="106" t="n">
        <f aca="false">SUM($B$38:B38)</f>
        <v>335709.78</v>
      </c>
      <c r="H38" s="106" t="n">
        <f aca="false">SUM($C$38:C38)</f>
        <v>376115.96</v>
      </c>
      <c r="I38" s="108" t="n">
        <v>0</v>
      </c>
      <c r="J38" s="105" t="s">
        <v>921</v>
      </c>
    </row>
    <row r="39" customFormat="false" ht="15" hidden="false" customHeight="false" outlineLevel="0" collapsed="false">
      <c r="A39" s="105" t="s">
        <v>925</v>
      </c>
      <c r="B39" s="106" t="n">
        <f aca="false">IFERROR(GETPIVOTDATA("Ventas",Pivots_Aux!$P$3,"Periodo","2024-02"),0)</f>
        <v>297385.9</v>
      </c>
      <c r="C39" s="106" t="n">
        <f aca="false">IFERROR(GETPIVOTDATA("Ventas",Pivots_Aux!$P$3,"Periodo","2025-02"),0)</f>
        <v>354148.74</v>
      </c>
      <c r="D39" s="108" t="n">
        <f aca="false">IFERROR(E39/C39,0)</f>
        <v>0.32058481981328</v>
      </c>
      <c r="E39" s="106" t="n">
        <f aca="false">IFERROR(GETPIVOTDATA("Margen",Pivots_Aux!$S$3,"Periodo","2025-02"),0)</f>
        <v>113534.71</v>
      </c>
      <c r="F39" s="106" t="n">
        <f aca="false">IFERROR(GETPIVOTDATA("Margen",Pivots_Aux!$S$3,"Periodo","2024-02"),0)</f>
        <v>106797.24</v>
      </c>
      <c r="G39" s="106" t="n">
        <f aca="false">SUM($B$38:B39)</f>
        <v>633095.68</v>
      </c>
      <c r="H39" s="106" t="n">
        <f aca="false">SUM($C$38:C39)</f>
        <v>730264.7</v>
      </c>
      <c r="I39" s="108" t="n">
        <f aca="false">IFERROR(C39/C38-1,0)</f>
        <v>-0.0584054449590493</v>
      </c>
      <c r="J39" s="105" t="s">
        <v>925</v>
      </c>
    </row>
    <row r="40" customFormat="false" ht="15" hidden="false" customHeight="false" outlineLevel="0" collapsed="false">
      <c r="A40" s="105" t="s">
        <v>929</v>
      </c>
      <c r="B40" s="106" t="n">
        <f aca="false">IFERROR(GETPIVOTDATA("Ventas",Pivots_Aux!$P$3,"Periodo","2024-03"),0)</f>
        <v>362339.32</v>
      </c>
      <c r="C40" s="106" t="n">
        <f aca="false">IFERROR(GETPIVOTDATA("Ventas",Pivots_Aux!$P$3,"Periodo","2025-03"),0)</f>
        <v>424353.81</v>
      </c>
      <c r="D40" s="108" t="n">
        <f aca="false">IFERROR(E40/C40,0)</f>
        <v>0.319193834974641</v>
      </c>
      <c r="E40" s="106" t="n">
        <f aca="false">IFERROR(GETPIVOTDATA("Margen",Pivots_Aux!$S$3,"Periodo","2025-03"),0)</f>
        <v>135451.12</v>
      </c>
      <c r="F40" s="106" t="n">
        <f aca="false">IFERROR(GETPIVOTDATA("Margen",Pivots_Aux!$S$3,"Periodo","2024-03"),0)</f>
        <v>129799.63</v>
      </c>
      <c r="G40" s="106" t="n">
        <f aca="false">SUM($B$38:B40)</f>
        <v>995435</v>
      </c>
      <c r="H40" s="106" t="n">
        <f aca="false">SUM($C$38:C40)</f>
        <v>1154618.51</v>
      </c>
      <c r="I40" s="108" t="n">
        <f aca="false">IFERROR(C40/C39-1,0)</f>
        <v>0.198236114012434</v>
      </c>
      <c r="J40" s="105" t="s">
        <v>929</v>
      </c>
    </row>
    <row r="41" customFormat="false" ht="15" hidden="false" customHeight="false" outlineLevel="0" collapsed="false">
      <c r="A41" s="105" t="s">
        <v>933</v>
      </c>
      <c r="B41" s="106" t="n">
        <f aca="false">IFERROR(GETPIVOTDATA("Ventas",Pivots_Aux!$P$3,"Periodo","2024-04"),0)</f>
        <v>351882.72</v>
      </c>
      <c r="C41" s="106" t="n">
        <f aca="false">IFERROR(GETPIVOTDATA("Ventas",Pivots_Aux!$P$3,"Periodo","2025-04"),0)</f>
        <v>401046.29</v>
      </c>
      <c r="D41" s="108" t="n">
        <f aca="false">IFERROR(E41/C41,0)</f>
        <v>0.318380628829655</v>
      </c>
      <c r="E41" s="106" t="n">
        <f aca="false">IFERROR(GETPIVOTDATA("Margen",Pivots_Aux!$S$3,"Periodo","2025-04"),0)</f>
        <v>127685.37</v>
      </c>
      <c r="F41" s="106" t="n">
        <f aca="false">IFERROR(GETPIVOTDATA("Margen",Pivots_Aux!$S$3,"Periodo","2024-04"),0)</f>
        <v>126286.86</v>
      </c>
      <c r="G41" s="106" t="n">
        <f aca="false">SUM($B$38:B41)</f>
        <v>1347317.72</v>
      </c>
      <c r="H41" s="106" t="n">
        <f aca="false">SUM($C$38:C41)</f>
        <v>1555664.8</v>
      </c>
      <c r="I41" s="108" t="n">
        <f aca="false">IFERROR(C41/C40-1,0)</f>
        <v>-0.0549247336791905</v>
      </c>
      <c r="J41" s="105" t="s">
        <v>933</v>
      </c>
    </row>
    <row r="42" customFormat="false" ht="15" hidden="false" customHeight="false" outlineLevel="0" collapsed="false">
      <c r="A42" s="105" t="s">
        <v>937</v>
      </c>
      <c r="B42" s="106" t="n">
        <f aca="false">IFERROR(GETPIVOTDATA("Ventas",Pivots_Aux!$P$3,"Periodo","2024-05"),0)</f>
        <v>379787.24</v>
      </c>
      <c r="C42" s="106" t="n">
        <f aca="false">IFERROR(GETPIVOTDATA("Ventas",Pivots_Aux!$P$3,"Periodo","2025-05"),0)</f>
        <v>447928.5</v>
      </c>
      <c r="D42" s="108" t="n">
        <f aca="false">IFERROR(E42/C42,0)</f>
        <v>0.314476462203231</v>
      </c>
      <c r="E42" s="106" t="n">
        <f aca="false">IFERROR(GETPIVOTDATA("Margen",Pivots_Aux!$S$3,"Periodo","2025-05"),0)</f>
        <v>140862.97</v>
      </c>
      <c r="F42" s="106" t="n">
        <f aca="false">IFERROR(GETPIVOTDATA("Margen",Pivots_Aux!$S$3,"Periodo","2024-05"),0)</f>
        <v>135656.22</v>
      </c>
      <c r="G42" s="106" t="n">
        <f aca="false">SUM($B$38:B42)</f>
        <v>1727104.96</v>
      </c>
      <c r="H42" s="106" t="n">
        <f aca="false">SUM($C$38:C42)</f>
        <v>2003593.3</v>
      </c>
      <c r="I42" s="108" t="n">
        <f aca="false">IFERROR(C42/C41-1,0)</f>
        <v>0.116899747408211</v>
      </c>
      <c r="J42" s="105" t="s">
        <v>937</v>
      </c>
    </row>
    <row r="43" customFormat="false" ht="15" hidden="false" customHeight="false" outlineLevel="0" collapsed="false">
      <c r="A43" s="105" t="s">
        <v>941</v>
      </c>
      <c r="B43" s="106" t="n">
        <f aca="false">IFERROR(GETPIVOTDATA("Ventas",Pivots_Aux!$P$3,"Periodo","2024-06"),0)</f>
        <v>402575.18</v>
      </c>
      <c r="C43" s="106" t="n">
        <f aca="false">IFERROR(GETPIVOTDATA("Ventas",Pivots_Aux!$P$3,"Periodo","2025-06"),0)</f>
        <v>466752.11</v>
      </c>
      <c r="D43" s="108" t="n">
        <f aca="false">IFERROR(E43/C43,0)</f>
        <v>0.31764996198946</v>
      </c>
      <c r="E43" s="106" t="n">
        <f aca="false">IFERROR(GETPIVOTDATA("Margen",Pivots_Aux!$S$3,"Periodo","2025-06"),0)</f>
        <v>148263.79</v>
      </c>
      <c r="F43" s="106" t="n">
        <f aca="false">IFERROR(GETPIVOTDATA("Margen",Pivots_Aux!$S$3,"Periodo","2024-06"),0)</f>
        <v>144260.56</v>
      </c>
      <c r="G43" s="106" t="n">
        <f aca="false">SUM($B$38:B43)</f>
        <v>2129680.14</v>
      </c>
      <c r="H43" s="106" t="n">
        <f aca="false">SUM($C$38:C43)</f>
        <v>2470345.41</v>
      </c>
      <c r="I43" s="108" t="n">
        <f aca="false">IFERROR(C43/C42-1,0)</f>
        <v>0.0420236935135845</v>
      </c>
      <c r="J43" s="105" t="s">
        <v>941</v>
      </c>
    </row>
    <row r="44" customFormat="false" ht="15" hidden="false" customHeight="false" outlineLevel="0" collapsed="false">
      <c r="A44" s="105" t="s">
        <v>945</v>
      </c>
      <c r="B44" s="106" t="n">
        <f aca="false">IFERROR(GETPIVOTDATA("Ventas",Pivots_Aux!$P$3,"Periodo","2024-07"),0)</f>
        <v>421091.3</v>
      </c>
      <c r="C44" s="106" t="n">
        <f aca="false">IFERROR(GETPIVOTDATA("Ventas",Pivots_Aux!$P$3,"Periodo","2025-07"),0)</f>
        <v>500057.9</v>
      </c>
      <c r="D44" s="108" t="n">
        <f aca="false">IFERROR(E44/C44,0)</f>
        <v>0.343593891827327</v>
      </c>
      <c r="E44" s="106" t="n">
        <f aca="false">IFERROR(GETPIVOTDATA("Margen",Pivots_Aux!$S$3,"Periodo","2025-07"),0)</f>
        <v>171816.84</v>
      </c>
      <c r="F44" s="106" t="n">
        <f aca="false">IFERROR(GETPIVOTDATA("Margen",Pivots_Aux!$S$3,"Periodo","2024-07"),0)</f>
        <v>150292.4</v>
      </c>
      <c r="G44" s="106" t="n">
        <f aca="false">SUM($B$38:B44)</f>
        <v>2550771.44</v>
      </c>
      <c r="H44" s="106" t="n">
        <f aca="false">SUM($C$38:C44)</f>
        <v>2970403.31</v>
      </c>
      <c r="I44" s="108" t="n">
        <f aca="false">IFERROR(C44/C43-1,0)</f>
        <v>0.071356485137261</v>
      </c>
      <c r="J44" s="105" t="s">
        <v>945</v>
      </c>
    </row>
    <row r="45" customFormat="false" ht="15" hidden="false" customHeight="false" outlineLevel="0" collapsed="false">
      <c r="A45" s="105" t="s">
        <v>950</v>
      </c>
      <c r="B45" s="106" t="n">
        <f aca="false">IFERROR(GETPIVOTDATA("Ventas",Pivots_Aux!$P$3,"Periodo","2024-08"),0)</f>
        <v>369456.08</v>
      </c>
      <c r="C45" s="106" t="n">
        <f aca="false">IFERROR(GETPIVOTDATA("Ventas",Pivots_Aux!$P$3,"Periodo","2025-08"),0)</f>
        <v>444999.85</v>
      </c>
      <c r="D45" s="108" t="n">
        <f aca="false">IFERROR(E45/C45,0)</f>
        <v>0.345087015197871</v>
      </c>
      <c r="E45" s="106" t="n">
        <f aca="false">IFERROR(GETPIVOTDATA("Margen",Pivots_Aux!$S$3,"Periodo","2025-08"),0)</f>
        <v>153563.67</v>
      </c>
      <c r="F45" s="106" t="n">
        <f aca="false">IFERROR(GETPIVOTDATA("Margen",Pivots_Aux!$S$3,"Periodo","2024-08"),0)</f>
        <v>132018.84</v>
      </c>
      <c r="G45" s="106" t="n">
        <f aca="false">SUM($B$38:B45)</f>
        <v>2920227.52</v>
      </c>
      <c r="H45" s="106" t="n">
        <f aca="false">SUM($C$38:C45)</f>
        <v>3415403.16</v>
      </c>
      <c r="I45" s="108" t="n">
        <f aca="false">IFERROR(C45/C44-1,0)</f>
        <v>-0.110103350032066</v>
      </c>
      <c r="J45" s="105" t="s">
        <v>950</v>
      </c>
    </row>
    <row r="46" customFormat="false" ht="15" hidden="false" customHeight="false" outlineLevel="0" collapsed="false">
      <c r="A46" s="105" t="s">
        <v>953</v>
      </c>
      <c r="B46" s="106" t="n">
        <f aca="false">IFERROR(GETPIVOTDATA("Ventas",Pivots_Aux!$P$3,"Periodo","2024-09"),0)</f>
        <v>374810.8</v>
      </c>
      <c r="C46" s="106" t="n">
        <f aca="false">IFERROR(GETPIVOTDATA("Ventas",Pivots_Aux!$P$3,"Periodo","2025-09"),0)</f>
        <v>445706.66</v>
      </c>
      <c r="D46" s="108" t="n">
        <f aca="false">IFERROR(E46/C46,0)</f>
        <v>0.344371004014165</v>
      </c>
      <c r="E46" s="106" t="n">
        <f aca="false">IFERROR(GETPIVOTDATA("Margen",Pivots_Aux!$S$3,"Periodo","2025-09"),0)</f>
        <v>153488.45</v>
      </c>
      <c r="F46" s="106" t="n">
        <f aca="false">IFERROR(GETPIVOTDATA("Margen",Pivots_Aux!$S$3,"Periodo","2024-09"),0)</f>
        <v>133910.29</v>
      </c>
      <c r="G46" s="106" t="n">
        <f aca="false">SUM($B$38:B46)</f>
        <v>3295038.32</v>
      </c>
      <c r="H46" s="106" t="n">
        <f aca="false">SUM($C$38:C46)</f>
        <v>3861109.82</v>
      </c>
      <c r="I46" s="108" t="n">
        <f aca="false">IFERROR(C46/C45-1,0)</f>
        <v>0.0015883376140462</v>
      </c>
      <c r="J46" s="105" t="s">
        <v>953</v>
      </c>
    </row>
    <row r="47" customFormat="false" ht="15" hidden="false" customHeight="false" outlineLevel="0" collapsed="false">
      <c r="A47" s="105" t="s">
        <v>957</v>
      </c>
      <c r="B47" s="106" t="n">
        <f aca="false">IFERROR(GETPIVOTDATA("Ventas",Pivots_Aux!$P$3,"Periodo","2024-10"),0)</f>
        <v>400237.88</v>
      </c>
      <c r="C47" s="106" t="n">
        <f aca="false">IFERROR(GETPIVOTDATA("Ventas",Pivots_Aux!$P$3,"Periodo","2025-10"),0)</f>
        <v>466416.5</v>
      </c>
      <c r="D47" s="108" t="n">
        <f aca="false">IFERROR(E47/C47,0)</f>
        <v>0.346056389514522</v>
      </c>
      <c r="E47" s="106" t="n">
        <f aca="false">IFERROR(GETPIVOTDATA("Margen",Pivots_Aux!$S$3,"Periodo","2025-10"),0)</f>
        <v>161406.41</v>
      </c>
      <c r="F47" s="106" t="n">
        <f aca="false">IFERROR(GETPIVOTDATA("Margen",Pivots_Aux!$S$3,"Periodo","2024-10"),0)</f>
        <v>142638.83</v>
      </c>
      <c r="G47" s="106" t="n">
        <f aca="false">SUM($B$38:B47)</f>
        <v>3695276.2</v>
      </c>
      <c r="H47" s="106" t="n">
        <f aca="false">SUM($C$38:C47)</f>
        <v>4327526.32</v>
      </c>
      <c r="I47" s="108" t="n">
        <f aca="false">IFERROR(C47/C46-1,0)</f>
        <v>0.0464651795869506</v>
      </c>
      <c r="J47" s="105" t="s">
        <v>957</v>
      </c>
    </row>
    <row r="48" customFormat="false" ht="15" hidden="false" customHeight="false" outlineLevel="0" collapsed="false">
      <c r="A48" s="105" t="s">
        <v>961</v>
      </c>
      <c r="B48" s="106" t="n">
        <f aca="false">IFERROR(GETPIVOTDATA("Ventas",Pivots_Aux!$P$3,"Periodo","2024-11"),0)</f>
        <v>474654.18</v>
      </c>
      <c r="C48" s="106" t="n">
        <f aca="false">IFERROR(GETPIVOTDATA("Ventas",Pivots_Aux!$P$3,"Periodo","2025-11"),0)</f>
        <v>567804.81</v>
      </c>
      <c r="D48" s="108" t="n">
        <f aca="false">IFERROR(E48/C48,0)</f>
        <v>0.345865615333551</v>
      </c>
      <c r="E48" s="106" t="n">
        <f aca="false">IFERROR(GETPIVOTDATA("Margen",Pivots_Aux!$S$3,"Periodo","2025-11"),0)</f>
        <v>196384.16</v>
      </c>
      <c r="F48" s="106" t="n">
        <f aca="false">IFERROR(GETPIVOTDATA("Margen",Pivots_Aux!$S$3,"Periodo","2024-11"),0)</f>
        <v>169645.33</v>
      </c>
      <c r="G48" s="106" t="n">
        <f aca="false">SUM($B$38:B48)</f>
        <v>4169930.38</v>
      </c>
      <c r="H48" s="106" t="n">
        <f aca="false">SUM($C$38:C48)</f>
        <v>4895331.13</v>
      </c>
      <c r="I48" s="108" t="n">
        <f aca="false">IFERROR(C48/C47-1,0)</f>
        <v>0.217377193988635</v>
      </c>
      <c r="J48" s="105" t="s">
        <v>961</v>
      </c>
    </row>
    <row r="49" customFormat="false" ht="15" hidden="false" customHeight="false" outlineLevel="0" collapsed="false">
      <c r="A49" s="105" t="s">
        <v>962</v>
      </c>
      <c r="B49" s="106" t="n">
        <f aca="false">IFERROR(GETPIVOTDATA("Ventas",Pivots_Aux!$P$3,"Periodo","2024-12"),0)</f>
        <v>556384.22</v>
      </c>
      <c r="C49" s="106" t="n">
        <f aca="false">IFERROR(GETPIVOTDATA("Ventas",Pivots_Aux!$P$3,"Periodo","2025-12"),0)</f>
        <v>670714.47</v>
      </c>
      <c r="D49" s="108" t="n">
        <f aca="false">IFERROR(E49/C49,0)</f>
        <v>0.345073008488992</v>
      </c>
      <c r="E49" s="106" t="n">
        <f aca="false">IFERROR(GETPIVOTDATA("Margen",Pivots_Aux!$S$3,"Periodo","2025-12"),0)</f>
        <v>231445.46</v>
      </c>
      <c r="F49" s="106" t="n">
        <f aca="false">IFERROR(GETPIVOTDATA("Margen",Pivots_Aux!$S$3,"Periodo","2024-12"),0)</f>
        <v>198446.47</v>
      </c>
      <c r="G49" s="106" t="n">
        <f aca="false">SUM($B$38:B49)</f>
        <v>4726314.6</v>
      </c>
      <c r="H49" s="106" t="n">
        <f aca="false">SUM($C$38:C49)</f>
        <v>5566045.6</v>
      </c>
      <c r="I49" s="108" t="n">
        <f aca="false">IFERROR(C49/C48-1,0)</f>
        <v>0.181241261411647</v>
      </c>
      <c r="J49" s="105" t="s">
        <v>962</v>
      </c>
    </row>
    <row r="53" customFormat="false" ht="15" hidden="false" customHeight="false" outlineLevel="0" collapsed="false">
      <c r="A53" s="103" t="s">
        <v>1149</v>
      </c>
      <c r="B53" s="104" t="s">
        <v>1150</v>
      </c>
      <c r="C53" s="104" t="s">
        <v>1145</v>
      </c>
      <c r="D53" s="104" t="s">
        <v>1126</v>
      </c>
    </row>
    <row r="54" customFormat="false" ht="15" hidden="false" customHeight="false" outlineLevel="0" collapsed="false">
      <c r="A54" s="105" t="s">
        <v>26</v>
      </c>
      <c r="B54" s="108" t="n">
        <f aca="false">IFERROR((IFERROR(GETPIVOTDATA("Margen",Pivots_Aux!$Y$3,"Cat_Anio","Computacion 2024"),0))/(IFERROR(GETPIVOTDATA("Ventas",Pivots_Aux!$V$3,"Cat_Anio","Computacion 2024"),0)),0)</f>
        <v>0.317633256226047</v>
      </c>
      <c r="C54" s="108" t="n">
        <f aca="false">IFERROR((IFERROR(GETPIVOTDATA("Margen",Pivots_Aux!$Y$3,"Cat_Anio","Computacion 2025"),0))/(IFERROR(GETPIVOTDATA("Ventas",Pivots_Aux!$V$3,"Cat_Anio","Computacion 2025"),0)),0)</f>
        <v>0.28973779429825</v>
      </c>
      <c r="D54" s="106" t="n">
        <f aca="false">IFERROR(GETPIVOTDATA("Ventas",Pivots_Aux!$V$3,"Cat_Anio","Computacion 2025"),0)</f>
        <v>3629530.15000001</v>
      </c>
    </row>
    <row r="55" customFormat="false" ht="15" hidden="false" customHeight="false" outlineLevel="0" collapsed="false">
      <c r="A55" s="105" t="s">
        <v>28</v>
      </c>
      <c r="B55" s="108" t="n">
        <f aca="false">IFERROR((IFERROR(GETPIVOTDATA("Margen",Pivots_Aux!$Y$3,"Cat_Anio","Accesorios 2024"),0))/(IFERROR(GETPIVOTDATA("Ventas",Pivots_Aux!$V$3,"Cat_Anio","Accesorios 2024"),0)),0)</f>
        <v>0.452658865186448</v>
      </c>
      <c r="C55" s="108" t="n">
        <f aca="false">IFERROR((IFERROR(GETPIVOTDATA("Margen",Pivots_Aux!$Y$3,"Cat_Anio","Accesorios 2025"),0))/(IFERROR(GETPIVOTDATA("Ventas",Pivots_Aux!$V$3,"Cat_Anio","Accesorios 2025"),0)),0)</f>
        <v>0.435744939103133</v>
      </c>
      <c r="D55" s="106" t="n">
        <f aca="false">IFERROR(GETPIVOTDATA("Ventas",Pivots_Aux!$V$3,"Cat_Anio","Accesorios 2025"),0)</f>
        <v>963729.38</v>
      </c>
    </row>
    <row r="56" customFormat="false" ht="15" hidden="false" customHeight="false" outlineLevel="0" collapsed="false">
      <c r="A56" s="105" t="s">
        <v>31</v>
      </c>
      <c r="B56" s="108" t="n">
        <f aca="false">IFERROR((IFERROR(GETPIVOTDATA("Margen",Pivots_Aux!$Y$3,"Cat_Anio","Audio 2024"),0))/(IFERROR(GETPIVOTDATA("Ventas",Pivots_Aux!$V$3,"Cat_Anio","Audio 2024"),0)),0)</f>
        <v>0.422346730306092</v>
      </c>
      <c r="C56" s="108" t="n">
        <f aca="false">IFERROR((IFERROR(GETPIVOTDATA("Margen",Pivots_Aux!$Y$3,"Cat_Anio","Audio 2025"),0))/(IFERROR(GETPIVOTDATA("Ventas",Pivots_Aux!$V$3,"Cat_Anio","Audio 2025"),0)),0)</f>
        <v>0.405529772887226</v>
      </c>
      <c r="D56" s="106" t="n">
        <f aca="false">IFERROR(GETPIVOTDATA("Ventas",Pivots_Aux!$V$3,"Cat_Anio","Audio 2025"),0)</f>
        <v>480609.25</v>
      </c>
    </row>
    <row r="57" customFormat="false" ht="15" hidden="false" customHeight="false" outlineLevel="0" collapsed="false">
      <c r="A57" s="105" t="s">
        <v>33</v>
      </c>
      <c r="B57" s="108" t="n">
        <f aca="false">IFERROR((IFERROR(GETPIVOTDATA("Margen",Pivots_Aux!$Y$3,"Cat_Anio","Almacenamiento 2024"),0))/(IFERROR(GETPIVOTDATA("Ventas",Pivots_Aux!$V$3,"Cat_Anio","Almacenamiento 2024"),0)),0)</f>
        <v>0.397559203122239</v>
      </c>
      <c r="C57" s="108" t="n">
        <f aca="false">IFERROR((IFERROR(GETPIVOTDATA("Margen",Pivots_Aux!$Y$3,"Cat_Anio","Almacenamiento 2025"),0))/(IFERROR(GETPIVOTDATA("Ventas",Pivots_Aux!$V$3,"Cat_Anio","Almacenamiento 2025"),0)),0)</f>
        <v>0.380429720359443</v>
      </c>
      <c r="D57" s="106" t="n">
        <f aca="false">IFERROR(GETPIVOTDATA("Ventas",Pivots_Aux!$V$3,"Cat_Anio","Almacenamiento 2025"),0)</f>
        <v>492176.82</v>
      </c>
    </row>
    <row r="61" customFormat="false" ht="15" hidden="false" customHeight="false" outlineLevel="0" collapsed="false">
      <c r="A61" s="103" t="s">
        <v>1151</v>
      </c>
      <c r="B61" s="104" t="s">
        <v>1126</v>
      </c>
      <c r="C61" s="104" t="s">
        <v>1152</v>
      </c>
      <c r="D61" s="104" t="s">
        <v>1153</v>
      </c>
      <c r="E61" s="104" t="s">
        <v>1154</v>
      </c>
      <c r="F61" s="104" t="s">
        <v>1155</v>
      </c>
      <c r="G61" s="104" t="s">
        <v>1156</v>
      </c>
      <c r="H61" s="104" t="s">
        <v>1157</v>
      </c>
    </row>
    <row r="62" customFormat="false" ht="15" hidden="false" customHeight="false" outlineLevel="0" collapsed="false">
      <c r="A62" s="105" t="s">
        <v>41</v>
      </c>
      <c r="B62" s="106" t="n">
        <f aca="false">IFERROR(GETPIVOTDATA("Ventas",Pivots_Aux!$AB$3,"Prod_Anio","Laptop Pro 15 2025"),0)</f>
        <v>1313626.14</v>
      </c>
      <c r="C62" s="108" t="n">
        <f aca="false">IFERROR((IFERROR(GETPIVOTDATA("Ventas",Pivots_Aux!$AB$3,"Prod_Anio","Laptop Pro 15 2025"),0))/(IFERROR(GETPIVOTDATA("Ventas",Pivots_Aux!$AB$3,"Prod_Anio","Laptop Pro 15 2024"),0))-1,0)</f>
        <v>0.152764737473936</v>
      </c>
      <c r="D62" s="108" t="n">
        <f aca="false">IFERROR((IFERROR(GETPIVOTDATA("Margen",Pivots_Aux!$AE$3,"Prod_Anio","Laptop Pro 15 2025"),0))/(IFERROR(GETPIVOTDATA("Ventas",Pivots_Aux!$AB$3,"Prod_Anio","Laptop Pro 15 2025"),0)),0)</f>
        <v>0.319144570311307</v>
      </c>
      <c r="G62" s="108" t="n">
        <f aca="false">C62</f>
        <v>0.152764737473936</v>
      </c>
      <c r="H62" s="108" t="n">
        <f aca="false">D62</f>
        <v>0.319144570311307</v>
      </c>
    </row>
    <row r="63" customFormat="false" ht="15" hidden="false" customHeight="false" outlineLevel="0" collapsed="false">
      <c r="A63" s="105" t="s">
        <v>43</v>
      </c>
      <c r="B63" s="106" t="n">
        <f aca="false">IFERROR(GETPIVOTDATA("Ventas",Pivots_Aux!$AB$3,"Prod_Anio","Monitor 4K 27 2025"),0)</f>
        <v>498411.2</v>
      </c>
      <c r="C63" s="108" t="n">
        <f aca="false">IFERROR((IFERROR(GETPIVOTDATA("Ventas",Pivots_Aux!$AB$3,"Prod_Anio","Monitor 4K 27 2025"),0))/(IFERROR(GETPIVOTDATA("Ventas",Pivots_Aux!$AB$3,"Prod_Anio","Monitor 4K 27 2024"),0))-1,0)</f>
        <v>0.176050080108353</v>
      </c>
      <c r="D63" s="108" t="n">
        <f aca="false">IFERROR((IFERROR(GETPIVOTDATA("Margen",Pivots_Aux!$AE$3,"Prod_Anio","Monitor 4K 27 2025"),0))/(IFERROR(GETPIVOTDATA("Ventas",Pivots_Aux!$AB$3,"Prod_Anio","Monitor 4K 27 2025"),0)),0)</f>
        <v>0.334185808826126</v>
      </c>
      <c r="E63" s="108" t="n">
        <f aca="false">C63</f>
        <v>0.176050080108353</v>
      </c>
      <c r="F63" s="108" t="n">
        <f aca="false">D63</f>
        <v>0.334185808826126</v>
      </c>
    </row>
    <row r="64" customFormat="false" ht="15" hidden="false" customHeight="false" outlineLevel="0" collapsed="false">
      <c r="A64" s="105" t="s">
        <v>45</v>
      </c>
      <c r="B64" s="106" t="n">
        <f aca="false">IFERROR(GETPIVOTDATA("Ventas",Pivots_Aux!$AB$3,"Prod_Anio","PC Gamer Ryzen 2025"),0)</f>
        <v>1817492.81</v>
      </c>
      <c r="C64" s="108" t="n">
        <f aca="false">IFERROR((IFERROR(GETPIVOTDATA("Ventas",Pivots_Aux!$AB$3,"Prod_Anio","PC Gamer Ryzen 2025"),0))/(IFERROR(GETPIVOTDATA("Ventas",Pivots_Aux!$AB$3,"Prod_Anio","PC Gamer Ryzen 2024"),0))-1,0)</f>
        <v>0.208592049527534</v>
      </c>
      <c r="D64" s="108" t="n">
        <f aca="false">IFERROR((IFERROR(GETPIVOTDATA("Margen",Pivots_Aux!$AE$3,"Prod_Anio","PC Gamer Ryzen 2025"),0))/(IFERROR(GETPIVOTDATA("Ventas",Pivots_Aux!$AB$3,"Prod_Anio","PC Gamer Ryzen 2025"),0)),0)</f>
        <v>0.256294526964319</v>
      </c>
      <c r="G64" s="108" t="n">
        <f aca="false">C64</f>
        <v>0.208592049527534</v>
      </c>
      <c r="H64" s="108" t="n">
        <f aca="false">D64</f>
        <v>0.256294526964319</v>
      </c>
    </row>
    <row r="65" customFormat="false" ht="15" hidden="false" customHeight="false" outlineLevel="0" collapsed="false">
      <c r="A65" s="105" t="s">
        <v>47</v>
      </c>
      <c r="B65" s="106" t="n">
        <f aca="false">IFERROR(GETPIVOTDATA("Ventas",Pivots_Aux!$AB$3,"Prod_Anio","Mouse Inalambrico 2025"),0)</f>
        <v>142604.16</v>
      </c>
      <c r="C65" s="108" t="n">
        <f aca="false">IFERROR((IFERROR(GETPIVOTDATA("Ventas",Pivots_Aux!$AB$3,"Prod_Anio","Mouse Inalambrico 2025"),0))/(IFERROR(GETPIVOTDATA("Ventas",Pivots_Aux!$AB$3,"Prod_Anio","Mouse Inalambrico 2024"),0))-1,0)</f>
        <v>0.151039779936655</v>
      </c>
      <c r="D65" s="108" t="n">
        <f aca="false">IFERROR((IFERROR(GETPIVOTDATA("Margen",Pivots_Aux!$AE$3,"Prod_Anio","Mouse Inalambrico 2025"),0))/(IFERROR(GETPIVOTDATA("Ventas",Pivots_Aux!$AB$3,"Prod_Anio","Mouse Inalambrico 2025"),0)),0)</f>
        <v>0.472445193744698</v>
      </c>
      <c r="E65" s="108" t="n">
        <f aca="false">C65</f>
        <v>0.151039779936655</v>
      </c>
      <c r="F65" s="108" t="n">
        <f aca="false">D65</f>
        <v>0.472445193744698</v>
      </c>
    </row>
    <row r="66" customFormat="false" ht="15" hidden="false" customHeight="false" outlineLevel="0" collapsed="false">
      <c r="A66" s="105" t="s">
        <v>48</v>
      </c>
      <c r="B66" s="106" t="n">
        <f aca="false">IFERROR(GETPIVOTDATA("Ventas",Pivots_Aux!$AB$3,"Prod_Anio","Teclado Mecanico 2025"),0)</f>
        <v>490311.2</v>
      </c>
      <c r="C66" s="108" t="n">
        <f aca="false">IFERROR((IFERROR(GETPIVOTDATA("Ventas",Pivots_Aux!$AB$3,"Prod_Anio","Teclado Mecanico 2025"),0))/(IFERROR(GETPIVOTDATA("Ventas",Pivots_Aux!$AB$3,"Prod_Anio","Teclado Mecanico 2024"),0))-1,0)</f>
        <v>0.165154986074542</v>
      </c>
      <c r="D66" s="108" t="n">
        <f aca="false">IFERROR((IFERROR(GETPIVOTDATA("Margen",Pivots_Aux!$AE$3,"Prod_Anio","Teclado Mecanico 2025"),0))/(IFERROR(GETPIVOTDATA("Ventas",Pivots_Aux!$AB$3,"Prod_Anio","Teclado Mecanico 2025"),0)),0)</f>
        <v>0.445955323884097</v>
      </c>
      <c r="E66" s="108" t="n">
        <f aca="false">C66</f>
        <v>0.165154986074542</v>
      </c>
      <c r="F66" s="108" t="n">
        <f aca="false">D66</f>
        <v>0.445955323884097</v>
      </c>
    </row>
    <row r="67" customFormat="false" ht="15" hidden="false" customHeight="false" outlineLevel="0" collapsed="false">
      <c r="A67" s="105" t="s">
        <v>49</v>
      </c>
      <c r="B67" s="106" t="n">
        <f aca="false">IFERROR(GETPIVOTDATA("Ventas",Pivots_Aux!$AB$3,"Prod_Anio","Webcam Full HD 2025"),0)</f>
        <v>330814.02</v>
      </c>
      <c r="C67" s="108" t="n">
        <f aca="false">IFERROR((IFERROR(GETPIVOTDATA("Ventas",Pivots_Aux!$AB$3,"Prod_Anio","Webcam Full HD 2025"),0))/(IFERROR(GETPIVOTDATA("Ventas",Pivots_Aux!$AB$3,"Prod_Anio","Webcam Full HD 2024"),0))-1,0)</f>
        <v>0.141136610823022</v>
      </c>
      <c r="D67" s="108" t="n">
        <f aca="false">IFERROR((IFERROR(GETPIVOTDATA("Margen",Pivots_Aux!$AE$3,"Prod_Anio","Webcam Full HD 2025"),0))/(IFERROR(GETPIVOTDATA("Ventas",Pivots_Aux!$AB$3,"Prod_Anio","Webcam Full HD 2025"),0)),0)</f>
        <v>0.404791368878501</v>
      </c>
      <c r="E67" s="108" t="n">
        <f aca="false">C67</f>
        <v>0.141136610823022</v>
      </c>
      <c r="F67" s="108" t="n">
        <f aca="false">D67</f>
        <v>0.404791368878501</v>
      </c>
    </row>
    <row r="68" customFormat="false" ht="15" hidden="false" customHeight="false" outlineLevel="0" collapsed="false">
      <c r="A68" s="105" t="s">
        <v>50</v>
      </c>
      <c r="B68" s="106" t="n">
        <f aca="false">IFERROR(GETPIVOTDATA("Ventas",Pivots_Aux!$AB$3,"Prod_Anio","Auriculares BT Pro 2025"),0)</f>
        <v>282858.21</v>
      </c>
      <c r="C68" s="108" t="n">
        <f aca="false">IFERROR((IFERROR(GETPIVOTDATA("Ventas",Pivots_Aux!$AB$3,"Prod_Anio","Auriculares BT Pro 2025"),0))/(IFERROR(GETPIVOTDATA("Ventas",Pivots_Aux!$AB$3,"Prod_Anio","Auriculares BT Pro 2024"),0))-1,0)</f>
        <v>0.210496672247157</v>
      </c>
      <c r="D68" s="108" t="n">
        <f aca="false">IFERROR((IFERROR(GETPIVOTDATA("Margen",Pivots_Aux!$AE$3,"Prod_Anio","Auriculares BT Pro 2025"),0))/(IFERROR(GETPIVOTDATA("Ventas",Pivots_Aux!$AB$3,"Prod_Anio","Auriculares BT Pro 2025"),0)),0)</f>
        <v>0.420637746381836</v>
      </c>
      <c r="E68" s="108" t="n">
        <f aca="false">C68</f>
        <v>0.210496672247157</v>
      </c>
      <c r="F68" s="108" t="n">
        <f aca="false">D68</f>
        <v>0.420637746381836</v>
      </c>
    </row>
    <row r="69" customFormat="false" ht="15" hidden="false" customHeight="false" outlineLevel="0" collapsed="false">
      <c r="A69" s="105" t="s">
        <v>51</v>
      </c>
      <c r="B69" s="106" t="n">
        <f aca="false">IFERROR(GETPIVOTDATA("Ventas",Pivots_Aux!$AB$3,"Prod_Anio","Parlante Bluetooth 2025"),0)</f>
        <v>197751.04</v>
      </c>
      <c r="C69" s="108" t="n">
        <f aca="false">IFERROR((IFERROR(GETPIVOTDATA("Ventas",Pivots_Aux!$AB$3,"Prod_Anio","Parlante Bluetooth 2025"),0))/(IFERROR(GETPIVOTDATA("Ventas",Pivots_Aux!$AB$3,"Prod_Anio","Parlante Bluetooth 2024"),0))-1,0)</f>
        <v>0.168288417729297</v>
      </c>
      <c r="D69" s="108" t="n">
        <f aca="false">IFERROR((IFERROR(GETPIVOTDATA("Margen",Pivots_Aux!$AE$3,"Prod_Anio","Parlante Bluetooth 2025"),0))/(IFERROR(GETPIVOTDATA("Ventas",Pivots_Aux!$AB$3,"Prod_Anio","Parlante Bluetooth 2025"),0)),0)</f>
        <v>0.383919700245319</v>
      </c>
      <c r="E69" s="108" t="n">
        <f aca="false">C69</f>
        <v>0.168288417729297</v>
      </c>
      <c r="F69" s="108" t="n">
        <f aca="false">D69</f>
        <v>0.383919700245319</v>
      </c>
    </row>
    <row r="70" customFormat="false" ht="15" hidden="false" customHeight="false" outlineLevel="0" collapsed="false">
      <c r="A70" s="105" t="s">
        <v>52</v>
      </c>
      <c r="B70" s="106" t="n">
        <f aca="false">IFERROR(GETPIVOTDATA("Ventas",Pivots_Aux!$AB$3,"Prod_Anio","SSD Externo 1TB 2025"),0)</f>
        <v>387109.46</v>
      </c>
      <c r="C70" s="108" t="n">
        <f aca="false">IFERROR((IFERROR(GETPIVOTDATA("Ventas",Pivots_Aux!$AB$3,"Prod_Anio","SSD Externo 1TB 2025"),0))/(IFERROR(GETPIVOTDATA("Ventas",Pivots_Aux!$AB$3,"Prod_Anio","SSD Externo 1TB 2024"),0))-1,0)</f>
        <v>0.165529648169793</v>
      </c>
      <c r="D70" s="108" t="n">
        <f aca="false">IFERROR((IFERROR(GETPIVOTDATA("Margen",Pivots_Aux!$AE$3,"Prod_Anio","SSD Externo 1TB 2025"),0))/(IFERROR(GETPIVOTDATA("Ventas",Pivots_Aux!$AB$3,"Prod_Anio","SSD Externo 1TB 2025"),0)),0)</f>
        <v>0.363930889211542</v>
      </c>
      <c r="E70" s="108" t="n">
        <f aca="false">C70</f>
        <v>0.165529648169793</v>
      </c>
      <c r="F70" s="108" t="n">
        <f aca="false">D70</f>
        <v>0.363930889211542</v>
      </c>
    </row>
    <row r="71" customFormat="false" ht="15" hidden="false" customHeight="false" outlineLevel="0" collapsed="false">
      <c r="A71" s="105" t="s">
        <v>53</v>
      </c>
      <c r="B71" s="106" t="n">
        <f aca="false">IFERROR(GETPIVOTDATA("Ventas",Pivots_Aux!$AB$3,"Prod_Anio","Pendrive 256GB 2025"),0)</f>
        <v>105067.36</v>
      </c>
      <c r="C71" s="108" t="n">
        <f aca="false">IFERROR((IFERROR(GETPIVOTDATA("Ventas",Pivots_Aux!$AB$3,"Prod_Anio","Pendrive 256GB 2025"),0))/(IFERROR(GETPIVOTDATA("Ventas",Pivots_Aux!$AB$3,"Prod_Anio","Pendrive 256GB 2024"),0))-1,0)</f>
        <v>0.174085219698131</v>
      </c>
      <c r="D71" s="108" t="n">
        <f aca="false">IFERROR((IFERROR(GETPIVOTDATA("Margen",Pivots_Aux!$AE$3,"Prod_Anio","Pendrive 256GB 2025"),0))/(IFERROR(GETPIVOTDATA("Ventas",Pivots_Aux!$AB$3,"Prod_Anio","Pendrive 256GB 2025"),0)),0)</f>
        <v>0.441217900592534</v>
      </c>
      <c r="E71" s="108" t="n">
        <f aca="false">C71</f>
        <v>0.174085219698131</v>
      </c>
      <c r="F71" s="108" t="n">
        <f aca="false">D71</f>
        <v>0.441217900592534</v>
      </c>
    </row>
    <row r="75" customFormat="false" ht="15" hidden="false" customHeight="false" outlineLevel="0" collapsed="false">
      <c r="A75" s="103" t="s">
        <v>1158</v>
      </c>
      <c r="B75" s="104" t="s">
        <v>21</v>
      </c>
      <c r="C75" s="104" t="s">
        <v>22</v>
      </c>
      <c r="D75" s="104" t="s">
        <v>1153</v>
      </c>
    </row>
    <row r="76" customFormat="false" ht="15" hidden="false" customHeight="false" outlineLevel="0" collapsed="false">
      <c r="A76" s="105" t="s">
        <v>25</v>
      </c>
      <c r="B76" s="106" t="n">
        <f aca="false">IFERROR(GETPIVOTDATA("Ventas",Pivots_Aux!$AH$3,"Region","AMBA"),0)</f>
        <v>3896685.07</v>
      </c>
      <c r="C76" s="106" t="n">
        <f aca="false">IFERROR(GETPIVOTDATA("Margen",Pivots_Aux!$AK$3,"Region","AMBA"),0)</f>
        <v>1341318.34</v>
      </c>
      <c r="D76" s="108" t="n">
        <f aca="false">IFERROR(C76/B76,0)</f>
        <v>0.344220360615389</v>
      </c>
    </row>
    <row r="77" customFormat="false" ht="15" hidden="false" customHeight="false" outlineLevel="0" collapsed="false">
      <c r="A77" s="105" t="s">
        <v>27</v>
      </c>
      <c r="B77" s="106" t="n">
        <f aca="false">IFERROR(GETPIVOTDATA("Ventas",Pivots_Aux!$AH$3,"Region","Centro"),0)</f>
        <v>2262766.29</v>
      </c>
      <c r="C77" s="106" t="n">
        <f aca="false">IFERROR(GETPIVOTDATA("Margen",Pivots_Aux!$AK$3,"Region","Centro"),0)</f>
        <v>780708.6</v>
      </c>
      <c r="D77" s="108" t="n">
        <f aca="false">IFERROR(C77/B77,0)</f>
        <v>0.345023966217917</v>
      </c>
    </row>
    <row r="78" customFormat="false" ht="15" hidden="false" customHeight="false" outlineLevel="0" collapsed="false">
      <c r="A78" s="105" t="s">
        <v>30</v>
      </c>
      <c r="B78" s="106" t="n">
        <f aca="false">IFERROR(GETPIVOTDATA("Ventas",Pivots_Aux!$AH$3,"Region","Litoral"),0)</f>
        <v>1655093.7</v>
      </c>
      <c r="C78" s="106" t="n">
        <f aca="false">IFERROR(GETPIVOTDATA("Margen",Pivots_Aux!$AK$3,"Region","Litoral"),0)</f>
        <v>569389.84</v>
      </c>
      <c r="D78" s="108" t="n">
        <f aca="false">IFERROR(C78/B78,0)</f>
        <v>0.344022722097245</v>
      </c>
    </row>
    <row r="79" customFormat="false" ht="15" hidden="false" customHeight="false" outlineLevel="0" collapsed="false">
      <c r="A79" s="105" t="s">
        <v>32</v>
      </c>
      <c r="B79" s="106" t="n">
        <f aca="false">IFERROR(GETPIVOTDATA("Ventas",Pivots_Aux!$AH$3,"Region","Cuyo"),0)</f>
        <v>1247848.42</v>
      </c>
      <c r="C79" s="106" t="n">
        <f aca="false">IFERROR(GETPIVOTDATA("Margen",Pivots_Aux!$AK$3,"Region","Cuyo"),0)</f>
        <v>427843.83</v>
      </c>
      <c r="D79" s="108" t="n">
        <f aca="false">IFERROR(C79/B79,0)</f>
        <v>0.342865225569625</v>
      </c>
    </row>
    <row r="80" customFormat="false" ht="15" hidden="false" customHeight="false" outlineLevel="0" collapsed="false">
      <c r="A80" s="105" t="s">
        <v>34</v>
      </c>
      <c r="B80" s="106" t="n">
        <f aca="false">IFERROR(GETPIVOTDATA("Ventas",Pivots_Aux!$AH$3,"Region","NOA"),0)</f>
        <v>1229966.72</v>
      </c>
      <c r="C80" s="106" t="n">
        <f aca="false">IFERROR(GETPIVOTDATA("Margen",Pivots_Aux!$AK$3,"Region","NOA"),0)</f>
        <v>424250.41</v>
      </c>
      <c r="D80" s="108" t="n">
        <f aca="false">IFERROR(C80/B80,0)</f>
        <v>0.344928365216256</v>
      </c>
    </row>
    <row r="81" customFormat="false" ht="15" hidden="false" customHeight="false" outlineLevel="0" collapsed="false">
      <c r="A81" s="116" t="s">
        <v>1159</v>
      </c>
      <c r="B81" s="117" t="str">
        <f aca="false">INDEX($A$76:$A$80,MATCH(MAX($B$76:$B$80),$B$76:$B$80,0))</f>
        <v>AMBA</v>
      </c>
    </row>
    <row r="82" customFormat="false" ht="15" hidden="false" customHeight="false" outlineLevel="0" collapsed="false">
      <c r="A82" s="116" t="s">
        <v>1160</v>
      </c>
      <c r="B82" s="118" t="n">
        <f aca="false">IFERROR(MAX($B$76:$B$80)/SUM($B$76:$B$80),0)</f>
        <v>0.378599756934275</v>
      </c>
    </row>
    <row r="84" customFormat="false" ht="15" hidden="false" customHeight="false" outlineLevel="0" collapsed="false">
      <c r="A84" s="103" t="s">
        <v>1161</v>
      </c>
    </row>
    <row r="85" customFormat="false" ht="15" hidden="false" customHeight="false" outlineLevel="0" collapsed="false">
      <c r="A85" s="116" t="s">
        <v>1162</v>
      </c>
      <c r="B85" s="117" t="str">
        <f aca="false">"Las ventas crecen "&amp;TEXT(B19,"0.0%")&amp;" y el margen cae "&amp;TEXT(ABS(B21),"0.0")&amp;" p.p.: el costo de compra y la logistica del e-commerce se reparten el deterioro"</f>
        <v>Las ventas crecen 17.8% y el margen cae 2.4 p.p.: el costo de compra y la logistica del e-commerce se reparten el deterioro</v>
      </c>
    </row>
    <row r="86" customFormat="false" ht="15" hidden="false" customHeight="false" outlineLevel="0" collapsed="false">
      <c r="A86" s="116" t="s">
        <v>1163</v>
      </c>
      <c r="B86" s="117" t="str">
        <f aca="false">"El margen bruto pasa de "&amp;TEXT(B9,"0.0%")&amp;" a "&amp;TEXT(C9,"0.0%")&amp;". La logistica explica "&amp;TEXT(IFERROR(ABS(B32)/(ABS(B31)+ABS(B32)),0),"0%")&amp;" del mayor costo y el resto es precio de compra: son dos causas, no una."</f>
        <v>El margen bruto pasa de 35.8% a 33.3%. La logistica explica 32% del mayor costo y el resto es precio de compra: son dos causas, no una.</v>
      </c>
    </row>
    <row r="87" customFormat="false" ht="15" hidden="false" customHeight="false" outlineLevel="0" collapsed="false">
      <c r="A87" s="116" t="s">
        <v>1164</v>
      </c>
      <c r="B87" s="117" t="str">
        <f aca="false">"El margen se recupera en el segundo semestre ("&amp;TEXT(IFERROR(SUM(E44:E49)/SUM(C44:C49),0),"0.0%")&amp;") pero no vuelve al nivel de 2024 ("&amp;TEXT(IFERROR(SUM(F44:F49)/SUM(B44:B49),0),"0.0%")&amp;")"</f>
        <v>El margen se recupera en el segundo semestre (34.5%) pero no vuelve al nivel de 2024 (35.7%)</v>
      </c>
    </row>
    <row r="88" customFormat="false" ht="15" hidden="false" customHeight="false" outlineLevel="0" collapsed="false">
      <c r="A88" s="116" t="s">
        <v>1165</v>
      </c>
      <c r="B88" s="117" t="str">
        <f aca="false">"El acumulado del ano cierra "&amp;TEXT(IFERROR(H49/G49-1,0),"0.0%")&amp;" arriba de 2024, y la brecha se abre desde el primer trimestre"</f>
        <v>El acumulado del ano cierra 17.8% arriba de 2024, y la brecha se abre desde el primer trimestre</v>
      </c>
    </row>
    <row r="89" customFormat="false" ht="15" hidden="false" customHeight="false" outlineLevel="0" collapsed="false">
      <c r="A89" s="116" t="s">
        <v>1166</v>
      </c>
      <c r="B89" s="117" t="str">
        <f aca="false">"Volumen y precio sumaron "&amp;TEXT(B29+B30,"$#,##0")&amp;" de margen; los costos se llevaron "&amp;TEXT(ABS(B31)+ABS(B32),"$#,##0")</f>
        <v>Volumen y precio sumaron $417,296 de margen; los costos se llevaron $253,423</v>
      </c>
    </row>
    <row r="90" customFormat="false" ht="15" hidden="false" customHeight="false" outlineLevel="0" collapsed="false">
      <c r="A90" s="116" t="s">
        <v>1167</v>
      </c>
      <c r="B90" s="117" t="str">
        <f aca="false">"Computacion concentra la caida: pierde "&amp;TEXT(ABS((C54-B54)*100),"0.0")&amp;" p.p. de margen"</f>
        <v>Computacion concentra la caida: pierde 2.8 p.p. de margen</v>
      </c>
    </row>
    <row r="91" customFormat="false" ht="15" hidden="false" customHeight="false" outlineLevel="0" collapsed="false">
      <c r="A91" s="116" t="s">
        <v>1168</v>
      </c>
      <c r="B91" s="117" t="str">
        <f aca="false">"Los productos que mas crecen son los que menos margen dejan"</f>
        <v>Los productos que mas crecen son los que menos margen dejan</v>
      </c>
    </row>
    <row r="92" customFormat="false" ht="15" hidden="false" customHeight="false" outlineLevel="0" collapsed="false">
      <c r="A92" s="116" t="s">
        <v>1169</v>
      </c>
      <c r="B92" s="117" t="str">
        <f aca="false">"EVIDENCIA: las ventas suben "&amp;TEXT(B19,"0.0%")&amp;" y las unidades "&amp;TEXT(IFERROR(C8/B8-1,0),"0.0%")&amp;".  INSIGHT: el crecimiento es de volumen, no de precio, asi que la demanda es real y conviene sostener el plan comercial."</f>
        <v>EVIDENCIA: las ventas suben 17.8% y las unidades 14.4%.  INSIGHT: el crecimiento es de volumen, no de precio, asi que la demanda es real y conviene sostener el plan comercial.</v>
      </c>
    </row>
    <row r="93" customFormat="false" ht="15" hidden="false" customHeight="false" outlineLevel="0" collapsed="false">
      <c r="A93" s="116" t="s">
        <v>1170</v>
      </c>
      <c r="B93" s="117" t="str">
        <f aca="false">"EVIDENCIA: el costo de compra resta "&amp;TEXT(ABS(B31),"$#,##0")&amp;" y la logistica "&amp;TEXT(ABS(B32),"$#,##0")&amp;" de margen.  INSIGHT: la caida tiene dos causas, no una; atribuirla solo al e-commerce sobreestima su peso y desviaria el presupuesto de correccion."</f>
        <v>EVIDENCIA: el costo de compra resta $172,502 y la logistica $80,921 de margen.  INSIGHT: la caida tiene dos causas, no una; atribuirla solo al e-commerce sobreestima su peso y desviaria el presupuesto de correccion.</v>
      </c>
    </row>
    <row r="94" customFormat="false" ht="15" hidden="false" customHeight="false" outlineLevel="0" collapsed="false">
      <c r="A94" s="116" t="s">
        <v>1171</v>
      </c>
      <c r="B94" s="117" t="str">
        <f aca="false">"EVIDENCIA: el segundo semestre ("&amp;TEXT(IFERROR(SUM(E44:E49)/SUM(C44:C49),0),"0.0%")&amp;") supera al primero ("&amp;TEXT(IFERROR(SUM(E38:E43)/SUM(C38:C43),0),"0.0%")&amp;") pero sigue por debajo del mismo periodo de 2024 ("&amp;TEXT(IFERROR(SUM(F44:F49)/SUM(B44:B49),0),"0.0%")&amp;").  INSIGHT: la correccion del Q3 funciona pero es parcial; hay que sostenerla en el proximo semestre antes de fijar nuevas metas."</f>
        <v>EVIDENCIA: el segundo semestre (34.5%) supera al primero (31.8%) pero sigue por debajo del mismo periodo de 2024 (35.7%).  INSIGHT: la correccion del Q3 funciona pero es parcial; hay que sostenerla en el proximo semestre antes de fijar nuevas metas.</v>
      </c>
    </row>
    <row r="95" customFormat="false" ht="15" hidden="false" customHeight="false" outlineLevel="0" collapsed="false">
      <c r="A95" s="116" t="s">
        <v>1172</v>
      </c>
      <c r="B95" s="117" t="str">
        <f aca="false">IF(LEN(C95)=0,"Todos los productos quedan por encima del corte de margen.","Zona de riesgo (margen por debajo de "&amp;TEXT(Parametros!$C$15,"0%")&amp;"): "&amp;LEFT(C95,LEN(C95)-2)&amp;".  El resto de los productos esta en meta.")</f>
        <v>Zona de riesgo (margen por debajo de 33%): Laptop Pro 15, PC Gamer Ryzen.  El resto de los productos esta en meta.</v>
      </c>
      <c r="C95" s="117" t="str">
        <f aca="false">IF(D62&lt;Parametros!$C$15,A62&amp;", ","")&amp;IF(D63&lt;Parametros!$C$15,A63&amp;", ","")&amp;IF(D64&lt;Parametros!$C$15,A64&amp;", ","")&amp;IF(D65&lt;Parametros!$C$15,A65&amp;", ","")&amp;IF(D66&lt;Parametros!$C$15,A66&amp;", ","")&amp;IF(D67&lt;Parametros!$C$15,A67&amp;", ","")&amp;IF(D68&lt;Parametros!$C$15,A68&amp;", ","")&amp;IF(D69&lt;Parametros!$C$15,A69&amp;", ","")&amp;IF(D70&lt;Parametros!$C$15,A70&amp;", ","")&amp;IF(D71&lt;Parametros!$C$15,A71&amp;", ","")</f>
        <v>Laptop Pro 15, PC Gamer Ryzen, 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8"/>
  <sheetViews>
    <sheetView showFormulas="false" showGridLines="tru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16" t="s">
        <v>1173</v>
      </c>
    </row>
    <row r="3" customFormat="false" ht="15" hidden="false" customHeight="false" outlineLevel="0" collapsed="false">
      <c r="A3" s="119" t="s">
        <v>57</v>
      </c>
      <c r="B3" s="120" t="s">
        <v>21</v>
      </c>
      <c r="D3" s="119" t="s">
        <v>57</v>
      </c>
      <c r="E3" s="120" t="s">
        <v>22</v>
      </c>
      <c r="G3" s="119" t="s">
        <v>57</v>
      </c>
      <c r="H3" s="120" t="s">
        <v>23</v>
      </c>
      <c r="J3" s="119" t="s">
        <v>57</v>
      </c>
      <c r="K3" s="120" t="s">
        <v>1174</v>
      </c>
      <c r="M3" s="119" t="s">
        <v>57</v>
      </c>
      <c r="N3" s="120" t="s">
        <v>1175</v>
      </c>
      <c r="P3" s="119" t="s">
        <v>67</v>
      </c>
      <c r="Q3" s="120" t="s">
        <v>21</v>
      </c>
      <c r="S3" s="119" t="s">
        <v>67</v>
      </c>
      <c r="T3" s="120" t="s">
        <v>22</v>
      </c>
      <c r="V3" s="119" t="s">
        <v>70</v>
      </c>
      <c r="W3" s="120" t="s">
        <v>21</v>
      </c>
      <c r="Y3" s="119" t="s">
        <v>70</v>
      </c>
      <c r="Z3" s="120" t="s">
        <v>22</v>
      </c>
      <c r="AB3" s="119" t="s">
        <v>71</v>
      </c>
      <c r="AC3" s="120" t="s">
        <v>21</v>
      </c>
      <c r="AE3" s="119" t="s">
        <v>71</v>
      </c>
      <c r="AF3" s="120" t="s">
        <v>22</v>
      </c>
      <c r="AH3" s="119" t="s">
        <v>20</v>
      </c>
      <c r="AI3" s="120" t="s">
        <v>21</v>
      </c>
      <c r="AK3" s="119" t="s">
        <v>20</v>
      </c>
      <c r="AL3" s="120" t="s">
        <v>22</v>
      </c>
    </row>
    <row r="4" customFormat="false" ht="15" hidden="false" customHeight="false" outlineLevel="0" collapsed="false">
      <c r="A4" s="34" t="n">
        <v>2024</v>
      </c>
      <c r="B4" s="121" t="n">
        <v>4726314.6</v>
      </c>
      <c r="D4" s="34" t="n">
        <v>2024</v>
      </c>
      <c r="E4" s="121" t="n">
        <v>1689818.71</v>
      </c>
      <c r="G4" s="34" t="n">
        <v>2024</v>
      </c>
      <c r="H4" s="122" t="n">
        <v>25681</v>
      </c>
      <c r="J4" s="34" t="n">
        <v>2024</v>
      </c>
      <c r="K4" s="121" t="n">
        <v>2933624.54</v>
      </c>
      <c r="M4" s="34" t="n">
        <v>2024</v>
      </c>
      <c r="N4" s="121" t="n">
        <v>102871.35</v>
      </c>
      <c r="P4" s="34" t="s">
        <v>1176</v>
      </c>
      <c r="Q4" s="121" t="n">
        <v>335709.78</v>
      </c>
      <c r="S4" s="34" t="s">
        <v>1176</v>
      </c>
      <c r="T4" s="121" t="n">
        <v>120066.04</v>
      </c>
      <c r="V4" s="34" t="s">
        <v>1177</v>
      </c>
      <c r="W4" s="121" t="n">
        <v>3067155</v>
      </c>
      <c r="Y4" s="34" t="s">
        <v>1177</v>
      </c>
      <c r="Z4" s="121" t="n">
        <v>974230.43</v>
      </c>
      <c r="AB4" s="34" t="s">
        <v>1178</v>
      </c>
      <c r="AC4" s="121" t="n">
        <v>1139544</v>
      </c>
      <c r="AE4" s="34" t="s">
        <v>1178</v>
      </c>
      <c r="AF4" s="121" t="n">
        <v>393830.85</v>
      </c>
      <c r="AH4" s="34" t="s">
        <v>25</v>
      </c>
      <c r="AI4" s="121" t="n">
        <v>3896685.07</v>
      </c>
      <c r="AK4" s="34" t="s">
        <v>25</v>
      </c>
      <c r="AL4" s="121" t="n">
        <v>1341318.34</v>
      </c>
    </row>
    <row r="5" customFormat="false" ht="15" hidden="false" customHeight="false" outlineLevel="0" collapsed="false">
      <c r="A5" s="38" t="n">
        <v>2025</v>
      </c>
      <c r="B5" s="123" t="n">
        <v>5566045.6</v>
      </c>
      <c r="D5" s="38" t="n">
        <v>2025</v>
      </c>
      <c r="E5" s="123" t="n">
        <v>1853692.31</v>
      </c>
      <c r="G5" s="38" t="n">
        <v>2025</v>
      </c>
      <c r="H5" s="124" t="n">
        <v>29379</v>
      </c>
      <c r="J5" s="38" t="n">
        <v>2025</v>
      </c>
      <c r="K5" s="123" t="n">
        <v>3528561.39</v>
      </c>
      <c r="M5" s="38" t="n">
        <v>2025</v>
      </c>
      <c r="N5" s="123" t="n">
        <v>183791.9</v>
      </c>
      <c r="P5" s="38" t="s">
        <v>1179</v>
      </c>
      <c r="Q5" s="125" t="n">
        <v>297385.9</v>
      </c>
      <c r="S5" s="38" t="s">
        <v>1179</v>
      </c>
      <c r="T5" s="125" t="n">
        <v>106797.24</v>
      </c>
      <c r="V5" s="38" t="s">
        <v>1180</v>
      </c>
      <c r="W5" s="125" t="n">
        <v>834602.3</v>
      </c>
      <c r="Y5" s="38" t="s">
        <v>1180</v>
      </c>
      <c r="Z5" s="125" t="n">
        <v>377790.13</v>
      </c>
      <c r="AB5" s="38" t="s">
        <v>1181</v>
      </c>
      <c r="AC5" s="125" t="n">
        <v>423801</v>
      </c>
      <c r="AE5" s="38" t="s">
        <v>1181</v>
      </c>
      <c r="AF5" s="125" t="n">
        <v>153039.62</v>
      </c>
      <c r="AH5" s="38" t="s">
        <v>27</v>
      </c>
      <c r="AI5" s="125" t="n">
        <v>2262766.29</v>
      </c>
      <c r="AK5" s="38" t="s">
        <v>27</v>
      </c>
      <c r="AL5" s="125" t="n">
        <v>780708.6</v>
      </c>
    </row>
    <row r="6" customFormat="false" ht="15" hidden="false" customHeight="false" outlineLevel="0" collapsed="false">
      <c r="A6" s="45" t="s">
        <v>35</v>
      </c>
      <c r="B6" s="126" t="n">
        <v>10292360.2</v>
      </c>
      <c r="D6" s="45" t="s">
        <v>35</v>
      </c>
      <c r="E6" s="126" t="n">
        <v>3543511.01999999</v>
      </c>
      <c r="G6" s="45" t="s">
        <v>35</v>
      </c>
      <c r="H6" s="127" t="n">
        <v>55060</v>
      </c>
      <c r="J6" s="45" t="s">
        <v>35</v>
      </c>
      <c r="K6" s="126" t="n">
        <v>6462185.93</v>
      </c>
      <c r="M6" s="45" t="s">
        <v>35</v>
      </c>
      <c r="N6" s="126" t="n">
        <v>286663.25</v>
      </c>
      <c r="P6" s="38" t="s">
        <v>1182</v>
      </c>
      <c r="Q6" s="125" t="n">
        <v>362339.32</v>
      </c>
      <c r="S6" s="38" t="s">
        <v>1182</v>
      </c>
      <c r="T6" s="125" t="n">
        <v>129799.63</v>
      </c>
      <c r="V6" s="38" t="s">
        <v>1183</v>
      </c>
      <c r="W6" s="125" t="n">
        <v>402936.8</v>
      </c>
      <c r="Y6" s="38" t="s">
        <v>1183</v>
      </c>
      <c r="Z6" s="125" t="n">
        <v>170179.04</v>
      </c>
      <c r="AB6" s="38" t="s">
        <v>1184</v>
      </c>
      <c r="AC6" s="125" t="n">
        <v>1503810</v>
      </c>
      <c r="AE6" s="38" t="s">
        <v>1184</v>
      </c>
      <c r="AF6" s="125" t="n">
        <v>427359.96</v>
      </c>
      <c r="AH6" s="38" t="s">
        <v>30</v>
      </c>
      <c r="AI6" s="125" t="n">
        <v>1655093.7</v>
      </c>
      <c r="AK6" s="38" t="s">
        <v>30</v>
      </c>
      <c r="AL6" s="125" t="n">
        <v>569389.84</v>
      </c>
    </row>
    <row r="7" customFormat="false" ht="15" hidden="false" customHeight="false" outlineLevel="0" collapsed="false">
      <c r="P7" s="38" t="s">
        <v>1185</v>
      </c>
      <c r="Q7" s="125" t="n">
        <v>351882.72</v>
      </c>
      <c r="S7" s="38" t="s">
        <v>1185</v>
      </c>
      <c r="T7" s="125" t="n">
        <v>126286.86</v>
      </c>
      <c r="V7" s="38" t="s">
        <v>1186</v>
      </c>
      <c r="W7" s="125" t="n">
        <v>421620.5</v>
      </c>
      <c r="Y7" s="38" t="s">
        <v>1186</v>
      </c>
      <c r="Z7" s="125" t="n">
        <v>167619.11</v>
      </c>
      <c r="AB7" s="38" t="s">
        <v>1187</v>
      </c>
      <c r="AC7" s="125" t="n">
        <v>123891.6</v>
      </c>
      <c r="AE7" s="38" t="s">
        <v>1187</v>
      </c>
      <c r="AF7" s="125" t="n">
        <v>60540.18</v>
      </c>
      <c r="AH7" s="38" t="s">
        <v>32</v>
      </c>
      <c r="AI7" s="125" t="n">
        <v>1247848.42</v>
      </c>
      <c r="AK7" s="38" t="s">
        <v>32</v>
      </c>
      <c r="AL7" s="125" t="n">
        <v>427843.83</v>
      </c>
    </row>
    <row r="8" customFormat="false" ht="15" hidden="false" customHeight="false" outlineLevel="0" collapsed="false">
      <c r="P8" s="38" t="s">
        <v>1188</v>
      </c>
      <c r="Q8" s="125" t="n">
        <v>379787.24</v>
      </c>
      <c r="S8" s="38" t="s">
        <v>1188</v>
      </c>
      <c r="T8" s="125" t="n">
        <v>135656.22</v>
      </c>
      <c r="V8" s="38" t="s">
        <v>1189</v>
      </c>
      <c r="W8" s="125" t="n">
        <v>3629530.15000001</v>
      </c>
      <c r="Y8" s="38" t="s">
        <v>1189</v>
      </c>
      <c r="Z8" s="125" t="n">
        <v>1051612.06</v>
      </c>
      <c r="AB8" s="38" t="s">
        <v>1190</v>
      </c>
      <c r="AC8" s="125" t="n">
        <v>420812</v>
      </c>
      <c r="AE8" s="38" t="s">
        <v>1190</v>
      </c>
      <c r="AF8" s="125" t="n">
        <v>194829.25</v>
      </c>
      <c r="AH8" s="38" t="s">
        <v>34</v>
      </c>
      <c r="AI8" s="123" t="n">
        <v>1229966.72</v>
      </c>
      <c r="AK8" s="38" t="s">
        <v>34</v>
      </c>
      <c r="AL8" s="123" t="n">
        <v>424250.41</v>
      </c>
    </row>
    <row r="9" customFormat="false" ht="15" hidden="false" customHeight="false" outlineLevel="0" collapsed="false">
      <c r="P9" s="38" t="s">
        <v>1191</v>
      </c>
      <c r="Q9" s="125" t="n">
        <v>402575.18</v>
      </c>
      <c r="S9" s="38" t="s">
        <v>1191</v>
      </c>
      <c r="T9" s="125" t="n">
        <v>144260.56</v>
      </c>
      <c r="V9" s="38" t="s">
        <v>1192</v>
      </c>
      <c r="W9" s="125" t="n">
        <v>963729.38</v>
      </c>
      <c r="Y9" s="38" t="s">
        <v>1192</v>
      </c>
      <c r="Z9" s="125" t="n">
        <v>419940.2</v>
      </c>
      <c r="AB9" s="38" t="s">
        <v>1193</v>
      </c>
      <c r="AC9" s="125" t="n">
        <v>289898.7</v>
      </c>
      <c r="AE9" s="38" t="s">
        <v>1193</v>
      </c>
      <c r="AF9" s="125" t="n">
        <v>122420.7</v>
      </c>
      <c r="AH9" s="45" t="s">
        <v>35</v>
      </c>
      <c r="AI9" s="126" t="n">
        <v>10292360.2</v>
      </c>
      <c r="AK9" s="45" t="s">
        <v>35</v>
      </c>
      <c r="AL9" s="126" t="n">
        <v>3543511.01999999</v>
      </c>
    </row>
    <row r="10" customFormat="false" ht="15" hidden="false" customHeight="false" outlineLevel="0" collapsed="false">
      <c r="P10" s="38" t="s">
        <v>1194</v>
      </c>
      <c r="Q10" s="125" t="n">
        <v>421091.3</v>
      </c>
      <c r="S10" s="38" t="s">
        <v>1194</v>
      </c>
      <c r="T10" s="125" t="n">
        <v>150292.4</v>
      </c>
      <c r="V10" s="38" t="s">
        <v>1195</v>
      </c>
      <c r="W10" s="125" t="n">
        <v>480609.25</v>
      </c>
      <c r="Y10" s="38" t="s">
        <v>1195</v>
      </c>
      <c r="Z10" s="125" t="n">
        <v>194901.36</v>
      </c>
      <c r="AB10" s="38" t="s">
        <v>1196</v>
      </c>
      <c r="AC10" s="125" t="n">
        <v>233671.2</v>
      </c>
      <c r="AE10" s="38" t="s">
        <v>1196</v>
      </c>
      <c r="AF10" s="125" t="n">
        <v>102216.65</v>
      </c>
    </row>
    <row r="11" customFormat="false" ht="15" hidden="false" customHeight="false" outlineLevel="0" collapsed="false">
      <c r="P11" s="38" t="s">
        <v>1197</v>
      </c>
      <c r="Q11" s="125" t="n">
        <v>369456.08</v>
      </c>
      <c r="S11" s="38" t="s">
        <v>1197</v>
      </c>
      <c r="T11" s="125" t="n">
        <v>132018.84</v>
      </c>
      <c r="V11" s="38" t="s">
        <v>1198</v>
      </c>
      <c r="W11" s="123" t="n">
        <v>492176.82</v>
      </c>
      <c r="Y11" s="38" t="s">
        <v>1198</v>
      </c>
      <c r="Z11" s="123" t="n">
        <v>187238.69</v>
      </c>
      <c r="AB11" s="38" t="s">
        <v>1199</v>
      </c>
      <c r="AC11" s="125" t="n">
        <v>169265.6</v>
      </c>
      <c r="AE11" s="38" t="s">
        <v>1199</v>
      </c>
      <c r="AF11" s="125" t="n">
        <v>67962.39</v>
      </c>
    </row>
    <row r="12" customFormat="false" ht="15" hidden="false" customHeight="false" outlineLevel="0" collapsed="false">
      <c r="P12" s="38" t="s">
        <v>1200</v>
      </c>
      <c r="Q12" s="125" t="n">
        <v>374810.8</v>
      </c>
      <c r="S12" s="38" t="s">
        <v>1200</v>
      </c>
      <c r="T12" s="125" t="n">
        <v>133910.29</v>
      </c>
      <c r="V12" s="45" t="s">
        <v>35</v>
      </c>
      <c r="W12" s="126" t="n">
        <v>10292360.2</v>
      </c>
      <c r="Y12" s="45" t="s">
        <v>35</v>
      </c>
      <c r="Z12" s="126" t="n">
        <v>3543511.01999999</v>
      </c>
      <c r="AB12" s="38" t="s">
        <v>1201</v>
      </c>
      <c r="AC12" s="125" t="n">
        <v>332131.8</v>
      </c>
      <c r="AE12" s="38" t="s">
        <v>1201</v>
      </c>
      <c r="AF12" s="125" t="n">
        <v>126653.78</v>
      </c>
    </row>
    <row r="13" customFormat="false" ht="15" hidden="false" customHeight="false" outlineLevel="0" collapsed="false">
      <c r="P13" s="38" t="s">
        <v>1202</v>
      </c>
      <c r="Q13" s="125" t="n">
        <v>400237.88</v>
      </c>
      <c r="S13" s="38" t="s">
        <v>1202</v>
      </c>
      <c r="T13" s="125" t="n">
        <v>142638.83</v>
      </c>
      <c r="AB13" s="38" t="s">
        <v>1203</v>
      </c>
      <c r="AC13" s="125" t="n">
        <v>89488.7</v>
      </c>
      <c r="AE13" s="38" t="s">
        <v>1203</v>
      </c>
      <c r="AF13" s="125" t="n">
        <v>40965.33</v>
      </c>
    </row>
    <row r="14" customFormat="false" ht="15" hidden="false" customHeight="false" outlineLevel="0" collapsed="false">
      <c r="P14" s="38" t="s">
        <v>1204</v>
      </c>
      <c r="Q14" s="125" t="n">
        <v>474654.18</v>
      </c>
      <c r="S14" s="38" t="s">
        <v>1204</v>
      </c>
      <c r="T14" s="125" t="n">
        <v>169645.33</v>
      </c>
      <c r="AB14" s="38" t="s">
        <v>1205</v>
      </c>
      <c r="AC14" s="125" t="n">
        <v>1313626.14</v>
      </c>
      <c r="AE14" s="38" t="s">
        <v>1205</v>
      </c>
      <c r="AF14" s="125" t="n">
        <v>419236.65</v>
      </c>
    </row>
    <row r="15" customFormat="false" ht="15" hidden="false" customHeight="false" outlineLevel="0" collapsed="false">
      <c r="P15" s="38" t="s">
        <v>1206</v>
      </c>
      <c r="Q15" s="125" t="n">
        <v>556384.22</v>
      </c>
      <c r="S15" s="38" t="s">
        <v>1206</v>
      </c>
      <c r="T15" s="125" t="n">
        <v>198446.47</v>
      </c>
      <c r="AB15" s="38" t="s">
        <v>1207</v>
      </c>
      <c r="AC15" s="125" t="n">
        <v>498411.2</v>
      </c>
      <c r="AE15" s="38" t="s">
        <v>1207</v>
      </c>
      <c r="AF15" s="125" t="n">
        <v>166561.95</v>
      </c>
    </row>
    <row r="16" customFormat="false" ht="15" hidden="false" customHeight="false" outlineLevel="0" collapsed="false">
      <c r="P16" s="38" t="s">
        <v>1208</v>
      </c>
      <c r="Q16" s="125" t="n">
        <v>376115.96</v>
      </c>
      <c r="S16" s="38" t="s">
        <v>1208</v>
      </c>
      <c r="T16" s="125" t="n">
        <v>119789.36</v>
      </c>
      <c r="AB16" s="38" t="s">
        <v>1209</v>
      </c>
      <c r="AC16" s="125" t="n">
        <v>1817492.81</v>
      </c>
      <c r="AE16" s="38" t="s">
        <v>1209</v>
      </c>
      <c r="AF16" s="125" t="n">
        <v>465813.46</v>
      </c>
    </row>
    <row r="17" customFormat="false" ht="15" hidden="false" customHeight="false" outlineLevel="0" collapsed="false">
      <c r="P17" s="38" t="s">
        <v>1210</v>
      </c>
      <c r="Q17" s="125" t="n">
        <v>354148.74</v>
      </c>
      <c r="S17" s="38" t="s">
        <v>1210</v>
      </c>
      <c r="T17" s="125" t="n">
        <v>113534.71</v>
      </c>
      <c r="AB17" s="38" t="s">
        <v>1211</v>
      </c>
      <c r="AC17" s="125" t="n">
        <v>142604.16</v>
      </c>
      <c r="AE17" s="38" t="s">
        <v>1211</v>
      </c>
      <c r="AF17" s="125" t="n">
        <v>67372.65</v>
      </c>
    </row>
    <row r="18" customFormat="false" ht="15" hidden="false" customHeight="false" outlineLevel="0" collapsed="false">
      <c r="P18" s="38" t="s">
        <v>1212</v>
      </c>
      <c r="Q18" s="125" t="n">
        <v>424353.81</v>
      </c>
      <c r="S18" s="38" t="s">
        <v>1212</v>
      </c>
      <c r="T18" s="125" t="n">
        <v>135451.12</v>
      </c>
      <c r="AB18" s="38" t="s">
        <v>1213</v>
      </c>
      <c r="AC18" s="125" t="n">
        <v>490311.2</v>
      </c>
      <c r="AE18" s="38" t="s">
        <v>1213</v>
      </c>
      <c r="AF18" s="125" t="n">
        <v>218656.89</v>
      </c>
    </row>
    <row r="19" customFormat="false" ht="15" hidden="false" customHeight="false" outlineLevel="0" collapsed="false">
      <c r="P19" s="38" t="s">
        <v>1214</v>
      </c>
      <c r="Q19" s="125" t="n">
        <v>401046.29</v>
      </c>
      <c r="S19" s="38" t="s">
        <v>1214</v>
      </c>
      <c r="T19" s="125" t="n">
        <v>127685.37</v>
      </c>
      <c r="AB19" s="38" t="s">
        <v>1215</v>
      </c>
      <c r="AC19" s="125" t="n">
        <v>330814.02</v>
      </c>
      <c r="AE19" s="38" t="s">
        <v>1215</v>
      </c>
      <c r="AF19" s="125" t="n">
        <v>133910.66</v>
      </c>
    </row>
    <row r="20" customFormat="false" ht="15" hidden="false" customHeight="false" outlineLevel="0" collapsed="false">
      <c r="P20" s="38" t="s">
        <v>1216</v>
      </c>
      <c r="Q20" s="125" t="n">
        <v>447928.5</v>
      </c>
      <c r="S20" s="38" t="s">
        <v>1216</v>
      </c>
      <c r="T20" s="125" t="n">
        <v>140862.97</v>
      </c>
      <c r="AB20" s="38" t="s">
        <v>1217</v>
      </c>
      <c r="AC20" s="125" t="n">
        <v>282858.21</v>
      </c>
      <c r="AE20" s="38" t="s">
        <v>1217</v>
      </c>
      <c r="AF20" s="125" t="n">
        <v>118980.84</v>
      </c>
    </row>
    <row r="21" customFormat="false" ht="15" hidden="false" customHeight="false" outlineLevel="0" collapsed="false">
      <c r="P21" s="38" t="s">
        <v>1218</v>
      </c>
      <c r="Q21" s="125" t="n">
        <v>466752.11</v>
      </c>
      <c r="S21" s="38" t="s">
        <v>1218</v>
      </c>
      <c r="T21" s="125" t="n">
        <v>148263.79</v>
      </c>
      <c r="AB21" s="38" t="s">
        <v>1219</v>
      </c>
      <c r="AC21" s="125" t="n">
        <v>197751.04</v>
      </c>
      <c r="AE21" s="38" t="s">
        <v>1219</v>
      </c>
      <c r="AF21" s="125" t="n">
        <v>75920.52</v>
      </c>
    </row>
    <row r="22" customFormat="false" ht="15" hidden="false" customHeight="false" outlineLevel="0" collapsed="false">
      <c r="P22" s="38" t="s">
        <v>1220</v>
      </c>
      <c r="Q22" s="125" t="n">
        <v>500057.9</v>
      </c>
      <c r="S22" s="38" t="s">
        <v>1220</v>
      </c>
      <c r="T22" s="125" t="n">
        <v>171816.84</v>
      </c>
      <c r="AB22" s="38" t="s">
        <v>1221</v>
      </c>
      <c r="AC22" s="125" t="n">
        <v>387109.46</v>
      </c>
      <c r="AE22" s="38" t="s">
        <v>1221</v>
      </c>
      <c r="AF22" s="125" t="n">
        <v>140881.09</v>
      </c>
    </row>
    <row r="23" customFormat="false" ht="15" hidden="false" customHeight="false" outlineLevel="0" collapsed="false">
      <c r="P23" s="38" t="s">
        <v>1222</v>
      </c>
      <c r="Q23" s="125" t="n">
        <v>444999.85</v>
      </c>
      <c r="S23" s="38" t="s">
        <v>1222</v>
      </c>
      <c r="T23" s="125" t="n">
        <v>153563.67</v>
      </c>
      <c r="AB23" s="38" t="s">
        <v>1223</v>
      </c>
      <c r="AC23" s="123" t="n">
        <v>105067.36</v>
      </c>
      <c r="AE23" s="38" t="s">
        <v>1223</v>
      </c>
      <c r="AF23" s="123" t="n">
        <v>46357.6</v>
      </c>
    </row>
    <row r="24" customFormat="false" ht="15" hidden="false" customHeight="false" outlineLevel="0" collapsed="false">
      <c r="P24" s="38" t="s">
        <v>1224</v>
      </c>
      <c r="Q24" s="125" t="n">
        <v>445706.66</v>
      </c>
      <c r="S24" s="38" t="s">
        <v>1224</v>
      </c>
      <c r="T24" s="125" t="n">
        <v>153488.45</v>
      </c>
      <c r="AB24" s="45" t="s">
        <v>35</v>
      </c>
      <c r="AC24" s="126" t="n">
        <v>10292360.2</v>
      </c>
      <c r="AE24" s="45" t="s">
        <v>35</v>
      </c>
      <c r="AF24" s="126" t="n">
        <v>3543511.01999999</v>
      </c>
    </row>
    <row r="25" customFormat="false" ht="15" hidden="false" customHeight="false" outlineLevel="0" collapsed="false">
      <c r="P25" s="38" t="s">
        <v>1225</v>
      </c>
      <c r="Q25" s="125" t="n">
        <v>466416.5</v>
      </c>
      <c r="S25" s="38" t="s">
        <v>1225</v>
      </c>
      <c r="T25" s="125" t="n">
        <v>161406.41</v>
      </c>
    </row>
    <row r="26" customFormat="false" ht="15" hidden="false" customHeight="false" outlineLevel="0" collapsed="false">
      <c r="P26" s="38" t="s">
        <v>1226</v>
      </c>
      <c r="Q26" s="125" t="n">
        <v>567804.81</v>
      </c>
      <c r="S26" s="38" t="s">
        <v>1226</v>
      </c>
      <c r="T26" s="125" t="n">
        <v>196384.16</v>
      </c>
    </row>
    <row r="27" customFormat="false" ht="15" hidden="false" customHeight="false" outlineLevel="0" collapsed="false">
      <c r="P27" s="38" t="s">
        <v>1227</v>
      </c>
      <c r="Q27" s="123" t="n">
        <v>670714.47</v>
      </c>
      <c r="S27" s="38" t="s">
        <v>1227</v>
      </c>
      <c r="T27" s="123" t="n">
        <v>231445.46</v>
      </c>
    </row>
    <row r="28" customFormat="false" ht="15" hidden="false" customHeight="false" outlineLevel="0" collapsed="false">
      <c r="P28" s="45" t="s">
        <v>35</v>
      </c>
      <c r="Q28" s="126" t="n">
        <v>10292360.2</v>
      </c>
      <c r="S28" s="45" t="s">
        <v>35</v>
      </c>
      <c r="T28" s="126" t="n">
        <v>3543511.01999999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2026-08-06T22:56:44Z</dcterms:created>
  <dc:creator>openpyxl</dc:creator>
  <dc:description/>
  <dc:language>en-US</dc:language>
  <cp:lastModifiedBy/>
  <dcterms:modified xsi:type="dcterms:W3CDTF">2026-08-06T22:56:59Z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